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16CD5FD-7B07-4A24-9D3A-10B2266C4513}"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H3695" i="16" s="1"/>
  <c r="K3695" i="16" s="1"/>
  <c r="J3694" i="16"/>
  <c r="I3694" i="16"/>
  <c r="G3695" i="16" s="1"/>
  <c r="H3694" i="16"/>
  <c r="G3694" i="16"/>
  <c r="F3695" i="16" s="1"/>
  <c r="F3694" i="16"/>
  <c r="C3694" i="16"/>
  <c r="B71" i="16" s="1"/>
  <c r="B3694" i="16"/>
  <c r="D3694" i="16" s="1"/>
  <c r="B3643" i="16"/>
  <c r="D3641" i="16"/>
  <c r="C3641" i="16"/>
  <c r="O3640" i="16"/>
  <c r="M3640" i="16"/>
  <c r="N3640" i="16" s="1"/>
  <c r="L3640" i="16"/>
  <c r="K3640" i="16"/>
  <c r="H3641" i="16" s="1"/>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62" i="16" s="1"/>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H2507" i="16" s="1"/>
  <c r="K2507" i="16" s="1"/>
  <c r="J2506" i="16"/>
  <c r="I2506" i="16"/>
  <c r="G2507" i="16" s="1"/>
  <c r="H2506" i="16"/>
  <c r="G2506" i="16"/>
  <c r="F2507" i="16" s="1"/>
  <c r="F2506" i="16"/>
  <c r="C2506" i="16"/>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33" i="16" s="1"/>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29" i="16" s="1"/>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B1214" i="16" s="1"/>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H401" i="16" s="1"/>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H185" i="16" s="1"/>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A130" i="16"/>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F74" i="8" s="1"/>
  <c r="V71" i="16"/>
  <c r="U71" i="16"/>
  <c r="T71" i="16"/>
  <c r="S71" i="16"/>
  <c r="AG71" i="16" s="1"/>
  <c r="R71" i="16"/>
  <c r="M71" i="16"/>
  <c r="F73" i="8" s="1"/>
  <c r="AL70" i="16"/>
  <c r="AK70" i="16"/>
  <c r="V70" i="16"/>
  <c r="U70" i="16"/>
  <c r="T70" i="16"/>
  <c r="S70" i="16"/>
  <c r="AG70" i="16" s="1"/>
  <c r="R70" i="16"/>
  <c r="M70" i="16"/>
  <c r="F72" i="8" s="1"/>
  <c r="L70" i="16"/>
  <c r="AI70" i="16" s="1"/>
  <c r="K70" i="16"/>
  <c r="AD70" i="16" s="1"/>
  <c r="B70" i="16"/>
  <c r="V69" i="16"/>
  <c r="U69" i="16"/>
  <c r="T69" i="16"/>
  <c r="S69" i="16"/>
  <c r="AG69" i="16" s="1"/>
  <c r="R69" i="16"/>
  <c r="M69" i="16"/>
  <c r="F71" i="8" s="1"/>
  <c r="V68" i="16"/>
  <c r="U68" i="16"/>
  <c r="T68" i="16"/>
  <c r="S68" i="16"/>
  <c r="AG68" i="16" s="1"/>
  <c r="R68" i="16"/>
  <c r="M68" i="16"/>
  <c r="F70" i="8" s="1"/>
  <c r="V67" i="16"/>
  <c r="U67" i="16"/>
  <c r="T67" i="16"/>
  <c r="S67" i="16"/>
  <c r="AG67" i="16" s="1"/>
  <c r="R67" i="16"/>
  <c r="M67" i="16"/>
  <c r="F69" i="8" s="1"/>
  <c r="V66" i="16"/>
  <c r="U66" i="16"/>
  <c r="T66" i="16"/>
  <c r="S66" i="16"/>
  <c r="AG66" i="16" s="1"/>
  <c r="R66" i="16"/>
  <c r="M66" i="16"/>
  <c r="F68" i="8" s="1"/>
  <c r="V65" i="16"/>
  <c r="U65" i="16"/>
  <c r="T65" i="16"/>
  <c r="S65" i="16"/>
  <c r="AG65" i="16" s="1"/>
  <c r="R65" i="16"/>
  <c r="M65" i="16"/>
  <c r="F67" i="8" s="1"/>
  <c r="V64" i="16"/>
  <c r="U64" i="16"/>
  <c r="T64" i="16"/>
  <c r="S64" i="16"/>
  <c r="AG64" i="16" s="1"/>
  <c r="R64" i="16"/>
  <c r="M64" i="16"/>
  <c r="F66" i="8" s="1"/>
  <c r="V63" i="16"/>
  <c r="U63" i="16"/>
  <c r="T63" i="16"/>
  <c r="S63" i="16"/>
  <c r="AG63" i="16" s="1"/>
  <c r="R63" i="16"/>
  <c r="M63" i="16"/>
  <c r="F65" i="8" s="1"/>
  <c r="V62" i="16"/>
  <c r="U62" i="16"/>
  <c r="T62" i="16"/>
  <c r="S62" i="16"/>
  <c r="AG62" i="16" s="1"/>
  <c r="R62" i="16"/>
  <c r="M62" i="16"/>
  <c r="F64" i="8" s="1"/>
  <c r="V61" i="16"/>
  <c r="U61" i="16"/>
  <c r="T61" i="16"/>
  <c r="S61" i="16"/>
  <c r="AG61" i="16" s="1"/>
  <c r="R61" i="16"/>
  <c r="M61" i="16"/>
  <c r="F63" i="8" s="1"/>
  <c r="V60" i="16"/>
  <c r="U60" i="16"/>
  <c r="T60" i="16"/>
  <c r="S60" i="16"/>
  <c r="AG60" i="16" s="1"/>
  <c r="R60" i="16"/>
  <c r="M60" i="16"/>
  <c r="F62" i="8" s="1"/>
  <c r="V59" i="16"/>
  <c r="U59" i="16"/>
  <c r="T59" i="16"/>
  <c r="S59" i="16"/>
  <c r="AG59" i="16" s="1"/>
  <c r="R59" i="16"/>
  <c r="M59" i="16"/>
  <c r="F61" i="8" s="1"/>
  <c r="V58" i="16"/>
  <c r="U58" i="16"/>
  <c r="T58" i="16"/>
  <c r="S58" i="16"/>
  <c r="AG58" i="16" s="1"/>
  <c r="R58" i="16"/>
  <c r="M58" i="16"/>
  <c r="F60" i="8" s="1"/>
  <c r="V57" i="16"/>
  <c r="U57" i="16"/>
  <c r="T57" i="16"/>
  <c r="S57" i="16"/>
  <c r="AG57" i="16" s="1"/>
  <c r="R57" i="16"/>
  <c r="M57" i="16"/>
  <c r="F59" i="8" s="1"/>
  <c r="V56" i="16"/>
  <c r="U56" i="16"/>
  <c r="T56" i="16"/>
  <c r="S56" i="16"/>
  <c r="AG56" i="16" s="1"/>
  <c r="R56" i="16"/>
  <c r="M56" i="16"/>
  <c r="F58" i="8" s="1"/>
  <c r="V55" i="16"/>
  <c r="U55" i="16"/>
  <c r="T55" i="16"/>
  <c r="S55" i="16"/>
  <c r="AG55" i="16" s="1"/>
  <c r="R55" i="16"/>
  <c r="M55" i="16"/>
  <c r="F57" i="8" s="1"/>
  <c r="V54" i="16"/>
  <c r="U54" i="16"/>
  <c r="T54" i="16"/>
  <c r="S54" i="16"/>
  <c r="AG54" i="16" s="1"/>
  <c r="R54" i="16"/>
  <c r="M54" i="16"/>
  <c r="F56" i="8" s="1"/>
  <c r="AL53" i="16"/>
  <c r="AK53" i="16"/>
  <c r="V53" i="16"/>
  <c r="U53" i="16"/>
  <c r="T53" i="16"/>
  <c r="S53" i="16"/>
  <c r="AG53" i="16" s="1"/>
  <c r="R53" i="16"/>
  <c r="M53" i="16"/>
  <c r="F55" i="8" s="1"/>
  <c r="B53" i="16"/>
  <c r="V52" i="16"/>
  <c r="U52" i="16"/>
  <c r="T52" i="16"/>
  <c r="S52" i="16"/>
  <c r="AG52" i="16" s="1"/>
  <c r="R52" i="16"/>
  <c r="M52" i="16"/>
  <c r="F54" i="8" s="1"/>
  <c r="V51" i="16"/>
  <c r="U51" i="16"/>
  <c r="T51" i="16"/>
  <c r="S51" i="16"/>
  <c r="AG51" i="16" s="1"/>
  <c r="R51" i="16"/>
  <c r="M51" i="16"/>
  <c r="F53" i="8" s="1"/>
  <c r="V50" i="16"/>
  <c r="U50" i="16"/>
  <c r="T50" i="16"/>
  <c r="S50" i="16"/>
  <c r="AG50" i="16" s="1"/>
  <c r="R50" i="16"/>
  <c r="M50" i="16"/>
  <c r="F52" i="8" s="1"/>
  <c r="AL49" i="16"/>
  <c r="AK49" i="16"/>
  <c r="V49" i="16"/>
  <c r="U49" i="16"/>
  <c r="T49" i="16"/>
  <c r="S49" i="16"/>
  <c r="AG49" i="16" s="1"/>
  <c r="R49" i="16"/>
  <c r="M49" i="16"/>
  <c r="F51" i="8" s="1"/>
  <c r="B49" i="16"/>
  <c r="V48" i="16"/>
  <c r="U48" i="16"/>
  <c r="T48" i="16"/>
  <c r="S48" i="16"/>
  <c r="AG48" i="16" s="1"/>
  <c r="R48" i="16"/>
  <c r="M48" i="16"/>
  <c r="F50" i="8" s="1"/>
  <c r="V47" i="16"/>
  <c r="U47" i="16"/>
  <c r="T47" i="16"/>
  <c r="S47" i="16"/>
  <c r="AG47" i="16" s="1"/>
  <c r="R47" i="16"/>
  <c r="M47" i="16"/>
  <c r="F49" i="8" s="1"/>
  <c r="V46" i="16"/>
  <c r="U46" i="16"/>
  <c r="T46" i="16"/>
  <c r="S46" i="16"/>
  <c r="AG46" i="16" s="1"/>
  <c r="R46" i="16"/>
  <c r="M46" i="16"/>
  <c r="F48" i="8" s="1"/>
  <c r="V45" i="16"/>
  <c r="U45" i="16"/>
  <c r="T45" i="16"/>
  <c r="S45" i="16"/>
  <c r="AG45" i="16" s="1"/>
  <c r="R45" i="16"/>
  <c r="M45" i="16"/>
  <c r="F47" i="8" s="1"/>
  <c r="V44" i="16"/>
  <c r="U44" i="16"/>
  <c r="T44" i="16"/>
  <c r="S44" i="16"/>
  <c r="AG44" i="16" s="1"/>
  <c r="R44" i="16"/>
  <c r="M44" i="16"/>
  <c r="F46" i="8" s="1"/>
  <c r="V43" i="16"/>
  <c r="U43" i="16"/>
  <c r="T43" i="16"/>
  <c r="S43" i="16"/>
  <c r="AG43" i="16" s="1"/>
  <c r="R43" i="16"/>
  <c r="M43" i="16"/>
  <c r="F45" i="8" s="1"/>
  <c r="V42" i="16"/>
  <c r="U42" i="16"/>
  <c r="T42" i="16"/>
  <c r="S42" i="16"/>
  <c r="AG42" i="16" s="1"/>
  <c r="R42" i="16"/>
  <c r="M42" i="16"/>
  <c r="F44" i="8" s="1"/>
  <c r="AL41" i="16"/>
  <c r="AK41" i="16"/>
  <c r="V41" i="16"/>
  <c r="U41" i="16"/>
  <c r="T41" i="16"/>
  <c r="S41" i="16"/>
  <c r="AG41" i="16" s="1"/>
  <c r="R41" i="16"/>
  <c r="M41" i="16"/>
  <c r="F43" i="8" s="1"/>
  <c r="B41" i="16"/>
  <c r="V40" i="16"/>
  <c r="U40" i="16"/>
  <c r="T40" i="16"/>
  <c r="S40" i="16"/>
  <c r="AG40" i="16" s="1"/>
  <c r="R40" i="16"/>
  <c r="M40" i="16"/>
  <c r="F42" i="8" s="1"/>
  <c r="V39" i="16"/>
  <c r="U39" i="16"/>
  <c r="T39" i="16"/>
  <c r="S39" i="16"/>
  <c r="AG39" i="16" s="1"/>
  <c r="R39" i="16"/>
  <c r="M39" i="16"/>
  <c r="F41" i="8" s="1"/>
  <c r="V38" i="16"/>
  <c r="U38" i="16"/>
  <c r="T38" i="16"/>
  <c r="S38" i="16"/>
  <c r="AG38" i="16" s="1"/>
  <c r="R38" i="16"/>
  <c r="M38" i="16"/>
  <c r="F40" i="8" s="1"/>
  <c r="AL37" i="16"/>
  <c r="AK37" i="16"/>
  <c r="V37" i="16"/>
  <c r="U37" i="16"/>
  <c r="T37" i="16"/>
  <c r="S37" i="16"/>
  <c r="AG37" i="16" s="1"/>
  <c r="R37" i="16"/>
  <c r="M37" i="16"/>
  <c r="F39" i="8" s="1"/>
  <c r="B37" i="16"/>
  <c r="V36" i="16"/>
  <c r="U36" i="16"/>
  <c r="T36" i="16"/>
  <c r="S36" i="16"/>
  <c r="AG36" i="16" s="1"/>
  <c r="R36" i="16"/>
  <c r="M36" i="16"/>
  <c r="F38" i="8" s="1"/>
  <c r="V35" i="16"/>
  <c r="U35" i="16"/>
  <c r="T35" i="16"/>
  <c r="S35" i="16"/>
  <c r="AG35" i="16" s="1"/>
  <c r="R35" i="16"/>
  <c r="M35" i="16"/>
  <c r="F37" i="8" s="1"/>
  <c r="V34" i="16"/>
  <c r="U34" i="16"/>
  <c r="T34" i="16"/>
  <c r="S34" i="16"/>
  <c r="AG34" i="16" s="1"/>
  <c r="R34" i="16"/>
  <c r="M34" i="16"/>
  <c r="F36" i="8" s="1"/>
  <c r="V33" i="16"/>
  <c r="U33" i="16"/>
  <c r="T33" i="16"/>
  <c r="S33" i="16"/>
  <c r="AG33" i="16" s="1"/>
  <c r="R33" i="16"/>
  <c r="M33" i="16"/>
  <c r="V32" i="16"/>
  <c r="U32" i="16"/>
  <c r="T32" i="16"/>
  <c r="S32" i="16"/>
  <c r="AG32" i="16" s="1"/>
  <c r="R32" i="16"/>
  <c r="M32" i="16"/>
  <c r="V31" i="16"/>
  <c r="U31" i="16"/>
  <c r="T31" i="16"/>
  <c r="S31" i="16"/>
  <c r="AG31" i="16" s="1"/>
  <c r="R31" i="16"/>
  <c r="M31" i="16"/>
  <c r="V30" i="16"/>
  <c r="U30" i="16"/>
  <c r="T30" i="16"/>
  <c r="S30" i="16"/>
  <c r="AG30" i="16" s="1"/>
  <c r="R30" i="16"/>
  <c r="M30" i="16"/>
  <c r="V29" i="16"/>
  <c r="U29" i="16"/>
  <c r="T29" i="16"/>
  <c r="S29" i="16"/>
  <c r="AG29" i="16" s="1"/>
  <c r="R29" i="16"/>
  <c r="M29" i="16"/>
  <c r="V28" i="16"/>
  <c r="U28" i="16"/>
  <c r="T28" i="16"/>
  <c r="S28" i="16"/>
  <c r="AG28" i="16" s="1"/>
  <c r="R28" i="16"/>
  <c r="M28" i="16"/>
  <c r="V27" i="16"/>
  <c r="U27" i="16"/>
  <c r="T27" i="16"/>
  <c r="S27" i="16"/>
  <c r="AG27" i="16" s="1"/>
  <c r="R27" i="16"/>
  <c r="M27" i="16"/>
  <c r="V26" i="16"/>
  <c r="U26" i="16"/>
  <c r="T26" i="16"/>
  <c r="S26" i="16"/>
  <c r="AG26" i="16" s="1"/>
  <c r="R26" i="16"/>
  <c r="M26" i="16"/>
  <c r="AL25" i="16"/>
  <c r="AK25" i="16"/>
  <c r="V25" i="16"/>
  <c r="U25" i="16"/>
  <c r="T25" i="16"/>
  <c r="S25" i="16"/>
  <c r="AG25" i="16" s="1"/>
  <c r="R25" i="16"/>
  <c r="M25" i="16"/>
  <c r="B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F21" i="8" s="1"/>
  <c r="V18" i="16"/>
  <c r="U18" i="16"/>
  <c r="T18" i="16"/>
  <c r="S18" i="16"/>
  <c r="AG18" i="16" s="1"/>
  <c r="R18" i="16"/>
  <c r="M18" i="16"/>
  <c r="F20" i="8" s="1"/>
  <c r="V17" i="16"/>
  <c r="U17" i="16"/>
  <c r="T17" i="16"/>
  <c r="S17" i="16"/>
  <c r="AG17" i="16" s="1"/>
  <c r="R17" i="16"/>
  <c r="M17" i="16"/>
  <c r="F19" i="8" s="1"/>
  <c r="V16" i="16"/>
  <c r="U16" i="16"/>
  <c r="T16" i="16"/>
  <c r="S16" i="16"/>
  <c r="AG16" i="16" s="1"/>
  <c r="R16" i="16"/>
  <c r="M16" i="16"/>
  <c r="F18" i="8" s="1"/>
  <c r="V15" i="16"/>
  <c r="U15" i="16"/>
  <c r="T15" i="16"/>
  <c r="S15" i="16"/>
  <c r="AG15" i="16" s="1"/>
  <c r="R15" i="16"/>
  <c r="M15" i="16"/>
  <c r="F17" i="8" s="1"/>
  <c r="V14" i="16"/>
  <c r="U14" i="16"/>
  <c r="T14" i="16"/>
  <c r="S14" i="16"/>
  <c r="AG14" i="16" s="1"/>
  <c r="R14" i="16"/>
  <c r="M14" i="16"/>
  <c r="F16" i="8" s="1"/>
  <c r="V13" i="16"/>
  <c r="U13" i="16"/>
  <c r="T13" i="16"/>
  <c r="S13" i="16"/>
  <c r="AG13" i="16" s="1"/>
  <c r="R13" i="16"/>
  <c r="M13" i="16"/>
  <c r="F15" i="8" s="1"/>
  <c r="V12" i="16"/>
  <c r="U12" i="16"/>
  <c r="T12" i="16"/>
  <c r="S12" i="16"/>
  <c r="AG12" i="16" s="1"/>
  <c r="R12" i="16"/>
  <c r="M12" i="16"/>
  <c r="F14" i="8" s="1"/>
  <c r="V11" i="16"/>
  <c r="U11" i="16"/>
  <c r="T11" i="16"/>
  <c r="S11" i="16"/>
  <c r="AG11" i="16" s="1"/>
  <c r="R11" i="16"/>
  <c r="M11" i="16"/>
  <c r="F13" i="8" s="1"/>
  <c r="V10" i="16"/>
  <c r="U10" i="16"/>
  <c r="T10" i="16"/>
  <c r="S10" i="16"/>
  <c r="AG10" i="16" s="1"/>
  <c r="R10" i="16"/>
  <c r="M10" i="16"/>
  <c r="F12" i="8" s="1"/>
  <c r="V9" i="16"/>
  <c r="U9" i="16"/>
  <c r="T9" i="16"/>
  <c r="S9" i="16"/>
  <c r="AG9" i="16" s="1"/>
  <c r="R9" i="16"/>
  <c r="M9" i="16"/>
  <c r="F11" i="8" s="1"/>
  <c r="AL8" i="16"/>
  <c r="AK8" i="16"/>
  <c r="V8" i="16"/>
  <c r="U8" i="16"/>
  <c r="T8" i="16"/>
  <c r="S8" i="16"/>
  <c r="AG8" i="16" s="1"/>
  <c r="R8" i="16"/>
  <c r="M8" i="16"/>
  <c r="F10" i="8" s="1"/>
  <c r="B8" i="16"/>
  <c r="V7" i="16"/>
  <c r="U7" i="16"/>
  <c r="T7" i="16"/>
  <c r="S7" i="16"/>
  <c r="AG7" i="16" s="1"/>
  <c r="R7" i="16"/>
  <c r="M7" i="16"/>
  <c r="F9" i="8" s="1"/>
  <c r="V6" i="16"/>
  <c r="U6" i="16"/>
  <c r="T6" i="16"/>
  <c r="S6" i="16"/>
  <c r="AG6" i="16" s="1"/>
  <c r="R6" i="16"/>
  <c r="M6" i="16"/>
  <c r="F8" i="8" s="1"/>
  <c r="V5" i="16"/>
  <c r="U5" i="16"/>
  <c r="T5" i="16"/>
  <c r="S5" i="16"/>
  <c r="AG5" i="16" s="1"/>
  <c r="R5" i="16"/>
  <c r="M5" i="16"/>
  <c r="F7" i="8" s="1"/>
  <c r="V4" i="16"/>
  <c r="U4" i="16"/>
  <c r="T4" i="16"/>
  <c r="S4" i="16"/>
  <c r="AG4" i="16" s="1"/>
  <c r="R4" i="16"/>
  <c r="M4" i="16"/>
  <c r="F6" i="8" s="1"/>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M4" i="15"/>
  <c r="N4" i="15" s="1"/>
  <c r="O3" i="15"/>
  <c r="P3" i="15" s="1"/>
  <c r="M3" i="15"/>
  <c r="N3" i="15" s="1"/>
  <c r="D48" i="13"/>
  <c r="D47" i="13"/>
  <c r="D46" i="13"/>
  <c r="D45" i="13"/>
  <c r="D44" i="13"/>
  <c r="D43" i="13"/>
  <c r="D42" i="13"/>
  <c r="E41" i="13"/>
  <c r="D41" i="13"/>
  <c r="D40" i="13"/>
  <c r="E39" i="13"/>
  <c r="D39" i="13"/>
  <c r="E38" i="13"/>
  <c r="D38" i="13"/>
  <c r="E37" i="13"/>
  <c r="D37" i="13"/>
  <c r="E36" i="13"/>
  <c r="D36" i="13"/>
  <c r="D35" i="13"/>
  <c r="D34" i="13"/>
  <c r="E33" i="13"/>
  <c r="D33" i="13"/>
  <c r="E32" i="13"/>
  <c r="D32" i="13"/>
  <c r="E31" i="13"/>
  <c r="D31" i="13"/>
  <c r="E30" i="13"/>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D3" i="12"/>
  <c r="C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B7" i="11"/>
  <c r="E3" i="11"/>
  <c r="C3" i="11"/>
  <c r="B19" i="10"/>
  <c r="B14" i="10"/>
  <c r="D3" i="10"/>
  <c r="C3" i="10"/>
  <c r="G66" i="9"/>
  <c r="G61" i="9"/>
  <c r="E60" i="9"/>
  <c r="N33" i="9"/>
  <c r="B33" i="9"/>
  <c r="AB31" i="9"/>
  <c r="J31" i="9"/>
  <c r="I31" i="9"/>
  <c r="H31" i="9"/>
  <c r="G31" i="9"/>
  <c r="F31" i="9"/>
  <c r="AB30" i="9"/>
  <c r="K30" i="9"/>
  <c r="J30" i="9"/>
  <c r="I30" i="9"/>
  <c r="H30" i="9"/>
  <c r="G30" i="9"/>
  <c r="F30" i="9"/>
  <c r="AB29" i="9"/>
  <c r="M29" i="9"/>
  <c r="L29" i="9"/>
  <c r="K29" i="9"/>
  <c r="J29" i="9"/>
  <c r="I29" i="9"/>
  <c r="H29" i="9"/>
  <c r="G29" i="9"/>
  <c r="F29" i="9"/>
  <c r="AB28" i="9"/>
  <c r="AB27" i="9"/>
  <c r="AB26" i="9"/>
  <c r="M26" i="9"/>
  <c r="L26" i="9"/>
  <c r="K26" i="9"/>
  <c r="J26" i="9"/>
  <c r="I26" i="9"/>
  <c r="H26" i="9"/>
  <c r="G26" i="9"/>
  <c r="F26" i="9"/>
  <c r="AB25" i="9"/>
  <c r="H25" i="9"/>
  <c r="G25" i="9"/>
  <c r="F25" i="9"/>
  <c r="AB24" i="9"/>
  <c r="J24" i="9"/>
  <c r="I24" i="9"/>
  <c r="H24" i="9"/>
  <c r="G24" i="9"/>
  <c r="F24" i="9"/>
  <c r="AB23" i="9"/>
  <c r="H23" i="9"/>
  <c r="G23" i="9"/>
  <c r="F23" i="9"/>
  <c r="AB22" i="9"/>
  <c r="I22" i="9"/>
  <c r="H22" i="9"/>
  <c r="G22" i="9"/>
  <c r="F22" i="9"/>
  <c r="AB21" i="9"/>
  <c r="K21" i="9"/>
  <c r="J21" i="9"/>
  <c r="I21" i="9"/>
  <c r="H21" i="9"/>
  <c r="G21" i="9"/>
  <c r="F21" i="9"/>
  <c r="AB20" i="9"/>
  <c r="I20" i="9"/>
  <c r="H20" i="9"/>
  <c r="G20" i="9"/>
  <c r="F20" i="9"/>
  <c r="AB19" i="9"/>
  <c r="K19" i="9"/>
  <c r="J19" i="9"/>
  <c r="I19" i="9"/>
  <c r="H19" i="9"/>
  <c r="G19" i="9"/>
  <c r="F19" i="9"/>
  <c r="AB18" i="9"/>
  <c r="L18" i="9"/>
  <c r="J18" i="9"/>
  <c r="I18" i="9"/>
  <c r="H18" i="9"/>
  <c r="G18" i="9"/>
  <c r="F18" i="9"/>
  <c r="AB17" i="9"/>
  <c r="G17" i="9"/>
  <c r="F17" i="9"/>
  <c r="AB16" i="9"/>
  <c r="M16" i="9"/>
  <c r="L16" i="9"/>
  <c r="K16" i="9"/>
  <c r="J16" i="9"/>
  <c r="I16" i="9"/>
  <c r="H16" i="9"/>
  <c r="G16" i="9"/>
  <c r="F16" i="9"/>
  <c r="AB15" i="9"/>
  <c r="K15" i="9"/>
  <c r="J15" i="9"/>
  <c r="I15" i="9"/>
  <c r="H15" i="9"/>
  <c r="G15" i="9"/>
  <c r="F15" i="9"/>
  <c r="AB14" i="9"/>
  <c r="I14" i="9"/>
  <c r="H14" i="9"/>
  <c r="G14" i="9"/>
  <c r="F14" i="9"/>
  <c r="AB13" i="9"/>
  <c r="M13" i="9" s="1"/>
  <c r="L13" i="9"/>
  <c r="K13" i="9"/>
  <c r="J13" i="9"/>
  <c r="I13" i="9"/>
  <c r="H13" i="9"/>
  <c r="G13" i="9"/>
  <c r="F13" i="9"/>
  <c r="AB12" i="9"/>
  <c r="M12" i="9"/>
  <c r="L12" i="9"/>
  <c r="K12" i="9"/>
  <c r="J12" i="9"/>
  <c r="I12" i="9"/>
  <c r="H12" i="9"/>
  <c r="G12" i="9"/>
  <c r="F12" i="9"/>
  <c r="AB11" i="9"/>
  <c r="J11" i="9"/>
  <c r="I11" i="9"/>
  <c r="H11" i="9"/>
  <c r="G11" i="9"/>
  <c r="F11" i="9"/>
  <c r="AB10" i="9"/>
  <c r="M10" i="9"/>
  <c r="L10" i="9"/>
  <c r="K10" i="9"/>
  <c r="J10" i="9"/>
  <c r="I10" i="9"/>
  <c r="H10" i="9"/>
  <c r="G10" i="9"/>
  <c r="F10" i="9"/>
  <c r="AB9" i="9"/>
  <c r="AB8" i="9"/>
  <c r="M8" i="9"/>
  <c r="L8" i="9"/>
  <c r="K8" i="9"/>
  <c r="J8" i="9"/>
  <c r="I8" i="9"/>
  <c r="H8" i="9"/>
  <c r="G8" i="9"/>
  <c r="F8" i="9"/>
  <c r="Y7" i="9"/>
  <c r="X7" i="9"/>
  <c r="W7" i="9"/>
  <c r="V7" i="9"/>
  <c r="U7" i="9"/>
  <c r="R7" i="9"/>
  <c r="P7" i="9"/>
  <c r="V6" i="9"/>
  <c r="T6"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F35" i="8"/>
  <c r="D35" i="8"/>
  <c r="N34" i="8"/>
  <c r="F34" i="8"/>
  <c r="D34" i="8"/>
  <c r="N33" i="8"/>
  <c r="F33" i="8"/>
  <c r="D33" i="8"/>
  <c r="N32" i="8"/>
  <c r="F32" i="8"/>
  <c r="D32" i="8"/>
  <c r="N31" i="8"/>
  <c r="F31" i="8"/>
  <c r="D31" i="8"/>
  <c r="N30" i="8"/>
  <c r="F30" i="8"/>
  <c r="D30" i="8"/>
  <c r="N29" i="8"/>
  <c r="F29" i="8"/>
  <c r="D29" i="8"/>
  <c r="N28" i="8"/>
  <c r="F28" i="8"/>
  <c r="D28" i="8"/>
  <c r="N27" i="8"/>
  <c r="F27" i="8"/>
  <c r="D27" i="8"/>
  <c r="N26" i="8"/>
  <c r="F26" i="8"/>
  <c r="D26" i="8"/>
  <c r="N25" i="8"/>
  <c r="F25" i="8"/>
  <c r="D25" i="8"/>
  <c r="N24" i="8"/>
  <c r="F24" i="8"/>
  <c r="D24" i="8"/>
  <c r="N23" i="8"/>
  <c r="F23" i="8"/>
  <c r="D23" i="8"/>
  <c r="N22" i="8"/>
  <c r="F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M5" i="8"/>
  <c r="L5" i="8"/>
  <c r="G5" i="8"/>
  <c r="B56" i="7"/>
  <c r="B55" i="7"/>
  <c r="B54" i="7"/>
  <c r="B53" i="7"/>
  <c r="B52" i="7"/>
  <c r="B51" i="7"/>
  <c r="B50" i="7"/>
  <c r="B49" i="7"/>
  <c r="L2" i="7"/>
  <c r="E64" i="6"/>
  <c r="D64" i="6"/>
  <c r="C64" i="6"/>
  <c r="F63" i="6"/>
  <c r="F62" i="6"/>
  <c r="F61" i="6"/>
  <c r="F60" i="6"/>
  <c r="E59" i="6"/>
  <c r="D59" i="6"/>
  <c r="C59" i="6"/>
  <c r="C32" i="6"/>
  <c r="H29" i="6"/>
  <c r="G29" i="6"/>
  <c r="F29" i="6"/>
  <c r="E29" i="6"/>
  <c r="D29" i="6"/>
  <c r="C29" i="6"/>
  <c r="C7" i="6"/>
  <c r="C6" i="6"/>
  <c r="H4"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J7" i="5"/>
  <c r="J6" i="5"/>
  <c r="J5" i="5"/>
  <c r="D3" i="5"/>
  <c r="B17" i="4"/>
  <c r="B17" i="5" s="1"/>
  <c r="V16" i="4"/>
  <c r="V15" i="4"/>
  <c r="A13" i="4"/>
  <c r="A12" i="4"/>
  <c r="F11" i="4"/>
  <c r="G11" i="4" s="1"/>
  <c r="F10" i="4"/>
  <c r="G10" i="4" s="1"/>
  <c r="A10" i="4"/>
  <c r="F9" i="4"/>
  <c r="G9" i="4" s="1"/>
  <c r="A9" i="4"/>
  <c r="A8" i="4"/>
  <c r="A7" i="4"/>
  <c r="F6" i="4"/>
  <c r="A6" i="4"/>
  <c r="F5" i="4"/>
  <c r="D3" i="4"/>
  <c r="N347" i="3"/>
  <c r="N346" i="3"/>
  <c r="N345" i="3"/>
  <c r="N344" i="3"/>
  <c r="N343" i="3"/>
  <c r="N342" i="3"/>
  <c r="N341" i="3"/>
  <c r="N340" i="3"/>
  <c r="N339" i="3"/>
  <c r="N338" i="3"/>
  <c r="N337" i="3"/>
  <c r="N336" i="3"/>
  <c r="N335" i="3"/>
  <c r="N334" i="3"/>
  <c r="N333" i="3"/>
  <c r="N332" i="3"/>
  <c r="N331" i="3"/>
  <c r="N330" i="3"/>
  <c r="N329" i="3"/>
  <c r="N328" i="3"/>
  <c r="N327" i="3"/>
  <c r="N326" i="3"/>
  <c r="N325" i="3"/>
  <c r="N324" i="3"/>
  <c r="E43" i="13" s="1"/>
  <c r="G43" i="13" s="1"/>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S293" i="3"/>
  <c r="R293" i="3"/>
  <c r="Q293" i="3"/>
  <c r="P293" i="3"/>
  <c r="O293" i="3"/>
  <c r="N293" i="3"/>
  <c r="M293" i="3"/>
  <c r="L293" i="3"/>
  <c r="K293" i="3"/>
  <c r="J293" i="3"/>
  <c r="S292" i="3"/>
  <c r="R292" i="3"/>
  <c r="Q292" i="3"/>
  <c r="P292" i="3"/>
  <c r="O292" i="3"/>
  <c r="N292" i="3"/>
  <c r="M292" i="3"/>
  <c r="L292" i="3"/>
  <c r="K292" i="3"/>
  <c r="J292" i="3"/>
  <c r="S291" i="3"/>
  <c r="R291" i="3"/>
  <c r="Q291" i="3"/>
  <c r="P291" i="3"/>
  <c r="O291" i="3"/>
  <c r="N291" i="3"/>
  <c r="M291" i="3"/>
  <c r="L291" i="3"/>
  <c r="K291" i="3"/>
  <c r="J291" i="3"/>
  <c r="S290" i="3"/>
  <c r="R290" i="3"/>
  <c r="Q290" i="3"/>
  <c r="P290" i="3"/>
  <c r="O290" i="3"/>
  <c r="N290" i="3"/>
  <c r="M290" i="3"/>
  <c r="L290" i="3"/>
  <c r="K290" i="3"/>
  <c r="J290" i="3"/>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S222" i="3"/>
  <c r="R222" i="3"/>
  <c r="Q222" i="3"/>
  <c r="P222" i="3"/>
  <c r="O222" i="3"/>
  <c r="N222" i="3"/>
  <c r="M222" i="3"/>
  <c r="L222" i="3"/>
  <c r="K222" i="3"/>
  <c r="J222" i="3"/>
  <c r="S221" i="3"/>
  <c r="R221" i="3"/>
  <c r="Q221" i="3"/>
  <c r="P221" i="3"/>
  <c r="O221" i="3"/>
  <c r="N221" i="3"/>
  <c r="M221" i="3"/>
  <c r="L221" i="3"/>
  <c r="K221" i="3"/>
  <c r="J221" i="3"/>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E35" i="13" s="1"/>
  <c r="G35" i="13" s="1"/>
  <c r="T75" i="3"/>
  <c r="A3748" i="16" s="1"/>
  <c r="T74" i="3"/>
  <c r="A3694" i="16" s="1"/>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T11" i="3"/>
  <c r="T10" i="3"/>
  <c r="T9" i="3"/>
  <c r="T8" i="3"/>
  <c r="T7" i="3"/>
  <c r="C33" i="2"/>
  <c r="D23" i="2"/>
  <c r="C23" i="2"/>
  <c r="L18" i="2"/>
  <c r="J18" i="2"/>
  <c r="H18" i="2"/>
  <c r="F18" i="2"/>
  <c r="D18" i="2"/>
  <c r="B18" i="2"/>
  <c r="B10" i="2"/>
  <c r="F8" i="2"/>
  <c r="F6" i="2"/>
  <c r="L4" i="2"/>
  <c r="K4" i="2"/>
  <c r="J4" i="2"/>
  <c r="I4" i="2"/>
  <c r="H4" i="2"/>
  <c r="G4" i="2"/>
  <c r="F4" i="2"/>
  <c r="E4" i="2"/>
  <c r="D4" i="2"/>
  <c r="C4" i="2"/>
  <c r="H455" i="16" l="1"/>
  <c r="N45" i="15"/>
  <c r="H509" i="16"/>
  <c r="H3749" i="16"/>
  <c r="K3749" i="16" s="1"/>
  <c r="H3587" i="16"/>
  <c r="K3587" i="16" s="1"/>
  <c r="H563" i="16"/>
  <c r="H3533" i="16"/>
  <c r="H3479" i="16"/>
  <c r="H3425" i="16"/>
  <c r="H3371" i="16"/>
  <c r="K3371" i="16" s="1"/>
  <c r="H3317" i="16"/>
  <c r="H3263" i="16"/>
  <c r="K3263" i="16" s="1"/>
  <c r="H3209" i="16"/>
  <c r="H3155" i="16"/>
  <c r="H3101" i="16"/>
  <c r="K3101" i="16" s="1"/>
  <c r="H3047" i="16"/>
  <c r="K3047" i="16" s="1"/>
  <c r="H2993" i="16"/>
  <c r="H2939" i="16"/>
  <c r="H2885" i="16"/>
  <c r="K2885" i="16" s="1"/>
  <c r="H2831" i="16"/>
  <c r="H2777" i="16"/>
  <c r="K2777" i="16" s="1"/>
  <c r="H2723" i="16"/>
  <c r="K2723" i="16" s="1"/>
  <c r="H2669" i="16"/>
  <c r="H2615" i="16"/>
  <c r="K2615" i="16" s="1"/>
  <c r="H2561" i="16"/>
  <c r="K2561" i="16" s="1"/>
  <c r="H1481" i="16"/>
  <c r="K1481" i="16" s="1"/>
  <c r="H77" i="16"/>
  <c r="H2453" i="16"/>
  <c r="K2453" i="16" s="1"/>
  <c r="H2399" i="16"/>
  <c r="K2399" i="16" s="1"/>
  <c r="H2345" i="16"/>
  <c r="K2345" i="16" s="1"/>
  <c r="H2291" i="16"/>
  <c r="H2237" i="16"/>
  <c r="K2237" i="16" s="1"/>
  <c r="H2183" i="16"/>
  <c r="H2129" i="16"/>
  <c r="H2075" i="16"/>
  <c r="K2075" i="16" s="1"/>
  <c r="H2021" i="16"/>
  <c r="H1967" i="16"/>
  <c r="K1967" i="16" s="1"/>
  <c r="H1913" i="16"/>
  <c r="K1913" i="16" s="1"/>
  <c r="H1859" i="16"/>
  <c r="K1859" i="16" s="1"/>
  <c r="H1805" i="16"/>
  <c r="H1751" i="16"/>
  <c r="K1751" i="16" s="1"/>
  <c r="H1697" i="16"/>
  <c r="H1643" i="16"/>
  <c r="H1589" i="16"/>
  <c r="K1589" i="16" s="1"/>
  <c r="H1535" i="16"/>
  <c r="K1535" i="16" s="1"/>
  <c r="H1427" i="16"/>
  <c r="H1373" i="16"/>
  <c r="H1319" i="16"/>
  <c r="H1265" i="16"/>
  <c r="H1211" i="16"/>
  <c r="H1157" i="16"/>
  <c r="H1103" i="16"/>
  <c r="H1049" i="16"/>
  <c r="H995" i="16"/>
  <c r="H941" i="16"/>
  <c r="H887" i="16"/>
  <c r="H833" i="16"/>
  <c r="H779" i="16"/>
  <c r="H725" i="16"/>
  <c r="H671" i="16"/>
  <c r="H617" i="16"/>
  <c r="H131" i="16"/>
  <c r="H293" i="16"/>
  <c r="H239" i="16"/>
  <c r="P23" i="15"/>
  <c r="P22" i="15"/>
  <c r="P21" i="15"/>
  <c r="P20" i="15"/>
  <c r="P19" i="15"/>
  <c r="P18" i="15"/>
  <c r="P17" i="15"/>
  <c r="P16" i="15"/>
  <c r="P15" i="15"/>
  <c r="P14" i="15"/>
  <c r="P13" i="15"/>
  <c r="P12" i="15"/>
  <c r="P11" i="15"/>
  <c r="P10" i="15"/>
  <c r="P9" i="15"/>
  <c r="P8" i="15"/>
  <c r="P7" i="15"/>
  <c r="P6" i="15"/>
  <c r="P5" i="15"/>
  <c r="P4" i="15"/>
  <c r="G41" i="13"/>
  <c r="G39" i="13"/>
  <c r="G38" i="13"/>
  <c r="G37" i="13"/>
  <c r="G36" i="13"/>
  <c r="G33" i="13"/>
  <c r="G32" i="13"/>
  <c r="G31" i="13"/>
  <c r="G30" i="13"/>
  <c r="A4333" i="16"/>
  <c r="B433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4" i="16"/>
  <c r="B4364" i="16" s="1"/>
  <c r="A4332" i="16"/>
  <c r="B4332"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4334" i="16"/>
  <c r="B4334" i="16" s="1"/>
  <c r="I4392" i="16"/>
  <c r="H4392" i="16"/>
  <c r="V3958" i="16"/>
  <c r="Z3958" i="16"/>
  <c r="AA3958" i="16"/>
  <c r="AB3958" i="16"/>
  <c r="AC3958" i="16"/>
  <c r="AL33" i="16"/>
  <c r="AK33" i="16"/>
  <c r="AK4" i="16"/>
  <c r="AL4" i="16"/>
  <c r="P24" i="15"/>
  <c r="P1" i="15"/>
  <c r="N24" i="15"/>
  <c r="N1" i="15"/>
  <c r="M31" i="9"/>
  <c r="L31" i="9"/>
  <c r="K31" i="9"/>
  <c r="L30" i="9"/>
  <c r="M30" i="9"/>
  <c r="F28" i="9"/>
  <c r="G28" i="9"/>
  <c r="K28" i="9"/>
  <c r="H28" i="9"/>
  <c r="L28" i="9"/>
  <c r="J28" i="9"/>
  <c r="I28" i="9"/>
  <c r="M28" i="9"/>
  <c r="K25" i="9"/>
  <c r="J25" i="9"/>
  <c r="L25" i="9"/>
  <c r="I25" i="9"/>
  <c r="M25" i="9"/>
  <c r="M24" i="9"/>
  <c r="K24" i="9"/>
  <c r="L24" i="9"/>
  <c r="K23" i="9"/>
  <c r="M23" i="9"/>
  <c r="I23" i="9"/>
  <c r="J23" i="9"/>
  <c r="L23" i="9"/>
  <c r="M22" i="9"/>
  <c r="J22" i="9"/>
  <c r="L22" i="9"/>
  <c r="K22" i="9"/>
  <c r="L21" i="9"/>
  <c r="M21" i="9"/>
  <c r="L20" i="9"/>
  <c r="K20" i="9"/>
  <c r="J20" i="9"/>
  <c r="M20" i="9"/>
  <c r="M19" i="9"/>
  <c r="L19" i="9"/>
  <c r="M18" i="9"/>
  <c r="K18" i="9"/>
  <c r="L17" i="9"/>
  <c r="H17" i="9"/>
  <c r="M17" i="9"/>
  <c r="I17" i="9"/>
  <c r="J17" i="9"/>
  <c r="K17" i="9"/>
  <c r="L15" i="9"/>
  <c r="M15" i="9"/>
  <c r="L14" i="9"/>
  <c r="M14" i="9"/>
  <c r="K14" i="9"/>
  <c r="J14" i="9"/>
  <c r="K11" i="9"/>
  <c r="L11" i="9"/>
  <c r="M11" i="9"/>
  <c r="I9" i="9"/>
  <c r="K9" i="9"/>
  <c r="J9" i="9"/>
  <c r="F9" i="9"/>
  <c r="G9" i="9"/>
  <c r="H9" i="9"/>
  <c r="M9" i="9"/>
  <c r="L9" i="9"/>
  <c r="W16" i="4"/>
  <c r="B64" i="7"/>
  <c r="I64" i="7" s="1"/>
  <c r="C70" i="8"/>
  <c r="B70" i="8"/>
  <c r="A70" i="8"/>
  <c r="A3532" i="16"/>
  <c r="C69" i="8"/>
  <c r="A3478" i="16"/>
  <c r="B69" i="8"/>
  <c r="A69" i="8"/>
  <c r="A3424" i="16"/>
  <c r="B68" i="8"/>
  <c r="C68" i="8"/>
  <c r="E68" i="8" s="1"/>
  <c r="A68" i="8"/>
  <c r="A3370" i="16"/>
  <c r="C67" i="8"/>
  <c r="E67" i="8" s="1"/>
  <c r="B67" i="8"/>
  <c r="A67" i="8"/>
  <c r="B66" i="8"/>
  <c r="A3316" i="16"/>
  <c r="C66" i="8"/>
  <c r="E66" i="8" s="1"/>
  <c r="A66" i="8"/>
  <c r="B65" i="8"/>
  <c r="C65" i="8"/>
  <c r="E65" i="8" s="1"/>
  <c r="A65" i="8"/>
  <c r="A3262" i="16"/>
  <c r="C64" i="8"/>
  <c r="E64" i="8" s="1"/>
  <c r="B64" i="8"/>
  <c r="A64" i="8"/>
  <c r="A3208" i="16"/>
  <c r="C63" i="8"/>
  <c r="E63" i="8" s="1"/>
  <c r="A63" i="8"/>
  <c r="B63" i="8"/>
  <c r="A3154" i="16"/>
  <c r="A3100" i="16"/>
  <c r="A62" i="8"/>
  <c r="C62" i="8"/>
  <c r="E62" i="8" s="1"/>
  <c r="B62" i="8"/>
  <c r="C61" i="8"/>
  <c r="E61" i="8" s="1"/>
  <c r="A3046" i="16"/>
  <c r="B61" i="8"/>
  <c r="A61" i="8"/>
  <c r="C60" i="8"/>
  <c r="E60" i="8" s="1"/>
  <c r="B60" i="8"/>
  <c r="A60" i="8"/>
  <c r="A2992" i="16"/>
  <c r="A2938" i="16"/>
  <c r="C59" i="8"/>
  <c r="E59" i="8" s="1"/>
  <c r="B59" i="8"/>
  <c r="A59" i="8"/>
  <c r="A2884" i="16"/>
  <c r="B58" i="8"/>
  <c r="A58" i="8"/>
  <c r="C58" i="8"/>
  <c r="E58" i="8" s="1"/>
  <c r="A2830" i="16"/>
  <c r="A57" i="8"/>
  <c r="C57" i="8"/>
  <c r="E57" i="8" s="1"/>
  <c r="B57" i="8"/>
  <c r="B56" i="8"/>
  <c r="C56" i="8"/>
  <c r="A2776" i="16"/>
  <c r="A56" i="8"/>
  <c r="A2722" i="16"/>
  <c r="C55" i="8"/>
  <c r="E55" i="8" s="1"/>
  <c r="B55" i="8"/>
  <c r="A55" i="8"/>
  <c r="A2668" i="16"/>
  <c r="C54" i="8"/>
  <c r="E54" i="8" s="1"/>
  <c r="B54" i="8"/>
  <c r="A54" i="8"/>
  <c r="A2614" i="16"/>
  <c r="A53" i="8"/>
  <c r="B53" i="8"/>
  <c r="C53" i="8"/>
  <c r="E53" i="8" s="1"/>
  <c r="C52" i="8"/>
  <c r="E52" i="8" s="1"/>
  <c r="B52" i="8"/>
  <c r="A52" i="8"/>
  <c r="A2560" i="16"/>
  <c r="A2506" i="16"/>
  <c r="C51" i="8"/>
  <c r="E51" i="8" s="1"/>
  <c r="A51" i="8"/>
  <c r="B51" i="8"/>
  <c r="A2452" i="16"/>
  <c r="C50" i="8"/>
  <c r="E50" i="8" s="1"/>
  <c r="B50" i="8"/>
  <c r="A50" i="8"/>
  <c r="A2398" i="16"/>
  <c r="A49" i="8"/>
  <c r="C49" i="8"/>
  <c r="E49" i="8" s="1"/>
  <c r="B49" i="8"/>
  <c r="C48" i="8"/>
  <c r="E48" i="8" s="1"/>
  <c r="B48" i="8"/>
  <c r="A48" i="8"/>
  <c r="A2344" i="16"/>
  <c r="A2290" i="16"/>
  <c r="A47" i="8"/>
  <c r="C47" i="8"/>
  <c r="E47" i="8" s="1"/>
  <c r="B47" i="8"/>
  <c r="C46" i="8"/>
  <c r="E46" i="8" s="1"/>
  <c r="B46" i="8"/>
  <c r="A46" i="8"/>
  <c r="A2236" i="16"/>
  <c r="C45" i="8"/>
  <c r="E45" i="8" s="1"/>
  <c r="A45" i="8"/>
  <c r="A2182" i="16"/>
  <c r="B45" i="8"/>
  <c r="C44" i="8"/>
  <c r="E44" i="8" s="1"/>
  <c r="B44" i="8"/>
  <c r="A44" i="8"/>
  <c r="A2128" i="16"/>
  <c r="A2074" i="16"/>
  <c r="C43" i="8"/>
  <c r="E43" i="8" s="1"/>
  <c r="B43" i="8"/>
  <c r="A43" i="8"/>
  <c r="A2020" i="16"/>
  <c r="C42" i="8"/>
  <c r="E42" i="8" s="1"/>
  <c r="A42" i="8"/>
  <c r="B42" i="8"/>
  <c r="A1966" i="16"/>
  <c r="B41" i="8"/>
  <c r="A41" i="8"/>
  <c r="C41" i="8"/>
  <c r="E41" i="8" s="1"/>
  <c r="C40" i="8"/>
  <c r="E40" i="8" s="1"/>
  <c r="B40" i="8"/>
  <c r="A40" i="8"/>
  <c r="A1912" i="16"/>
  <c r="A1858" i="16"/>
  <c r="C39" i="8"/>
  <c r="E39" i="8" s="1"/>
  <c r="B39" i="8"/>
  <c r="A39" i="8"/>
  <c r="A1804" i="16"/>
  <c r="C38" i="8"/>
  <c r="E38" i="8" s="1"/>
  <c r="B38" i="8"/>
  <c r="A38" i="8"/>
  <c r="A1750" i="16"/>
  <c r="A37" i="8"/>
  <c r="C37" i="8"/>
  <c r="E37" i="8" s="1"/>
  <c r="B37" i="8"/>
  <c r="C36" i="8"/>
  <c r="E36" i="8" s="1"/>
  <c r="B36" i="8"/>
  <c r="A36" i="8"/>
  <c r="A1696" i="16"/>
  <c r="A1642" i="16"/>
  <c r="C35" i="8"/>
  <c r="E35" i="8" s="1"/>
  <c r="B35" i="8"/>
  <c r="A35" i="8"/>
  <c r="A1588" i="16"/>
  <c r="C34" i="8"/>
  <c r="E34" i="8" s="1"/>
  <c r="B34" i="8"/>
  <c r="A34" i="8"/>
  <c r="C33" i="8"/>
  <c r="E33" i="8" s="1"/>
  <c r="B33" i="8"/>
  <c r="A1534" i="16"/>
  <c r="A33" i="8"/>
  <c r="B32" i="8"/>
  <c r="A32" i="8"/>
  <c r="C32" i="8"/>
  <c r="A1480" i="16"/>
  <c r="B31" i="8"/>
  <c r="A31" i="8"/>
  <c r="A1426" i="16"/>
  <c r="C31" i="8"/>
  <c r="A1372" i="16"/>
  <c r="B30" i="8"/>
  <c r="A30" i="8"/>
  <c r="C30" i="8"/>
  <c r="B29" i="8"/>
  <c r="A1318" i="16"/>
  <c r="C29" i="8"/>
  <c r="A29" i="8"/>
  <c r="A1264" i="16"/>
  <c r="C28" i="8"/>
  <c r="B28" i="8"/>
  <c r="A28" i="8"/>
  <c r="A1210" i="16"/>
  <c r="C27" i="8"/>
  <c r="B27" i="8"/>
  <c r="A27" i="8"/>
  <c r="A1156" i="16"/>
  <c r="C26" i="8"/>
  <c r="B26" i="8"/>
  <c r="A26" i="8"/>
  <c r="C25" i="8"/>
  <c r="B25" i="8"/>
  <c r="A25" i="8"/>
  <c r="A1102" i="16"/>
  <c r="C24" i="8"/>
  <c r="B24" i="8"/>
  <c r="A24" i="8"/>
  <c r="A1048" i="16"/>
  <c r="A994" i="16"/>
  <c r="C23" i="8"/>
  <c r="B23" i="8"/>
  <c r="A23" i="8"/>
  <c r="A940" i="16"/>
  <c r="A22" i="8"/>
  <c r="B22" i="8"/>
  <c r="C22" i="8"/>
  <c r="A21" i="8"/>
  <c r="C21" i="8"/>
  <c r="B21" i="8"/>
  <c r="A886" i="16"/>
  <c r="B20" i="8"/>
  <c r="A20" i="8"/>
  <c r="A832" i="16"/>
  <c r="C20" i="8"/>
  <c r="A19" i="8"/>
  <c r="B19" i="8"/>
  <c r="C19" i="8"/>
  <c r="A778" i="16"/>
  <c r="A724" i="16"/>
  <c r="C18" i="8"/>
  <c r="A18" i="8"/>
  <c r="B18" i="8"/>
  <c r="C17" i="8"/>
  <c r="E17" i="8" s="1"/>
  <c r="B17" i="8"/>
  <c r="A17" i="8"/>
  <c r="A670" i="16"/>
  <c r="B16" i="8"/>
  <c r="C16" i="8"/>
  <c r="E16" i="8" s="1"/>
  <c r="A16" i="8"/>
  <c r="A616" i="16"/>
  <c r="C15" i="8"/>
  <c r="E15" i="8" s="1"/>
  <c r="A15" i="8"/>
  <c r="B15" i="8"/>
  <c r="A562" i="16"/>
  <c r="A508" i="16"/>
  <c r="A14" i="8"/>
  <c r="C14" i="8"/>
  <c r="E14" i="8" s="1"/>
  <c r="B14" i="8"/>
  <c r="C13" i="8"/>
  <c r="E13" i="8" s="1"/>
  <c r="A454" i="16"/>
  <c r="A13" i="8"/>
  <c r="B13" i="8"/>
  <c r="A400" i="16"/>
  <c r="C12" i="8"/>
  <c r="E12" i="8" s="1"/>
  <c r="B12" i="8"/>
  <c r="A12" i="8"/>
  <c r="C11" i="8"/>
  <c r="E11" i="8" s="1"/>
  <c r="B11" i="8"/>
  <c r="A11" i="8"/>
  <c r="A346" i="16"/>
  <c r="A292" i="16"/>
  <c r="B10" i="8"/>
  <c r="A10" i="8"/>
  <c r="C10" i="8"/>
  <c r="E10" i="8" s="1"/>
  <c r="A238" i="16"/>
  <c r="C9" i="8"/>
  <c r="E9" i="8" s="1"/>
  <c r="B9" i="8"/>
  <c r="A9" i="8"/>
  <c r="A184" i="16"/>
  <c r="C8" i="8"/>
  <c r="E8" i="8" s="1"/>
  <c r="B8" i="8"/>
  <c r="A8" i="8"/>
  <c r="A7" i="8"/>
  <c r="C7" i="8"/>
  <c r="E7" i="8" s="1"/>
  <c r="B7" i="8"/>
  <c r="C6" i="8"/>
  <c r="E34" i="13"/>
  <c r="G34" i="13" s="1"/>
  <c r="B6" i="8"/>
  <c r="A6" i="8"/>
  <c r="A4477" i="16"/>
  <c r="B4477" i="16" s="1"/>
  <c r="A4478" i="16"/>
  <c r="B4478" i="16" s="1"/>
  <c r="A4479" i="16"/>
  <c r="B4479" i="16" s="1"/>
  <c r="A4481" i="16"/>
  <c r="B4481" i="16" s="1"/>
  <c r="A4411" i="16"/>
  <c r="B4411" i="16" s="1"/>
  <c r="A4410" i="16"/>
  <c r="B4410" i="16" s="1"/>
  <c r="A4436" i="16"/>
  <c r="B4436" i="16" s="1"/>
  <c r="A4480" i="16"/>
  <c r="B4480" i="16" s="1"/>
  <c r="A4412" i="16"/>
  <c r="B4412" i="16" s="1"/>
  <c r="A4413" i="16"/>
  <c r="B4413" i="16" s="1"/>
  <c r="A4414" i="16"/>
  <c r="B4414" i="16" s="1"/>
  <c r="A4415" i="16"/>
  <c r="B4415" i="16" s="1"/>
  <c r="A4416" i="16"/>
  <c r="B4416" i="16" s="1"/>
  <c r="A4417" i="16"/>
  <c r="B4417" i="16" s="1"/>
  <c r="A4439" i="16"/>
  <c r="B4439" i="16" s="1"/>
  <c r="A4440" i="16"/>
  <c r="B4440" i="16" s="1"/>
  <c r="A4476" i="16"/>
  <c r="B4476" i="16" s="1"/>
  <c r="A4418" i="16"/>
  <c r="B4418" i="16" s="1"/>
  <c r="A4482" i="16"/>
  <c r="B4482" i="16" s="1"/>
  <c r="F4" i="6"/>
  <c r="A4419" i="16"/>
  <c r="B4419" i="16" s="1"/>
  <c r="B3" i="5"/>
  <c r="A4420" i="16"/>
  <c r="B4420" i="16" s="1"/>
  <c r="A4421" i="16"/>
  <c r="B4421" i="16" s="1"/>
  <c r="A4422" i="16"/>
  <c r="B4422" i="16" s="1"/>
  <c r="A4423" i="16"/>
  <c r="B4423" i="16" s="1"/>
  <c r="A4437" i="16"/>
  <c r="B4437" i="16" s="1"/>
  <c r="A4409" i="16"/>
  <c r="B4409" i="16" s="1"/>
  <c r="A4438" i="16"/>
  <c r="B4438" i="16" s="1"/>
  <c r="A4424" i="16"/>
  <c r="B4424" i="16" s="1"/>
  <c r="A4425" i="16"/>
  <c r="B4425" i="16" s="1"/>
  <c r="A4426" i="16"/>
  <c r="B4426" i="16" s="1"/>
  <c r="A4427" i="16"/>
  <c r="B4427" i="16" s="1"/>
  <c r="A4428" i="16"/>
  <c r="B4428" i="16" s="1"/>
  <c r="A4429" i="16"/>
  <c r="B4429" i="16" s="1"/>
  <c r="A4430" i="16"/>
  <c r="B4430" i="16" s="1"/>
  <c r="A4431" i="16"/>
  <c r="B4431" i="16" s="1"/>
  <c r="A4432" i="16"/>
  <c r="B4432" i="16" s="1"/>
  <c r="A4433" i="16"/>
  <c r="B4433" i="16" s="1"/>
  <c r="A4434" i="16"/>
  <c r="B4434" i="16" s="1"/>
  <c r="A4435" i="16"/>
  <c r="B4435" i="16" s="1"/>
  <c r="J2" i="7"/>
  <c r="B4676" i="16"/>
  <c r="E4675" i="16"/>
  <c r="I4675" i="16"/>
  <c r="G4675" i="16"/>
  <c r="C4675" i="16"/>
  <c r="F4675" i="16" s="1"/>
  <c r="C4621" i="16"/>
  <c r="D4621" i="16" s="1"/>
  <c r="E4621" i="16"/>
  <c r="F4621" i="16"/>
  <c r="G4621" i="16"/>
  <c r="B4622" i="16"/>
  <c r="G4567" i="16"/>
  <c r="B4568" i="16"/>
  <c r="E4567" i="16"/>
  <c r="C4567" i="16"/>
  <c r="F4567" i="16" s="1"/>
  <c r="E4513" i="16"/>
  <c r="C4513" i="16"/>
  <c r="K4513" i="16"/>
  <c r="G4513" i="16"/>
  <c r="F4513" i="16"/>
  <c r="B4514" i="16"/>
  <c r="L4513" i="16"/>
  <c r="I4507" i="16"/>
  <c r="H4507" i="16"/>
  <c r="G4507" i="16"/>
  <c r="E4507" i="16"/>
  <c r="F4507" i="16"/>
  <c r="F4506" i="16"/>
  <c r="E4506" i="16"/>
  <c r="I4506" i="16"/>
  <c r="H4506" i="16"/>
  <c r="G4506" i="16"/>
  <c r="F4505" i="16"/>
  <c r="H4505" i="16"/>
  <c r="G4505" i="16"/>
  <c r="E4505" i="16"/>
  <c r="I4505" i="16"/>
  <c r="I4504" i="16"/>
  <c r="H4504" i="16"/>
  <c r="G4504" i="16"/>
  <c r="F4504" i="16"/>
  <c r="E4504" i="16"/>
  <c r="I4503" i="16"/>
  <c r="H4503" i="16"/>
  <c r="E4503" i="16"/>
  <c r="F4503" i="16"/>
  <c r="G4503" i="16"/>
  <c r="I4502" i="16"/>
  <c r="G4502" i="16"/>
  <c r="F4502" i="16"/>
  <c r="E4502" i="16"/>
  <c r="H4502" i="16"/>
  <c r="G4501" i="16"/>
  <c r="I4501" i="16"/>
  <c r="F4501" i="16"/>
  <c r="H4501" i="16"/>
  <c r="E4501" i="16"/>
  <c r="H4500" i="16"/>
  <c r="G4500" i="16"/>
  <c r="F4500" i="16"/>
  <c r="E4500" i="16"/>
  <c r="I4500" i="16"/>
  <c r="E4499" i="16"/>
  <c r="G4499" i="16"/>
  <c r="I4499" i="16"/>
  <c r="H4499" i="16"/>
  <c r="F4499" i="16"/>
  <c r="F4498" i="16"/>
  <c r="I4498" i="16"/>
  <c r="H4498" i="16"/>
  <c r="G4498" i="16"/>
  <c r="E4498" i="16"/>
  <c r="I4497" i="16"/>
  <c r="H4497" i="16"/>
  <c r="G4497" i="16"/>
  <c r="F4497" i="16"/>
  <c r="E4497" i="16"/>
  <c r="I4496" i="16"/>
  <c r="H4496" i="16"/>
  <c r="G4496" i="16"/>
  <c r="F4496" i="16"/>
  <c r="E4496" i="16"/>
  <c r="I4495" i="16"/>
  <c r="H4495" i="16"/>
  <c r="G4495" i="16"/>
  <c r="F4495" i="16"/>
  <c r="E4495" i="16"/>
  <c r="F4494" i="16"/>
  <c r="G4494" i="16"/>
  <c r="I4494" i="16"/>
  <c r="H4494" i="16"/>
  <c r="E4494" i="16"/>
  <c r="I4493" i="16"/>
  <c r="H4493" i="16"/>
  <c r="G4493" i="16"/>
  <c r="E4493" i="16"/>
  <c r="F4493" i="16"/>
  <c r="I4492" i="16"/>
  <c r="H4492" i="16"/>
  <c r="G4492" i="16"/>
  <c r="F4492" i="16"/>
  <c r="E4492" i="16"/>
  <c r="G4491" i="16"/>
  <c r="I4491" i="16"/>
  <c r="H4491" i="16"/>
  <c r="F4491" i="16"/>
  <c r="E4491" i="16"/>
  <c r="I4490" i="16"/>
  <c r="H4490" i="16"/>
  <c r="G4490" i="16"/>
  <c r="F4490" i="16"/>
  <c r="E4490" i="16"/>
  <c r="H4489" i="16"/>
  <c r="E4489" i="16"/>
  <c r="I4489" i="16"/>
  <c r="F4489" i="16"/>
  <c r="G4489" i="16"/>
  <c r="E4488" i="16"/>
  <c r="I4488" i="16"/>
  <c r="F4488" i="16"/>
  <c r="G4488" i="16"/>
  <c r="H4488" i="16"/>
  <c r="G4487" i="16"/>
  <c r="H4487" i="16"/>
  <c r="E4487" i="16"/>
  <c r="F4487" i="16"/>
  <c r="I4487" i="16"/>
  <c r="E4486" i="16"/>
  <c r="H4486" i="16"/>
  <c r="I4486" i="16"/>
  <c r="G4486" i="16"/>
  <c r="F4486" i="16"/>
  <c r="H4485" i="16"/>
  <c r="G4485" i="16"/>
  <c r="E4485" i="16"/>
  <c r="I4485" i="16"/>
  <c r="F4485" i="16"/>
  <c r="I4484" i="16"/>
  <c r="E4484" i="16"/>
  <c r="F4484" i="16"/>
  <c r="G4484" i="16"/>
  <c r="H4484" i="16"/>
  <c r="I4483" i="16"/>
  <c r="H4483" i="16"/>
  <c r="F4483" i="16"/>
  <c r="E4483" i="16"/>
  <c r="G4483" i="16"/>
  <c r="H4482" i="16"/>
  <c r="E4482" i="16"/>
  <c r="I4482" i="16"/>
  <c r="F4482" i="16"/>
  <c r="G4482" i="16"/>
  <c r="G4481" i="16"/>
  <c r="E4481" i="16"/>
  <c r="H4481" i="16"/>
  <c r="F4481" i="16"/>
  <c r="I4481" i="16"/>
  <c r="H4480" i="16"/>
  <c r="G4480" i="16"/>
  <c r="F4480" i="16"/>
  <c r="E4480" i="16"/>
  <c r="I4480" i="16"/>
  <c r="F4479" i="16"/>
  <c r="H4479" i="16"/>
  <c r="I4479" i="16"/>
  <c r="G4479" i="16"/>
  <c r="E4479" i="16"/>
  <c r="F4478" i="16"/>
  <c r="I4478" i="16"/>
  <c r="E4478" i="16"/>
  <c r="H4478" i="16"/>
  <c r="G4478" i="16"/>
  <c r="E4477" i="16"/>
  <c r="I4477" i="16"/>
  <c r="F4477" i="16"/>
  <c r="H4477" i="16"/>
  <c r="G4477" i="16"/>
  <c r="I4476" i="16"/>
  <c r="E4476" i="16"/>
  <c r="G4476" i="16"/>
  <c r="F4476" i="16"/>
  <c r="H4476" i="16"/>
  <c r="H4475" i="16"/>
  <c r="E4475" i="16"/>
  <c r="I4475" i="16"/>
  <c r="G4475" i="16"/>
  <c r="F4475" i="16"/>
  <c r="E4474" i="16"/>
  <c r="I4474" i="16"/>
  <c r="F4474" i="16"/>
  <c r="G4474" i="16"/>
  <c r="H4474" i="16"/>
  <c r="F4473" i="16"/>
  <c r="H4473" i="16"/>
  <c r="I4473" i="16"/>
  <c r="E4473" i="16"/>
  <c r="G4473" i="16"/>
  <c r="I4472" i="16"/>
  <c r="G4472" i="16"/>
  <c r="H4472" i="16"/>
  <c r="F4472" i="16"/>
  <c r="E4472" i="16"/>
  <c r="E4471" i="16"/>
  <c r="F4471" i="16"/>
  <c r="H4471" i="16"/>
  <c r="G4471" i="16"/>
  <c r="I4471" i="16"/>
  <c r="I4470" i="16"/>
  <c r="H4470" i="16"/>
  <c r="F4470" i="16"/>
  <c r="E4470" i="16"/>
  <c r="G4470" i="16"/>
  <c r="F4469" i="16"/>
  <c r="E4469" i="16"/>
  <c r="G4469" i="16"/>
  <c r="I4469" i="16"/>
  <c r="H4469" i="16"/>
  <c r="E4468" i="16"/>
  <c r="F4468" i="16"/>
  <c r="I4468" i="16"/>
  <c r="H4468" i="16"/>
  <c r="G4468" i="16"/>
  <c r="E4467" i="16"/>
  <c r="F4467" i="16"/>
  <c r="H4467" i="16"/>
  <c r="G4467" i="16"/>
  <c r="I4467" i="16"/>
  <c r="I4466" i="16"/>
  <c r="H4466" i="16"/>
  <c r="G4466" i="16"/>
  <c r="E4466" i="16"/>
  <c r="F4466" i="16"/>
  <c r="E4465" i="16"/>
  <c r="G4465" i="16"/>
  <c r="I4465" i="16"/>
  <c r="F4465" i="16"/>
  <c r="H4465" i="16"/>
  <c r="G4464" i="16"/>
  <c r="F4464" i="16"/>
  <c r="I4464" i="16"/>
  <c r="H4464" i="16"/>
  <c r="E4464" i="16"/>
  <c r="I4463" i="16"/>
  <c r="G4463" i="16"/>
  <c r="H4463" i="16"/>
  <c r="F4463" i="16"/>
  <c r="E4463" i="16"/>
  <c r="E4462" i="16"/>
  <c r="G4462" i="16"/>
  <c r="I4462" i="16"/>
  <c r="F4462" i="16"/>
  <c r="H4462" i="16"/>
  <c r="F4461" i="16"/>
  <c r="H4461" i="16"/>
  <c r="E4461" i="16"/>
  <c r="G4461" i="16"/>
  <c r="I4461" i="16"/>
  <c r="H4460" i="16"/>
  <c r="I4460" i="16"/>
  <c r="E4460" i="16"/>
  <c r="F4460" i="16"/>
  <c r="G4460" i="16"/>
  <c r="E4459" i="16"/>
  <c r="F4459" i="16"/>
  <c r="I4459" i="16"/>
  <c r="H4459" i="16"/>
  <c r="G4459" i="16"/>
  <c r="F4458" i="16"/>
  <c r="I4458" i="16"/>
  <c r="H4458" i="16"/>
  <c r="E4458" i="16"/>
  <c r="G4458" i="16"/>
  <c r="H4457" i="16"/>
  <c r="I4457" i="16"/>
  <c r="F4457" i="16"/>
  <c r="G4457" i="16"/>
  <c r="E4457" i="16"/>
  <c r="F4456" i="16"/>
  <c r="G4456" i="16"/>
  <c r="E4456" i="16"/>
  <c r="I4456" i="16"/>
  <c r="H4456" i="16"/>
  <c r="E4455" i="16"/>
  <c r="F4455" i="16"/>
  <c r="G4455" i="16"/>
  <c r="H4455" i="16"/>
  <c r="I4455" i="16"/>
  <c r="F4454" i="16"/>
  <c r="G4454" i="16"/>
  <c r="E4454" i="16"/>
  <c r="H4454" i="16"/>
  <c r="I4454" i="16"/>
  <c r="F4453" i="16"/>
  <c r="E4453" i="16"/>
  <c r="G4453" i="16"/>
  <c r="H4453" i="16"/>
  <c r="I4453" i="16"/>
  <c r="E4452" i="16"/>
  <c r="G4452" i="16"/>
  <c r="I4452" i="16"/>
  <c r="H4452" i="16"/>
  <c r="F4452" i="16"/>
  <c r="G4451" i="16"/>
  <c r="H4451" i="16"/>
  <c r="I4451" i="16"/>
  <c r="F4451" i="16"/>
  <c r="E4451" i="16"/>
  <c r="F4450" i="16"/>
  <c r="G4450" i="16"/>
  <c r="H4450" i="16"/>
  <c r="I4450" i="16"/>
  <c r="E4450" i="16"/>
  <c r="F4449" i="16"/>
  <c r="H4449" i="16"/>
  <c r="G4449" i="16"/>
  <c r="E4449" i="16"/>
  <c r="I4449" i="16"/>
  <c r="I4448" i="16"/>
  <c r="H4448" i="16"/>
  <c r="G4448" i="16"/>
  <c r="F4448" i="16"/>
  <c r="E4448" i="16"/>
  <c r="F4447" i="16"/>
  <c r="E4447" i="16"/>
  <c r="H4447" i="16"/>
  <c r="I4447" i="16"/>
  <c r="G4447" i="16"/>
  <c r="G4446" i="16"/>
  <c r="H4446" i="16"/>
  <c r="F4446" i="16"/>
  <c r="I4446" i="16"/>
  <c r="E4446" i="16"/>
  <c r="I4445" i="16"/>
  <c r="E4445" i="16"/>
  <c r="F4445" i="16"/>
  <c r="H4445" i="16"/>
  <c r="G4445" i="16"/>
  <c r="H4444" i="16"/>
  <c r="E4444" i="16"/>
  <c r="F4444" i="16"/>
  <c r="G4444" i="16"/>
  <c r="I4444" i="16"/>
  <c r="F4443" i="16"/>
  <c r="G4443" i="16"/>
  <c r="H4443" i="16"/>
  <c r="I4443" i="16"/>
  <c r="E4443" i="16"/>
  <c r="H4442" i="16"/>
  <c r="I4442" i="16"/>
  <c r="F4442" i="16"/>
  <c r="E4442" i="16"/>
  <c r="G4442" i="16"/>
  <c r="E4441" i="16"/>
  <c r="G4441" i="16"/>
  <c r="I4441" i="16"/>
  <c r="H4441" i="16"/>
  <c r="F4441" i="16"/>
  <c r="E4440" i="16"/>
  <c r="I4440" i="16"/>
  <c r="G4440" i="16"/>
  <c r="F4440" i="16"/>
  <c r="H4440" i="16"/>
  <c r="H4439" i="16"/>
  <c r="G4439" i="16"/>
  <c r="E4439" i="16"/>
  <c r="F4439" i="16"/>
  <c r="I4439" i="16"/>
  <c r="I4438" i="16"/>
  <c r="F4438" i="16"/>
  <c r="G4438" i="16"/>
  <c r="H4438" i="16"/>
  <c r="E4438" i="16"/>
  <c r="F4437" i="16"/>
  <c r="G4437" i="16"/>
  <c r="H4437" i="16"/>
  <c r="I4437" i="16"/>
  <c r="E4437" i="16"/>
  <c r="F4436" i="16"/>
  <c r="E4436" i="16"/>
  <c r="G4436" i="16"/>
  <c r="H4436" i="16"/>
  <c r="I4436" i="16"/>
  <c r="G4435" i="16"/>
  <c r="H4435" i="16"/>
  <c r="I4435" i="16"/>
  <c r="F4435" i="16"/>
  <c r="E4435" i="16"/>
  <c r="I4434" i="16"/>
  <c r="H4434" i="16"/>
  <c r="G4434" i="16"/>
  <c r="F4434" i="16"/>
  <c r="E4434" i="16"/>
  <c r="I4433" i="16"/>
  <c r="H4433" i="16"/>
  <c r="F4433" i="16"/>
  <c r="E4433" i="16"/>
  <c r="G4433" i="16"/>
  <c r="F4432" i="16"/>
  <c r="I4432" i="16"/>
  <c r="H4432" i="16"/>
  <c r="G4432" i="16"/>
  <c r="E4432" i="16"/>
  <c r="I4431" i="16"/>
  <c r="H4431" i="16"/>
  <c r="G4431" i="16"/>
  <c r="F4431" i="16"/>
  <c r="E4431" i="16"/>
  <c r="E4430" i="16"/>
  <c r="H4430" i="16"/>
  <c r="F4430" i="16"/>
  <c r="G4430" i="16"/>
  <c r="I4430" i="16"/>
  <c r="I4429" i="16"/>
  <c r="F4429" i="16"/>
  <c r="E4429" i="16"/>
  <c r="H4429" i="16"/>
  <c r="G4429" i="16"/>
  <c r="F4428" i="16"/>
  <c r="I4428" i="16"/>
  <c r="H4428" i="16"/>
  <c r="G4428" i="16"/>
  <c r="E4428" i="16"/>
  <c r="E4427" i="16"/>
  <c r="H4427" i="16"/>
  <c r="I4427" i="16"/>
  <c r="G4427" i="16"/>
  <c r="F4427" i="16"/>
  <c r="E4426" i="16"/>
  <c r="I4426" i="16"/>
  <c r="H4426" i="16"/>
  <c r="F4426" i="16"/>
  <c r="G4426" i="16"/>
  <c r="E4425" i="16"/>
  <c r="G4425" i="16"/>
  <c r="H4425" i="16"/>
  <c r="I4425" i="16"/>
  <c r="F4425" i="16"/>
  <c r="F4424" i="16"/>
  <c r="G4424" i="16"/>
  <c r="H4424" i="16"/>
  <c r="I4424" i="16"/>
  <c r="E4424" i="16"/>
  <c r="I4423" i="16"/>
  <c r="F4423" i="16"/>
  <c r="H4423" i="16"/>
  <c r="G4423" i="16"/>
  <c r="E4423" i="16"/>
  <c r="G4422" i="16"/>
  <c r="F4422" i="16"/>
  <c r="E4422" i="16"/>
  <c r="I4422" i="16"/>
  <c r="H4422" i="16"/>
  <c r="I4421" i="16"/>
  <c r="H4421" i="16"/>
  <c r="G4421" i="16"/>
  <c r="F4421" i="16"/>
  <c r="E4421" i="16"/>
  <c r="E4420" i="16"/>
  <c r="G4420" i="16"/>
  <c r="F4420" i="16"/>
  <c r="I4420" i="16"/>
  <c r="H4420" i="16"/>
  <c r="F4419" i="16"/>
  <c r="H4419" i="16"/>
  <c r="E4419" i="16"/>
  <c r="I4419" i="16"/>
  <c r="G4419" i="16"/>
  <c r="E4418" i="16"/>
  <c r="G4418" i="16"/>
  <c r="H4418" i="16"/>
  <c r="I4418" i="16"/>
  <c r="F4418" i="16"/>
  <c r="I4417" i="16"/>
  <c r="F4417" i="16"/>
  <c r="H4417" i="16"/>
  <c r="G4417" i="16"/>
  <c r="E4417" i="16"/>
  <c r="F4416" i="16"/>
  <c r="I4416" i="16"/>
  <c r="H4416" i="16"/>
  <c r="G4416" i="16"/>
  <c r="E4416" i="16"/>
  <c r="H4415" i="16"/>
  <c r="E4415" i="16"/>
  <c r="G4415" i="16"/>
  <c r="I4415" i="16"/>
  <c r="F4415" i="16"/>
  <c r="I4414" i="16"/>
  <c r="H4414" i="16"/>
  <c r="F4414" i="16"/>
  <c r="G4414" i="16"/>
  <c r="E4414" i="16"/>
  <c r="G4413" i="16"/>
  <c r="I4413" i="16"/>
  <c r="H4413" i="16"/>
  <c r="F4413" i="16"/>
  <c r="E4413" i="16"/>
  <c r="F4412" i="16"/>
  <c r="I4412" i="16"/>
  <c r="H4412" i="16"/>
  <c r="G4412" i="16"/>
  <c r="E4412" i="16"/>
  <c r="E4411" i="16"/>
  <c r="I4411" i="16"/>
  <c r="H4411" i="16"/>
  <c r="G4411" i="16"/>
  <c r="F4411" i="16"/>
  <c r="H4410" i="16"/>
  <c r="I4410" i="16"/>
  <c r="E4410" i="16"/>
  <c r="G4410" i="16"/>
  <c r="F4410" i="16"/>
  <c r="H4409" i="16"/>
  <c r="G4409" i="16"/>
  <c r="F4409" i="16"/>
  <c r="I4409" i="16"/>
  <c r="E4409" i="16"/>
  <c r="E4408" i="16"/>
  <c r="G4408" i="16"/>
  <c r="F4408" i="16"/>
  <c r="I4408" i="16"/>
  <c r="H4408" i="16"/>
  <c r="F4407" i="16"/>
  <c r="I4407" i="16"/>
  <c r="H4407" i="16"/>
  <c r="G4407" i="16"/>
  <c r="E4407" i="16"/>
  <c r="I4406" i="16"/>
  <c r="E4406" i="16"/>
  <c r="H4406" i="16"/>
  <c r="G4406" i="16"/>
  <c r="F4406" i="16"/>
  <c r="E4405" i="16"/>
  <c r="I4405" i="16"/>
  <c r="H4405" i="16"/>
  <c r="G4405" i="16"/>
  <c r="F4405" i="16"/>
  <c r="H4404" i="16"/>
  <c r="G4404" i="16"/>
  <c r="F4404" i="16"/>
  <c r="E4404" i="16"/>
  <c r="I4404" i="16"/>
  <c r="I4403" i="16"/>
  <c r="H4403" i="16"/>
  <c r="G4403" i="16"/>
  <c r="E4403" i="16"/>
  <c r="F4403" i="16"/>
  <c r="I4402" i="16"/>
  <c r="H4402" i="16"/>
  <c r="G4402" i="16"/>
  <c r="E4402" i="16"/>
  <c r="F4402" i="16"/>
  <c r="E4401" i="16"/>
  <c r="G4401" i="16"/>
  <c r="H4401" i="16"/>
  <c r="F4401" i="16"/>
  <c r="I4401" i="16"/>
  <c r="F4400" i="16"/>
  <c r="H4400" i="16"/>
  <c r="I4400" i="16"/>
  <c r="E4400" i="16"/>
  <c r="G4400" i="16"/>
  <c r="F4399" i="16"/>
  <c r="E4399" i="16"/>
  <c r="I4399" i="16"/>
  <c r="H4399" i="16"/>
  <c r="G4399" i="16"/>
  <c r="E4398" i="16"/>
  <c r="F4398" i="16"/>
  <c r="G4398" i="16"/>
  <c r="H4398" i="16"/>
  <c r="I4398" i="16"/>
  <c r="H4397" i="16"/>
  <c r="E4397" i="16"/>
  <c r="I4397" i="16"/>
  <c r="G4397" i="16"/>
  <c r="F4397" i="16"/>
  <c r="I4396" i="16"/>
  <c r="H4396" i="16"/>
  <c r="G4396" i="16"/>
  <c r="F4396" i="16"/>
  <c r="E4396" i="16"/>
  <c r="G4395" i="16"/>
  <c r="H4395" i="16"/>
  <c r="F4395" i="16"/>
  <c r="E4395" i="16"/>
  <c r="I4395" i="16"/>
  <c r="H4394" i="16"/>
  <c r="F4394" i="16"/>
  <c r="E4394" i="16"/>
  <c r="I4394" i="16"/>
  <c r="G4394" i="16"/>
  <c r="H4393" i="16"/>
  <c r="F4393" i="16"/>
  <c r="I4393" i="16"/>
  <c r="G4393" i="16"/>
  <c r="E4393" i="16"/>
  <c r="E4392" i="16"/>
  <c r="G4392" i="16"/>
  <c r="F4392" i="16"/>
  <c r="H4391" i="16"/>
  <c r="G4391" i="16"/>
  <c r="F4391" i="16"/>
  <c r="E4391" i="16"/>
  <c r="I4391" i="16"/>
  <c r="H4390" i="16"/>
  <c r="I4390" i="16"/>
  <c r="F4390" i="16"/>
  <c r="E4390" i="16"/>
  <c r="G4390" i="16"/>
  <c r="I4389" i="16"/>
  <c r="H4389" i="16"/>
  <c r="G4389" i="16"/>
  <c r="F4389" i="16"/>
  <c r="E4389" i="16"/>
  <c r="I4388" i="16"/>
  <c r="H4388" i="16"/>
  <c r="G4388" i="16"/>
  <c r="F4388" i="16"/>
  <c r="E4388" i="16"/>
  <c r="H4387" i="16"/>
  <c r="G4387" i="16"/>
  <c r="F4387" i="16"/>
  <c r="E4387" i="16"/>
  <c r="I4387" i="16"/>
  <c r="E4386" i="16"/>
  <c r="F4386" i="16"/>
  <c r="G4386" i="16"/>
  <c r="H4386" i="16"/>
  <c r="I4386" i="16"/>
  <c r="E4385" i="16"/>
  <c r="I4385" i="16"/>
  <c r="F4385" i="16"/>
  <c r="G4385" i="16"/>
  <c r="H4385" i="16"/>
  <c r="E4384" i="16"/>
  <c r="I4384" i="16"/>
  <c r="H4384" i="16"/>
  <c r="G4384" i="16"/>
  <c r="F4384" i="16"/>
  <c r="I4383" i="16"/>
  <c r="H4383" i="16"/>
  <c r="G4383" i="16"/>
  <c r="F4383" i="16"/>
  <c r="E4383" i="16"/>
  <c r="H4382" i="16"/>
  <c r="G4382" i="16"/>
  <c r="F4382" i="16"/>
  <c r="E4382" i="16"/>
  <c r="I4382" i="16"/>
  <c r="E4381" i="16"/>
  <c r="I4381" i="16"/>
  <c r="H4381" i="16"/>
  <c r="G4381" i="16"/>
  <c r="F4381" i="16"/>
  <c r="F4380" i="16"/>
  <c r="E4380" i="16"/>
  <c r="I4380" i="16"/>
  <c r="H4380" i="16"/>
  <c r="G4380" i="16"/>
  <c r="I4379" i="16"/>
  <c r="G4379" i="16"/>
  <c r="F4379" i="16"/>
  <c r="E4379" i="16"/>
  <c r="H4379" i="16"/>
  <c r="H4378" i="16"/>
  <c r="G4378" i="16"/>
  <c r="F4378" i="16"/>
  <c r="E4378" i="16"/>
  <c r="I4378" i="16"/>
  <c r="I4377" i="16"/>
  <c r="H4377" i="16"/>
  <c r="G4377" i="16"/>
  <c r="F4377" i="16"/>
  <c r="E4377" i="16"/>
  <c r="G4376" i="16"/>
  <c r="F4376" i="16"/>
  <c r="E4376" i="16"/>
  <c r="I4376" i="16"/>
  <c r="H4376" i="16"/>
  <c r="E4375" i="16"/>
  <c r="I4375" i="16"/>
  <c r="H4375" i="16"/>
  <c r="G4375" i="16"/>
  <c r="F4375" i="16"/>
  <c r="I4374" i="16"/>
  <c r="H4374" i="16"/>
  <c r="G4374" i="16"/>
  <c r="F4374" i="16"/>
  <c r="E4374" i="16"/>
  <c r="I4373" i="16"/>
  <c r="H4373" i="16"/>
  <c r="G4373" i="16"/>
  <c r="F4373" i="16"/>
  <c r="E4373" i="16"/>
  <c r="H4372" i="16"/>
  <c r="G4372" i="16"/>
  <c r="F4372" i="16"/>
  <c r="E4372" i="16"/>
  <c r="I4372" i="16"/>
  <c r="H4371" i="16"/>
  <c r="G4371" i="16"/>
  <c r="F4371" i="16"/>
  <c r="I4371" i="16"/>
  <c r="E4371" i="16"/>
  <c r="I4370" i="16"/>
  <c r="H4370" i="16"/>
  <c r="E4370" i="16"/>
  <c r="G4370" i="16"/>
  <c r="F4370" i="16"/>
  <c r="F4369" i="16"/>
  <c r="G4369" i="16"/>
  <c r="H4369" i="16"/>
  <c r="I4369" i="16"/>
  <c r="E4369" i="16"/>
  <c r="F4368" i="16"/>
  <c r="I4368" i="16"/>
  <c r="E4368" i="16"/>
  <c r="G4368" i="16"/>
  <c r="H4368" i="16"/>
  <c r="E4367" i="16"/>
  <c r="I4367" i="16"/>
  <c r="G4367" i="16"/>
  <c r="F4367" i="16"/>
  <c r="H4367" i="16"/>
  <c r="I4366" i="16"/>
  <c r="H4366" i="16"/>
  <c r="G4366" i="16"/>
  <c r="F4366" i="16"/>
  <c r="E4366" i="16"/>
  <c r="I4365" i="16"/>
  <c r="H4365" i="16"/>
  <c r="F4365" i="16"/>
  <c r="E4365" i="16"/>
  <c r="G4365" i="16"/>
  <c r="G4364" i="16"/>
  <c r="I4364" i="16"/>
  <c r="H4364" i="16"/>
  <c r="F4364" i="16"/>
  <c r="E4364" i="16"/>
  <c r="I4363" i="16"/>
  <c r="H4363" i="16"/>
  <c r="G4363" i="16"/>
  <c r="F4363" i="16"/>
  <c r="E4363" i="16"/>
  <c r="H4362" i="16"/>
  <c r="G4362" i="16"/>
  <c r="I4362" i="16"/>
  <c r="F4362" i="16"/>
  <c r="E4362" i="16"/>
  <c r="G4361" i="16"/>
  <c r="H4361" i="16"/>
  <c r="F4361" i="16"/>
  <c r="I4361" i="16"/>
  <c r="E4361" i="16"/>
  <c r="F4360" i="16"/>
  <c r="G4360" i="16"/>
  <c r="H4360" i="16"/>
  <c r="I4360" i="16"/>
  <c r="E4360" i="16"/>
  <c r="E4359" i="16"/>
  <c r="G4359" i="16"/>
  <c r="H4359" i="16"/>
  <c r="I4359" i="16"/>
  <c r="F4359" i="16"/>
  <c r="F4358" i="16"/>
  <c r="G4358" i="16"/>
  <c r="H4358" i="16"/>
  <c r="I4358" i="16"/>
  <c r="E4358" i="16"/>
  <c r="I4357" i="16"/>
  <c r="F4357" i="16"/>
  <c r="E4357" i="16"/>
  <c r="H4357" i="16"/>
  <c r="G4357" i="16"/>
  <c r="I4356" i="16"/>
  <c r="E4356" i="16"/>
  <c r="F4356" i="16"/>
  <c r="G4356" i="16"/>
  <c r="H4356" i="16"/>
  <c r="I4355" i="16"/>
  <c r="E4355" i="16"/>
  <c r="H4355" i="16"/>
  <c r="G4355" i="16"/>
  <c r="F4355" i="16"/>
  <c r="G4354" i="16"/>
  <c r="H4354" i="16"/>
  <c r="F4354" i="16"/>
  <c r="E4354" i="16"/>
  <c r="I4354" i="16"/>
  <c r="E4353" i="16"/>
  <c r="I4353" i="16"/>
  <c r="H4353" i="16"/>
  <c r="G4353" i="16"/>
  <c r="F4353" i="16"/>
  <c r="H4352" i="16"/>
  <c r="F4352" i="16"/>
  <c r="I4352" i="16"/>
  <c r="G4352" i="16"/>
  <c r="E4352" i="16"/>
  <c r="F4351" i="16"/>
  <c r="G4351" i="16"/>
  <c r="H4351" i="16"/>
  <c r="I4351" i="16"/>
  <c r="E4351" i="16"/>
  <c r="H4350" i="16"/>
  <c r="I4350" i="16"/>
  <c r="G4350" i="16"/>
  <c r="E4350" i="16"/>
  <c r="F4350" i="16"/>
  <c r="E4349" i="16"/>
  <c r="F4349" i="16"/>
  <c r="G4349" i="16"/>
  <c r="H4349" i="16"/>
  <c r="I4349" i="16"/>
  <c r="E4348" i="16"/>
  <c r="F4348" i="16"/>
  <c r="G4348" i="16"/>
  <c r="H4348" i="16"/>
  <c r="I4348" i="16"/>
  <c r="F4347" i="16"/>
  <c r="H4347" i="16"/>
  <c r="E4347" i="16"/>
  <c r="G4347" i="16"/>
  <c r="I4347" i="16"/>
  <c r="F4346" i="16"/>
  <c r="I4346" i="16"/>
  <c r="H4346" i="16"/>
  <c r="G4346" i="16"/>
  <c r="E4346" i="16"/>
  <c r="G4345" i="16"/>
  <c r="H4345" i="16"/>
  <c r="I4345" i="16"/>
  <c r="F4345" i="16"/>
  <c r="E4345" i="16"/>
  <c r="G4344" i="16"/>
  <c r="F4344" i="16"/>
  <c r="I4344" i="16"/>
  <c r="H4344" i="16"/>
  <c r="E4344" i="16"/>
  <c r="I4343" i="16"/>
  <c r="H4343" i="16"/>
  <c r="F4343" i="16"/>
  <c r="E4343" i="16"/>
  <c r="G4343" i="16"/>
  <c r="G4342" i="16"/>
  <c r="E4342" i="16"/>
  <c r="F4342" i="16"/>
  <c r="I4342" i="16"/>
  <c r="H4342" i="16"/>
  <c r="H4341" i="16"/>
  <c r="E4341" i="16"/>
  <c r="F4341" i="16"/>
  <c r="G4341" i="16"/>
  <c r="I4341" i="16"/>
  <c r="E4340" i="16"/>
  <c r="H4340" i="16"/>
  <c r="I4340" i="16"/>
  <c r="G4340" i="16"/>
  <c r="F4340" i="16"/>
  <c r="E4339" i="16"/>
  <c r="I4339" i="16"/>
  <c r="H4339" i="16"/>
  <c r="G4339" i="16"/>
  <c r="F4339" i="16"/>
  <c r="F4338" i="16"/>
  <c r="G4338" i="16"/>
  <c r="H4338" i="16"/>
  <c r="I4338" i="16"/>
  <c r="E4338" i="16"/>
  <c r="I4337" i="16"/>
  <c r="H4337" i="16"/>
  <c r="G4337" i="16"/>
  <c r="F4337" i="16"/>
  <c r="E4337" i="16"/>
  <c r="I4336" i="16"/>
  <c r="H4336" i="16"/>
  <c r="G4336" i="16"/>
  <c r="F4336" i="16"/>
  <c r="E4336" i="16"/>
  <c r="I4335" i="16"/>
  <c r="H4335" i="16"/>
  <c r="G4335" i="16"/>
  <c r="F4335" i="16"/>
  <c r="E4335" i="16"/>
  <c r="G4334" i="16"/>
  <c r="F4334" i="16"/>
  <c r="E4334" i="16"/>
  <c r="H4334" i="16"/>
  <c r="I4334" i="16"/>
  <c r="H4333" i="16"/>
  <c r="I4333" i="16"/>
  <c r="F4333" i="16"/>
  <c r="E4333" i="16"/>
  <c r="G4333" i="16"/>
  <c r="I4332" i="16"/>
  <c r="H4332" i="16"/>
  <c r="G4332" i="16"/>
  <c r="F4332" i="16"/>
  <c r="E4332" i="16"/>
  <c r="G4213" i="16"/>
  <c r="I4213" i="16"/>
  <c r="C4213" i="16"/>
  <c r="E4213" i="16"/>
  <c r="B4214" i="16"/>
  <c r="B4160" i="16"/>
  <c r="E4159" i="16"/>
  <c r="C4159" i="16"/>
  <c r="F4159" i="16" s="1"/>
  <c r="K4159" i="16"/>
  <c r="I4159" i="16"/>
  <c r="G4159" i="16"/>
  <c r="I4105" i="16"/>
  <c r="B4106" i="16"/>
  <c r="C4105" i="16"/>
  <c r="K4105" i="16" s="1"/>
  <c r="G4105" i="16"/>
  <c r="E4105" i="16"/>
  <c r="F4105" i="16"/>
  <c r="G4051" i="16"/>
  <c r="I4051" i="16"/>
  <c r="C4051" i="16"/>
  <c r="F4051" i="16" s="1"/>
  <c r="B4052" i="16"/>
  <c r="E4051" i="16"/>
  <c r="AF4045" i="16"/>
  <c r="AM4045" i="16"/>
  <c r="AJ4045" i="16"/>
  <c r="AK4045" i="16"/>
  <c r="AL4045" i="16"/>
  <c r="V4045" i="16"/>
  <c r="Z4045" i="16"/>
  <c r="AA4045" i="16"/>
  <c r="AB4045" i="16"/>
  <c r="AC4045" i="16"/>
  <c r="S4045" i="16"/>
  <c r="P4045" i="16"/>
  <c r="R4045" i="16"/>
  <c r="Q4045" i="16"/>
  <c r="L4045" i="16"/>
  <c r="F4045" i="16"/>
  <c r="B4045" i="16"/>
  <c r="I4045" i="16"/>
  <c r="H4045" i="16"/>
  <c r="G4045" i="16"/>
  <c r="AM4044" i="16"/>
  <c r="AJ4044" i="16"/>
  <c r="AF4044" i="16"/>
  <c r="AL4044" i="16"/>
  <c r="AK4044" i="16"/>
  <c r="Z4044" i="16"/>
  <c r="AC4044" i="16"/>
  <c r="AB4044" i="16"/>
  <c r="V4044" i="16"/>
  <c r="AA4044" i="16"/>
  <c r="P4044" i="16"/>
  <c r="Q4044" i="16"/>
  <c r="R4044" i="16"/>
  <c r="S4044" i="16"/>
  <c r="L4044" i="16"/>
  <c r="G4044" i="16"/>
  <c r="F4044" i="16"/>
  <c r="I4044" i="16"/>
  <c r="H4044" i="16"/>
  <c r="B4044" i="16"/>
  <c r="AM4043" i="16"/>
  <c r="AF4043" i="16"/>
  <c r="AK4043" i="16"/>
  <c r="AL4043" i="16"/>
  <c r="AJ4043" i="16"/>
  <c r="V4043" i="16"/>
  <c r="AC4043" i="16"/>
  <c r="Z4043" i="16"/>
  <c r="AB4043" i="16"/>
  <c r="AA4043" i="16"/>
  <c r="P4043" i="16"/>
  <c r="L4043" i="16"/>
  <c r="S4043" i="16"/>
  <c r="R4043" i="16"/>
  <c r="Q4043" i="16"/>
  <c r="I4043" i="16"/>
  <c r="G4043" i="16"/>
  <c r="H4043" i="16"/>
  <c r="F4043" i="16"/>
  <c r="B4043" i="16"/>
  <c r="AK4042" i="16"/>
  <c r="AF4042" i="16"/>
  <c r="AM4042" i="16"/>
  <c r="AL4042" i="16"/>
  <c r="AJ4042" i="16"/>
  <c r="V4042" i="16"/>
  <c r="Z4042" i="16"/>
  <c r="AA4042" i="16"/>
  <c r="AB4042" i="16"/>
  <c r="AC4042" i="16"/>
  <c r="S4042" i="16"/>
  <c r="R4042" i="16"/>
  <c r="Q4042" i="16"/>
  <c r="P4042" i="16"/>
  <c r="L4042" i="16"/>
  <c r="F4042" i="16"/>
  <c r="B4042" i="16"/>
  <c r="G4042" i="16"/>
  <c r="H4042" i="16"/>
  <c r="I4042" i="16"/>
  <c r="AJ4041" i="16"/>
  <c r="AM4041" i="16"/>
  <c r="AL4041" i="16"/>
  <c r="AK4041" i="16"/>
  <c r="AF4041" i="16"/>
  <c r="AB4041" i="16"/>
  <c r="AC4041" i="16"/>
  <c r="AA4041" i="16"/>
  <c r="V4041" i="16"/>
  <c r="Z4041" i="16"/>
  <c r="Q4041" i="16"/>
  <c r="R4041" i="16"/>
  <c r="S4041" i="16"/>
  <c r="L4041" i="16"/>
  <c r="P4041" i="16"/>
  <c r="I4041" i="16"/>
  <c r="B4041" i="16"/>
  <c r="H4041" i="16"/>
  <c r="G4041" i="16"/>
  <c r="F4041" i="16"/>
  <c r="AM4040" i="16"/>
  <c r="AL4040" i="16"/>
  <c r="AK4040" i="16"/>
  <c r="AF4040" i="16"/>
  <c r="AJ4040" i="16"/>
  <c r="AC4040" i="16"/>
  <c r="AB4040" i="16"/>
  <c r="AA4040" i="16"/>
  <c r="Z4040" i="16"/>
  <c r="V4040" i="16"/>
  <c r="L4040" i="16"/>
  <c r="P4040" i="16"/>
  <c r="Q4040" i="16"/>
  <c r="R4040" i="16"/>
  <c r="S4040" i="16"/>
  <c r="F4040" i="16"/>
  <c r="B4040" i="16"/>
  <c r="G4040" i="16"/>
  <c r="H4040" i="16"/>
  <c r="I4040" i="16"/>
  <c r="AJ4039" i="16"/>
  <c r="AF4039" i="16"/>
  <c r="AK4039" i="16"/>
  <c r="AM4039" i="16"/>
  <c r="AL4039" i="16"/>
  <c r="V4039" i="16"/>
  <c r="Z4039" i="16"/>
  <c r="AA4039" i="16"/>
  <c r="AC4039" i="16"/>
  <c r="AB4039" i="16"/>
  <c r="Q4039" i="16"/>
  <c r="P4039" i="16"/>
  <c r="S4039" i="16"/>
  <c r="R4039" i="16"/>
  <c r="L4039" i="16"/>
  <c r="H4039" i="16"/>
  <c r="F4039" i="16"/>
  <c r="G4039" i="16"/>
  <c r="B4039" i="16"/>
  <c r="I4039" i="16"/>
  <c r="AK4038" i="16"/>
  <c r="AL4038" i="16"/>
  <c r="AM4038" i="16"/>
  <c r="AF4038" i="16"/>
  <c r="AJ4038" i="16"/>
  <c r="Z4038" i="16"/>
  <c r="AB4038" i="16"/>
  <c r="AA4038" i="16"/>
  <c r="AC4038" i="16"/>
  <c r="V4038" i="16"/>
  <c r="P4038" i="16"/>
  <c r="Q4038" i="16"/>
  <c r="R4038" i="16"/>
  <c r="S4038" i="16"/>
  <c r="L4038" i="16"/>
  <c r="B4038" i="16"/>
  <c r="F4038" i="16"/>
  <c r="G4038" i="16"/>
  <c r="H4038" i="16"/>
  <c r="I4038" i="16"/>
  <c r="AL4037" i="16"/>
  <c r="AM4037" i="16"/>
  <c r="AJ4037" i="16"/>
  <c r="AF4037" i="16"/>
  <c r="AK4037" i="16"/>
  <c r="AB4037" i="16"/>
  <c r="AA4037" i="16"/>
  <c r="Z4037" i="16"/>
  <c r="V4037" i="16"/>
  <c r="AC4037" i="16"/>
  <c r="R4037" i="16"/>
  <c r="S4037" i="16"/>
  <c r="L4037" i="16"/>
  <c r="Q4037" i="16"/>
  <c r="P4037" i="16"/>
  <c r="I4037" i="16"/>
  <c r="G4037" i="16"/>
  <c r="H4037" i="16"/>
  <c r="F4037" i="16"/>
  <c r="B4037" i="16"/>
  <c r="AM4036" i="16"/>
  <c r="AL4036" i="16"/>
  <c r="AK4036" i="16"/>
  <c r="AJ4036" i="16"/>
  <c r="AF4036" i="16"/>
  <c r="AB4036" i="16"/>
  <c r="AC4036" i="16"/>
  <c r="V4036" i="16"/>
  <c r="Z4036" i="16"/>
  <c r="AA4036" i="16"/>
  <c r="Q4036" i="16"/>
  <c r="R4036" i="16"/>
  <c r="P4036" i="16"/>
  <c r="S4036" i="16"/>
  <c r="L4036" i="16"/>
  <c r="F4036" i="16"/>
  <c r="B4036" i="16"/>
  <c r="G4036" i="16"/>
  <c r="I4036" i="16"/>
  <c r="H4036" i="16"/>
  <c r="AM4035" i="16"/>
  <c r="AL4035" i="16"/>
  <c r="AK4035" i="16"/>
  <c r="AF4035" i="16"/>
  <c r="AJ4035" i="16"/>
  <c r="AC4035" i="16"/>
  <c r="Z4035" i="16"/>
  <c r="AA4035" i="16"/>
  <c r="AB4035" i="16"/>
  <c r="V4035" i="16"/>
  <c r="S4035" i="16"/>
  <c r="R4035" i="16"/>
  <c r="Q4035" i="16"/>
  <c r="P4035" i="16"/>
  <c r="L4035" i="16"/>
  <c r="I4035" i="16"/>
  <c r="H4035" i="16"/>
  <c r="G4035" i="16"/>
  <c r="F4035" i="16"/>
  <c r="B4035" i="16"/>
  <c r="AL4034" i="16"/>
  <c r="AK4034" i="16"/>
  <c r="AJ4034" i="16"/>
  <c r="AF4034" i="16"/>
  <c r="AM4034" i="16"/>
  <c r="AC4034" i="16"/>
  <c r="AB4034" i="16"/>
  <c r="AA4034" i="16"/>
  <c r="Z4034" i="16"/>
  <c r="V4034" i="16"/>
  <c r="S4034" i="16"/>
  <c r="L4034" i="16"/>
  <c r="P4034" i="16"/>
  <c r="Q4034" i="16"/>
  <c r="R4034" i="16"/>
  <c r="I4034" i="16"/>
  <c r="G4034" i="16"/>
  <c r="H4034" i="16"/>
  <c r="B4034" i="16"/>
  <c r="F4034" i="16"/>
  <c r="AF4033" i="16"/>
  <c r="AJ4033" i="16"/>
  <c r="AK4033" i="16"/>
  <c r="AL4033" i="16"/>
  <c r="AM4033" i="16"/>
  <c r="V4033" i="16"/>
  <c r="Z4033" i="16"/>
  <c r="AA4033" i="16"/>
  <c r="AB4033" i="16"/>
  <c r="AC4033" i="16"/>
  <c r="L4033" i="16"/>
  <c r="R4033" i="16"/>
  <c r="Q4033" i="16"/>
  <c r="S4033" i="16"/>
  <c r="P4033" i="16"/>
  <c r="H4033" i="16"/>
  <c r="I4033" i="16"/>
  <c r="B4033" i="16"/>
  <c r="F4033" i="16"/>
  <c r="G4033" i="16"/>
  <c r="AL4032" i="16"/>
  <c r="AM4032" i="16"/>
  <c r="AF4032" i="16"/>
  <c r="AJ4032" i="16"/>
  <c r="AK4032" i="16"/>
  <c r="AA4032" i="16"/>
  <c r="AC4032" i="16"/>
  <c r="AB4032" i="16"/>
  <c r="Z4032" i="16"/>
  <c r="V4032" i="16"/>
  <c r="P4032" i="16"/>
  <c r="S4032" i="16"/>
  <c r="R4032" i="16"/>
  <c r="Q4032" i="16"/>
  <c r="L4032" i="16"/>
  <c r="B4032" i="16"/>
  <c r="I4032" i="16"/>
  <c r="H4032" i="16"/>
  <c r="G4032" i="16"/>
  <c r="F4032" i="16"/>
  <c r="AM4031" i="16"/>
  <c r="AL4031" i="16"/>
  <c r="AK4031" i="16"/>
  <c r="AJ4031" i="16"/>
  <c r="AF4031" i="16"/>
  <c r="Z4031" i="16"/>
  <c r="AA4031" i="16"/>
  <c r="AB4031" i="16"/>
  <c r="AC4031" i="16"/>
  <c r="V4031" i="16"/>
  <c r="S4031" i="16"/>
  <c r="L4031" i="16"/>
  <c r="R4031" i="16"/>
  <c r="P4031" i="16"/>
  <c r="Q4031" i="16"/>
  <c r="I4031" i="16"/>
  <c r="B4031" i="16"/>
  <c r="F4031" i="16"/>
  <c r="H4031" i="16"/>
  <c r="G4031" i="16"/>
  <c r="AM4030" i="16"/>
  <c r="AJ4030" i="16"/>
  <c r="AF4030" i="16"/>
  <c r="AK4030" i="16"/>
  <c r="AL4030" i="16"/>
  <c r="AA4030" i="16"/>
  <c r="AB4030" i="16"/>
  <c r="AC4030" i="16"/>
  <c r="V4030" i="16"/>
  <c r="Z4030" i="16"/>
  <c r="S4030" i="16"/>
  <c r="R4030" i="16"/>
  <c r="Q4030" i="16"/>
  <c r="P4030" i="16"/>
  <c r="L4030" i="16"/>
  <c r="F4030" i="16"/>
  <c r="B4030" i="16"/>
  <c r="H4030" i="16"/>
  <c r="I4030" i="16"/>
  <c r="G4030" i="16"/>
  <c r="AL4029" i="16"/>
  <c r="AF4029" i="16"/>
  <c r="AK4029" i="16"/>
  <c r="AM4029" i="16"/>
  <c r="AJ4029" i="16"/>
  <c r="Z4029" i="16"/>
  <c r="V4029" i="16"/>
  <c r="AC4029" i="16"/>
  <c r="AB4029" i="16"/>
  <c r="AA4029" i="16"/>
  <c r="S4029" i="16"/>
  <c r="L4029" i="16"/>
  <c r="P4029" i="16"/>
  <c r="R4029" i="16"/>
  <c r="Q4029" i="16"/>
  <c r="H4029" i="16"/>
  <c r="I4029" i="16"/>
  <c r="B4029" i="16"/>
  <c r="G4029" i="16"/>
  <c r="F4029" i="16"/>
  <c r="AK4028" i="16"/>
  <c r="AF4028" i="16"/>
  <c r="AM4028" i="16"/>
  <c r="AL4028" i="16"/>
  <c r="AJ4028" i="16"/>
  <c r="Z4028" i="16"/>
  <c r="V4028" i="16"/>
  <c r="AB4028" i="16"/>
  <c r="AC4028" i="16"/>
  <c r="AA4028" i="16"/>
  <c r="L4028" i="16"/>
  <c r="P4028" i="16"/>
  <c r="Q4028" i="16"/>
  <c r="R4028" i="16"/>
  <c r="S4028" i="16"/>
  <c r="G4028" i="16"/>
  <c r="B4028" i="16"/>
  <c r="F4028" i="16"/>
  <c r="H4028" i="16"/>
  <c r="I4028" i="16"/>
  <c r="AM4027" i="16"/>
  <c r="AF4027" i="16"/>
  <c r="AK4027" i="16"/>
  <c r="AL4027" i="16"/>
  <c r="AJ4027" i="16"/>
  <c r="Z4027" i="16"/>
  <c r="AA4027" i="16"/>
  <c r="V4027" i="16"/>
  <c r="AB4027" i="16"/>
  <c r="AC4027" i="16"/>
  <c r="Q4027" i="16"/>
  <c r="S4027" i="16"/>
  <c r="R4027" i="16"/>
  <c r="L4027" i="16"/>
  <c r="P4027" i="16"/>
  <c r="B4027" i="16"/>
  <c r="F4027" i="16"/>
  <c r="G4027" i="16"/>
  <c r="H4027" i="16"/>
  <c r="I4027" i="16"/>
  <c r="AF4026" i="16"/>
  <c r="AK4026" i="16"/>
  <c r="AJ4026" i="16"/>
  <c r="AL4026" i="16"/>
  <c r="AM4026" i="16"/>
  <c r="AB4026" i="16"/>
  <c r="AC4026" i="16"/>
  <c r="AA4026" i="16"/>
  <c r="Z4026" i="16"/>
  <c r="V4026" i="16"/>
  <c r="S4026" i="16"/>
  <c r="R4026" i="16"/>
  <c r="Q4026" i="16"/>
  <c r="P4026" i="16"/>
  <c r="L4026" i="16"/>
  <c r="B4026" i="16"/>
  <c r="F4026" i="16"/>
  <c r="G4026" i="16"/>
  <c r="H4026" i="16"/>
  <c r="I4026" i="16"/>
  <c r="AK4025" i="16"/>
  <c r="AL4025" i="16"/>
  <c r="AM4025" i="16"/>
  <c r="AF4025" i="16"/>
  <c r="AJ4025" i="16"/>
  <c r="AA4025" i="16"/>
  <c r="Z4025" i="16"/>
  <c r="V4025" i="16"/>
  <c r="AB4025" i="16"/>
  <c r="AC4025" i="16"/>
  <c r="Q4025" i="16"/>
  <c r="P4025" i="16"/>
  <c r="L4025" i="16"/>
  <c r="S4025" i="16"/>
  <c r="R4025" i="16"/>
  <c r="G4025" i="16"/>
  <c r="I4025" i="16"/>
  <c r="H4025" i="16"/>
  <c r="F4025" i="16"/>
  <c r="B4025" i="16"/>
  <c r="AM4024" i="16"/>
  <c r="AL4024" i="16"/>
  <c r="AK4024" i="16"/>
  <c r="AJ4024" i="16"/>
  <c r="AF4024" i="16"/>
  <c r="V4024" i="16"/>
  <c r="AA4024" i="16"/>
  <c r="Z4024" i="16"/>
  <c r="AB4024" i="16"/>
  <c r="AC4024" i="16"/>
  <c r="L4024" i="16"/>
  <c r="S4024" i="16"/>
  <c r="P4024" i="16"/>
  <c r="Q4024" i="16"/>
  <c r="R4024" i="16"/>
  <c r="F4024" i="16"/>
  <c r="G4024" i="16"/>
  <c r="H4024" i="16"/>
  <c r="I4024" i="16"/>
  <c r="B4024" i="16"/>
  <c r="AK4023" i="16"/>
  <c r="AJ4023" i="16"/>
  <c r="AF4023" i="16"/>
  <c r="AM4023" i="16"/>
  <c r="AL4023" i="16"/>
  <c r="AB4023" i="16"/>
  <c r="AC4023" i="16"/>
  <c r="AA4023" i="16"/>
  <c r="Z4023" i="16"/>
  <c r="V4023" i="16"/>
  <c r="S4023" i="16"/>
  <c r="R4023" i="16"/>
  <c r="Q4023" i="16"/>
  <c r="P4023" i="16"/>
  <c r="L4023" i="16"/>
  <c r="G4023" i="16"/>
  <c r="F4023" i="16"/>
  <c r="B4023" i="16"/>
  <c r="I4023" i="16"/>
  <c r="H4023" i="16"/>
  <c r="AM4022" i="16"/>
  <c r="AL4022" i="16"/>
  <c r="AJ4022" i="16"/>
  <c r="AF4022" i="16"/>
  <c r="AK4022" i="16"/>
  <c r="AC4022" i="16"/>
  <c r="AB4022" i="16"/>
  <c r="AA4022" i="16"/>
  <c r="V4022" i="16"/>
  <c r="Z4022" i="16"/>
  <c r="Q4022" i="16"/>
  <c r="S4022" i="16"/>
  <c r="R4022" i="16"/>
  <c r="L4022" i="16"/>
  <c r="P4022" i="16"/>
  <c r="I4022" i="16"/>
  <c r="H4022" i="16"/>
  <c r="G4022" i="16"/>
  <c r="F4022" i="16"/>
  <c r="B4022" i="16"/>
  <c r="AF4021" i="16"/>
  <c r="AL4021" i="16"/>
  <c r="AK4021" i="16"/>
  <c r="AJ4021" i="16"/>
  <c r="AM4021" i="16"/>
  <c r="AC4021" i="16"/>
  <c r="AA4021" i="16"/>
  <c r="V4021" i="16"/>
  <c r="Z4021" i="16"/>
  <c r="AB4021" i="16"/>
  <c r="L4021" i="16"/>
  <c r="S4021" i="16"/>
  <c r="P4021" i="16"/>
  <c r="R4021" i="16"/>
  <c r="Q4021" i="16"/>
  <c r="F4021" i="16"/>
  <c r="B4021" i="16"/>
  <c r="I4021" i="16"/>
  <c r="G4021" i="16"/>
  <c r="H4021" i="16"/>
  <c r="AL4020" i="16"/>
  <c r="AM4020" i="16"/>
  <c r="AJ4020" i="16"/>
  <c r="AF4020" i="16"/>
  <c r="AK4020" i="16"/>
  <c r="V4020" i="16"/>
  <c r="Z4020" i="16"/>
  <c r="AA4020" i="16"/>
  <c r="AB4020" i="16"/>
  <c r="AC4020" i="16"/>
  <c r="L4020" i="16"/>
  <c r="P4020" i="16"/>
  <c r="Q4020" i="16"/>
  <c r="R4020" i="16"/>
  <c r="S4020" i="16"/>
  <c r="G4020" i="16"/>
  <c r="I4020" i="16"/>
  <c r="B4020" i="16"/>
  <c r="F4020" i="16"/>
  <c r="H4020" i="16"/>
  <c r="AM4019" i="16"/>
  <c r="AL4019" i="16"/>
  <c r="AJ4019" i="16"/>
  <c r="AF4019" i="16"/>
  <c r="AK4019" i="16"/>
  <c r="V4019" i="16"/>
  <c r="AC4019" i="16"/>
  <c r="AB4019" i="16"/>
  <c r="AA4019" i="16"/>
  <c r="Z4019" i="16"/>
  <c r="S4019" i="16"/>
  <c r="R4019" i="16"/>
  <c r="P4019" i="16"/>
  <c r="L4019" i="16"/>
  <c r="Q4019" i="16"/>
  <c r="F4019" i="16"/>
  <c r="B4019" i="16"/>
  <c r="H4019" i="16"/>
  <c r="G4019" i="16"/>
  <c r="I4019" i="16"/>
  <c r="AK4018" i="16"/>
  <c r="AF4018" i="16"/>
  <c r="AL4018" i="16"/>
  <c r="AM4018" i="16"/>
  <c r="AJ4018" i="16"/>
  <c r="AC4018" i="16"/>
  <c r="AA4018" i="16"/>
  <c r="AB4018" i="16"/>
  <c r="V4018" i="16"/>
  <c r="Z4018" i="16"/>
  <c r="P4018" i="16"/>
  <c r="L4018" i="16"/>
  <c r="Q4018" i="16"/>
  <c r="R4018" i="16"/>
  <c r="S4018" i="16"/>
  <c r="I4018" i="16"/>
  <c r="H4018" i="16"/>
  <c r="G4018" i="16"/>
  <c r="F4018" i="16"/>
  <c r="B4018" i="16"/>
  <c r="AL4017" i="16"/>
  <c r="AM4017" i="16"/>
  <c r="AK4017" i="16"/>
  <c r="AJ4017" i="16"/>
  <c r="AF4017" i="16"/>
  <c r="V4017" i="16"/>
  <c r="AC4017" i="16"/>
  <c r="AB4017" i="16"/>
  <c r="AA4017" i="16"/>
  <c r="Z4017" i="16"/>
  <c r="L4017" i="16"/>
  <c r="S4017" i="16"/>
  <c r="R4017" i="16"/>
  <c r="Q4017" i="16"/>
  <c r="P4017" i="16"/>
  <c r="F4017" i="16"/>
  <c r="I4017" i="16"/>
  <c r="H4017" i="16"/>
  <c r="G4017" i="16"/>
  <c r="B4017" i="16"/>
  <c r="AM4016" i="16"/>
  <c r="AL4016" i="16"/>
  <c r="AK4016" i="16"/>
  <c r="AJ4016" i="16"/>
  <c r="AF4016" i="16"/>
  <c r="AC4016" i="16"/>
  <c r="AB4016" i="16"/>
  <c r="AA4016" i="16"/>
  <c r="Z4016" i="16"/>
  <c r="V4016" i="16"/>
  <c r="S4016" i="16"/>
  <c r="R4016" i="16"/>
  <c r="Q4016" i="16"/>
  <c r="P4016" i="16"/>
  <c r="L4016" i="16"/>
  <c r="I4016" i="16"/>
  <c r="H4016" i="16"/>
  <c r="G4016" i="16"/>
  <c r="F4016" i="16"/>
  <c r="B4016" i="16"/>
  <c r="AM4015" i="16"/>
  <c r="AL4015" i="16"/>
  <c r="AK4015" i="16"/>
  <c r="AJ4015" i="16"/>
  <c r="AF4015" i="16"/>
  <c r="AC4015" i="16"/>
  <c r="AB4015" i="16"/>
  <c r="AA4015" i="16"/>
  <c r="Z4015" i="16"/>
  <c r="V4015" i="16"/>
  <c r="P4015" i="16"/>
  <c r="S4015" i="16"/>
  <c r="R4015" i="16"/>
  <c r="Q4015" i="16"/>
  <c r="L4015" i="16"/>
  <c r="B4015" i="16"/>
  <c r="H4015" i="16"/>
  <c r="I4015" i="16"/>
  <c r="G4015" i="16"/>
  <c r="F4015" i="16"/>
  <c r="AM4014" i="16"/>
  <c r="AK4014" i="16"/>
  <c r="AL4014" i="16"/>
  <c r="AF4014" i="16"/>
  <c r="AJ4014" i="16"/>
  <c r="AB4014" i="16"/>
  <c r="AC4014" i="16"/>
  <c r="AA4014" i="16"/>
  <c r="V4014" i="16"/>
  <c r="Z4014" i="16"/>
  <c r="S4014" i="16"/>
  <c r="Q4014" i="16"/>
  <c r="L4014" i="16"/>
  <c r="R4014" i="16"/>
  <c r="P4014" i="16"/>
  <c r="B4014" i="16"/>
  <c r="F4014" i="16"/>
  <c r="G4014" i="16"/>
  <c r="H4014" i="16"/>
  <c r="I4014" i="16"/>
  <c r="AM4013" i="16"/>
  <c r="AK4013" i="16"/>
  <c r="AJ4013" i="16"/>
  <c r="AL4013" i="16"/>
  <c r="AF4013" i="16"/>
  <c r="AB4013" i="16"/>
  <c r="AC4013" i="16"/>
  <c r="V4013" i="16"/>
  <c r="Z4013" i="16"/>
  <c r="AA4013" i="16"/>
  <c r="S4013" i="16"/>
  <c r="L4013" i="16"/>
  <c r="P4013" i="16"/>
  <c r="Q4013" i="16"/>
  <c r="R4013" i="16"/>
  <c r="B4013" i="16"/>
  <c r="I4013" i="16"/>
  <c r="H4013" i="16"/>
  <c r="G4013" i="16"/>
  <c r="F4013" i="16"/>
  <c r="AM4012" i="16"/>
  <c r="AJ4012" i="16"/>
  <c r="AL4012" i="16"/>
  <c r="AK4012" i="16"/>
  <c r="AF4012" i="16"/>
  <c r="AA4012" i="16"/>
  <c r="Z4012" i="16"/>
  <c r="V4012" i="16"/>
  <c r="AC4012" i="16"/>
  <c r="AB4012" i="16"/>
  <c r="P4012" i="16"/>
  <c r="S4012" i="16"/>
  <c r="R4012" i="16"/>
  <c r="Q4012" i="16"/>
  <c r="L4012" i="16"/>
  <c r="F4012" i="16"/>
  <c r="G4012" i="16"/>
  <c r="H4012" i="16"/>
  <c r="B4012" i="16"/>
  <c r="I4012" i="16"/>
  <c r="AL4011" i="16"/>
  <c r="AM4011" i="16"/>
  <c r="AK4011" i="16"/>
  <c r="AF4011" i="16"/>
  <c r="AJ4011" i="16"/>
  <c r="V4011" i="16"/>
  <c r="Z4011" i="16"/>
  <c r="AA4011" i="16"/>
  <c r="AB4011" i="16"/>
  <c r="AC4011" i="16"/>
  <c r="L4011" i="16"/>
  <c r="P4011" i="16"/>
  <c r="R4011" i="16"/>
  <c r="S4011" i="16"/>
  <c r="Q4011" i="16"/>
  <c r="B4011" i="16"/>
  <c r="F4011" i="16"/>
  <c r="G4011" i="16"/>
  <c r="H4011" i="16"/>
  <c r="I4011" i="16"/>
  <c r="AJ4010" i="16"/>
  <c r="AF4010" i="16"/>
  <c r="AK4010" i="16"/>
  <c r="AL4010" i="16"/>
  <c r="AM4010" i="16"/>
  <c r="AB4010" i="16"/>
  <c r="AC4010" i="16"/>
  <c r="AA4010" i="16"/>
  <c r="Z4010" i="16"/>
  <c r="V4010" i="16"/>
  <c r="R4010" i="16"/>
  <c r="P4010" i="16"/>
  <c r="Q4010" i="16"/>
  <c r="S4010" i="16"/>
  <c r="L4010" i="16"/>
  <c r="B4010" i="16"/>
  <c r="G4010" i="16"/>
  <c r="H4010" i="16"/>
  <c r="F4010" i="16"/>
  <c r="I4010" i="16"/>
  <c r="AF4009" i="16"/>
  <c r="AJ4009" i="16"/>
  <c r="AK4009" i="16"/>
  <c r="AL4009" i="16"/>
  <c r="AM4009" i="16"/>
  <c r="AA4009" i="16"/>
  <c r="AB4009" i="16"/>
  <c r="AC4009" i="16"/>
  <c r="V4009" i="16"/>
  <c r="Z4009" i="16"/>
  <c r="S4009" i="16"/>
  <c r="L4009" i="16"/>
  <c r="P4009" i="16"/>
  <c r="Q4009" i="16"/>
  <c r="R4009" i="16"/>
  <c r="G4009" i="16"/>
  <c r="F4009" i="16"/>
  <c r="I4009" i="16"/>
  <c r="H4009" i="16"/>
  <c r="B4009" i="16"/>
  <c r="AF4008" i="16"/>
  <c r="AJ4008" i="16"/>
  <c r="AL4008" i="16"/>
  <c r="AM4008" i="16"/>
  <c r="AK4008" i="16"/>
  <c r="V4008" i="16"/>
  <c r="AA4008" i="16"/>
  <c r="AB4008" i="16"/>
  <c r="Z4008" i="16"/>
  <c r="AC4008" i="16"/>
  <c r="S4008" i="16"/>
  <c r="P4008" i="16"/>
  <c r="R4008" i="16"/>
  <c r="L4008" i="16"/>
  <c r="Q4008" i="16"/>
  <c r="H4008" i="16"/>
  <c r="I4008" i="16"/>
  <c r="B4008" i="16"/>
  <c r="F4008" i="16"/>
  <c r="G4008" i="16"/>
  <c r="AJ4007" i="16"/>
  <c r="AF4007" i="16"/>
  <c r="AK4007" i="16"/>
  <c r="AL4007" i="16"/>
  <c r="AM4007" i="16"/>
  <c r="AB4007" i="16"/>
  <c r="AA4007" i="16"/>
  <c r="Z4007" i="16"/>
  <c r="V4007" i="16"/>
  <c r="AC4007" i="16"/>
  <c r="R4007" i="16"/>
  <c r="S4007" i="16"/>
  <c r="Q4007" i="16"/>
  <c r="P4007" i="16"/>
  <c r="L4007" i="16"/>
  <c r="G4007" i="16"/>
  <c r="I4007" i="16"/>
  <c r="H4007" i="16"/>
  <c r="B4007" i="16"/>
  <c r="F4007" i="16"/>
  <c r="AM4006" i="16"/>
  <c r="AL4006" i="16"/>
  <c r="AK4006" i="16"/>
  <c r="AJ4006" i="16"/>
  <c r="AF4006" i="16"/>
  <c r="Z4006" i="16"/>
  <c r="V4006" i="16"/>
  <c r="AB4006" i="16"/>
  <c r="AC4006" i="16"/>
  <c r="AA4006" i="16"/>
  <c r="S4006" i="16"/>
  <c r="R4006" i="16"/>
  <c r="Q4006" i="16"/>
  <c r="L4006" i="16"/>
  <c r="P4006" i="16"/>
  <c r="I4006" i="16"/>
  <c r="B4006" i="16"/>
  <c r="F4006" i="16"/>
  <c r="G4006" i="16"/>
  <c r="H4006" i="16"/>
  <c r="AJ4005" i="16"/>
  <c r="AF4005" i="16"/>
  <c r="AK4005" i="16"/>
  <c r="AL4005" i="16"/>
  <c r="AM4005" i="16"/>
  <c r="V4005" i="16"/>
  <c r="Z4005" i="16"/>
  <c r="AA4005" i="16"/>
  <c r="AB4005" i="16"/>
  <c r="AC4005" i="16"/>
  <c r="L4005" i="16"/>
  <c r="Q4005" i="16"/>
  <c r="R4005" i="16"/>
  <c r="S4005" i="16"/>
  <c r="P4005" i="16"/>
  <c r="G4005" i="16"/>
  <c r="B4005" i="16"/>
  <c r="I4005" i="16"/>
  <c r="F4005" i="16"/>
  <c r="H4005" i="16"/>
  <c r="AM4004" i="16"/>
  <c r="AL4004" i="16"/>
  <c r="AK4004" i="16"/>
  <c r="AJ4004" i="16"/>
  <c r="AF4004" i="16"/>
  <c r="AC4004" i="16"/>
  <c r="V4004" i="16"/>
  <c r="AB4004" i="16"/>
  <c r="Z4004" i="16"/>
  <c r="AA4004" i="16"/>
  <c r="L4004" i="16"/>
  <c r="Q4004" i="16"/>
  <c r="R4004" i="16"/>
  <c r="S4004" i="16"/>
  <c r="P4004" i="16"/>
  <c r="I4004" i="16"/>
  <c r="H4004" i="16"/>
  <c r="B4004" i="16"/>
  <c r="F4004" i="16"/>
  <c r="G4004" i="16"/>
  <c r="AF4003" i="16"/>
  <c r="AJ4003" i="16"/>
  <c r="AK4003" i="16"/>
  <c r="AL4003" i="16"/>
  <c r="AM4003" i="16"/>
  <c r="Z4003" i="16"/>
  <c r="V4003" i="16"/>
  <c r="AC4003" i="16"/>
  <c r="AB4003" i="16"/>
  <c r="AA4003" i="16"/>
  <c r="Q4003" i="16"/>
  <c r="S4003" i="16"/>
  <c r="R4003" i="16"/>
  <c r="P4003" i="16"/>
  <c r="L4003" i="16"/>
  <c r="F4003" i="16"/>
  <c r="I4003" i="16"/>
  <c r="H4003" i="16"/>
  <c r="G4003" i="16"/>
  <c r="B4003" i="16"/>
  <c r="AL4002" i="16"/>
  <c r="AK4002" i="16"/>
  <c r="AJ4002" i="16"/>
  <c r="AF4002" i="16"/>
  <c r="AM4002" i="16"/>
  <c r="AA4002" i="16"/>
  <c r="AC4002" i="16"/>
  <c r="AB4002" i="16"/>
  <c r="V4002" i="16"/>
  <c r="Z4002" i="16"/>
  <c r="S4002" i="16"/>
  <c r="L4002" i="16"/>
  <c r="Q4002" i="16"/>
  <c r="R4002" i="16"/>
  <c r="P4002" i="16"/>
  <c r="G4002" i="16"/>
  <c r="H4002" i="16"/>
  <c r="F4002" i="16"/>
  <c r="I4002" i="16"/>
  <c r="B4002" i="16"/>
  <c r="AF4001" i="16"/>
  <c r="AJ4001" i="16"/>
  <c r="AK4001" i="16"/>
  <c r="AM4001" i="16"/>
  <c r="AL4001" i="16"/>
  <c r="AC4001" i="16"/>
  <c r="AB4001" i="16"/>
  <c r="V4001" i="16"/>
  <c r="Z4001" i="16"/>
  <c r="AA4001" i="16"/>
  <c r="L4001" i="16"/>
  <c r="P4001" i="16"/>
  <c r="Q4001" i="16"/>
  <c r="R4001" i="16"/>
  <c r="S4001" i="16"/>
  <c r="G4001" i="16"/>
  <c r="I4001" i="16"/>
  <c r="H4001" i="16"/>
  <c r="F4001" i="16"/>
  <c r="B4001" i="16"/>
  <c r="AL4000" i="16"/>
  <c r="AF4000" i="16"/>
  <c r="AJ4000" i="16"/>
  <c r="AK4000" i="16"/>
  <c r="AM4000" i="16"/>
  <c r="AC4000" i="16"/>
  <c r="AB4000" i="16"/>
  <c r="AA4000" i="16"/>
  <c r="V4000" i="16"/>
  <c r="Z4000" i="16"/>
  <c r="S4000" i="16"/>
  <c r="R4000" i="16"/>
  <c r="Q4000" i="16"/>
  <c r="L4000" i="16"/>
  <c r="P4000" i="16"/>
  <c r="G4000" i="16"/>
  <c r="I4000" i="16"/>
  <c r="H4000" i="16"/>
  <c r="F4000" i="16"/>
  <c r="B4000" i="16"/>
  <c r="AF3999" i="16"/>
  <c r="AJ3999" i="16"/>
  <c r="AK3999" i="16"/>
  <c r="AL3999" i="16"/>
  <c r="AM3999" i="16"/>
  <c r="AA3999" i="16"/>
  <c r="AB3999" i="16"/>
  <c r="AC3999" i="16"/>
  <c r="Z3999" i="16"/>
  <c r="V3999" i="16"/>
  <c r="P3999" i="16"/>
  <c r="S3999" i="16"/>
  <c r="R3999" i="16"/>
  <c r="Q3999" i="16"/>
  <c r="L3999" i="16"/>
  <c r="B3999" i="16"/>
  <c r="I3999" i="16"/>
  <c r="H3999" i="16"/>
  <c r="G3999" i="16"/>
  <c r="F3999" i="16"/>
  <c r="AM3998" i="16"/>
  <c r="AL3998" i="16"/>
  <c r="AK3998" i="16"/>
  <c r="AJ3998" i="16"/>
  <c r="AF3998" i="16"/>
  <c r="AC3998" i="16"/>
  <c r="AB3998" i="16"/>
  <c r="AA3998" i="16"/>
  <c r="V3998" i="16"/>
  <c r="Z3998" i="16"/>
  <c r="S3998" i="16"/>
  <c r="L3998" i="16"/>
  <c r="P3998" i="16"/>
  <c r="Q3998" i="16"/>
  <c r="R3998" i="16"/>
  <c r="B3998" i="16"/>
  <c r="F3998" i="16"/>
  <c r="H3998" i="16"/>
  <c r="I3998" i="16"/>
  <c r="G3998" i="16"/>
  <c r="AF3997" i="16"/>
  <c r="AJ3997" i="16"/>
  <c r="AK3997" i="16"/>
  <c r="AL3997" i="16"/>
  <c r="AM3997" i="16"/>
  <c r="V3997" i="16"/>
  <c r="AB3997" i="16"/>
  <c r="Z3997" i="16"/>
  <c r="AA3997" i="16"/>
  <c r="AC3997" i="16"/>
  <c r="L3997" i="16"/>
  <c r="R3997" i="16"/>
  <c r="S3997" i="16"/>
  <c r="Q3997" i="16"/>
  <c r="P3997" i="16"/>
  <c r="G3997" i="16"/>
  <c r="F3997" i="16"/>
  <c r="B3997" i="16"/>
  <c r="I3997" i="16"/>
  <c r="H3997" i="16"/>
  <c r="AF3996" i="16"/>
  <c r="AJ3996" i="16"/>
  <c r="AK3996" i="16"/>
  <c r="AL3996" i="16"/>
  <c r="AM3996" i="16"/>
  <c r="V3996" i="16"/>
  <c r="Z3996" i="16"/>
  <c r="AA3996" i="16"/>
  <c r="AB3996" i="16"/>
  <c r="AC3996" i="16"/>
  <c r="L3996" i="16"/>
  <c r="P3996" i="16"/>
  <c r="R3996" i="16"/>
  <c r="S3996" i="16"/>
  <c r="Q3996" i="16"/>
  <c r="H3996" i="16"/>
  <c r="I3996" i="16"/>
  <c r="G3996" i="16"/>
  <c r="F3996" i="16"/>
  <c r="B3996" i="16"/>
  <c r="AM3995" i="16"/>
  <c r="AK3995" i="16"/>
  <c r="AF3995" i="16"/>
  <c r="AJ3995" i="16"/>
  <c r="AL3995" i="16"/>
  <c r="AB3995" i="16"/>
  <c r="Z3995" i="16"/>
  <c r="AA3995" i="16"/>
  <c r="V3995" i="16"/>
  <c r="AC3995" i="16"/>
  <c r="P3995" i="16"/>
  <c r="L3995" i="16"/>
  <c r="Q3995" i="16"/>
  <c r="R3995" i="16"/>
  <c r="S3995" i="16"/>
  <c r="B3995" i="16"/>
  <c r="F3995" i="16"/>
  <c r="G3995" i="16"/>
  <c r="H3995" i="16"/>
  <c r="I3995" i="16"/>
  <c r="AF3994" i="16"/>
  <c r="AJ3994" i="16"/>
  <c r="AK3994" i="16"/>
  <c r="AL3994" i="16"/>
  <c r="AM3994" i="16"/>
  <c r="V3994" i="16"/>
  <c r="Z3994" i="16"/>
  <c r="AA3994" i="16"/>
  <c r="AC3994" i="16"/>
  <c r="AB3994" i="16"/>
  <c r="R3994" i="16"/>
  <c r="S3994" i="16"/>
  <c r="Q3994" i="16"/>
  <c r="P3994" i="16"/>
  <c r="L3994" i="16"/>
  <c r="B3994" i="16"/>
  <c r="F3994" i="16"/>
  <c r="I3994" i="16"/>
  <c r="H3994" i="16"/>
  <c r="G3994" i="16"/>
  <c r="AK3993" i="16"/>
  <c r="AM3993" i="16"/>
  <c r="AL3993" i="16"/>
  <c r="AJ3993" i="16"/>
  <c r="AF3993" i="16"/>
  <c r="Z3993" i="16"/>
  <c r="V3993" i="16"/>
  <c r="AC3993" i="16"/>
  <c r="AB3993" i="16"/>
  <c r="AA3993" i="16"/>
  <c r="P3993" i="16"/>
  <c r="L3993" i="16"/>
  <c r="Q3993" i="16"/>
  <c r="R3993" i="16"/>
  <c r="S3993" i="16"/>
  <c r="B3993" i="16"/>
  <c r="I3993" i="16"/>
  <c r="H3993" i="16"/>
  <c r="G3993" i="16"/>
  <c r="F3993" i="16"/>
  <c r="AM3992" i="16"/>
  <c r="AL3992" i="16"/>
  <c r="AK3992" i="16"/>
  <c r="AJ3992" i="16"/>
  <c r="AF3992" i="16"/>
  <c r="Z3992" i="16"/>
  <c r="V3992" i="16"/>
  <c r="AC3992" i="16"/>
  <c r="AB3992" i="16"/>
  <c r="AA3992" i="16"/>
  <c r="S3992" i="16"/>
  <c r="R3992" i="16"/>
  <c r="Q3992" i="16"/>
  <c r="P3992" i="16"/>
  <c r="L3992" i="16"/>
  <c r="H3992" i="16"/>
  <c r="F3992" i="16"/>
  <c r="B3992" i="16"/>
  <c r="G3992" i="16"/>
  <c r="I3992" i="16"/>
  <c r="AM3991" i="16"/>
  <c r="AL3991" i="16"/>
  <c r="AK3991" i="16"/>
  <c r="AJ3991" i="16"/>
  <c r="AF3991" i="16"/>
  <c r="Z3991" i="16"/>
  <c r="AC3991" i="16"/>
  <c r="AB3991" i="16"/>
  <c r="V3991" i="16"/>
  <c r="AA3991" i="16"/>
  <c r="P3991" i="16"/>
  <c r="L3991" i="16"/>
  <c r="S3991" i="16"/>
  <c r="R3991" i="16"/>
  <c r="Q3991" i="16"/>
  <c r="G3991" i="16"/>
  <c r="F3991" i="16"/>
  <c r="B3991" i="16"/>
  <c r="I3991" i="16"/>
  <c r="H3991" i="16"/>
  <c r="AK3990" i="16"/>
  <c r="AJ3990" i="16"/>
  <c r="AF3990" i="16"/>
  <c r="AL3990" i="16"/>
  <c r="AM3990" i="16"/>
  <c r="AC3990" i="16"/>
  <c r="AB3990" i="16"/>
  <c r="AA3990" i="16"/>
  <c r="Z3990" i="16"/>
  <c r="V3990" i="16"/>
  <c r="S3990" i="16"/>
  <c r="R3990" i="16"/>
  <c r="Q3990" i="16"/>
  <c r="P3990" i="16"/>
  <c r="L3990" i="16"/>
  <c r="F3990" i="16"/>
  <c r="G3990" i="16"/>
  <c r="H3990" i="16"/>
  <c r="I3990" i="16"/>
  <c r="B3990" i="16"/>
  <c r="AL3989" i="16"/>
  <c r="AK3989" i="16"/>
  <c r="AJ3989" i="16"/>
  <c r="AM3989" i="16"/>
  <c r="AF3989" i="16"/>
  <c r="AC3989" i="16"/>
  <c r="AB3989" i="16"/>
  <c r="AA3989" i="16"/>
  <c r="Z3989" i="16"/>
  <c r="V3989" i="16"/>
  <c r="Q3989" i="16"/>
  <c r="L3989" i="16"/>
  <c r="P3989" i="16"/>
  <c r="S3989" i="16"/>
  <c r="R3989" i="16"/>
  <c r="I3989" i="16"/>
  <c r="H3989" i="16"/>
  <c r="G3989" i="16"/>
  <c r="F3989" i="16"/>
  <c r="B3989" i="16"/>
  <c r="AK3988" i="16"/>
  <c r="AM3988" i="16"/>
  <c r="AF3988" i="16"/>
  <c r="AJ3988" i="16"/>
  <c r="AL3988" i="16"/>
  <c r="AB3988" i="16"/>
  <c r="Z3988" i="16"/>
  <c r="V3988" i="16"/>
  <c r="AC3988" i="16"/>
  <c r="AA3988" i="16"/>
  <c r="S3988" i="16"/>
  <c r="R3988" i="16"/>
  <c r="L3988" i="16"/>
  <c r="Q3988" i="16"/>
  <c r="P3988" i="16"/>
  <c r="H3988" i="16"/>
  <c r="G3988" i="16"/>
  <c r="F3988" i="16"/>
  <c r="B3988" i="16"/>
  <c r="I3988" i="16"/>
  <c r="AL3987" i="16"/>
  <c r="AF3987" i="16"/>
  <c r="AJ3987" i="16"/>
  <c r="AK3987" i="16"/>
  <c r="AM3987" i="16"/>
  <c r="AC3987" i="16"/>
  <c r="AB3987" i="16"/>
  <c r="AA3987" i="16"/>
  <c r="Z3987" i="16"/>
  <c r="V3987" i="16"/>
  <c r="L3987" i="16"/>
  <c r="P3987" i="16"/>
  <c r="Q3987" i="16"/>
  <c r="R3987" i="16"/>
  <c r="S3987" i="16"/>
  <c r="B3987" i="16"/>
  <c r="F3987" i="16"/>
  <c r="G3987" i="16"/>
  <c r="H3987" i="16"/>
  <c r="I3987" i="16"/>
  <c r="AL3986" i="16"/>
  <c r="AM3986" i="16"/>
  <c r="AK3986" i="16"/>
  <c r="AJ3986" i="16"/>
  <c r="AF3986" i="16"/>
  <c r="AB3986" i="16"/>
  <c r="AC3986" i="16"/>
  <c r="AA3986" i="16"/>
  <c r="Z3986" i="16"/>
  <c r="V3986" i="16"/>
  <c r="S3986" i="16"/>
  <c r="R3986" i="16"/>
  <c r="Q3986" i="16"/>
  <c r="P3986" i="16"/>
  <c r="L3986" i="16"/>
  <c r="I3986" i="16"/>
  <c r="H3986" i="16"/>
  <c r="G3986" i="16"/>
  <c r="F3986" i="16"/>
  <c r="B3986" i="16"/>
  <c r="AJ3985" i="16"/>
  <c r="AF3985" i="16"/>
  <c r="AM3985" i="16"/>
  <c r="AL3985" i="16"/>
  <c r="AK3985" i="16"/>
  <c r="AC3985" i="16"/>
  <c r="AB3985" i="16"/>
  <c r="AA3985" i="16"/>
  <c r="V3985" i="16"/>
  <c r="Z3985" i="16"/>
  <c r="S3985" i="16"/>
  <c r="L3985" i="16"/>
  <c r="P3985" i="16"/>
  <c r="Q3985" i="16"/>
  <c r="R3985" i="16"/>
  <c r="B3985" i="16"/>
  <c r="F3985" i="16"/>
  <c r="G3985" i="16"/>
  <c r="H3985" i="16"/>
  <c r="I3985" i="16"/>
  <c r="AM3984" i="16"/>
  <c r="AF3984" i="16"/>
  <c r="AJ3984" i="16"/>
  <c r="AK3984" i="16"/>
  <c r="AL3984" i="16"/>
  <c r="AC3984" i="16"/>
  <c r="AB3984" i="16"/>
  <c r="AA3984" i="16"/>
  <c r="Z3984" i="16"/>
  <c r="V3984" i="16"/>
  <c r="S3984" i="16"/>
  <c r="R3984" i="16"/>
  <c r="Q3984" i="16"/>
  <c r="P3984" i="16"/>
  <c r="L3984" i="16"/>
  <c r="I3984" i="16"/>
  <c r="H3984" i="16"/>
  <c r="G3984" i="16"/>
  <c r="F3984" i="16"/>
  <c r="B3984" i="16"/>
  <c r="AM3983" i="16"/>
  <c r="AL3983" i="16"/>
  <c r="AK3983" i="16"/>
  <c r="AJ3983" i="16"/>
  <c r="AF3983" i="16"/>
  <c r="AC3983" i="16"/>
  <c r="AB3983" i="16"/>
  <c r="AA3983" i="16"/>
  <c r="Z3983" i="16"/>
  <c r="V3983" i="16"/>
  <c r="S3983" i="16"/>
  <c r="R3983" i="16"/>
  <c r="Q3983" i="16"/>
  <c r="P3983" i="16"/>
  <c r="L3983" i="16"/>
  <c r="I3983" i="16"/>
  <c r="H3983" i="16"/>
  <c r="G3983" i="16"/>
  <c r="F3983" i="16"/>
  <c r="B3983" i="16"/>
  <c r="AM3982" i="16"/>
  <c r="AL3982" i="16"/>
  <c r="AK3982" i="16"/>
  <c r="AJ3982" i="16"/>
  <c r="AF3982" i="16"/>
  <c r="AC3982" i="16"/>
  <c r="AB3982" i="16"/>
  <c r="AA3982" i="16"/>
  <c r="Z3982" i="16"/>
  <c r="V3982" i="16"/>
  <c r="S3982" i="16"/>
  <c r="R3982" i="16"/>
  <c r="Q3982" i="16"/>
  <c r="P3982" i="16"/>
  <c r="L3982" i="16"/>
  <c r="I3982" i="16"/>
  <c r="H3982" i="16"/>
  <c r="G3982" i="16"/>
  <c r="F3982" i="16"/>
  <c r="B3982" i="16"/>
  <c r="AF3981" i="16"/>
  <c r="AM3981" i="16"/>
  <c r="AL3981" i="16"/>
  <c r="AK3981" i="16"/>
  <c r="AJ3981" i="16"/>
  <c r="AB3981" i="16"/>
  <c r="AC3981" i="16"/>
  <c r="AA3981" i="16"/>
  <c r="Z3981" i="16"/>
  <c r="V3981" i="16"/>
  <c r="R3981" i="16"/>
  <c r="Q3981" i="16"/>
  <c r="P3981" i="16"/>
  <c r="L3981" i="16"/>
  <c r="S3981" i="16"/>
  <c r="I3981" i="16"/>
  <c r="G3981" i="16"/>
  <c r="F3981" i="16"/>
  <c r="B3981" i="16"/>
  <c r="H3981" i="16"/>
  <c r="AM3980" i="16"/>
  <c r="AL3980" i="16"/>
  <c r="AK3980" i="16"/>
  <c r="AJ3980" i="16"/>
  <c r="AF3980" i="16"/>
  <c r="AA3980" i="16"/>
  <c r="V3980" i="16"/>
  <c r="Z3980" i="16"/>
  <c r="AB3980" i="16"/>
  <c r="AC3980" i="16"/>
  <c r="S3980" i="16"/>
  <c r="Q3980" i="16"/>
  <c r="R3980" i="16"/>
  <c r="L3980" i="16"/>
  <c r="P3980" i="16"/>
  <c r="H3980" i="16"/>
  <c r="G3980" i="16"/>
  <c r="F3980" i="16"/>
  <c r="B3980" i="16"/>
  <c r="I3980" i="16"/>
  <c r="AM3979" i="16"/>
  <c r="AL3979" i="16"/>
  <c r="AK3979" i="16"/>
  <c r="AJ3979" i="16"/>
  <c r="AF3979" i="16"/>
  <c r="AA3979" i="16"/>
  <c r="AC3979" i="16"/>
  <c r="AB3979" i="16"/>
  <c r="Z3979" i="16"/>
  <c r="V3979" i="16"/>
  <c r="S3979" i="16"/>
  <c r="L3979" i="16"/>
  <c r="R3979" i="16"/>
  <c r="Q3979" i="16"/>
  <c r="P3979" i="16"/>
  <c r="I3979" i="16"/>
  <c r="H3979" i="16"/>
  <c r="G3979" i="16"/>
  <c r="F3979" i="16"/>
  <c r="B3979" i="16"/>
  <c r="AF3978" i="16"/>
  <c r="AM3978" i="16"/>
  <c r="AL3978" i="16"/>
  <c r="AK3978" i="16"/>
  <c r="AJ3978" i="16"/>
  <c r="Z3978" i="16"/>
  <c r="V3978" i="16"/>
  <c r="AC3978" i="16"/>
  <c r="AB3978" i="16"/>
  <c r="AA3978" i="16"/>
  <c r="L3978" i="16"/>
  <c r="P3978" i="16"/>
  <c r="Q3978" i="16"/>
  <c r="R3978" i="16"/>
  <c r="S3978" i="16"/>
  <c r="B3978" i="16"/>
  <c r="F3978" i="16"/>
  <c r="H3978" i="16"/>
  <c r="I3978" i="16"/>
  <c r="G3978" i="16"/>
  <c r="AF3977" i="16"/>
  <c r="AJ3977" i="16"/>
  <c r="AK3977" i="16"/>
  <c r="AL3977" i="16"/>
  <c r="AM3977" i="16"/>
  <c r="V3977" i="16"/>
  <c r="Z3977" i="16"/>
  <c r="AA3977" i="16"/>
  <c r="AC3977" i="16"/>
  <c r="AB3977" i="16"/>
  <c r="L3977" i="16"/>
  <c r="P3977" i="16"/>
  <c r="Q3977" i="16"/>
  <c r="R3977" i="16"/>
  <c r="S3977" i="16"/>
  <c r="H3977" i="16"/>
  <c r="B3977" i="16"/>
  <c r="F3977" i="16"/>
  <c r="G3977" i="16"/>
  <c r="I3977" i="16"/>
  <c r="AM3976" i="16"/>
  <c r="AK3976" i="16"/>
  <c r="AJ3976" i="16"/>
  <c r="AF3976" i="16"/>
  <c r="AL3976" i="16"/>
  <c r="AC3976" i="16"/>
  <c r="AB3976" i="16"/>
  <c r="AA3976" i="16"/>
  <c r="Z3976" i="16"/>
  <c r="V3976" i="16"/>
  <c r="S3976" i="16"/>
  <c r="R3976" i="16"/>
  <c r="Q3976" i="16"/>
  <c r="P3976" i="16"/>
  <c r="L3976" i="16"/>
  <c r="I3976" i="16"/>
  <c r="H3976" i="16"/>
  <c r="G3976" i="16"/>
  <c r="F3976" i="16"/>
  <c r="B3976" i="16"/>
  <c r="AM3975" i="16"/>
  <c r="AF3975" i="16"/>
  <c r="AJ3975" i="16"/>
  <c r="AK3975" i="16"/>
  <c r="AL3975" i="16"/>
  <c r="V3975" i="16"/>
  <c r="Z3975" i="16"/>
  <c r="AA3975" i="16"/>
  <c r="AB3975" i="16"/>
  <c r="AC3975" i="16"/>
  <c r="Q3975" i="16"/>
  <c r="R3975" i="16"/>
  <c r="S3975" i="16"/>
  <c r="P3975" i="16"/>
  <c r="L3975" i="16"/>
  <c r="I3975" i="16"/>
  <c r="H3975" i="16"/>
  <c r="G3975" i="16"/>
  <c r="F3975" i="16"/>
  <c r="B3975" i="16"/>
  <c r="AM3974" i="16"/>
  <c r="AL3974" i="16"/>
  <c r="AK3974" i="16"/>
  <c r="AJ3974" i="16"/>
  <c r="AF3974" i="16"/>
  <c r="AC3974" i="16"/>
  <c r="AB3974" i="16"/>
  <c r="AA3974" i="16"/>
  <c r="Z3974" i="16"/>
  <c r="V3974" i="16"/>
  <c r="S3974" i="16"/>
  <c r="R3974" i="16"/>
  <c r="Q3974" i="16"/>
  <c r="P3974" i="16"/>
  <c r="L3974" i="16"/>
  <c r="I3974" i="16"/>
  <c r="H3974" i="16"/>
  <c r="G3974" i="16"/>
  <c r="F3974" i="16"/>
  <c r="B3974" i="16"/>
  <c r="AM3973" i="16"/>
  <c r="AL3973" i="16"/>
  <c r="AK3973" i="16"/>
  <c r="AJ3973" i="16"/>
  <c r="AF3973" i="16"/>
  <c r="AC3973" i="16"/>
  <c r="AB3973" i="16"/>
  <c r="AA3973" i="16"/>
  <c r="Z3973" i="16"/>
  <c r="V3973" i="16"/>
  <c r="S3973" i="16"/>
  <c r="R3973" i="16"/>
  <c r="Q3973" i="16"/>
  <c r="P3973" i="16"/>
  <c r="L3973" i="16"/>
  <c r="I3973" i="16"/>
  <c r="H3973" i="16"/>
  <c r="G3973" i="16"/>
  <c r="F3973" i="16"/>
  <c r="B3973" i="16"/>
  <c r="AM3972" i="16"/>
  <c r="AL3972" i="16"/>
  <c r="AK3972" i="16"/>
  <c r="AJ3972" i="16"/>
  <c r="AF3972" i="16"/>
  <c r="AC3972" i="16"/>
  <c r="AB3972" i="16"/>
  <c r="AA3972" i="16"/>
  <c r="Z3972" i="16"/>
  <c r="V3972" i="16"/>
  <c r="S3972" i="16"/>
  <c r="R3972" i="16"/>
  <c r="Q3972" i="16"/>
  <c r="P3972" i="16"/>
  <c r="L3972" i="16"/>
  <c r="I3972" i="16"/>
  <c r="H3972" i="16"/>
  <c r="G3972" i="16"/>
  <c r="F3972" i="16"/>
  <c r="B3972" i="16"/>
  <c r="AM3971" i="16"/>
  <c r="AL3971" i="16"/>
  <c r="AK3971" i="16"/>
  <c r="AJ3971" i="16"/>
  <c r="AF3971" i="16"/>
  <c r="AC3971" i="16"/>
  <c r="AB3971" i="16"/>
  <c r="AA3971" i="16"/>
  <c r="Z3971" i="16"/>
  <c r="V3971" i="16"/>
  <c r="S3971" i="16"/>
  <c r="R3971" i="16"/>
  <c r="Q3971" i="16"/>
  <c r="P3971" i="16"/>
  <c r="L3971" i="16"/>
  <c r="I3971" i="16"/>
  <c r="H3971" i="16"/>
  <c r="G3971" i="16"/>
  <c r="F3971" i="16"/>
  <c r="B3971" i="16"/>
  <c r="AM3970" i="16"/>
  <c r="AL3970" i="16"/>
  <c r="AK3970" i="16"/>
  <c r="AJ3970" i="16"/>
  <c r="AF3970" i="16"/>
  <c r="AC3970" i="16"/>
  <c r="AB3970" i="16"/>
  <c r="AA3970" i="16"/>
  <c r="Z3970" i="16"/>
  <c r="V3970" i="16"/>
  <c r="S3970" i="16"/>
  <c r="R3970" i="16"/>
  <c r="Q3970" i="16"/>
  <c r="P3970" i="16"/>
  <c r="L3970" i="16"/>
  <c r="I3970" i="16"/>
  <c r="H3970" i="16"/>
  <c r="G3970" i="16"/>
  <c r="F3970" i="16"/>
  <c r="B3970" i="16"/>
  <c r="AM3969" i="16"/>
  <c r="AL3969" i="16"/>
  <c r="AK3969" i="16"/>
  <c r="AJ3969" i="16"/>
  <c r="AF3969" i="16"/>
  <c r="AC3969" i="16"/>
  <c r="AB3969" i="16"/>
  <c r="AA3969" i="16"/>
  <c r="Z3969" i="16"/>
  <c r="V3969" i="16"/>
  <c r="S3969" i="16"/>
  <c r="R3969" i="16"/>
  <c r="Q3969" i="16"/>
  <c r="P3969" i="16"/>
  <c r="L3969" i="16"/>
  <c r="I3969" i="16"/>
  <c r="H3969" i="16"/>
  <c r="G3969" i="16"/>
  <c r="F3969" i="16"/>
  <c r="B3969" i="16"/>
  <c r="AM3968" i="16"/>
  <c r="AL3968" i="16"/>
  <c r="AK3968" i="16"/>
  <c r="AJ3968" i="16"/>
  <c r="AF3968" i="16"/>
  <c r="AC3968" i="16"/>
  <c r="AB3968" i="16"/>
  <c r="AA3968" i="16"/>
  <c r="Z3968" i="16"/>
  <c r="V3968" i="16"/>
  <c r="S3968" i="16"/>
  <c r="R3968" i="16"/>
  <c r="Q3968" i="16"/>
  <c r="P3968" i="16"/>
  <c r="L3968" i="16"/>
  <c r="I3968" i="16"/>
  <c r="H3968" i="16"/>
  <c r="G3968" i="16"/>
  <c r="F3968" i="16"/>
  <c r="B3968" i="16"/>
  <c r="AM3967" i="16"/>
  <c r="AL3967" i="16"/>
  <c r="AK3967" i="16"/>
  <c r="AJ3967" i="16"/>
  <c r="AF3967" i="16"/>
  <c r="AC3967" i="16"/>
  <c r="AB3967" i="16"/>
  <c r="AA3967" i="16"/>
  <c r="Z3967" i="16"/>
  <c r="V3967" i="16"/>
  <c r="S3967" i="16"/>
  <c r="R3967" i="16"/>
  <c r="Q3967" i="16"/>
  <c r="P3967" i="16"/>
  <c r="L3967" i="16"/>
  <c r="I3967" i="16"/>
  <c r="H3967" i="16"/>
  <c r="G3967" i="16"/>
  <c r="F3967" i="16"/>
  <c r="B3967" i="16"/>
  <c r="AM3966" i="16"/>
  <c r="AL3966" i="16"/>
  <c r="AK3966" i="16"/>
  <c r="AJ3966" i="16"/>
  <c r="AF3966" i="16"/>
  <c r="AC3966" i="16"/>
  <c r="AB3966" i="16"/>
  <c r="AA3966" i="16"/>
  <c r="Z3966" i="16"/>
  <c r="V3966" i="16"/>
  <c r="S3966" i="16"/>
  <c r="R3966" i="16"/>
  <c r="Q3966" i="16"/>
  <c r="P3966" i="16"/>
  <c r="L3966" i="16"/>
  <c r="I3966" i="16"/>
  <c r="H3966" i="16"/>
  <c r="G3966" i="16"/>
  <c r="F3966" i="16"/>
  <c r="B3966" i="16"/>
  <c r="AM3965" i="16"/>
  <c r="AL3965" i="16"/>
  <c r="AK3965" i="16"/>
  <c r="AJ3965" i="16"/>
  <c r="AF3965" i="16"/>
  <c r="AC3965" i="16"/>
  <c r="AB3965" i="16"/>
  <c r="AA3965" i="16"/>
  <c r="Z3965" i="16"/>
  <c r="V3965" i="16"/>
  <c r="S3965" i="16"/>
  <c r="R3965" i="16"/>
  <c r="Q3965" i="16"/>
  <c r="P3965" i="16"/>
  <c r="L3965" i="16"/>
  <c r="I3965" i="16"/>
  <c r="H3965" i="16"/>
  <c r="G3965" i="16"/>
  <c r="F3965" i="16"/>
  <c r="B3965" i="16"/>
  <c r="AM3964" i="16"/>
  <c r="AL3964" i="16"/>
  <c r="AK3964" i="16"/>
  <c r="AJ3964" i="16"/>
  <c r="AF3964" i="16"/>
  <c r="AC3964" i="16"/>
  <c r="AB3964" i="16"/>
  <c r="AA3964" i="16"/>
  <c r="Z3964" i="16"/>
  <c r="V3964" i="16"/>
  <c r="S3964" i="16"/>
  <c r="R3964" i="16"/>
  <c r="Q3964" i="16"/>
  <c r="P3964" i="16"/>
  <c r="L3964" i="16"/>
  <c r="F3964" i="16"/>
  <c r="I3964" i="16"/>
  <c r="H3964" i="16"/>
  <c r="G3964" i="16"/>
  <c r="B3964" i="16"/>
  <c r="AM3963" i="16"/>
  <c r="AL3963" i="16"/>
  <c r="AK3963" i="16"/>
  <c r="AJ3963" i="16"/>
  <c r="AF3963" i="16"/>
  <c r="AC3963" i="16"/>
  <c r="AB3963" i="16"/>
  <c r="AA3963" i="16"/>
  <c r="Z3963" i="16"/>
  <c r="V3963" i="16"/>
  <c r="S3963" i="16"/>
  <c r="R3963" i="16"/>
  <c r="Q3963" i="16"/>
  <c r="P3963" i="16"/>
  <c r="L3963" i="16"/>
  <c r="F3963" i="16"/>
  <c r="I3963" i="16"/>
  <c r="H3963" i="16"/>
  <c r="B3963" i="16"/>
  <c r="G3963" i="16"/>
  <c r="AM3962" i="16"/>
  <c r="AL3962" i="16"/>
  <c r="AK3962" i="16"/>
  <c r="AJ3962" i="16"/>
  <c r="AF3962" i="16"/>
  <c r="AC3962" i="16"/>
  <c r="AB3962" i="16"/>
  <c r="AA3962" i="16"/>
  <c r="Z3962" i="16"/>
  <c r="V3962" i="16"/>
  <c r="Q3962" i="16"/>
  <c r="S3962" i="16"/>
  <c r="R3962" i="16"/>
  <c r="L3962" i="16"/>
  <c r="P3962" i="16"/>
  <c r="H3962" i="16"/>
  <c r="I3962" i="16"/>
  <c r="F3962" i="16"/>
  <c r="G3962" i="16"/>
  <c r="B3962" i="16"/>
  <c r="AM3961" i="16"/>
  <c r="AL3961" i="16"/>
  <c r="AK3961" i="16"/>
  <c r="AJ3961" i="16"/>
  <c r="AF3961" i="16"/>
  <c r="AC3961" i="16"/>
  <c r="AB3961" i="16"/>
  <c r="AA3961" i="16"/>
  <c r="Z3961" i="16"/>
  <c r="V3961" i="16"/>
  <c r="S3961" i="16"/>
  <c r="R3961" i="16"/>
  <c r="Q3961" i="16"/>
  <c r="P3961" i="16"/>
  <c r="L3961" i="16"/>
  <c r="I3961" i="16"/>
  <c r="H3961" i="16"/>
  <c r="G3961" i="16"/>
  <c r="F3961" i="16"/>
  <c r="B3961" i="16"/>
  <c r="AM3960" i="16"/>
  <c r="AL3960" i="16"/>
  <c r="AK3960" i="16"/>
  <c r="AJ3960" i="16"/>
  <c r="AF3960" i="16"/>
  <c r="AC3960" i="16"/>
  <c r="AB3960" i="16"/>
  <c r="AA3960" i="16"/>
  <c r="Z3960" i="16"/>
  <c r="V3960" i="16"/>
  <c r="Q3960" i="16"/>
  <c r="R3960" i="16"/>
  <c r="S3960" i="16"/>
  <c r="P3960" i="16"/>
  <c r="L3960" i="16"/>
  <c r="H3960" i="16"/>
  <c r="I3960" i="16"/>
  <c r="B3960" i="16"/>
  <c r="F3960" i="16"/>
  <c r="G3960" i="16"/>
  <c r="AF3959" i="16"/>
  <c r="AJ3959" i="16"/>
  <c r="AK3959" i="16"/>
  <c r="AL3959" i="16"/>
  <c r="AM3959" i="16"/>
  <c r="V3959" i="16"/>
  <c r="Z3959" i="16"/>
  <c r="AA3959" i="16"/>
  <c r="AB3959" i="16"/>
  <c r="AC3959" i="16"/>
  <c r="L3959" i="16"/>
  <c r="P3959" i="16"/>
  <c r="Q3959" i="16"/>
  <c r="R3959" i="16"/>
  <c r="S3959" i="16"/>
  <c r="B3959" i="16"/>
  <c r="F3959" i="16"/>
  <c r="G3959" i="16"/>
  <c r="H3959" i="16"/>
  <c r="I3959" i="16"/>
  <c r="AF3958" i="16"/>
  <c r="AJ3958" i="16"/>
  <c r="AK3958" i="16"/>
  <c r="AL3958" i="16"/>
  <c r="AM3958" i="16"/>
  <c r="R3958" i="16"/>
  <c r="S3958" i="16"/>
  <c r="P3958" i="16"/>
  <c r="L3958" i="16"/>
  <c r="Q3958" i="16"/>
  <c r="G3958" i="16"/>
  <c r="F3958" i="16"/>
  <c r="B3958" i="16"/>
  <c r="H3958" i="16"/>
  <c r="I3958" i="16"/>
  <c r="AM3957" i="16"/>
  <c r="AL3957" i="16"/>
  <c r="AK3957" i="16"/>
  <c r="AJ3957" i="16"/>
  <c r="AF3957" i="16"/>
  <c r="AC3957" i="16"/>
  <c r="AB3957" i="16"/>
  <c r="AA3957" i="16"/>
  <c r="Z3957" i="16"/>
  <c r="V3957" i="16"/>
  <c r="R3957" i="16"/>
  <c r="Q3957" i="16"/>
  <c r="S3957" i="16"/>
  <c r="L3957" i="16"/>
  <c r="P3957" i="16"/>
  <c r="I3957" i="16"/>
  <c r="H3957" i="16"/>
  <c r="G3957" i="16"/>
  <c r="F3957" i="16"/>
  <c r="B3957" i="16"/>
  <c r="AM3956" i="16"/>
  <c r="AL3956" i="16"/>
  <c r="AK3956" i="16"/>
  <c r="AJ3956" i="16"/>
  <c r="AF3956" i="16"/>
  <c r="AC3956" i="16"/>
  <c r="AB3956" i="16"/>
  <c r="AA3956" i="16"/>
  <c r="Z3956" i="16"/>
  <c r="V3956" i="16"/>
  <c r="Q3956" i="16"/>
  <c r="R3956" i="16"/>
  <c r="S3956" i="16"/>
  <c r="L3956" i="16"/>
  <c r="P3956" i="16"/>
  <c r="H3956" i="16"/>
  <c r="G3956" i="16"/>
  <c r="F3956" i="16"/>
  <c r="B3956" i="16"/>
  <c r="I3956" i="16"/>
  <c r="AM3955" i="16"/>
  <c r="AL3955" i="16"/>
  <c r="AK3955" i="16"/>
  <c r="AJ3955" i="16"/>
  <c r="AF3955" i="16"/>
  <c r="AC3955" i="16"/>
  <c r="AB3955" i="16"/>
  <c r="AA3955" i="16"/>
  <c r="Z3955" i="16"/>
  <c r="V3955" i="16"/>
  <c r="S3955" i="16"/>
  <c r="R3955" i="16"/>
  <c r="Q3955" i="16"/>
  <c r="P3955" i="16"/>
  <c r="L3955" i="16"/>
  <c r="H3955" i="16"/>
  <c r="G3955" i="16"/>
  <c r="F3955" i="16"/>
  <c r="B3955" i="16"/>
  <c r="I3955" i="16"/>
  <c r="AL3954" i="16"/>
  <c r="AK3954" i="16"/>
  <c r="AJ3954" i="16"/>
  <c r="AF3954" i="16"/>
  <c r="AM3954" i="16"/>
  <c r="AC3954" i="16"/>
  <c r="AB3954" i="16"/>
  <c r="AA3954" i="16"/>
  <c r="Z3954" i="16"/>
  <c r="V3954" i="16"/>
  <c r="L3954" i="16"/>
  <c r="P3954" i="16"/>
  <c r="Q3954" i="16"/>
  <c r="S3954" i="16"/>
  <c r="R3954" i="16"/>
  <c r="I3954" i="16"/>
  <c r="H3954" i="16"/>
  <c r="G3954" i="16"/>
  <c r="F3954" i="16"/>
  <c r="B3954" i="16"/>
  <c r="AF3953" i="16"/>
  <c r="AL3953" i="16"/>
  <c r="AK3953" i="16"/>
  <c r="AJ3953" i="16"/>
  <c r="AM3953" i="16"/>
  <c r="V3953" i="16"/>
  <c r="Z3953" i="16"/>
  <c r="AA3953" i="16"/>
  <c r="AB3953" i="16"/>
  <c r="AC3953" i="16"/>
  <c r="P3953" i="16"/>
  <c r="R3953" i="16"/>
  <c r="S3953" i="16"/>
  <c r="Q3953" i="16"/>
  <c r="L3953" i="16"/>
  <c r="I3953" i="16"/>
  <c r="H3953" i="16"/>
  <c r="G3953" i="16"/>
  <c r="F3953" i="16"/>
  <c r="B3953" i="16"/>
  <c r="AM3952" i="16"/>
  <c r="AL3952" i="16"/>
  <c r="AK3952" i="16"/>
  <c r="AJ3952" i="16"/>
  <c r="AF3952" i="16"/>
  <c r="AC3952" i="16"/>
  <c r="AB3952" i="16"/>
  <c r="AA3952" i="16"/>
  <c r="Z3952" i="16"/>
  <c r="V3952" i="16"/>
  <c r="Q3952" i="16"/>
  <c r="P3952" i="16"/>
  <c r="L3952" i="16"/>
  <c r="S3952" i="16"/>
  <c r="R3952" i="16"/>
  <c r="F3952" i="16"/>
  <c r="B3952" i="16"/>
  <c r="H3952" i="16"/>
  <c r="I3952" i="16"/>
  <c r="G3952" i="16"/>
  <c r="AM3951" i="16"/>
  <c r="AL3951" i="16"/>
  <c r="AK3951" i="16"/>
  <c r="AJ3951" i="16"/>
  <c r="AF3951" i="16"/>
  <c r="V3951" i="16"/>
  <c r="Z3951" i="16"/>
  <c r="AA3951" i="16"/>
  <c r="AB3951" i="16"/>
  <c r="AC3951" i="16"/>
  <c r="Q3951" i="16"/>
  <c r="L3951" i="16"/>
  <c r="R3951" i="16"/>
  <c r="S3951" i="16"/>
  <c r="P3951" i="16"/>
  <c r="B3951" i="16"/>
  <c r="F3951" i="16"/>
  <c r="G3951" i="16"/>
  <c r="H3951" i="16"/>
  <c r="I3951" i="16"/>
  <c r="AM3950" i="16"/>
  <c r="AL3950" i="16"/>
  <c r="AK3950" i="16"/>
  <c r="AJ3950" i="16"/>
  <c r="AF3950" i="16"/>
  <c r="AC3950" i="16"/>
  <c r="AA3950" i="16"/>
  <c r="Z3950" i="16"/>
  <c r="V3950" i="16"/>
  <c r="AB3950" i="16"/>
  <c r="S3950" i="16"/>
  <c r="R3950" i="16"/>
  <c r="Q3950" i="16"/>
  <c r="L3950" i="16"/>
  <c r="P3950" i="16"/>
  <c r="G3950" i="16"/>
  <c r="B3950" i="16"/>
  <c r="F3950" i="16"/>
  <c r="H3950" i="16"/>
  <c r="I3950" i="16"/>
  <c r="AF3949" i="16"/>
  <c r="AJ3949" i="16"/>
  <c r="AK3949" i="16"/>
  <c r="AL3949" i="16"/>
  <c r="AM3949" i="16"/>
  <c r="Z3949" i="16"/>
  <c r="V3949" i="16"/>
  <c r="AB3949" i="16"/>
  <c r="AC3949" i="16"/>
  <c r="AA3949" i="16"/>
  <c r="S3949" i="16"/>
  <c r="R3949" i="16"/>
  <c r="Q3949" i="16"/>
  <c r="P3949" i="16"/>
  <c r="L3949" i="16"/>
  <c r="I3949" i="16"/>
  <c r="G3949" i="16"/>
  <c r="F3949" i="16"/>
  <c r="B3949" i="16"/>
  <c r="H3949" i="16"/>
  <c r="AM3948" i="16"/>
  <c r="AL3948" i="16"/>
  <c r="AK3948" i="16"/>
  <c r="AJ3948" i="16"/>
  <c r="AF3948" i="16"/>
  <c r="AC3948" i="16"/>
  <c r="AB3948" i="16"/>
  <c r="AA3948" i="16"/>
  <c r="Z3948" i="16"/>
  <c r="V3948" i="16"/>
  <c r="S3948" i="16"/>
  <c r="R3948" i="16"/>
  <c r="Q3948" i="16"/>
  <c r="P3948" i="16"/>
  <c r="L3948" i="16"/>
  <c r="F3948" i="16"/>
  <c r="B3948" i="16"/>
  <c r="H3948" i="16"/>
  <c r="I3948" i="16"/>
  <c r="G3948" i="16"/>
  <c r="AM3947" i="16"/>
  <c r="AL3947" i="16"/>
  <c r="AK3947" i="16"/>
  <c r="AJ3947" i="16"/>
  <c r="AF3947" i="16"/>
  <c r="AC3947" i="16"/>
  <c r="AB3947" i="16"/>
  <c r="AA3947" i="16"/>
  <c r="Z3947" i="16"/>
  <c r="V3947" i="16"/>
  <c r="S3947" i="16"/>
  <c r="R3947" i="16"/>
  <c r="Q3947" i="16"/>
  <c r="L3947" i="16"/>
  <c r="P3947" i="16"/>
  <c r="I3947" i="16"/>
  <c r="H3947" i="16"/>
  <c r="G3947" i="16"/>
  <c r="F3947" i="16"/>
  <c r="B3947" i="16"/>
  <c r="AL3946" i="16"/>
  <c r="AK3946" i="16"/>
  <c r="AJ3946" i="16"/>
  <c r="AF3946" i="16"/>
  <c r="AM3946" i="16"/>
  <c r="AC3946" i="16"/>
  <c r="AB3946" i="16"/>
  <c r="AA3946" i="16"/>
  <c r="Z3946" i="16"/>
  <c r="V3946" i="16"/>
  <c r="S3946" i="16"/>
  <c r="R3946" i="16"/>
  <c r="Q3946" i="16"/>
  <c r="P3946" i="16"/>
  <c r="L3946" i="16"/>
  <c r="H3946" i="16"/>
  <c r="G3946" i="16"/>
  <c r="F3946" i="16"/>
  <c r="I3946" i="16"/>
  <c r="B3946" i="16"/>
  <c r="AF3945" i="16"/>
  <c r="AJ3945" i="16"/>
  <c r="AK3945" i="16"/>
  <c r="AL3945" i="16"/>
  <c r="AM3945" i="16"/>
  <c r="Z3945" i="16"/>
  <c r="AC3945" i="16"/>
  <c r="AB3945" i="16"/>
  <c r="AA3945" i="16"/>
  <c r="V3945" i="16"/>
  <c r="R3945" i="16"/>
  <c r="Q3945" i="16"/>
  <c r="L3945" i="16"/>
  <c r="P3945" i="16"/>
  <c r="S3945" i="16"/>
  <c r="G3945" i="16"/>
  <c r="F3945" i="16"/>
  <c r="B3945" i="16"/>
  <c r="I3945" i="16"/>
  <c r="H3945" i="16"/>
  <c r="AJ3944" i="16"/>
  <c r="AK3944" i="16"/>
  <c r="AL3944" i="16"/>
  <c r="AM3944" i="16"/>
  <c r="AF3944" i="16"/>
  <c r="Z3944" i="16"/>
  <c r="V3944" i="16"/>
  <c r="AA3944" i="16"/>
  <c r="AB3944" i="16"/>
  <c r="AC3944" i="16"/>
  <c r="S3944" i="16"/>
  <c r="Q3944" i="16"/>
  <c r="P3944" i="16"/>
  <c r="L3944" i="16"/>
  <c r="R3944" i="16"/>
  <c r="I3944" i="16"/>
  <c r="H3944" i="16"/>
  <c r="G3944" i="16"/>
  <c r="F3944" i="16"/>
  <c r="B3944" i="16"/>
  <c r="AL3943" i="16"/>
  <c r="AK3943" i="16"/>
  <c r="AJ3943" i="16"/>
  <c r="AF3943" i="16"/>
  <c r="AM3943" i="16"/>
  <c r="AC3943" i="16"/>
  <c r="AB3943" i="16"/>
  <c r="AA3943" i="16"/>
  <c r="Z3943" i="16"/>
  <c r="V3943" i="16"/>
  <c r="S3943" i="16"/>
  <c r="L3943" i="16"/>
  <c r="P3943" i="16"/>
  <c r="Q3943" i="16"/>
  <c r="R3943" i="16"/>
  <c r="G3943" i="16"/>
  <c r="F3943" i="16"/>
  <c r="B3943" i="16"/>
  <c r="I3943" i="16"/>
  <c r="H3943" i="16"/>
  <c r="AM3942" i="16"/>
  <c r="AL3942" i="16"/>
  <c r="AK3942" i="16"/>
  <c r="AJ3942" i="16"/>
  <c r="AF3942" i="16"/>
  <c r="AC3942" i="16"/>
  <c r="AB3942" i="16"/>
  <c r="AA3942" i="16"/>
  <c r="Z3942" i="16"/>
  <c r="V3942" i="16"/>
  <c r="S3942" i="16"/>
  <c r="R3942" i="16"/>
  <c r="Q3942" i="16"/>
  <c r="P3942" i="16"/>
  <c r="L3942" i="16"/>
  <c r="I3942" i="16"/>
  <c r="G3942" i="16"/>
  <c r="F3942" i="16"/>
  <c r="B3942" i="16"/>
  <c r="H3942" i="16"/>
  <c r="AL3941" i="16"/>
  <c r="AK3941" i="16"/>
  <c r="AF3941" i="16"/>
  <c r="AM3941" i="16"/>
  <c r="AJ3941" i="16"/>
  <c r="AC3941" i="16"/>
  <c r="AB3941" i="16"/>
  <c r="AA3941" i="16"/>
  <c r="Z3941" i="16"/>
  <c r="V3941" i="16"/>
  <c r="S3941" i="16"/>
  <c r="R3941" i="16"/>
  <c r="Q3941" i="16"/>
  <c r="P3941" i="16"/>
  <c r="L3941" i="16"/>
  <c r="I3941" i="16"/>
  <c r="F3941" i="16"/>
  <c r="B3941" i="16"/>
  <c r="G3941" i="16"/>
  <c r="H3941" i="16"/>
  <c r="AL3940" i="16"/>
  <c r="AM3940" i="16"/>
  <c r="AF3940" i="16"/>
  <c r="AJ3940" i="16"/>
  <c r="AK3940" i="16"/>
  <c r="V3940" i="16"/>
  <c r="Z3940" i="16"/>
  <c r="AA3940" i="16"/>
  <c r="AB3940" i="16"/>
  <c r="AC3940" i="16"/>
  <c r="L3940" i="16"/>
  <c r="P3940" i="16"/>
  <c r="Q3940" i="16"/>
  <c r="R3940" i="16"/>
  <c r="S3940" i="16"/>
  <c r="G3940" i="16"/>
  <c r="F3940" i="16"/>
  <c r="H3940" i="16"/>
  <c r="I3940" i="16"/>
  <c r="B3940" i="16"/>
  <c r="AF3939" i="16"/>
  <c r="AJ3939" i="16"/>
  <c r="AL3939" i="16"/>
  <c r="AM3939" i="16"/>
  <c r="AK3939" i="16"/>
  <c r="AA3939" i="16"/>
  <c r="AC3939" i="16"/>
  <c r="AB3939" i="16"/>
  <c r="V3939" i="16"/>
  <c r="Z3939" i="16"/>
  <c r="L3939" i="16"/>
  <c r="Q3939" i="16"/>
  <c r="P3939" i="16"/>
  <c r="S3939" i="16"/>
  <c r="R3939" i="16"/>
  <c r="G3939" i="16"/>
  <c r="I3939" i="16"/>
  <c r="H3939" i="16"/>
  <c r="F3939" i="16"/>
  <c r="B3939" i="16"/>
  <c r="AJ3938" i="16"/>
  <c r="AK3938" i="16"/>
  <c r="AL3938" i="16"/>
  <c r="AM3938" i="16"/>
  <c r="AF3938" i="16"/>
  <c r="AC3938" i="16"/>
  <c r="AB3938" i="16"/>
  <c r="Z3938" i="16"/>
  <c r="V3938" i="16"/>
  <c r="AA3938" i="16"/>
  <c r="S3938" i="16"/>
  <c r="R3938" i="16"/>
  <c r="P3938" i="16"/>
  <c r="Q3938" i="16"/>
  <c r="L3938" i="16"/>
  <c r="B3938" i="16"/>
  <c r="F3938" i="16"/>
  <c r="I3938" i="16"/>
  <c r="H3938" i="16"/>
  <c r="G3938" i="16"/>
  <c r="AM3937" i="16"/>
  <c r="AL3937" i="16"/>
  <c r="AK3937" i="16"/>
  <c r="AJ3937" i="16"/>
  <c r="AF3937" i="16"/>
  <c r="Z3937" i="16"/>
  <c r="V3937" i="16"/>
  <c r="AA3937" i="16"/>
  <c r="AC3937" i="16"/>
  <c r="AB3937" i="16"/>
  <c r="L3937" i="16"/>
  <c r="Q3937" i="16"/>
  <c r="R3937" i="16"/>
  <c r="P3937" i="16"/>
  <c r="S3937" i="16"/>
  <c r="B3937" i="16"/>
  <c r="F3937" i="16"/>
  <c r="G3937" i="16"/>
  <c r="H3937" i="16"/>
  <c r="I3937" i="16"/>
  <c r="AJ3936" i="16"/>
  <c r="AL3936" i="16"/>
  <c r="AF3936" i="16"/>
  <c r="AM3936" i="16"/>
  <c r="AK3936" i="16"/>
  <c r="V3936" i="16"/>
  <c r="Z3936" i="16"/>
  <c r="AA3936" i="16"/>
  <c r="AC3936" i="16"/>
  <c r="AB3936" i="16"/>
  <c r="S3936" i="16"/>
  <c r="P3936" i="16"/>
  <c r="L3936" i="16"/>
  <c r="R3936" i="16"/>
  <c r="Q3936" i="16"/>
  <c r="G3936" i="16"/>
  <c r="F3936" i="16"/>
  <c r="B3936" i="16"/>
  <c r="I3936" i="16"/>
  <c r="H3936" i="16"/>
  <c r="AL3935" i="16"/>
  <c r="AJ3935" i="16"/>
  <c r="AF3935" i="16"/>
  <c r="AM3935" i="16"/>
  <c r="AK3935" i="16"/>
  <c r="AC3935" i="16"/>
  <c r="AB3935" i="16"/>
  <c r="AA3935" i="16"/>
  <c r="Z3935" i="16"/>
  <c r="V3935" i="16"/>
  <c r="L3935" i="16"/>
  <c r="P3935" i="16"/>
  <c r="Q3935" i="16"/>
  <c r="R3935" i="16"/>
  <c r="S3935" i="16"/>
  <c r="I3935" i="16"/>
  <c r="H3935" i="16"/>
  <c r="G3935" i="16"/>
  <c r="F3935" i="16"/>
  <c r="B3935" i="16"/>
  <c r="AF3934" i="16"/>
  <c r="AJ3934" i="16"/>
  <c r="AK3934" i="16"/>
  <c r="AL3934" i="16"/>
  <c r="AM3934" i="16"/>
  <c r="Z3934" i="16"/>
  <c r="AB3934" i="16"/>
  <c r="AA3934" i="16"/>
  <c r="V3934" i="16"/>
  <c r="AC3934" i="16"/>
  <c r="S3934" i="16"/>
  <c r="R3934" i="16"/>
  <c r="L3934" i="16"/>
  <c r="P3934" i="16"/>
  <c r="Q3934" i="16"/>
  <c r="F3934" i="16"/>
  <c r="I3934" i="16"/>
  <c r="H3934" i="16"/>
  <c r="G3934" i="16"/>
  <c r="B3934" i="16"/>
  <c r="AF3933" i="16"/>
  <c r="AL3933" i="16"/>
  <c r="AM3933" i="16"/>
  <c r="AJ3933" i="16"/>
  <c r="AK3933" i="16"/>
  <c r="V3933" i="16"/>
  <c r="Z3933" i="16"/>
  <c r="AA3933" i="16"/>
  <c r="AB3933" i="16"/>
  <c r="AC3933" i="16"/>
  <c r="S3933" i="16"/>
  <c r="P3933" i="16"/>
  <c r="Q3933" i="16"/>
  <c r="R3933" i="16"/>
  <c r="L3933" i="16"/>
  <c r="I3933" i="16"/>
  <c r="H3933" i="16"/>
  <c r="G3933" i="16"/>
  <c r="F3933" i="16"/>
  <c r="B3933" i="16"/>
  <c r="AF3932" i="16"/>
  <c r="AJ3932" i="16"/>
  <c r="AM3932" i="16"/>
  <c r="AL3932" i="16"/>
  <c r="AK3932" i="16"/>
  <c r="AB3932" i="16"/>
  <c r="AC3932" i="16"/>
  <c r="Z3932" i="16"/>
  <c r="V3932" i="16"/>
  <c r="AA3932" i="16"/>
  <c r="L3932" i="16"/>
  <c r="P3932" i="16"/>
  <c r="Q3932" i="16"/>
  <c r="R3932" i="16"/>
  <c r="S3932" i="16"/>
  <c r="F3932" i="16"/>
  <c r="B3932" i="16"/>
  <c r="I3932" i="16"/>
  <c r="H3932" i="16"/>
  <c r="G3932" i="16"/>
  <c r="AF3931" i="16"/>
  <c r="AK3931" i="16"/>
  <c r="AL3931" i="16"/>
  <c r="AM3931" i="16"/>
  <c r="AJ3931" i="16"/>
  <c r="AC3931" i="16"/>
  <c r="V3931" i="16"/>
  <c r="Z3931" i="16"/>
  <c r="AA3931" i="16"/>
  <c r="AB3931" i="16"/>
  <c r="P3931" i="16"/>
  <c r="Q3931" i="16"/>
  <c r="R3931" i="16"/>
  <c r="S3931" i="16"/>
  <c r="L3931" i="16"/>
  <c r="I3931" i="16"/>
  <c r="H3931" i="16"/>
  <c r="G3931" i="16"/>
  <c r="F3931" i="16"/>
  <c r="B3931" i="16"/>
  <c r="AF3930" i="16"/>
  <c r="AM3930" i="16"/>
  <c r="AL3930" i="16"/>
  <c r="AK3930" i="16"/>
  <c r="AJ3930" i="16"/>
  <c r="AC3930" i="16"/>
  <c r="AB3930" i="16"/>
  <c r="AA3930" i="16"/>
  <c r="Z3930" i="16"/>
  <c r="V3930" i="16"/>
  <c r="R3930" i="16"/>
  <c r="S3930" i="16"/>
  <c r="P3930" i="16"/>
  <c r="L3930" i="16"/>
  <c r="Q3930" i="16"/>
  <c r="B3930" i="16"/>
  <c r="F3930" i="16"/>
  <c r="G3930" i="16"/>
  <c r="H3930" i="16"/>
  <c r="I3930" i="16"/>
  <c r="AJ3929" i="16"/>
  <c r="AF3929" i="16"/>
  <c r="AK3929" i="16"/>
  <c r="AL3929" i="16"/>
  <c r="AM3929" i="16"/>
  <c r="AA3929" i="16"/>
  <c r="Z3929" i="16"/>
  <c r="AB3929" i="16"/>
  <c r="AC3929" i="16"/>
  <c r="V3929" i="16"/>
  <c r="R3929" i="16"/>
  <c r="L3929" i="16"/>
  <c r="S3929" i="16"/>
  <c r="Q3929" i="16"/>
  <c r="P3929" i="16"/>
  <c r="I3929" i="16"/>
  <c r="H3929" i="16"/>
  <c r="G3929" i="16"/>
  <c r="F3929" i="16"/>
  <c r="B3929" i="16"/>
  <c r="AL3928" i="16"/>
  <c r="AM3928" i="16"/>
  <c r="AK3928" i="16"/>
  <c r="AJ3928" i="16"/>
  <c r="AF3928" i="16"/>
  <c r="Z3928" i="16"/>
  <c r="V3928" i="16"/>
  <c r="AC3928" i="16"/>
  <c r="AB3928" i="16"/>
  <c r="AA3928" i="16"/>
  <c r="P3928" i="16"/>
  <c r="Q3928" i="16"/>
  <c r="R3928" i="16"/>
  <c r="S3928" i="16"/>
  <c r="L3928" i="16"/>
  <c r="I3928" i="16"/>
  <c r="B3928" i="16"/>
  <c r="F3928" i="16"/>
  <c r="G3928" i="16"/>
  <c r="H3928" i="16"/>
  <c r="AM3927" i="16"/>
  <c r="AL3927" i="16"/>
  <c r="AK3927" i="16"/>
  <c r="AJ3927" i="16"/>
  <c r="AF3927" i="16"/>
  <c r="V3927" i="16"/>
  <c r="Z3927" i="16"/>
  <c r="AC3927" i="16"/>
  <c r="AB3927" i="16"/>
  <c r="AA3927" i="16"/>
  <c r="S3927" i="16"/>
  <c r="R3927" i="16"/>
  <c r="Q3927" i="16"/>
  <c r="P3927" i="16"/>
  <c r="L3927" i="16"/>
  <c r="I3927" i="16"/>
  <c r="H3927" i="16"/>
  <c r="G3927" i="16"/>
  <c r="F3927" i="16"/>
  <c r="B3927" i="16"/>
  <c r="AJ3926" i="16"/>
  <c r="AF3926" i="16"/>
  <c r="AM3926" i="16"/>
  <c r="AL3926" i="16"/>
  <c r="AK3926" i="16"/>
  <c r="AC3926" i="16"/>
  <c r="AB3926" i="16"/>
  <c r="AA3926" i="16"/>
  <c r="V3926" i="16"/>
  <c r="Z3926" i="16"/>
  <c r="P3926" i="16"/>
  <c r="S3926" i="16"/>
  <c r="R3926" i="16"/>
  <c r="L3926" i="16"/>
  <c r="Q3926" i="16"/>
  <c r="F3926" i="16"/>
  <c r="B3926" i="16"/>
  <c r="I3926" i="16"/>
  <c r="H3926" i="16"/>
  <c r="G3926" i="16"/>
  <c r="AK3925" i="16"/>
  <c r="AL3925" i="16"/>
  <c r="AF3925" i="16"/>
  <c r="AJ3925" i="16"/>
  <c r="AM3925" i="16"/>
  <c r="Z3925" i="16"/>
  <c r="V3925" i="16"/>
  <c r="AC3925" i="16"/>
  <c r="AB3925" i="16"/>
  <c r="AA3925" i="16"/>
  <c r="S3925" i="16"/>
  <c r="R3925" i="16"/>
  <c r="Q3925" i="16"/>
  <c r="P3925" i="16"/>
  <c r="L3925" i="16"/>
  <c r="B3925" i="16"/>
  <c r="F3925" i="16"/>
  <c r="I3925" i="16"/>
  <c r="H3925" i="16"/>
  <c r="G3925" i="16"/>
  <c r="AF3924" i="16"/>
  <c r="AJ3924" i="16"/>
  <c r="AK3924" i="16"/>
  <c r="AL3924" i="16"/>
  <c r="AM3924" i="16"/>
  <c r="AB3924" i="16"/>
  <c r="AC3924" i="16"/>
  <c r="Z3924" i="16"/>
  <c r="AA3924" i="16"/>
  <c r="V3924" i="16"/>
  <c r="S3924" i="16"/>
  <c r="R3924" i="16"/>
  <c r="Q3924" i="16"/>
  <c r="P3924" i="16"/>
  <c r="L3924" i="16"/>
  <c r="G3924" i="16"/>
  <c r="I3924" i="16"/>
  <c r="H3924" i="16"/>
  <c r="F3924" i="16"/>
  <c r="B3924" i="16"/>
  <c r="AK3923" i="16"/>
  <c r="AM3923" i="16"/>
  <c r="AL3923" i="16"/>
  <c r="AJ3923" i="16"/>
  <c r="AF3923" i="16"/>
  <c r="V3923" i="16"/>
  <c r="AC3923" i="16"/>
  <c r="AB3923" i="16"/>
  <c r="AA3923" i="16"/>
  <c r="Z3923" i="16"/>
  <c r="S3923" i="16"/>
  <c r="L3923" i="16"/>
  <c r="Q3923" i="16"/>
  <c r="P3923" i="16"/>
  <c r="R3923" i="16"/>
  <c r="B3923" i="16"/>
  <c r="I3923" i="16"/>
  <c r="H3923" i="16"/>
  <c r="F3923" i="16"/>
  <c r="G3923" i="16"/>
  <c r="AK3922" i="16"/>
  <c r="AJ3922" i="16"/>
  <c r="AF3922" i="16"/>
  <c r="AM3922" i="16"/>
  <c r="AL3922" i="16"/>
  <c r="V3922" i="16"/>
  <c r="Z3922" i="16"/>
  <c r="AB3922" i="16"/>
  <c r="AA3922" i="16"/>
  <c r="AC3922" i="16"/>
  <c r="S3922" i="16"/>
  <c r="L3922" i="16"/>
  <c r="P3922" i="16"/>
  <c r="Q3922" i="16"/>
  <c r="R3922" i="16"/>
  <c r="B3922" i="16"/>
  <c r="F3922" i="16"/>
  <c r="G3922" i="16"/>
  <c r="H3922" i="16"/>
  <c r="I3922" i="16"/>
  <c r="AM3921" i="16"/>
  <c r="AF3921" i="16"/>
  <c r="AJ3921" i="16"/>
  <c r="AK3921" i="16"/>
  <c r="AL3921" i="16"/>
  <c r="AB3921" i="16"/>
  <c r="AA3921" i="16"/>
  <c r="Z3921" i="16"/>
  <c r="V3921" i="16"/>
  <c r="AC3921" i="16"/>
  <c r="Q3921" i="16"/>
  <c r="L3921" i="16"/>
  <c r="P3921" i="16"/>
  <c r="S3921" i="16"/>
  <c r="R3921" i="16"/>
  <c r="B3921" i="16"/>
  <c r="F3921" i="16"/>
  <c r="G3921" i="16"/>
  <c r="H3921" i="16"/>
  <c r="I3921" i="16"/>
  <c r="AL3920" i="16"/>
  <c r="AJ3920" i="16"/>
  <c r="AK3920" i="16"/>
  <c r="AM3920" i="16"/>
  <c r="AF3920" i="16"/>
  <c r="V3920" i="16"/>
  <c r="AA3920" i="16"/>
  <c r="AB3920" i="16"/>
  <c r="AC3920" i="16"/>
  <c r="Z3920" i="16"/>
  <c r="L3920" i="16"/>
  <c r="P3920" i="16"/>
  <c r="Q3920" i="16"/>
  <c r="R3920" i="16"/>
  <c r="S3920" i="16"/>
  <c r="G3920" i="16"/>
  <c r="F3920" i="16"/>
  <c r="B3920" i="16"/>
  <c r="I3920" i="16"/>
  <c r="H3920" i="16"/>
  <c r="AL3919" i="16"/>
  <c r="AF3919" i="16"/>
  <c r="AJ3919" i="16"/>
  <c r="AK3919" i="16"/>
  <c r="AM3919" i="16"/>
  <c r="V3919" i="16"/>
  <c r="AC3919" i="16"/>
  <c r="AB3919" i="16"/>
  <c r="AA3919" i="16"/>
  <c r="Z3919" i="16"/>
  <c r="R3919" i="16"/>
  <c r="P3919" i="16"/>
  <c r="L3919" i="16"/>
  <c r="Q3919" i="16"/>
  <c r="S3919" i="16"/>
  <c r="I3919" i="16"/>
  <c r="B3919" i="16"/>
  <c r="F3919" i="16"/>
  <c r="G3919" i="16"/>
  <c r="H3919" i="16"/>
  <c r="AF3918" i="16"/>
  <c r="AJ3918" i="16"/>
  <c r="AK3918" i="16"/>
  <c r="AM3918" i="16"/>
  <c r="AL3918" i="16"/>
  <c r="Z3918" i="16"/>
  <c r="V3918" i="16"/>
  <c r="AC3918" i="16"/>
  <c r="AB3918" i="16"/>
  <c r="AA3918" i="16"/>
  <c r="P3918" i="16"/>
  <c r="S3918" i="16"/>
  <c r="R3918" i="16"/>
  <c r="Q3918" i="16"/>
  <c r="L3918" i="16"/>
  <c r="B3918" i="16"/>
  <c r="I3918" i="16"/>
  <c r="H3918" i="16"/>
  <c r="G3918" i="16"/>
  <c r="F3918" i="16"/>
  <c r="AF3917" i="16"/>
  <c r="AJ3917" i="16"/>
  <c r="AL3917" i="16"/>
  <c r="AM3917" i="16"/>
  <c r="AK3917" i="16"/>
  <c r="AB3917" i="16"/>
  <c r="V3917" i="16"/>
  <c r="Z3917" i="16"/>
  <c r="AA3917" i="16"/>
  <c r="AC3917" i="16"/>
  <c r="P3917" i="16"/>
  <c r="L3917" i="16"/>
  <c r="R3917" i="16"/>
  <c r="S3917" i="16"/>
  <c r="Q3917" i="16"/>
  <c r="I3917" i="16"/>
  <c r="H3917" i="16"/>
  <c r="G3917" i="16"/>
  <c r="F3917" i="16"/>
  <c r="B3917" i="16"/>
  <c r="AM3916" i="16"/>
  <c r="AL3916" i="16"/>
  <c r="AK3916" i="16"/>
  <c r="AJ3916" i="16"/>
  <c r="AF3916" i="16"/>
  <c r="AC3916" i="16"/>
  <c r="AA3916" i="16"/>
  <c r="Z3916" i="16"/>
  <c r="V3916" i="16"/>
  <c r="AB3916" i="16"/>
  <c r="S3916" i="16"/>
  <c r="R3916" i="16"/>
  <c r="P3916" i="16"/>
  <c r="L3916" i="16"/>
  <c r="Q3916" i="16"/>
  <c r="I3916" i="16"/>
  <c r="H3916" i="16"/>
  <c r="G3916" i="16"/>
  <c r="F3916" i="16"/>
  <c r="B3916" i="16"/>
  <c r="AM3915" i="16"/>
  <c r="AF3915" i="16"/>
  <c r="AL3915" i="16"/>
  <c r="AK3915" i="16"/>
  <c r="AJ3915" i="16"/>
  <c r="Z3915" i="16"/>
  <c r="V3915" i="16"/>
  <c r="AC3915" i="16"/>
  <c r="AB3915" i="16"/>
  <c r="AA3915" i="16"/>
  <c r="Q3915" i="16"/>
  <c r="P3915" i="16"/>
  <c r="S3915" i="16"/>
  <c r="L3915" i="16"/>
  <c r="R3915" i="16"/>
  <c r="B3915" i="16"/>
  <c r="F3915" i="16"/>
  <c r="G3915" i="16"/>
  <c r="H3915" i="16"/>
  <c r="I3915" i="16"/>
  <c r="AF3914" i="16"/>
  <c r="AJ3914" i="16"/>
  <c r="AK3914" i="16"/>
  <c r="AL3914" i="16"/>
  <c r="AM3914" i="16"/>
  <c r="V3914" i="16"/>
  <c r="Z3914" i="16"/>
  <c r="AA3914" i="16"/>
  <c r="AB3914" i="16"/>
  <c r="AC3914" i="16"/>
  <c r="P3914" i="16"/>
  <c r="Q3914" i="16"/>
  <c r="R3914" i="16"/>
  <c r="S3914" i="16"/>
  <c r="L3914" i="16"/>
  <c r="F3914" i="16"/>
  <c r="B3914" i="16"/>
  <c r="H3914" i="16"/>
  <c r="I3914" i="16"/>
  <c r="G3914" i="16"/>
  <c r="AM3913" i="16"/>
  <c r="AL3913" i="16"/>
  <c r="AK3913" i="16"/>
  <c r="AJ3913" i="16"/>
  <c r="AF3913" i="16"/>
  <c r="V3913" i="16"/>
  <c r="Z3913" i="16"/>
  <c r="AA3913" i="16"/>
  <c r="AB3913" i="16"/>
  <c r="AC3913" i="16"/>
  <c r="L3913" i="16"/>
  <c r="P3913" i="16"/>
  <c r="Q3913" i="16"/>
  <c r="R3913" i="16"/>
  <c r="S3913" i="16"/>
  <c r="I3913" i="16"/>
  <c r="H3913" i="16"/>
  <c r="G3913" i="16"/>
  <c r="F3913" i="16"/>
  <c r="B3913" i="16"/>
  <c r="AM3912" i="16"/>
  <c r="AL3912" i="16"/>
  <c r="AK3912" i="16"/>
  <c r="AJ3912" i="16"/>
  <c r="AF3912" i="16"/>
  <c r="AC3912" i="16"/>
  <c r="AB3912" i="16"/>
  <c r="AA3912" i="16"/>
  <c r="Z3912" i="16"/>
  <c r="V3912" i="16"/>
  <c r="L3912" i="16"/>
  <c r="R3912" i="16"/>
  <c r="S3912" i="16"/>
  <c r="Q3912" i="16"/>
  <c r="P3912" i="16"/>
  <c r="H3912" i="16"/>
  <c r="I3912" i="16"/>
  <c r="B3912" i="16"/>
  <c r="F3912" i="16"/>
  <c r="G3912" i="16"/>
  <c r="AF3911" i="16"/>
  <c r="AJ3911" i="16"/>
  <c r="AL3911" i="16"/>
  <c r="AK3911" i="16"/>
  <c r="AM3911" i="16"/>
  <c r="AB3911" i="16"/>
  <c r="V3911" i="16"/>
  <c r="Z3911" i="16"/>
  <c r="AA3911" i="16"/>
  <c r="AC3911" i="16"/>
  <c r="S3911" i="16"/>
  <c r="R3911" i="16"/>
  <c r="L3911" i="16"/>
  <c r="P3911" i="16"/>
  <c r="Q3911" i="16"/>
  <c r="I3911" i="16"/>
  <c r="B3911" i="16"/>
  <c r="F3911" i="16"/>
  <c r="G3911" i="16"/>
  <c r="H3911" i="16"/>
  <c r="AK3910" i="16"/>
  <c r="AF3910" i="16"/>
  <c r="AJ3910" i="16"/>
  <c r="AL3910" i="16"/>
  <c r="AM3910" i="16"/>
  <c r="V3910" i="16"/>
  <c r="AA3910" i="16"/>
  <c r="AC3910" i="16"/>
  <c r="AB3910" i="16"/>
  <c r="Z3910" i="16"/>
  <c r="P3910" i="16"/>
  <c r="R3910" i="16"/>
  <c r="Q3910" i="16"/>
  <c r="L3910" i="16"/>
  <c r="S3910" i="16"/>
  <c r="H3910" i="16"/>
  <c r="B3910" i="16"/>
  <c r="F3910" i="16"/>
  <c r="G3910" i="16"/>
  <c r="I3910" i="16"/>
  <c r="AJ3909" i="16"/>
  <c r="AF3909" i="16"/>
  <c r="AK3909" i="16"/>
  <c r="AL3909" i="16"/>
  <c r="AM3909" i="16"/>
  <c r="Z3909" i="16"/>
  <c r="AA3909" i="16"/>
  <c r="AB3909" i="16"/>
  <c r="AC3909" i="16"/>
  <c r="V3909" i="16"/>
  <c r="P3909" i="16"/>
  <c r="L3909" i="16"/>
  <c r="Q3909" i="16"/>
  <c r="S3909" i="16"/>
  <c r="R3909" i="16"/>
  <c r="I3909" i="16"/>
  <c r="H3909" i="16"/>
  <c r="G3909" i="16"/>
  <c r="F3909" i="16"/>
  <c r="B3909" i="16"/>
  <c r="AM3908" i="16"/>
  <c r="AL3908" i="16"/>
  <c r="AK3908" i="16"/>
  <c r="AJ3908" i="16"/>
  <c r="AF3908" i="16"/>
  <c r="AC3908" i="16"/>
  <c r="AB3908" i="16"/>
  <c r="AA3908" i="16"/>
  <c r="Z3908" i="16"/>
  <c r="V3908" i="16"/>
  <c r="S3908" i="16"/>
  <c r="R3908" i="16"/>
  <c r="Q3908" i="16"/>
  <c r="P3908" i="16"/>
  <c r="L3908" i="16"/>
  <c r="G3908" i="16"/>
  <c r="I3908" i="16"/>
  <c r="H3908" i="16"/>
  <c r="B3908" i="16"/>
  <c r="F3908" i="16"/>
  <c r="AM3907" i="16"/>
  <c r="AL3907" i="16"/>
  <c r="AK3907" i="16"/>
  <c r="AJ3907" i="16"/>
  <c r="AF3907" i="16"/>
  <c r="V3907" i="16"/>
  <c r="Z3907" i="16"/>
  <c r="AC3907" i="16"/>
  <c r="AB3907" i="16"/>
  <c r="AA3907" i="16"/>
  <c r="R3907" i="16"/>
  <c r="Q3907" i="16"/>
  <c r="P3907" i="16"/>
  <c r="L3907" i="16"/>
  <c r="S3907" i="16"/>
  <c r="B3907" i="16"/>
  <c r="F3907" i="16"/>
  <c r="I3907" i="16"/>
  <c r="H3907" i="16"/>
  <c r="G3907" i="16"/>
  <c r="AL3906" i="16"/>
  <c r="AM3906" i="16"/>
  <c r="AF3906" i="16"/>
  <c r="AJ3906" i="16"/>
  <c r="AK3906" i="16"/>
  <c r="Z3906" i="16"/>
  <c r="V3906" i="16"/>
  <c r="AA3906" i="16"/>
  <c r="AC3906" i="16"/>
  <c r="AB3906" i="16"/>
  <c r="S3906" i="16"/>
  <c r="R3906" i="16"/>
  <c r="P3906" i="16"/>
  <c r="Q3906" i="16"/>
  <c r="L3906" i="16"/>
  <c r="F3906" i="16"/>
  <c r="G3906" i="16"/>
  <c r="H3906" i="16"/>
  <c r="I3906" i="16"/>
  <c r="B3906" i="16"/>
  <c r="AM3905" i="16"/>
  <c r="AF3905" i="16"/>
  <c r="AJ3905" i="16"/>
  <c r="AK3905" i="16"/>
  <c r="AL3905" i="16"/>
  <c r="AC3905" i="16"/>
  <c r="AB3905" i="16"/>
  <c r="AA3905" i="16"/>
  <c r="Z3905" i="16"/>
  <c r="V3905" i="16"/>
  <c r="S3905" i="16"/>
  <c r="R3905" i="16"/>
  <c r="P3905" i="16"/>
  <c r="L3905" i="16"/>
  <c r="Q3905" i="16"/>
  <c r="H3905" i="16"/>
  <c r="I3905" i="16"/>
  <c r="F3905" i="16"/>
  <c r="B3905" i="16"/>
  <c r="G3905" i="16"/>
  <c r="AM3904" i="16"/>
  <c r="AL3904" i="16"/>
  <c r="AK3904" i="16"/>
  <c r="AJ3904" i="16"/>
  <c r="AF3904" i="16"/>
  <c r="AC3904" i="16"/>
  <c r="AA3904" i="16"/>
  <c r="Z3904" i="16"/>
  <c r="V3904" i="16"/>
  <c r="AB3904" i="16"/>
  <c r="R3904" i="16"/>
  <c r="Q3904" i="16"/>
  <c r="P3904" i="16"/>
  <c r="L3904" i="16"/>
  <c r="S3904" i="16"/>
  <c r="I3904" i="16"/>
  <c r="H3904" i="16"/>
  <c r="G3904" i="16"/>
  <c r="F3904" i="16"/>
  <c r="B3904" i="16"/>
  <c r="AF3903" i="16"/>
  <c r="AM3903" i="16"/>
  <c r="AL3903" i="16"/>
  <c r="AK3903" i="16"/>
  <c r="AJ3903" i="16"/>
  <c r="Z3903" i="16"/>
  <c r="AC3903" i="16"/>
  <c r="AB3903" i="16"/>
  <c r="V3903" i="16"/>
  <c r="AA3903" i="16"/>
  <c r="L3903" i="16"/>
  <c r="S3903" i="16"/>
  <c r="R3903" i="16"/>
  <c r="P3903" i="16"/>
  <c r="Q3903" i="16"/>
  <c r="I3903" i="16"/>
  <c r="H3903" i="16"/>
  <c r="G3903" i="16"/>
  <c r="F3903" i="16"/>
  <c r="B3903" i="16"/>
  <c r="AF3902" i="16"/>
  <c r="AL3902" i="16"/>
  <c r="AJ3902" i="16"/>
  <c r="AK3902" i="16"/>
  <c r="AM3902" i="16"/>
  <c r="Z3902" i="16"/>
  <c r="V3902" i="16"/>
  <c r="AC3902" i="16"/>
  <c r="AB3902" i="16"/>
  <c r="AA3902" i="16"/>
  <c r="Q3902" i="16"/>
  <c r="L3902" i="16"/>
  <c r="P3902" i="16"/>
  <c r="R3902" i="16"/>
  <c r="S3902" i="16"/>
  <c r="F3902" i="16"/>
  <c r="B3902" i="16"/>
  <c r="H3902" i="16"/>
  <c r="I3902" i="16"/>
  <c r="G3902" i="16"/>
  <c r="AF3901" i="16"/>
  <c r="AJ3901" i="16"/>
  <c r="AK3901" i="16"/>
  <c r="AM3901" i="16"/>
  <c r="AL3901" i="16"/>
  <c r="AB3901" i="16"/>
  <c r="AC3901" i="16"/>
  <c r="AA3901" i="16"/>
  <c r="Z3901" i="16"/>
  <c r="V3901" i="16"/>
  <c r="R3901" i="16"/>
  <c r="Q3901" i="16"/>
  <c r="L3901" i="16"/>
  <c r="P3901" i="16"/>
  <c r="S3901" i="16"/>
  <c r="B3901" i="16"/>
  <c r="G3901" i="16"/>
  <c r="H3901" i="16"/>
  <c r="I3901" i="16"/>
  <c r="F3901" i="16"/>
  <c r="AL3900" i="16"/>
  <c r="AM3900" i="16"/>
  <c r="AK3900" i="16"/>
  <c r="AJ3900" i="16"/>
  <c r="AF3900" i="16"/>
  <c r="Z3900" i="16"/>
  <c r="V3900" i="16"/>
  <c r="AA3900" i="16"/>
  <c r="AC3900" i="16"/>
  <c r="AB3900" i="16"/>
  <c r="L3900" i="16"/>
  <c r="P3900" i="16"/>
  <c r="Q3900" i="16"/>
  <c r="R3900" i="16"/>
  <c r="S3900" i="16"/>
  <c r="H3900" i="16"/>
  <c r="I3900" i="16"/>
  <c r="G3900" i="16"/>
  <c r="B3900" i="16"/>
  <c r="F3900" i="16"/>
  <c r="AF3899" i="16"/>
  <c r="AK3899" i="16"/>
  <c r="AJ3899" i="16"/>
  <c r="AL3899" i="16"/>
  <c r="AM3899" i="16"/>
  <c r="AC3899" i="16"/>
  <c r="AA3899" i="16"/>
  <c r="AB3899" i="16"/>
  <c r="Z3899" i="16"/>
  <c r="V3899" i="16"/>
  <c r="P3899" i="16"/>
  <c r="Q3899" i="16"/>
  <c r="R3899" i="16"/>
  <c r="S3899" i="16"/>
  <c r="L3899" i="16"/>
  <c r="B3899" i="16"/>
  <c r="F3899" i="16"/>
  <c r="G3899" i="16"/>
  <c r="H3899" i="16"/>
  <c r="I3899" i="16"/>
  <c r="AK3898" i="16"/>
  <c r="AF3898" i="16"/>
  <c r="AJ3898" i="16"/>
  <c r="AL3898" i="16"/>
  <c r="AM3898" i="16"/>
  <c r="V3898" i="16"/>
  <c r="AA3898" i="16"/>
  <c r="Z3898" i="16"/>
  <c r="AB3898" i="16"/>
  <c r="AC3898" i="16"/>
  <c r="L3898" i="16"/>
  <c r="S3898" i="16"/>
  <c r="R3898" i="16"/>
  <c r="Q3898" i="16"/>
  <c r="P3898" i="16"/>
  <c r="B3898" i="16"/>
  <c r="F3898" i="16"/>
  <c r="G3898" i="16"/>
  <c r="H3898" i="16"/>
  <c r="I3898" i="16"/>
  <c r="AL3897" i="16"/>
  <c r="AK3897" i="16"/>
  <c r="AJ3897" i="16"/>
  <c r="AF3897" i="16"/>
  <c r="AM3897" i="16"/>
  <c r="Z3897" i="16"/>
  <c r="V3897" i="16"/>
  <c r="AA3897" i="16"/>
  <c r="AB3897" i="16"/>
  <c r="AC3897" i="16"/>
  <c r="R3897" i="16"/>
  <c r="L3897" i="16"/>
  <c r="P3897" i="16"/>
  <c r="Q3897" i="16"/>
  <c r="S3897" i="16"/>
  <c r="B3897" i="16"/>
  <c r="F3897" i="16"/>
  <c r="G3897" i="16"/>
  <c r="H3897" i="16"/>
  <c r="I3897" i="16"/>
  <c r="AF3896" i="16"/>
  <c r="AJ3896" i="16"/>
  <c r="AK3896" i="16"/>
  <c r="AL3896" i="16"/>
  <c r="AM3896" i="16"/>
  <c r="V3896" i="16"/>
  <c r="Z3896" i="16"/>
  <c r="AA3896" i="16"/>
  <c r="AB3896" i="16"/>
  <c r="AC3896" i="16"/>
  <c r="Q3896" i="16"/>
  <c r="P3896" i="16"/>
  <c r="L3896" i="16"/>
  <c r="S3896" i="16"/>
  <c r="R3896" i="16"/>
  <c r="G3896" i="16"/>
  <c r="H3896" i="16"/>
  <c r="I3896" i="16"/>
  <c r="B3896" i="16"/>
  <c r="F3896" i="16"/>
  <c r="AK3895" i="16"/>
  <c r="AM3895" i="16"/>
  <c r="AL3895" i="16"/>
  <c r="AJ3895" i="16"/>
  <c r="AF3895" i="16"/>
  <c r="AA3895" i="16"/>
  <c r="AB3895" i="16"/>
  <c r="Z3895" i="16"/>
  <c r="V3895" i="16"/>
  <c r="AC3895" i="16"/>
  <c r="P3895" i="16"/>
  <c r="S3895" i="16"/>
  <c r="R3895" i="16"/>
  <c r="L3895" i="16"/>
  <c r="Q3895" i="16"/>
  <c r="B3895" i="16"/>
  <c r="F3895" i="16"/>
  <c r="G3895" i="16"/>
  <c r="I3895" i="16"/>
  <c r="H3895" i="16"/>
  <c r="AM3894" i="16"/>
  <c r="AL3894" i="16"/>
  <c r="AK3894" i="16"/>
  <c r="AJ3894" i="16"/>
  <c r="AF3894" i="16"/>
  <c r="V3894" i="16"/>
  <c r="AC3894" i="16"/>
  <c r="AB3894" i="16"/>
  <c r="AA3894" i="16"/>
  <c r="Z3894" i="16"/>
  <c r="L3894" i="16"/>
  <c r="P3894" i="16"/>
  <c r="Q3894" i="16"/>
  <c r="S3894" i="16"/>
  <c r="R3894" i="16"/>
  <c r="I3894" i="16"/>
  <c r="H3894" i="16"/>
  <c r="G3894" i="16"/>
  <c r="F3894" i="16"/>
  <c r="B3894" i="16"/>
  <c r="AM3893" i="16"/>
  <c r="AL3893" i="16"/>
  <c r="AK3893" i="16"/>
  <c r="AJ3893" i="16"/>
  <c r="AF3893" i="16"/>
  <c r="AC3893" i="16"/>
  <c r="AB3893" i="16"/>
  <c r="AA3893" i="16"/>
  <c r="Z3893" i="16"/>
  <c r="V3893" i="16"/>
  <c r="L3893" i="16"/>
  <c r="P3893" i="16"/>
  <c r="Q3893" i="16"/>
  <c r="R3893" i="16"/>
  <c r="S3893" i="16"/>
  <c r="G3893" i="16"/>
  <c r="B3893" i="16"/>
  <c r="F3893" i="16"/>
  <c r="I3893" i="16"/>
  <c r="H3893" i="16"/>
  <c r="AF3892" i="16"/>
  <c r="AJ3892" i="16"/>
  <c r="AK3892" i="16"/>
  <c r="AL3892" i="16"/>
  <c r="AM3892" i="16"/>
  <c r="AC3892" i="16"/>
  <c r="AB3892" i="16"/>
  <c r="V3892" i="16"/>
  <c r="Z3892" i="16"/>
  <c r="AA3892" i="16"/>
  <c r="L3892" i="16"/>
  <c r="P3892" i="16"/>
  <c r="Q3892" i="16"/>
  <c r="R3892" i="16"/>
  <c r="S3892" i="16"/>
  <c r="B3892" i="16"/>
  <c r="F3892" i="16"/>
  <c r="I3892" i="16"/>
  <c r="H3892" i="16"/>
  <c r="G3892" i="16"/>
  <c r="AF3891" i="16"/>
  <c r="AJ3891" i="16"/>
  <c r="AK3891" i="16"/>
  <c r="AL3891" i="16"/>
  <c r="AM3891" i="16"/>
  <c r="AC3891" i="16"/>
  <c r="AB3891" i="16"/>
  <c r="AA3891" i="16"/>
  <c r="Z3891" i="16"/>
  <c r="V3891" i="16"/>
  <c r="L3891" i="16"/>
  <c r="P3891" i="16"/>
  <c r="R3891" i="16"/>
  <c r="S3891" i="16"/>
  <c r="Q3891" i="16"/>
  <c r="H3891" i="16"/>
  <c r="I3891" i="16"/>
  <c r="B3891" i="16"/>
  <c r="F3891" i="16"/>
  <c r="G3891" i="16"/>
  <c r="AL3890" i="16"/>
  <c r="AM3890" i="16"/>
  <c r="AJ3890" i="16"/>
  <c r="AF3890" i="16"/>
  <c r="AK3890" i="16"/>
  <c r="Z3890" i="16"/>
  <c r="V3890" i="16"/>
  <c r="AC3890" i="16"/>
  <c r="AB3890" i="16"/>
  <c r="AA3890" i="16"/>
  <c r="L3890" i="16"/>
  <c r="P3890" i="16"/>
  <c r="Q3890" i="16"/>
  <c r="R3890" i="16"/>
  <c r="S3890" i="16"/>
  <c r="F3890" i="16"/>
  <c r="G3890" i="16"/>
  <c r="H3890" i="16"/>
  <c r="I3890" i="16"/>
  <c r="B3890" i="16"/>
  <c r="AF3889" i="16"/>
  <c r="AK3889" i="16"/>
  <c r="AJ3889" i="16"/>
  <c r="AL3889" i="16"/>
  <c r="AM3889" i="16"/>
  <c r="AB3889" i="16"/>
  <c r="AC3889" i="16"/>
  <c r="AA3889" i="16"/>
  <c r="V3889" i="16"/>
  <c r="Z3889" i="16"/>
  <c r="P3889" i="16"/>
  <c r="S3889" i="16"/>
  <c r="R3889" i="16"/>
  <c r="Q3889" i="16"/>
  <c r="L3889" i="16"/>
  <c r="F3889" i="16"/>
  <c r="G3889" i="16"/>
  <c r="H3889" i="16"/>
  <c r="I3889" i="16"/>
  <c r="B3889" i="16"/>
  <c r="AL3888" i="16"/>
  <c r="AM3888" i="16"/>
  <c r="AF3888" i="16"/>
  <c r="AJ3888" i="16"/>
  <c r="AK3888" i="16"/>
  <c r="AC3888" i="16"/>
  <c r="AB3888" i="16"/>
  <c r="AA3888" i="16"/>
  <c r="Z3888" i="16"/>
  <c r="V3888" i="16"/>
  <c r="S3888" i="16"/>
  <c r="R3888" i="16"/>
  <c r="Q3888" i="16"/>
  <c r="P3888" i="16"/>
  <c r="L3888" i="16"/>
  <c r="I3888" i="16"/>
  <c r="F3888" i="16"/>
  <c r="B3888" i="16"/>
  <c r="G3888" i="16"/>
  <c r="H3888" i="16"/>
  <c r="AK3887" i="16"/>
  <c r="AF3887" i="16"/>
  <c r="AJ3887" i="16"/>
  <c r="AM3887" i="16"/>
  <c r="AL3887" i="16"/>
  <c r="AA3887" i="16"/>
  <c r="AB3887" i="16"/>
  <c r="Z3887" i="16"/>
  <c r="AC3887" i="16"/>
  <c r="V3887" i="16"/>
  <c r="P3887" i="16"/>
  <c r="L3887" i="16"/>
  <c r="Q3887" i="16"/>
  <c r="R3887" i="16"/>
  <c r="S3887" i="16"/>
  <c r="H3887" i="16"/>
  <c r="B3887" i="16"/>
  <c r="F3887" i="16"/>
  <c r="G3887" i="16"/>
  <c r="I3887" i="16"/>
  <c r="AF3886" i="16"/>
  <c r="AJ3886" i="16"/>
  <c r="AK3886" i="16"/>
  <c r="AL3886" i="16"/>
  <c r="AM3886" i="16"/>
  <c r="V3886" i="16"/>
  <c r="Z3886" i="16"/>
  <c r="AC3886" i="16"/>
  <c r="AB3886" i="16"/>
  <c r="AA3886" i="16"/>
  <c r="L3886" i="16"/>
  <c r="P3886" i="16"/>
  <c r="Q3886" i="16"/>
  <c r="R3886" i="16"/>
  <c r="S3886" i="16"/>
  <c r="B3886" i="16"/>
  <c r="F3886" i="16"/>
  <c r="G3886" i="16"/>
  <c r="H3886" i="16"/>
  <c r="I3886" i="16"/>
  <c r="AJ3885" i="16"/>
  <c r="AF3885" i="16"/>
  <c r="AL3885" i="16"/>
  <c r="AK3885" i="16"/>
  <c r="AM3885" i="16"/>
  <c r="AC3885" i="16"/>
  <c r="AB3885" i="16"/>
  <c r="AA3885" i="16"/>
  <c r="Z3885" i="16"/>
  <c r="V3885" i="16"/>
  <c r="S3885" i="16"/>
  <c r="R3885" i="16"/>
  <c r="Q3885" i="16"/>
  <c r="P3885" i="16"/>
  <c r="L3885" i="16"/>
  <c r="I3885" i="16"/>
  <c r="H3885" i="16"/>
  <c r="G3885" i="16"/>
  <c r="F3885" i="16"/>
  <c r="B3885" i="16"/>
  <c r="AM3884" i="16"/>
  <c r="AL3884" i="16"/>
  <c r="AK3884" i="16"/>
  <c r="AJ3884" i="16"/>
  <c r="AF3884" i="16"/>
  <c r="AC3884" i="16"/>
  <c r="AB3884" i="16"/>
  <c r="AA3884" i="16"/>
  <c r="Z3884" i="16"/>
  <c r="V3884" i="16"/>
  <c r="R3884" i="16"/>
  <c r="Q3884" i="16"/>
  <c r="S3884" i="16"/>
  <c r="P3884" i="16"/>
  <c r="L3884" i="16"/>
  <c r="H3884" i="16"/>
  <c r="G3884" i="16"/>
  <c r="F3884" i="16"/>
  <c r="B3884" i="16"/>
  <c r="I3884" i="16"/>
  <c r="AF3883" i="16"/>
  <c r="AM3883" i="16"/>
  <c r="AL3883" i="16"/>
  <c r="AK3883" i="16"/>
  <c r="AJ3883" i="16"/>
  <c r="AA3883" i="16"/>
  <c r="Z3883" i="16"/>
  <c r="V3883" i="16"/>
  <c r="AB3883" i="16"/>
  <c r="AC3883" i="16"/>
  <c r="S3883" i="16"/>
  <c r="R3883" i="16"/>
  <c r="Q3883" i="16"/>
  <c r="P3883" i="16"/>
  <c r="L3883" i="16"/>
  <c r="I3883" i="16"/>
  <c r="H3883" i="16"/>
  <c r="G3883" i="16"/>
  <c r="F3883" i="16"/>
  <c r="B3883" i="16"/>
  <c r="AM3882" i="16"/>
  <c r="AL3882" i="16"/>
  <c r="AK3882" i="16"/>
  <c r="AF3882" i="16"/>
  <c r="AJ3882" i="16"/>
  <c r="AC3882" i="16"/>
  <c r="AB3882" i="16"/>
  <c r="AA3882" i="16"/>
  <c r="Z3882" i="16"/>
  <c r="V3882" i="16"/>
  <c r="S3882" i="16"/>
  <c r="R3882" i="16"/>
  <c r="Q3882" i="16"/>
  <c r="P3882" i="16"/>
  <c r="L3882" i="16"/>
  <c r="H3882" i="16"/>
  <c r="I3882" i="16"/>
  <c r="B3882" i="16"/>
  <c r="F3882" i="16"/>
  <c r="G3882" i="16"/>
  <c r="AJ3881" i="16"/>
  <c r="AF3881" i="16"/>
  <c r="AK3881" i="16"/>
  <c r="AM3881" i="16"/>
  <c r="AL3881" i="16"/>
  <c r="AC3881" i="16"/>
  <c r="AB3881" i="16"/>
  <c r="AA3881" i="16"/>
  <c r="Z3881" i="16"/>
  <c r="V3881" i="16"/>
  <c r="S3881" i="16"/>
  <c r="R3881" i="16"/>
  <c r="Q3881" i="16"/>
  <c r="L3881" i="16"/>
  <c r="P3881" i="16"/>
  <c r="F3881" i="16"/>
  <c r="I3881" i="16"/>
  <c r="H3881" i="16"/>
  <c r="G3881" i="16"/>
  <c r="B3881" i="16"/>
  <c r="AK3880" i="16"/>
  <c r="AJ3880" i="16"/>
  <c r="AF3880" i="16"/>
  <c r="AM3880" i="16"/>
  <c r="AL3880" i="16"/>
  <c r="AA3880" i="16"/>
  <c r="Z3880" i="16"/>
  <c r="V3880" i="16"/>
  <c r="AC3880" i="16"/>
  <c r="AB3880" i="16"/>
  <c r="S3880" i="16"/>
  <c r="Q3880" i="16"/>
  <c r="P3880" i="16"/>
  <c r="L3880" i="16"/>
  <c r="R3880" i="16"/>
  <c r="I3880" i="16"/>
  <c r="H3880" i="16"/>
  <c r="F3880" i="16"/>
  <c r="B3880" i="16"/>
  <c r="G3880" i="16"/>
  <c r="AM3879" i="16"/>
  <c r="AJ3879" i="16"/>
  <c r="AF3879" i="16"/>
  <c r="AK3879" i="16"/>
  <c r="AL3879" i="16"/>
  <c r="AB3879" i="16"/>
  <c r="Z3879" i="16"/>
  <c r="V3879" i="16"/>
  <c r="AC3879" i="16"/>
  <c r="AA3879" i="16"/>
  <c r="P3879" i="16"/>
  <c r="L3879" i="16"/>
  <c r="R3879" i="16"/>
  <c r="Q3879" i="16"/>
  <c r="S3879" i="16"/>
  <c r="I3879" i="16"/>
  <c r="H3879" i="16"/>
  <c r="G3879" i="16"/>
  <c r="F3879" i="16"/>
  <c r="B3879" i="16"/>
  <c r="AF3878" i="16"/>
  <c r="AM3878" i="16"/>
  <c r="AL3878" i="16"/>
  <c r="AK3878" i="16"/>
  <c r="AJ3878" i="16"/>
  <c r="AC3878" i="16"/>
  <c r="AA3878" i="16"/>
  <c r="Z3878" i="16"/>
  <c r="V3878" i="16"/>
  <c r="AB3878" i="16"/>
  <c r="S3878" i="16"/>
  <c r="R3878" i="16"/>
  <c r="Q3878" i="16"/>
  <c r="P3878" i="16"/>
  <c r="L3878" i="16"/>
  <c r="I3878" i="16"/>
  <c r="H3878" i="16"/>
  <c r="G3878" i="16"/>
  <c r="F3878" i="16"/>
  <c r="B3878" i="16"/>
  <c r="AM3877" i="16"/>
  <c r="AL3877" i="16"/>
  <c r="AK3877" i="16"/>
  <c r="AJ3877" i="16"/>
  <c r="AF3877" i="16"/>
  <c r="AC3877" i="16"/>
  <c r="AB3877" i="16"/>
  <c r="AA3877" i="16"/>
  <c r="Z3877" i="16"/>
  <c r="V3877" i="16"/>
  <c r="S3877" i="16"/>
  <c r="R3877" i="16"/>
  <c r="Q3877" i="16"/>
  <c r="P3877" i="16"/>
  <c r="L3877" i="16"/>
  <c r="I3877" i="16"/>
  <c r="H3877" i="16"/>
  <c r="G3877" i="16"/>
  <c r="F3877" i="16"/>
  <c r="B3877" i="16"/>
  <c r="AM3876" i="16"/>
  <c r="AL3876" i="16"/>
  <c r="AK3876" i="16"/>
  <c r="AJ3876" i="16"/>
  <c r="AF3876" i="16"/>
  <c r="AC3876" i="16"/>
  <c r="AB3876" i="16"/>
  <c r="AA3876" i="16"/>
  <c r="Z3876" i="16"/>
  <c r="V3876" i="16"/>
  <c r="S3876" i="16"/>
  <c r="R3876" i="16"/>
  <c r="Q3876" i="16"/>
  <c r="P3876" i="16"/>
  <c r="L3876" i="16"/>
  <c r="I3876" i="16"/>
  <c r="H3876" i="16"/>
  <c r="G3876" i="16"/>
  <c r="F3876" i="16"/>
  <c r="B3876" i="16"/>
  <c r="AM3875" i="16"/>
  <c r="AL3875" i="16"/>
  <c r="AK3875" i="16"/>
  <c r="AJ3875" i="16"/>
  <c r="AF3875" i="16"/>
  <c r="AC3875" i="16"/>
  <c r="AB3875" i="16"/>
  <c r="AA3875" i="16"/>
  <c r="Z3875" i="16"/>
  <c r="V3875" i="16"/>
  <c r="R3875" i="16"/>
  <c r="S3875" i="16"/>
  <c r="P3875" i="16"/>
  <c r="Q3875" i="16"/>
  <c r="L3875" i="16"/>
  <c r="B3875" i="16"/>
  <c r="F3875" i="16"/>
  <c r="G3875" i="16"/>
  <c r="H3875" i="16"/>
  <c r="I3875" i="16"/>
  <c r="AF3874" i="16"/>
  <c r="AJ3874" i="16"/>
  <c r="AK3874" i="16"/>
  <c r="AL3874" i="16"/>
  <c r="AM3874" i="16"/>
  <c r="Z3874" i="16"/>
  <c r="AA3874" i="16"/>
  <c r="AB3874" i="16"/>
  <c r="AC3874" i="16"/>
  <c r="V3874" i="16"/>
  <c r="L3874" i="16"/>
  <c r="Q3874" i="16"/>
  <c r="R3874" i="16"/>
  <c r="S3874" i="16"/>
  <c r="P3874" i="16"/>
  <c r="F3874" i="16"/>
  <c r="I3874" i="16"/>
  <c r="H3874" i="16"/>
  <c r="G3874" i="16"/>
  <c r="B3874" i="16"/>
  <c r="AF3873" i="16"/>
  <c r="AJ3873" i="16"/>
  <c r="AM3873" i="16"/>
  <c r="AL3873" i="16"/>
  <c r="AK3873" i="16"/>
  <c r="AC3873" i="16"/>
  <c r="AB3873" i="16"/>
  <c r="Z3873" i="16"/>
  <c r="AA3873" i="16"/>
  <c r="V3873" i="16"/>
  <c r="Q3873" i="16"/>
  <c r="P3873" i="16"/>
  <c r="L3873" i="16"/>
  <c r="S3873" i="16"/>
  <c r="R3873" i="16"/>
  <c r="G3873" i="16"/>
  <c r="I3873" i="16"/>
  <c r="H3873" i="16"/>
  <c r="B3873" i="16"/>
  <c r="F3873" i="16"/>
  <c r="AJ3872" i="16"/>
  <c r="AM3872" i="16"/>
  <c r="AK3872" i="16"/>
  <c r="AL3872" i="16"/>
  <c r="AF3872" i="16"/>
  <c r="AC3872" i="16"/>
  <c r="AB3872" i="16"/>
  <c r="AA3872" i="16"/>
  <c r="Z3872" i="16"/>
  <c r="V3872" i="16"/>
  <c r="S3872" i="16"/>
  <c r="R3872" i="16"/>
  <c r="P3872" i="16"/>
  <c r="L3872" i="16"/>
  <c r="Q3872" i="16"/>
  <c r="F3872" i="16"/>
  <c r="G3872" i="16"/>
  <c r="B3872" i="16"/>
  <c r="H3872" i="16"/>
  <c r="I3872" i="16"/>
  <c r="AJ3871" i="16"/>
  <c r="AK3871" i="16"/>
  <c r="AL3871" i="16"/>
  <c r="AM3871" i="16"/>
  <c r="AF3871" i="16"/>
  <c r="AA3871" i="16"/>
  <c r="AB3871" i="16"/>
  <c r="AC3871" i="16"/>
  <c r="Z3871" i="16"/>
  <c r="V3871" i="16"/>
  <c r="P3871" i="16"/>
  <c r="R3871" i="16"/>
  <c r="S3871" i="16"/>
  <c r="L3871" i="16"/>
  <c r="Q3871" i="16"/>
  <c r="H3871" i="16"/>
  <c r="F3871" i="16"/>
  <c r="I3871" i="16"/>
  <c r="G3871" i="16"/>
  <c r="B3871" i="16"/>
  <c r="AL3870" i="16"/>
  <c r="AJ3870" i="16"/>
  <c r="AF3870" i="16"/>
  <c r="AK3870" i="16"/>
  <c r="AM3870" i="16"/>
  <c r="V3870" i="16"/>
  <c r="Z3870" i="16"/>
  <c r="AC3870" i="16"/>
  <c r="AB3870" i="16"/>
  <c r="AA3870" i="16"/>
  <c r="Q3870" i="16"/>
  <c r="S3870" i="16"/>
  <c r="R3870" i="16"/>
  <c r="L3870" i="16"/>
  <c r="P3870" i="16"/>
  <c r="F3870" i="16"/>
  <c r="B3870" i="16"/>
  <c r="I3870" i="16"/>
  <c r="H3870" i="16"/>
  <c r="G3870" i="16"/>
  <c r="AJ3869" i="16"/>
  <c r="AF3869" i="16"/>
  <c r="V3869" i="16"/>
  <c r="Z3869" i="16"/>
  <c r="L3869" i="16"/>
  <c r="P3869" i="16"/>
  <c r="F3869" i="16"/>
  <c r="B3869" i="16"/>
  <c r="AJ3868" i="16"/>
  <c r="AF3868" i="16"/>
  <c r="V3868" i="16"/>
  <c r="AB3868" i="16"/>
  <c r="AA3868" i="16"/>
  <c r="AC3868" i="16" s="1"/>
  <c r="Z3868" i="16"/>
  <c r="P3868" i="16"/>
  <c r="L3868" i="16"/>
  <c r="F3868" i="16"/>
  <c r="B3868" i="16"/>
  <c r="H3869" i="16" s="1"/>
  <c r="H3868" i="16"/>
  <c r="G3868" i="16"/>
  <c r="I3868" i="16" s="1"/>
  <c r="AF3867" i="16"/>
  <c r="AL3867" i="16" s="1"/>
  <c r="AK3867" i="16"/>
  <c r="AM3867" i="16" s="1"/>
  <c r="AJ3867" i="16"/>
  <c r="Z3867" i="16"/>
  <c r="V3867" i="16"/>
  <c r="L3867" i="16"/>
  <c r="Q3867" i="16" s="1"/>
  <c r="S3867" i="16" s="1"/>
  <c r="P3867" i="16"/>
  <c r="R3867" i="16"/>
  <c r="F3867" i="16"/>
  <c r="B3867" i="16"/>
  <c r="AJ3866" i="16"/>
  <c r="AF3866" i="16"/>
  <c r="AL3866" i="16" s="1"/>
  <c r="AM3866" i="16" s="1"/>
  <c r="AK3866" i="16"/>
  <c r="V3866" i="16"/>
  <c r="Z3866" i="16"/>
  <c r="P3866" i="16"/>
  <c r="L3866" i="16"/>
  <c r="F3866" i="16"/>
  <c r="B3866" i="16"/>
  <c r="AJ3865" i="16"/>
  <c r="AF3865" i="16"/>
  <c r="V3865" i="16"/>
  <c r="Z3865" i="16"/>
  <c r="L3865" i="16"/>
  <c r="R3865" i="16" s="1"/>
  <c r="P3865" i="16"/>
  <c r="B3865" i="16"/>
  <c r="G3865" i="16" s="1"/>
  <c r="F3865" i="16"/>
  <c r="AJ3864" i="16"/>
  <c r="AF3864" i="16"/>
  <c r="Z3864" i="16"/>
  <c r="V3864" i="16"/>
  <c r="L3864" i="16"/>
  <c r="P3864" i="16"/>
  <c r="Q3864" i="16"/>
  <c r="B3864" i="16"/>
  <c r="H3865" i="16" s="1"/>
  <c r="F3864" i="16"/>
  <c r="H3864" i="16"/>
  <c r="G3864" i="16"/>
  <c r="I3864" i="16" s="1"/>
  <c r="AF3863" i="16"/>
  <c r="AJ3863" i="16"/>
  <c r="AL3863" i="16"/>
  <c r="AK3863" i="16"/>
  <c r="AM3863" i="16" s="1"/>
  <c r="Z3863" i="16"/>
  <c r="V3863" i="16"/>
  <c r="AA3863" i="16"/>
  <c r="AB3863" i="16"/>
  <c r="L3863" i="16"/>
  <c r="R3863" i="16" s="1"/>
  <c r="P3863" i="16"/>
  <c r="Q3863" i="16"/>
  <c r="S3863" i="16" s="1"/>
  <c r="F3863" i="16"/>
  <c r="B3863" i="16"/>
  <c r="AJ3862" i="16"/>
  <c r="AF3862" i="16"/>
  <c r="V3862" i="16"/>
  <c r="Z3862" i="16"/>
  <c r="P3862" i="16"/>
  <c r="L3862" i="16"/>
  <c r="F3862" i="16"/>
  <c r="B3862" i="16"/>
  <c r="H3862" i="16" s="1"/>
  <c r="G3862" i="16"/>
  <c r="AF3861" i="16"/>
  <c r="AK3861" i="16"/>
  <c r="AL3861" i="16"/>
  <c r="AM3861" i="16"/>
  <c r="AJ3861" i="16"/>
  <c r="Z3861" i="16"/>
  <c r="V3861" i="16"/>
  <c r="AA3861" i="16" s="1"/>
  <c r="AB3861" i="16"/>
  <c r="L3861" i="16"/>
  <c r="R3861" i="16"/>
  <c r="Q3861" i="16"/>
  <c r="S3861" i="16" s="1"/>
  <c r="P3861" i="16"/>
  <c r="B3861" i="16"/>
  <c r="F3861" i="16"/>
  <c r="H3861" i="16"/>
  <c r="G3861" i="16"/>
  <c r="I3861" i="16" s="1"/>
  <c r="AJ3860" i="16"/>
  <c r="AF3860" i="16"/>
  <c r="Z3860" i="16"/>
  <c r="V3860" i="16"/>
  <c r="AB3860" i="16" s="1"/>
  <c r="AA3860" i="16"/>
  <c r="AC3860" i="16" s="1"/>
  <c r="P3860" i="16"/>
  <c r="L3860" i="16"/>
  <c r="F3860" i="16"/>
  <c r="B3860" i="16"/>
  <c r="AJ3859" i="16"/>
  <c r="AF3859" i="16"/>
  <c r="V3859" i="16"/>
  <c r="Z3859" i="16"/>
  <c r="L3859" i="16"/>
  <c r="P3859" i="16"/>
  <c r="R3859" i="16"/>
  <c r="Q3859" i="16"/>
  <c r="S3859" i="16" s="1"/>
  <c r="F3859" i="16"/>
  <c r="B3859" i="16"/>
  <c r="AJ3858" i="16"/>
  <c r="AF3858" i="16"/>
  <c r="V3858" i="16"/>
  <c r="Z3858" i="16"/>
  <c r="L3858" i="16"/>
  <c r="P3858" i="16"/>
  <c r="B3858" i="16"/>
  <c r="F3858" i="16"/>
  <c r="AJ3857" i="16"/>
  <c r="AF3857" i="16"/>
  <c r="Z3857" i="16"/>
  <c r="V3857" i="16"/>
  <c r="AB3857" i="16" s="1"/>
  <c r="AA3857" i="16"/>
  <c r="AC3857" i="16" s="1"/>
  <c r="L3857" i="16"/>
  <c r="Q3857" i="16" s="1"/>
  <c r="S3857" i="16" s="1"/>
  <c r="P3857" i="16"/>
  <c r="R3857" i="16"/>
  <c r="F3857" i="16"/>
  <c r="B3857" i="16"/>
  <c r="H3857" i="16" s="1"/>
  <c r="G3857" i="16"/>
  <c r="AJ3856" i="16"/>
  <c r="AF3856" i="16"/>
  <c r="V3856" i="16"/>
  <c r="Z3856" i="16"/>
  <c r="P3856" i="16"/>
  <c r="L3856" i="16"/>
  <c r="F3856" i="16"/>
  <c r="B3856" i="16"/>
  <c r="AF3855" i="16"/>
  <c r="AJ3855" i="16"/>
  <c r="V3855" i="16"/>
  <c r="Z3855" i="16"/>
  <c r="L3855" i="16"/>
  <c r="P3855" i="16"/>
  <c r="B3855" i="16"/>
  <c r="F3855" i="16"/>
  <c r="AF3854" i="16"/>
  <c r="AJ3854" i="16"/>
  <c r="AL3854" i="16"/>
  <c r="AK3854" i="16"/>
  <c r="AM3854" i="16" s="1"/>
  <c r="Z3854" i="16"/>
  <c r="V3854" i="16"/>
  <c r="P3854" i="16"/>
  <c r="L3854" i="16"/>
  <c r="Q3854" i="16" s="1"/>
  <c r="S3854" i="16" s="1"/>
  <c r="R3854" i="16"/>
  <c r="B3854" i="16"/>
  <c r="F3854" i="16"/>
  <c r="H3854" i="16"/>
  <c r="G3854" i="16"/>
  <c r="I3854" i="16" s="1"/>
  <c r="AF3853" i="16"/>
  <c r="AK3853" i="16"/>
  <c r="AM3853" i="16" s="1"/>
  <c r="AL3853" i="16"/>
  <c r="AJ3853" i="16"/>
  <c r="Z3853" i="16"/>
  <c r="V3853" i="16"/>
  <c r="P3853" i="16"/>
  <c r="L3853" i="16"/>
  <c r="Q3853" i="16"/>
  <c r="S3853" i="16" s="1"/>
  <c r="R3853" i="16"/>
  <c r="B3853" i="16"/>
  <c r="F3853" i="16"/>
  <c r="AF3852" i="16"/>
  <c r="AK3852" i="16" s="1"/>
  <c r="AM3852" i="16" s="1"/>
  <c r="AJ3852" i="16"/>
  <c r="AL3852" i="16"/>
  <c r="Z3852" i="16"/>
  <c r="V3852" i="16"/>
  <c r="L3852" i="16"/>
  <c r="P3852" i="16"/>
  <c r="B3852" i="16"/>
  <c r="F3852" i="16"/>
  <c r="AJ3851" i="16"/>
  <c r="AF3851" i="16"/>
  <c r="V3851" i="16"/>
  <c r="Z3851" i="16"/>
  <c r="L3851" i="16"/>
  <c r="P3851" i="16"/>
  <c r="F3851" i="16"/>
  <c r="B3851" i="16"/>
  <c r="AF3850" i="16"/>
  <c r="AJ3850" i="16"/>
  <c r="Z3850" i="16"/>
  <c r="V3850" i="16"/>
  <c r="L3850" i="16"/>
  <c r="P3850" i="16"/>
  <c r="B3850" i="16"/>
  <c r="F3850" i="16"/>
  <c r="AF3849" i="16"/>
  <c r="AJ3849" i="16"/>
  <c r="V3849" i="16"/>
  <c r="Z3849" i="16"/>
  <c r="P3849" i="16"/>
  <c r="L3849" i="16"/>
  <c r="B3849" i="16"/>
  <c r="F3849" i="16"/>
  <c r="AF3848" i="16"/>
  <c r="AJ3848" i="16"/>
  <c r="AL3848" i="16"/>
  <c r="AK3848" i="16"/>
  <c r="AM3848" i="16" s="1"/>
  <c r="Z3848" i="16"/>
  <c r="V3848" i="16"/>
  <c r="L3848" i="16"/>
  <c r="R3848" i="16" s="1"/>
  <c r="P3848" i="16"/>
  <c r="Q3848" i="16"/>
  <c r="B3848" i="16"/>
  <c r="G3848" i="16"/>
  <c r="F3848" i="16"/>
  <c r="AJ3847" i="16"/>
  <c r="AF3847" i="16"/>
  <c r="Z3847" i="16"/>
  <c r="V3847" i="16"/>
  <c r="P3847" i="16"/>
  <c r="L3847" i="16"/>
  <c r="B3847" i="16"/>
  <c r="F3847" i="16"/>
  <c r="AJ3846" i="16"/>
  <c r="AF3846" i="16"/>
  <c r="Z3846" i="16"/>
  <c r="V3846" i="16"/>
  <c r="L3846" i="16"/>
  <c r="P3846" i="16"/>
  <c r="B3846" i="16"/>
  <c r="F3846" i="16"/>
  <c r="AF3845" i="16"/>
  <c r="AJ3845" i="16"/>
  <c r="Z3845" i="16"/>
  <c r="V3845" i="16"/>
  <c r="L3845" i="16"/>
  <c r="P3845" i="16"/>
  <c r="B3845" i="16"/>
  <c r="F3845" i="16"/>
  <c r="AF3844" i="16"/>
  <c r="AJ3844" i="16"/>
  <c r="V3844" i="16"/>
  <c r="Z3844" i="16"/>
  <c r="P3844" i="16"/>
  <c r="L3844" i="16"/>
  <c r="F3844" i="16"/>
  <c r="B3844" i="16"/>
  <c r="AJ3843" i="16"/>
  <c r="AF3843" i="16"/>
  <c r="V3843" i="16"/>
  <c r="Z3843" i="16"/>
  <c r="P3843" i="16"/>
  <c r="L3843" i="16"/>
  <c r="F3843" i="16"/>
  <c r="B3843" i="16"/>
  <c r="AJ3842" i="16"/>
  <c r="AF3842" i="16"/>
  <c r="V3842" i="16"/>
  <c r="Z3842" i="16"/>
  <c r="P3842" i="16"/>
  <c r="L3842" i="16"/>
  <c r="B3842" i="16"/>
  <c r="F3842" i="16"/>
  <c r="AF3841" i="16"/>
  <c r="AJ3841" i="16"/>
  <c r="Z3841" i="16"/>
  <c r="V3841" i="16"/>
  <c r="P3841" i="16"/>
  <c r="L3841" i="16"/>
  <c r="F3841" i="16"/>
  <c r="B3841" i="16"/>
  <c r="AJ3840" i="16"/>
  <c r="AF3840" i="16"/>
  <c r="Z3840" i="16"/>
  <c r="V3840" i="16"/>
  <c r="L3840" i="16"/>
  <c r="P3840" i="16"/>
  <c r="F3840" i="16"/>
  <c r="B3840" i="16"/>
  <c r="AJ3839" i="16"/>
  <c r="AF3839" i="16"/>
  <c r="Z3839" i="16"/>
  <c r="V3839" i="16"/>
  <c r="P3839" i="16"/>
  <c r="L3839" i="16"/>
  <c r="B3839" i="16"/>
  <c r="F3839" i="16"/>
  <c r="AJ3838" i="16"/>
  <c r="AF3838" i="16"/>
  <c r="Z3838" i="16"/>
  <c r="V3838" i="16"/>
  <c r="P3838" i="16"/>
  <c r="L3838" i="16"/>
  <c r="F3838" i="16"/>
  <c r="B3838" i="16"/>
  <c r="AJ3837" i="16"/>
  <c r="AF3837" i="16"/>
  <c r="Z3837" i="16"/>
  <c r="V3837" i="16"/>
  <c r="P3837" i="16"/>
  <c r="L3837" i="16"/>
  <c r="F3837" i="16"/>
  <c r="B3837" i="16"/>
  <c r="AJ3836" i="16"/>
  <c r="AF3836" i="16"/>
  <c r="Z3836" i="16"/>
  <c r="V3836" i="16"/>
  <c r="P3836" i="16"/>
  <c r="L3836" i="16"/>
  <c r="F3836" i="16"/>
  <c r="B3836" i="16"/>
  <c r="AJ3835" i="16"/>
  <c r="AF3835" i="16"/>
  <c r="Z3835" i="16"/>
  <c r="V3835" i="16"/>
  <c r="L3835" i="16"/>
  <c r="P3835" i="16"/>
  <c r="F3835" i="16"/>
  <c r="B3835" i="16"/>
  <c r="AJ3834" i="16"/>
  <c r="AF3834" i="16"/>
  <c r="Z3834" i="16"/>
  <c r="V3834" i="16"/>
  <c r="P3834" i="16"/>
  <c r="L3834" i="16"/>
  <c r="B3834" i="16"/>
  <c r="F3834" i="16"/>
  <c r="AJ3833" i="16"/>
  <c r="AF3833" i="16"/>
  <c r="Z3833" i="16"/>
  <c r="V3833" i="16"/>
  <c r="P3833" i="16"/>
  <c r="L3833" i="16"/>
  <c r="F3833" i="16"/>
  <c r="B3833" i="16"/>
  <c r="AJ3832" i="16"/>
  <c r="AF3832" i="16"/>
  <c r="V3832" i="16"/>
  <c r="Z3832" i="16"/>
  <c r="P3832" i="16"/>
  <c r="L3832" i="16"/>
  <c r="F3832" i="16"/>
  <c r="B3832" i="16"/>
  <c r="AJ3831" i="16"/>
  <c r="AF3831" i="16"/>
  <c r="Z3831" i="16"/>
  <c r="V3831" i="16"/>
  <c r="P3831" i="16"/>
  <c r="L3831" i="16"/>
  <c r="F3831" i="16"/>
  <c r="B3831" i="16"/>
  <c r="AJ3830" i="16"/>
  <c r="AF3830" i="16"/>
  <c r="Z3830" i="16"/>
  <c r="V3830" i="16"/>
  <c r="P3830" i="16"/>
  <c r="L3830" i="16"/>
  <c r="F3830" i="16"/>
  <c r="B3830" i="16"/>
  <c r="AJ3829" i="16"/>
  <c r="AF3829" i="16"/>
  <c r="Z3829" i="16"/>
  <c r="V3829" i="16"/>
  <c r="L3829" i="16"/>
  <c r="P3829" i="16"/>
  <c r="B3829" i="16"/>
  <c r="F3829" i="16"/>
  <c r="AJ3828" i="16"/>
  <c r="AF3828" i="16"/>
  <c r="Z3828" i="16"/>
  <c r="V3828" i="16"/>
  <c r="P3828" i="16"/>
  <c r="L3828" i="16"/>
  <c r="R3828" i="16" s="1"/>
  <c r="F3828" i="16"/>
  <c r="B3828" i="16"/>
  <c r="AJ3827" i="16"/>
  <c r="AF3827" i="16"/>
  <c r="Z3827" i="16"/>
  <c r="V3827" i="16"/>
  <c r="P3827" i="16"/>
  <c r="L3827" i="16"/>
  <c r="F3827" i="16"/>
  <c r="B3827" i="16"/>
  <c r="AJ3826" i="16"/>
  <c r="AF3826" i="16"/>
  <c r="Z3826" i="16"/>
  <c r="V3826" i="16"/>
  <c r="P3826" i="16"/>
  <c r="L3826" i="16"/>
  <c r="F3826" i="16"/>
  <c r="B3826" i="16"/>
  <c r="AJ3825" i="16"/>
  <c r="AF3825" i="16"/>
  <c r="V3825" i="16"/>
  <c r="Z3825" i="16"/>
  <c r="L3825" i="16"/>
  <c r="P3825" i="16"/>
  <c r="B3825" i="16"/>
  <c r="F3825" i="16"/>
  <c r="AJ3824" i="16"/>
  <c r="AF3824" i="16"/>
  <c r="Z3824" i="16"/>
  <c r="V3824" i="16"/>
  <c r="P3824" i="16"/>
  <c r="L3824" i="16"/>
  <c r="F3824" i="16"/>
  <c r="B3824" i="16"/>
  <c r="AJ3823" i="16"/>
  <c r="AF3823" i="16"/>
  <c r="Z3823" i="16"/>
  <c r="V3823" i="16"/>
  <c r="L3823" i="16"/>
  <c r="P3823" i="16"/>
  <c r="B3823" i="16"/>
  <c r="F3823" i="16"/>
  <c r="AJ3822" i="16"/>
  <c r="AF3822" i="16"/>
  <c r="Z3822" i="16"/>
  <c r="V3822" i="16"/>
  <c r="P3822" i="16"/>
  <c r="L3822" i="16"/>
  <c r="B3822" i="16"/>
  <c r="F3822" i="16"/>
  <c r="AJ3821" i="16"/>
  <c r="AF3821" i="16"/>
  <c r="V3821" i="16"/>
  <c r="Z3821" i="16"/>
  <c r="P3821" i="16"/>
  <c r="L3821" i="16"/>
  <c r="F3821" i="16"/>
  <c r="B3821" i="16"/>
  <c r="AJ3820" i="16"/>
  <c r="AF3820" i="16"/>
  <c r="Z3820" i="16"/>
  <c r="V3820" i="16"/>
  <c r="P3820" i="16"/>
  <c r="L3820" i="16"/>
  <c r="F3820" i="16"/>
  <c r="B3820" i="16"/>
  <c r="AJ3819" i="16"/>
  <c r="AF3819" i="16"/>
  <c r="Z3819" i="16"/>
  <c r="V3819" i="16"/>
  <c r="P3819" i="16"/>
  <c r="L3819" i="16"/>
  <c r="F3819" i="16"/>
  <c r="B3819" i="16"/>
  <c r="AJ3818" i="16"/>
  <c r="AF3818" i="16"/>
  <c r="V3818" i="16"/>
  <c r="Z3818" i="16"/>
  <c r="L3818" i="16"/>
  <c r="P3818" i="16"/>
  <c r="F3818" i="16"/>
  <c r="B3818" i="16"/>
  <c r="AF3817" i="16"/>
  <c r="AJ3817" i="16"/>
  <c r="V3817" i="16"/>
  <c r="Z3817" i="16"/>
  <c r="P3817" i="16"/>
  <c r="L3817" i="16"/>
  <c r="F3817" i="16"/>
  <c r="B3817" i="16"/>
  <c r="AF3816" i="16"/>
  <c r="AJ3816" i="16"/>
  <c r="Z3816" i="16"/>
  <c r="V3816" i="16"/>
  <c r="P3816" i="16"/>
  <c r="L3816" i="16"/>
  <c r="B3816" i="16"/>
  <c r="F3816" i="16"/>
  <c r="AJ3815" i="16"/>
  <c r="AF3815" i="16"/>
  <c r="Z3815" i="16"/>
  <c r="V3815" i="16"/>
  <c r="L3815" i="16"/>
  <c r="P3815" i="16"/>
  <c r="F3815" i="16"/>
  <c r="B3815" i="16"/>
  <c r="AJ3814" i="16"/>
  <c r="AF3814" i="16"/>
  <c r="V3814" i="16"/>
  <c r="Z3814" i="16"/>
  <c r="AB3814" i="16"/>
  <c r="P3814" i="16"/>
  <c r="L3814" i="16"/>
  <c r="B3814" i="16"/>
  <c r="F3814" i="16"/>
  <c r="AF3813" i="16"/>
  <c r="AJ3813" i="16"/>
  <c r="Z3813" i="16"/>
  <c r="V3813" i="16"/>
  <c r="P3813" i="16"/>
  <c r="L3813" i="16"/>
  <c r="B3813" i="16"/>
  <c r="F3813" i="16"/>
  <c r="AJ3812" i="16"/>
  <c r="AF3812" i="16"/>
  <c r="V3812" i="16"/>
  <c r="AB3812" i="16"/>
  <c r="AA3812" i="16"/>
  <c r="AC3812" i="16" s="1"/>
  <c r="Z3812" i="16"/>
  <c r="P3812" i="16"/>
  <c r="L3812" i="16"/>
  <c r="R3812" i="16"/>
  <c r="Q3812" i="16"/>
  <c r="S3812" i="16" s="1"/>
  <c r="F3812" i="16"/>
  <c r="B3812" i="16"/>
  <c r="AJ3811" i="16"/>
  <c r="AF3811" i="16"/>
  <c r="Z3811" i="16"/>
  <c r="V3811" i="16"/>
  <c r="P3811" i="16"/>
  <c r="L3811" i="16"/>
  <c r="B3811" i="16"/>
  <c r="F3811" i="16"/>
  <c r="AJ3810" i="16"/>
  <c r="AF3810" i="16"/>
  <c r="AL3810" i="16"/>
  <c r="AK3810" i="16"/>
  <c r="AM3810" i="16"/>
  <c r="Z3810" i="16"/>
  <c r="V3810" i="16"/>
  <c r="AA3810" i="16"/>
  <c r="AB3810" i="16"/>
  <c r="AC3810" i="16"/>
  <c r="P3810" i="16"/>
  <c r="L3810" i="16"/>
  <c r="R3810" i="16"/>
  <c r="Q3810" i="16"/>
  <c r="S3810" i="16" s="1"/>
  <c r="F3810" i="16"/>
  <c r="B3810" i="16"/>
  <c r="G3810" i="16" s="1"/>
  <c r="H3810" i="16"/>
  <c r="AJ3809" i="16"/>
  <c r="AF3809" i="16"/>
  <c r="AK3809" i="16"/>
  <c r="AL3809" i="16"/>
  <c r="AM3809" i="16"/>
  <c r="Z3809" i="16"/>
  <c r="V3809" i="16"/>
  <c r="L3809" i="16"/>
  <c r="P3809" i="16"/>
  <c r="B3809" i="16"/>
  <c r="F3809" i="16"/>
  <c r="AF3808" i="16"/>
  <c r="AJ3808" i="16"/>
  <c r="V3808" i="16"/>
  <c r="Z3808" i="16"/>
  <c r="P3808" i="16"/>
  <c r="L3808" i="16"/>
  <c r="B3808" i="16"/>
  <c r="F3808" i="16"/>
  <c r="AJ3807" i="16"/>
  <c r="AF3807" i="16"/>
  <c r="Z3807" i="16"/>
  <c r="V3807" i="16"/>
  <c r="P3807" i="16"/>
  <c r="L3807" i="16"/>
  <c r="F3807" i="16"/>
  <c r="B3807" i="16"/>
  <c r="AF3806" i="16"/>
  <c r="L4213" i="16" s="1"/>
  <c r="AJ3806" i="16"/>
  <c r="AK3806" i="16"/>
  <c r="AL3806" i="16"/>
  <c r="AM3806" i="16"/>
  <c r="Z3806" i="16"/>
  <c r="V3806" i="16"/>
  <c r="L4159" i="16" s="1"/>
  <c r="P3806" i="16"/>
  <c r="L3806" i="16"/>
  <c r="R3806" i="16"/>
  <c r="B3806" i="16"/>
  <c r="H3808" i="16" s="1"/>
  <c r="F3806" i="16"/>
  <c r="G3806" i="16"/>
  <c r="I3806" i="16" s="1"/>
  <c r="H3806" i="16"/>
  <c r="G3751" i="16"/>
  <c r="Q3751" i="16" s="1"/>
  <c r="B3752" i="16"/>
  <c r="I3751" i="16"/>
  <c r="C3751" i="16"/>
  <c r="F3751" i="16" s="1"/>
  <c r="E3751" i="16"/>
  <c r="AL72" i="16"/>
  <c r="AK72" i="16"/>
  <c r="L72" i="16"/>
  <c r="AI72" i="16" s="1"/>
  <c r="K72" i="16"/>
  <c r="AD72" i="16" s="1"/>
  <c r="A3749" i="16"/>
  <c r="B3749" i="16"/>
  <c r="E3748" i="16"/>
  <c r="H3751" i="16"/>
  <c r="H3752"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L3752" i="16"/>
  <c r="L3751" i="16"/>
  <c r="K3751" i="16"/>
  <c r="A72" i="16"/>
  <c r="B3799" i="16"/>
  <c r="C72" i="16" s="1"/>
  <c r="C3697" i="16"/>
  <c r="F3697" i="16" s="1"/>
  <c r="E3697" i="16"/>
  <c r="G3697" i="16"/>
  <c r="B3698" i="16"/>
  <c r="L71" i="16"/>
  <c r="AI71" i="16" s="1"/>
  <c r="AL71" i="16"/>
  <c r="K71" i="16"/>
  <c r="AD71" i="16" s="1"/>
  <c r="AK71" i="16"/>
  <c r="A3695" i="16"/>
  <c r="B3695" i="16"/>
  <c r="J3695" i="16" s="1"/>
  <c r="E3694" i="16"/>
  <c r="H3698" i="16"/>
  <c r="H3700" i="16"/>
  <c r="H3702" i="16"/>
  <c r="H3706" i="16"/>
  <c r="H3707" i="16"/>
  <c r="H3713" i="16"/>
  <c r="H3714" i="16"/>
  <c r="H3717" i="16"/>
  <c r="H3719" i="16"/>
  <c r="H3721" i="16"/>
  <c r="H3722" i="16"/>
  <c r="H3728" i="16"/>
  <c r="H3732" i="16"/>
  <c r="H3734" i="16"/>
  <c r="H3740" i="16"/>
  <c r="H3741" i="16"/>
  <c r="H3742" i="16"/>
  <c r="H3743" i="16"/>
  <c r="H3744" i="16"/>
  <c r="H3699" i="16"/>
  <c r="H3701" i="16"/>
  <c r="H3704" i="16"/>
  <c r="H3705" i="16"/>
  <c r="H3708" i="16"/>
  <c r="H3709" i="16"/>
  <c r="H3710" i="16"/>
  <c r="H3720" i="16"/>
  <c r="H3723" i="16"/>
  <c r="H3724" i="16"/>
  <c r="H3725" i="16"/>
  <c r="H3727" i="16"/>
  <c r="H3729" i="16"/>
  <c r="H3730" i="16"/>
  <c r="H3731" i="16"/>
  <c r="H3735" i="16"/>
  <c r="H3736" i="16"/>
  <c r="H3737" i="16"/>
  <c r="H3739" i="16"/>
  <c r="L3698" i="16"/>
  <c r="L3697" i="16"/>
  <c r="I3697" i="16"/>
  <c r="B3745" i="16"/>
  <c r="C71" i="16" s="1"/>
  <c r="K3697" i="16"/>
  <c r="A71" i="16"/>
  <c r="B3644" i="16"/>
  <c r="G3643" i="16"/>
  <c r="E3643" i="16"/>
  <c r="C3643" i="16"/>
  <c r="F3643" i="16" s="1"/>
  <c r="A3641" i="16"/>
  <c r="B3641" i="16"/>
  <c r="J3641" i="16" s="1"/>
  <c r="E3640" i="16"/>
  <c r="H3643" i="16" s="1"/>
  <c r="H3644" i="16"/>
  <c r="H3645" i="16"/>
  <c r="H3646" i="16"/>
  <c r="H3647" i="16"/>
  <c r="H3648" i="16"/>
  <c r="H3649" i="16"/>
  <c r="H3650" i="16"/>
  <c r="H3651" i="16"/>
  <c r="H3652" i="16"/>
  <c r="H3653" i="16"/>
  <c r="H3654" i="16"/>
  <c r="H3655" i="16"/>
  <c r="H3656" i="16"/>
  <c r="H3660" i="16"/>
  <c r="H3661" i="16"/>
  <c r="H3662" i="16"/>
  <c r="H3667" i="16"/>
  <c r="H3668" i="16"/>
  <c r="H3670" i="16"/>
  <c r="H3671" i="16"/>
  <c r="H3678" i="16"/>
  <c r="H3679" i="16"/>
  <c r="H3684" i="16"/>
  <c r="H3657" i="16"/>
  <c r="H3658" i="16"/>
  <c r="H3663" i="16"/>
  <c r="H3664" i="16"/>
  <c r="H3666" i="16"/>
  <c r="H3669" i="16"/>
  <c r="H3672" i="16"/>
  <c r="H3674" i="16"/>
  <c r="H3675" i="16"/>
  <c r="H3676" i="16"/>
  <c r="H3677" i="16"/>
  <c r="H3680" i="16"/>
  <c r="H3682" i="16"/>
  <c r="H3685" i="16"/>
  <c r="H3686" i="16"/>
  <c r="H3687" i="16"/>
  <c r="H3689" i="16"/>
  <c r="H3659" i="16"/>
  <c r="H3665" i="16"/>
  <c r="H3673" i="16"/>
  <c r="H3681" i="16"/>
  <c r="H3683" i="16"/>
  <c r="H3688" i="16"/>
  <c r="H3690" i="16"/>
  <c r="C3589" i="16"/>
  <c r="F3589" i="16" s="1"/>
  <c r="G3589" i="16"/>
  <c r="E3589" i="16"/>
  <c r="B3590" i="16"/>
  <c r="AL69" i="16"/>
  <c r="L69" i="16"/>
  <c r="AI69" i="16" s="1"/>
  <c r="K69" i="16"/>
  <c r="AD69" i="16" s="1"/>
  <c r="AK69" i="16"/>
  <c r="B3587" i="16"/>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C3535" i="16"/>
  <c r="F3535" i="16" s="1"/>
  <c r="E3535" i="16"/>
  <c r="G3535" i="16"/>
  <c r="B3536" i="16"/>
  <c r="I3535" i="16"/>
  <c r="AL68" i="16"/>
  <c r="AK68" i="16"/>
  <c r="L68" i="16"/>
  <c r="AI68" i="16" s="1"/>
  <c r="K68" i="16"/>
  <c r="AD68" i="16" s="1"/>
  <c r="B3533" i="16"/>
  <c r="A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A68" i="16"/>
  <c r="L3536" i="16"/>
  <c r="L3535" i="16"/>
  <c r="K3535" i="16"/>
  <c r="B3583" i="16"/>
  <c r="C68" i="16" s="1"/>
  <c r="C3481" i="16"/>
  <c r="F3481" i="16" s="1"/>
  <c r="E3481" i="16"/>
  <c r="B3482" i="16"/>
  <c r="G3481" i="16"/>
  <c r="L67" i="16"/>
  <c r="AI67" i="16" s="1"/>
  <c r="K67" i="16"/>
  <c r="AD67" i="16" s="1"/>
  <c r="AL67" i="16"/>
  <c r="AK67" i="16"/>
  <c r="B3479" i="16"/>
  <c r="A3479" i="16"/>
  <c r="E3478" i="16"/>
  <c r="H3504" i="16"/>
  <c r="H3505" i="16"/>
  <c r="H3506" i="16"/>
  <c r="H3507" i="16"/>
  <c r="H3508" i="16"/>
  <c r="H3509" i="16"/>
  <c r="H3510" i="16"/>
  <c r="H3511" i="16"/>
  <c r="H3512" i="16"/>
  <c r="H3513" i="16"/>
  <c r="H3514" i="16"/>
  <c r="H3515" i="16"/>
  <c r="H3516" i="16"/>
  <c r="H3517" i="16"/>
  <c r="H3518" i="16"/>
  <c r="H3519" i="16"/>
  <c r="G3427" i="16"/>
  <c r="I3427" i="16"/>
  <c r="C3427" i="16"/>
  <c r="K3427" i="16" s="1"/>
  <c r="B3428" i="16"/>
  <c r="E3427" i="16"/>
  <c r="F3427" i="16"/>
  <c r="AL66" i="16"/>
  <c r="AK66" i="16"/>
  <c r="A3425" i="16"/>
  <c r="B3425" i="16"/>
  <c r="E3425" i="16" s="1"/>
  <c r="E3424" i="16"/>
  <c r="H3427" i="16"/>
  <c r="H3428" i="16"/>
  <c r="H3429" i="16"/>
  <c r="H3430" i="16"/>
  <c r="H3431" i="16"/>
  <c r="H3432" i="16"/>
  <c r="H3433" i="16"/>
  <c r="H3434" i="16"/>
  <c r="H3436" i="16"/>
  <c r="H3438" i="16"/>
  <c r="H3445" i="16"/>
  <c r="H3447" i="16"/>
  <c r="H3458" i="16"/>
  <c r="H3435" i="16"/>
  <c r="H3437" i="16"/>
  <c r="H3439" i="16"/>
  <c r="H3440" i="16"/>
  <c r="H3442" i="16"/>
  <c r="H3451" i="16"/>
  <c r="H3459" i="16"/>
  <c r="H3460" i="16"/>
  <c r="H3462" i="16"/>
  <c r="H3471" i="16"/>
  <c r="H3473" i="16"/>
  <c r="H3457" i="16"/>
  <c r="H3461" i="16"/>
  <c r="H3463" i="16"/>
  <c r="H3464" i="16"/>
  <c r="H3465" i="16"/>
  <c r="H3466" i="16"/>
  <c r="H3468" i="16"/>
  <c r="H3441" i="16"/>
  <c r="H3443" i="16"/>
  <c r="H3444" i="16"/>
  <c r="H3446" i="16"/>
  <c r="H3448" i="16"/>
  <c r="H3449" i="16"/>
  <c r="H3450" i="16"/>
  <c r="H3452" i="16"/>
  <c r="H3453" i="16"/>
  <c r="H3454" i="16"/>
  <c r="H3455" i="16"/>
  <c r="H3456" i="16"/>
  <c r="H3467" i="16"/>
  <c r="H3469" i="16"/>
  <c r="H3470" i="16"/>
  <c r="H3472" i="16"/>
  <c r="H3474" i="16"/>
  <c r="B3374" i="16"/>
  <c r="C3373" i="16"/>
  <c r="K3373" i="16" s="1"/>
  <c r="G3373" i="16"/>
  <c r="E3373" i="16"/>
  <c r="I3373" i="16"/>
  <c r="F3373" i="16"/>
  <c r="AL65" i="16"/>
  <c r="AK65" i="16"/>
  <c r="B3371" i="16"/>
  <c r="A3371" i="16"/>
  <c r="E3370"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B3320" i="16"/>
  <c r="I3319" i="16"/>
  <c r="C3319" i="16"/>
  <c r="E3319" i="16"/>
  <c r="G3319" i="16"/>
  <c r="AL64" i="16"/>
  <c r="AK64" i="16"/>
  <c r="A3317" i="16"/>
  <c r="B3317" i="16"/>
  <c r="J3317" i="16" s="1"/>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L3319" i="16"/>
  <c r="A64" i="16"/>
  <c r="B3367" i="16"/>
  <c r="C64" i="16" s="1"/>
  <c r="E3265" i="16"/>
  <c r="I3265" i="16"/>
  <c r="C3265" i="16"/>
  <c r="F3265" i="16" s="1"/>
  <c r="G3265" i="16"/>
  <c r="B3266" i="16"/>
  <c r="AL63" i="16"/>
  <c r="AK63" i="16"/>
  <c r="B3263" i="16"/>
  <c r="A3263" i="16"/>
  <c r="E3262" i="16"/>
  <c r="H3265" i="16" s="1"/>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B3313" i="16"/>
  <c r="C63" i="16" s="1"/>
  <c r="K3265" i="16"/>
  <c r="L3265" i="16"/>
  <c r="L3266" i="16"/>
  <c r="A63" i="16"/>
  <c r="E3211" i="16"/>
  <c r="C3211" i="16"/>
  <c r="F3211" i="16" s="1"/>
  <c r="B3212" i="16"/>
  <c r="G3211" i="16"/>
  <c r="AK62" i="16"/>
  <c r="AL62" i="16"/>
  <c r="B3209" i="16"/>
  <c r="J3209" i="16" s="1"/>
  <c r="A3209" i="16"/>
  <c r="E3208" i="16"/>
  <c r="H3223" i="16"/>
  <c r="H3236" i="16"/>
  <c r="H3245" i="16"/>
  <c r="H3248" i="16"/>
  <c r="H3250" i="16"/>
  <c r="H3253" i="16"/>
  <c r="H3219" i="16"/>
  <c r="H3235" i="16"/>
  <c r="H3241" i="16"/>
  <c r="H3251" i="16"/>
  <c r="H3254" i="16"/>
  <c r="H3257" i="16"/>
  <c r="L3212" i="16"/>
  <c r="A62" i="16"/>
  <c r="B3259" i="16"/>
  <c r="C62" i="16" s="1"/>
  <c r="L3211" i="16"/>
  <c r="K3211" i="16"/>
  <c r="G3157" i="16"/>
  <c r="E3157" i="16"/>
  <c r="C3157" i="16"/>
  <c r="F3157" i="16" s="1"/>
  <c r="B3158" i="16"/>
  <c r="AK61" i="16"/>
  <c r="AL61" i="16"/>
  <c r="B3155" i="16"/>
  <c r="J3155" i="16" s="1"/>
  <c r="A3155" i="16"/>
  <c r="E3154" i="16"/>
  <c r="H3168" i="16"/>
  <c r="H3180" i="16"/>
  <c r="H3181" i="16"/>
  <c r="H3184" i="16"/>
  <c r="H3193" i="16"/>
  <c r="H3203" i="16"/>
  <c r="K3157" i="16"/>
  <c r="L3158" i="16"/>
  <c r="A61" i="16"/>
  <c r="B3205" i="16"/>
  <c r="C61" i="16" s="1"/>
  <c r="L3157" i="16"/>
  <c r="G3103" i="16"/>
  <c r="B3104" i="16"/>
  <c r="C3103" i="16"/>
  <c r="F3103" i="16" s="1"/>
  <c r="E3103" i="16"/>
  <c r="AL60" i="16"/>
  <c r="AK60" i="16"/>
  <c r="A3101" i="16"/>
  <c r="B3101" i="16"/>
  <c r="J3101" i="16" s="1"/>
  <c r="E3100" i="16"/>
  <c r="H3106" i="16"/>
  <c r="H3116" i="16"/>
  <c r="H3124" i="16"/>
  <c r="H3125" i="16"/>
  <c r="H3128" i="16"/>
  <c r="H3144" i="16"/>
  <c r="H3145" i="16"/>
  <c r="H3146" i="16"/>
  <c r="H3103" i="16"/>
  <c r="H3127" i="16"/>
  <c r="H3139" i="16"/>
  <c r="H3141" i="16"/>
  <c r="H3142" i="16"/>
  <c r="H3105" i="16"/>
  <c r="H3113" i="16"/>
  <c r="A60" i="16"/>
  <c r="L3104" i="16"/>
  <c r="B3151" i="16"/>
  <c r="C60" i="16" s="1"/>
  <c r="L3103" i="16"/>
  <c r="K3103" i="16"/>
  <c r="G3049" i="16"/>
  <c r="B3050" i="16"/>
  <c r="C3049" i="16"/>
  <c r="F3049" i="16" s="1"/>
  <c r="E3049" i="16"/>
  <c r="AK59" i="16"/>
  <c r="AL59" i="16"/>
  <c r="A3047" i="16"/>
  <c r="B3047" i="16"/>
  <c r="J3047" i="16" s="1"/>
  <c r="E3046" i="16"/>
  <c r="H3049" i="16"/>
  <c r="H3052" i="16"/>
  <c r="H3059" i="16"/>
  <c r="H3094" i="16"/>
  <c r="H3079" i="16"/>
  <c r="H3081" i="16"/>
  <c r="H3093" i="16"/>
  <c r="H3054" i="16"/>
  <c r="H3067" i="16"/>
  <c r="H3076" i="16"/>
  <c r="H3077" i="16"/>
  <c r="H3090" i="16"/>
  <c r="H3058" i="16"/>
  <c r="H3060" i="16"/>
  <c r="H3068" i="16"/>
  <c r="H3070" i="16"/>
  <c r="H3071" i="16"/>
  <c r="H3072" i="16"/>
  <c r="H3078" i="16"/>
  <c r="H3087" i="16"/>
  <c r="H3091" i="16"/>
  <c r="H3095" i="16"/>
  <c r="H3051" i="16"/>
  <c r="H3057" i="16"/>
  <c r="H3065" i="16"/>
  <c r="H3069" i="16"/>
  <c r="H3053" i="16"/>
  <c r="H3064" i="16"/>
  <c r="H3083" i="16"/>
  <c r="H3088" i="16"/>
  <c r="H3092" i="16"/>
  <c r="H3050" i="16"/>
  <c r="H3055" i="16"/>
  <c r="H3061" i="16"/>
  <c r="H3062" i="16"/>
  <c r="H3063" i="16"/>
  <c r="H3074" i="16"/>
  <c r="H3075" i="16"/>
  <c r="H3082" i="16"/>
  <c r="H3084" i="16"/>
  <c r="H3085" i="16"/>
  <c r="H3089" i="16"/>
  <c r="H3056" i="16"/>
  <c r="H3066" i="16"/>
  <c r="H3073" i="16"/>
  <c r="H3080" i="16"/>
  <c r="H3086" i="16"/>
  <c r="H3096" i="16"/>
  <c r="A59" i="16"/>
  <c r="L3050" i="16"/>
  <c r="B3097" i="16"/>
  <c r="C59" i="16" s="1"/>
  <c r="K3049" i="16"/>
  <c r="L3049" i="16"/>
  <c r="G2995" i="16"/>
  <c r="C2995" i="16"/>
  <c r="I2995" i="16"/>
  <c r="B2996" i="16"/>
  <c r="E2995" i="16"/>
  <c r="AK58" i="16"/>
  <c r="AL58" i="16"/>
  <c r="B2993" i="16"/>
  <c r="J2993" i="16" s="1"/>
  <c r="A2993" i="16"/>
  <c r="E2992" i="16"/>
  <c r="H3002" i="16"/>
  <c r="H3005" i="16"/>
  <c r="H3003" i="16"/>
  <c r="H2996" i="16"/>
  <c r="H2998" i="16"/>
  <c r="H2997" i="16"/>
  <c r="H3000" i="16"/>
  <c r="L2995" i="16"/>
  <c r="B3043" i="16"/>
  <c r="C58" i="16" s="1"/>
  <c r="A58" i="16"/>
  <c r="E2941" i="16"/>
  <c r="C2941" i="16"/>
  <c r="B2942" i="16"/>
  <c r="I2941" i="16"/>
  <c r="G2941" i="16"/>
  <c r="F2941" i="16"/>
  <c r="AL57" i="16"/>
  <c r="AK57" i="16"/>
  <c r="A2939" i="16"/>
  <c r="B2939" i="16"/>
  <c r="J2939" i="16" s="1"/>
  <c r="E2938" i="16"/>
  <c r="H2941" i="16"/>
  <c r="H2942" i="16"/>
  <c r="H2943" i="16"/>
  <c r="H2944" i="16"/>
  <c r="H2945" i="16"/>
  <c r="H2946" i="16"/>
  <c r="H2947" i="16"/>
  <c r="H2948" i="16"/>
  <c r="H2949" i="16"/>
  <c r="H2950" i="16"/>
  <c r="H2951" i="16"/>
  <c r="H2952" i="16"/>
  <c r="H2953" i="16"/>
  <c r="H2954" i="16"/>
  <c r="H2955" i="16"/>
  <c r="H2956" i="16"/>
  <c r="C2887" i="16"/>
  <c r="E2887" i="16"/>
  <c r="F2887" i="16"/>
  <c r="I2887" i="16"/>
  <c r="G2887" i="16"/>
  <c r="B2888" i="16"/>
  <c r="AL56" i="16"/>
  <c r="AK56" i="16"/>
  <c r="A2885" i="16"/>
  <c r="B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C2833" i="16"/>
  <c r="B2834" i="16"/>
  <c r="E2833" i="16"/>
  <c r="F2833" i="16"/>
  <c r="G2833" i="16"/>
  <c r="I2833" i="16"/>
  <c r="AK55" i="16"/>
  <c r="AL55" i="16"/>
  <c r="A2831" i="16"/>
  <c r="B2831" i="16"/>
  <c r="J2831" i="16" s="1"/>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G2779" i="16"/>
  <c r="B2780" i="16"/>
  <c r="C2779" i="16"/>
  <c r="F2779" i="16" s="1"/>
  <c r="E2779" i="16"/>
  <c r="AL54" i="16"/>
  <c r="AK54" i="16"/>
  <c r="L54" i="16"/>
  <c r="AI54" i="16" s="1"/>
  <c r="K54" i="16"/>
  <c r="AD54" i="16" s="1"/>
  <c r="A2777" i="16"/>
  <c r="B2777" i="16"/>
  <c r="E2776" i="16"/>
  <c r="H2779" i="16"/>
  <c r="H2780" i="16"/>
  <c r="H2781" i="16"/>
  <c r="H2782" i="16"/>
  <c r="H2783" i="16"/>
  <c r="H2784" i="16"/>
  <c r="H2785" i="16"/>
  <c r="H2786" i="16"/>
  <c r="H2787" i="16"/>
  <c r="H2788" i="16"/>
  <c r="H2789" i="16"/>
  <c r="H2790" i="16"/>
  <c r="H2791"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B2726" i="16"/>
  <c r="E2725" i="16"/>
  <c r="C2725" i="16"/>
  <c r="I2725" i="16"/>
  <c r="G2725" i="16"/>
  <c r="F2725" i="16"/>
  <c r="B2723" i="16"/>
  <c r="J2723" i="16" s="1"/>
  <c r="A2723" i="16"/>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B2672" i="16"/>
  <c r="G2671" i="16"/>
  <c r="I2671" i="16"/>
  <c r="C2671" i="16"/>
  <c r="F2671" i="16" s="1"/>
  <c r="E2671" i="16"/>
  <c r="AK52" i="16"/>
  <c r="AL52" i="16"/>
  <c r="B2669" i="16"/>
  <c r="J2669" i="16" s="1"/>
  <c r="A2669" i="16"/>
  <c r="E2668" i="16"/>
  <c r="H2671"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C2617" i="16"/>
  <c r="K2617" i="16" s="1"/>
  <c r="B2618" i="16"/>
  <c r="E2617" i="16"/>
  <c r="F2617" i="16"/>
  <c r="G2617" i="16"/>
  <c r="I2617" i="16"/>
  <c r="AL51" i="16"/>
  <c r="AK51" i="16"/>
  <c r="B2615" i="16"/>
  <c r="J2615" i="16" s="1"/>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E2563" i="16"/>
  <c r="C2563" i="16"/>
  <c r="F2563" i="16" s="1"/>
  <c r="G2563" i="16"/>
  <c r="I2563" i="16"/>
  <c r="B2564" i="16"/>
  <c r="AK50" i="16"/>
  <c r="AL50" i="16"/>
  <c r="B2561" i="16"/>
  <c r="J2561" i="16" s="1"/>
  <c r="A2561" i="16"/>
  <c r="E2560" i="16"/>
  <c r="H2563" i="16"/>
  <c r="H2564"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L2564" i="16"/>
  <c r="L2563" i="16"/>
  <c r="K2563" i="16"/>
  <c r="A50" i="16"/>
  <c r="B2611" i="16"/>
  <c r="C50" i="16" s="1"/>
  <c r="I2509" i="16"/>
  <c r="B2510" i="16"/>
  <c r="C2509" i="16"/>
  <c r="E2509" i="16"/>
  <c r="G2509" i="16"/>
  <c r="B2507" i="16"/>
  <c r="A2507" i="16"/>
  <c r="E2506" i="16"/>
  <c r="H2509" i="16" s="1"/>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I2455" i="16"/>
  <c r="C2455" i="16"/>
  <c r="E2455" i="16"/>
  <c r="G2455" i="16"/>
  <c r="B2456" i="16"/>
  <c r="AL48" i="16"/>
  <c r="AK48" i="16"/>
  <c r="B2453" i="16"/>
  <c r="A2453" i="16"/>
  <c r="E2452" i="16"/>
  <c r="H2456" i="16" s="1"/>
  <c r="H2455"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C2401" i="16"/>
  <c r="G2401" i="16"/>
  <c r="E2401" i="16"/>
  <c r="I2401" i="16"/>
  <c r="B2402" i="16"/>
  <c r="AL47" i="16"/>
  <c r="AK47" i="16"/>
  <c r="A2399" i="16"/>
  <c r="B2399" i="16"/>
  <c r="E2398" i="16"/>
  <c r="H2402"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I2347" i="16"/>
  <c r="B2348" i="16"/>
  <c r="C2347" i="16"/>
  <c r="F2347" i="16" s="1"/>
  <c r="E2347" i="16"/>
  <c r="G2347" i="16"/>
  <c r="P2347" i="16" s="1"/>
  <c r="AL46" i="16"/>
  <c r="AK46" i="16"/>
  <c r="B2345" i="16"/>
  <c r="J2345" i="16" s="1"/>
  <c r="A2345" i="16"/>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B2395" i="16"/>
  <c r="C46" i="16" s="1"/>
  <c r="A46" i="16"/>
  <c r="L2348" i="16"/>
  <c r="L2347" i="16"/>
  <c r="K2347" i="16"/>
  <c r="E2293" i="16"/>
  <c r="B2294" i="16"/>
  <c r="C2293" i="16"/>
  <c r="I2293" i="16"/>
  <c r="G2293" i="16"/>
  <c r="AK45" i="16"/>
  <c r="AL45" i="16"/>
  <c r="A2291" i="16"/>
  <c r="B2291" i="16"/>
  <c r="J2291" i="16" s="1"/>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G2239" i="16"/>
  <c r="I2239" i="16"/>
  <c r="E2239" i="16"/>
  <c r="C2239" i="16"/>
  <c r="F2239" i="16" s="1"/>
  <c r="B2240" i="16"/>
  <c r="AK44" i="16"/>
  <c r="AL44" i="16"/>
  <c r="B2237" i="16"/>
  <c r="A2237" i="16"/>
  <c r="E2236" i="16"/>
  <c r="H2241"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L2240" i="16"/>
  <c r="L2239" i="16"/>
  <c r="K2239" i="16"/>
  <c r="B2287" i="16"/>
  <c r="C44" i="16" s="1"/>
  <c r="A44" i="16"/>
  <c r="B2186" i="16"/>
  <c r="G2185" i="16"/>
  <c r="E2185" i="16"/>
  <c r="C2185" i="16"/>
  <c r="F2185" i="16" s="1"/>
  <c r="AK43" i="16"/>
  <c r="AL43" i="16"/>
  <c r="A2183" i="16"/>
  <c r="B2183" i="16"/>
  <c r="E2182" i="16"/>
  <c r="H2190" i="16"/>
  <c r="H2195" i="16"/>
  <c r="H2199" i="16"/>
  <c r="H2201" i="16"/>
  <c r="H2203" i="16"/>
  <c r="H2207" i="16"/>
  <c r="H2208" i="16"/>
  <c r="H2211" i="16"/>
  <c r="H2215" i="16"/>
  <c r="H2217" i="16"/>
  <c r="H2218" i="16"/>
  <c r="H2224" i="16"/>
  <c r="H2226" i="16"/>
  <c r="H2227" i="16"/>
  <c r="H2228" i="16"/>
  <c r="H2230" i="16"/>
  <c r="K2185" i="16"/>
  <c r="L2186" i="16"/>
  <c r="B2233" i="16"/>
  <c r="C43" i="16" s="1"/>
  <c r="A43" i="16"/>
  <c r="L2185" i="16"/>
  <c r="I2185" i="16"/>
  <c r="E2131" i="16"/>
  <c r="B2132" i="16"/>
  <c r="I2131" i="16"/>
  <c r="G2131" i="16"/>
  <c r="C2131" i="16"/>
  <c r="F2131" i="16" s="1"/>
  <c r="AL42" i="16"/>
  <c r="AK42" i="16"/>
  <c r="B2129" i="16"/>
  <c r="J2129" i="16" s="1"/>
  <c r="A2129" i="16"/>
  <c r="E2128" i="16"/>
  <c r="H2131" i="16"/>
  <c r="H2134" i="16"/>
  <c r="H2136" i="16"/>
  <c r="H2141" i="16"/>
  <c r="H2146" i="16"/>
  <c r="H2149" i="16"/>
  <c r="H2154" i="16"/>
  <c r="H2155" i="16"/>
  <c r="H2157" i="16"/>
  <c r="H2161" i="16"/>
  <c r="H2164" i="16"/>
  <c r="H2165" i="16"/>
  <c r="H2172" i="16"/>
  <c r="H2142" i="16"/>
  <c r="H2144" i="16"/>
  <c r="H2166" i="16"/>
  <c r="B2179" i="16"/>
  <c r="C42" i="16" s="1"/>
  <c r="L2132" i="16"/>
  <c r="K2131" i="16"/>
  <c r="L2131" i="16"/>
  <c r="A42" i="16"/>
  <c r="G2077" i="16"/>
  <c r="E2077" i="16"/>
  <c r="I2077" i="16"/>
  <c r="C2077" i="16"/>
  <c r="B2078" i="16"/>
  <c r="A2075" i="16"/>
  <c r="B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7" i="16"/>
  <c r="H2101" i="16"/>
  <c r="H2110" i="16"/>
  <c r="H2111" i="16"/>
  <c r="H2114" i="16"/>
  <c r="H2117" i="16"/>
  <c r="H2118" i="16"/>
  <c r="H2120" i="16"/>
  <c r="H2122" i="16"/>
  <c r="H2104" i="16"/>
  <c r="H2106" i="16"/>
  <c r="H2108" i="16"/>
  <c r="H2112" i="16"/>
  <c r="H2113" i="16"/>
  <c r="H2115" i="16"/>
  <c r="H2119" i="16"/>
  <c r="H2121" i="16"/>
  <c r="H2123" i="16"/>
  <c r="H2102" i="16"/>
  <c r="H2103" i="16"/>
  <c r="H2105" i="16"/>
  <c r="H2109" i="16"/>
  <c r="H2116" i="16"/>
  <c r="H2124" i="16"/>
  <c r="G2023" i="16"/>
  <c r="B2024" i="16"/>
  <c r="E2023" i="16"/>
  <c r="C2023" i="16"/>
  <c r="I2023" i="16"/>
  <c r="AK40" i="16"/>
  <c r="AL40" i="16"/>
  <c r="A2021" i="16"/>
  <c r="B2021" i="16"/>
  <c r="E2020"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B1970" i="16"/>
  <c r="C1969" i="16"/>
  <c r="I1969" i="16"/>
  <c r="G1969" i="16"/>
  <c r="E1969" i="16"/>
  <c r="AL39" i="16"/>
  <c r="AK39" i="16"/>
  <c r="A1967" i="16"/>
  <c r="B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B1916" i="16"/>
  <c r="E1915" i="16"/>
  <c r="C1915" i="16"/>
  <c r="G1915" i="16"/>
  <c r="AK38" i="16"/>
  <c r="AL38" i="16"/>
  <c r="B1913" i="16"/>
  <c r="J1913" i="16" s="1"/>
  <c r="A1913" i="16"/>
  <c r="E1912" i="16"/>
  <c r="H1915" i="16"/>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C1861" i="16"/>
  <c r="I1861" i="16"/>
  <c r="G1861" i="16"/>
  <c r="P1861" i="16" s="1"/>
  <c r="B1862" i="16"/>
  <c r="F1861" i="16"/>
  <c r="E1861" i="16"/>
  <c r="B1859" i="16"/>
  <c r="A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899" i="16"/>
  <c r="H1900" i="16"/>
  <c r="H1901" i="16"/>
  <c r="H1902" i="16"/>
  <c r="H1903" i="16"/>
  <c r="H1904" i="16"/>
  <c r="H1905" i="16"/>
  <c r="H1906" i="16"/>
  <c r="H1907" i="16"/>
  <c r="H1908" i="16"/>
  <c r="C1807" i="16"/>
  <c r="E1807" i="16"/>
  <c r="I1807" i="16"/>
  <c r="G1807" i="16"/>
  <c r="F1807" i="16"/>
  <c r="B1808" i="16"/>
  <c r="AK36" i="16"/>
  <c r="AL36" i="16"/>
  <c r="A1805" i="16"/>
  <c r="B1805" i="16"/>
  <c r="J1805" i="16" s="1"/>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C1753" i="16"/>
  <c r="F1753" i="16" s="1"/>
  <c r="E1753" i="16"/>
  <c r="B1754" i="16"/>
  <c r="I1753" i="16"/>
  <c r="G1753" i="16"/>
  <c r="AK35" i="16"/>
  <c r="AL35" i="16"/>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G1699" i="16"/>
  <c r="I1699" i="16"/>
  <c r="E1699" i="16"/>
  <c r="B1700" i="16"/>
  <c r="C1699" i="16"/>
  <c r="F1699" i="16" s="1"/>
  <c r="AL34" i="16"/>
  <c r="AK34" i="16"/>
  <c r="A1697" i="16"/>
  <c r="B1697" i="16"/>
  <c r="J1697" i="16" s="1"/>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K1699" i="16"/>
  <c r="L1699" i="16"/>
  <c r="L1700" i="16"/>
  <c r="B1747" i="16"/>
  <c r="C34" i="16" s="1"/>
  <c r="A34" i="16"/>
  <c r="I1645" i="16"/>
  <c r="C1645" i="16"/>
  <c r="F1645" i="16" s="1"/>
  <c r="E1645" i="16"/>
  <c r="B1646" i="16"/>
  <c r="G1645" i="16"/>
  <c r="A1643" i="16"/>
  <c r="B1643" i="16"/>
  <c r="J1643" i="16" s="1"/>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G1591" i="16"/>
  <c r="E1591" i="16"/>
  <c r="C1591" i="16"/>
  <c r="F1591" i="16" s="1"/>
  <c r="I1591" i="16"/>
  <c r="B1592" i="16"/>
  <c r="AL32" i="16"/>
  <c r="AK32" i="16"/>
  <c r="A1589" i="16"/>
  <c r="B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B1538" i="16"/>
  <c r="C1537" i="16"/>
  <c r="F1537" i="16" s="1"/>
  <c r="E1537" i="16"/>
  <c r="G1537" i="16"/>
  <c r="AK31" i="16"/>
  <c r="AL31" i="16"/>
  <c r="B1535" i="16"/>
  <c r="J1535" i="16" s="1"/>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C1483" i="16"/>
  <c r="F1483" i="16"/>
  <c r="G1483" i="16"/>
  <c r="B1484" i="16"/>
  <c r="E1483" i="16"/>
  <c r="AL30" i="16"/>
  <c r="AK30" i="16"/>
  <c r="A1481" i="16"/>
  <c r="B1481" i="16"/>
  <c r="E1480" i="16"/>
  <c r="H1487" i="16"/>
  <c r="H1495" i="16"/>
  <c r="H1499" i="16"/>
  <c r="H1500" i="16"/>
  <c r="H1502" i="16"/>
  <c r="H1504" i="16"/>
  <c r="H1505" i="16"/>
  <c r="H1506" i="16"/>
  <c r="H1507" i="16"/>
  <c r="H1509" i="16"/>
  <c r="H1511" i="16"/>
  <c r="H1512" i="16"/>
  <c r="H1513" i="16"/>
  <c r="H1514" i="16"/>
  <c r="H1515" i="16"/>
  <c r="H1516" i="16"/>
  <c r="H1517" i="16"/>
  <c r="H1518" i="16"/>
  <c r="H1519" i="16"/>
  <c r="H1520" i="16"/>
  <c r="H1521" i="16"/>
  <c r="H1522" i="16"/>
  <c r="H1523" i="16"/>
  <c r="H1524" i="16"/>
  <c r="H1525" i="16"/>
  <c r="H1526" i="16"/>
  <c r="H1527" i="16"/>
  <c r="H1528" i="16"/>
  <c r="H1529" i="16"/>
  <c r="H1530" i="16"/>
  <c r="H1483" i="16"/>
  <c r="H1484" i="16"/>
  <c r="H1488" i="16"/>
  <c r="H1491" i="16"/>
  <c r="H1492" i="16"/>
  <c r="H1493" i="16"/>
  <c r="H1494" i="16"/>
  <c r="H1501" i="16"/>
  <c r="H1503" i="16"/>
  <c r="H1485" i="16"/>
  <c r="H1486" i="16"/>
  <c r="H1489" i="16"/>
  <c r="H1490" i="16"/>
  <c r="H1496" i="16"/>
  <c r="H1497" i="16"/>
  <c r="H1498" i="16"/>
  <c r="H1508" i="16"/>
  <c r="H1510" i="16"/>
  <c r="K1483" i="16"/>
  <c r="B1531" i="16"/>
  <c r="C30" i="16" s="1"/>
  <c r="A30" i="16"/>
  <c r="I1483" i="16"/>
  <c r="L1484" i="16"/>
  <c r="L1483" i="16"/>
  <c r="G1429" i="16"/>
  <c r="B1430" i="16"/>
  <c r="E1429" i="16"/>
  <c r="C1429" i="16"/>
  <c r="AL29" i="16"/>
  <c r="AK29" i="16"/>
  <c r="B1427" i="16"/>
  <c r="A1427" i="16"/>
  <c r="E1426" i="16"/>
  <c r="H1434" i="16"/>
  <c r="H1451" i="16"/>
  <c r="H1452" i="16"/>
  <c r="H1455" i="16"/>
  <c r="H1456" i="16"/>
  <c r="H1459" i="16"/>
  <c r="H1462" i="16"/>
  <c r="H1464" i="16"/>
  <c r="H1465" i="16"/>
  <c r="H1466" i="16"/>
  <c r="H1471" i="16"/>
  <c r="H1472" i="16"/>
  <c r="A29" i="16"/>
  <c r="L1429" i="16"/>
  <c r="I1429" i="16"/>
  <c r="B1477" i="16"/>
  <c r="C29" i="16" s="1"/>
  <c r="I1375" i="16"/>
  <c r="C1375" i="16"/>
  <c r="F1375" i="16"/>
  <c r="G1375" i="16"/>
  <c r="R1375" i="16" s="1"/>
  <c r="B1376" i="16"/>
  <c r="E1375" i="16"/>
  <c r="AL28" i="16"/>
  <c r="AK28" i="16"/>
  <c r="B1373" i="16"/>
  <c r="A1373" i="16"/>
  <c r="E1372" i="16"/>
  <c r="H1376" i="16"/>
  <c r="H1390" i="16"/>
  <c r="H1406" i="16"/>
  <c r="H1407" i="16"/>
  <c r="H1410" i="16"/>
  <c r="H1411" i="16"/>
  <c r="H1420" i="16"/>
  <c r="H1422" i="16"/>
  <c r="H1383" i="16"/>
  <c r="H1385" i="16"/>
  <c r="H1386" i="16"/>
  <c r="H1396" i="16"/>
  <c r="H1397" i="16"/>
  <c r="H1402" i="16"/>
  <c r="H1405" i="16"/>
  <c r="H1419" i="16"/>
  <c r="H1375" i="16"/>
  <c r="H1380" i="16"/>
  <c r="H1381" i="16"/>
  <c r="H1382" i="16"/>
  <c r="H1388" i="16"/>
  <c r="H1389" i="16"/>
  <c r="H1398" i="16"/>
  <c r="H1403" i="16"/>
  <c r="H1409" i="16"/>
  <c r="H1421" i="16"/>
  <c r="H1378" i="16"/>
  <c r="H1392" i="16"/>
  <c r="H1393" i="16"/>
  <c r="H1399" i="16"/>
  <c r="H1404" i="16"/>
  <c r="H1414" i="16"/>
  <c r="H1418" i="16"/>
  <c r="H1377" i="16"/>
  <c r="H1384" i="16"/>
  <c r="H1408" i="16"/>
  <c r="H1413" i="16"/>
  <c r="H1415" i="16"/>
  <c r="H1416" i="16"/>
  <c r="H1417" i="16"/>
  <c r="H1379" i="16"/>
  <c r="H1394" i="16"/>
  <c r="H1395" i="16"/>
  <c r="H1400" i="16"/>
  <c r="H1401" i="16"/>
  <c r="H1412" i="16"/>
  <c r="H1387" i="16"/>
  <c r="H1391" i="16"/>
  <c r="B1423" i="16"/>
  <c r="C28" i="16" s="1"/>
  <c r="L1376" i="16"/>
  <c r="K1375" i="16"/>
  <c r="A28" i="16"/>
  <c r="L1375" i="16"/>
  <c r="B1322" i="16"/>
  <c r="I1321" i="16"/>
  <c r="G1321" i="16"/>
  <c r="C1321" i="16"/>
  <c r="F1321" i="16" s="1"/>
  <c r="E1321" i="16"/>
  <c r="AK27" i="16"/>
  <c r="AL27" i="16"/>
  <c r="B1319" i="16"/>
  <c r="A1319" i="16"/>
  <c r="E1318" i="16"/>
  <c r="H1326" i="16" s="1"/>
  <c r="H1327" i="16"/>
  <c r="H1328" i="16"/>
  <c r="H1332" i="16"/>
  <c r="H1338" i="16"/>
  <c r="H1342" i="16"/>
  <c r="H1344" i="16"/>
  <c r="H1345" i="16"/>
  <c r="H1355" i="16"/>
  <c r="H1366" i="16"/>
  <c r="H1325" i="16"/>
  <c r="H1353" i="16"/>
  <c r="H1365" i="16"/>
  <c r="H1321" i="16"/>
  <c r="H1324" i="16"/>
  <c r="H1336" i="16"/>
  <c r="H1337" i="16"/>
  <c r="H1341" i="16"/>
  <c r="H1347" i="16"/>
  <c r="H1352" i="16"/>
  <c r="H1323" i="16"/>
  <c r="H1330" i="16"/>
  <c r="H1331" i="16"/>
  <c r="H1333" i="16"/>
  <c r="H1343" i="16"/>
  <c r="H1322" i="16"/>
  <c r="H1348" i="16"/>
  <c r="H1349" i="16"/>
  <c r="H1350" i="16"/>
  <c r="H1356" i="16"/>
  <c r="H1358" i="16"/>
  <c r="H1367" i="16"/>
  <c r="B1369" i="16"/>
  <c r="C27" i="16" s="1"/>
  <c r="K1321" i="16"/>
  <c r="L1321" i="16"/>
  <c r="A27" i="16"/>
  <c r="L1322" i="16"/>
  <c r="C1267" i="16"/>
  <c r="F1267" i="16" s="1"/>
  <c r="G1267" i="16"/>
  <c r="B1268" i="16"/>
  <c r="E1267" i="16"/>
  <c r="AL26" i="16"/>
  <c r="AK26" i="16"/>
  <c r="A1265" i="16"/>
  <c r="B1265" i="16"/>
  <c r="E1264" i="16"/>
  <c r="H1271" i="16"/>
  <c r="H1278" i="16"/>
  <c r="H1279" i="16"/>
  <c r="H1291" i="16"/>
  <c r="H1293" i="16"/>
  <c r="H1294" i="16"/>
  <c r="H1300" i="16"/>
  <c r="H1312" i="16"/>
  <c r="H1313" i="16"/>
  <c r="H1270" i="16"/>
  <c r="H1288" i="16"/>
  <c r="H1295" i="16"/>
  <c r="H1296" i="16"/>
  <c r="H1302" i="16"/>
  <c r="H1306" i="16"/>
  <c r="H1307" i="16"/>
  <c r="H1314" i="16"/>
  <c r="H1284" i="16"/>
  <c r="H1285" i="16"/>
  <c r="H1292" i="16"/>
  <c r="H1304" i="16"/>
  <c r="H1305" i="16"/>
  <c r="H1274" i="16"/>
  <c r="H1282" i="16"/>
  <c r="H1290" i="16"/>
  <c r="H1298" i="16"/>
  <c r="H1308" i="16"/>
  <c r="H1309" i="16"/>
  <c r="H1310" i="16"/>
  <c r="H1267" i="16"/>
  <c r="H1272" i="16"/>
  <c r="H1275" i="16"/>
  <c r="H1297" i="16"/>
  <c r="H1299" i="16"/>
  <c r="H1273" i="16"/>
  <c r="H1277" i="16"/>
  <c r="H1281" i="16"/>
  <c r="H1283" i="16"/>
  <c r="H1289" i="16"/>
  <c r="H1301" i="16"/>
  <c r="H1311" i="16"/>
  <c r="H1268" i="16"/>
  <c r="H1269" i="16"/>
  <c r="H1276" i="16"/>
  <c r="H1280" i="16"/>
  <c r="H1286" i="16"/>
  <c r="H1287" i="16"/>
  <c r="H1303" i="16"/>
  <c r="L1267" i="16"/>
  <c r="L1268" i="16"/>
  <c r="K1267" i="16"/>
  <c r="B1315" i="16"/>
  <c r="C26" i="16" s="1"/>
  <c r="A26" i="16"/>
  <c r="I1214" i="16"/>
  <c r="E1214" i="16"/>
  <c r="G1214" i="16"/>
  <c r="C1214" i="16"/>
  <c r="F1214" i="16" s="1"/>
  <c r="B1215" i="16"/>
  <c r="I1213" i="16"/>
  <c r="G1213" i="16"/>
  <c r="E1213" i="16"/>
  <c r="C1213" i="16"/>
  <c r="F1213" i="16" s="1"/>
  <c r="B1211" i="16"/>
  <c r="A1211" i="16"/>
  <c r="E1210" i="16"/>
  <c r="H1213" i="16"/>
  <c r="H1214" i="16"/>
  <c r="H1229" i="16"/>
  <c r="H1232" i="16"/>
  <c r="H1242" i="16"/>
  <c r="H1247" i="16"/>
  <c r="H1248" i="16"/>
  <c r="H1258" i="16"/>
  <c r="H1217" i="16"/>
  <c r="H1220" i="16"/>
  <c r="H1222" i="16"/>
  <c r="H1224" i="16"/>
  <c r="H1226" i="16"/>
  <c r="H1227" i="16"/>
  <c r="H1228" i="16"/>
  <c r="H1233" i="16"/>
  <c r="H1239" i="16"/>
  <c r="H1240" i="16"/>
  <c r="H1252" i="16"/>
  <c r="H1223" i="16"/>
  <c r="H1231" i="16"/>
  <c r="H1241" i="16"/>
  <c r="H1243" i="16"/>
  <c r="H1250" i="16"/>
  <c r="H1256" i="16"/>
  <c r="H1244" i="16"/>
  <c r="H1253" i="16"/>
  <c r="H1216" i="16"/>
  <c r="H1225" i="16"/>
  <c r="H1246" i="16"/>
  <c r="H1249" i="16"/>
  <c r="H1251" i="16"/>
  <c r="H1255" i="16"/>
  <c r="H1259" i="16"/>
  <c r="H1260" i="16"/>
  <c r="H1215" i="16"/>
  <c r="H1219" i="16"/>
  <c r="H1221" i="16"/>
  <c r="H1254" i="16"/>
  <c r="H1257" i="16"/>
  <c r="H1218" i="16"/>
  <c r="H1230" i="16"/>
  <c r="H1234" i="16"/>
  <c r="H1235" i="16"/>
  <c r="H1236" i="16"/>
  <c r="H1237" i="16"/>
  <c r="H1238" i="16"/>
  <c r="H1245" i="16"/>
  <c r="I1159" i="16"/>
  <c r="E1159" i="16"/>
  <c r="B1160" i="16"/>
  <c r="G1159" i="16"/>
  <c r="C1159" i="16"/>
  <c r="AK24" i="16"/>
  <c r="AL24"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I1105" i="16"/>
  <c r="B1106" i="16"/>
  <c r="C1105" i="16"/>
  <c r="E1105" i="16"/>
  <c r="F1105" i="16"/>
  <c r="G1105" i="16"/>
  <c r="AK23" i="16"/>
  <c r="AL23" i="16"/>
  <c r="B1103" i="16"/>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L1106" i="16"/>
  <c r="B1153" i="16"/>
  <c r="C23" i="16" s="1"/>
  <c r="L1105" i="16"/>
  <c r="K1105" i="16"/>
  <c r="A23" i="16"/>
  <c r="C1051" i="16"/>
  <c r="E1051" i="16"/>
  <c r="B1052" i="16"/>
  <c r="F1051" i="16"/>
  <c r="G1051" i="16"/>
  <c r="I1051" i="16"/>
  <c r="AL22" i="16"/>
  <c r="AK22" i="16"/>
  <c r="A1049" i="16"/>
  <c r="B1049" i="16"/>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K1051" i="16"/>
  <c r="L1051" i="16"/>
  <c r="L1052" i="16"/>
  <c r="A22" i="16"/>
  <c r="B1099" i="16"/>
  <c r="C22" i="16" s="1"/>
  <c r="B998" i="16"/>
  <c r="E997" i="16"/>
  <c r="C997" i="16"/>
  <c r="G997" i="16"/>
  <c r="AL21" i="16"/>
  <c r="AK21" i="16"/>
  <c r="B995" i="16"/>
  <c r="A995" i="16"/>
  <c r="E994" i="16"/>
  <c r="H999" i="16"/>
  <c r="H1011" i="16"/>
  <c r="H1012" i="16"/>
  <c r="H1013" i="16"/>
  <c r="H1014" i="16"/>
  <c r="H1015" i="16"/>
  <c r="H1016" i="16"/>
  <c r="H1017" i="16"/>
  <c r="H1018" i="16"/>
  <c r="H1019" i="16"/>
  <c r="H1020" i="16"/>
  <c r="H1021" i="16"/>
  <c r="H1022"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H1002" i="16"/>
  <c r="H1005" i="16"/>
  <c r="H1007" i="16"/>
  <c r="H1001" i="16"/>
  <c r="H997" i="16"/>
  <c r="H1000" i="16"/>
  <c r="H1004" i="16"/>
  <c r="H1008" i="16"/>
  <c r="H998" i="16"/>
  <c r="H1003" i="16"/>
  <c r="H1006" i="16"/>
  <c r="H1009" i="16"/>
  <c r="H1010" i="16"/>
  <c r="A21" i="16"/>
  <c r="B1045" i="16"/>
  <c r="C21" i="16" s="1"/>
  <c r="L997" i="16"/>
  <c r="C943" i="16"/>
  <c r="K943" i="16" s="1"/>
  <c r="E943" i="16"/>
  <c r="F943" i="16"/>
  <c r="G943" i="16"/>
  <c r="R943" i="16" s="1"/>
  <c r="I943" i="16"/>
  <c r="B944" i="16"/>
  <c r="AL20" i="16"/>
  <c r="AK20" i="16"/>
  <c r="A941" i="16"/>
  <c r="B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E889" i="16"/>
  <c r="I889" i="16"/>
  <c r="B890" i="16"/>
  <c r="G889" i="16"/>
  <c r="P889" i="16" s="1"/>
  <c r="C889" i="16"/>
  <c r="F889" i="16" s="1"/>
  <c r="AL19" i="16"/>
  <c r="AK19" i="16"/>
  <c r="B887" i="16"/>
  <c r="A887" i="16"/>
  <c r="E886"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K889" i="16"/>
  <c r="L889" i="16"/>
  <c r="B937" i="16"/>
  <c r="C19" i="16" s="1"/>
  <c r="A19" i="16"/>
  <c r="L890" i="16"/>
  <c r="C835" i="16"/>
  <c r="F835" i="16" s="1"/>
  <c r="E835" i="16"/>
  <c r="G835" i="16"/>
  <c r="B836" i="16"/>
  <c r="I835" i="16"/>
  <c r="AK18" i="16"/>
  <c r="AL18" i="16"/>
  <c r="A833" i="16"/>
  <c r="B833" i="16"/>
  <c r="E832" i="16"/>
  <c r="H835" i="16" s="1"/>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K835" i="16"/>
  <c r="L835" i="16"/>
  <c r="A18" i="16"/>
  <c r="B883" i="16"/>
  <c r="C18" i="16" s="1"/>
  <c r="L836" i="16"/>
  <c r="B782" i="16"/>
  <c r="G781" i="16"/>
  <c r="E781" i="16"/>
  <c r="C781" i="16"/>
  <c r="F781" i="16" s="1"/>
  <c r="I781" i="16"/>
  <c r="AK17" i="16"/>
  <c r="AL17" i="16"/>
  <c r="A779" i="16"/>
  <c r="B779" i="16"/>
  <c r="E778" i="16"/>
  <c r="H781" i="16"/>
  <c r="H782" i="16"/>
  <c r="H783"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I727" i="16"/>
  <c r="B728" i="16"/>
  <c r="C727" i="16"/>
  <c r="K727" i="16" s="1"/>
  <c r="E727" i="16"/>
  <c r="F727" i="16"/>
  <c r="G727" i="16"/>
  <c r="AL16" i="16"/>
  <c r="AK16" i="16"/>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70" i="16"/>
  <c r="H771" i="16"/>
  <c r="H772" i="16"/>
  <c r="H773" i="16"/>
  <c r="H774" i="16"/>
  <c r="H767" i="16"/>
  <c r="H769" i="16"/>
  <c r="H766" i="16"/>
  <c r="H768" i="16"/>
  <c r="G673" i="16"/>
  <c r="I673" i="16"/>
  <c r="B674" i="16"/>
  <c r="C673" i="16"/>
  <c r="E673" i="16"/>
  <c r="F673" i="16"/>
  <c r="AK15" i="16"/>
  <c r="AL15" i="16"/>
  <c r="A671" i="16"/>
  <c r="B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A15" i="16"/>
  <c r="L674" i="16"/>
  <c r="L673" i="16"/>
  <c r="K673" i="16"/>
  <c r="B721" i="16"/>
  <c r="C15" i="16" s="1"/>
  <c r="G619" i="16"/>
  <c r="E619" i="16"/>
  <c r="B620" i="16"/>
  <c r="I619" i="16"/>
  <c r="C619" i="16"/>
  <c r="F619" i="16" s="1"/>
  <c r="AL14" i="16"/>
  <c r="AK14" i="16"/>
  <c r="A617" i="16"/>
  <c r="B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A14" i="16"/>
  <c r="L620" i="16"/>
  <c r="L619" i="16"/>
  <c r="K619" i="16"/>
  <c r="B667" i="16"/>
  <c r="C14" i="16" s="1"/>
  <c r="I565" i="16"/>
  <c r="G565" i="16"/>
  <c r="E565" i="16"/>
  <c r="B566" i="16"/>
  <c r="C565" i="16"/>
  <c r="F565" i="16" s="1"/>
  <c r="AL13" i="16"/>
  <c r="AK13" i="16"/>
  <c r="A563" i="16"/>
  <c r="B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L566" i="16"/>
  <c r="L565" i="16"/>
  <c r="K565" i="16"/>
  <c r="B613" i="16"/>
  <c r="C13" i="16" s="1"/>
  <c r="A13" i="16"/>
  <c r="G511" i="16"/>
  <c r="P511" i="16" s="1"/>
  <c r="B512" i="16"/>
  <c r="I511" i="16"/>
  <c r="E511" i="16"/>
  <c r="C511" i="16"/>
  <c r="K511" i="16" s="1"/>
  <c r="F511" i="16"/>
  <c r="AL12" i="16"/>
  <c r="AK12" i="16"/>
  <c r="A509" i="16"/>
  <c r="B509" i="16"/>
  <c r="E508" i="16"/>
  <c r="H511" i="16" s="1"/>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B458" i="16"/>
  <c r="G457" i="16"/>
  <c r="I457" i="16"/>
  <c r="C457" i="16"/>
  <c r="F457" i="16" s="1"/>
  <c r="E457" i="16"/>
  <c r="AK11" i="16"/>
  <c r="AL11" i="16"/>
  <c r="B455" i="16"/>
  <c r="A455" i="16"/>
  <c r="E45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B505" i="16"/>
  <c r="C11" i="16" s="1"/>
  <c r="A11" i="16"/>
  <c r="K457" i="16"/>
  <c r="L457" i="16"/>
  <c r="L458" i="16"/>
  <c r="C403" i="16"/>
  <c r="F403" i="16" s="1"/>
  <c r="E403" i="16"/>
  <c r="G403" i="16"/>
  <c r="I403" i="16"/>
  <c r="B404" i="16"/>
  <c r="AK10" i="16"/>
  <c r="AL10" i="16"/>
  <c r="B401" i="16"/>
  <c r="A401" i="16"/>
  <c r="E400"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L404" i="16"/>
  <c r="L403" i="16"/>
  <c r="K403" i="16"/>
  <c r="A10" i="16"/>
  <c r="B451" i="16"/>
  <c r="C10" i="16" s="1"/>
  <c r="B350" i="16"/>
  <c r="G349" i="16"/>
  <c r="E349" i="16"/>
  <c r="C349" i="16"/>
  <c r="F349" i="16" s="1"/>
  <c r="AL9" i="16"/>
  <c r="AK9" i="16"/>
  <c r="A347" i="16"/>
  <c r="B347" i="16"/>
  <c r="I347" i="16" s="1"/>
  <c r="E346" i="16"/>
  <c r="H350" i="16" s="1"/>
  <c r="H349" i="16"/>
  <c r="H352" i="16"/>
  <c r="H353" i="16"/>
  <c r="H354" i="16"/>
  <c r="H351"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C295" i="16"/>
  <c r="K295" i="16" s="1"/>
  <c r="B296" i="16"/>
  <c r="I295" i="16"/>
  <c r="G295" i="16"/>
  <c r="F295" i="16"/>
  <c r="E295" i="16"/>
  <c r="A293" i="16"/>
  <c r="B293" i="16"/>
  <c r="E293" i="16" s="1"/>
  <c r="I293" i="16" s="1"/>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30" i="16"/>
  <c r="H331" i="16"/>
  <c r="H341" i="16"/>
  <c r="H336" i="16"/>
  <c r="H338" i="16"/>
  <c r="H342" i="16"/>
  <c r="H328" i="16"/>
  <c r="H337" i="16"/>
  <c r="H339" i="16"/>
  <c r="H340" i="16"/>
  <c r="H322" i="16"/>
  <c r="H333" i="16"/>
  <c r="H323" i="16"/>
  <c r="H324" i="16"/>
  <c r="H325" i="16"/>
  <c r="H326" i="16"/>
  <c r="H329" i="16"/>
  <c r="H332" i="16"/>
  <c r="H327" i="16"/>
  <c r="H334" i="16"/>
  <c r="H335" i="16"/>
  <c r="C241" i="16"/>
  <c r="K241" i="16" s="1"/>
  <c r="E241" i="16"/>
  <c r="F241" i="16"/>
  <c r="B242" i="16"/>
  <c r="I241" i="16"/>
  <c r="G241" i="16"/>
  <c r="AK7" i="16"/>
  <c r="AL7" i="16"/>
  <c r="L7" i="16"/>
  <c r="AI7" i="16" s="1"/>
  <c r="K7"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C187" i="16"/>
  <c r="K187" i="16" s="1"/>
  <c r="G187" i="16"/>
  <c r="E187" i="16"/>
  <c r="B188" i="16"/>
  <c r="I187" i="16"/>
  <c r="F187" i="16"/>
  <c r="AL6" i="16"/>
  <c r="AK6" i="16"/>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C133" i="16"/>
  <c r="E133" i="16"/>
  <c r="I133" i="16"/>
  <c r="G133" i="16"/>
  <c r="B134" i="16"/>
  <c r="AL5" i="16"/>
  <c r="AK5" i="16"/>
  <c r="A131" i="16"/>
  <c r="B131" i="16"/>
  <c r="E130"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B181" i="16"/>
  <c r="C5" i="16" s="1"/>
  <c r="A5" i="16"/>
  <c r="L133" i="16"/>
  <c r="E79" i="16"/>
  <c r="C79" i="16"/>
  <c r="B80" i="16"/>
  <c r="G79" i="16"/>
  <c r="F79" i="16"/>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W72" i="16"/>
  <c r="X72" i="16"/>
  <c r="Y72" i="16"/>
  <c r="AE72" i="16"/>
  <c r="X71" i="16"/>
  <c r="Y71" i="16"/>
  <c r="W71" i="16"/>
  <c r="AE71" i="16"/>
  <c r="Y70" i="16"/>
  <c r="X70" i="16"/>
  <c r="W70" i="16"/>
  <c r="AE70" i="16"/>
  <c r="Y69" i="16"/>
  <c r="X69" i="16"/>
  <c r="W69" i="16"/>
  <c r="AE69" i="16"/>
  <c r="Y68" i="16"/>
  <c r="X68" i="16"/>
  <c r="W68" i="16"/>
  <c r="AE68" i="16"/>
  <c r="W67" i="16"/>
  <c r="Y67" i="16"/>
  <c r="X67" i="16"/>
  <c r="AE67" i="16"/>
  <c r="X66" i="16"/>
  <c r="W66" i="16"/>
  <c r="Y66" i="16"/>
  <c r="AE66" i="16"/>
  <c r="Y65" i="16"/>
  <c r="W65" i="16"/>
  <c r="X65" i="16"/>
  <c r="AE65" i="16"/>
  <c r="W64" i="16"/>
  <c r="X64" i="16"/>
  <c r="Y64" i="16"/>
  <c r="AE64" i="16"/>
  <c r="W63" i="16"/>
  <c r="X63" i="16"/>
  <c r="Y63" i="16"/>
  <c r="AE63" i="16"/>
  <c r="W62" i="16"/>
  <c r="X62" i="16"/>
  <c r="Y62" i="16"/>
  <c r="AE62" i="16"/>
  <c r="X61" i="16"/>
  <c r="W61" i="16"/>
  <c r="Y61" i="16"/>
  <c r="AE61" i="16"/>
  <c r="Y60" i="16"/>
  <c r="X60" i="16"/>
  <c r="W60" i="16"/>
  <c r="AE60" i="16"/>
  <c r="Y59" i="16"/>
  <c r="W59" i="16"/>
  <c r="X59" i="16"/>
  <c r="AE59" i="16"/>
  <c r="W58" i="16"/>
  <c r="X58" i="16"/>
  <c r="Y58" i="16"/>
  <c r="AE58" i="16"/>
  <c r="Y57" i="16"/>
  <c r="X57" i="16"/>
  <c r="W57" i="16"/>
  <c r="AE57" i="16"/>
  <c r="X56" i="16"/>
  <c r="Y56" i="16"/>
  <c r="W56" i="16"/>
  <c r="AE56" i="16"/>
  <c r="W55" i="16"/>
  <c r="X55" i="16"/>
  <c r="Y55" i="16"/>
  <c r="AE55" i="16"/>
  <c r="Y54" i="16"/>
  <c r="W54" i="16"/>
  <c r="X54" i="16"/>
  <c r="AE54" i="16"/>
  <c r="X53" i="16"/>
  <c r="W53" i="16"/>
  <c r="Y53" i="16"/>
  <c r="AE53" i="16"/>
  <c r="Y52" i="16"/>
  <c r="X52" i="16"/>
  <c r="W52" i="16"/>
  <c r="AE52" i="16"/>
  <c r="Y51" i="16"/>
  <c r="X51" i="16"/>
  <c r="W51" i="16"/>
  <c r="AE51" i="16"/>
  <c r="Y50" i="16"/>
  <c r="X50" i="16"/>
  <c r="W50" i="16"/>
  <c r="AE50" i="16"/>
  <c r="Y49" i="16"/>
  <c r="W49" i="16"/>
  <c r="X49" i="16"/>
  <c r="AE49" i="16"/>
  <c r="Y48" i="16"/>
  <c r="W48" i="16"/>
  <c r="X48" i="16"/>
  <c r="AE48" i="16"/>
  <c r="Y47" i="16"/>
  <c r="X47" i="16"/>
  <c r="W47" i="16"/>
  <c r="AE47" i="16"/>
  <c r="W46" i="16"/>
  <c r="X46" i="16"/>
  <c r="Y46" i="16"/>
  <c r="AE46" i="16"/>
  <c r="W45" i="16"/>
  <c r="X45" i="16"/>
  <c r="D33" i="9" s="1"/>
  <c r="Y45" i="16"/>
  <c r="E33" i="9" s="1"/>
  <c r="AE45" i="16"/>
  <c r="T33" i="9" s="1"/>
  <c r="W44" i="16"/>
  <c r="C33" i="9" s="1"/>
  <c r="X44" i="16"/>
  <c r="Y44" i="16"/>
  <c r="AE44" i="16"/>
  <c r="Y43" i="16"/>
  <c r="X43" i="16"/>
  <c r="W43" i="16"/>
  <c r="AE43" i="16"/>
  <c r="Y42" i="16"/>
  <c r="X42" i="16"/>
  <c r="W42" i="16"/>
  <c r="AE42" i="16"/>
  <c r="Y41" i="16"/>
  <c r="W41" i="16"/>
  <c r="X41" i="16"/>
  <c r="AE41" i="16"/>
  <c r="Y40" i="16"/>
  <c r="X40" i="16"/>
  <c r="W40" i="16"/>
  <c r="AE40" i="16"/>
  <c r="W39" i="16"/>
  <c r="X39" i="16"/>
  <c r="Y39" i="16"/>
  <c r="AE39" i="16"/>
  <c r="Y38" i="16"/>
  <c r="X38" i="16"/>
  <c r="W38" i="16"/>
  <c r="AE38" i="16"/>
  <c r="Y37" i="16"/>
  <c r="X37" i="16"/>
  <c r="W37" i="16"/>
  <c r="AE37" i="16"/>
  <c r="Y36" i="16"/>
  <c r="X36" i="16"/>
  <c r="W36" i="16"/>
  <c r="AE36" i="16"/>
  <c r="Y35" i="16"/>
  <c r="X35" i="16"/>
  <c r="W35" i="16"/>
  <c r="AE35" i="16"/>
  <c r="Y34" i="16"/>
  <c r="X34" i="16"/>
  <c r="W34" i="16"/>
  <c r="AE34" i="16"/>
  <c r="Y33" i="16"/>
  <c r="X33" i="16"/>
  <c r="W33" i="16"/>
  <c r="AE33" i="16"/>
  <c r="X32" i="16"/>
  <c r="W32" i="16"/>
  <c r="Y32" i="16"/>
  <c r="AE32" i="16"/>
  <c r="Y31" i="16"/>
  <c r="X31" i="16"/>
  <c r="W31" i="16"/>
  <c r="AE31" i="16"/>
  <c r="Y30" i="16"/>
  <c r="W30" i="16"/>
  <c r="X30" i="16"/>
  <c r="AE30" i="16"/>
  <c r="W29" i="16"/>
  <c r="X29" i="16"/>
  <c r="Y29" i="16"/>
  <c r="AE29" i="16"/>
  <c r="Y28" i="16"/>
  <c r="W28" i="16"/>
  <c r="X28" i="16"/>
  <c r="AE28" i="16"/>
  <c r="X27" i="16"/>
  <c r="Y27" i="16"/>
  <c r="W27" i="16"/>
  <c r="AE27" i="16"/>
  <c r="Y26" i="16"/>
  <c r="W26" i="16"/>
  <c r="X26" i="16"/>
  <c r="AE26" i="16"/>
  <c r="X25" i="16"/>
  <c r="Y25" i="16"/>
  <c r="W25" i="16"/>
  <c r="AE25" i="16"/>
  <c r="W24" i="16"/>
  <c r="X24" i="16"/>
  <c r="Y24" i="16"/>
  <c r="AE24" i="16"/>
  <c r="Y23" i="16"/>
  <c r="W23" i="16"/>
  <c r="X23" i="16"/>
  <c r="AE23" i="16"/>
  <c r="W22" i="16"/>
  <c r="X22" i="16"/>
  <c r="Y22" i="16"/>
  <c r="AE22" i="16"/>
  <c r="Y21" i="16"/>
  <c r="W21" i="16"/>
  <c r="X21" i="16"/>
  <c r="AE21" i="16"/>
  <c r="X20" i="16"/>
  <c r="W20" i="16"/>
  <c r="Y20" i="16"/>
  <c r="AE20" i="16"/>
  <c r="W19" i="16"/>
  <c r="X19" i="16"/>
  <c r="Y19" i="16"/>
  <c r="AE19" i="16"/>
  <c r="Y18" i="16"/>
  <c r="X18" i="16"/>
  <c r="W18" i="16"/>
  <c r="AE18" i="16"/>
  <c r="W17" i="16"/>
  <c r="X17" i="16"/>
  <c r="Y17" i="16"/>
  <c r="AE17" i="16"/>
  <c r="Y16" i="16"/>
  <c r="X16" i="16"/>
  <c r="W16" i="16"/>
  <c r="AE16" i="16"/>
  <c r="X15" i="16"/>
  <c r="Y15" i="16"/>
  <c r="W15" i="16"/>
  <c r="AE15" i="16"/>
  <c r="X14" i="16"/>
  <c r="Y14" i="16"/>
  <c r="W14" i="16"/>
  <c r="AE14" i="16"/>
  <c r="Y13" i="16"/>
  <c r="X13" i="16"/>
  <c r="W13" i="16"/>
  <c r="AE13" i="16"/>
  <c r="W12" i="16"/>
  <c r="Y12" i="16"/>
  <c r="X12" i="16"/>
  <c r="AE12" i="16"/>
  <c r="Y11" i="16"/>
  <c r="X11" i="16"/>
  <c r="W11" i="16"/>
  <c r="AE11" i="16"/>
  <c r="X10" i="16"/>
  <c r="W10" i="16"/>
  <c r="Y10" i="16"/>
  <c r="AE10" i="16"/>
  <c r="X9" i="16"/>
  <c r="W9" i="16"/>
  <c r="Y9" i="16"/>
  <c r="AE9" i="16"/>
  <c r="W8" i="16"/>
  <c r="X8" i="16"/>
  <c r="Y8" i="16"/>
  <c r="AE8" i="16"/>
  <c r="X7" i="16"/>
  <c r="W7" i="16"/>
  <c r="Y7" i="16"/>
  <c r="AE7" i="16"/>
  <c r="X6" i="16"/>
  <c r="Y6" i="16"/>
  <c r="W6" i="16"/>
  <c r="AE6" i="16"/>
  <c r="W5" i="16"/>
  <c r="X5" i="16"/>
  <c r="Y5" i="16"/>
  <c r="AE5" i="16"/>
  <c r="W4" i="16"/>
  <c r="Y4" i="16"/>
  <c r="X4" i="16"/>
  <c r="AE4" i="16"/>
  <c r="G10" i="11"/>
  <c r="G11" i="11"/>
  <c r="G13" i="11"/>
  <c r="G12" i="11"/>
  <c r="V33" i="9"/>
  <c r="M27" i="9"/>
  <c r="L27" i="9"/>
  <c r="J27" i="9"/>
  <c r="I27" i="9"/>
  <c r="H27" i="9"/>
  <c r="G27" i="9"/>
  <c r="F27" i="9"/>
  <c r="K27" i="9"/>
  <c r="E32" i="8"/>
  <c r="E31" i="8"/>
  <c r="E30" i="8"/>
  <c r="E29" i="8"/>
  <c r="E28" i="8"/>
  <c r="E27" i="8"/>
  <c r="E26" i="8"/>
  <c r="E25" i="8"/>
  <c r="E24" i="8"/>
  <c r="E23" i="8"/>
  <c r="E22" i="8"/>
  <c r="E21" i="8"/>
  <c r="E20" i="8"/>
  <c r="E19" i="8"/>
  <c r="E18" i="8"/>
  <c r="O55" i="8"/>
  <c r="O54" i="8"/>
  <c r="O53" i="8"/>
  <c r="O51" i="8"/>
  <c r="O50" i="8"/>
  <c r="O49" i="8"/>
  <c r="O48" i="8"/>
  <c r="O47" i="8"/>
  <c r="O46" i="8"/>
  <c r="O45" i="8"/>
  <c r="O44" i="8"/>
  <c r="O43" i="8"/>
  <c r="O42" i="8"/>
  <c r="O41" i="8"/>
  <c r="O40" i="8"/>
  <c r="O39" i="8"/>
  <c r="O38" i="8"/>
  <c r="O37" i="8"/>
  <c r="O36" i="8"/>
  <c r="O35" i="8"/>
  <c r="O33" i="8"/>
  <c r="O32" i="8"/>
  <c r="O31" i="8"/>
  <c r="O30" i="8"/>
  <c r="O52" i="8"/>
  <c r="O26" i="8"/>
  <c r="O34" i="8"/>
  <c r="O58" i="8"/>
  <c r="O24" i="8"/>
  <c r="O18" i="8"/>
  <c r="O59" i="8"/>
  <c r="O60" i="8"/>
  <c r="O61" i="8"/>
  <c r="O62" i="8"/>
  <c r="O16" i="8"/>
  <c r="O63" i="8"/>
  <c r="O64" i="8"/>
  <c r="O15" i="8"/>
  <c r="O65" i="8"/>
  <c r="O66" i="8"/>
  <c r="O68" i="8"/>
  <c r="O23" i="8"/>
  <c r="O69" i="8"/>
  <c r="O70" i="8"/>
  <c r="O71" i="8"/>
  <c r="O22" i="8"/>
  <c r="O72" i="8"/>
  <c r="O73" i="8"/>
  <c r="O74" i="8"/>
  <c r="F76" i="8"/>
  <c r="O6" i="8"/>
  <c r="O25" i="8"/>
  <c r="O21" i="8"/>
  <c r="O11" i="8"/>
  <c r="N76" i="8"/>
  <c r="O20" i="8"/>
  <c r="O19" i="8"/>
  <c r="O10" i="8"/>
  <c r="O17" i="8"/>
  <c r="O14" i="8"/>
  <c r="O13" i="8"/>
  <c r="O9" i="8"/>
  <c r="O12" i="8"/>
  <c r="O67" i="8"/>
  <c r="O29" i="8"/>
  <c r="O28" i="8"/>
  <c r="O8" i="8"/>
  <c r="O27" i="8"/>
  <c r="O57" i="8"/>
  <c r="O7" i="8"/>
  <c r="O56" i="8"/>
  <c r="C17" i="4"/>
  <c r="E17" i="4"/>
  <c r="F17" i="4"/>
  <c r="C17" i="5" s="1"/>
  <c r="G17" i="4"/>
  <c r="I17" i="4"/>
  <c r="B18" i="4"/>
  <c r="X16" i="4"/>
  <c r="B65" i="7"/>
  <c r="I65" i="7" s="1"/>
  <c r="W15" i="4"/>
  <c r="V17" i="4"/>
  <c r="R17" i="4"/>
  <c r="H17" i="5" s="1"/>
  <c r="F7" i="4"/>
  <c r="H4705" i="16"/>
  <c r="H4683" i="16"/>
  <c r="H4632" i="16"/>
  <c r="H4633" i="16"/>
  <c r="H4634" i="16"/>
  <c r="H4635" i="16"/>
  <c r="H4636" i="16"/>
  <c r="H4637" i="16"/>
  <c r="H4638" i="16"/>
  <c r="H4639" i="16"/>
  <c r="H4640" i="16"/>
  <c r="H4641" i="16"/>
  <c r="H4642" i="16"/>
  <c r="H4643" i="16"/>
  <c r="H23" i="4"/>
  <c r="D23" i="5" s="1"/>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4" i="16"/>
  <c r="H4685" i="16"/>
  <c r="H4686" i="16"/>
  <c r="H4687" i="16"/>
  <c r="H4688" i="16"/>
  <c r="H4689" i="16"/>
  <c r="H4690" i="16"/>
  <c r="H4691" i="16"/>
  <c r="H4692" i="16"/>
  <c r="H4693" i="16"/>
  <c r="H4694" i="16"/>
  <c r="H4695" i="16"/>
  <c r="H4696" i="16"/>
  <c r="H4697" i="16"/>
  <c r="H4698" i="16"/>
  <c r="H4699" i="16"/>
  <c r="H4700" i="16"/>
  <c r="H4701" i="16"/>
  <c r="H4702" i="16"/>
  <c r="S143" i="3"/>
  <c r="R143" i="3"/>
  <c r="P143" i="3"/>
  <c r="A4331" i="16"/>
  <c r="O143" i="3"/>
  <c r="Q143" i="3" s="1"/>
  <c r="P142" i="3"/>
  <c r="O142" i="3"/>
  <c r="Q142" i="3" s="1"/>
  <c r="R142" i="3"/>
  <c r="A4330" i="16"/>
  <c r="S142" i="3"/>
  <c r="A4329" i="16"/>
  <c r="S141" i="3"/>
  <c r="R141" i="3"/>
  <c r="P141" i="3"/>
  <c r="O141" i="3"/>
  <c r="Q141" i="3" s="1"/>
  <c r="A4328" i="16"/>
  <c r="S140" i="3"/>
  <c r="R140" i="3"/>
  <c r="P140" i="3"/>
  <c r="O140" i="3"/>
  <c r="Q140" i="3" s="1"/>
  <c r="A4327" i="16"/>
  <c r="S139" i="3"/>
  <c r="R139" i="3"/>
  <c r="P139" i="3"/>
  <c r="O139" i="3"/>
  <c r="Q139" i="3" s="1"/>
  <c r="A4326" i="16"/>
  <c r="S138" i="3"/>
  <c r="R138" i="3"/>
  <c r="P138" i="3"/>
  <c r="O138" i="3"/>
  <c r="Q138" i="3" s="1"/>
  <c r="A4325" i="16"/>
  <c r="S137" i="3"/>
  <c r="R137" i="3"/>
  <c r="P137" i="3"/>
  <c r="O137" i="3"/>
  <c r="Q137" i="3" s="1"/>
  <c r="S136" i="3"/>
  <c r="R136" i="3"/>
  <c r="P136" i="3"/>
  <c r="O136" i="3"/>
  <c r="Q136" i="3" s="1"/>
  <c r="A4324" i="16"/>
  <c r="A4323" i="16"/>
  <c r="S135" i="3"/>
  <c r="R135" i="3"/>
  <c r="P135" i="3"/>
  <c r="O135" i="3"/>
  <c r="Q135" i="3" s="1"/>
  <c r="A4322" i="16"/>
  <c r="S134" i="3"/>
  <c r="R134" i="3"/>
  <c r="P134" i="3"/>
  <c r="O134" i="3"/>
  <c r="Q134" i="3" s="1"/>
  <c r="A4321" i="16"/>
  <c r="S133" i="3"/>
  <c r="R133" i="3"/>
  <c r="P133" i="3"/>
  <c r="O133" i="3"/>
  <c r="Q133" i="3" s="1"/>
  <c r="A4320" i="16"/>
  <c r="S132" i="3"/>
  <c r="R132" i="3"/>
  <c r="P132" i="3"/>
  <c r="O132" i="3"/>
  <c r="Q132" i="3" s="1"/>
  <c r="O131" i="3"/>
  <c r="P131" i="3"/>
  <c r="R131" i="3"/>
  <c r="S131" i="3"/>
  <c r="A4319" i="16"/>
  <c r="O130" i="3"/>
  <c r="Q130" i="3" s="1"/>
  <c r="A4318" i="16"/>
  <c r="P130" i="3"/>
  <c r="R130" i="3"/>
  <c r="S130" i="3"/>
  <c r="A4317" i="16"/>
  <c r="P129" i="3"/>
  <c r="S129" i="3"/>
  <c r="R129" i="3"/>
  <c r="O129" i="3"/>
  <c r="Q129" i="3" s="1"/>
  <c r="A4316" i="16"/>
  <c r="P128" i="3"/>
  <c r="S128" i="3"/>
  <c r="R128" i="3"/>
  <c r="O128" i="3"/>
  <c r="Q128" i="3" s="1"/>
  <c r="S127" i="3"/>
  <c r="O127" i="3"/>
  <c r="Q127" i="3" s="1"/>
  <c r="A4315" i="16"/>
  <c r="P127" i="3"/>
  <c r="R127" i="3"/>
  <c r="P126" i="3"/>
  <c r="O126" i="3"/>
  <c r="Q126" i="3" s="1"/>
  <c r="A4314" i="16"/>
  <c r="R126" i="3"/>
  <c r="S126" i="3"/>
  <c r="S125" i="3"/>
  <c r="R125" i="3"/>
  <c r="P125" i="3"/>
  <c r="O125" i="3"/>
  <c r="Q125" i="3" s="1"/>
  <c r="A4313" i="16"/>
  <c r="S124" i="3"/>
  <c r="R124" i="3"/>
  <c r="P124" i="3"/>
  <c r="O124" i="3"/>
  <c r="Q124" i="3" s="1"/>
  <c r="A4312" i="16"/>
  <c r="S123" i="3"/>
  <c r="R123" i="3"/>
  <c r="O123" i="3"/>
  <c r="Q123" i="3" s="1"/>
  <c r="P123" i="3"/>
  <c r="A4311" i="16"/>
  <c r="P122" i="3"/>
  <c r="S122" i="3"/>
  <c r="O122" i="3"/>
  <c r="Q122" i="3" s="1"/>
  <c r="R122" i="3"/>
  <c r="A4310" i="16"/>
  <c r="R121" i="3"/>
  <c r="S121" i="3"/>
  <c r="P121" i="3"/>
  <c r="O121" i="3"/>
  <c r="Q121" i="3" s="1"/>
  <c r="A4309" i="16"/>
  <c r="S120" i="3"/>
  <c r="O120" i="3"/>
  <c r="R120" i="3"/>
  <c r="A4308" i="16"/>
  <c r="P120" i="3"/>
  <c r="A4307" i="16"/>
  <c r="P119" i="3"/>
  <c r="R119" i="3"/>
  <c r="S119" i="3"/>
  <c r="O119" i="3"/>
  <c r="Q119" i="3" s="1"/>
  <c r="O118" i="3"/>
  <c r="Q118" i="3" s="1"/>
  <c r="P118" i="3"/>
  <c r="R118" i="3"/>
  <c r="S118" i="3"/>
  <c r="A4306" i="16"/>
  <c r="P117" i="3"/>
  <c r="O117" i="3"/>
  <c r="Q117" i="3" s="1"/>
  <c r="S117" i="3"/>
  <c r="R117" i="3"/>
  <c r="A4305" i="16"/>
  <c r="P116" i="3"/>
  <c r="O116" i="3"/>
  <c r="Q116" i="3" s="1"/>
  <c r="S116" i="3"/>
  <c r="R116" i="3"/>
  <c r="A4304" i="16"/>
  <c r="O115" i="3"/>
  <c r="Q115" i="3" s="1"/>
  <c r="P115" i="3"/>
  <c r="R115" i="3"/>
  <c r="S115" i="3"/>
  <c r="A4303" i="16"/>
  <c r="O114" i="3"/>
  <c r="Q114" i="3" s="1"/>
  <c r="P114" i="3"/>
  <c r="R114" i="3"/>
  <c r="S114" i="3"/>
  <c r="A4302" i="16"/>
  <c r="P113" i="3"/>
  <c r="S113" i="3"/>
  <c r="R113" i="3"/>
  <c r="O113" i="3"/>
  <c r="Q113" i="3" s="1"/>
  <c r="A4301" i="16"/>
  <c r="O112" i="3"/>
  <c r="Q112" i="3" s="1"/>
  <c r="P112" i="3"/>
  <c r="S112" i="3"/>
  <c r="R112" i="3"/>
  <c r="A4300" i="16"/>
  <c r="S111" i="3"/>
  <c r="R111" i="3"/>
  <c r="P111" i="3"/>
  <c r="O111" i="3"/>
  <c r="Q111" i="3" s="1"/>
  <c r="A4299" i="16"/>
  <c r="O110" i="3"/>
  <c r="Q110" i="3" s="1"/>
  <c r="P110" i="3"/>
  <c r="R110" i="3"/>
  <c r="S110" i="3"/>
  <c r="A4298" i="16"/>
  <c r="S109" i="3"/>
  <c r="P109" i="3"/>
  <c r="O109" i="3"/>
  <c r="Q109" i="3" s="1"/>
  <c r="R109" i="3"/>
  <c r="A4297" i="16"/>
  <c r="S108" i="3"/>
  <c r="R108" i="3"/>
  <c r="O108" i="3"/>
  <c r="Q108" i="3" s="1"/>
  <c r="P108" i="3"/>
  <c r="A4296" i="16"/>
  <c r="P107" i="3"/>
  <c r="R107" i="3"/>
  <c r="A4295" i="16"/>
  <c r="S107" i="3"/>
  <c r="O107" i="3"/>
  <c r="Q107" i="3" s="1"/>
  <c r="O106" i="3"/>
  <c r="Q106" i="3" s="1"/>
  <c r="S106" i="3"/>
  <c r="A4294" i="16"/>
  <c r="R106" i="3"/>
  <c r="P106" i="3"/>
  <c r="O105" i="3"/>
  <c r="Q105" i="3" s="1"/>
  <c r="A4293" i="16"/>
  <c r="S105" i="3"/>
  <c r="R105" i="3"/>
  <c r="P105" i="3"/>
  <c r="S104" i="3"/>
  <c r="R104" i="3"/>
  <c r="P104" i="3"/>
  <c r="O104" i="3"/>
  <c r="Q104" i="3" s="1"/>
  <c r="A4292" i="16"/>
  <c r="S103" i="3"/>
  <c r="P103" i="3"/>
  <c r="O103" i="3"/>
  <c r="Q103" i="3" s="1"/>
  <c r="A4291" i="16"/>
  <c r="R103" i="3"/>
  <c r="P102" i="3"/>
  <c r="R102" i="3"/>
  <c r="S102" i="3"/>
  <c r="A4290" i="16"/>
  <c r="O102" i="3"/>
  <c r="Q102" i="3" s="1"/>
  <c r="P101" i="3"/>
  <c r="O101" i="3"/>
  <c r="Q101" i="3" s="1"/>
  <c r="S101" i="3"/>
  <c r="R101" i="3"/>
  <c r="A4289" i="16"/>
  <c r="S100" i="3"/>
  <c r="R100" i="3"/>
  <c r="P100" i="3"/>
  <c r="O100" i="3"/>
  <c r="Q100" i="3" s="1"/>
  <c r="A4288" i="16"/>
  <c r="R99" i="3"/>
  <c r="P99" i="3"/>
  <c r="O99" i="3"/>
  <c r="Q99" i="3" s="1"/>
  <c r="S99" i="3"/>
  <c r="A4287" i="16"/>
  <c r="S98" i="3"/>
  <c r="A4286" i="16"/>
  <c r="O98" i="3"/>
  <c r="Q98" i="3" s="1"/>
  <c r="P98" i="3"/>
  <c r="R98" i="3"/>
  <c r="A4285" i="16"/>
  <c r="S97" i="3"/>
  <c r="R97" i="3"/>
  <c r="O97" i="3"/>
  <c r="Q97" i="3" s="1"/>
  <c r="P97" i="3"/>
  <c r="A4284" i="16"/>
  <c r="S96" i="3"/>
  <c r="R96" i="3"/>
  <c r="P96" i="3"/>
  <c r="O96" i="3"/>
  <c r="Q96" i="3" s="1"/>
  <c r="P95" i="3"/>
  <c r="R95" i="3"/>
  <c r="S95" i="3"/>
  <c r="A4283" i="16"/>
  <c r="O95" i="3"/>
  <c r="Q95" i="3" s="1"/>
  <c r="O94" i="3"/>
  <c r="R94" i="3"/>
  <c r="S94" i="3"/>
  <c r="P94" i="3"/>
  <c r="A4282" i="16"/>
  <c r="S93" i="3"/>
  <c r="R93" i="3"/>
  <c r="A4281" i="16"/>
  <c r="P93" i="3"/>
  <c r="O93" i="3"/>
  <c r="Q93" i="3" s="1"/>
  <c r="R92" i="3"/>
  <c r="P92" i="3"/>
  <c r="O92" i="3"/>
  <c r="Q92" i="3" s="1"/>
  <c r="A4280" i="16"/>
  <c r="S92" i="3"/>
  <c r="S91" i="3"/>
  <c r="O91" i="3"/>
  <c r="P91" i="3"/>
  <c r="R91" i="3"/>
  <c r="A4279" i="16"/>
  <c r="R90" i="3"/>
  <c r="A4278" i="16"/>
  <c r="S90" i="3"/>
  <c r="P90" i="3"/>
  <c r="O90" i="3"/>
  <c r="Q90" i="3" s="1"/>
  <c r="A4277" i="16"/>
  <c r="O89" i="3"/>
  <c r="P89" i="3"/>
  <c r="R89" i="3"/>
  <c r="S89" i="3"/>
  <c r="A4276" i="16"/>
  <c r="O88" i="3"/>
  <c r="P88" i="3"/>
  <c r="R88" i="3"/>
  <c r="S88" i="3"/>
  <c r="R87" i="3"/>
  <c r="S87" i="3"/>
  <c r="O87" i="3"/>
  <c r="A4275" i="16"/>
  <c r="P87" i="3"/>
  <c r="R86" i="3"/>
  <c r="P86" i="3"/>
  <c r="O86" i="3"/>
  <c r="Q86" i="3" s="1"/>
  <c r="A4274" i="16"/>
  <c r="S86" i="3"/>
  <c r="S85" i="3"/>
  <c r="P85" i="3"/>
  <c r="A4273" i="16"/>
  <c r="R85" i="3"/>
  <c r="O85" i="3"/>
  <c r="Q85" i="3" s="1"/>
  <c r="S84" i="3"/>
  <c r="O84" i="3"/>
  <c r="P84" i="3"/>
  <c r="R84" i="3"/>
  <c r="A4272" i="16"/>
  <c r="P83" i="3"/>
  <c r="R83" i="3"/>
  <c r="S83" i="3"/>
  <c r="O83" i="3"/>
  <c r="Q83" i="3" s="1"/>
  <c r="A4271" i="16"/>
  <c r="R82" i="3"/>
  <c r="P82" i="3"/>
  <c r="O82" i="3"/>
  <c r="Q82" i="3" s="1"/>
  <c r="S82" i="3"/>
  <c r="A4270" i="16"/>
  <c r="O81" i="3"/>
  <c r="P81" i="3"/>
  <c r="R81" i="3"/>
  <c r="S81" i="3"/>
  <c r="A4269" i="16"/>
  <c r="I3157" i="16"/>
  <c r="I3211" i="16"/>
  <c r="I997" i="16"/>
  <c r="I349" i="16"/>
  <c r="I1267" i="16"/>
  <c r="I3049" i="16"/>
  <c r="I3103" i="16"/>
  <c r="B3421" i="16"/>
  <c r="C65" i="16" s="1"/>
  <c r="B2935" i="16"/>
  <c r="C56" i="16" s="1"/>
  <c r="C44" i="17"/>
  <c r="D44" i="17" s="1"/>
  <c r="C5" i="4"/>
  <c r="B289" i="16"/>
  <c r="C7" i="16" s="1"/>
  <c r="A4268" i="16"/>
  <c r="E44" i="13"/>
  <c r="G44" i="13" s="1"/>
  <c r="B2071" i="16"/>
  <c r="C40" i="16" s="1"/>
  <c r="B1639" i="16"/>
  <c r="C32" i="16" s="1"/>
  <c r="B1855" i="16"/>
  <c r="C36" i="16" s="1"/>
  <c r="O80" i="3"/>
  <c r="B1207" i="16"/>
  <c r="C24" i="16" s="1"/>
  <c r="B2719" i="16"/>
  <c r="C52" i="16" s="1"/>
  <c r="B2503" i="16"/>
  <c r="C48" i="16" s="1"/>
  <c r="P80" i="3"/>
  <c r="R80" i="3"/>
  <c r="S80" i="3"/>
  <c r="C39" i="17"/>
  <c r="D39" i="17" s="1"/>
  <c r="C40" i="17"/>
  <c r="D40" i="17" s="1"/>
  <c r="C41" i="17"/>
  <c r="D41" i="17" s="1"/>
  <c r="C42" i="17"/>
  <c r="D42" i="17" s="1"/>
  <c r="C43" i="17"/>
  <c r="D43" i="17" s="1"/>
  <c r="B74" i="8"/>
  <c r="A74" i="8"/>
  <c r="C74" i="8"/>
  <c r="A73" i="8"/>
  <c r="C73" i="8"/>
  <c r="B73" i="8"/>
  <c r="A3640" i="16"/>
  <c r="I3643" i="16" s="1"/>
  <c r="C72" i="8"/>
  <c r="B72" i="8"/>
  <c r="A72" i="8"/>
  <c r="C71" i="8"/>
  <c r="A3586" i="16"/>
  <c r="B71" i="8"/>
  <c r="A71" i="8"/>
  <c r="L3427" i="16"/>
  <c r="B3475" i="16"/>
  <c r="C66" i="16" s="1"/>
  <c r="A66" i="16"/>
  <c r="L3373" i="16"/>
  <c r="A65" i="16"/>
  <c r="K2941" i="16"/>
  <c r="L2941" i="16"/>
  <c r="L2942" i="16"/>
  <c r="B2989" i="16"/>
  <c r="C57" i="16" s="1"/>
  <c r="A57" i="16"/>
  <c r="K2887" i="16"/>
  <c r="L2887" i="16"/>
  <c r="L2888" i="16"/>
  <c r="A56" i="16"/>
  <c r="K2833" i="16"/>
  <c r="L2833" i="16"/>
  <c r="L2834" i="16"/>
  <c r="B2881" i="16"/>
  <c r="C55" i="16" s="1"/>
  <c r="A55" i="16"/>
  <c r="K2725" i="16"/>
  <c r="L2725" i="16"/>
  <c r="L2726" i="16"/>
  <c r="B2773" i="16"/>
  <c r="C53" i="16" s="1"/>
  <c r="A53" i="16"/>
  <c r="K2671" i="16"/>
  <c r="L2671" i="16"/>
  <c r="L2672" i="16"/>
  <c r="A52" i="16"/>
  <c r="L2617" i="16"/>
  <c r="B2665" i="16"/>
  <c r="C51" i="16" s="1"/>
  <c r="A51" i="16"/>
  <c r="L2509" i="16"/>
  <c r="B2557" i="16"/>
  <c r="C49" i="16" s="1"/>
  <c r="A49" i="16"/>
  <c r="L2455" i="16"/>
  <c r="A48" i="16"/>
  <c r="L2401" i="16"/>
  <c r="B2449" i="16"/>
  <c r="C47" i="16" s="1"/>
  <c r="A47" i="16"/>
  <c r="L2293" i="16"/>
  <c r="B2341" i="16"/>
  <c r="C45" i="16" s="1"/>
  <c r="A45" i="16"/>
  <c r="L2077" i="16"/>
  <c r="B2125" i="16"/>
  <c r="C41" i="16" s="1"/>
  <c r="A41" i="16"/>
  <c r="L2023" i="16"/>
  <c r="A40" i="16"/>
  <c r="L1969" i="16"/>
  <c r="B2017" i="16"/>
  <c r="C39" i="16" s="1"/>
  <c r="A39" i="16"/>
  <c r="K1861" i="16"/>
  <c r="L1861" i="16"/>
  <c r="L1862" i="16"/>
  <c r="B1909" i="16"/>
  <c r="C37" i="16" s="1"/>
  <c r="A37" i="16"/>
  <c r="K1807" i="16"/>
  <c r="L1807" i="16"/>
  <c r="L1808" i="16"/>
  <c r="A36" i="16"/>
  <c r="K1753" i="16"/>
  <c r="L1753" i="16"/>
  <c r="L1754" i="16"/>
  <c r="B1801" i="16"/>
  <c r="C35" i="16" s="1"/>
  <c r="A35" i="16"/>
  <c r="K1645" i="16"/>
  <c r="L1645" i="16"/>
  <c r="L1646" i="16"/>
  <c r="B1693" i="16"/>
  <c r="C33" i="16" s="1"/>
  <c r="A33" i="16"/>
  <c r="K1591" i="16"/>
  <c r="L1591" i="16"/>
  <c r="L1592" i="16"/>
  <c r="A32" i="16"/>
  <c r="K1213" i="16"/>
  <c r="L1213" i="16"/>
  <c r="L1215" i="16"/>
  <c r="L1214" i="16"/>
  <c r="K1214" i="16"/>
  <c r="B1261" i="16"/>
  <c r="C25" i="16" s="1"/>
  <c r="A25" i="16"/>
  <c r="L1159" i="16"/>
  <c r="A24" i="16"/>
  <c r="L943" i="16"/>
  <c r="B991" i="16"/>
  <c r="C20" i="16" s="1"/>
  <c r="A20" i="16"/>
  <c r="L727" i="16"/>
  <c r="B775" i="16"/>
  <c r="C16" i="16" s="1"/>
  <c r="A16" i="16"/>
  <c r="L511" i="16"/>
  <c r="B559" i="16"/>
  <c r="C12" i="16" s="1"/>
  <c r="A12" i="16"/>
  <c r="L295" i="16"/>
  <c r="B343" i="16"/>
  <c r="C8" i="16" s="1"/>
  <c r="A8" i="16"/>
  <c r="L241" i="16"/>
  <c r="A7" i="16"/>
  <c r="L187" i="16"/>
  <c r="B235" i="16"/>
  <c r="C6" i="16" s="1"/>
  <c r="A6" i="16"/>
  <c r="E45" i="13"/>
  <c r="G45" i="13" s="1"/>
  <c r="E46" i="13"/>
  <c r="G46" i="13" s="1"/>
  <c r="A76" i="16"/>
  <c r="I79" i="16" s="1"/>
  <c r="E42" i="13"/>
  <c r="G42" i="13" s="1"/>
  <c r="K4675" i="16"/>
  <c r="L4675" i="16"/>
  <c r="L4676" i="16"/>
  <c r="L18" i="4"/>
  <c r="L17" i="4"/>
  <c r="K17" i="4"/>
  <c r="C22" i="17"/>
  <c r="D22" i="17" s="1"/>
  <c r="K4051" i="16"/>
  <c r="L4051" i="16"/>
  <c r="L4052" i="16"/>
  <c r="B3" i="4"/>
  <c r="F7" i="2"/>
  <c r="K2831" i="16"/>
  <c r="K2669" i="16"/>
  <c r="K2129" i="16"/>
  <c r="E1643" i="16"/>
  <c r="I1643" i="16" s="1"/>
  <c r="K1805" i="16"/>
  <c r="K3533" i="16"/>
  <c r="K3479" i="16"/>
  <c r="E3479" i="16"/>
  <c r="I3479" i="16" s="1"/>
  <c r="J3479" i="16"/>
  <c r="K2021" i="16"/>
  <c r="J1751" i="16"/>
  <c r="K3641" i="16"/>
  <c r="K3425" i="16"/>
  <c r="J3425" i="16"/>
  <c r="I3425" i="16"/>
  <c r="E3317" i="16"/>
  <c r="I3317" i="16" s="1"/>
  <c r="K2993" i="16"/>
  <c r="E2939" i="16"/>
  <c r="I2939" i="16" s="1"/>
  <c r="E2885" i="16"/>
  <c r="I2885" i="16" s="1"/>
  <c r="E2831" i="16"/>
  <c r="I2831" i="16" s="1"/>
  <c r="K2291" i="16"/>
  <c r="J2183" i="16"/>
  <c r="E1535" i="16"/>
  <c r="I1535" i="16" s="1"/>
  <c r="E2669" i="16"/>
  <c r="I2669" i="16" s="1"/>
  <c r="E1805" i="16"/>
  <c r="I1805" i="16" s="1"/>
  <c r="E2291" i="16"/>
  <c r="I2291" i="16" s="1"/>
  <c r="E3587" i="16"/>
  <c r="I3587" i="16" s="1"/>
  <c r="K2939" i="16"/>
  <c r="E1697" i="16"/>
  <c r="I1697" i="16" s="1"/>
  <c r="E3641" i="16"/>
  <c r="I3641" i="16" s="1"/>
  <c r="J3587" i="16"/>
  <c r="E3533" i="16"/>
  <c r="I3533" i="16" s="1"/>
  <c r="J3533" i="16"/>
  <c r="E1859" i="16"/>
  <c r="I1859" i="16" s="1"/>
  <c r="J1589" i="16"/>
  <c r="E3695" i="16"/>
  <c r="I3695" i="16" s="1"/>
  <c r="K1697" i="16"/>
  <c r="E1589" i="16"/>
  <c r="I1589" i="16" s="1"/>
  <c r="K1427" i="16"/>
  <c r="K1373" i="16"/>
  <c r="E1373" i="16"/>
  <c r="I1373" i="16" s="1"/>
  <c r="J1373" i="16"/>
  <c r="K1319" i="16"/>
  <c r="E1319" i="16"/>
  <c r="I1319" i="16" s="1"/>
  <c r="J1319" i="16"/>
  <c r="K1265" i="16"/>
  <c r="E1265" i="16"/>
  <c r="I1265" i="16" s="1"/>
  <c r="J1265" i="16"/>
  <c r="K1211" i="16"/>
  <c r="E1211" i="16"/>
  <c r="I1211" i="16" s="1"/>
  <c r="J1211" i="16"/>
  <c r="K1157" i="16"/>
  <c r="E1157" i="16"/>
  <c r="I1157" i="16" s="1"/>
  <c r="J1157" i="16"/>
  <c r="K1103" i="16"/>
  <c r="E1103" i="16"/>
  <c r="I1103" i="16" s="1"/>
  <c r="J1103" i="16"/>
  <c r="K1049" i="16"/>
  <c r="K995" i="16"/>
  <c r="E995" i="16"/>
  <c r="I995" i="16" s="1"/>
  <c r="J995" i="16"/>
  <c r="K941" i="16"/>
  <c r="E941" i="16"/>
  <c r="I941" i="16" s="1"/>
  <c r="J941" i="16"/>
  <c r="K887" i="16"/>
  <c r="E887" i="16"/>
  <c r="I887" i="16" s="1"/>
  <c r="J887" i="16"/>
  <c r="K833" i="16"/>
  <c r="E833" i="16"/>
  <c r="I833" i="16" s="1"/>
  <c r="J833" i="16"/>
  <c r="K779" i="16"/>
  <c r="E779" i="16"/>
  <c r="I779" i="16" s="1"/>
  <c r="J779" i="16"/>
  <c r="K725" i="16"/>
  <c r="E725" i="16"/>
  <c r="I725" i="16" s="1"/>
  <c r="J725" i="16"/>
  <c r="K671" i="16"/>
  <c r="E671" i="16"/>
  <c r="I671" i="16" s="1"/>
  <c r="J671" i="16"/>
  <c r="K617" i="16"/>
  <c r="K563" i="16"/>
  <c r="E563" i="16"/>
  <c r="I563" i="16" s="1"/>
  <c r="J563" i="16"/>
  <c r="K509" i="16"/>
  <c r="E509" i="16"/>
  <c r="I509" i="16" s="1"/>
  <c r="J509" i="16"/>
  <c r="K455" i="16"/>
  <c r="J455" i="16"/>
  <c r="K347" i="16"/>
  <c r="J347" i="16"/>
  <c r="K77" i="16"/>
  <c r="E455" i="16"/>
  <c r="I455" i="16" s="1"/>
  <c r="K401" i="16"/>
  <c r="E401" i="16"/>
  <c r="I401" i="16" s="1"/>
  <c r="J401" i="16"/>
  <c r="K293" i="16"/>
  <c r="J293" i="16"/>
  <c r="K239" i="16"/>
  <c r="K185" i="16"/>
  <c r="K131" i="16"/>
  <c r="E77" i="16"/>
  <c r="I77" i="16" s="1"/>
  <c r="J77" i="16"/>
  <c r="K3209" i="16"/>
  <c r="E3155" i="16"/>
  <c r="I3155" i="16" s="1"/>
  <c r="E3047" i="16"/>
  <c r="I3047" i="16" s="1"/>
  <c r="E2993" i="16"/>
  <c r="I2993" i="16" s="1"/>
  <c r="J2777" i="16"/>
  <c r="E2345" i="16"/>
  <c r="I2345" i="16" s="1"/>
  <c r="K2183" i="16"/>
  <c r="K3317" i="16"/>
  <c r="K3155" i="16"/>
  <c r="J2885" i="16"/>
  <c r="E2183" i="16"/>
  <c r="I2183" i="16" s="1"/>
  <c r="E1913" i="16"/>
  <c r="I1913" i="16" s="1"/>
  <c r="J1859" i="16"/>
  <c r="E2777" i="16"/>
  <c r="I2777" i="16" s="1"/>
  <c r="E2723" i="16"/>
  <c r="I2723" i="16" s="1"/>
  <c r="E2615" i="16"/>
  <c r="I2615" i="16" s="1"/>
  <c r="E2561" i="16"/>
  <c r="I2561" i="16" s="1"/>
  <c r="E3101" i="16"/>
  <c r="I3101" i="16" s="1"/>
  <c r="J2399" i="16"/>
  <c r="E3209" i="16"/>
  <c r="I3209" i="16" s="1"/>
  <c r="E2129" i="16"/>
  <c r="I2129" i="16" s="1"/>
  <c r="E1751" i="16"/>
  <c r="I1751" i="16" s="1"/>
  <c r="E2399" i="16"/>
  <c r="I2399" i="16" s="1"/>
  <c r="K1643" i="16"/>
  <c r="O3643" i="16" l="1"/>
  <c r="O1321" i="16"/>
  <c r="O457" i="16"/>
  <c r="O2131" i="16"/>
  <c r="O3481" i="16"/>
  <c r="E40" i="13"/>
  <c r="G40" i="13" s="1"/>
  <c r="G3849" i="16"/>
  <c r="AC3863" i="16"/>
  <c r="I3857" i="16"/>
  <c r="O781" i="16"/>
  <c r="O2185" i="16"/>
  <c r="G3869" i="16"/>
  <c r="I3869" i="16" s="1"/>
  <c r="I3862" i="16"/>
  <c r="AC3861" i="16"/>
  <c r="AL3858" i="16"/>
  <c r="O1213" i="16"/>
  <c r="AA3814" i="16"/>
  <c r="AC3814" i="16" s="1"/>
  <c r="I3810" i="16"/>
  <c r="G3808" i="16"/>
  <c r="S3806" i="16"/>
  <c r="O889" i="16"/>
  <c r="O2779" i="16"/>
  <c r="O2671" i="16"/>
  <c r="O2563" i="16"/>
  <c r="O1753" i="16"/>
  <c r="O1699" i="16"/>
  <c r="O1214" i="16"/>
  <c r="O1591" i="16"/>
  <c r="O1537" i="16"/>
  <c r="O565" i="16"/>
  <c r="O349" i="16"/>
  <c r="Z33" i="9"/>
  <c r="Q120" i="3"/>
  <c r="Q94" i="3"/>
  <c r="Q91" i="3"/>
  <c r="Q89" i="3"/>
  <c r="Q88" i="3"/>
  <c r="Q87" i="3"/>
  <c r="Q84" i="3"/>
  <c r="Q81" i="3"/>
  <c r="B46" i="15"/>
  <c r="B47" i="15"/>
  <c r="B49" i="15"/>
  <c r="B23" i="15"/>
  <c r="A28" i="9" s="1"/>
  <c r="B18" i="15"/>
  <c r="A23" i="9" s="1"/>
  <c r="B32" i="15"/>
  <c r="B57" i="15"/>
  <c r="B31" i="15"/>
  <c r="B56" i="15"/>
  <c r="B30" i="15"/>
  <c r="B55" i="15"/>
  <c r="B29" i="15"/>
  <c r="B54" i="15"/>
  <c r="B28" i="15"/>
  <c r="B27" i="15"/>
  <c r="B53" i="15"/>
  <c r="B26" i="15"/>
  <c r="A31" i="9" s="1"/>
  <c r="B20" i="15"/>
  <c r="A25" i="9" s="1"/>
  <c r="B52" i="15"/>
  <c r="B19" i="15"/>
  <c r="A24" i="9" s="1"/>
  <c r="B51" i="15"/>
  <c r="B50" i="15"/>
  <c r="B21" i="15"/>
  <c r="A26" i="9" s="1"/>
  <c r="B17" i="15"/>
  <c r="A22" i="9" s="1"/>
  <c r="B64" i="15"/>
  <c r="B70" i="15"/>
  <c r="B71" i="15"/>
  <c r="B8" i="15"/>
  <c r="A13" i="9" s="1"/>
  <c r="B7" i="15"/>
  <c r="A12" i="9" s="1"/>
  <c r="B6" i="15"/>
  <c r="A11" i="9" s="1"/>
  <c r="B5" i="15"/>
  <c r="A10" i="9" s="1"/>
  <c r="B48" i="15"/>
  <c r="B4" i="15"/>
  <c r="A9" i="9" s="1"/>
  <c r="B33" i="15"/>
  <c r="B34" i="15"/>
  <c r="B3" i="15"/>
  <c r="A8" i="9" s="1"/>
  <c r="B35" i="15"/>
  <c r="B36" i="15"/>
  <c r="B25" i="15"/>
  <c r="A30" i="9" s="1"/>
  <c r="B37" i="15"/>
  <c r="B38" i="15"/>
  <c r="B24" i="15"/>
  <c r="A29" i="9" s="1"/>
  <c r="B39" i="15"/>
  <c r="B40" i="15"/>
  <c r="B41" i="15"/>
  <c r="B42" i="15"/>
  <c r="B43" i="15"/>
  <c r="B44" i="15"/>
  <c r="B45" i="15"/>
  <c r="B9" i="15"/>
  <c r="A14" i="9" s="1"/>
  <c r="B58" i="15"/>
  <c r="B59" i="15"/>
  <c r="B60" i="15"/>
  <c r="B61" i="15"/>
  <c r="B16" i="15"/>
  <c r="A21" i="9" s="1"/>
  <c r="B62" i="15"/>
  <c r="B15" i="15"/>
  <c r="A20" i="9" s="1"/>
  <c r="B63" i="15"/>
  <c r="B14" i="15"/>
  <c r="A19" i="9" s="1"/>
  <c r="B65" i="15"/>
  <c r="B13" i="15"/>
  <c r="A18" i="9" s="1"/>
  <c r="B66" i="15"/>
  <c r="B12" i="15"/>
  <c r="A17" i="9" s="1"/>
  <c r="B67" i="15"/>
  <c r="B11" i="15"/>
  <c r="A16" i="9" s="1"/>
  <c r="B68" i="15"/>
  <c r="B69" i="15"/>
  <c r="B22" i="15"/>
  <c r="A27" i="9" s="1"/>
  <c r="B10" i="15"/>
  <c r="A15" i="9" s="1"/>
  <c r="A71" i="15"/>
  <c r="I72" i="15" s="1"/>
  <c r="A50" i="15"/>
  <c r="I51" i="15" s="1"/>
  <c r="A10" i="15"/>
  <c r="I11" i="15" s="1"/>
  <c r="A51" i="15"/>
  <c r="I52" i="15" s="1"/>
  <c r="A13" i="15"/>
  <c r="I14" i="15" s="1"/>
  <c r="A52" i="15"/>
  <c r="I53" i="15" s="1"/>
  <c r="A12" i="15"/>
  <c r="I13" i="15" s="1"/>
  <c r="A53" i="15"/>
  <c r="I54" i="15" s="1"/>
  <c r="A63" i="15"/>
  <c r="I64" i="15" s="1"/>
  <c r="A54" i="15"/>
  <c r="I55" i="15" s="1"/>
  <c r="A67" i="15"/>
  <c r="I68" i="15" s="1"/>
  <c r="A4" i="15"/>
  <c r="I5" i="15" s="1"/>
  <c r="A22" i="15"/>
  <c r="I23" i="15" s="1"/>
  <c r="A3" i="15"/>
  <c r="I4" i="15" s="1"/>
  <c r="A49" i="15"/>
  <c r="I50" i="15" s="1"/>
  <c r="A26" i="15"/>
  <c r="I27" i="15" s="1"/>
  <c r="A25" i="15"/>
  <c r="I26" i="15" s="1"/>
  <c r="A55" i="15"/>
  <c r="I56" i="15" s="1"/>
  <c r="A33" i="15"/>
  <c r="I34" i="15" s="1"/>
  <c r="A34" i="15"/>
  <c r="I35" i="15" s="1"/>
  <c r="A15" i="15"/>
  <c r="I16" i="15" s="1"/>
  <c r="A35" i="15"/>
  <c r="I36" i="15" s="1"/>
  <c r="A56" i="15"/>
  <c r="I57" i="15" s="1"/>
  <c r="A36" i="15"/>
  <c r="I37" i="15" s="1"/>
  <c r="A69" i="15"/>
  <c r="I70" i="15" s="1"/>
  <c r="A57" i="15"/>
  <c r="I58" i="15" s="1"/>
  <c r="A24" i="15"/>
  <c r="I25" i="15" s="1"/>
  <c r="A29" i="15"/>
  <c r="I30" i="15" s="1"/>
  <c r="A23" i="15"/>
  <c r="I24" i="15" s="1"/>
  <c r="A28" i="15"/>
  <c r="I29" i="15" s="1"/>
  <c r="A21" i="15"/>
  <c r="I22" i="15" s="1"/>
  <c r="A19" i="15"/>
  <c r="I20" i="15" s="1"/>
  <c r="A20" i="15"/>
  <c r="I21" i="15" s="1"/>
  <c r="A27" i="15"/>
  <c r="I28" i="15" s="1"/>
  <c r="A30" i="15"/>
  <c r="I31" i="15" s="1"/>
  <c r="A38" i="15"/>
  <c r="I39" i="15" s="1"/>
  <c r="A64" i="15"/>
  <c r="I65" i="15" s="1"/>
  <c r="A39" i="15"/>
  <c r="I40" i="15" s="1"/>
  <c r="A58" i="15"/>
  <c r="I59" i="15" s="1"/>
  <c r="A40" i="15"/>
  <c r="I41" i="15" s="1"/>
  <c r="A11" i="15"/>
  <c r="I12" i="15" s="1"/>
  <c r="A41" i="15"/>
  <c r="I42" i="15" s="1"/>
  <c r="A59" i="15"/>
  <c r="I60" i="15" s="1"/>
  <c r="A42" i="15"/>
  <c r="I43" i="15" s="1"/>
  <c r="A66" i="15"/>
  <c r="I67" i="15" s="1"/>
  <c r="A43" i="15"/>
  <c r="I44" i="15" s="1"/>
  <c r="A60" i="15"/>
  <c r="I61" i="15" s="1"/>
  <c r="A44" i="15"/>
  <c r="I45" i="15" s="1"/>
  <c r="A14" i="15"/>
  <c r="I15" i="15" s="1"/>
  <c r="A45" i="15"/>
  <c r="I46" i="15" s="1"/>
  <c r="A61" i="15"/>
  <c r="I62" i="15" s="1"/>
  <c r="A46" i="15"/>
  <c r="I47" i="15" s="1"/>
  <c r="A68" i="15"/>
  <c r="I69" i="15" s="1"/>
  <c r="A47" i="15"/>
  <c r="I48" i="15" s="1"/>
  <c r="A65" i="15"/>
  <c r="I66" i="15" s="1"/>
  <c r="A48" i="15"/>
  <c r="I49" i="15" s="1"/>
  <c r="A5" i="15"/>
  <c r="I6" i="15" s="1"/>
  <c r="A37" i="15"/>
  <c r="I38" i="15" s="1"/>
  <c r="A16" i="15"/>
  <c r="I17" i="15" s="1"/>
  <c r="A6" i="15"/>
  <c r="I7" i="15" s="1"/>
  <c r="A62" i="15"/>
  <c r="I63" i="15" s="1"/>
  <c r="A18" i="15"/>
  <c r="I19" i="15" s="1"/>
  <c r="A7" i="15"/>
  <c r="I8" i="15" s="1"/>
  <c r="A31" i="15"/>
  <c r="I32" i="15" s="1"/>
  <c r="A32" i="15"/>
  <c r="I33" i="15" s="1"/>
  <c r="A8" i="15"/>
  <c r="I9" i="15" s="1"/>
  <c r="A70" i="15"/>
  <c r="I71" i="15" s="1"/>
  <c r="A17" i="15"/>
  <c r="I18" i="15" s="1"/>
  <c r="A9" i="15"/>
  <c r="I10" i="15" s="1"/>
  <c r="E70" i="8"/>
  <c r="I70" i="8"/>
  <c r="K70" i="8"/>
  <c r="L70" i="8"/>
  <c r="J70" i="8"/>
  <c r="K69" i="8"/>
  <c r="L69" i="8"/>
  <c r="J69" i="8"/>
  <c r="E69" i="8"/>
  <c r="I69" i="8"/>
  <c r="B3529" i="16"/>
  <c r="C67" i="16" s="1"/>
  <c r="L3482" i="16"/>
  <c r="I3481" i="16"/>
  <c r="K3481" i="16"/>
  <c r="A67" i="16"/>
  <c r="L3481" i="16"/>
  <c r="E56" i="8"/>
  <c r="J56" i="8"/>
  <c r="B2827" i="16"/>
  <c r="C54" i="16" s="1"/>
  <c r="L2780" i="16"/>
  <c r="L2779" i="16"/>
  <c r="K2779" i="16"/>
  <c r="A54" i="16"/>
  <c r="I2779" i="16"/>
  <c r="I1915" i="16"/>
  <c r="A38" i="16"/>
  <c r="B1963" i="16"/>
  <c r="C38" i="16" s="1"/>
  <c r="L1915" i="16"/>
  <c r="I1537" i="16"/>
  <c r="B1585" i="16"/>
  <c r="C31" i="16" s="1"/>
  <c r="A31" i="16"/>
  <c r="L1538" i="16"/>
  <c r="L1537" i="16"/>
  <c r="K1537" i="16"/>
  <c r="L781" i="16"/>
  <c r="K781" i="16"/>
  <c r="B829" i="16"/>
  <c r="C17" i="16" s="1"/>
  <c r="A17" i="16"/>
  <c r="L782" i="16"/>
  <c r="A9" i="16"/>
  <c r="L349" i="16"/>
  <c r="K349" i="16"/>
  <c r="L350" i="16"/>
  <c r="B397" i="16"/>
  <c r="C9" i="16" s="1"/>
  <c r="E6" i="8"/>
  <c r="F77" i="8"/>
  <c r="R4675" i="16"/>
  <c r="Q4675" i="16"/>
  <c r="P4675" i="16"/>
  <c r="R4621" i="16"/>
  <c r="P4621" i="16"/>
  <c r="Q4621" i="16"/>
  <c r="P4567" i="16"/>
  <c r="Q4567" i="16"/>
  <c r="R4567" i="16"/>
  <c r="P4513" i="16"/>
  <c r="Q4513" i="16"/>
  <c r="R4513" i="16"/>
  <c r="AL3864" i="16"/>
  <c r="AK3864" i="16"/>
  <c r="AM3864" i="16" s="1"/>
  <c r="H3863" i="16"/>
  <c r="G3863" i="16"/>
  <c r="AA3862" i="16"/>
  <c r="AC3862" i="16" s="1"/>
  <c r="AB3862" i="16"/>
  <c r="AA3855" i="16"/>
  <c r="AB3855" i="16"/>
  <c r="AC3855" i="16" s="1"/>
  <c r="R3855" i="16"/>
  <c r="Q3855" i="16"/>
  <c r="S3855" i="16" s="1"/>
  <c r="G3855" i="16"/>
  <c r="H3855" i="16"/>
  <c r="I3855" i="16" s="1"/>
  <c r="AB3853" i="16"/>
  <c r="AA3853" i="16"/>
  <c r="AC3853" i="16" s="1"/>
  <c r="G3852" i="16"/>
  <c r="H3852" i="16"/>
  <c r="I3852" i="16" s="1"/>
  <c r="AK3851" i="16"/>
  <c r="AL3851" i="16"/>
  <c r="AM3851" i="16" s="1"/>
  <c r="AB3851" i="16"/>
  <c r="AA3851" i="16"/>
  <c r="AC3851" i="16" s="1"/>
  <c r="R3851" i="16"/>
  <c r="Q3851" i="16"/>
  <c r="S3851" i="16" s="1"/>
  <c r="AK3850" i="16"/>
  <c r="AL3850" i="16"/>
  <c r="AM3850" i="16" s="1"/>
  <c r="H3849" i="16"/>
  <c r="H3848" i="16"/>
  <c r="I3848" i="16" s="1"/>
  <c r="AL3844" i="16"/>
  <c r="AK3844" i="16"/>
  <c r="AM3844" i="16" s="1"/>
  <c r="AB3844" i="16"/>
  <c r="AA3844" i="16"/>
  <c r="AC3844" i="16" s="1"/>
  <c r="AB3843" i="16"/>
  <c r="AA3843" i="16"/>
  <c r="AC3843" i="16" s="1"/>
  <c r="G3843" i="16"/>
  <c r="H3843" i="16"/>
  <c r="I3843" i="16" s="1"/>
  <c r="H3842" i="16"/>
  <c r="G3842" i="16"/>
  <c r="I3842" i="16" s="1"/>
  <c r="H3834" i="16"/>
  <c r="G3834" i="16"/>
  <c r="I3834" i="16" s="1"/>
  <c r="AK3833" i="16"/>
  <c r="AL3833" i="16"/>
  <c r="AM3833" i="16" s="1"/>
  <c r="R3823" i="16"/>
  <c r="Q3823" i="16"/>
  <c r="S3823" i="16" s="1"/>
  <c r="Q3806" i="16"/>
  <c r="L4105" i="16"/>
  <c r="H3496" i="16"/>
  <c r="H3492" i="16"/>
  <c r="H3525" i="16"/>
  <c r="H3524" i="16"/>
  <c r="H3523" i="16"/>
  <c r="H3522" i="16"/>
  <c r="H3521" i="16"/>
  <c r="H3498" i="16"/>
  <c r="H3520" i="16"/>
  <c r="H3486" i="16"/>
  <c r="H3491" i="16"/>
  <c r="H3503" i="16"/>
  <c r="H3526" i="16"/>
  <c r="H3528" i="16"/>
  <c r="H3527" i="16"/>
  <c r="P3265" i="16"/>
  <c r="Q3265" i="16"/>
  <c r="R3265" i="16"/>
  <c r="H3247" i="16"/>
  <c r="H3229" i="16"/>
  <c r="K2995" i="16"/>
  <c r="F2995" i="16"/>
  <c r="P2941" i="16"/>
  <c r="Q2941" i="16"/>
  <c r="R2941" i="16"/>
  <c r="H2980" i="16"/>
  <c r="H2979" i="16"/>
  <c r="H2965" i="16"/>
  <c r="H2969" i="16"/>
  <c r="H2962" i="16"/>
  <c r="H2977" i="16"/>
  <c r="H2971" i="16"/>
  <c r="H2972" i="16"/>
  <c r="H2960" i="16"/>
  <c r="H2970" i="16"/>
  <c r="H2973" i="16"/>
  <c r="H2968" i="16"/>
  <c r="H2957" i="16"/>
  <c r="H2974" i="16"/>
  <c r="H2966" i="16"/>
  <c r="H2964" i="16"/>
  <c r="H2958" i="16"/>
  <c r="H2975" i="16"/>
  <c r="H2976" i="16"/>
  <c r="H2963" i="16"/>
  <c r="H2967" i="16"/>
  <c r="H2959" i="16"/>
  <c r="H2982" i="16"/>
  <c r="H2981" i="16"/>
  <c r="H2983" i="16"/>
  <c r="H2984" i="16"/>
  <c r="H2985" i="16"/>
  <c r="H2986" i="16"/>
  <c r="H2961" i="16"/>
  <c r="H2978" i="16"/>
  <c r="H2987" i="16"/>
  <c r="H2988" i="16"/>
  <c r="H2401" i="16"/>
  <c r="H2403" i="16"/>
  <c r="H2404" i="16"/>
  <c r="H1688" i="16"/>
  <c r="H1689" i="16"/>
  <c r="H1690" i="16"/>
  <c r="H1691" i="16"/>
  <c r="H1692" i="16"/>
  <c r="H892" i="16"/>
  <c r="H889" i="16"/>
  <c r="H890" i="16"/>
  <c r="H891" i="16"/>
  <c r="H893" i="16"/>
  <c r="H894" i="16"/>
  <c r="H824" i="16"/>
  <c r="H825" i="16"/>
  <c r="H826" i="16"/>
  <c r="H827" i="16"/>
  <c r="H828" i="16"/>
  <c r="H818" i="16"/>
  <c r="H809" i="16"/>
  <c r="H819" i="16"/>
  <c r="H820" i="16"/>
  <c r="H821" i="16"/>
  <c r="H822" i="16"/>
  <c r="H810" i="16"/>
  <c r="H811" i="16"/>
  <c r="H812" i="16"/>
  <c r="H814" i="16"/>
  <c r="H823" i="16"/>
  <c r="H815" i="16"/>
  <c r="H816" i="16"/>
  <c r="H813" i="16"/>
  <c r="H817" i="16"/>
  <c r="Q565" i="16"/>
  <c r="R565" i="16"/>
  <c r="P565" i="16"/>
  <c r="H461" i="16"/>
  <c r="H463" i="16"/>
  <c r="H458" i="16"/>
  <c r="H459" i="16"/>
  <c r="H462" i="16"/>
  <c r="H457" i="16"/>
  <c r="H464" i="16"/>
  <c r="H460" i="16"/>
  <c r="H404" i="16"/>
  <c r="H405" i="16"/>
  <c r="H408" i="16"/>
  <c r="H403" i="16"/>
  <c r="H406" i="16"/>
  <c r="H407" i="16"/>
  <c r="H409" i="16"/>
  <c r="R79" i="16"/>
  <c r="Q79" i="16"/>
  <c r="P79" i="16"/>
  <c r="C4676" i="16"/>
  <c r="E4676" i="16"/>
  <c r="F4676" i="16"/>
  <c r="G4676" i="16"/>
  <c r="I4676" i="16"/>
  <c r="B4677" i="16"/>
  <c r="D4675" i="16"/>
  <c r="J4675" i="16"/>
  <c r="C4622" i="16"/>
  <c r="D4622" i="16" s="1"/>
  <c r="E4622" i="16"/>
  <c r="F4622" i="16"/>
  <c r="G4622" i="16"/>
  <c r="B4623" i="16"/>
  <c r="C4568" i="16"/>
  <c r="E4568" i="16"/>
  <c r="F4568" i="16"/>
  <c r="G4568" i="16"/>
  <c r="I4568" i="16"/>
  <c r="B4569" i="16"/>
  <c r="D4567" i="16"/>
  <c r="J4567" i="16"/>
  <c r="D4513" i="16"/>
  <c r="J4513" i="16"/>
  <c r="N4513" i="16" s="1"/>
  <c r="M4513" i="16"/>
  <c r="L4514" i="16"/>
  <c r="B4515" i="16"/>
  <c r="C4514" i="16"/>
  <c r="F4514" i="16" s="1"/>
  <c r="E4514" i="16"/>
  <c r="G4514" i="16"/>
  <c r="I4514" i="16"/>
  <c r="K4514" i="16"/>
  <c r="D4213" i="16"/>
  <c r="J4213" i="16"/>
  <c r="L4214" i="16"/>
  <c r="C4214" i="16"/>
  <c r="E4214" i="16"/>
  <c r="G4214" i="16"/>
  <c r="I4214" i="16"/>
  <c r="B4215" i="16"/>
  <c r="G4160" i="16"/>
  <c r="L4160" i="16"/>
  <c r="B4161" i="16"/>
  <c r="C4160" i="16"/>
  <c r="F4160" i="16" s="1"/>
  <c r="E4160" i="16"/>
  <c r="I4160" i="16"/>
  <c r="K4160" i="16"/>
  <c r="J4159" i="16"/>
  <c r="N4159" i="16" s="1"/>
  <c r="D4159" i="16"/>
  <c r="M4159" i="16"/>
  <c r="M4105" i="16"/>
  <c r="E4106" i="16"/>
  <c r="L4106" i="16"/>
  <c r="B4107" i="16"/>
  <c r="C4106" i="16"/>
  <c r="F4106" i="16" s="1"/>
  <c r="G4106" i="16"/>
  <c r="I4106" i="16"/>
  <c r="K4106" i="16"/>
  <c r="D4105" i="16"/>
  <c r="J4105" i="16"/>
  <c r="N4105" i="16" s="1"/>
  <c r="D4051" i="16"/>
  <c r="J4051" i="16"/>
  <c r="N4051" i="16" s="1"/>
  <c r="C4052" i="16"/>
  <c r="E4052" i="16"/>
  <c r="F4052" i="16"/>
  <c r="G4052" i="16"/>
  <c r="I4052" i="16"/>
  <c r="B4053" i="16"/>
  <c r="C3752" i="16"/>
  <c r="E3752" i="16"/>
  <c r="F3752" i="16"/>
  <c r="G3752" i="16"/>
  <c r="I3752" i="16"/>
  <c r="B3753" i="16"/>
  <c r="D3751" i="16"/>
  <c r="J3751" i="16"/>
  <c r="N3751" i="16" s="1"/>
  <c r="E3749" i="16"/>
  <c r="J3749" i="16"/>
  <c r="M3751" i="16"/>
  <c r="Z72" i="16"/>
  <c r="D3697" i="16"/>
  <c r="J3697" i="16"/>
  <c r="N3697" i="16" s="1"/>
  <c r="C3698" i="16"/>
  <c r="F3698" i="16" s="1"/>
  <c r="O3698" i="16" s="1"/>
  <c r="E3698" i="16"/>
  <c r="G3698" i="16"/>
  <c r="I3698" i="16"/>
  <c r="B3699" i="16"/>
  <c r="Z71" i="16"/>
  <c r="M3697" i="16"/>
  <c r="C3644" i="16"/>
  <c r="E3644" i="16"/>
  <c r="G3644" i="16"/>
  <c r="I3644" i="16"/>
  <c r="B3645" i="16"/>
  <c r="D3643" i="16"/>
  <c r="J3643" i="16"/>
  <c r="D3589" i="16"/>
  <c r="J3589" i="16"/>
  <c r="C3590" i="16"/>
  <c r="E3590" i="16"/>
  <c r="G3590" i="16"/>
  <c r="I3590" i="16"/>
  <c r="B3591" i="16"/>
  <c r="D3535" i="16"/>
  <c r="J3535" i="16"/>
  <c r="N3535" i="16" s="1"/>
  <c r="C3536" i="16"/>
  <c r="F3536" i="16" s="1"/>
  <c r="O3536" i="16" s="1"/>
  <c r="E3536" i="16"/>
  <c r="G3536" i="16"/>
  <c r="I3536" i="16"/>
  <c r="B3537" i="16"/>
  <c r="M3535" i="16"/>
  <c r="Z68" i="16"/>
  <c r="D3481" i="16"/>
  <c r="J3481" i="16"/>
  <c r="N3481" i="16" s="1"/>
  <c r="I3482" i="16"/>
  <c r="B3483" i="16"/>
  <c r="C3482" i="16"/>
  <c r="E3482" i="16"/>
  <c r="F3482" i="16"/>
  <c r="O3482" i="16" s="1"/>
  <c r="G3482" i="16"/>
  <c r="M3481" i="16"/>
  <c r="Z67" i="16"/>
  <c r="D3427" i="16"/>
  <c r="J3427" i="16"/>
  <c r="N3427" i="16" s="1"/>
  <c r="C3428" i="16"/>
  <c r="F3428" i="16" s="1"/>
  <c r="O3428" i="16" s="1"/>
  <c r="E3428" i="16"/>
  <c r="G3428" i="16"/>
  <c r="I3428" i="16"/>
  <c r="B3429" i="16"/>
  <c r="C3374" i="16"/>
  <c r="E3374" i="16"/>
  <c r="F3374" i="16"/>
  <c r="G3374" i="16"/>
  <c r="I3374" i="16"/>
  <c r="B3375" i="16"/>
  <c r="D3373" i="16"/>
  <c r="J3373" i="16"/>
  <c r="N3373" i="16" s="1"/>
  <c r="J3371" i="16"/>
  <c r="E3371" i="16"/>
  <c r="C3320" i="16"/>
  <c r="E3320" i="16"/>
  <c r="G3320" i="16"/>
  <c r="I3320" i="16"/>
  <c r="B3321" i="16"/>
  <c r="D3319" i="16"/>
  <c r="J3319" i="16"/>
  <c r="Z64" i="16"/>
  <c r="D3265" i="16"/>
  <c r="J3265" i="16"/>
  <c r="N3265" i="16" s="1"/>
  <c r="C3266" i="16"/>
  <c r="F3266" i="16" s="1"/>
  <c r="E3266" i="16"/>
  <c r="G3266" i="16"/>
  <c r="I3266" i="16"/>
  <c r="B3267" i="16"/>
  <c r="E3263" i="16"/>
  <c r="J3263" i="16"/>
  <c r="Z63" i="16"/>
  <c r="M3265" i="16"/>
  <c r="D3211" i="16"/>
  <c r="J3211" i="16"/>
  <c r="N3211" i="16" s="1"/>
  <c r="C3212" i="16"/>
  <c r="F3212" i="16" s="1"/>
  <c r="O3212" i="16" s="1"/>
  <c r="G3212" i="16"/>
  <c r="B3213" i="16"/>
  <c r="E3212" i="16"/>
  <c r="I3212" i="16"/>
  <c r="Z62" i="16"/>
  <c r="M3211" i="16"/>
  <c r="D3157" i="16"/>
  <c r="J3157" i="16"/>
  <c r="N3157" i="16" s="1"/>
  <c r="I3158" i="16"/>
  <c r="E3158" i="16"/>
  <c r="B3159" i="16"/>
  <c r="C3158" i="16"/>
  <c r="F3158" i="16" s="1"/>
  <c r="O3158" i="16" s="1"/>
  <c r="G3158" i="16"/>
  <c r="M3157" i="16"/>
  <c r="Z61" i="16"/>
  <c r="E3104" i="16"/>
  <c r="I3104" i="16"/>
  <c r="C3104" i="16"/>
  <c r="F3104" i="16" s="1"/>
  <c r="O3104" i="16" s="1"/>
  <c r="B3105" i="16"/>
  <c r="G3104" i="16"/>
  <c r="D3103" i="16"/>
  <c r="J3103" i="16"/>
  <c r="N3103" i="16" s="1"/>
  <c r="Z60" i="16"/>
  <c r="M3103" i="16"/>
  <c r="G3050" i="16"/>
  <c r="C3050" i="16"/>
  <c r="F3050" i="16"/>
  <c r="O3050" i="16" s="1"/>
  <c r="I3050" i="16"/>
  <c r="E3050" i="16"/>
  <c r="B3051" i="16"/>
  <c r="J3049" i="16"/>
  <c r="N3049" i="16" s="1"/>
  <c r="D3049" i="16"/>
  <c r="Z59" i="16"/>
  <c r="M3049" i="16"/>
  <c r="D2995" i="16"/>
  <c r="J2995" i="16"/>
  <c r="N2995" i="16" s="1"/>
  <c r="I2996" i="16"/>
  <c r="C2996" i="16"/>
  <c r="K2996" i="16" s="1"/>
  <c r="B2997" i="16"/>
  <c r="E2996" i="16"/>
  <c r="F2996" i="16"/>
  <c r="O2996" i="16" s="1"/>
  <c r="G2996" i="16"/>
  <c r="M2995" i="16"/>
  <c r="Z58" i="16"/>
  <c r="D2941" i="16"/>
  <c r="J2941" i="16"/>
  <c r="N2941" i="16" s="1"/>
  <c r="C2942" i="16"/>
  <c r="E2942" i="16"/>
  <c r="F2942" i="16"/>
  <c r="O2942" i="16" s="1"/>
  <c r="G2942" i="16"/>
  <c r="I2942" i="16"/>
  <c r="B2943" i="16"/>
  <c r="D2887" i="16"/>
  <c r="J2887" i="16"/>
  <c r="N2887" i="16" s="1"/>
  <c r="C2888" i="16"/>
  <c r="F2888" i="16" s="1"/>
  <c r="O2888" i="16" s="1"/>
  <c r="E2888" i="16"/>
  <c r="G2888" i="16"/>
  <c r="I2888" i="16"/>
  <c r="B2889" i="16"/>
  <c r="D2833" i="16"/>
  <c r="J2833" i="16"/>
  <c r="N2833" i="16" s="1"/>
  <c r="C2834" i="16"/>
  <c r="F2834" i="16" s="1"/>
  <c r="O2834" i="16" s="1"/>
  <c r="E2834" i="16"/>
  <c r="G2834" i="16"/>
  <c r="I2834" i="16"/>
  <c r="B2835" i="16"/>
  <c r="C2780" i="16"/>
  <c r="F2780" i="16" s="1"/>
  <c r="O2780" i="16" s="1"/>
  <c r="E2780" i="16"/>
  <c r="G2780" i="16"/>
  <c r="I2780" i="16"/>
  <c r="B2781" i="16"/>
  <c r="D2779" i="16"/>
  <c r="J2779" i="16"/>
  <c r="N2779" i="16" s="1"/>
  <c r="S2779" i="16" s="1"/>
  <c r="T2779" i="16" s="1"/>
  <c r="U2779" i="16" s="1"/>
  <c r="M2779" i="16"/>
  <c r="Z54" i="16"/>
  <c r="C2726" i="16"/>
  <c r="F2726" i="16" s="1"/>
  <c r="O2726" i="16" s="1"/>
  <c r="E2726" i="16"/>
  <c r="G2726" i="16"/>
  <c r="I2726" i="16"/>
  <c r="B2727" i="16"/>
  <c r="D2725" i="16"/>
  <c r="J2725" i="16"/>
  <c r="N2725" i="16" s="1"/>
  <c r="C2672" i="16"/>
  <c r="F2672" i="16" s="1"/>
  <c r="O2672" i="16" s="1"/>
  <c r="E2672" i="16"/>
  <c r="G2672" i="16"/>
  <c r="I2672" i="16"/>
  <c r="B2673" i="16"/>
  <c r="D2671" i="16"/>
  <c r="J2671" i="16"/>
  <c r="N2671" i="16" s="1"/>
  <c r="D2617" i="16"/>
  <c r="J2617" i="16"/>
  <c r="N2617" i="16" s="1"/>
  <c r="C2618" i="16"/>
  <c r="K2618" i="16" s="1"/>
  <c r="E2618" i="16"/>
  <c r="F2618" i="16"/>
  <c r="O2618" i="16" s="1"/>
  <c r="G2618" i="16"/>
  <c r="I2618" i="16"/>
  <c r="B2619" i="16"/>
  <c r="D2563" i="16"/>
  <c r="J2563" i="16"/>
  <c r="C2564" i="16"/>
  <c r="E2564" i="16"/>
  <c r="F2564" i="16"/>
  <c r="O2564" i="16" s="1"/>
  <c r="G2564" i="16"/>
  <c r="I2564" i="16"/>
  <c r="B2565" i="16"/>
  <c r="M2563" i="16"/>
  <c r="N2563" i="16"/>
  <c r="Z50" i="16"/>
  <c r="C2510" i="16"/>
  <c r="K2510" i="16" s="1"/>
  <c r="E2510" i="16"/>
  <c r="F2510" i="16"/>
  <c r="G2510" i="16"/>
  <c r="I2510" i="16"/>
  <c r="B2511" i="16"/>
  <c r="D2509" i="16"/>
  <c r="J2509" i="16"/>
  <c r="J2507" i="16"/>
  <c r="E2507" i="16"/>
  <c r="I2507" i="16" s="1"/>
  <c r="D2455" i="16"/>
  <c r="J2455" i="16"/>
  <c r="C2456" i="16"/>
  <c r="K2456" i="16" s="1"/>
  <c r="E2456" i="16"/>
  <c r="F2456" i="16"/>
  <c r="O2456" i="16" s="1"/>
  <c r="G2456" i="16"/>
  <c r="I2456" i="16"/>
  <c r="B2457" i="16"/>
  <c r="D2401" i="16"/>
  <c r="J2401" i="16"/>
  <c r="C2402" i="16"/>
  <c r="K2402" i="16" s="1"/>
  <c r="E2402" i="16"/>
  <c r="F2402" i="16"/>
  <c r="O2402" i="16" s="1"/>
  <c r="G2402" i="16"/>
  <c r="I2402" i="16"/>
  <c r="B2403" i="16"/>
  <c r="C2348" i="16"/>
  <c r="F2348" i="16" s="1"/>
  <c r="O2348" i="16" s="1"/>
  <c r="E2348" i="16"/>
  <c r="G2348" i="16"/>
  <c r="I2348" i="16"/>
  <c r="B2349" i="16"/>
  <c r="D2347" i="16"/>
  <c r="J2347" i="16"/>
  <c r="N2347" i="16" s="1"/>
  <c r="Z46" i="16"/>
  <c r="M2347" i="16"/>
  <c r="C2294" i="16"/>
  <c r="E2294" i="16"/>
  <c r="G2294" i="16"/>
  <c r="I2294" i="16"/>
  <c r="B2295" i="16"/>
  <c r="D2293" i="16"/>
  <c r="J2293" i="16"/>
  <c r="D2239" i="16"/>
  <c r="J2239" i="16"/>
  <c r="N2239" i="16" s="1"/>
  <c r="C2240" i="16"/>
  <c r="F2240" i="16" s="1"/>
  <c r="E2240" i="16"/>
  <c r="G2240" i="16"/>
  <c r="I2240" i="16"/>
  <c r="B2241" i="16"/>
  <c r="E2237" i="16"/>
  <c r="J2237" i="16"/>
  <c r="M2239" i="16"/>
  <c r="Z44" i="16"/>
  <c r="C2186" i="16"/>
  <c r="F2186" i="16" s="1"/>
  <c r="O2186" i="16" s="1"/>
  <c r="E2186" i="16"/>
  <c r="G2186" i="16"/>
  <c r="I2186" i="16"/>
  <c r="B2187" i="16"/>
  <c r="D2185" i="16"/>
  <c r="J2185" i="16"/>
  <c r="N2185" i="16" s="1"/>
  <c r="M2185" i="16"/>
  <c r="Z43" i="16"/>
  <c r="I2132" i="16"/>
  <c r="B2133" i="16"/>
  <c r="C2132" i="16"/>
  <c r="F2132" i="16" s="1"/>
  <c r="O2132" i="16" s="1"/>
  <c r="E2132" i="16"/>
  <c r="G2132" i="16"/>
  <c r="D2131" i="16"/>
  <c r="J2131" i="16"/>
  <c r="N2131" i="16" s="1"/>
  <c r="Z42" i="16"/>
  <c r="M2131" i="16"/>
  <c r="D2077" i="16"/>
  <c r="J2077" i="16"/>
  <c r="C2078" i="16"/>
  <c r="E2078" i="16"/>
  <c r="G2078" i="16"/>
  <c r="I2078" i="16"/>
  <c r="B2079" i="16"/>
  <c r="C2024" i="16"/>
  <c r="K2024" i="16" s="1"/>
  <c r="E2024" i="16"/>
  <c r="F2024" i="16"/>
  <c r="O2024" i="16" s="1"/>
  <c r="G2024" i="16"/>
  <c r="I2024" i="16"/>
  <c r="B2025" i="16"/>
  <c r="D2023" i="16"/>
  <c r="J2023" i="16"/>
  <c r="C1970" i="16"/>
  <c r="E1970" i="16"/>
  <c r="G1970" i="16"/>
  <c r="I1970" i="16"/>
  <c r="B1971" i="16"/>
  <c r="D1969" i="16"/>
  <c r="J1969" i="16"/>
  <c r="C1916" i="16"/>
  <c r="E1916" i="16"/>
  <c r="G1916" i="16"/>
  <c r="I1916" i="16"/>
  <c r="B1917" i="16"/>
  <c r="D1915" i="16"/>
  <c r="J1915" i="16"/>
  <c r="Z38" i="16"/>
  <c r="D1861" i="16"/>
  <c r="J1861" i="16"/>
  <c r="N1861" i="16" s="1"/>
  <c r="C1862" i="16"/>
  <c r="F1862" i="16" s="1"/>
  <c r="O1862" i="16" s="1"/>
  <c r="E1862" i="16"/>
  <c r="G1862" i="16"/>
  <c r="I1862" i="16"/>
  <c r="B1863" i="16"/>
  <c r="D1807" i="16"/>
  <c r="J1807" i="16"/>
  <c r="N1807" i="16" s="1"/>
  <c r="C1808" i="16"/>
  <c r="F1808" i="16" s="1"/>
  <c r="O1808" i="16" s="1"/>
  <c r="E1808" i="16"/>
  <c r="G1808" i="16"/>
  <c r="I1808" i="16"/>
  <c r="B1809" i="16"/>
  <c r="D1753" i="16"/>
  <c r="J1753" i="16"/>
  <c r="N1753" i="16" s="1"/>
  <c r="C1754" i="16"/>
  <c r="E1754" i="16"/>
  <c r="F1754" i="16"/>
  <c r="O1754" i="16" s="1"/>
  <c r="G1754" i="16"/>
  <c r="I1754" i="16"/>
  <c r="B1755" i="16"/>
  <c r="C1700" i="16"/>
  <c r="E1700" i="16"/>
  <c r="F1700" i="16"/>
  <c r="O1700" i="16" s="1"/>
  <c r="G1700" i="16"/>
  <c r="I1700" i="16"/>
  <c r="B1701" i="16"/>
  <c r="D1699" i="16"/>
  <c r="J1699" i="16"/>
  <c r="M1699" i="16"/>
  <c r="N1699" i="16"/>
  <c r="Z34" i="16"/>
  <c r="D1645" i="16"/>
  <c r="J1645" i="16"/>
  <c r="N1645" i="16" s="1"/>
  <c r="C1646" i="16"/>
  <c r="E1646" i="16"/>
  <c r="F1646" i="16"/>
  <c r="O1646" i="16" s="1"/>
  <c r="G1646" i="16"/>
  <c r="I1646" i="16"/>
  <c r="B1647" i="16"/>
  <c r="D1591" i="16"/>
  <c r="J1591" i="16"/>
  <c r="N1591" i="16" s="1"/>
  <c r="C1592" i="16"/>
  <c r="E1592" i="16"/>
  <c r="F1592" i="16"/>
  <c r="O1592" i="16" s="1"/>
  <c r="G1592" i="16"/>
  <c r="I1592" i="16"/>
  <c r="B1593" i="16"/>
  <c r="C1538" i="16"/>
  <c r="F1538" i="16" s="1"/>
  <c r="O1538" i="16" s="1"/>
  <c r="E1538" i="16"/>
  <c r="G1538" i="16"/>
  <c r="I1538" i="16"/>
  <c r="B1539" i="16"/>
  <c r="D1537" i="16"/>
  <c r="J1537" i="16"/>
  <c r="N1537" i="16" s="1"/>
  <c r="M1537" i="16"/>
  <c r="Z31" i="16"/>
  <c r="D1483" i="16"/>
  <c r="J1483" i="16"/>
  <c r="N1483" i="16" s="1"/>
  <c r="C1484" i="16"/>
  <c r="F1484" i="16" s="1"/>
  <c r="O1484" i="16" s="1"/>
  <c r="E1484" i="16"/>
  <c r="G1484" i="16"/>
  <c r="I1484" i="16"/>
  <c r="B1485" i="16"/>
  <c r="M1483" i="16"/>
  <c r="Z30" i="16"/>
  <c r="E1430" i="16"/>
  <c r="G1430" i="16"/>
  <c r="I1430" i="16"/>
  <c r="C1430" i="16"/>
  <c r="B1431" i="16"/>
  <c r="D1429" i="16"/>
  <c r="J1429" i="16"/>
  <c r="Z29" i="16"/>
  <c r="D1375" i="16"/>
  <c r="J1375" i="16"/>
  <c r="N1375" i="16" s="1"/>
  <c r="C1376" i="16"/>
  <c r="F1376" i="16" s="1"/>
  <c r="O1376" i="16" s="1"/>
  <c r="B1377" i="16"/>
  <c r="E1376" i="16"/>
  <c r="G1376" i="16"/>
  <c r="I1376" i="16"/>
  <c r="Z28" i="16"/>
  <c r="M1375" i="16"/>
  <c r="E1322" i="16"/>
  <c r="G1322" i="16"/>
  <c r="B1323" i="16"/>
  <c r="C1322" i="16"/>
  <c r="F1322" i="16" s="1"/>
  <c r="O1322" i="16" s="1"/>
  <c r="I1322" i="16"/>
  <c r="D1321" i="16"/>
  <c r="J1321" i="16"/>
  <c r="N1321" i="16" s="1"/>
  <c r="Z27" i="16"/>
  <c r="M1321" i="16"/>
  <c r="J1267" i="16"/>
  <c r="N1267" i="16" s="1"/>
  <c r="D1267" i="16"/>
  <c r="I1268" i="16"/>
  <c r="C1268" i="16"/>
  <c r="F1268" i="16" s="1"/>
  <c r="O1268" i="16" s="1"/>
  <c r="E1268" i="16"/>
  <c r="G1268" i="16"/>
  <c r="B1269" i="16"/>
  <c r="M1267" i="16"/>
  <c r="Z26" i="16"/>
  <c r="D1214" i="16"/>
  <c r="J1214" i="16"/>
  <c r="N1214" i="16" s="1"/>
  <c r="E1215" i="16"/>
  <c r="G1215" i="16"/>
  <c r="C1215" i="16"/>
  <c r="F1215" i="16"/>
  <c r="O1215" i="16" s="1"/>
  <c r="I1215" i="16"/>
  <c r="B1216" i="16"/>
  <c r="D1213" i="16"/>
  <c r="J1213" i="16"/>
  <c r="N1213" i="16" s="1"/>
  <c r="C1160" i="16"/>
  <c r="K1160" i="16" s="1"/>
  <c r="E1160" i="16"/>
  <c r="F1160" i="16"/>
  <c r="O1160" i="16" s="1"/>
  <c r="G1160" i="16"/>
  <c r="I1160" i="16"/>
  <c r="B1161" i="16"/>
  <c r="D1159" i="16"/>
  <c r="J1159" i="16"/>
  <c r="C1106" i="16"/>
  <c r="E1106" i="16"/>
  <c r="F1106" i="16"/>
  <c r="O1106" i="16" s="1"/>
  <c r="G1106" i="16"/>
  <c r="I1106" i="16"/>
  <c r="B1107" i="16"/>
  <c r="D1105" i="16"/>
  <c r="J1105" i="16"/>
  <c r="N1105" i="16" s="1"/>
  <c r="Z23" i="16"/>
  <c r="M1105" i="16"/>
  <c r="D1051" i="16"/>
  <c r="J1051" i="16"/>
  <c r="N1051" i="16" s="1"/>
  <c r="C1052" i="16"/>
  <c r="F1052" i="16" s="1"/>
  <c r="E1052" i="16"/>
  <c r="G1052" i="16"/>
  <c r="I1052" i="16"/>
  <c r="B1053" i="16"/>
  <c r="M1051" i="16"/>
  <c r="Z22" i="16"/>
  <c r="E998" i="16"/>
  <c r="B999" i="16"/>
  <c r="C998" i="16"/>
  <c r="K998" i="16" s="1"/>
  <c r="F998" i="16"/>
  <c r="O998" i="16" s="1"/>
  <c r="G998" i="16"/>
  <c r="I998" i="16"/>
  <c r="J997" i="16"/>
  <c r="D997" i="16"/>
  <c r="Z21" i="16"/>
  <c r="D943" i="16"/>
  <c r="J943" i="16"/>
  <c r="N943" i="16" s="1"/>
  <c r="C944" i="16"/>
  <c r="K944" i="16" s="1"/>
  <c r="E944" i="16"/>
  <c r="F944" i="16"/>
  <c r="O944" i="16" s="1"/>
  <c r="G944" i="16"/>
  <c r="I944" i="16"/>
  <c r="B945" i="16"/>
  <c r="C890" i="16"/>
  <c r="E890" i="16"/>
  <c r="F890" i="16"/>
  <c r="O890" i="16" s="1"/>
  <c r="G890" i="16"/>
  <c r="I890" i="16"/>
  <c r="B891" i="16"/>
  <c r="D889" i="16"/>
  <c r="J889" i="16"/>
  <c r="N889" i="16" s="1"/>
  <c r="M889" i="16"/>
  <c r="Z19" i="16"/>
  <c r="D835" i="16"/>
  <c r="J835" i="16"/>
  <c r="N835" i="16" s="1"/>
  <c r="C836" i="16"/>
  <c r="F836" i="16" s="1"/>
  <c r="O836" i="16" s="1"/>
  <c r="E836" i="16"/>
  <c r="G836" i="16"/>
  <c r="I836" i="16"/>
  <c r="B837" i="16"/>
  <c r="M835" i="16"/>
  <c r="Z18" i="16"/>
  <c r="C782" i="16"/>
  <c r="E782" i="16"/>
  <c r="F782" i="16"/>
  <c r="O782" i="16" s="1"/>
  <c r="G782" i="16"/>
  <c r="I782" i="16"/>
  <c r="B783" i="16"/>
  <c r="D781" i="16"/>
  <c r="J781" i="16"/>
  <c r="N781" i="16" s="1"/>
  <c r="Z17" i="16"/>
  <c r="M781" i="16"/>
  <c r="C728" i="16"/>
  <c r="E728" i="16"/>
  <c r="G728" i="16"/>
  <c r="I728" i="16"/>
  <c r="B729" i="16"/>
  <c r="D727" i="16"/>
  <c r="J727" i="16"/>
  <c r="N727" i="16" s="1"/>
  <c r="C674" i="16"/>
  <c r="F674" i="16" s="1"/>
  <c r="O674" i="16" s="1"/>
  <c r="E674" i="16"/>
  <c r="G674" i="16"/>
  <c r="I674" i="16"/>
  <c r="B675" i="16"/>
  <c r="D673" i="16"/>
  <c r="J673" i="16"/>
  <c r="N673" i="16" s="1"/>
  <c r="M673" i="16"/>
  <c r="Z15" i="16"/>
  <c r="C620" i="16"/>
  <c r="E620" i="16"/>
  <c r="F620" i="16"/>
  <c r="G620" i="16"/>
  <c r="I620" i="16"/>
  <c r="B621" i="16"/>
  <c r="D619" i="16"/>
  <c r="J619" i="16"/>
  <c r="N619" i="16" s="1"/>
  <c r="M619" i="16"/>
  <c r="Z14" i="16"/>
  <c r="C566" i="16"/>
  <c r="F566" i="16" s="1"/>
  <c r="O566" i="16" s="1"/>
  <c r="E566" i="16"/>
  <c r="G566" i="16"/>
  <c r="I566" i="16"/>
  <c r="B567" i="16"/>
  <c r="D565" i="16"/>
  <c r="J565" i="16"/>
  <c r="N565" i="16" s="1"/>
  <c r="M565" i="16"/>
  <c r="Z13" i="16"/>
  <c r="C512" i="16"/>
  <c r="E512" i="16"/>
  <c r="G512" i="16"/>
  <c r="I512" i="16"/>
  <c r="B513" i="16"/>
  <c r="D511" i="16"/>
  <c r="J511" i="16"/>
  <c r="N511" i="16" s="1"/>
  <c r="C458" i="16"/>
  <c r="E458" i="16"/>
  <c r="F458" i="16"/>
  <c r="O458" i="16" s="1"/>
  <c r="G458" i="16"/>
  <c r="I458" i="16"/>
  <c r="B459" i="16"/>
  <c r="D457" i="16"/>
  <c r="J457" i="16"/>
  <c r="Z11" i="16"/>
  <c r="M457" i="16"/>
  <c r="N457" i="16"/>
  <c r="D403" i="16"/>
  <c r="J403" i="16"/>
  <c r="C404" i="16"/>
  <c r="E404" i="16"/>
  <c r="F404" i="16"/>
  <c r="O404" i="16" s="1"/>
  <c r="G404" i="16"/>
  <c r="I404" i="16"/>
  <c r="B405" i="16"/>
  <c r="M403" i="16"/>
  <c r="N403" i="16"/>
  <c r="Z10" i="16"/>
  <c r="E350" i="16"/>
  <c r="B351" i="16"/>
  <c r="I350" i="16"/>
  <c r="C350" i="16"/>
  <c r="F350" i="16" s="1"/>
  <c r="O350" i="16" s="1"/>
  <c r="G350" i="16"/>
  <c r="D349" i="16"/>
  <c r="J349" i="16"/>
  <c r="N349" i="16" s="1"/>
  <c r="Z9" i="16"/>
  <c r="M349" i="16"/>
  <c r="D295" i="16"/>
  <c r="J295" i="16"/>
  <c r="N295" i="16" s="1"/>
  <c r="C296" i="16"/>
  <c r="K296" i="16" s="1"/>
  <c r="E296" i="16"/>
  <c r="F296" i="16"/>
  <c r="O296" i="16" s="1"/>
  <c r="G296" i="16"/>
  <c r="I296" i="16"/>
  <c r="B297" i="16"/>
  <c r="D241" i="16"/>
  <c r="J241" i="16"/>
  <c r="N241" i="16" s="1"/>
  <c r="C242" i="16"/>
  <c r="K242" i="16" s="1"/>
  <c r="E242" i="16"/>
  <c r="F242" i="16"/>
  <c r="O242" i="16" s="1"/>
  <c r="G242" i="16"/>
  <c r="I242" i="16"/>
  <c r="B243" i="16"/>
  <c r="D187" i="16"/>
  <c r="J187" i="16"/>
  <c r="N187" i="16" s="1"/>
  <c r="C188" i="16"/>
  <c r="E188" i="16"/>
  <c r="G188" i="16"/>
  <c r="I188" i="16"/>
  <c r="B189" i="16"/>
  <c r="D133" i="16"/>
  <c r="J133" i="16"/>
  <c r="C134" i="16"/>
  <c r="K134" i="16" s="1"/>
  <c r="E134" i="16"/>
  <c r="F134" i="16"/>
  <c r="O134" i="16" s="1"/>
  <c r="G134" i="16"/>
  <c r="I134" i="16"/>
  <c r="B135" i="16"/>
  <c r="Z5" i="16"/>
  <c r="D79" i="16"/>
  <c r="J79" i="16"/>
  <c r="C80" i="16"/>
  <c r="K80" i="16" s="1"/>
  <c r="E80" i="16"/>
  <c r="F80" i="16"/>
  <c r="O80" i="16" s="1"/>
  <c r="G80" i="16"/>
  <c r="I80" i="16"/>
  <c r="B81" i="16"/>
  <c r="AA31" i="9"/>
  <c r="AC31" i="9"/>
  <c r="AA25" i="9"/>
  <c r="AC25" i="9"/>
  <c r="AA24" i="9"/>
  <c r="AC24" i="9"/>
  <c r="AA26" i="9"/>
  <c r="AC26" i="9"/>
  <c r="AA22" i="9"/>
  <c r="AC22" i="9"/>
  <c r="AA27" i="9"/>
  <c r="AC27" i="9"/>
  <c r="AA23" i="9"/>
  <c r="AC23" i="9"/>
  <c r="AA28" i="9"/>
  <c r="AC28" i="9"/>
  <c r="AA29" i="9"/>
  <c r="AC29" i="9"/>
  <c r="AA30" i="9"/>
  <c r="AC30" i="9"/>
  <c r="AA8" i="9"/>
  <c r="AC8" i="9"/>
  <c r="AA9" i="9"/>
  <c r="AC9" i="9"/>
  <c r="AA10" i="9"/>
  <c r="AC10" i="9"/>
  <c r="AA11" i="9"/>
  <c r="AC11" i="9"/>
  <c r="AA12" i="9"/>
  <c r="AC12" i="9"/>
  <c r="AA13" i="9"/>
  <c r="AC13" i="9"/>
  <c r="AA14" i="9"/>
  <c r="AC14" i="9"/>
  <c r="AA15" i="9"/>
  <c r="AC15" i="9"/>
  <c r="AA16" i="9"/>
  <c r="AC16" i="9"/>
  <c r="AA17" i="9"/>
  <c r="AC17" i="9"/>
  <c r="AA18" i="9"/>
  <c r="AC18" i="9"/>
  <c r="D17" i="4"/>
  <c r="J17" i="4"/>
  <c r="N17" i="4" s="1"/>
  <c r="C18" i="4"/>
  <c r="E18" i="4"/>
  <c r="F18" i="4"/>
  <c r="C18" i="5" s="1"/>
  <c r="G18" i="4"/>
  <c r="I18" i="4"/>
  <c r="B19" i="4"/>
  <c r="B18" i="5"/>
  <c r="Y16" i="4"/>
  <c r="B66" i="7"/>
  <c r="I66" i="7" s="1"/>
  <c r="X15" i="4"/>
  <c r="W17" i="4"/>
  <c r="W18" i="4"/>
  <c r="H46" i="4"/>
  <c r="D46" i="5" s="1"/>
  <c r="H47" i="4"/>
  <c r="D47" i="5" s="1"/>
  <c r="H48" i="4"/>
  <c r="D48" i="5" s="1"/>
  <c r="H52" i="4"/>
  <c r="D52" i="5" s="1"/>
  <c r="H53" i="4"/>
  <c r="D53" i="5" s="1"/>
  <c r="H55" i="4"/>
  <c r="D55" i="5" s="1"/>
  <c r="H63" i="4"/>
  <c r="D63" i="5" s="1"/>
  <c r="H44" i="4"/>
  <c r="D44" i="5" s="1"/>
  <c r="H45" i="4"/>
  <c r="D45" i="5" s="1"/>
  <c r="H49" i="4"/>
  <c r="D49" i="5" s="1"/>
  <c r="H56" i="4"/>
  <c r="D56" i="5" s="1"/>
  <c r="H57" i="4"/>
  <c r="D57" i="5" s="1"/>
  <c r="H58" i="4"/>
  <c r="D58" i="5" s="1"/>
  <c r="H59" i="4"/>
  <c r="D59" i="5" s="1"/>
  <c r="H61" i="4"/>
  <c r="D61" i="5" s="1"/>
  <c r="H4097" i="16"/>
  <c r="H4098" i="16"/>
  <c r="H43" i="4"/>
  <c r="D43" i="5" s="1"/>
  <c r="H50" i="4"/>
  <c r="D50" i="5" s="1"/>
  <c r="H51" i="4"/>
  <c r="D51" i="5" s="1"/>
  <c r="H54" i="4"/>
  <c r="D54" i="5" s="1"/>
  <c r="H60" i="4"/>
  <c r="D60" i="5" s="1"/>
  <c r="H62" i="4"/>
  <c r="D62" i="5" s="1"/>
  <c r="H64" i="4"/>
  <c r="D64" i="5" s="1"/>
  <c r="H4051" i="16"/>
  <c r="H4052" i="16"/>
  <c r="H4053" i="16"/>
  <c r="H4054" i="16"/>
  <c r="H4105" i="16"/>
  <c r="H4106" i="16"/>
  <c r="H4107" i="16"/>
  <c r="H4108" i="16"/>
  <c r="H4109" i="16"/>
  <c r="H4110" i="16"/>
  <c r="H4111" i="16"/>
  <c r="H4112" i="16"/>
  <c r="H4113" i="16"/>
  <c r="H4114" i="16"/>
  <c r="H4115" i="16"/>
  <c r="H4116" i="16"/>
  <c r="H4119" i="16"/>
  <c r="H4120" i="16"/>
  <c r="H4121" i="16"/>
  <c r="H4124" i="16"/>
  <c r="H4125" i="16"/>
  <c r="H4127" i="16"/>
  <c r="H4128" i="16"/>
  <c r="H4129" i="16"/>
  <c r="H4130" i="16"/>
  <c r="H4131" i="16"/>
  <c r="H4133" i="16"/>
  <c r="H4135" i="16"/>
  <c r="H4136" i="16"/>
  <c r="H4137" i="16"/>
  <c r="H4139" i="16"/>
  <c r="H4141" i="16"/>
  <c r="H4143" i="16"/>
  <c r="H4144" i="16"/>
  <c r="H4145" i="16"/>
  <c r="H4146" i="16"/>
  <c r="H4147" i="16"/>
  <c r="H4148" i="16"/>
  <c r="H4149" i="16"/>
  <c r="H4150" i="16"/>
  <c r="H4151" i="16"/>
  <c r="H4152" i="16"/>
  <c r="H4159" i="16"/>
  <c r="H4161" i="16"/>
  <c r="H4163" i="16"/>
  <c r="H4164" i="16"/>
  <c r="H4167" i="16"/>
  <c r="H4169" i="16"/>
  <c r="H4170" i="16"/>
  <c r="H4172" i="16"/>
  <c r="H4175" i="16"/>
  <c r="H4177" i="16"/>
  <c r="H4179" i="16"/>
  <c r="H4180" i="16"/>
  <c r="H4181" i="16"/>
  <c r="H4182" i="16"/>
  <c r="H4183" i="16"/>
  <c r="H4184" i="16"/>
  <c r="H4187" i="16"/>
  <c r="H4190" i="16"/>
  <c r="H4191" i="16"/>
  <c r="H4192" i="16"/>
  <c r="H4194" i="16"/>
  <c r="H4195" i="16"/>
  <c r="H4197" i="16"/>
  <c r="H4198" i="16"/>
  <c r="H4199" i="16"/>
  <c r="H4200" i="16"/>
  <c r="H4201" i="16"/>
  <c r="H4202" i="16"/>
  <c r="H4203" i="16"/>
  <c r="H4204" i="16"/>
  <c r="H4205" i="16"/>
  <c r="H4214" i="16"/>
  <c r="H4215" i="16"/>
  <c r="H4217" i="16"/>
  <c r="H4218" i="16"/>
  <c r="H4219" i="16"/>
  <c r="H4221" i="16"/>
  <c r="H4223" i="16"/>
  <c r="H4226" i="16"/>
  <c r="H4227" i="16"/>
  <c r="H4229" i="16"/>
  <c r="H4231" i="16"/>
  <c r="H4232" i="16"/>
  <c r="H4234" i="16"/>
  <c r="H4235" i="16"/>
  <c r="H4237" i="16"/>
  <c r="H4238" i="16"/>
  <c r="H4240" i="16"/>
  <c r="H4241" i="16"/>
  <c r="H4242" i="16"/>
  <c r="H4513" i="16"/>
  <c r="H4515" i="16"/>
  <c r="H4516" i="16"/>
  <c r="H4518" i="16"/>
  <c r="H4519"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117" i="16"/>
  <c r="H4118" i="16"/>
  <c r="H4122" i="16"/>
  <c r="H4123" i="16"/>
  <c r="H4126" i="16"/>
  <c r="H4132" i="16"/>
  <c r="H4134" i="16"/>
  <c r="H4138" i="16"/>
  <c r="H4140" i="16"/>
  <c r="H4142" i="16"/>
  <c r="H4160" i="16"/>
  <c r="H4162" i="16"/>
  <c r="H4165" i="16"/>
  <c r="H4166" i="16"/>
  <c r="H4168" i="16"/>
  <c r="H4171" i="16"/>
  <c r="H4173" i="16"/>
  <c r="H4174" i="16"/>
  <c r="H4176" i="16"/>
  <c r="H4178" i="16"/>
  <c r="H4185" i="16"/>
  <c r="H4186" i="16"/>
  <c r="H4188" i="16"/>
  <c r="H4189" i="16"/>
  <c r="H4193" i="16"/>
  <c r="H4196" i="16"/>
  <c r="H4206" i="16"/>
  <c r="H4213" i="16"/>
  <c r="H4216" i="16"/>
  <c r="H4220" i="16"/>
  <c r="H4222" i="16"/>
  <c r="H4224" i="16"/>
  <c r="H4225" i="16"/>
  <c r="H4228" i="16"/>
  <c r="H4230" i="16"/>
  <c r="H4233" i="16"/>
  <c r="H4236" i="16"/>
  <c r="H4239" i="16"/>
  <c r="H4514" i="16"/>
  <c r="H4517"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65" i="16"/>
  <c r="Z56" i="16"/>
  <c r="E17" i="13"/>
  <c r="Z7" i="16"/>
  <c r="B4268" i="16"/>
  <c r="C4268" i="16" s="1"/>
  <c r="D4268" i="16"/>
  <c r="C14" i="12"/>
  <c r="D14" i="12" s="1"/>
  <c r="C15" i="12"/>
  <c r="D15" i="12" s="1"/>
  <c r="C16" i="12"/>
  <c r="D16" i="12" s="1"/>
  <c r="C17" i="12"/>
  <c r="D17" i="12" s="1"/>
  <c r="C18" i="12"/>
  <c r="D18" i="12" s="1"/>
  <c r="C19" i="12"/>
  <c r="D19" i="12" s="1"/>
  <c r="C20" i="12"/>
  <c r="D20" i="12" s="1"/>
  <c r="C21" i="12"/>
  <c r="D21" i="12" s="1"/>
  <c r="Z40" i="16"/>
  <c r="Z32" i="16"/>
  <c r="Z36" i="16"/>
  <c r="Z24" i="16"/>
  <c r="Z52" i="16"/>
  <c r="Z48" i="16"/>
  <c r="E74" i="8"/>
  <c r="I74" i="8"/>
  <c r="J74" i="8"/>
  <c r="K74" i="8"/>
  <c r="L74" i="8"/>
  <c r="E73" i="8"/>
  <c r="I73" i="8"/>
  <c r="J73" i="8"/>
  <c r="K73" i="8"/>
  <c r="L73" i="8"/>
  <c r="K3643" i="16"/>
  <c r="L3643" i="16"/>
  <c r="L3644" i="16"/>
  <c r="B3691" i="16"/>
  <c r="C70" i="16" s="1"/>
  <c r="A70" i="16"/>
  <c r="E72" i="8"/>
  <c r="I72" i="8"/>
  <c r="J72" i="8"/>
  <c r="K72" i="8"/>
  <c r="L72" i="8"/>
  <c r="E71" i="8"/>
  <c r="I71" i="8"/>
  <c r="J71" i="8"/>
  <c r="K71" i="8"/>
  <c r="L71" i="8"/>
  <c r="K3589" i="16"/>
  <c r="L3589" i="16"/>
  <c r="L3590" i="16"/>
  <c r="A69" i="16"/>
  <c r="M3427" i="16"/>
  <c r="Z66" i="16"/>
  <c r="M3373" i="16"/>
  <c r="M2941" i="16"/>
  <c r="Z57" i="16"/>
  <c r="M2887" i="16"/>
  <c r="M2833" i="16"/>
  <c r="Z55" i="16"/>
  <c r="M2725" i="16"/>
  <c r="Z53" i="16"/>
  <c r="M2671" i="16"/>
  <c r="M2617" i="16"/>
  <c r="Z51" i="16"/>
  <c r="Z49" i="16"/>
  <c r="Z47" i="16"/>
  <c r="Z45" i="16"/>
  <c r="Z41" i="16"/>
  <c r="Z39" i="16"/>
  <c r="M1861" i="16"/>
  <c r="Z37" i="16"/>
  <c r="M1807" i="16"/>
  <c r="M1753" i="16"/>
  <c r="Z35" i="16"/>
  <c r="M1645" i="16"/>
  <c r="Z33" i="16"/>
  <c r="M1591" i="16"/>
  <c r="M1213" i="16"/>
  <c r="M1214" i="16"/>
  <c r="Z25" i="16"/>
  <c r="M943" i="16"/>
  <c r="Z20" i="16"/>
  <c r="M727" i="16"/>
  <c r="Z16" i="16"/>
  <c r="M511" i="16"/>
  <c r="Z12" i="16"/>
  <c r="M295" i="16"/>
  <c r="Z8" i="16"/>
  <c r="M241" i="16"/>
  <c r="M187" i="16"/>
  <c r="Z6" i="16"/>
  <c r="K79" i="16"/>
  <c r="L79" i="16"/>
  <c r="L80" i="16"/>
  <c r="B127" i="16"/>
  <c r="C4" i="16" s="1"/>
  <c r="A4" i="16"/>
  <c r="M4675" i="16"/>
  <c r="M17" i="4"/>
  <c r="M4051" i="16"/>
  <c r="B16" i="2"/>
  <c r="F5" i="6"/>
  <c r="E48" i="13"/>
  <c r="G48" i="13" s="1"/>
  <c r="O3427" i="16"/>
  <c r="O3697" i="16"/>
  <c r="O3589" i="16"/>
  <c r="O3535" i="16"/>
  <c r="O3211" i="16"/>
  <c r="O3157" i="16"/>
  <c r="O3103" i="16"/>
  <c r="O3049" i="16"/>
  <c r="O2995" i="16"/>
  <c r="O2941" i="16"/>
  <c r="O2887" i="16"/>
  <c r="O2833" i="16"/>
  <c r="O2725" i="16"/>
  <c r="O2617" i="16"/>
  <c r="O2347" i="16"/>
  <c r="O1861" i="16"/>
  <c r="O1807" i="16"/>
  <c r="O1645" i="16"/>
  <c r="O1375" i="16"/>
  <c r="O1267" i="16"/>
  <c r="O1105" i="16"/>
  <c r="O943" i="16"/>
  <c r="O835" i="16"/>
  <c r="O727" i="16"/>
  <c r="O673" i="16"/>
  <c r="O511" i="16"/>
  <c r="O403" i="16"/>
  <c r="O295" i="16"/>
  <c r="O79" i="16"/>
  <c r="Q131" i="3"/>
  <c r="Q80" i="3"/>
  <c r="P4213" i="16"/>
  <c r="Q4213" i="16"/>
  <c r="R4213" i="16"/>
  <c r="F4213" i="16"/>
  <c r="K4213" i="16"/>
  <c r="P4159" i="16"/>
  <c r="R4159" i="16"/>
  <c r="Q4159" i="16"/>
  <c r="R4105" i="16"/>
  <c r="P4105" i="16"/>
  <c r="Q4105" i="16"/>
  <c r="R4051" i="16"/>
  <c r="Q4051" i="16"/>
  <c r="P4051" i="16"/>
  <c r="AL3869" i="16"/>
  <c r="AK3869" i="16"/>
  <c r="AM3869" i="16" s="1"/>
  <c r="AL3868" i="16"/>
  <c r="AK3868" i="16"/>
  <c r="AM3868" i="16" s="1"/>
  <c r="AA3869" i="16"/>
  <c r="AB3869" i="16"/>
  <c r="R3869" i="16"/>
  <c r="Q3869" i="16"/>
  <c r="S3869" i="16" s="1"/>
  <c r="R3868" i="16"/>
  <c r="Q3868" i="16"/>
  <c r="S3868" i="16" s="1"/>
  <c r="AB3867" i="16"/>
  <c r="AA3867" i="16"/>
  <c r="AC3867" i="16" s="1"/>
  <c r="H3867" i="16"/>
  <c r="G3867" i="16"/>
  <c r="I3867" i="16" s="1"/>
  <c r="AB3866" i="16"/>
  <c r="AA3866" i="16"/>
  <c r="AC3866" i="16" s="1"/>
  <c r="R3866" i="16"/>
  <c r="Q3866" i="16"/>
  <c r="S3866" i="16" s="1"/>
  <c r="H3866" i="16"/>
  <c r="G3866" i="16"/>
  <c r="I3866" i="16" s="1"/>
  <c r="AB3865" i="16"/>
  <c r="AA3865" i="16"/>
  <c r="AC3865" i="16" s="1"/>
  <c r="AK3865" i="16"/>
  <c r="AL3865" i="16"/>
  <c r="AA3864" i="16"/>
  <c r="AC3864" i="16" s="1"/>
  <c r="AB3864" i="16"/>
  <c r="R3864" i="16"/>
  <c r="S3864" i="16" s="1"/>
  <c r="Q3865" i="16"/>
  <c r="S3865" i="16" s="1"/>
  <c r="AK3862" i="16"/>
  <c r="AM3862" i="16" s="1"/>
  <c r="AL3862" i="16"/>
  <c r="R3862" i="16"/>
  <c r="Q3862" i="16"/>
  <c r="S3862" i="16" s="1"/>
  <c r="AL3860" i="16"/>
  <c r="AK3860" i="16"/>
  <c r="AM3860" i="16" s="1"/>
  <c r="R3860" i="16"/>
  <c r="Q3860" i="16"/>
  <c r="S3860" i="16" s="1"/>
  <c r="G3860" i="16"/>
  <c r="I3860" i="16" s="1"/>
  <c r="H3860" i="16"/>
  <c r="AK3859" i="16"/>
  <c r="AM3859" i="16" s="1"/>
  <c r="AL3859" i="16"/>
  <c r="AB3859" i="16"/>
  <c r="AA3859" i="16"/>
  <c r="AC3859" i="16" s="1"/>
  <c r="G3859" i="16"/>
  <c r="I3859" i="16" s="1"/>
  <c r="H3859" i="16"/>
  <c r="AA3858" i="16"/>
  <c r="AC3858" i="16" s="1"/>
  <c r="AB3858" i="16"/>
  <c r="AL3857" i="16"/>
  <c r="AK3858" i="16"/>
  <c r="AM3858" i="16" s="1"/>
  <c r="AK3857" i="16"/>
  <c r="AM3857" i="16" s="1"/>
  <c r="Q3858" i="16"/>
  <c r="S3858" i="16" s="1"/>
  <c r="R3858" i="16"/>
  <c r="G3858" i="16"/>
  <c r="I3858" i="16" s="1"/>
  <c r="H3858" i="16"/>
  <c r="AK3856" i="16"/>
  <c r="AM3856" i="16" s="1"/>
  <c r="AL3856" i="16"/>
  <c r="AA3856" i="16"/>
  <c r="AC3856" i="16" s="1"/>
  <c r="AB3856" i="16"/>
  <c r="Q3856" i="16"/>
  <c r="S3856" i="16" s="1"/>
  <c r="R3856" i="16"/>
  <c r="G3856" i="16"/>
  <c r="I3856" i="16" s="1"/>
  <c r="H3856" i="16"/>
  <c r="AL3855" i="16"/>
  <c r="AK3855" i="16"/>
  <c r="AM3855" i="16" s="1"/>
  <c r="AB3854" i="16"/>
  <c r="AA3854" i="16"/>
  <c r="AC3854" i="16" s="1"/>
  <c r="H3853" i="16"/>
  <c r="G3853" i="16"/>
  <c r="I3853" i="16" s="1"/>
  <c r="AA3852" i="16"/>
  <c r="AC3852" i="16" s="1"/>
  <c r="AB3852" i="16"/>
  <c r="R3852" i="16"/>
  <c r="Q3852" i="16"/>
  <c r="G3851" i="16"/>
  <c r="H3851" i="16"/>
  <c r="AA3850" i="16"/>
  <c r="AB3850" i="16"/>
  <c r="R3850" i="16"/>
  <c r="Q3850" i="16"/>
  <c r="S3850" i="16" s="1"/>
  <c r="H3850" i="16"/>
  <c r="G3850" i="16"/>
  <c r="I3850" i="16" s="1"/>
  <c r="AL3849" i="16"/>
  <c r="AK3849" i="16"/>
  <c r="AM3849" i="16" s="1"/>
  <c r="Q3849" i="16"/>
  <c r="R3849" i="16"/>
  <c r="AA3848" i="16"/>
  <c r="AB3848" i="16"/>
  <c r="AB3849" i="16"/>
  <c r="AA3849" i="16"/>
  <c r="AC3849" i="16" s="1"/>
  <c r="AL3847" i="16"/>
  <c r="AK3847" i="16"/>
  <c r="AM3847" i="16" s="1"/>
  <c r="AA3847" i="16"/>
  <c r="AB3847" i="16"/>
  <c r="R3847" i="16"/>
  <c r="Q3847" i="16"/>
  <c r="S3847" i="16" s="1"/>
  <c r="G3847" i="16"/>
  <c r="H3847" i="16"/>
  <c r="AL3846" i="16"/>
  <c r="AK3846" i="16"/>
  <c r="AM3846" i="16" s="1"/>
  <c r="AB3846" i="16"/>
  <c r="AA3846" i="16"/>
  <c r="AC3846" i="16" s="1"/>
  <c r="R3846" i="16"/>
  <c r="Q3846" i="16"/>
  <c r="S3846" i="16" s="1"/>
  <c r="H3846" i="16"/>
  <c r="G3846" i="16"/>
  <c r="I3846" i="16" s="1"/>
  <c r="AK3845" i="16"/>
  <c r="AL3845" i="16"/>
  <c r="AB3845" i="16"/>
  <c r="AA3845" i="16"/>
  <c r="AC3845" i="16" s="1"/>
  <c r="R3845" i="16"/>
  <c r="Q3845" i="16"/>
  <c r="S3845" i="16" s="1"/>
  <c r="R3844" i="16"/>
  <c r="Q3844" i="16"/>
  <c r="S3844" i="16" s="1"/>
  <c r="H3845" i="16"/>
  <c r="G3844" i="16"/>
  <c r="H3844" i="16"/>
  <c r="G3845" i="16"/>
  <c r="I3845" i="16" s="1"/>
  <c r="AK3843" i="16"/>
  <c r="AL3843" i="16"/>
  <c r="Q3843" i="16"/>
  <c r="S3843" i="16" s="1"/>
  <c r="R3843" i="16"/>
  <c r="AK3842" i="16"/>
  <c r="AM3842" i="16" s="1"/>
  <c r="AL3842" i="16"/>
  <c r="AA3842" i="16"/>
  <c r="AC3842" i="16" s="1"/>
  <c r="AB3842" i="16"/>
  <c r="Q3842" i="16"/>
  <c r="R3842" i="16"/>
  <c r="AL3841" i="16"/>
  <c r="AK3841" i="16"/>
  <c r="AM3841" i="16" s="1"/>
  <c r="AB3841" i="16"/>
  <c r="AA3841" i="16"/>
  <c r="AC3841" i="16" s="1"/>
  <c r="R3841" i="16"/>
  <c r="Q3841" i="16"/>
  <c r="S3841" i="16" s="1"/>
  <c r="H3841" i="16"/>
  <c r="G3841" i="16"/>
  <c r="I3841" i="16" s="1"/>
  <c r="AL3840" i="16"/>
  <c r="AK3840" i="16"/>
  <c r="AM3840" i="16" s="1"/>
  <c r="AB3840" i="16"/>
  <c r="AA3840" i="16"/>
  <c r="AC3840" i="16" s="1"/>
  <c r="Q3840" i="16"/>
  <c r="R3840" i="16"/>
  <c r="G3840" i="16"/>
  <c r="H3840" i="16"/>
  <c r="AK3839" i="16"/>
  <c r="AL3839" i="16"/>
  <c r="AA3839" i="16"/>
  <c r="AB3839" i="16"/>
  <c r="R3839" i="16"/>
  <c r="Q3839" i="16"/>
  <c r="S3839" i="16" s="1"/>
  <c r="G3839" i="16"/>
  <c r="H3839" i="16"/>
  <c r="AL3838" i="16"/>
  <c r="AK3838" i="16"/>
  <c r="AM3838" i="16" s="1"/>
  <c r="AB3838" i="16"/>
  <c r="AA3838" i="16"/>
  <c r="AC3838" i="16" s="1"/>
  <c r="R3838" i="16"/>
  <c r="Q3838" i="16"/>
  <c r="S3838" i="16" s="1"/>
  <c r="H3838" i="16"/>
  <c r="G3838" i="16"/>
  <c r="I3838" i="16" s="1"/>
  <c r="AL3837" i="16"/>
  <c r="AK3837" i="16"/>
  <c r="AM3837" i="16" s="1"/>
  <c r="AB3837" i="16"/>
  <c r="AA3837" i="16"/>
  <c r="AC3837" i="16" s="1"/>
  <c r="R3837" i="16"/>
  <c r="Q3837" i="16"/>
  <c r="S3837" i="16" s="1"/>
  <c r="G3837" i="16"/>
  <c r="H3837" i="16"/>
  <c r="AL3836" i="16"/>
  <c r="AK3836" i="16"/>
  <c r="AM3836" i="16" s="1"/>
  <c r="AA3836" i="16"/>
  <c r="AC3836" i="16" s="1"/>
  <c r="AB3836" i="16"/>
  <c r="Q3836" i="16"/>
  <c r="S3836" i="16" s="1"/>
  <c r="R3836" i="16"/>
  <c r="G3836" i="16"/>
  <c r="I3836" i="16" s="1"/>
  <c r="H3836" i="16"/>
  <c r="AL3835" i="16"/>
  <c r="AK3835" i="16"/>
  <c r="AM3835" i="16" s="1"/>
  <c r="AB3835" i="16"/>
  <c r="AA3835" i="16"/>
  <c r="AC3835" i="16" s="1"/>
  <c r="Q3835" i="16"/>
  <c r="S3835" i="16" s="1"/>
  <c r="R3835" i="16"/>
  <c r="H3835" i="16"/>
  <c r="G3835" i="16"/>
  <c r="I3835" i="16" s="1"/>
  <c r="AL3834" i="16"/>
  <c r="AK3834" i="16"/>
  <c r="AM3834" i="16" s="1"/>
  <c r="AB3834" i="16"/>
  <c r="AA3834" i="16"/>
  <c r="AC3834" i="16" s="1"/>
  <c r="Q3834" i="16"/>
  <c r="S3834" i="16" s="1"/>
  <c r="R3834" i="16"/>
  <c r="AA3833" i="16"/>
  <c r="AC3833" i="16" s="1"/>
  <c r="AB3833" i="16"/>
  <c r="R3833" i="16"/>
  <c r="Q3833" i="16"/>
  <c r="S3833" i="16" s="1"/>
  <c r="H3833" i="16"/>
  <c r="G3833" i="16"/>
  <c r="I3833" i="16" s="1"/>
  <c r="AK3832" i="16"/>
  <c r="AL3832" i="16"/>
  <c r="AB3832" i="16"/>
  <c r="AA3832" i="16"/>
  <c r="AC3832" i="16" s="1"/>
  <c r="Q3832" i="16"/>
  <c r="R3832" i="16"/>
  <c r="H3832" i="16"/>
  <c r="G3832" i="16"/>
  <c r="I3832" i="16" s="1"/>
  <c r="AL3831" i="16"/>
  <c r="AK3831" i="16"/>
  <c r="AM3831" i="16" s="1"/>
  <c r="AA3831" i="16"/>
  <c r="AB3831" i="16"/>
  <c r="Q3831" i="16"/>
  <c r="R3831" i="16"/>
  <c r="G3831" i="16"/>
  <c r="H3831" i="16"/>
  <c r="AL3830" i="16"/>
  <c r="AK3830" i="16"/>
  <c r="AM3830" i="16" s="1"/>
  <c r="AB3830" i="16"/>
  <c r="AA3830" i="16"/>
  <c r="AC3830" i="16" s="1"/>
  <c r="Q3830" i="16"/>
  <c r="R3830" i="16"/>
  <c r="H3830" i="16"/>
  <c r="G3830" i="16"/>
  <c r="I3830" i="16" s="1"/>
  <c r="AK3829" i="16"/>
  <c r="AL3829" i="16"/>
  <c r="AB3829" i="16"/>
  <c r="AA3829" i="16"/>
  <c r="AC3829" i="16" s="1"/>
  <c r="Q3829" i="16"/>
  <c r="R3829" i="16"/>
  <c r="H3829" i="16"/>
  <c r="G3829" i="16"/>
  <c r="I3829" i="16" s="1"/>
  <c r="AK3828" i="16"/>
  <c r="AL3828" i="16"/>
  <c r="AB3828" i="16"/>
  <c r="AA3828" i="16"/>
  <c r="AC3828" i="16" s="1"/>
  <c r="H3828" i="16"/>
  <c r="G3828" i="16"/>
  <c r="I3828" i="16" s="1"/>
  <c r="AL3827" i="16"/>
  <c r="AK3827" i="16"/>
  <c r="AM3827" i="16" s="1"/>
  <c r="AB3827" i="16"/>
  <c r="AA3827" i="16"/>
  <c r="AC3827" i="16" s="1"/>
  <c r="Q3828" i="16"/>
  <c r="S3828" i="16" s="1"/>
  <c r="Q3827" i="16"/>
  <c r="R3827" i="16"/>
  <c r="H3827" i="16"/>
  <c r="G3827" i="16"/>
  <c r="I3827" i="16" s="1"/>
  <c r="AL3826" i="16"/>
  <c r="AK3826" i="16"/>
  <c r="AM3826" i="16" s="1"/>
  <c r="AA3826" i="16"/>
  <c r="AB3826" i="16"/>
  <c r="Q3826" i="16"/>
  <c r="R3826" i="16"/>
  <c r="G3826" i="16"/>
  <c r="H3826" i="16"/>
  <c r="AL3825" i="16"/>
  <c r="AK3825" i="16"/>
  <c r="AM3825" i="16" s="1"/>
  <c r="AA3825" i="16"/>
  <c r="AB3825" i="16"/>
  <c r="R3825" i="16"/>
  <c r="Q3825" i="16"/>
  <c r="S3825" i="16" s="1"/>
  <c r="H3825" i="16"/>
  <c r="G3825" i="16"/>
  <c r="I3825" i="16" s="1"/>
  <c r="AK3824" i="16"/>
  <c r="AL3824" i="16"/>
  <c r="AB3824" i="16"/>
  <c r="AA3824" i="16"/>
  <c r="AC3824" i="16" s="1"/>
  <c r="R3824" i="16"/>
  <c r="Q3824" i="16"/>
  <c r="S3824" i="16" s="1"/>
  <c r="G3824" i="16"/>
  <c r="H3824" i="16"/>
  <c r="AL3823" i="16"/>
  <c r="AK3823" i="16"/>
  <c r="AM3823" i="16" s="1"/>
  <c r="AA3823" i="16"/>
  <c r="AC3823" i="16" s="1"/>
  <c r="AB3823" i="16"/>
  <c r="H3823" i="16"/>
  <c r="G3823" i="16"/>
  <c r="I3823" i="16" s="1"/>
  <c r="AL3822" i="16"/>
  <c r="AK3822" i="16"/>
  <c r="AM3822" i="16" s="1"/>
  <c r="AB3822" i="16"/>
  <c r="AA3822" i="16"/>
  <c r="AC3822" i="16" s="1"/>
  <c r="Q3822" i="16"/>
  <c r="S3822" i="16" s="1"/>
  <c r="R3822" i="16"/>
  <c r="G3822" i="16"/>
  <c r="I3822" i="16" s="1"/>
  <c r="H3822" i="16"/>
  <c r="AK3821" i="16"/>
  <c r="AM3821" i="16" s="1"/>
  <c r="AL3821" i="16"/>
  <c r="AB3821" i="16"/>
  <c r="AA3821" i="16"/>
  <c r="AC3821" i="16" s="1"/>
  <c r="R3821" i="16"/>
  <c r="Q3821" i="16"/>
  <c r="S3821" i="16" s="1"/>
  <c r="G3821" i="16"/>
  <c r="I3821" i="16" s="1"/>
  <c r="H3821" i="16"/>
  <c r="AL3820" i="16"/>
  <c r="AK3820" i="16"/>
  <c r="AM3820" i="16" s="1"/>
  <c r="AA3820" i="16"/>
  <c r="AC3820" i="16" s="1"/>
  <c r="AB3820" i="16"/>
  <c r="R3820" i="16"/>
  <c r="Q3820" i="16"/>
  <c r="S3820" i="16" s="1"/>
  <c r="H3820" i="16"/>
  <c r="G3820" i="16"/>
  <c r="I3820" i="16" s="1"/>
  <c r="AK3819" i="16"/>
  <c r="AM3819" i="16" s="1"/>
  <c r="AL3819" i="16"/>
  <c r="AA3819" i="16"/>
  <c r="AC3819" i="16" s="1"/>
  <c r="AB3819" i="16"/>
  <c r="R3819" i="16"/>
  <c r="Q3819" i="16"/>
  <c r="S3819" i="16" s="1"/>
  <c r="G3819" i="16"/>
  <c r="I3819" i="16" s="1"/>
  <c r="H3819" i="16"/>
  <c r="AK3818" i="16"/>
  <c r="AM3818" i="16" s="1"/>
  <c r="AL3818" i="16"/>
  <c r="AB3818" i="16"/>
  <c r="AA3818" i="16"/>
  <c r="AC3818" i="16" s="1"/>
  <c r="Q3818" i="16"/>
  <c r="R3818" i="16"/>
  <c r="G3818" i="16"/>
  <c r="H3818" i="16"/>
  <c r="AL3817" i="16"/>
  <c r="AK3817" i="16"/>
  <c r="AM3817" i="16" s="1"/>
  <c r="AA3817" i="16"/>
  <c r="AB3817" i="16"/>
  <c r="R3817" i="16"/>
  <c r="Q3817" i="16"/>
  <c r="S3817" i="16" s="1"/>
  <c r="H3817" i="16"/>
  <c r="G3817" i="16"/>
  <c r="I3817" i="16" s="1"/>
  <c r="AK3816" i="16"/>
  <c r="AL3816" i="16"/>
  <c r="AB3816" i="16"/>
  <c r="AA3816" i="16"/>
  <c r="AC3816" i="16" s="1"/>
  <c r="Q3816" i="16"/>
  <c r="R3816" i="16"/>
  <c r="G3816" i="16"/>
  <c r="H3816" i="16"/>
  <c r="AK3815" i="16"/>
  <c r="AL3815" i="16"/>
  <c r="AA3815" i="16"/>
  <c r="AB3815" i="16"/>
  <c r="Q3815" i="16"/>
  <c r="R3815" i="16"/>
  <c r="H3815" i="16"/>
  <c r="G3815" i="16"/>
  <c r="I3815" i="16" s="1"/>
  <c r="AL3814" i="16"/>
  <c r="AK3814" i="16"/>
  <c r="AM3814" i="16" s="1"/>
  <c r="Q3814" i="16"/>
  <c r="R3814" i="16"/>
  <c r="G3814" i="16"/>
  <c r="H3814" i="16"/>
  <c r="AK3813" i="16"/>
  <c r="AL3813" i="16"/>
  <c r="AA3813" i="16"/>
  <c r="AB3813" i="16"/>
  <c r="R3813" i="16"/>
  <c r="Q3813" i="16"/>
  <c r="S3813" i="16" s="1"/>
  <c r="AL3812" i="16"/>
  <c r="AK3812" i="16"/>
  <c r="AM3812" i="16" s="1"/>
  <c r="G3813" i="16"/>
  <c r="H3813" i="16"/>
  <c r="H3812" i="16"/>
  <c r="G3812" i="16"/>
  <c r="I3812" i="16" s="1"/>
  <c r="AK3811" i="16"/>
  <c r="AL3811" i="16"/>
  <c r="AB3811" i="16"/>
  <c r="AA3811" i="16"/>
  <c r="AC3811" i="16" s="1"/>
  <c r="Q3811" i="16"/>
  <c r="R3811" i="16"/>
  <c r="G3811" i="16"/>
  <c r="H3811" i="16"/>
  <c r="AB3809" i="16"/>
  <c r="AA3809" i="16"/>
  <c r="AC3809" i="16" s="1"/>
  <c r="Q3809" i="16"/>
  <c r="R3809" i="16"/>
  <c r="G3809" i="16"/>
  <c r="H3809" i="16"/>
  <c r="Q3808" i="16"/>
  <c r="R3808" i="16"/>
  <c r="AL3807" i="16"/>
  <c r="AK3807" i="16"/>
  <c r="AM3807" i="16" s="1"/>
  <c r="Q3807" i="16"/>
  <c r="R3807" i="16"/>
  <c r="H3807" i="16"/>
  <c r="G3807" i="16"/>
  <c r="I3807" i="16" s="1"/>
  <c r="AK3808" i="16"/>
  <c r="AL3808" i="16"/>
  <c r="AA3807" i="16"/>
  <c r="AA3808" i="16"/>
  <c r="AB3808" i="16"/>
  <c r="AB3807" i="16"/>
  <c r="AA3806" i="16"/>
  <c r="AB3806" i="16"/>
  <c r="P3751" i="16"/>
  <c r="R3751" i="16"/>
  <c r="P3697" i="16"/>
  <c r="Q3697" i="16"/>
  <c r="R3697" i="16"/>
  <c r="H3697" i="16"/>
  <c r="H3703" i="16"/>
  <c r="H3711" i="16"/>
  <c r="H3712" i="16"/>
  <c r="H3715" i="16"/>
  <c r="H3716" i="16"/>
  <c r="H3718" i="16"/>
  <c r="H3726" i="16"/>
  <c r="H3733" i="16"/>
  <c r="H3738" i="16"/>
  <c r="P3643" i="16"/>
  <c r="R3643" i="16"/>
  <c r="Q3643" i="16"/>
  <c r="R3589" i="16"/>
  <c r="Q3589" i="16"/>
  <c r="P3589" i="16"/>
  <c r="R3535" i="16"/>
  <c r="Q3535" i="16"/>
  <c r="P3535" i="16"/>
  <c r="P3481" i="16"/>
  <c r="R3481" i="16"/>
  <c r="Q3481" i="16"/>
  <c r="H3485" i="16"/>
  <c r="H3494" i="16"/>
  <c r="H3497" i="16"/>
  <c r="H3501" i="16"/>
  <c r="H3500" i="16"/>
  <c r="H3487" i="16"/>
  <c r="H3493" i="16"/>
  <c r="H3483" i="16"/>
  <c r="H3481" i="16"/>
  <c r="H3495" i="16"/>
  <c r="H3499" i="16"/>
  <c r="H3490" i="16"/>
  <c r="H3489" i="16"/>
  <c r="H3484" i="16"/>
  <c r="H3482" i="16"/>
  <c r="H3502" i="16"/>
  <c r="H3488" i="16"/>
  <c r="R3427" i="16"/>
  <c r="P3427" i="16"/>
  <c r="Q3427" i="16"/>
  <c r="K3428" i="16"/>
  <c r="L3428" i="16"/>
  <c r="K3374" i="16"/>
  <c r="L3374" i="16"/>
  <c r="P3373" i="16"/>
  <c r="R3373" i="16"/>
  <c r="Q3373" i="16"/>
  <c r="H3373" i="16"/>
  <c r="H3374" i="16"/>
  <c r="L3320" i="16"/>
  <c r="K3319" i="16"/>
  <c r="F3319" i="16"/>
  <c r="O3319" i="16" s="1"/>
  <c r="R3319" i="16"/>
  <c r="Q3319" i="16"/>
  <c r="P3319" i="16"/>
  <c r="Q3211" i="16"/>
  <c r="P3211" i="16"/>
  <c r="R3211" i="16"/>
  <c r="H3212" i="16"/>
  <c r="H3213" i="16"/>
  <c r="H3216" i="16"/>
  <c r="H3239" i="16"/>
  <c r="H3240" i="16"/>
  <c r="H3215" i="16"/>
  <c r="H3217" i="16"/>
  <c r="H3218" i="16"/>
  <c r="H3238" i="16"/>
  <c r="H3243" i="16"/>
  <c r="H3244" i="16"/>
  <c r="H3211" i="16"/>
  <c r="H3214" i="16"/>
  <c r="H3224" i="16"/>
  <c r="H3226" i="16"/>
  <c r="H3227" i="16"/>
  <c r="H3228" i="16"/>
  <c r="H3220" i="16"/>
  <c r="H3222" i="16"/>
  <c r="H3225" i="16"/>
  <c r="H3234" i="16"/>
  <c r="H3242" i="16"/>
  <c r="H3246" i="16"/>
  <c r="H3221" i="16"/>
  <c r="H3233" i="16"/>
  <c r="H3249" i="16"/>
  <c r="H3252" i="16"/>
  <c r="H3255" i="16"/>
  <c r="H3256" i="16"/>
  <c r="H3258" i="16"/>
  <c r="H3230" i="16"/>
  <c r="H3231" i="16"/>
  <c r="H3232" i="16"/>
  <c r="H3237" i="16"/>
  <c r="R3157" i="16"/>
  <c r="Q3157" i="16"/>
  <c r="P3157" i="16"/>
  <c r="H3204" i="16"/>
  <c r="H3170" i="16"/>
  <c r="H3158" i="16"/>
  <c r="H3172" i="16"/>
  <c r="H3188" i="16"/>
  <c r="H3186" i="16"/>
  <c r="H3187" i="16"/>
  <c r="H3199" i="16"/>
  <c r="H3174" i="16"/>
  <c r="H3179" i="16"/>
  <c r="H3173" i="16"/>
  <c r="H3183" i="16"/>
  <c r="H3191" i="16"/>
  <c r="H3192" i="16"/>
  <c r="H3194" i="16"/>
  <c r="H3201" i="16"/>
  <c r="H3175" i="16"/>
  <c r="H3177" i="16"/>
  <c r="H3196" i="16"/>
  <c r="H3197" i="16"/>
  <c r="H3198" i="16"/>
  <c r="H3159" i="16"/>
  <c r="H3185" i="16"/>
  <c r="H3161" i="16"/>
  <c r="H3167" i="16"/>
  <c r="H3171" i="16"/>
  <c r="H3176" i="16"/>
  <c r="H3182" i="16"/>
  <c r="H3160" i="16"/>
  <c r="H3164" i="16"/>
  <c r="H3190" i="16"/>
  <c r="H3166" i="16"/>
  <c r="H3189" i="16"/>
  <c r="H3195" i="16"/>
  <c r="H3200" i="16"/>
  <c r="H3202" i="16"/>
  <c r="H3157" i="16"/>
  <c r="H3162" i="16"/>
  <c r="H3163" i="16"/>
  <c r="H3165" i="16"/>
  <c r="H3169" i="16"/>
  <c r="H3178" i="16"/>
  <c r="R3103" i="16"/>
  <c r="P3103" i="16"/>
  <c r="Q3103" i="16"/>
  <c r="H3109" i="16"/>
  <c r="H3115" i="16"/>
  <c r="H3132" i="16"/>
  <c r="H3112" i="16"/>
  <c r="H3118" i="16"/>
  <c r="H3119" i="16"/>
  <c r="H3121" i="16"/>
  <c r="H3129" i="16"/>
  <c r="H3135" i="16"/>
  <c r="H3137" i="16"/>
  <c r="H3140" i="16"/>
  <c r="H3114" i="16"/>
  <c r="H3126" i="16"/>
  <c r="H3136" i="16"/>
  <c r="H3138" i="16"/>
  <c r="H3147" i="16"/>
  <c r="H3108" i="16"/>
  <c r="H3111" i="16"/>
  <c r="H3122" i="16"/>
  <c r="H3123" i="16"/>
  <c r="H3131" i="16"/>
  <c r="H3149" i="16"/>
  <c r="H3104" i="16"/>
  <c r="H3107" i="16"/>
  <c r="H3117" i="16"/>
  <c r="H3130" i="16"/>
  <c r="H3133" i="16"/>
  <c r="H3134" i="16"/>
  <c r="H3143" i="16"/>
  <c r="H3150" i="16"/>
  <c r="H3110" i="16"/>
  <c r="H3120" i="16"/>
  <c r="H3148" i="16"/>
  <c r="Q3049" i="16"/>
  <c r="R3049" i="16"/>
  <c r="P3049" i="16"/>
  <c r="P2995" i="16"/>
  <c r="R2995" i="16"/>
  <c r="Q2995" i="16"/>
  <c r="L2996" i="16"/>
  <c r="H3006" i="16"/>
  <c r="H2999" i="16"/>
  <c r="H3014" i="16"/>
  <c r="H3024" i="16"/>
  <c r="H3017" i="16"/>
  <c r="H3038" i="16"/>
  <c r="H3040" i="16"/>
  <c r="H3035" i="16"/>
  <c r="H3028" i="16"/>
  <c r="H3027" i="16"/>
  <c r="H3026" i="16"/>
  <c r="H3022" i="16"/>
  <c r="H3030" i="16"/>
  <c r="H3039" i="16"/>
  <c r="H3008" i="16"/>
  <c r="H3013" i="16"/>
  <c r="H3010" i="16"/>
  <c r="H3021" i="16"/>
  <c r="H3023" i="16"/>
  <c r="H3037" i="16"/>
  <c r="H3041" i="16"/>
  <c r="H3042" i="16"/>
  <c r="H3025" i="16"/>
  <c r="H3011" i="16"/>
  <c r="H3012" i="16"/>
  <c r="H3031" i="16"/>
  <c r="H3032" i="16"/>
  <c r="H3033" i="16"/>
  <c r="H3009" i="16"/>
  <c r="H3029" i="16"/>
  <c r="H3015" i="16"/>
  <c r="H3018" i="16"/>
  <c r="H3001" i="16"/>
  <c r="H3016" i="16"/>
  <c r="H3034" i="16"/>
  <c r="H3036" i="16"/>
  <c r="H2995" i="16"/>
  <c r="H3019" i="16"/>
  <c r="H3020" i="16"/>
  <c r="H3007" i="16"/>
  <c r="H3004" i="16"/>
  <c r="Q2887" i="16"/>
  <c r="P2887" i="16"/>
  <c r="R2887" i="16"/>
  <c r="Q2833" i="16"/>
  <c r="P2833" i="16"/>
  <c r="R2833" i="16"/>
  <c r="Q2779" i="16"/>
  <c r="P2779" i="16"/>
  <c r="R2779" i="16"/>
  <c r="Q2725" i="16"/>
  <c r="R2725" i="16"/>
  <c r="P2725" i="16"/>
  <c r="P2671" i="16"/>
  <c r="Q2671" i="16"/>
  <c r="R2671" i="16"/>
  <c r="L2618" i="16"/>
  <c r="P2617" i="16"/>
  <c r="Q2617" i="16"/>
  <c r="R2617" i="16"/>
  <c r="P2563" i="16"/>
  <c r="R2563" i="16"/>
  <c r="Q2563" i="16"/>
  <c r="L2510" i="16"/>
  <c r="K2509" i="16"/>
  <c r="F2509" i="16"/>
  <c r="R2509" i="16"/>
  <c r="Q2509" i="16"/>
  <c r="P2509" i="16"/>
  <c r="F2455" i="16"/>
  <c r="K2455" i="16"/>
  <c r="R2455" i="16"/>
  <c r="P2455" i="16"/>
  <c r="Q2455" i="16"/>
  <c r="L2456" i="16"/>
  <c r="J2453" i="16"/>
  <c r="E2453" i="16"/>
  <c r="I2453" i="16" s="1"/>
  <c r="F2401" i="16"/>
  <c r="O2401" i="16" s="1"/>
  <c r="K2401" i="16"/>
  <c r="Q2401" i="16"/>
  <c r="R2401" i="16"/>
  <c r="P2401" i="16"/>
  <c r="L2402" i="16"/>
  <c r="R2347" i="16"/>
  <c r="Q2347" i="16"/>
  <c r="L2294" i="16"/>
  <c r="F2293" i="16"/>
  <c r="O2293" i="16" s="1"/>
  <c r="K2293" i="16"/>
  <c r="R2293" i="16"/>
  <c r="P2293" i="16"/>
  <c r="Q2293" i="16"/>
  <c r="R2239" i="16"/>
  <c r="Q2239" i="16"/>
  <c r="P2239" i="16"/>
  <c r="H2240" i="16"/>
  <c r="H2239" i="16"/>
  <c r="H2247" i="16"/>
  <c r="H2243" i="16"/>
  <c r="H2246" i="16"/>
  <c r="H2245" i="16"/>
  <c r="H2244" i="16"/>
  <c r="H2242" i="16"/>
  <c r="R2185" i="16"/>
  <c r="Q2185" i="16"/>
  <c r="P2185" i="16"/>
  <c r="H2202" i="16"/>
  <c r="H2192" i="16"/>
  <c r="H2189" i="16"/>
  <c r="H2188" i="16"/>
  <c r="H2186" i="16"/>
  <c r="H2185" i="16"/>
  <c r="H2214" i="16"/>
  <c r="H2232" i="16"/>
  <c r="H2229" i="16"/>
  <c r="H2223" i="16"/>
  <c r="H2222" i="16"/>
  <c r="H2225" i="16"/>
  <c r="H2231" i="16"/>
  <c r="H2221" i="16"/>
  <c r="H2219" i="16"/>
  <c r="H2220" i="16"/>
  <c r="H2216" i="16"/>
  <c r="H2213" i="16"/>
  <c r="H2206" i="16"/>
  <c r="H2210" i="16"/>
  <c r="H2204" i="16"/>
  <c r="H2200" i="16"/>
  <c r="H2198" i="16"/>
  <c r="H2197" i="16"/>
  <c r="H2212" i="16"/>
  <c r="H2194" i="16"/>
  <c r="H2193" i="16"/>
  <c r="H2191" i="16"/>
  <c r="H2187" i="16"/>
  <c r="H2209" i="16"/>
  <c r="H2205" i="16"/>
  <c r="H2196" i="16"/>
  <c r="Q2131" i="16"/>
  <c r="R2131" i="16"/>
  <c r="P2131" i="16"/>
  <c r="H2169" i="16"/>
  <c r="H2173" i="16"/>
  <c r="H2174" i="16"/>
  <c r="H2176" i="16"/>
  <c r="H2178" i="16"/>
  <c r="H2132" i="16"/>
  <c r="H2140" i="16"/>
  <c r="H2143" i="16"/>
  <c r="H2145" i="16"/>
  <c r="H2148" i="16"/>
  <c r="H2150" i="16"/>
  <c r="H2153" i="16"/>
  <c r="H2156" i="16"/>
  <c r="H2159" i="16"/>
  <c r="H2160" i="16"/>
  <c r="H2163" i="16"/>
  <c r="H2167" i="16"/>
  <c r="H2168" i="16"/>
  <c r="H2170" i="16"/>
  <c r="H2171" i="16"/>
  <c r="H2175" i="16"/>
  <c r="H2177" i="16"/>
  <c r="H2137" i="16"/>
  <c r="H2133" i="16"/>
  <c r="H2135" i="16"/>
  <c r="H2138" i="16"/>
  <c r="H2139" i="16"/>
  <c r="H2147" i="16"/>
  <c r="H2151" i="16"/>
  <c r="H2152" i="16"/>
  <c r="H2158" i="16"/>
  <c r="H2162" i="16"/>
  <c r="Q2077" i="16"/>
  <c r="P2077" i="16"/>
  <c r="R2077" i="16"/>
  <c r="F2077" i="16"/>
  <c r="K2077" i="16"/>
  <c r="L2078" i="16"/>
  <c r="J2075" i="16"/>
  <c r="E2075" i="16"/>
  <c r="I2075" i="16" s="1"/>
  <c r="Q2023" i="16"/>
  <c r="R2023" i="16"/>
  <c r="P2023" i="16"/>
  <c r="L2024" i="16"/>
  <c r="F2023" i="16"/>
  <c r="K2023" i="16"/>
  <c r="J2021" i="16"/>
  <c r="E2021" i="16"/>
  <c r="I2021" i="16" s="1"/>
  <c r="H2024" i="16"/>
  <c r="H2023" i="16"/>
  <c r="H2025" i="16"/>
  <c r="L1970" i="16"/>
  <c r="K1969" i="16"/>
  <c r="F1969" i="16"/>
  <c r="R1969" i="16"/>
  <c r="P1969" i="16"/>
  <c r="Q1969" i="16"/>
  <c r="J1967" i="16"/>
  <c r="E1967" i="16"/>
  <c r="I1967" i="16" s="1"/>
  <c r="L1916" i="16"/>
  <c r="K1915" i="16"/>
  <c r="F1915" i="16"/>
  <c r="O1915" i="16" s="1"/>
  <c r="P1915" i="16"/>
  <c r="R1915" i="16"/>
  <c r="Q1915" i="16"/>
  <c r="R1861" i="16"/>
  <c r="Q1861" i="16"/>
  <c r="P1807" i="16"/>
  <c r="Q1807" i="16"/>
  <c r="R1807" i="16"/>
  <c r="R1753" i="16"/>
  <c r="Q1753" i="16"/>
  <c r="P1753" i="16"/>
  <c r="P1699" i="16"/>
  <c r="Q1699" i="16"/>
  <c r="R1699" i="16"/>
  <c r="R1645" i="16"/>
  <c r="Q1645" i="16"/>
  <c r="P1645" i="16"/>
  <c r="R1591" i="16"/>
  <c r="Q1591" i="16"/>
  <c r="P1591" i="16"/>
  <c r="Q1537" i="16"/>
  <c r="R1537" i="16"/>
  <c r="P1537" i="16"/>
  <c r="P1483" i="16"/>
  <c r="Q1483" i="16"/>
  <c r="R1483" i="16"/>
  <c r="J1481" i="16"/>
  <c r="E1481" i="16"/>
  <c r="P1429" i="16"/>
  <c r="Q1429" i="16"/>
  <c r="R1429" i="16"/>
  <c r="L1430" i="16"/>
  <c r="K1429" i="16"/>
  <c r="F1429" i="16"/>
  <c r="J1427" i="16"/>
  <c r="E1427" i="16"/>
  <c r="I1427" i="16" s="1"/>
  <c r="H1450" i="16"/>
  <c r="H1469" i="16"/>
  <c r="H1457" i="16"/>
  <c r="H1435" i="16"/>
  <c r="H1449" i="16"/>
  <c r="H1429" i="16"/>
  <c r="H1432" i="16"/>
  <c r="H1454" i="16"/>
  <c r="H1470" i="16"/>
  <c r="H1460" i="16"/>
  <c r="H1476" i="16"/>
  <c r="H1453" i="16"/>
  <c r="H1443" i="16"/>
  <c r="H1439" i="16"/>
  <c r="H1438" i="16"/>
  <c r="H1475" i="16"/>
  <c r="H1448" i="16"/>
  <c r="H1461" i="16"/>
  <c r="H1458" i="16"/>
  <c r="H1437" i="16"/>
  <c r="H1436" i="16"/>
  <c r="H1442" i="16"/>
  <c r="H1431" i="16"/>
  <c r="H1444" i="16"/>
  <c r="H1463" i="16"/>
  <c r="H1430" i="16"/>
  <c r="H1433" i="16"/>
  <c r="H1468" i="16"/>
  <c r="H1446" i="16"/>
  <c r="H1440" i="16"/>
  <c r="H1474" i="16"/>
  <c r="H1473" i="16"/>
  <c r="H1445" i="16"/>
  <c r="H1447" i="16"/>
  <c r="H1467" i="16"/>
  <c r="H1441" i="16"/>
  <c r="Q1375" i="16"/>
  <c r="P1375" i="16"/>
  <c r="Q1321" i="16"/>
  <c r="R1321" i="16"/>
  <c r="P1321" i="16"/>
  <c r="H1361" i="16"/>
  <c r="H1354" i="16"/>
  <c r="H1351" i="16"/>
  <c r="H1360" i="16"/>
  <c r="H1362" i="16"/>
  <c r="H1363" i="16"/>
  <c r="H1364" i="16"/>
  <c r="H1329" i="16"/>
  <c r="H1334" i="16"/>
  <c r="H1339" i="16"/>
  <c r="H1335" i="16"/>
  <c r="H1357" i="16"/>
  <c r="H1359" i="16"/>
  <c r="H1368" i="16"/>
  <c r="H1340" i="16"/>
  <c r="H1346" i="16"/>
  <c r="P1267" i="16"/>
  <c r="R1267" i="16"/>
  <c r="Q1267" i="16"/>
  <c r="P1214" i="16"/>
  <c r="R1214" i="16"/>
  <c r="Q1214" i="16"/>
  <c r="R1213" i="16"/>
  <c r="P1213" i="16"/>
  <c r="Q1213" i="16"/>
  <c r="L1160" i="16"/>
  <c r="P1159" i="16"/>
  <c r="R1159" i="16"/>
  <c r="Q1159" i="16"/>
  <c r="K1159" i="16"/>
  <c r="F1159" i="16"/>
  <c r="O1159" i="16" s="1"/>
  <c r="R1105" i="16"/>
  <c r="Q1105" i="16"/>
  <c r="P1105" i="16"/>
  <c r="R1051" i="16"/>
  <c r="P1051" i="16"/>
  <c r="Q1051" i="16"/>
  <c r="E1049" i="16"/>
  <c r="J1049" i="16"/>
  <c r="L998" i="16"/>
  <c r="F997" i="16"/>
  <c r="O997" i="16" s="1"/>
  <c r="K997" i="16"/>
  <c r="P997" i="16"/>
  <c r="R997" i="16"/>
  <c r="Q997" i="16"/>
  <c r="P943" i="16"/>
  <c r="Q943" i="16"/>
  <c r="L944" i="16"/>
  <c r="R889" i="16"/>
  <c r="Q889" i="16"/>
  <c r="R835" i="16"/>
  <c r="Q835" i="16"/>
  <c r="P835" i="16"/>
  <c r="Q781" i="16"/>
  <c r="R781" i="16"/>
  <c r="P781" i="16"/>
  <c r="L728" i="16"/>
  <c r="P727" i="16"/>
  <c r="Q727" i="16"/>
  <c r="R727" i="16"/>
  <c r="P673" i="16"/>
  <c r="Q673" i="16"/>
  <c r="R673" i="16"/>
  <c r="R619" i="16"/>
  <c r="P619" i="16"/>
  <c r="Q619" i="16"/>
  <c r="E617" i="16"/>
  <c r="J617" i="16"/>
  <c r="R511" i="16"/>
  <c r="Q511" i="16"/>
  <c r="L512" i="16"/>
  <c r="P457" i="16"/>
  <c r="Q457" i="16"/>
  <c r="R457" i="16"/>
  <c r="P403" i="16"/>
  <c r="R403" i="16"/>
  <c r="Q403" i="16"/>
  <c r="R349" i="16"/>
  <c r="Q349" i="16"/>
  <c r="P349" i="16"/>
  <c r="L296" i="16"/>
  <c r="R295" i="16"/>
  <c r="Q295" i="16"/>
  <c r="P295" i="16"/>
  <c r="L242" i="16"/>
  <c r="Q241" i="16"/>
  <c r="R241" i="16"/>
  <c r="P241" i="16"/>
  <c r="AD7" i="16"/>
  <c r="J9" i="8"/>
  <c r="J239" i="16"/>
  <c r="E239" i="16"/>
  <c r="Q187" i="16"/>
  <c r="P187" i="16"/>
  <c r="R187" i="16"/>
  <c r="L188" i="16"/>
  <c r="J185" i="16"/>
  <c r="E185" i="16"/>
  <c r="K133" i="16"/>
  <c r="F133" i="16"/>
  <c r="R133" i="16"/>
  <c r="Q133" i="16"/>
  <c r="P133" i="16"/>
  <c r="L134" i="16"/>
  <c r="E131" i="16"/>
  <c r="I131" i="16" s="1"/>
  <c r="J131" i="16"/>
  <c r="H180" i="16"/>
  <c r="H179" i="16"/>
  <c r="H178" i="16"/>
  <c r="H177" i="16"/>
  <c r="H176" i="16"/>
  <c r="H175" i="16"/>
  <c r="H174" i="16"/>
  <c r="H133" i="16"/>
  <c r="H134" i="16"/>
  <c r="P17" i="4"/>
  <c r="F17" i="5" s="1"/>
  <c r="Q17" i="4"/>
  <c r="G17" i="5" s="1"/>
  <c r="H4717" i="16"/>
  <c r="H4718" i="16"/>
  <c r="H4719" i="16"/>
  <c r="H4720" i="16"/>
  <c r="H4071" i="16"/>
  <c r="H4721" i="16"/>
  <c r="H4722" i="16"/>
  <c r="H4055" i="16"/>
  <c r="H4056" i="16"/>
  <c r="H4057" i="16"/>
  <c r="H4058" i="16"/>
  <c r="H4059" i="16"/>
  <c r="H4060" i="16"/>
  <c r="H4061" i="16"/>
  <c r="H4644" i="16"/>
  <c r="H4065" i="16"/>
  <c r="H4066" i="16"/>
  <c r="H4070" i="16"/>
  <c r="H4068" i="16"/>
  <c r="H4067" i="16"/>
  <c r="H4069" i="16"/>
  <c r="H4062" i="16"/>
  <c r="H4063" i="16"/>
  <c r="H4064" i="16"/>
  <c r="H42" i="4"/>
  <c r="D42" i="5" s="1"/>
  <c r="H41" i="4"/>
  <c r="D41" i="5" s="1"/>
  <c r="H40" i="4"/>
  <c r="D40" i="5" s="1"/>
  <c r="H39" i="4"/>
  <c r="D39" i="5" s="1"/>
  <c r="H38" i="4"/>
  <c r="D38" i="5" s="1"/>
  <c r="H37" i="4"/>
  <c r="D37" i="5" s="1"/>
  <c r="H36" i="4"/>
  <c r="D36" i="5" s="1"/>
  <c r="H35" i="4"/>
  <c r="D35" i="5" s="1"/>
  <c r="H34" i="4"/>
  <c r="D34" i="5" s="1"/>
  <c r="H33" i="4"/>
  <c r="D33" i="5" s="1"/>
  <c r="H32" i="4"/>
  <c r="D32" i="5" s="1"/>
  <c r="H31" i="4"/>
  <c r="D31" i="5" s="1"/>
  <c r="H30" i="4"/>
  <c r="D30" i="5" s="1"/>
  <c r="H29" i="4"/>
  <c r="D29" i="5" s="1"/>
  <c r="H28" i="4"/>
  <c r="D28" i="5" s="1"/>
  <c r="H27" i="4"/>
  <c r="D27" i="5" s="1"/>
  <c r="H26" i="4"/>
  <c r="D26" i="5" s="1"/>
  <c r="H25" i="4"/>
  <c r="D25" i="5" s="1"/>
  <c r="H24" i="4"/>
  <c r="D24" i="5" s="1"/>
  <c r="H22" i="4"/>
  <c r="D22" i="5" s="1"/>
  <c r="H21" i="4"/>
  <c r="D21" i="5" s="1"/>
  <c r="H20" i="4"/>
  <c r="D20" i="5" s="1"/>
  <c r="H19" i="4"/>
  <c r="D19" i="5" s="1"/>
  <c r="H17" i="4"/>
  <c r="F8" i="4"/>
  <c r="H4072" i="16"/>
  <c r="H4073" i="16"/>
  <c r="H4074" i="16"/>
  <c r="H4075" i="16"/>
  <c r="H4076" i="16"/>
  <c r="H4077" i="16"/>
  <c r="H4078" i="16"/>
  <c r="H4079" i="16"/>
  <c r="H4080" i="16"/>
  <c r="H4081" i="16"/>
  <c r="H4082" i="16"/>
  <c r="H4083" i="16"/>
  <c r="H4084" i="16"/>
  <c r="H4086" i="16"/>
  <c r="H4087" i="16"/>
  <c r="H4088" i="16"/>
  <c r="H4089" i="16"/>
  <c r="H4090" i="16"/>
  <c r="H4091" i="16"/>
  <c r="H4092" i="16"/>
  <c r="H4093" i="16"/>
  <c r="H4094" i="16"/>
  <c r="H4095" i="16"/>
  <c r="H4096" i="16"/>
  <c r="H4243" i="16"/>
  <c r="H4244" i="16"/>
  <c r="H18" i="4"/>
  <c r="D18" i="5" s="1"/>
  <c r="H4245" i="16"/>
  <c r="H4246" i="16"/>
  <c r="H4247" i="16"/>
  <c r="H4248" i="16"/>
  <c r="H4249" i="16"/>
  <c r="H4250" i="16"/>
  <c r="H4251" i="16"/>
  <c r="H4252" i="16"/>
  <c r="H4253" i="16"/>
  <c r="H4254" i="16"/>
  <c r="H4255" i="16"/>
  <c r="H4703" i="16"/>
  <c r="H4256" i="16"/>
  <c r="H4257" i="16"/>
  <c r="H4258" i="16"/>
  <c r="H4259" i="16"/>
  <c r="H4260" i="16"/>
  <c r="H4704" i="16"/>
  <c r="H4706" i="16"/>
  <c r="H4707" i="16"/>
  <c r="H4708" i="16"/>
  <c r="H4709" i="16"/>
  <c r="H4710" i="16"/>
  <c r="H4711" i="16"/>
  <c r="H4712" i="16"/>
  <c r="H4713" i="16"/>
  <c r="H4714" i="16"/>
  <c r="H4715" i="16"/>
  <c r="H4716" i="16"/>
  <c r="H4085" i="16"/>
  <c r="I3589" i="16"/>
  <c r="B3637" i="16"/>
  <c r="C69" i="16" s="1"/>
  <c r="I3865" i="16"/>
  <c r="I3808" i="16"/>
  <c r="I3849" i="16"/>
  <c r="S3848" i="16"/>
  <c r="S3842" i="16" l="1"/>
  <c r="S3840" i="16"/>
  <c r="I3840" i="16"/>
  <c r="AM3839" i="16"/>
  <c r="AC3839" i="16"/>
  <c r="I3839" i="16"/>
  <c r="I3837" i="16"/>
  <c r="AC3825" i="16"/>
  <c r="AM3824" i="16"/>
  <c r="I3824" i="16"/>
  <c r="I3809" i="16"/>
  <c r="S3808" i="16"/>
  <c r="S3807" i="16"/>
  <c r="AM3808" i="16"/>
  <c r="AC3807" i="16"/>
  <c r="AC3808" i="16"/>
  <c r="AC3806" i="16"/>
  <c r="I3863" i="16"/>
  <c r="AA21" i="9"/>
  <c r="AC21" i="9"/>
  <c r="AA20" i="9"/>
  <c r="AC20" i="9"/>
  <c r="AA19" i="9"/>
  <c r="AC19" i="9"/>
  <c r="F4214" i="16"/>
  <c r="K4214" i="16"/>
  <c r="F3320" i="16"/>
  <c r="O3320" i="16" s="1"/>
  <c r="K3320" i="16"/>
  <c r="M3320" i="16" s="1"/>
  <c r="K2078" i="16"/>
  <c r="F2078" i="16"/>
  <c r="O2078" i="16" s="1"/>
  <c r="K512" i="16"/>
  <c r="F512" i="16"/>
  <c r="O512" i="16" s="1"/>
  <c r="K188" i="16"/>
  <c r="F188" i="16"/>
  <c r="O188" i="16" s="1"/>
  <c r="I1481" i="16"/>
  <c r="O1483" i="16"/>
  <c r="I239" i="16"/>
  <c r="O241" i="16"/>
  <c r="I185" i="16"/>
  <c r="O187" i="16"/>
  <c r="K4676" i="16"/>
  <c r="D4676" i="16"/>
  <c r="J4676" i="16"/>
  <c r="P4676" i="16"/>
  <c r="Q4676" i="16"/>
  <c r="R4676" i="16"/>
  <c r="L4677" i="16"/>
  <c r="C4677" i="16"/>
  <c r="K4677" i="16" s="1"/>
  <c r="E4677" i="16"/>
  <c r="F4677" i="16"/>
  <c r="G4677" i="16"/>
  <c r="I4677" i="16"/>
  <c r="B4678" i="16"/>
  <c r="P4622" i="16"/>
  <c r="Q4622" i="16"/>
  <c r="R4622" i="16"/>
  <c r="C4623" i="16"/>
  <c r="E4623" i="16"/>
  <c r="G4623" i="16"/>
  <c r="B4624" i="16"/>
  <c r="K4568" i="16"/>
  <c r="D4568" i="16"/>
  <c r="J4568" i="16"/>
  <c r="P4568" i="16"/>
  <c r="Q4568" i="16"/>
  <c r="R4568" i="16"/>
  <c r="C4569" i="16"/>
  <c r="E4569" i="16"/>
  <c r="G4569" i="16"/>
  <c r="I4569" i="16"/>
  <c r="B4570" i="16"/>
  <c r="I4515" i="16"/>
  <c r="L4515" i="16"/>
  <c r="B4516" i="16"/>
  <c r="C4515" i="16"/>
  <c r="E4515" i="16"/>
  <c r="F4515" i="16"/>
  <c r="G4515" i="16"/>
  <c r="K4515" i="16"/>
  <c r="D4514" i="16"/>
  <c r="J4514" i="16"/>
  <c r="N4514" i="16" s="1"/>
  <c r="P4514" i="16"/>
  <c r="Q4514" i="16"/>
  <c r="R4514" i="16"/>
  <c r="M4514" i="16"/>
  <c r="D4214" i="16"/>
  <c r="J4214" i="16"/>
  <c r="N4214" i="16" s="1"/>
  <c r="P4214" i="16"/>
  <c r="Q4214" i="16"/>
  <c r="R4214" i="16"/>
  <c r="M4214" i="16"/>
  <c r="E4215" i="16"/>
  <c r="G4215" i="16"/>
  <c r="L4215" i="16"/>
  <c r="C4215" i="16"/>
  <c r="F4215" i="16"/>
  <c r="I4215" i="16"/>
  <c r="K4215" i="16"/>
  <c r="B4216" i="16"/>
  <c r="P4160" i="16"/>
  <c r="Q4160" i="16"/>
  <c r="R4160" i="16"/>
  <c r="I4161" i="16"/>
  <c r="B4162" i="16"/>
  <c r="C4161" i="16"/>
  <c r="E4161" i="16"/>
  <c r="G4161" i="16"/>
  <c r="L4161" i="16"/>
  <c r="D4160" i="16"/>
  <c r="J4160" i="16"/>
  <c r="N4160" i="16" s="1"/>
  <c r="M4160" i="16"/>
  <c r="I4107" i="16"/>
  <c r="C4107" i="16"/>
  <c r="E4107" i="16"/>
  <c r="G4107" i="16"/>
  <c r="L4107" i="16"/>
  <c r="B4108" i="16"/>
  <c r="D4106" i="16"/>
  <c r="J4106" i="16"/>
  <c r="N4106" i="16" s="1"/>
  <c r="P4106" i="16"/>
  <c r="Q4106" i="16"/>
  <c r="R4106" i="16"/>
  <c r="M4106" i="16"/>
  <c r="K4052" i="16"/>
  <c r="D4052" i="16"/>
  <c r="J4052" i="16"/>
  <c r="P4052" i="16"/>
  <c r="Q4052" i="16"/>
  <c r="R4052" i="16"/>
  <c r="L4053" i="16"/>
  <c r="C4053" i="16"/>
  <c r="K4053" i="16" s="1"/>
  <c r="E4053" i="16"/>
  <c r="F4053" i="16"/>
  <c r="G4053" i="16"/>
  <c r="I4053" i="16"/>
  <c r="B4054" i="16"/>
  <c r="K3752" i="16"/>
  <c r="D3752" i="16"/>
  <c r="J3752" i="16"/>
  <c r="P3752" i="16"/>
  <c r="Q3752" i="16"/>
  <c r="R3752" i="16"/>
  <c r="L3753" i="16"/>
  <c r="C3753" i="16"/>
  <c r="K3753" i="16" s="1"/>
  <c r="E3753" i="16"/>
  <c r="F3753" i="16"/>
  <c r="O3753" i="16" s="1"/>
  <c r="G3753" i="16"/>
  <c r="I3753" i="16"/>
  <c r="B3754" i="16"/>
  <c r="U3751" i="16"/>
  <c r="S3751" i="16"/>
  <c r="T3751" i="16" s="1"/>
  <c r="K3698" i="16"/>
  <c r="D3698" i="16"/>
  <c r="J3698" i="16"/>
  <c r="P3698" i="16"/>
  <c r="Q3698" i="16"/>
  <c r="R3698" i="16"/>
  <c r="L3699" i="16"/>
  <c r="C3699" i="16"/>
  <c r="K3699" i="16" s="1"/>
  <c r="E3699" i="16"/>
  <c r="F3699" i="16"/>
  <c r="O3699" i="16" s="1"/>
  <c r="G3699" i="16"/>
  <c r="I3699" i="16"/>
  <c r="B3700" i="16"/>
  <c r="U3697" i="16"/>
  <c r="S3697" i="16"/>
  <c r="T3697" i="16" s="1"/>
  <c r="D3644" i="16"/>
  <c r="J3644" i="16"/>
  <c r="P3644" i="16"/>
  <c r="Q3644" i="16"/>
  <c r="R3644" i="16"/>
  <c r="C3645" i="16"/>
  <c r="E3645" i="16"/>
  <c r="G3645" i="16"/>
  <c r="I3645" i="16"/>
  <c r="B3646" i="16"/>
  <c r="D3590" i="16"/>
  <c r="J3590" i="16"/>
  <c r="P3590" i="16"/>
  <c r="Q3590" i="16"/>
  <c r="R3590" i="16"/>
  <c r="C3591" i="16"/>
  <c r="E3591" i="16"/>
  <c r="G3591" i="16"/>
  <c r="I3591" i="16"/>
  <c r="B3592" i="16"/>
  <c r="K3536" i="16"/>
  <c r="D3536" i="16"/>
  <c r="J3536" i="16"/>
  <c r="P3536" i="16"/>
  <c r="Q3536" i="16"/>
  <c r="R3536" i="16"/>
  <c r="L3537" i="16"/>
  <c r="C3537" i="16"/>
  <c r="K3537" i="16" s="1"/>
  <c r="E3537" i="16"/>
  <c r="F3537" i="16"/>
  <c r="O3537" i="16" s="1"/>
  <c r="G3537" i="16"/>
  <c r="I3537" i="16"/>
  <c r="B3538" i="16"/>
  <c r="U3535" i="16"/>
  <c r="S3535" i="16"/>
  <c r="T3535" i="16" s="1"/>
  <c r="L3483" i="16"/>
  <c r="G3483" i="16"/>
  <c r="B3484" i="16"/>
  <c r="C3483" i="16"/>
  <c r="E3483" i="16"/>
  <c r="I3483" i="16"/>
  <c r="K3482" i="16"/>
  <c r="D3482" i="16"/>
  <c r="J3482" i="16"/>
  <c r="P3482" i="16"/>
  <c r="Q3482" i="16"/>
  <c r="R3482" i="16"/>
  <c r="U3481" i="16"/>
  <c r="S3481" i="16"/>
  <c r="T3481" i="16" s="1"/>
  <c r="D3428" i="16"/>
  <c r="J3428" i="16"/>
  <c r="N3428" i="16" s="1"/>
  <c r="P3428" i="16"/>
  <c r="Q3428" i="16"/>
  <c r="R3428" i="16"/>
  <c r="L3429" i="16"/>
  <c r="C3429" i="16"/>
  <c r="E3429" i="16"/>
  <c r="G3429" i="16"/>
  <c r="I3429" i="16"/>
  <c r="B3430" i="16"/>
  <c r="D3374" i="16"/>
  <c r="J3374" i="16"/>
  <c r="N3374" i="16" s="1"/>
  <c r="P3374" i="16"/>
  <c r="Q3374" i="16"/>
  <c r="R3374" i="16"/>
  <c r="L3375" i="16"/>
  <c r="C3375" i="16"/>
  <c r="K3375" i="16" s="1"/>
  <c r="E3375" i="16"/>
  <c r="F3375" i="16"/>
  <c r="O3375" i="16" s="1"/>
  <c r="G3375" i="16"/>
  <c r="I3375" i="16"/>
  <c r="B3376" i="16"/>
  <c r="D3320" i="16"/>
  <c r="J3320" i="16"/>
  <c r="N3320" i="16" s="1"/>
  <c r="P3320" i="16"/>
  <c r="Q3320" i="16"/>
  <c r="R3320" i="16"/>
  <c r="L3321" i="16"/>
  <c r="C3321" i="16"/>
  <c r="K3321" i="16" s="1"/>
  <c r="E3321" i="16"/>
  <c r="F3321" i="16"/>
  <c r="O3321" i="16" s="1"/>
  <c r="G3321" i="16"/>
  <c r="I3321" i="16"/>
  <c r="B3322" i="16"/>
  <c r="K3266" i="16"/>
  <c r="D3266" i="16"/>
  <c r="J3266" i="16"/>
  <c r="P3266" i="16"/>
  <c r="Q3266" i="16"/>
  <c r="R3266" i="16"/>
  <c r="L3267" i="16"/>
  <c r="C3267" i="16"/>
  <c r="K3267" i="16" s="1"/>
  <c r="E3267" i="16"/>
  <c r="F3267" i="16"/>
  <c r="G3267" i="16"/>
  <c r="I3267" i="16"/>
  <c r="B3268" i="16"/>
  <c r="I3263" i="16"/>
  <c r="U3265" i="16"/>
  <c r="K3212" i="16"/>
  <c r="D3212" i="16"/>
  <c r="J3212" i="16"/>
  <c r="P3212" i="16"/>
  <c r="Q3212" i="16"/>
  <c r="R3212" i="16"/>
  <c r="L3213" i="16"/>
  <c r="E3213" i="16"/>
  <c r="G3213" i="16"/>
  <c r="B3214" i="16"/>
  <c r="I3213" i="16"/>
  <c r="C3213" i="16"/>
  <c r="U3211" i="16"/>
  <c r="S3211" i="16"/>
  <c r="T3211" i="16" s="1"/>
  <c r="L3159" i="16"/>
  <c r="G3159" i="16"/>
  <c r="B3160" i="16"/>
  <c r="C3159" i="16"/>
  <c r="E3159" i="16"/>
  <c r="I3159" i="16"/>
  <c r="K3158" i="16"/>
  <c r="D3158" i="16"/>
  <c r="J3158" i="16"/>
  <c r="P3158" i="16"/>
  <c r="Q3158" i="16"/>
  <c r="R3158" i="16"/>
  <c r="U3157" i="16"/>
  <c r="S3157" i="16"/>
  <c r="T3157" i="16" s="1"/>
  <c r="K3104" i="16"/>
  <c r="D3104" i="16"/>
  <c r="J3104" i="16"/>
  <c r="L3105" i="16"/>
  <c r="I3105" i="16"/>
  <c r="C3105" i="16"/>
  <c r="K3105" i="16" s="1"/>
  <c r="B3106" i="16"/>
  <c r="E3105" i="16"/>
  <c r="G3105" i="16"/>
  <c r="F3105" i="16"/>
  <c r="O3105" i="16" s="1"/>
  <c r="P3104" i="16"/>
  <c r="Q3104" i="16"/>
  <c r="R3104" i="16"/>
  <c r="U3103" i="16"/>
  <c r="S3103" i="16"/>
  <c r="T3103" i="16" s="1"/>
  <c r="P3050" i="16"/>
  <c r="Q3050" i="16"/>
  <c r="R3050" i="16"/>
  <c r="K3050" i="16"/>
  <c r="J3050" i="16"/>
  <c r="D3050" i="16"/>
  <c r="L3051" i="16"/>
  <c r="E3051" i="16"/>
  <c r="C3051" i="16"/>
  <c r="K3051" i="16" s="1"/>
  <c r="F3051" i="16"/>
  <c r="O3051" i="16" s="1"/>
  <c r="I3051" i="16"/>
  <c r="G3051" i="16"/>
  <c r="B3052" i="16"/>
  <c r="U3049" i="16"/>
  <c r="S3049" i="16"/>
  <c r="T3049" i="16" s="1"/>
  <c r="D2996" i="16"/>
  <c r="J2996" i="16"/>
  <c r="N2996" i="16" s="1"/>
  <c r="L2997" i="16"/>
  <c r="E2997" i="16"/>
  <c r="I2997" i="16"/>
  <c r="B2998" i="16"/>
  <c r="G2997" i="16"/>
  <c r="C2997" i="16"/>
  <c r="P2996" i="16"/>
  <c r="Q2996" i="16"/>
  <c r="R2996" i="16"/>
  <c r="U2995" i="16"/>
  <c r="S2995" i="16"/>
  <c r="T2995" i="16" s="1"/>
  <c r="K2942" i="16"/>
  <c r="D2942" i="16"/>
  <c r="J2942" i="16"/>
  <c r="P2942" i="16"/>
  <c r="Q2942" i="16"/>
  <c r="R2942" i="16"/>
  <c r="L2943" i="16"/>
  <c r="C2943" i="16"/>
  <c r="E2943" i="16"/>
  <c r="G2943" i="16"/>
  <c r="I2943" i="16"/>
  <c r="B2944" i="16"/>
  <c r="K2888" i="16"/>
  <c r="D2888" i="16"/>
  <c r="J2888" i="16"/>
  <c r="P2888" i="16"/>
  <c r="Q2888" i="16"/>
  <c r="R2888" i="16"/>
  <c r="L2889" i="16"/>
  <c r="C2889" i="16"/>
  <c r="E2889" i="16"/>
  <c r="G2889" i="16"/>
  <c r="I2889" i="16"/>
  <c r="B2890" i="16"/>
  <c r="K2834" i="16"/>
  <c r="D2834" i="16"/>
  <c r="J2834" i="16"/>
  <c r="P2834" i="16"/>
  <c r="Q2834" i="16"/>
  <c r="R2834" i="16"/>
  <c r="L2835" i="16"/>
  <c r="C2835" i="16"/>
  <c r="E2835" i="16"/>
  <c r="G2835" i="16"/>
  <c r="I2835" i="16"/>
  <c r="B2836" i="16"/>
  <c r="K2780" i="16"/>
  <c r="D2780" i="16"/>
  <c r="J2780" i="16"/>
  <c r="P2780" i="16"/>
  <c r="Q2780" i="16"/>
  <c r="R2780" i="16"/>
  <c r="L2781" i="16"/>
  <c r="C2781" i="16"/>
  <c r="E2781" i="16"/>
  <c r="G2781" i="16"/>
  <c r="I2781" i="16"/>
  <c r="B2782" i="16"/>
  <c r="K2726" i="16"/>
  <c r="D2726" i="16"/>
  <c r="J2726" i="16"/>
  <c r="P2726" i="16"/>
  <c r="Q2726" i="16"/>
  <c r="R2726" i="16"/>
  <c r="L2727" i="16"/>
  <c r="C2727" i="16"/>
  <c r="K2727" i="16" s="1"/>
  <c r="E2727" i="16"/>
  <c r="F2727" i="16"/>
  <c r="O2727" i="16" s="1"/>
  <c r="G2727" i="16"/>
  <c r="I2727" i="16"/>
  <c r="B2728" i="16"/>
  <c r="K2672" i="16"/>
  <c r="D2672" i="16"/>
  <c r="J2672" i="16"/>
  <c r="P2672" i="16"/>
  <c r="Q2672" i="16"/>
  <c r="R2672" i="16"/>
  <c r="L2673" i="16"/>
  <c r="C2673" i="16"/>
  <c r="E2673" i="16"/>
  <c r="G2673" i="16"/>
  <c r="I2673" i="16"/>
  <c r="B2674" i="16"/>
  <c r="D2618" i="16"/>
  <c r="J2618" i="16"/>
  <c r="N2618" i="16" s="1"/>
  <c r="P2618" i="16"/>
  <c r="Q2618" i="16"/>
  <c r="R2618" i="16"/>
  <c r="L2619" i="16"/>
  <c r="C2619" i="16"/>
  <c r="K2619" i="16" s="1"/>
  <c r="E2619" i="16"/>
  <c r="F2619" i="16"/>
  <c r="O2619" i="16" s="1"/>
  <c r="G2619" i="16"/>
  <c r="I2619" i="16"/>
  <c r="B2620" i="16"/>
  <c r="K2564" i="16"/>
  <c r="D2564" i="16"/>
  <c r="J2564" i="16"/>
  <c r="P2564" i="16"/>
  <c r="Q2564" i="16"/>
  <c r="R2564" i="16"/>
  <c r="L2565" i="16"/>
  <c r="C2565" i="16"/>
  <c r="E2565" i="16"/>
  <c r="G2565" i="16"/>
  <c r="I2565" i="16"/>
  <c r="B2566" i="16"/>
  <c r="U2563" i="16"/>
  <c r="S2563" i="16"/>
  <c r="T2563" i="16" s="1"/>
  <c r="D2510" i="16"/>
  <c r="J2510" i="16"/>
  <c r="N2510" i="16" s="1"/>
  <c r="P2510" i="16"/>
  <c r="Q2510" i="16"/>
  <c r="R2510" i="16"/>
  <c r="L2511" i="16"/>
  <c r="C2511" i="16"/>
  <c r="E2511" i="16"/>
  <c r="G2511" i="16"/>
  <c r="I2511" i="16"/>
  <c r="B2512" i="16"/>
  <c r="D2456" i="16"/>
  <c r="J2456" i="16"/>
  <c r="N2456" i="16" s="1"/>
  <c r="Q2456" i="16"/>
  <c r="P2456" i="16"/>
  <c r="R2456" i="16"/>
  <c r="L2457" i="16"/>
  <c r="C2457" i="16"/>
  <c r="K2457" i="16" s="1"/>
  <c r="E2457" i="16"/>
  <c r="F2457" i="16"/>
  <c r="O2457" i="16" s="1"/>
  <c r="G2457" i="16"/>
  <c r="I2457" i="16"/>
  <c r="B2458" i="16"/>
  <c r="D2402" i="16"/>
  <c r="J2402" i="16"/>
  <c r="N2402" i="16" s="1"/>
  <c r="P2402" i="16"/>
  <c r="Q2402" i="16"/>
  <c r="R2402" i="16"/>
  <c r="L2403" i="16"/>
  <c r="C2403" i="16"/>
  <c r="K2403" i="16" s="1"/>
  <c r="E2403" i="16"/>
  <c r="F2403" i="16"/>
  <c r="O2403" i="16" s="1"/>
  <c r="G2403" i="16"/>
  <c r="I2403" i="16"/>
  <c r="B2404" i="16"/>
  <c r="K2348" i="16"/>
  <c r="D2348" i="16"/>
  <c r="J2348" i="16"/>
  <c r="Q2348" i="16"/>
  <c r="P2348" i="16"/>
  <c r="R2348" i="16"/>
  <c r="L2349" i="16"/>
  <c r="C2349" i="16"/>
  <c r="E2349" i="16"/>
  <c r="G2349" i="16"/>
  <c r="I2349" i="16"/>
  <c r="B2350" i="16"/>
  <c r="U2347" i="16"/>
  <c r="S2347" i="16"/>
  <c r="T2347" i="16" s="1"/>
  <c r="D2294" i="16"/>
  <c r="J2294" i="16"/>
  <c r="P2294" i="16"/>
  <c r="Q2294" i="16"/>
  <c r="R2294" i="16"/>
  <c r="L2295" i="16"/>
  <c r="C2295" i="16"/>
  <c r="E2295" i="16"/>
  <c r="G2295" i="16"/>
  <c r="I2295" i="16"/>
  <c r="B2296" i="16"/>
  <c r="K2240" i="16"/>
  <c r="D2240" i="16"/>
  <c r="J2240" i="16"/>
  <c r="P2240" i="16"/>
  <c r="Q2240" i="16"/>
  <c r="R2240" i="16"/>
  <c r="L2241" i="16"/>
  <c r="E2241" i="16"/>
  <c r="C2241" i="16"/>
  <c r="K2241" i="16" s="1"/>
  <c r="F2241" i="16"/>
  <c r="G2241" i="16"/>
  <c r="I2241" i="16"/>
  <c r="B2242" i="16"/>
  <c r="I2237" i="16"/>
  <c r="U2239" i="16"/>
  <c r="K2186" i="16"/>
  <c r="D2186" i="16"/>
  <c r="J2186" i="16"/>
  <c r="P2186" i="16"/>
  <c r="Q2186" i="16"/>
  <c r="R2186" i="16"/>
  <c r="L2187" i="16"/>
  <c r="C2187" i="16"/>
  <c r="K2187" i="16" s="1"/>
  <c r="E2187" i="16"/>
  <c r="F2187" i="16"/>
  <c r="O2187" i="16" s="1"/>
  <c r="G2187" i="16"/>
  <c r="I2187" i="16"/>
  <c r="B2188" i="16"/>
  <c r="U2185" i="16"/>
  <c r="S2185" i="16"/>
  <c r="T2185" i="16" s="1"/>
  <c r="L2133" i="16"/>
  <c r="C2133" i="16"/>
  <c r="K2133" i="16" s="1"/>
  <c r="E2133" i="16"/>
  <c r="F2133" i="16"/>
  <c r="O2133" i="16" s="1"/>
  <c r="G2133" i="16"/>
  <c r="I2133" i="16"/>
  <c r="B2134" i="16"/>
  <c r="K2132" i="16"/>
  <c r="D2132" i="16"/>
  <c r="J2132" i="16"/>
  <c r="P2132" i="16"/>
  <c r="Q2132" i="16"/>
  <c r="R2132" i="16"/>
  <c r="U2131" i="16"/>
  <c r="S2131" i="16"/>
  <c r="T2131" i="16" s="1"/>
  <c r="D2078" i="16"/>
  <c r="J2078" i="16"/>
  <c r="N2078" i="16" s="1"/>
  <c r="P2078" i="16"/>
  <c r="Q2078" i="16"/>
  <c r="R2078" i="16"/>
  <c r="L2079" i="16"/>
  <c r="C2079" i="16"/>
  <c r="K2079" i="16" s="1"/>
  <c r="E2079" i="16"/>
  <c r="F2079" i="16"/>
  <c r="O2079" i="16" s="1"/>
  <c r="G2079" i="16"/>
  <c r="I2079" i="16"/>
  <c r="B2080" i="16"/>
  <c r="D2024" i="16"/>
  <c r="J2024" i="16"/>
  <c r="N2024" i="16" s="1"/>
  <c r="P2024" i="16"/>
  <c r="Q2024" i="16"/>
  <c r="R2024" i="16"/>
  <c r="L2025" i="16"/>
  <c r="C2025" i="16"/>
  <c r="E2025" i="16"/>
  <c r="G2025" i="16"/>
  <c r="I2025" i="16"/>
  <c r="B2026" i="16"/>
  <c r="D1970" i="16"/>
  <c r="J1970" i="16"/>
  <c r="P1970" i="16"/>
  <c r="Q1970" i="16"/>
  <c r="R1970" i="16"/>
  <c r="L1971" i="16"/>
  <c r="C1971" i="16"/>
  <c r="E1971" i="16"/>
  <c r="G1971" i="16"/>
  <c r="I1971" i="16"/>
  <c r="B1972" i="16"/>
  <c r="D1916" i="16"/>
  <c r="J1916" i="16"/>
  <c r="P1916" i="16"/>
  <c r="Q1916" i="16"/>
  <c r="R1916" i="16"/>
  <c r="L1917" i="16"/>
  <c r="C1917" i="16"/>
  <c r="K1917" i="16" s="1"/>
  <c r="E1917" i="16"/>
  <c r="F1917" i="16"/>
  <c r="O1917" i="16" s="1"/>
  <c r="G1917" i="16"/>
  <c r="I1917" i="16"/>
  <c r="B1918" i="16"/>
  <c r="K1862" i="16"/>
  <c r="D1862" i="16"/>
  <c r="J1862" i="16"/>
  <c r="P1862" i="16"/>
  <c r="Q1862" i="16"/>
  <c r="R1862" i="16"/>
  <c r="L1863" i="16"/>
  <c r="C1863" i="16"/>
  <c r="E1863" i="16"/>
  <c r="G1863" i="16"/>
  <c r="I1863" i="16"/>
  <c r="B1864" i="16"/>
  <c r="K1808" i="16"/>
  <c r="D1808" i="16"/>
  <c r="J1808" i="16"/>
  <c r="P1808" i="16"/>
  <c r="Q1808" i="16"/>
  <c r="R1808" i="16"/>
  <c r="L1809" i="16"/>
  <c r="C1809" i="16"/>
  <c r="K1809" i="16" s="1"/>
  <c r="E1809" i="16"/>
  <c r="F1809" i="16"/>
  <c r="O1809" i="16" s="1"/>
  <c r="G1809" i="16"/>
  <c r="I1809" i="16"/>
  <c r="B1810" i="16"/>
  <c r="K1754" i="16"/>
  <c r="D1754" i="16"/>
  <c r="J1754" i="16"/>
  <c r="P1754" i="16"/>
  <c r="Q1754" i="16"/>
  <c r="R1754" i="16"/>
  <c r="L1755" i="16"/>
  <c r="C1755" i="16"/>
  <c r="E1755" i="16"/>
  <c r="G1755" i="16"/>
  <c r="I1755" i="16"/>
  <c r="B1756" i="16"/>
  <c r="K1700" i="16"/>
  <c r="D1700" i="16"/>
  <c r="J1700" i="16"/>
  <c r="P1700" i="16"/>
  <c r="Q1700" i="16"/>
  <c r="R1700" i="16"/>
  <c r="L1701" i="16"/>
  <c r="C1701" i="16"/>
  <c r="K1701" i="16" s="1"/>
  <c r="E1701" i="16"/>
  <c r="F1701" i="16"/>
  <c r="O1701" i="16" s="1"/>
  <c r="G1701" i="16"/>
  <c r="I1701" i="16"/>
  <c r="B1702" i="16"/>
  <c r="U1699" i="16"/>
  <c r="S1699" i="16"/>
  <c r="T1699" i="16" s="1"/>
  <c r="K1646" i="16"/>
  <c r="D1646" i="16"/>
  <c r="J1646" i="16"/>
  <c r="P1646" i="16"/>
  <c r="Q1646" i="16"/>
  <c r="R1646" i="16"/>
  <c r="L1647" i="16"/>
  <c r="C1647" i="16"/>
  <c r="K1647" i="16" s="1"/>
  <c r="E1647" i="16"/>
  <c r="F1647" i="16"/>
  <c r="O1647" i="16" s="1"/>
  <c r="G1647" i="16"/>
  <c r="I1647" i="16"/>
  <c r="B1648" i="16"/>
  <c r="K1592" i="16"/>
  <c r="D1592" i="16"/>
  <c r="J1592" i="16"/>
  <c r="P1592" i="16"/>
  <c r="Q1592" i="16"/>
  <c r="R1592" i="16"/>
  <c r="L1593" i="16"/>
  <c r="C1593" i="16"/>
  <c r="K1593" i="16" s="1"/>
  <c r="E1593" i="16"/>
  <c r="F1593" i="16"/>
  <c r="O1593" i="16" s="1"/>
  <c r="G1593" i="16"/>
  <c r="I1593" i="16"/>
  <c r="B1594" i="16"/>
  <c r="K1538" i="16"/>
  <c r="D1538" i="16"/>
  <c r="J1538" i="16"/>
  <c r="P1538" i="16"/>
  <c r="Q1538" i="16"/>
  <c r="R1538" i="16"/>
  <c r="L1539" i="16"/>
  <c r="C1539" i="16"/>
  <c r="E1539" i="16"/>
  <c r="G1539" i="16"/>
  <c r="I1539" i="16"/>
  <c r="B1540" i="16"/>
  <c r="U1537" i="16"/>
  <c r="S1537" i="16"/>
  <c r="T1537" i="16" s="1"/>
  <c r="K1484" i="16"/>
  <c r="D1484" i="16"/>
  <c r="J1484" i="16"/>
  <c r="P1484" i="16"/>
  <c r="Q1484" i="16"/>
  <c r="R1484" i="16"/>
  <c r="L1485" i="16"/>
  <c r="C1485" i="16"/>
  <c r="E1485" i="16"/>
  <c r="G1485" i="16"/>
  <c r="B1486" i="16"/>
  <c r="I1485" i="16"/>
  <c r="U1483" i="16"/>
  <c r="S1483" i="16"/>
  <c r="T1483" i="16" s="1"/>
  <c r="P1430" i="16"/>
  <c r="Q1430" i="16"/>
  <c r="R1430" i="16"/>
  <c r="D1430" i="16"/>
  <c r="J1430" i="16"/>
  <c r="L1431" i="16"/>
  <c r="I1431" i="16"/>
  <c r="B1432" i="16"/>
  <c r="C1431" i="16"/>
  <c r="K1431" i="16" s="1"/>
  <c r="E1431" i="16"/>
  <c r="F1431" i="16"/>
  <c r="O1431" i="16" s="1"/>
  <c r="G1431" i="16"/>
  <c r="K1376" i="16"/>
  <c r="J1376" i="16"/>
  <c r="D1376" i="16"/>
  <c r="L1377" i="16"/>
  <c r="E1377" i="16"/>
  <c r="I1377" i="16"/>
  <c r="C1377" i="16"/>
  <c r="G1377" i="16"/>
  <c r="B1378" i="16"/>
  <c r="P1376" i="16"/>
  <c r="Q1376" i="16"/>
  <c r="R1376" i="16"/>
  <c r="U1375" i="16"/>
  <c r="S1375" i="16"/>
  <c r="T1375" i="16" s="1"/>
  <c r="P1322" i="16"/>
  <c r="Q1322" i="16"/>
  <c r="R1322" i="16"/>
  <c r="L1323" i="16"/>
  <c r="E1323" i="16"/>
  <c r="C1323" i="16"/>
  <c r="K1323" i="16" s="1"/>
  <c r="F1323" i="16"/>
  <c r="O1323" i="16" s="1"/>
  <c r="I1323" i="16"/>
  <c r="G1323" i="16"/>
  <c r="B1324" i="16"/>
  <c r="K1322" i="16"/>
  <c r="D1322" i="16"/>
  <c r="J1322" i="16"/>
  <c r="U1321" i="16"/>
  <c r="S1321" i="16"/>
  <c r="T1321" i="16" s="1"/>
  <c r="K1268" i="16"/>
  <c r="J1268" i="16"/>
  <c r="D1268" i="16"/>
  <c r="P1268" i="16"/>
  <c r="Q1268" i="16"/>
  <c r="R1268" i="16"/>
  <c r="L1269" i="16"/>
  <c r="C1269" i="16"/>
  <c r="I1269" i="16"/>
  <c r="B1270" i="16"/>
  <c r="E1269" i="16"/>
  <c r="G1269" i="16"/>
  <c r="U1267" i="16"/>
  <c r="S1267" i="16"/>
  <c r="T1267" i="16" s="1"/>
  <c r="P1215" i="16"/>
  <c r="Q1215" i="16"/>
  <c r="R1215" i="16"/>
  <c r="K1215" i="16"/>
  <c r="J1215" i="16"/>
  <c r="D1215" i="16"/>
  <c r="L1216" i="16"/>
  <c r="G1216" i="16"/>
  <c r="B1217" i="16"/>
  <c r="C1216" i="16"/>
  <c r="E1216" i="16"/>
  <c r="I1216" i="16"/>
  <c r="D1160" i="16"/>
  <c r="J1160" i="16"/>
  <c r="N1160" i="16" s="1"/>
  <c r="P1160" i="16"/>
  <c r="Q1160" i="16"/>
  <c r="R1160" i="16"/>
  <c r="L1161" i="16"/>
  <c r="C1161" i="16"/>
  <c r="K1161" i="16" s="1"/>
  <c r="E1161" i="16"/>
  <c r="F1161" i="16"/>
  <c r="O1161" i="16" s="1"/>
  <c r="G1161" i="16"/>
  <c r="I1161" i="16"/>
  <c r="B1162" i="16"/>
  <c r="K1106" i="16"/>
  <c r="D1106" i="16"/>
  <c r="J1106" i="16"/>
  <c r="P1106" i="16"/>
  <c r="Q1106" i="16"/>
  <c r="R1106" i="16"/>
  <c r="L1107" i="16"/>
  <c r="C1107" i="16"/>
  <c r="E1107" i="16"/>
  <c r="G1107" i="16"/>
  <c r="I1107" i="16"/>
  <c r="B1108" i="16"/>
  <c r="U1105" i="16"/>
  <c r="S1105" i="16"/>
  <c r="T1105" i="16" s="1"/>
  <c r="K1052" i="16"/>
  <c r="D1052" i="16"/>
  <c r="J1052" i="16"/>
  <c r="P1052" i="16"/>
  <c r="Q1052" i="16"/>
  <c r="R1052" i="16"/>
  <c r="L1053" i="16"/>
  <c r="C1053" i="16"/>
  <c r="K1053" i="16" s="1"/>
  <c r="E1053" i="16"/>
  <c r="F1053" i="16"/>
  <c r="G1053" i="16"/>
  <c r="I1053" i="16"/>
  <c r="B1054" i="16"/>
  <c r="U1051" i="16"/>
  <c r="L999" i="16"/>
  <c r="B1000" i="16"/>
  <c r="E999" i="16"/>
  <c r="C999" i="16"/>
  <c r="K999" i="16" s="1"/>
  <c r="I999" i="16"/>
  <c r="F999" i="16"/>
  <c r="O999" i="16" s="1"/>
  <c r="G999" i="16"/>
  <c r="D998" i="16"/>
  <c r="J998" i="16"/>
  <c r="N998" i="16" s="1"/>
  <c r="P998" i="16"/>
  <c r="Q998" i="16"/>
  <c r="R998" i="16"/>
  <c r="D944" i="16"/>
  <c r="J944" i="16"/>
  <c r="N944" i="16" s="1"/>
  <c r="P944" i="16"/>
  <c r="Q944" i="16"/>
  <c r="R944" i="16"/>
  <c r="L945" i="16"/>
  <c r="C945" i="16"/>
  <c r="E945" i="16"/>
  <c r="G945" i="16"/>
  <c r="I945" i="16"/>
  <c r="B946" i="16"/>
  <c r="K890" i="16"/>
  <c r="D890" i="16"/>
  <c r="J890" i="16"/>
  <c r="P890" i="16"/>
  <c r="Q890" i="16"/>
  <c r="R890" i="16"/>
  <c r="L891" i="16"/>
  <c r="C891" i="16"/>
  <c r="E891" i="16"/>
  <c r="G891" i="16"/>
  <c r="I891" i="16"/>
  <c r="B892" i="16"/>
  <c r="U889" i="16"/>
  <c r="S889" i="16"/>
  <c r="T889" i="16" s="1"/>
  <c r="K836" i="16"/>
  <c r="D836" i="16"/>
  <c r="J836" i="16"/>
  <c r="Q836" i="16"/>
  <c r="P836" i="16"/>
  <c r="R836" i="16"/>
  <c r="L837" i="16"/>
  <c r="C837" i="16"/>
  <c r="E837" i="16"/>
  <c r="G837" i="16"/>
  <c r="I837" i="16"/>
  <c r="B838" i="16"/>
  <c r="U835" i="16"/>
  <c r="S835" i="16"/>
  <c r="T835" i="16" s="1"/>
  <c r="K782" i="16"/>
  <c r="D782" i="16"/>
  <c r="J782" i="16"/>
  <c r="P782" i="16"/>
  <c r="Q782" i="16"/>
  <c r="R782" i="16"/>
  <c r="L783" i="16"/>
  <c r="C783" i="16"/>
  <c r="K783" i="16" s="1"/>
  <c r="E783" i="16"/>
  <c r="F783" i="16"/>
  <c r="O783" i="16" s="1"/>
  <c r="G783" i="16"/>
  <c r="I783" i="16"/>
  <c r="B784" i="16"/>
  <c r="U781" i="16"/>
  <c r="S781" i="16"/>
  <c r="T781" i="16" s="1"/>
  <c r="D728" i="16"/>
  <c r="J728" i="16"/>
  <c r="Q728" i="16"/>
  <c r="P728" i="16"/>
  <c r="R728" i="16"/>
  <c r="L729" i="16"/>
  <c r="C729" i="16"/>
  <c r="K729" i="16" s="1"/>
  <c r="E729" i="16"/>
  <c r="F729" i="16"/>
  <c r="O729" i="16" s="1"/>
  <c r="G729" i="16"/>
  <c r="I729" i="16"/>
  <c r="B730" i="16"/>
  <c r="K674" i="16"/>
  <c r="D674" i="16"/>
  <c r="J674" i="16"/>
  <c r="Q674" i="16"/>
  <c r="P674" i="16"/>
  <c r="R674" i="16"/>
  <c r="L675" i="16"/>
  <c r="C675" i="16"/>
  <c r="K675" i="16" s="1"/>
  <c r="E675" i="16"/>
  <c r="F675" i="16"/>
  <c r="O675" i="16" s="1"/>
  <c r="G675" i="16"/>
  <c r="I675" i="16"/>
  <c r="B676" i="16"/>
  <c r="U673" i="16"/>
  <c r="S673" i="16"/>
  <c r="T673" i="16" s="1"/>
  <c r="K620" i="16"/>
  <c r="D620" i="16"/>
  <c r="J620" i="16"/>
  <c r="Q620" i="16"/>
  <c r="P620" i="16"/>
  <c r="R620" i="16"/>
  <c r="L621" i="16"/>
  <c r="C621" i="16"/>
  <c r="E621" i="16"/>
  <c r="G621" i="16"/>
  <c r="I621" i="16"/>
  <c r="B622" i="16"/>
  <c r="U619" i="16"/>
  <c r="K566" i="16"/>
  <c r="D566" i="16"/>
  <c r="J566" i="16"/>
  <c r="P566" i="16"/>
  <c r="Q566" i="16"/>
  <c r="R566" i="16"/>
  <c r="L567" i="16"/>
  <c r="C567" i="16"/>
  <c r="K567" i="16" s="1"/>
  <c r="E567" i="16"/>
  <c r="F567" i="16"/>
  <c r="O567" i="16" s="1"/>
  <c r="G567" i="16"/>
  <c r="I567" i="16"/>
  <c r="B568" i="16"/>
  <c r="U565" i="16"/>
  <c r="S565" i="16"/>
  <c r="T565" i="16" s="1"/>
  <c r="D512" i="16"/>
  <c r="J512" i="16"/>
  <c r="N512" i="16" s="1"/>
  <c r="Q512" i="16"/>
  <c r="P512" i="16"/>
  <c r="R512" i="16"/>
  <c r="L513" i="16"/>
  <c r="C513" i="16"/>
  <c r="K513" i="16" s="1"/>
  <c r="E513" i="16"/>
  <c r="F513" i="16"/>
  <c r="O513" i="16" s="1"/>
  <c r="G513" i="16"/>
  <c r="I513" i="16"/>
  <c r="B514" i="16"/>
  <c r="K458" i="16"/>
  <c r="D458" i="16"/>
  <c r="J458" i="16"/>
  <c r="P458" i="16"/>
  <c r="Q458" i="16"/>
  <c r="R458" i="16"/>
  <c r="L459" i="16"/>
  <c r="C459" i="16"/>
  <c r="K459" i="16" s="1"/>
  <c r="E459" i="16"/>
  <c r="F459" i="16"/>
  <c r="O459" i="16" s="1"/>
  <c r="G459" i="16"/>
  <c r="I459" i="16"/>
  <c r="B460" i="16"/>
  <c r="U457" i="16"/>
  <c r="S457" i="16"/>
  <c r="T457" i="16" s="1"/>
  <c r="K404" i="16"/>
  <c r="D404" i="16"/>
  <c r="J404" i="16"/>
  <c r="P404" i="16"/>
  <c r="Q404" i="16"/>
  <c r="R404" i="16"/>
  <c r="L405" i="16"/>
  <c r="C405" i="16"/>
  <c r="K405" i="16" s="1"/>
  <c r="E405" i="16"/>
  <c r="F405" i="16"/>
  <c r="O405" i="16" s="1"/>
  <c r="G405" i="16"/>
  <c r="I405" i="16"/>
  <c r="B406" i="16"/>
  <c r="U403" i="16"/>
  <c r="S403" i="16"/>
  <c r="T403" i="16" s="1"/>
  <c r="L351" i="16"/>
  <c r="E351" i="16"/>
  <c r="G351" i="16"/>
  <c r="I351" i="16"/>
  <c r="C351" i="16"/>
  <c r="B352" i="16"/>
  <c r="K350" i="16"/>
  <c r="J350" i="16"/>
  <c r="D350" i="16"/>
  <c r="P350" i="16"/>
  <c r="Q350" i="16"/>
  <c r="R350" i="16"/>
  <c r="U349" i="16"/>
  <c r="S349" i="16"/>
  <c r="T349" i="16" s="1"/>
  <c r="D296" i="16"/>
  <c r="J296" i="16"/>
  <c r="N296" i="16" s="1"/>
  <c r="P296" i="16"/>
  <c r="Q296" i="16"/>
  <c r="R296" i="16"/>
  <c r="L297" i="16"/>
  <c r="C297" i="16"/>
  <c r="E297" i="16"/>
  <c r="G297" i="16"/>
  <c r="I297" i="16"/>
  <c r="B298" i="16"/>
  <c r="D242" i="16"/>
  <c r="J242" i="16"/>
  <c r="N242" i="16" s="1"/>
  <c r="P242" i="16"/>
  <c r="Q242" i="16"/>
  <c r="R242" i="16"/>
  <c r="L243" i="16"/>
  <c r="C243" i="16"/>
  <c r="E243" i="16"/>
  <c r="G243" i="16"/>
  <c r="I243" i="16"/>
  <c r="B244" i="16"/>
  <c r="D188" i="16"/>
  <c r="J188" i="16"/>
  <c r="N188" i="16" s="1"/>
  <c r="P188" i="16"/>
  <c r="Q188" i="16"/>
  <c r="R188" i="16"/>
  <c r="L189" i="16"/>
  <c r="C189" i="16"/>
  <c r="E189" i="16"/>
  <c r="G189" i="16"/>
  <c r="I189" i="16"/>
  <c r="B190" i="16"/>
  <c r="D134" i="16"/>
  <c r="J134" i="16"/>
  <c r="N134" i="16" s="1"/>
  <c r="P134" i="16"/>
  <c r="Q134" i="16"/>
  <c r="R134" i="16"/>
  <c r="L135" i="16"/>
  <c r="C135" i="16"/>
  <c r="K135" i="16" s="1"/>
  <c r="E135" i="16"/>
  <c r="F135" i="16"/>
  <c r="O135" i="16" s="1"/>
  <c r="G135" i="16"/>
  <c r="I135" i="16"/>
  <c r="B136" i="16"/>
  <c r="D80" i="16"/>
  <c r="J80" i="16"/>
  <c r="N80" i="16" s="1"/>
  <c r="P80" i="16"/>
  <c r="Q80" i="16"/>
  <c r="R80" i="16"/>
  <c r="C81" i="16"/>
  <c r="K81" i="16" s="1"/>
  <c r="E81" i="16"/>
  <c r="F81" i="16"/>
  <c r="O81" i="16" s="1"/>
  <c r="G81" i="16"/>
  <c r="I81" i="16"/>
  <c r="B82" i="16"/>
  <c r="B31" i="9"/>
  <c r="C31" i="9"/>
  <c r="D31" i="9"/>
  <c r="E31" i="9"/>
  <c r="N31" i="9"/>
  <c r="O31" i="9"/>
  <c r="P31" i="9"/>
  <c r="Q31" i="9"/>
  <c r="R31" i="9"/>
  <c r="S31" i="9"/>
  <c r="T31" i="9"/>
  <c r="U31" i="9"/>
  <c r="V31" i="9"/>
  <c r="W31" i="9"/>
  <c r="X31" i="9"/>
  <c r="Y31" i="9"/>
  <c r="Z31" i="9"/>
  <c r="B25" i="9"/>
  <c r="N25" i="9"/>
  <c r="Z25" i="9"/>
  <c r="B24" i="9"/>
  <c r="N24" i="9"/>
  <c r="Z24" i="9"/>
  <c r="B26" i="9"/>
  <c r="C26" i="9"/>
  <c r="D26" i="9"/>
  <c r="E26" i="9"/>
  <c r="N26" i="9"/>
  <c r="O26" i="9"/>
  <c r="T26" i="9"/>
  <c r="V26" i="9"/>
  <c r="Z26" i="9"/>
  <c r="B22" i="9"/>
  <c r="C22" i="9"/>
  <c r="D22" i="9"/>
  <c r="E22" i="9"/>
  <c r="N22" i="9"/>
  <c r="O22" i="9"/>
  <c r="T22" i="9"/>
  <c r="V22" i="9"/>
  <c r="Z22" i="9"/>
  <c r="B27" i="9"/>
  <c r="C27" i="9"/>
  <c r="D27" i="9"/>
  <c r="E27" i="9"/>
  <c r="N27" i="9"/>
  <c r="O27" i="9"/>
  <c r="T27" i="9"/>
  <c r="V27" i="9"/>
  <c r="Z27" i="9"/>
  <c r="B23" i="9"/>
  <c r="C23" i="9"/>
  <c r="D23" i="9"/>
  <c r="E23" i="9"/>
  <c r="N23" i="9"/>
  <c r="O23" i="9"/>
  <c r="T23" i="9"/>
  <c r="V23" i="9"/>
  <c r="Z23" i="9"/>
  <c r="B28" i="9"/>
  <c r="C28" i="9"/>
  <c r="D28" i="9"/>
  <c r="E28" i="9"/>
  <c r="N28" i="9"/>
  <c r="O28" i="9"/>
  <c r="T28" i="9"/>
  <c r="V28" i="9"/>
  <c r="Z28" i="9"/>
  <c r="B29" i="9"/>
  <c r="C29" i="9"/>
  <c r="D29" i="9"/>
  <c r="E29" i="9"/>
  <c r="N29" i="9"/>
  <c r="O29" i="9"/>
  <c r="P29" i="9"/>
  <c r="Q29" i="9"/>
  <c r="R29" i="9"/>
  <c r="S29" i="9"/>
  <c r="T29" i="9"/>
  <c r="U29" i="9"/>
  <c r="V29" i="9"/>
  <c r="W29" i="9"/>
  <c r="X29" i="9"/>
  <c r="Y29" i="9"/>
  <c r="Z29" i="9"/>
  <c r="B30" i="9"/>
  <c r="C30" i="9"/>
  <c r="D30" i="9"/>
  <c r="E30" i="9"/>
  <c r="N30" i="9"/>
  <c r="O30" i="9"/>
  <c r="P30" i="9"/>
  <c r="Q30" i="9"/>
  <c r="R30" i="9"/>
  <c r="S30" i="9"/>
  <c r="T30" i="9"/>
  <c r="U30" i="9"/>
  <c r="V30" i="9"/>
  <c r="W30" i="9"/>
  <c r="X30" i="9"/>
  <c r="Y30" i="9"/>
  <c r="Z30" i="9"/>
  <c r="B8" i="9"/>
  <c r="C8" i="9"/>
  <c r="D8" i="9"/>
  <c r="E8" i="9"/>
  <c r="N8" i="9"/>
  <c r="T8" i="9"/>
  <c r="V8" i="9"/>
  <c r="Z8" i="9"/>
  <c r="B9" i="9"/>
  <c r="C9" i="9"/>
  <c r="D9" i="9"/>
  <c r="E9" i="9"/>
  <c r="N9" i="9"/>
  <c r="O9" i="9"/>
  <c r="T9" i="9"/>
  <c r="V9" i="9"/>
  <c r="Z9" i="9"/>
  <c r="B10" i="9"/>
  <c r="C10" i="9"/>
  <c r="D10" i="9"/>
  <c r="E10" i="9"/>
  <c r="N10" i="9"/>
  <c r="O10" i="9"/>
  <c r="T10" i="9"/>
  <c r="V10" i="9"/>
  <c r="Z10" i="9"/>
  <c r="B11" i="9"/>
  <c r="C11" i="9"/>
  <c r="D11" i="9"/>
  <c r="E11" i="9"/>
  <c r="N11" i="9"/>
  <c r="O11" i="9"/>
  <c r="T11" i="9"/>
  <c r="V11" i="9"/>
  <c r="Z11" i="9"/>
  <c r="B12" i="9"/>
  <c r="C12" i="9"/>
  <c r="D12" i="9"/>
  <c r="E12" i="9"/>
  <c r="N12" i="9"/>
  <c r="O12" i="9"/>
  <c r="T12" i="9"/>
  <c r="V12" i="9"/>
  <c r="Z12" i="9"/>
  <c r="B13" i="9"/>
  <c r="N13" i="9"/>
  <c r="O13" i="9"/>
  <c r="T13" i="9"/>
  <c r="V13" i="9"/>
  <c r="Z13" i="9"/>
  <c r="B14" i="9"/>
  <c r="N14" i="9"/>
  <c r="O14" i="9"/>
  <c r="T14" i="9"/>
  <c r="V14" i="9"/>
  <c r="Z14" i="9"/>
  <c r="B15" i="9"/>
  <c r="N15" i="9"/>
  <c r="Z15" i="9"/>
  <c r="B16" i="9"/>
  <c r="N16" i="9"/>
  <c r="O16" i="9"/>
  <c r="T16" i="9"/>
  <c r="V16" i="9"/>
  <c r="Z16" i="9"/>
  <c r="B17" i="9"/>
  <c r="E17" i="9"/>
  <c r="N17" i="9"/>
  <c r="O17" i="9"/>
  <c r="T17" i="9"/>
  <c r="V17" i="9"/>
  <c r="Z17" i="9"/>
  <c r="B18" i="9"/>
  <c r="C18" i="9"/>
  <c r="D18" i="9"/>
  <c r="E18" i="9"/>
  <c r="N18" i="9"/>
  <c r="O18" i="9"/>
  <c r="T18" i="9"/>
  <c r="V18" i="9"/>
  <c r="Z18" i="9"/>
  <c r="B19" i="9"/>
  <c r="C19" i="9"/>
  <c r="D19" i="9"/>
  <c r="E19" i="9"/>
  <c r="N19" i="9"/>
  <c r="O19" i="9"/>
  <c r="T19" i="9"/>
  <c r="V19" i="9"/>
  <c r="Z19" i="9"/>
  <c r="B20" i="9"/>
  <c r="C20" i="9"/>
  <c r="D20" i="9"/>
  <c r="E20" i="9"/>
  <c r="N20" i="9"/>
  <c r="O20" i="9"/>
  <c r="T20" i="9"/>
  <c r="V20" i="9"/>
  <c r="Z20" i="9"/>
  <c r="B21" i="9"/>
  <c r="C21" i="9"/>
  <c r="D21" i="9"/>
  <c r="E21" i="9"/>
  <c r="N21" i="9"/>
  <c r="O21" i="9"/>
  <c r="T21" i="9"/>
  <c r="V21" i="9"/>
  <c r="Z21" i="9"/>
  <c r="K18" i="4"/>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E4331" i="16"/>
  <c r="F4331" i="16"/>
  <c r="E4330" i="16"/>
  <c r="F4330" i="16"/>
  <c r="G4330" i="16"/>
  <c r="H4330" i="16"/>
  <c r="I4330" i="16"/>
  <c r="E4329" i="16"/>
  <c r="F4329" i="16"/>
  <c r="G4329" i="16"/>
  <c r="I4329" i="16" s="1"/>
  <c r="H4329" i="16"/>
  <c r="E4328" i="16"/>
  <c r="F4328" i="16"/>
  <c r="G4328" i="16"/>
  <c r="I4328" i="16" s="1"/>
  <c r="H4328" i="16"/>
  <c r="E4327" i="16"/>
  <c r="G4326" i="16" s="1"/>
  <c r="I4326" i="16" s="1"/>
  <c r="F4327" i="16"/>
  <c r="E4326" i="16"/>
  <c r="F4326" i="16"/>
  <c r="H4326" i="16"/>
  <c r="E4325" i="16"/>
  <c r="F4325" i="16"/>
  <c r="G4325" i="16"/>
  <c r="H4325" i="16"/>
  <c r="I4325" i="16"/>
  <c r="E4324" i="16"/>
  <c r="F4324" i="16"/>
  <c r="G4324" i="16"/>
  <c r="H4324" i="16"/>
  <c r="I4324" i="16"/>
  <c r="E4323" i="16"/>
  <c r="F4323" i="16"/>
  <c r="G4323" i="16"/>
  <c r="H4323" i="16"/>
  <c r="I4323" i="16"/>
  <c r="E4322" i="16"/>
  <c r="H4322" i="16" s="1"/>
  <c r="F4322" i="16"/>
  <c r="G4322" i="16"/>
  <c r="E4321" i="16"/>
  <c r="F4321" i="16"/>
  <c r="G4321" i="16"/>
  <c r="H4321" i="16"/>
  <c r="I4321" i="16"/>
  <c r="E4320" i="16"/>
  <c r="F4320" i="16"/>
  <c r="E4319" i="16"/>
  <c r="F4319" i="16"/>
  <c r="G4319" i="16"/>
  <c r="H4319" i="16"/>
  <c r="I4319" i="16"/>
  <c r="E4318" i="16"/>
  <c r="F4318" i="16"/>
  <c r="E4317" i="16"/>
  <c r="F4317" i="16"/>
  <c r="G4317" i="16"/>
  <c r="H4317" i="16"/>
  <c r="I4317" i="16"/>
  <c r="E4316" i="16"/>
  <c r="F4316" i="16"/>
  <c r="G4316" i="16"/>
  <c r="H4316" i="16"/>
  <c r="I4316" i="16"/>
  <c r="E4315" i="16"/>
  <c r="F4315" i="16"/>
  <c r="G4315" i="16"/>
  <c r="H4315" i="16"/>
  <c r="I4315" i="16"/>
  <c r="E4314" i="16"/>
  <c r="F4314" i="16"/>
  <c r="G4314" i="16"/>
  <c r="I4314" i="16" s="1"/>
  <c r="H4314" i="16"/>
  <c r="E4313" i="16"/>
  <c r="F4313" i="16"/>
  <c r="G4313" i="16"/>
  <c r="I4313" i="16" s="1"/>
  <c r="H4313" i="16"/>
  <c r="E4312" i="16"/>
  <c r="F4312" i="16"/>
  <c r="G4312" i="16"/>
  <c r="I4312" i="16" s="1"/>
  <c r="H4312" i="16"/>
  <c r="E4311" i="16"/>
  <c r="F4311" i="16"/>
  <c r="E4310" i="16"/>
  <c r="F4310" i="16"/>
  <c r="E4309" i="16"/>
  <c r="F4309" i="16"/>
  <c r="E4308" i="16"/>
  <c r="F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E4302" i="16"/>
  <c r="F4302" i="16"/>
  <c r="G4302" i="16"/>
  <c r="H4302" i="16"/>
  <c r="E4301" i="16"/>
  <c r="F4301" i="16"/>
  <c r="G4301" i="16"/>
  <c r="H4301" i="16"/>
  <c r="E4300" i="16"/>
  <c r="F4300" i="16"/>
  <c r="E4299" i="16"/>
  <c r="F4299" i="16"/>
  <c r="G4299" i="16"/>
  <c r="H4299" i="16"/>
  <c r="E4298" i="16"/>
  <c r="F4298" i="16"/>
  <c r="G4298" i="16"/>
  <c r="H4298" i="16"/>
  <c r="E4297" i="16"/>
  <c r="F4297" i="16"/>
  <c r="E4296" i="16"/>
  <c r="F4296" i="16"/>
  <c r="G4296" i="16"/>
  <c r="E4295" i="16"/>
  <c r="F4295" i="16"/>
  <c r="G4295" i="16"/>
  <c r="H4295" i="16"/>
  <c r="I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c r="E4283" i="16"/>
  <c r="F4283" i="16"/>
  <c r="G4283" i="16"/>
  <c r="H4283" i="16"/>
  <c r="I4283" i="16"/>
  <c r="E4282" i="16"/>
  <c r="F4282" i="16"/>
  <c r="E4281" i="16"/>
  <c r="F4281" i="16"/>
  <c r="G4281" i="16"/>
  <c r="H4281" i="16"/>
  <c r="I4281" i="16"/>
  <c r="E4280" i="16"/>
  <c r="F4280" i="16"/>
  <c r="G4280" i="16"/>
  <c r="H4280" i="16"/>
  <c r="I4280" i="16"/>
  <c r="E4279" i="16"/>
  <c r="F4279" i="16"/>
  <c r="E4278" i="16"/>
  <c r="F4278" i="16"/>
  <c r="G4278" i="16"/>
  <c r="H4278" i="16"/>
  <c r="I4278" i="16"/>
  <c r="E4277" i="16"/>
  <c r="F4277" i="16"/>
  <c r="G4277" i="16"/>
  <c r="H4277" i="16"/>
  <c r="I4277" i="16"/>
  <c r="E4276" i="16"/>
  <c r="F4276" i="16"/>
  <c r="G4276" i="16"/>
  <c r="H4276" i="16"/>
  <c r="I4276" i="16"/>
  <c r="E4275" i="16"/>
  <c r="F4275" i="16"/>
  <c r="E4274" i="16"/>
  <c r="F4274" i="16"/>
  <c r="G4274" i="16"/>
  <c r="H4274" i="16"/>
  <c r="I4274" i="16"/>
  <c r="E4273" i="16"/>
  <c r="F4273" i="16"/>
  <c r="E4272" i="16"/>
  <c r="F4272" i="16"/>
  <c r="G4272" i="16"/>
  <c r="I4272" i="16" s="1"/>
  <c r="H4272" i="16"/>
  <c r="E4271" i="16"/>
  <c r="F4271" i="16"/>
  <c r="G4271" i="16"/>
  <c r="I4271" i="16" s="1"/>
  <c r="H4271" i="16"/>
  <c r="E4270" i="16"/>
  <c r="F4270" i="16"/>
  <c r="E4269" i="16"/>
  <c r="F4269" i="16"/>
  <c r="K4567" i="16"/>
  <c r="I4567" i="16"/>
  <c r="E4268" i="16"/>
  <c r="F4268" i="16"/>
  <c r="H4268" i="16"/>
  <c r="M3643" i="16"/>
  <c r="N3643" i="16"/>
  <c r="Z70" i="16"/>
  <c r="M3589" i="16"/>
  <c r="N3589" i="16"/>
  <c r="U3427" i="16"/>
  <c r="S3427" i="16"/>
  <c r="T3427" i="16" s="1"/>
  <c r="U3373" i="16"/>
  <c r="S3373" i="16"/>
  <c r="T3373" i="16" s="1"/>
  <c r="U2941" i="16"/>
  <c r="S2941" i="16"/>
  <c r="T2941" i="16" s="1"/>
  <c r="U2887" i="16"/>
  <c r="S2887" i="16"/>
  <c r="T2887" i="16" s="1"/>
  <c r="U2833" i="16"/>
  <c r="S2833" i="16"/>
  <c r="T2833" i="16" s="1"/>
  <c r="U2725" i="16"/>
  <c r="S2725" i="16"/>
  <c r="T2725" i="16" s="1"/>
  <c r="U2671" i="16"/>
  <c r="S2671" i="16"/>
  <c r="T2671" i="16" s="1"/>
  <c r="U2617" i="16"/>
  <c r="S2617" i="16"/>
  <c r="T2617" i="16" s="1"/>
  <c r="U1861" i="16"/>
  <c r="S1861" i="16"/>
  <c r="T1861" i="16" s="1"/>
  <c r="U1807" i="16"/>
  <c r="S1807" i="16"/>
  <c r="T1807" i="16" s="1"/>
  <c r="U1753" i="16"/>
  <c r="S1753" i="16"/>
  <c r="T1753" i="16" s="1"/>
  <c r="U1645" i="16"/>
  <c r="S1645" i="16"/>
  <c r="T1645" i="16" s="1"/>
  <c r="U1591" i="16"/>
  <c r="S1591" i="16"/>
  <c r="T1591" i="16" s="1"/>
  <c r="U1213" i="16"/>
  <c r="S1213" i="16"/>
  <c r="T1213" i="16" s="1"/>
  <c r="U1214" i="16"/>
  <c r="S1214" i="16"/>
  <c r="T1214" i="16" s="1"/>
  <c r="U943" i="16"/>
  <c r="S943" i="16"/>
  <c r="T943" i="16" s="1"/>
  <c r="U727" i="16"/>
  <c r="S727" i="16"/>
  <c r="T727" i="16" s="1"/>
  <c r="U511" i="16"/>
  <c r="S511" i="16"/>
  <c r="T511" i="16" s="1"/>
  <c r="U295" i="16"/>
  <c r="S295" i="16"/>
  <c r="T295" i="16" s="1"/>
  <c r="U241" i="16"/>
  <c r="S241" i="16"/>
  <c r="T241" i="16" s="1"/>
  <c r="U187" i="16"/>
  <c r="S187" i="16"/>
  <c r="T187" i="16" s="1"/>
  <c r="M79" i="16"/>
  <c r="N79" i="16"/>
  <c r="M80" i="16"/>
  <c r="Z4" i="16"/>
  <c r="C19" i="6"/>
  <c r="C9" i="6"/>
  <c r="C13" i="6"/>
  <c r="C16" i="6"/>
  <c r="L12" i="5" s="1"/>
  <c r="G15" i="13" s="1"/>
  <c r="C17" i="6"/>
  <c r="C24" i="6"/>
  <c r="C25" i="6"/>
  <c r="E10" i="13"/>
  <c r="G10" i="13" s="1"/>
  <c r="C8" i="6"/>
  <c r="C10" i="6"/>
  <c r="C12" i="6"/>
  <c r="C14" i="6"/>
  <c r="C15" i="6"/>
  <c r="C18" i="6"/>
  <c r="C20" i="6"/>
  <c r="G65" i="9" s="1"/>
  <c r="C21" i="6"/>
  <c r="C23" i="6"/>
  <c r="N4213" i="16"/>
  <c r="M4213" i="16"/>
  <c r="M3428" i="16"/>
  <c r="M3374" i="16"/>
  <c r="N3319" i="16"/>
  <c r="M3319" i="16"/>
  <c r="M2996" i="16"/>
  <c r="M2618" i="16"/>
  <c r="M2510" i="16"/>
  <c r="N2509" i="16"/>
  <c r="M2509" i="16"/>
  <c r="N2455" i="16"/>
  <c r="M2455" i="16"/>
  <c r="M2456" i="16"/>
  <c r="N2401" i="16"/>
  <c r="M2401" i="16"/>
  <c r="M2402" i="16"/>
  <c r="N2293" i="16"/>
  <c r="M2293" i="16"/>
  <c r="N2077" i="16"/>
  <c r="M2077" i="16"/>
  <c r="M2078" i="16"/>
  <c r="M2024" i="16"/>
  <c r="N2023" i="16"/>
  <c r="M2023" i="16"/>
  <c r="N1969" i="16"/>
  <c r="M1969" i="16"/>
  <c r="N1915" i="16"/>
  <c r="M1915" i="16"/>
  <c r="M1429" i="16"/>
  <c r="N1429" i="16"/>
  <c r="M1160" i="16"/>
  <c r="N1159" i="16"/>
  <c r="M1159" i="16"/>
  <c r="M998" i="16"/>
  <c r="M997" i="16"/>
  <c r="N997" i="16"/>
  <c r="M944" i="16"/>
  <c r="I617" i="16"/>
  <c r="O619" i="16" s="1"/>
  <c r="S619" i="16" s="1"/>
  <c r="T619" i="16" s="1"/>
  <c r="M512" i="16"/>
  <c r="M296" i="16"/>
  <c r="M242" i="16"/>
  <c r="M188" i="16"/>
  <c r="N133" i="16"/>
  <c r="M133" i="16"/>
  <c r="M134" i="16"/>
  <c r="D17" i="5"/>
  <c r="C37" i="17"/>
  <c r="D37" i="17" s="1"/>
  <c r="Z69" i="16"/>
  <c r="O2510" i="16"/>
  <c r="O620" i="16"/>
  <c r="I4513" i="16"/>
  <c r="AM3865" i="16"/>
  <c r="AC3869" i="16"/>
  <c r="S3852" i="16"/>
  <c r="I3851" i="16"/>
  <c r="AC3850" i="16"/>
  <c r="S3849" i="16"/>
  <c r="AC3848" i="16"/>
  <c r="AC3847" i="16"/>
  <c r="I3847" i="16"/>
  <c r="AM3845" i="16"/>
  <c r="I3844" i="16"/>
  <c r="AM3843" i="16"/>
  <c r="AM3832" i="16"/>
  <c r="S3832" i="16"/>
  <c r="AC3831" i="16"/>
  <c r="S3831" i="16"/>
  <c r="I3831" i="16"/>
  <c r="S3830" i="16"/>
  <c r="AM3829" i="16"/>
  <c r="S3829" i="16"/>
  <c r="AM3828" i="16"/>
  <c r="S3827" i="16"/>
  <c r="AC3826" i="16"/>
  <c r="S3826" i="16"/>
  <c r="I3826" i="16"/>
  <c r="S3818" i="16"/>
  <c r="I3818" i="16"/>
  <c r="AC3817" i="16"/>
  <c r="AM3816" i="16"/>
  <c r="S3816" i="16"/>
  <c r="I3816" i="16"/>
  <c r="AM3815" i="16"/>
  <c r="AC3815" i="16"/>
  <c r="S3815" i="16"/>
  <c r="S3814" i="16"/>
  <c r="I3814" i="16"/>
  <c r="AM3813" i="16"/>
  <c r="AC3813" i="16"/>
  <c r="I3813" i="16"/>
  <c r="AM3811" i="16"/>
  <c r="S3811" i="16"/>
  <c r="I3811" i="16"/>
  <c r="S3809" i="16"/>
  <c r="O2509" i="16"/>
  <c r="O2023" i="16"/>
  <c r="O1969" i="16"/>
  <c r="O2455" i="16"/>
  <c r="O2077" i="16"/>
  <c r="O1429" i="16"/>
  <c r="O133" i="16"/>
  <c r="N4675" i="16"/>
  <c r="U4675" i="16"/>
  <c r="I3749" i="16"/>
  <c r="K3644" i="16"/>
  <c r="F3644" i="16"/>
  <c r="O3644" i="16" s="1"/>
  <c r="L3645" i="16"/>
  <c r="K3590" i="16"/>
  <c r="F3590" i="16"/>
  <c r="O3590" i="16" s="1"/>
  <c r="L3591" i="16"/>
  <c r="I3371" i="16"/>
  <c r="O3374" i="16" s="1"/>
  <c r="O3373" i="16"/>
  <c r="K2294" i="16"/>
  <c r="F2294" i="16"/>
  <c r="O2294" i="16" s="1"/>
  <c r="F1970" i="16"/>
  <c r="O1970" i="16" s="1"/>
  <c r="K1970" i="16"/>
  <c r="K1916" i="16"/>
  <c r="F1916" i="16"/>
  <c r="O1916" i="16" s="1"/>
  <c r="F1430" i="16"/>
  <c r="O1430" i="16" s="1"/>
  <c r="K1430" i="16"/>
  <c r="K728" i="16"/>
  <c r="F728" i="16"/>
  <c r="O728" i="16" s="1"/>
  <c r="L81" i="16"/>
  <c r="I1049" i="16"/>
  <c r="O1052" i="16" s="1"/>
  <c r="O1051" i="16"/>
  <c r="S1051" i="16" s="1"/>
  <c r="T1051" i="16" s="1"/>
  <c r="O1053" i="16" l="1"/>
  <c r="I4303" i="16"/>
  <c r="I4302" i="16"/>
  <c r="I4301" i="16"/>
  <c r="I4299" i="16"/>
  <c r="I4298" i="16"/>
  <c r="G4297" i="16"/>
  <c r="D4623" i="16"/>
  <c r="F4623" i="16"/>
  <c r="K3645" i="16"/>
  <c r="F3645" i="16"/>
  <c r="O3645" i="16" s="1"/>
  <c r="K2943" i="16"/>
  <c r="F2943" i="16"/>
  <c r="O2943" i="16" s="1"/>
  <c r="K2673" i="16"/>
  <c r="F2673" i="16"/>
  <c r="O2673" i="16" s="1"/>
  <c r="K2349" i="16"/>
  <c r="F2349" i="16"/>
  <c r="O2349" i="16" s="1"/>
  <c r="K2295" i="16"/>
  <c r="F2295" i="16"/>
  <c r="O2295" i="16" s="1"/>
  <c r="K2025" i="16"/>
  <c r="F2025" i="16"/>
  <c r="O2025" i="16" s="1"/>
  <c r="K1971" i="16"/>
  <c r="F1971" i="16"/>
  <c r="O1971" i="16" s="1"/>
  <c r="K1755" i="16"/>
  <c r="F1755" i="16"/>
  <c r="O1755" i="16" s="1"/>
  <c r="K1107" i="16"/>
  <c r="F1107" i="16"/>
  <c r="O1107" i="16" s="1"/>
  <c r="K837" i="16"/>
  <c r="F837" i="16"/>
  <c r="O837" i="16" s="1"/>
  <c r="K297" i="16"/>
  <c r="F297" i="16"/>
  <c r="O297" i="16" s="1"/>
  <c r="K243" i="16"/>
  <c r="F243" i="16"/>
  <c r="O243" i="16" s="1"/>
  <c r="K189" i="16"/>
  <c r="F189" i="16"/>
  <c r="O189" i="16" s="1"/>
  <c r="C24" i="9"/>
  <c r="O24" i="9"/>
  <c r="T24" i="9"/>
  <c r="V24" i="9"/>
  <c r="E24" i="9"/>
  <c r="D24" i="9"/>
  <c r="E13" i="9"/>
  <c r="D13" i="9"/>
  <c r="C13" i="9"/>
  <c r="E16" i="9"/>
  <c r="C16" i="9"/>
  <c r="D16" i="9"/>
  <c r="D17" i="9"/>
  <c r="C17" i="9"/>
  <c r="G4310" i="16"/>
  <c r="H4310" i="16"/>
  <c r="G4309" i="16"/>
  <c r="H4309" i="16"/>
  <c r="G4308" i="16"/>
  <c r="I4308" i="16" s="1"/>
  <c r="H4308" i="16"/>
  <c r="G4300" i="16"/>
  <c r="H4300" i="16"/>
  <c r="I4300" i="16" s="1"/>
  <c r="O3752" i="16"/>
  <c r="O3751" i="16"/>
  <c r="N4676" i="16"/>
  <c r="M4676" i="16"/>
  <c r="U4676" i="16"/>
  <c r="S4676" i="16"/>
  <c r="M4677" i="16"/>
  <c r="D4677" i="16"/>
  <c r="J4677" i="16"/>
  <c r="N4677" i="16" s="1"/>
  <c r="P4677" i="16"/>
  <c r="Q4677" i="16"/>
  <c r="R4677" i="16"/>
  <c r="L4678" i="16"/>
  <c r="C4678" i="16"/>
  <c r="K4678" i="16" s="1"/>
  <c r="E4678" i="16"/>
  <c r="F4678" i="16"/>
  <c r="G4678" i="16"/>
  <c r="I4678" i="16"/>
  <c r="B4679" i="16"/>
  <c r="P4623" i="16"/>
  <c r="Q4623" i="16"/>
  <c r="R4623" i="16"/>
  <c r="C4624" i="16"/>
  <c r="D4624" i="16" s="1"/>
  <c r="E4624" i="16"/>
  <c r="F4624" i="16"/>
  <c r="G4624" i="16"/>
  <c r="B4625" i="16"/>
  <c r="N4568" i="16"/>
  <c r="M4568" i="16"/>
  <c r="D4569" i="16"/>
  <c r="J4569" i="16"/>
  <c r="P4569" i="16"/>
  <c r="Q4569" i="16"/>
  <c r="R4569" i="16"/>
  <c r="L4570" i="16"/>
  <c r="C4570" i="16"/>
  <c r="E4570" i="16"/>
  <c r="G4570" i="16"/>
  <c r="I4570" i="16"/>
  <c r="B4571" i="16"/>
  <c r="I4516" i="16"/>
  <c r="B4517" i="16"/>
  <c r="C4516" i="16"/>
  <c r="E4516" i="16"/>
  <c r="G4516" i="16"/>
  <c r="L4516" i="16"/>
  <c r="J4515" i="16"/>
  <c r="N4515" i="16" s="1"/>
  <c r="D4515" i="16"/>
  <c r="P4515" i="16"/>
  <c r="Q4515" i="16"/>
  <c r="R4515" i="16"/>
  <c r="M4515" i="16"/>
  <c r="P4215" i="16"/>
  <c r="Q4215" i="16"/>
  <c r="R4215" i="16"/>
  <c r="D4215" i="16"/>
  <c r="J4215" i="16"/>
  <c r="N4215" i="16" s="1"/>
  <c r="M4215" i="16"/>
  <c r="G4216" i="16"/>
  <c r="L4216" i="16"/>
  <c r="C4216" i="16"/>
  <c r="F4216" i="16" s="1"/>
  <c r="E4216" i="16"/>
  <c r="I4216" i="16"/>
  <c r="K4216" i="16"/>
  <c r="B4217" i="16"/>
  <c r="L4162" i="16"/>
  <c r="B4163" i="16"/>
  <c r="C4162" i="16"/>
  <c r="F4162" i="16" s="1"/>
  <c r="E4162" i="16"/>
  <c r="G4162" i="16"/>
  <c r="I4162" i="16"/>
  <c r="K4162" i="16"/>
  <c r="J4161" i="16"/>
  <c r="D4161" i="16"/>
  <c r="P4161" i="16"/>
  <c r="Q4161" i="16"/>
  <c r="R4161" i="16"/>
  <c r="J4107" i="16"/>
  <c r="D4107" i="16"/>
  <c r="P4107" i="16"/>
  <c r="Q4107" i="16"/>
  <c r="R4107" i="16"/>
  <c r="I4108" i="16"/>
  <c r="B4109" i="16"/>
  <c r="C4108" i="16"/>
  <c r="E4108" i="16"/>
  <c r="G4108" i="16"/>
  <c r="L4108" i="16"/>
  <c r="N4052" i="16"/>
  <c r="U4052" i="16" s="1"/>
  <c r="M4052" i="16"/>
  <c r="M4053" i="16"/>
  <c r="D4053" i="16"/>
  <c r="J4053" i="16"/>
  <c r="N4053" i="16" s="1"/>
  <c r="P4053" i="16"/>
  <c r="Q4053" i="16"/>
  <c r="R4053" i="16"/>
  <c r="L4054" i="16"/>
  <c r="C4054" i="16"/>
  <c r="K4054" i="16" s="1"/>
  <c r="E4054" i="16"/>
  <c r="F4054" i="16"/>
  <c r="G4054" i="16"/>
  <c r="I4054" i="16"/>
  <c r="B4055" i="16"/>
  <c r="N3752" i="16"/>
  <c r="M3752" i="16"/>
  <c r="M3753" i="16"/>
  <c r="D3753" i="16"/>
  <c r="J3753" i="16"/>
  <c r="N3753" i="16" s="1"/>
  <c r="P3753" i="16"/>
  <c r="Q3753" i="16"/>
  <c r="R3753" i="16"/>
  <c r="L3754" i="16"/>
  <c r="C3754" i="16"/>
  <c r="K3754" i="16" s="1"/>
  <c r="E3754" i="16"/>
  <c r="F3754" i="16"/>
  <c r="O3754" i="16" s="1"/>
  <c r="G3754" i="16"/>
  <c r="I3754" i="16"/>
  <c r="B3755" i="16"/>
  <c r="N3698" i="16"/>
  <c r="M3698" i="16"/>
  <c r="M3699" i="16"/>
  <c r="D3699" i="16"/>
  <c r="J3699" i="16"/>
  <c r="N3699" i="16" s="1"/>
  <c r="P3699" i="16"/>
  <c r="Q3699" i="16"/>
  <c r="R3699" i="16"/>
  <c r="L3700" i="16"/>
  <c r="C3700" i="16"/>
  <c r="K3700" i="16" s="1"/>
  <c r="E3700" i="16"/>
  <c r="F3700" i="16"/>
  <c r="O3700" i="16" s="1"/>
  <c r="G3700" i="16"/>
  <c r="B3701" i="16"/>
  <c r="I3700" i="16"/>
  <c r="D3645" i="16"/>
  <c r="J3645" i="16"/>
  <c r="N3645" i="16" s="1"/>
  <c r="P3645" i="16"/>
  <c r="Q3645" i="16"/>
  <c r="R3645" i="16"/>
  <c r="L3646" i="16"/>
  <c r="C3646" i="16"/>
  <c r="K3646" i="16" s="1"/>
  <c r="E3646" i="16"/>
  <c r="F3646" i="16"/>
  <c r="O3646" i="16" s="1"/>
  <c r="G3646" i="16"/>
  <c r="I3646" i="16"/>
  <c r="B3647" i="16"/>
  <c r="D3591" i="16"/>
  <c r="J3591" i="16"/>
  <c r="P3591" i="16"/>
  <c r="Q3591" i="16"/>
  <c r="R3591" i="16"/>
  <c r="L3592" i="16"/>
  <c r="C3592" i="16"/>
  <c r="E3592" i="16"/>
  <c r="G3592" i="16"/>
  <c r="I3592" i="16"/>
  <c r="B3593" i="16"/>
  <c r="N3536" i="16"/>
  <c r="M3536" i="16"/>
  <c r="M3537" i="16"/>
  <c r="D3537" i="16"/>
  <c r="J3537" i="16"/>
  <c r="N3537" i="16" s="1"/>
  <c r="P3537" i="16"/>
  <c r="Q3537" i="16"/>
  <c r="R3537" i="16"/>
  <c r="L3538" i="16"/>
  <c r="C3538" i="16"/>
  <c r="K3538" i="16" s="1"/>
  <c r="E3538" i="16"/>
  <c r="F3538" i="16"/>
  <c r="O3538" i="16" s="1"/>
  <c r="G3538" i="16"/>
  <c r="I3538" i="16"/>
  <c r="B3539" i="16"/>
  <c r="P3483" i="16"/>
  <c r="Q3483" i="16"/>
  <c r="R3483" i="16"/>
  <c r="L3484" i="16"/>
  <c r="E3484" i="16"/>
  <c r="G3484" i="16"/>
  <c r="I3484" i="16"/>
  <c r="B3485" i="16"/>
  <c r="C3484" i="16"/>
  <c r="D3483" i="16"/>
  <c r="J3483" i="16"/>
  <c r="N3482" i="16"/>
  <c r="M3482" i="16"/>
  <c r="D3429" i="16"/>
  <c r="J3429" i="16"/>
  <c r="P3429" i="16"/>
  <c r="Q3429" i="16"/>
  <c r="R3429" i="16"/>
  <c r="L3430" i="16"/>
  <c r="C3430" i="16"/>
  <c r="E3430" i="16"/>
  <c r="G3430" i="16"/>
  <c r="I3430" i="16"/>
  <c r="B3431" i="16"/>
  <c r="M3375" i="16"/>
  <c r="D3375" i="16"/>
  <c r="J3375" i="16"/>
  <c r="N3375" i="16" s="1"/>
  <c r="P3375" i="16"/>
  <c r="Q3375" i="16"/>
  <c r="R3375" i="16"/>
  <c r="L3376" i="16"/>
  <c r="C3376" i="16"/>
  <c r="E3376" i="16"/>
  <c r="G3376" i="16"/>
  <c r="I3376" i="16"/>
  <c r="B3377" i="16"/>
  <c r="M3321" i="16"/>
  <c r="D3321" i="16"/>
  <c r="J3321" i="16"/>
  <c r="N3321" i="16" s="1"/>
  <c r="P3321" i="16"/>
  <c r="Q3321" i="16"/>
  <c r="R3321" i="16"/>
  <c r="L3322" i="16"/>
  <c r="C3322" i="16"/>
  <c r="K3322" i="16" s="1"/>
  <c r="E3322" i="16"/>
  <c r="F3322" i="16"/>
  <c r="O3322" i="16" s="1"/>
  <c r="G3322" i="16"/>
  <c r="I3322" i="16"/>
  <c r="B3323" i="16"/>
  <c r="N3266" i="16"/>
  <c r="M3266" i="16"/>
  <c r="M3267" i="16"/>
  <c r="D3267" i="16"/>
  <c r="J3267" i="16"/>
  <c r="N3267" i="16" s="1"/>
  <c r="P3267" i="16"/>
  <c r="Q3267" i="16"/>
  <c r="R3267" i="16"/>
  <c r="L3268" i="16"/>
  <c r="C3268" i="16"/>
  <c r="E3268" i="16"/>
  <c r="G3268" i="16"/>
  <c r="I3268" i="16"/>
  <c r="B3269" i="16"/>
  <c r="N3212" i="16"/>
  <c r="M3212" i="16"/>
  <c r="P3213" i="16"/>
  <c r="R3213" i="16"/>
  <c r="Q3213" i="16"/>
  <c r="L3214" i="16"/>
  <c r="C3214" i="16"/>
  <c r="E3214" i="16"/>
  <c r="G3214" i="16"/>
  <c r="I3214" i="16"/>
  <c r="B3215" i="16"/>
  <c r="D3213" i="16"/>
  <c r="J3213" i="16"/>
  <c r="P3159" i="16"/>
  <c r="Q3159" i="16"/>
  <c r="R3159" i="16"/>
  <c r="L3160" i="16"/>
  <c r="I3160" i="16"/>
  <c r="E3160" i="16"/>
  <c r="G3160" i="16"/>
  <c r="C3160" i="16"/>
  <c r="K3160" i="16" s="1"/>
  <c r="F3160" i="16"/>
  <c r="O3160" i="16" s="1"/>
  <c r="B3161" i="16"/>
  <c r="D3159" i="16"/>
  <c r="J3159" i="16"/>
  <c r="M3158" i="16"/>
  <c r="N3158" i="16"/>
  <c r="M3104" i="16"/>
  <c r="N3104" i="16"/>
  <c r="M3105" i="16"/>
  <c r="D3105" i="16"/>
  <c r="J3105" i="16"/>
  <c r="N3105" i="16" s="1"/>
  <c r="L3106" i="16"/>
  <c r="G3106" i="16"/>
  <c r="E3106" i="16"/>
  <c r="B3107" i="16"/>
  <c r="C3106" i="16"/>
  <c r="I3106" i="16"/>
  <c r="P3105" i="16"/>
  <c r="Q3105" i="16"/>
  <c r="R3105" i="16"/>
  <c r="N3050" i="16"/>
  <c r="M3050" i="16"/>
  <c r="M3051" i="16"/>
  <c r="J3051" i="16"/>
  <c r="N3051" i="16" s="1"/>
  <c r="D3051" i="16"/>
  <c r="P3051" i="16"/>
  <c r="Q3051" i="16"/>
  <c r="R3051" i="16"/>
  <c r="L3052" i="16"/>
  <c r="I3052" i="16"/>
  <c r="B3053" i="16"/>
  <c r="G3052" i="16"/>
  <c r="C3052" i="16"/>
  <c r="E3052" i="16"/>
  <c r="L2998" i="16"/>
  <c r="B2999" i="16"/>
  <c r="C2998" i="16"/>
  <c r="G2998" i="16"/>
  <c r="I2998" i="16"/>
  <c r="E2998" i="16"/>
  <c r="P2997" i="16"/>
  <c r="Q2997" i="16"/>
  <c r="R2997" i="16"/>
  <c r="D2997" i="16"/>
  <c r="J2997" i="16"/>
  <c r="N2942" i="16"/>
  <c r="M2942" i="16"/>
  <c r="M2943" i="16"/>
  <c r="D2943" i="16"/>
  <c r="J2943" i="16"/>
  <c r="N2943" i="16" s="1"/>
  <c r="P2943" i="16"/>
  <c r="Q2943" i="16"/>
  <c r="R2943" i="16"/>
  <c r="L2944" i="16"/>
  <c r="C2944" i="16"/>
  <c r="K2944" i="16" s="1"/>
  <c r="E2944" i="16"/>
  <c r="F2944" i="16"/>
  <c r="O2944" i="16" s="1"/>
  <c r="G2944" i="16"/>
  <c r="I2944" i="16"/>
  <c r="B2945" i="16"/>
  <c r="N2888" i="16"/>
  <c r="M2888" i="16"/>
  <c r="D2889" i="16"/>
  <c r="J2889" i="16"/>
  <c r="P2889" i="16"/>
  <c r="Q2889" i="16"/>
  <c r="R2889" i="16"/>
  <c r="L2890" i="16"/>
  <c r="C2890" i="16"/>
  <c r="K2890" i="16" s="1"/>
  <c r="E2890" i="16"/>
  <c r="F2890" i="16"/>
  <c r="O2890" i="16" s="1"/>
  <c r="G2890" i="16"/>
  <c r="I2890" i="16"/>
  <c r="B2891" i="16"/>
  <c r="N2834" i="16"/>
  <c r="M2834" i="16"/>
  <c r="D2835" i="16"/>
  <c r="J2835" i="16"/>
  <c r="P2835" i="16"/>
  <c r="Q2835" i="16"/>
  <c r="R2835" i="16"/>
  <c r="L2836" i="16"/>
  <c r="C2836" i="16"/>
  <c r="K2836" i="16" s="1"/>
  <c r="E2836" i="16"/>
  <c r="F2836" i="16"/>
  <c r="O2836" i="16" s="1"/>
  <c r="G2836" i="16"/>
  <c r="I2836" i="16"/>
  <c r="B2837" i="16"/>
  <c r="N2780" i="16"/>
  <c r="S2780" i="16" s="1"/>
  <c r="T2780" i="16" s="1"/>
  <c r="U2780" i="16" s="1"/>
  <c r="M2780" i="16"/>
  <c r="D2781" i="16"/>
  <c r="J2781" i="16"/>
  <c r="P2781" i="16"/>
  <c r="Q2781" i="16"/>
  <c r="R2781" i="16"/>
  <c r="L2782" i="16"/>
  <c r="C2782" i="16"/>
  <c r="K2782" i="16" s="1"/>
  <c r="E2782" i="16"/>
  <c r="F2782" i="16"/>
  <c r="O2782" i="16" s="1"/>
  <c r="G2782" i="16"/>
  <c r="I2782" i="16"/>
  <c r="B2783" i="16"/>
  <c r="N2726" i="16"/>
  <c r="M2726" i="16"/>
  <c r="M2727" i="16"/>
  <c r="D2727" i="16"/>
  <c r="J2727" i="16"/>
  <c r="N2727" i="16" s="1"/>
  <c r="P2727" i="16"/>
  <c r="Q2727" i="16"/>
  <c r="R2727" i="16"/>
  <c r="L2728" i="16"/>
  <c r="C2728" i="16"/>
  <c r="E2728" i="16"/>
  <c r="G2728" i="16"/>
  <c r="I2728" i="16"/>
  <c r="B2729" i="16"/>
  <c r="N2672" i="16"/>
  <c r="M2672" i="16"/>
  <c r="M2673" i="16"/>
  <c r="D2673" i="16"/>
  <c r="J2673" i="16"/>
  <c r="N2673" i="16" s="1"/>
  <c r="P2673" i="16"/>
  <c r="Q2673" i="16"/>
  <c r="R2673" i="16"/>
  <c r="L2674" i="16"/>
  <c r="C2674" i="16"/>
  <c r="K2674" i="16" s="1"/>
  <c r="E2674" i="16"/>
  <c r="F2674" i="16"/>
  <c r="O2674" i="16" s="1"/>
  <c r="G2674" i="16"/>
  <c r="I2674" i="16"/>
  <c r="B2675" i="16"/>
  <c r="M2619" i="16"/>
  <c r="D2619" i="16"/>
  <c r="J2619" i="16"/>
  <c r="N2619" i="16" s="1"/>
  <c r="P2619" i="16"/>
  <c r="Q2619" i="16"/>
  <c r="R2619" i="16"/>
  <c r="L2620" i="16"/>
  <c r="C2620" i="16"/>
  <c r="K2620" i="16" s="1"/>
  <c r="E2620" i="16"/>
  <c r="F2620" i="16"/>
  <c r="O2620" i="16" s="1"/>
  <c r="G2620" i="16"/>
  <c r="I2620" i="16"/>
  <c r="B2621" i="16"/>
  <c r="N2564" i="16"/>
  <c r="M2564" i="16"/>
  <c r="D2565" i="16"/>
  <c r="J2565" i="16"/>
  <c r="P2565" i="16"/>
  <c r="Q2565" i="16"/>
  <c r="R2565" i="16"/>
  <c r="L2566" i="16"/>
  <c r="C2566" i="16"/>
  <c r="K2566" i="16" s="1"/>
  <c r="E2566" i="16"/>
  <c r="F2566" i="16"/>
  <c r="O2566" i="16" s="1"/>
  <c r="G2566" i="16"/>
  <c r="I2566" i="16"/>
  <c r="B2567" i="16"/>
  <c r="D2511" i="16"/>
  <c r="J2511" i="16"/>
  <c r="Q2511" i="16"/>
  <c r="P2511" i="16"/>
  <c r="R2511" i="16"/>
  <c r="L2512" i="16"/>
  <c r="C2512" i="16"/>
  <c r="E2512" i="16"/>
  <c r="G2512" i="16"/>
  <c r="I2512" i="16"/>
  <c r="B2513" i="16"/>
  <c r="M2457" i="16"/>
  <c r="D2457" i="16"/>
  <c r="J2457" i="16"/>
  <c r="N2457" i="16" s="1"/>
  <c r="P2457" i="16"/>
  <c r="Q2457" i="16"/>
  <c r="R2457" i="16"/>
  <c r="L2458" i="16"/>
  <c r="C2458" i="16"/>
  <c r="E2458" i="16"/>
  <c r="G2458" i="16"/>
  <c r="I2458" i="16"/>
  <c r="B2459" i="16"/>
  <c r="M2403" i="16"/>
  <c r="D2403" i="16"/>
  <c r="J2403" i="16"/>
  <c r="N2403" i="16" s="1"/>
  <c r="P2403" i="16"/>
  <c r="Q2403" i="16"/>
  <c r="R2403" i="16"/>
  <c r="L2404" i="16"/>
  <c r="C2404" i="16"/>
  <c r="E2404" i="16"/>
  <c r="G2404" i="16"/>
  <c r="I2404" i="16"/>
  <c r="B2405" i="16"/>
  <c r="N2348" i="16"/>
  <c r="M2348" i="16"/>
  <c r="M2349" i="16"/>
  <c r="D2349" i="16"/>
  <c r="J2349" i="16"/>
  <c r="N2349" i="16" s="1"/>
  <c r="P2349" i="16"/>
  <c r="Q2349" i="16"/>
  <c r="R2349" i="16"/>
  <c r="L2350" i="16"/>
  <c r="C2350" i="16"/>
  <c r="E2350" i="16"/>
  <c r="G2350" i="16"/>
  <c r="I2350" i="16"/>
  <c r="B2351" i="16"/>
  <c r="M2295" i="16"/>
  <c r="D2295" i="16"/>
  <c r="J2295" i="16"/>
  <c r="N2295" i="16" s="1"/>
  <c r="P2295" i="16"/>
  <c r="Q2295" i="16"/>
  <c r="R2295" i="16"/>
  <c r="L2296" i="16"/>
  <c r="C2296" i="16"/>
  <c r="K2296" i="16" s="1"/>
  <c r="E2296" i="16"/>
  <c r="F2296" i="16"/>
  <c r="O2296" i="16" s="1"/>
  <c r="G2296" i="16"/>
  <c r="I2296" i="16"/>
  <c r="B2297" i="16"/>
  <c r="M2240" i="16"/>
  <c r="N2240" i="16"/>
  <c r="M2241" i="16"/>
  <c r="D2241" i="16"/>
  <c r="J2241" i="16"/>
  <c r="N2241" i="16" s="1"/>
  <c r="Q2241" i="16"/>
  <c r="R2241" i="16"/>
  <c r="P2241" i="16"/>
  <c r="L2242" i="16"/>
  <c r="C2242" i="16"/>
  <c r="E2242" i="16"/>
  <c r="G2242" i="16"/>
  <c r="B2243" i="16"/>
  <c r="I2242" i="16"/>
  <c r="M2186" i="16"/>
  <c r="N2186" i="16"/>
  <c r="M2187" i="16"/>
  <c r="D2187" i="16"/>
  <c r="J2187" i="16"/>
  <c r="N2187" i="16" s="1"/>
  <c r="P2187" i="16"/>
  <c r="Q2187" i="16"/>
  <c r="R2187" i="16"/>
  <c r="L2188" i="16"/>
  <c r="C2188" i="16"/>
  <c r="E2188" i="16"/>
  <c r="G2188" i="16"/>
  <c r="B2189" i="16"/>
  <c r="I2188" i="16"/>
  <c r="M2133" i="16"/>
  <c r="D2133" i="16"/>
  <c r="J2133" i="16"/>
  <c r="N2133" i="16" s="1"/>
  <c r="P2133" i="16"/>
  <c r="Q2133" i="16"/>
  <c r="R2133" i="16"/>
  <c r="L2134" i="16"/>
  <c r="C2134" i="16"/>
  <c r="K2134" i="16" s="1"/>
  <c r="E2134" i="16"/>
  <c r="F2134" i="16"/>
  <c r="O2134" i="16" s="1"/>
  <c r="G2134" i="16"/>
  <c r="B2135" i="16"/>
  <c r="I2134" i="16"/>
  <c r="N2132" i="16"/>
  <c r="M2132" i="16"/>
  <c r="M2079" i="16"/>
  <c r="D2079" i="16"/>
  <c r="J2079" i="16"/>
  <c r="N2079" i="16" s="1"/>
  <c r="P2079" i="16"/>
  <c r="Q2079" i="16"/>
  <c r="R2079" i="16"/>
  <c r="L2080" i="16"/>
  <c r="C2080" i="16"/>
  <c r="E2080" i="16"/>
  <c r="G2080" i="16"/>
  <c r="I2080" i="16"/>
  <c r="B2081" i="16"/>
  <c r="M2025" i="16"/>
  <c r="D2025" i="16"/>
  <c r="J2025" i="16"/>
  <c r="N2025" i="16" s="1"/>
  <c r="P2025" i="16"/>
  <c r="Q2025" i="16"/>
  <c r="R2025" i="16"/>
  <c r="L2026" i="16"/>
  <c r="C2026" i="16"/>
  <c r="K2026" i="16" s="1"/>
  <c r="E2026" i="16"/>
  <c r="F2026" i="16"/>
  <c r="O2026" i="16" s="1"/>
  <c r="G2026" i="16"/>
  <c r="I2026" i="16"/>
  <c r="B2027" i="16"/>
  <c r="M1971" i="16"/>
  <c r="D1971" i="16"/>
  <c r="J1971" i="16"/>
  <c r="N1971" i="16" s="1"/>
  <c r="P1971" i="16"/>
  <c r="Q1971" i="16"/>
  <c r="R1971" i="16"/>
  <c r="L1972" i="16"/>
  <c r="C1972" i="16"/>
  <c r="K1972" i="16" s="1"/>
  <c r="E1972" i="16"/>
  <c r="F1972" i="16"/>
  <c r="O1972" i="16" s="1"/>
  <c r="G1972" i="16"/>
  <c r="I1972" i="16"/>
  <c r="B1973" i="16"/>
  <c r="M1917" i="16"/>
  <c r="D1917" i="16"/>
  <c r="J1917" i="16"/>
  <c r="N1917" i="16" s="1"/>
  <c r="P1917" i="16"/>
  <c r="Q1917" i="16"/>
  <c r="R1917" i="16"/>
  <c r="L1918" i="16"/>
  <c r="C1918" i="16"/>
  <c r="E1918" i="16"/>
  <c r="G1918" i="16"/>
  <c r="I1918" i="16"/>
  <c r="B1919" i="16"/>
  <c r="N1862" i="16"/>
  <c r="M1862" i="16"/>
  <c r="D1863" i="16"/>
  <c r="J1863" i="16"/>
  <c r="P1863" i="16"/>
  <c r="Q1863" i="16"/>
  <c r="R1863" i="16"/>
  <c r="L1864" i="16"/>
  <c r="C1864" i="16"/>
  <c r="E1864" i="16"/>
  <c r="G1864" i="16"/>
  <c r="I1864" i="16"/>
  <c r="B1865" i="16"/>
  <c r="N1808" i="16"/>
  <c r="M1808" i="16"/>
  <c r="M1809" i="16"/>
  <c r="D1809" i="16"/>
  <c r="J1809" i="16"/>
  <c r="N1809" i="16" s="1"/>
  <c r="P1809" i="16"/>
  <c r="Q1809" i="16"/>
  <c r="R1809" i="16"/>
  <c r="L1810" i="16"/>
  <c r="C1810" i="16"/>
  <c r="E1810" i="16"/>
  <c r="G1810" i="16"/>
  <c r="I1810" i="16"/>
  <c r="B1811" i="16"/>
  <c r="N1754" i="16"/>
  <c r="M1754" i="16"/>
  <c r="M1755" i="16"/>
  <c r="D1755" i="16"/>
  <c r="J1755" i="16"/>
  <c r="N1755" i="16" s="1"/>
  <c r="P1755" i="16"/>
  <c r="Q1755" i="16"/>
  <c r="R1755" i="16"/>
  <c r="L1756" i="16"/>
  <c r="C1756" i="16"/>
  <c r="K1756" i="16" s="1"/>
  <c r="E1756" i="16"/>
  <c r="F1756" i="16"/>
  <c r="O1756" i="16" s="1"/>
  <c r="G1756" i="16"/>
  <c r="I1756" i="16"/>
  <c r="B1757" i="16"/>
  <c r="N1700" i="16"/>
  <c r="M1700" i="16"/>
  <c r="M1701" i="16"/>
  <c r="D1701" i="16"/>
  <c r="J1701" i="16"/>
  <c r="N1701" i="16" s="1"/>
  <c r="P1701" i="16"/>
  <c r="Q1701" i="16"/>
  <c r="R1701" i="16"/>
  <c r="L1702" i="16"/>
  <c r="C1702" i="16"/>
  <c r="K1702" i="16" s="1"/>
  <c r="E1702" i="16"/>
  <c r="F1702" i="16"/>
  <c r="O1702" i="16" s="1"/>
  <c r="G1702" i="16"/>
  <c r="I1702" i="16"/>
  <c r="B1703" i="16"/>
  <c r="N1646" i="16"/>
  <c r="M1646" i="16"/>
  <c r="M1647" i="16"/>
  <c r="D1647" i="16"/>
  <c r="J1647" i="16"/>
  <c r="N1647" i="16" s="1"/>
  <c r="P1647" i="16"/>
  <c r="Q1647" i="16"/>
  <c r="R1647" i="16"/>
  <c r="L1648" i="16"/>
  <c r="C1648" i="16"/>
  <c r="K1648" i="16" s="1"/>
  <c r="E1648" i="16"/>
  <c r="F1648" i="16"/>
  <c r="O1648" i="16" s="1"/>
  <c r="G1648" i="16"/>
  <c r="I1648" i="16"/>
  <c r="B1649" i="16"/>
  <c r="N1592" i="16"/>
  <c r="M1592" i="16"/>
  <c r="M1593" i="16"/>
  <c r="D1593" i="16"/>
  <c r="J1593" i="16"/>
  <c r="N1593" i="16" s="1"/>
  <c r="P1593" i="16"/>
  <c r="Q1593" i="16"/>
  <c r="R1593" i="16"/>
  <c r="L1594" i="16"/>
  <c r="C1594" i="16"/>
  <c r="K1594" i="16" s="1"/>
  <c r="E1594" i="16"/>
  <c r="F1594" i="16"/>
  <c r="O1594" i="16" s="1"/>
  <c r="G1594" i="16"/>
  <c r="I1594" i="16"/>
  <c r="B1595" i="16"/>
  <c r="N1538" i="16"/>
  <c r="M1538" i="16"/>
  <c r="D1539" i="16"/>
  <c r="J1539" i="16"/>
  <c r="P1539" i="16"/>
  <c r="Q1539" i="16"/>
  <c r="R1539" i="16"/>
  <c r="L1540" i="16"/>
  <c r="C1540" i="16"/>
  <c r="E1540" i="16"/>
  <c r="G1540" i="16"/>
  <c r="I1540" i="16"/>
  <c r="B1541" i="16"/>
  <c r="M1484" i="16"/>
  <c r="N1484" i="16"/>
  <c r="D1485" i="16"/>
  <c r="J1485" i="16"/>
  <c r="P1485" i="16"/>
  <c r="Q1485" i="16"/>
  <c r="R1485" i="16"/>
  <c r="L1486" i="16"/>
  <c r="E1486" i="16"/>
  <c r="G1486" i="16"/>
  <c r="C1486" i="16"/>
  <c r="I1486" i="16"/>
  <c r="B1487" i="16"/>
  <c r="M1431" i="16"/>
  <c r="L1432" i="16"/>
  <c r="E1432" i="16"/>
  <c r="G1432" i="16"/>
  <c r="C1432" i="16"/>
  <c r="B1433" i="16"/>
  <c r="I1432" i="16"/>
  <c r="D1431" i="16"/>
  <c r="J1431" i="16"/>
  <c r="N1431" i="16" s="1"/>
  <c r="P1431" i="16"/>
  <c r="Q1431" i="16"/>
  <c r="R1431" i="16"/>
  <c r="M1376" i="16"/>
  <c r="N1376" i="16"/>
  <c r="D1377" i="16"/>
  <c r="J1377" i="16"/>
  <c r="P1377" i="16"/>
  <c r="Q1377" i="16"/>
  <c r="R1377" i="16"/>
  <c r="L1378" i="16"/>
  <c r="G1378" i="16"/>
  <c r="C1378" i="16"/>
  <c r="K1378" i="16" s="1"/>
  <c r="E1378" i="16"/>
  <c r="I1378" i="16"/>
  <c r="B1379" i="16"/>
  <c r="F1378" i="16"/>
  <c r="O1378" i="16" s="1"/>
  <c r="M1323" i="16"/>
  <c r="J1323" i="16"/>
  <c r="N1323" i="16" s="1"/>
  <c r="D1323" i="16"/>
  <c r="P1323" i="16"/>
  <c r="Q1323" i="16"/>
  <c r="R1323" i="16"/>
  <c r="L1324" i="16"/>
  <c r="E1324" i="16"/>
  <c r="C1324" i="16"/>
  <c r="K1324" i="16" s="1"/>
  <c r="F1324" i="16"/>
  <c r="O1324" i="16" s="1"/>
  <c r="B1325" i="16"/>
  <c r="I1324" i="16"/>
  <c r="G1324" i="16"/>
  <c r="M1322" i="16"/>
  <c r="N1322" i="16"/>
  <c r="M1268" i="16"/>
  <c r="N1268" i="16"/>
  <c r="D1269" i="16"/>
  <c r="J1269" i="16"/>
  <c r="L1270" i="16"/>
  <c r="G1270" i="16"/>
  <c r="C1270" i="16"/>
  <c r="K1270" i="16" s="1"/>
  <c r="F1270" i="16"/>
  <c r="O1270" i="16" s="1"/>
  <c r="B1271" i="16"/>
  <c r="I1270" i="16"/>
  <c r="E1270" i="16"/>
  <c r="Q1269" i="16"/>
  <c r="P1269" i="16"/>
  <c r="R1269" i="16"/>
  <c r="M1215" i="16"/>
  <c r="N1215" i="16"/>
  <c r="P1216" i="16"/>
  <c r="Q1216" i="16"/>
  <c r="R1216" i="16"/>
  <c r="L1217" i="16"/>
  <c r="G1217" i="16"/>
  <c r="C1217" i="16"/>
  <c r="K1217" i="16" s="1"/>
  <c r="F1217" i="16"/>
  <c r="O1217" i="16" s="1"/>
  <c r="E1217" i="16"/>
  <c r="I1217" i="16"/>
  <c r="B1218" i="16"/>
  <c r="D1216" i="16"/>
  <c r="J1216" i="16"/>
  <c r="M1161" i="16"/>
  <c r="D1161" i="16"/>
  <c r="J1161" i="16"/>
  <c r="N1161" i="16" s="1"/>
  <c r="P1161" i="16"/>
  <c r="Q1161" i="16"/>
  <c r="R1161" i="16"/>
  <c r="L1162" i="16"/>
  <c r="C1162" i="16"/>
  <c r="E1162" i="16"/>
  <c r="G1162" i="16"/>
  <c r="I1162" i="16"/>
  <c r="B1163" i="16"/>
  <c r="N1106" i="16"/>
  <c r="M1106" i="16"/>
  <c r="M1107" i="16"/>
  <c r="D1107" i="16"/>
  <c r="J1107" i="16"/>
  <c r="N1107" i="16" s="1"/>
  <c r="P1107" i="16"/>
  <c r="Q1107" i="16"/>
  <c r="R1107" i="16"/>
  <c r="L1108" i="16"/>
  <c r="C1108" i="16"/>
  <c r="E1108" i="16"/>
  <c r="G1108" i="16"/>
  <c r="I1108" i="16"/>
  <c r="B1109" i="16"/>
  <c r="N1052" i="16"/>
  <c r="M1052" i="16"/>
  <c r="M1053" i="16"/>
  <c r="D1053" i="16"/>
  <c r="J1053" i="16"/>
  <c r="N1053" i="16" s="1"/>
  <c r="P1053" i="16"/>
  <c r="Q1053" i="16"/>
  <c r="R1053" i="16"/>
  <c r="L1054" i="16"/>
  <c r="C1054" i="16"/>
  <c r="K1054" i="16" s="1"/>
  <c r="E1054" i="16"/>
  <c r="F1054" i="16"/>
  <c r="O1054" i="16" s="1"/>
  <c r="G1054" i="16"/>
  <c r="I1054" i="16"/>
  <c r="B1055" i="16"/>
  <c r="M999" i="16"/>
  <c r="L1000" i="16"/>
  <c r="E1000" i="16"/>
  <c r="I1000" i="16"/>
  <c r="C1000" i="16"/>
  <c r="G1000" i="16"/>
  <c r="B1001" i="16"/>
  <c r="D999" i="16"/>
  <c r="J999" i="16"/>
  <c r="N999" i="16" s="1"/>
  <c r="P999" i="16"/>
  <c r="Q999" i="16"/>
  <c r="R999" i="16"/>
  <c r="D945" i="16"/>
  <c r="J945" i="16"/>
  <c r="P945" i="16"/>
  <c r="Q945" i="16"/>
  <c r="R945" i="16"/>
  <c r="L946" i="16"/>
  <c r="C946" i="16"/>
  <c r="K946" i="16" s="1"/>
  <c r="E946" i="16"/>
  <c r="F946" i="16"/>
  <c r="O946" i="16" s="1"/>
  <c r="G946" i="16"/>
  <c r="I946" i="16"/>
  <c r="B947" i="16"/>
  <c r="N890" i="16"/>
  <c r="M890" i="16"/>
  <c r="D891" i="16"/>
  <c r="J891" i="16"/>
  <c r="Q891" i="16"/>
  <c r="P891" i="16"/>
  <c r="R891" i="16"/>
  <c r="L892" i="16"/>
  <c r="C892" i="16"/>
  <c r="E892" i="16"/>
  <c r="G892" i="16"/>
  <c r="I892" i="16"/>
  <c r="B893" i="16"/>
  <c r="N836" i="16"/>
  <c r="M836" i="16"/>
  <c r="M837" i="16"/>
  <c r="D837" i="16"/>
  <c r="J837" i="16"/>
  <c r="N837" i="16" s="1"/>
  <c r="P837" i="16"/>
  <c r="Q837" i="16"/>
  <c r="R837" i="16"/>
  <c r="L838" i="16"/>
  <c r="C838" i="16"/>
  <c r="E838" i="16"/>
  <c r="G838" i="16"/>
  <c r="I838" i="16"/>
  <c r="B839" i="16"/>
  <c r="N782" i="16"/>
  <c r="M782" i="16"/>
  <c r="M783" i="16"/>
  <c r="D783" i="16"/>
  <c r="J783" i="16"/>
  <c r="N783" i="16" s="1"/>
  <c r="Q783" i="16"/>
  <c r="P783" i="16"/>
  <c r="R783" i="16"/>
  <c r="L784" i="16"/>
  <c r="C784" i="16"/>
  <c r="E784" i="16"/>
  <c r="G784" i="16"/>
  <c r="I784" i="16"/>
  <c r="B785" i="16"/>
  <c r="M729" i="16"/>
  <c r="D729" i="16"/>
  <c r="J729" i="16"/>
  <c r="N729" i="16" s="1"/>
  <c r="P729" i="16"/>
  <c r="Q729" i="16"/>
  <c r="R729" i="16"/>
  <c r="L730" i="16"/>
  <c r="C730" i="16"/>
  <c r="K730" i="16" s="1"/>
  <c r="E730" i="16"/>
  <c r="F730" i="16"/>
  <c r="O730" i="16" s="1"/>
  <c r="G730" i="16"/>
  <c r="I730" i="16"/>
  <c r="B731" i="16"/>
  <c r="N674" i="16"/>
  <c r="M674" i="16"/>
  <c r="M675" i="16"/>
  <c r="D675" i="16"/>
  <c r="J675" i="16"/>
  <c r="N675" i="16" s="1"/>
  <c r="P675" i="16"/>
  <c r="Q675" i="16"/>
  <c r="R675" i="16"/>
  <c r="L676" i="16"/>
  <c r="C676" i="16"/>
  <c r="E676" i="16"/>
  <c r="G676" i="16"/>
  <c r="I676" i="16"/>
  <c r="B677" i="16"/>
  <c r="N620" i="16"/>
  <c r="M620" i="16"/>
  <c r="D621" i="16"/>
  <c r="J621" i="16"/>
  <c r="Q621" i="16"/>
  <c r="P621" i="16"/>
  <c r="R621" i="16"/>
  <c r="L622" i="16"/>
  <c r="C622" i="16"/>
  <c r="E622" i="16"/>
  <c r="G622" i="16"/>
  <c r="I622" i="16"/>
  <c r="B623" i="16"/>
  <c r="N566" i="16"/>
  <c r="M566" i="16"/>
  <c r="M567" i="16"/>
  <c r="D567" i="16"/>
  <c r="J567" i="16"/>
  <c r="N567" i="16" s="1"/>
  <c r="P567" i="16"/>
  <c r="Q567" i="16"/>
  <c r="R567" i="16"/>
  <c r="L568" i="16"/>
  <c r="C568" i="16"/>
  <c r="K568" i="16" s="1"/>
  <c r="E568" i="16"/>
  <c r="F568" i="16"/>
  <c r="O568" i="16" s="1"/>
  <c r="G568" i="16"/>
  <c r="I568" i="16"/>
  <c r="B569" i="16"/>
  <c r="M513" i="16"/>
  <c r="D513" i="16"/>
  <c r="J513" i="16"/>
  <c r="N513" i="16" s="1"/>
  <c r="Q513" i="16"/>
  <c r="P513" i="16"/>
  <c r="R513" i="16"/>
  <c r="L514" i="16"/>
  <c r="C514" i="16"/>
  <c r="K514" i="16" s="1"/>
  <c r="E514" i="16"/>
  <c r="F514" i="16"/>
  <c r="O514" i="16" s="1"/>
  <c r="G514" i="16"/>
  <c r="I514" i="16"/>
  <c r="B515" i="16"/>
  <c r="N458" i="16"/>
  <c r="M458" i="16"/>
  <c r="M459" i="16"/>
  <c r="D459" i="16"/>
  <c r="J459" i="16"/>
  <c r="N459" i="16" s="1"/>
  <c r="P459" i="16"/>
  <c r="Q459" i="16"/>
  <c r="R459" i="16"/>
  <c r="L460" i="16"/>
  <c r="C460" i="16"/>
  <c r="K460" i="16" s="1"/>
  <c r="E460" i="16"/>
  <c r="F460" i="16"/>
  <c r="O460" i="16" s="1"/>
  <c r="G460" i="16"/>
  <c r="I460" i="16"/>
  <c r="B461" i="16"/>
  <c r="N404" i="16"/>
  <c r="M404" i="16"/>
  <c r="M405" i="16"/>
  <c r="D405" i="16"/>
  <c r="J405" i="16"/>
  <c r="N405" i="16" s="1"/>
  <c r="P405" i="16"/>
  <c r="Q405" i="16"/>
  <c r="R405" i="16"/>
  <c r="L406" i="16"/>
  <c r="C406" i="16"/>
  <c r="E406" i="16"/>
  <c r="G406" i="16"/>
  <c r="I406" i="16"/>
  <c r="B407" i="16"/>
  <c r="P351" i="16"/>
  <c r="Q351" i="16"/>
  <c r="R351" i="16"/>
  <c r="J351" i="16"/>
  <c r="D351" i="16"/>
  <c r="L352" i="16"/>
  <c r="E352" i="16"/>
  <c r="I352" i="16"/>
  <c r="B353" i="16"/>
  <c r="G352" i="16"/>
  <c r="C352" i="16"/>
  <c r="M350" i="16"/>
  <c r="N350" i="16"/>
  <c r="M297" i="16"/>
  <c r="D297" i="16"/>
  <c r="J297" i="16"/>
  <c r="N297" i="16" s="1"/>
  <c r="P297" i="16"/>
  <c r="Q297" i="16"/>
  <c r="R297" i="16"/>
  <c r="L298" i="16"/>
  <c r="C298" i="16"/>
  <c r="K298" i="16" s="1"/>
  <c r="E298" i="16"/>
  <c r="F298" i="16"/>
  <c r="O298" i="16" s="1"/>
  <c r="G298" i="16"/>
  <c r="I298" i="16"/>
  <c r="B299" i="16"/>
  <c r="M243" i="16"/>
  <c r="D243" i="16"/>
  <c r="J243" i="16"/>
  <c r="N243" i="16" s="1"/>
  <c r="P243" i="16"/>
  <c r="Q243" i="16"/>
  <c r="R243" i="16"/>
  <c r="L244" i="16"/>
  <c r="C244" i="16"/>
  <c r="K244" i="16" s="1"/>
  <c r="E244" i="16"/>
  <c r="F244" i="16"/>
  <c r="O244" i="16" s="1"/>
  <c r="G244" i="16"/>
  <c r="I244" i="16"/>
  <c r="B245" i="16"/>
  <c r="M189" i="16"/>
  <c r="D189" i="16"/>
  <c r="J189" i="16"/>
  <c r="N189" i="16" s="1"/>
  <c r="P189" i="16"/>
  <c r="Q189" i="16"/>
  <c r="R189" i="16"/>
  <c r="L190" i="16"/>
  <c r="C190" i="16"/>
  <c r="E190" i="16"/>
  <c r="G190" i="16"/>
  <c r="I190" i="16"/>
  <c r="B191" i="16"/>
  <c r="M135" i="16"/>
  <c r="D135" i="16"/>
  <c r="J135" i="16"/>
  <c r="N135" i="16" s="1"/>
  <c r="P135" i="16"/>
  <c r="Q135" i="16"/>
  <c r="R135" i="16"/>
  <c r="L136" i="16"/>
  <c r="C136" i="16"/>
  <c r="E136" i="16"/>
  <c r="G136" i="16"/>
  <c r="I136" i="16"/>
  <c r="B137" i="16"/>
  <c r="D81" i="16"/>
  <c r="J81" i="16"/>
  <c r="N81" i="16" s="1"/>
  <c r="P81" i="16"/>
  <c r="Q81" i="16"/>
  <c r="R81" i="16"/>
  <c r="L82" i="16"/>
  <c r="C82" i="16"/>
  <c r="K82" i="16" s="1"/>
  <c r="E82" i="16"/>
  <c r="F82" i="16"/>
  <c r="O82" i="16" s="1"/>
  <c r="G82" i="16"/>
  <c r="I82" i="16"/>
  <c r="B83" i="16"/>
  <c r="N18" i="4"/>
  <c r="U18" i="4" s="1"/>
  <c r="M18" i="4"/>
  <c r="M19" i="4"/>
  <c r="D19" i="4"/>
  <c r="J19" i="4"/>
  <c r="N19" i="4" s="1"/>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N4567" i="16"/>
  <c r="M4567" i="16"/>
  <c r="L4568" i="16"/>
  <c r="L4567" i="16"/>
  <c r="U3643" i="16"/>
  <c r="S3643" i="16"/>
  <c r="T3643" i="16" s="1"/>
  <c r="U3589" i="16"/>
  <c r="S3589" i="16"/>
  <c r="T3589" i="16" s="1"/>
  <c r="U79" i="16"/>
  <c r="S79" i="16"/>
  <c r="T79" i="16" s="1"/>
  <c r="U80" i="16"/>
  <c r="S80" i="16"/>
  <c r="T80" i="16" s="1"/>
  <c r="D19" i="6"/>
  <c r="F35" i="6"/>
  <c r="E65" i="9"/>
  <c r="C35" i="6"/>
  <c r="C34" i="17"/>
  <c r="D34" i="17" s="1"/>
  <c r="C31" i="6"/>
  <c r="E62" i="9"/>
  <c r="G62" i="9"/>
  <c r="C24" i="17"/>
  <c r="D24" i="17" s="1"/>
  <c r="C11" i="6"/>
  <c r="F31" i="6"/>
  <c r="G7" i="5"/>
  <c r="F4049" i="16"/>
  <c r="F4157" i="16"/>
  <c r="M4618" i="16"/>
  <c r="F4619" i="16" s="1"/>
  <c r="C26" i="17"/>
  <c r="D26" i="17" s="1"/>
  <c r="F4103" i="16"/>
  <c r="F4211" i="16"/>
  <c r="J19" i="2"/>
  <c r="C6" i="5"/>
  <c r="C29" i="17"/>
  <c r="D29" i="17" s="1"/>
  <c r="C9" i="5"/>
  <c r="H4049" i="16"/>
  <c r="H4103" i="16"/>
  <c r="H4211" i="16"/>
  <c r="P4618" i="16"/>
  <c r="C30" i="17"/>
  <c r="D30" i="17" s="1"/>
  <c r="H4157" i="16"/>
  <c r="C10" i="5"/>
  <c r="G9" i="5"/>
  <c r="G30" i="6"/>
  <c r="C23" i="17"/>
  <c r="D23" i="17" s="1"/>
  <c r="B19" i="2"/>
  <c r="D30" i="6"/>
  <c r="E61" i="9"/>
  <c r="C25" i="17"/>
  <c r="D25" i="17" s="1"/>
  <c r="C5" i="5"/>
  <c r="A4049" i="16"/>
  <c r="B4049" i="16"/>
  <c r="B4157" i="16"/>
  <c r="A4211" i="16"/>
  <c r="B4211" i="16"/>
  <c r="N4618" i="16"/>
  <c r="C27" i="17"/>
  <c r="D27" i="17" s="1"/>
  <c r="A4103" i="16"/>
  <c r="B4103" i="16"/>
  <c r="A4157" i="16"/>
  <c r="F6" i="5"/>
  <c r="F7" i="5"/>
  <c r="C7" i="5"/>
  <c r="G4049" i="16"/>
  <c r="G4157" i="16"/>
  <c r="O4618" i="16"/>
  <c r="G4619" i="16" s="1"/>
  <c r="C28" i="17"/>
  <c r="D28" i="17" s="1"/>
  <c r="G4103" i="16"/>
  <c r="G4211" i="16"/>
  <c r="G8" i="5"/>
  <c r="C8" i="5"/>
  <c r="C31" i="17"/>
  <c r="D31" i="17" s="1"/>
  <c r="F32" i="6"/>
  <c r="G67" i="9"/>
  <c r="C35" i="17"/>
  <c r="D35" i="17" s="1"/>
  <c r="C22" i="6"/>
  <c r="B33" i="6"/>
  <c r="B34" i="6"/>
  <c r="U4051" i="16"/>
  <c r="U4105" i="16"/>
  <c r="U4160" i="16"/>
  <c r="U4214" i="16"/>
  <c r="C33" i="17"/>
  <c r="D33" i="17" s="1"/>
  <c r="U4106" i="16"/>
  <c r="U4159" i="16"/>
  <c r="U4213" i="16"/>
  <c r="H3" i="4"/>
  <c r="U17" i="4"/>
  <c r="B5" i="11"/>
  <c r="E3" i="12"/>
  <c r="E47" i="13"/>
  <c r="G47" i="13" s="1"/>
  <c r="U3428" i="16"/>
  <c r="S3428" i="16"/>
  <c r="T3428" i="16" s="1"/>
  <c r="U3374" i="16"/>
  <c r="S3374" i="16"/>
  <c r="T3374" i="16" s="1"/>
  <c r="U3320" i="16"/>
  <c r="S3320" i="16"/>
  <c r="T3320" i="16" s="1"/>
  <c r="U3319" i="16"/>
  <c r="S3319" i="16"/>
  <c r="T3319" i="16" s="1"/>
  <c r="U2996" i="16"/>
  <c r="S2996" i="16"/>
  <c r="T2996" i="16" s="1"/>
  <c r="U2618" i="16"/>
  <c r="S2618" i="16"/>
  <c r="T2618" i="16" s="1"/>
  <c r="U2510" i="16"/>
  <c r="S2510" i="16"/>
  <c r="T2510" i="16" s="1"/>
  <c r="U2509" i="16"/>
  <c r="S2509" i="16"/>
  <c r="T2509" i="16" s="1"/>
  <c r="U2455" i="16"/>
  <c r="S2455" i="16"/>
  <c r="T2455" i="16" s="1"/>
  <c r="U2456" i="16"/>
  <c r="S2456" i="16"/>
  <c r="T2456" i="16" s="1"/>
  <c r="U2401" i="16"/>
  <c r="S2401" i="16"/>
  <c r="T2401" i="16" s="1"/>
  <c r="U2402" i="16"/>
  <c r="S2402" i="16"/>
  <c r="T2402" i="16" s="1"/>
  <c r="U2293" i="16"/>
  <c r="S2293" i="16"/>
  <c r="T2293" i="16" s="1"/>
  <c r="U2077" i="16"/>
  <c r="S2077" i="16"/>
  <c r="T2077" i="16" s="1"/>
  <c r="U2078" i="16"/>
  <c r="S2078" i="16"/>
  <c r="T2078" i="16" s="1"/>
  <c r="U2024" i="16"/>
  <c r="S2024" i="16"/>
  <c r="T2024" i="16" s="1"/>
  <c r="U2023" i="16"/>
  <c r="S2023" i="16"/>
  <c r="T2023" i="16" s="1"/>
  <c r="U1969" i="16"/>
  <c r="S1969" i="16"/>
  <c r="T1969" i="16" s="1"/>
  <c r="U1915" i="16"/>
  <c r="S1915" i="16"/>
  <c r="T1915" i="16" s="1"/>
  <c r="U1429" i="16"/>
  <c r="S1429" i="16"/>
  <c r="T1429" i="16" s="1"/>
  <c r="U1160" i="16"/>
  <c r="S1160" i="16"/>
  <c r="T1160" i="16" s="1"/>
  <c r="U1159" i="16"/>
  <c r="S1159" i="16"/>
  <c r="T1159" i="16" s="1"/>
  <c r="U998" i="16"/>
  <c r="S998" i="16"/>
  <c r="T998" i="16" s="1"/>
  <c r="U997" i="16"/>
  <c r="S997" i="16"/>
  <c r="T997" i="16" s="1"/>
  <c r="U944" i="16"/>
  <c r="S944" i="16"/>
  <c r="T944" i="16" s="1"/>
  <c r="U512" i="16"/>
  <c r="S512" i="16"/>
  <c r="T512" i="16" s="1"/>
  <c r="U296" i="16"/>
  <c r="S296" i="16"/>
  <c r="T296" i="16" s="1"/>
  <c r="U242" i="16"/>
  <c r="S242" i="16"/>
  <c r="T242" i="16" s="1"/>
  <c r="U188" i="16"/>
  <c r="S188" i="16"/>
  <c r="T188" i="16" s="1"/>
  <c r="U133" i="16"/>
  <c r="S133" i="16"/>
  <c r="T133" i="16" s="1"/>
  <c r="U134" i="16"/>
  <c r="S134" i="16"/>
  <c r="T134" i="16" s="1"/>
  <c r="S4675" i="16"/>
  <c r="N3644" i="16"/>
  <c r="M3644" i="16"/>
  <c r="M3645" i="16"/>
  <c r="N3590" i="16"/>
  <c r="M3590" i="16"/>
  <c r="M2294" i="16"/>
  <c r="N2294" i="16"/>
  <c r="M1970" i="16"/>
  <c r="N1970" i="16"/>
  <c r="M1916" i="16"/>
  <c r="N1916" i="16"/>
  <c r="N1430" i="16"/>
  <c r="M1430" i="16"/>
  <c r="M728" i="16"/>
  <c r="N728" i="16"/>
  <c r="M81" i="16"/>
  <c r="O3267" i="16"/>
  <c r="O2241" i="16"/>
  <c r="F4569" i="16"/>
  <c r="K4569" i="16"/>
  <c r="F4161" i="16"/>
  <c r="K4161" i="16"/>
  <c r="F4107" i="16"/>
  <c r="K4107" i="16"/>
  <c r="F3591" i="16"/>
  <c r="O3591" i="16" s="1"/>
  <c r="K3591" i="16"/>
  <c r="K3483" i="16"/>
  <c r="F3483" i="16"/>
  <c r="O3483" i="16" s="1"/>
  <c r="F3429" i="16"/>
  <c r="O3429" i="16" s="1"/>
  <c r="K3429" i="16"/>
  <c r="O3266" i="16"/>
  <c r="O3265" i="16"/>
  <c r="F3213" i="16"/>
  <c r="O3213" i="16" s="1"/>
  <c r="K3213" i="16"/>
  <c r="K3159" i="16"/>
  <c r="F3159" i="16"/>
  <c r="O3159" i="16" s="1"/>
  <c r="F2997" i="16"/>
  <c r="O2997" i="16" s="1"/>
  <c r="K2997" i="16"/>
  <c r="K2889" i="16"/>
  <c r="F2889" i="16"/>
  <c r="O2889" i="16" s="1"/>
  <c r="F2835" i="16"/>
  <c r="O2835" i="16" s="1"/>
  <c r="K2835" i="16"/>
  <c r="F2781" i="16"/>
  <c r="O2781" i="16" s="1"/>
  <c r="K2781" i="16"/>
  <c r="F2565" i="16"/>
  <c r="O2565" i="16" s="1"/>
  <c r="K2565" i="16"/>
  <c r="K2511" i="16"/>
  <c r="F2511" i="16"/>
  <c r="O2511" i="16" s="1"/>
  <c r="O2239" i="16"/>
  <c r="O2240" i="16"/>
  <c r="K1863" i="16"/>
  <c r="F1863" i="16"/>
  <c r="O1863" i="16" s="1"/>
  <c r="K1539" i="16"/>
  <c r="F1539" i="16"/>
  <c r="O1539" i="16" s="1"/>
  <c r="F1485" i="16"/>
  <c r="O1485" i="16" s="1"/>
  <c r="K1485" i="16"/>
  <c r="K1377" i="16"/>
  <c r="F1377" i="16"/>
  <c r="O1377" i="16" s="1"/>
  <c r="K1269" i="16"/>
  <c r="F1269" i="16"/>
  <c r="O1269" i="16" s="1"/>
  <c r="F1216" i="16"/>
  <c r="O1216" i="16" s="1"/>
  <c r="K1216" i="16"/>
  <c r="K945" i="16"/>
  <c r="F945" i="16"/>
  <c r="O945" i="16" s="1"/>
  <c r="K891" i="16"/>
  <c r="F891" i="16"/>
  <c r="O891" i="16" s="1"/>
  <c r="K621" i="16"/>
  <c r="F621" i="16"/>
  <c r="O621" i="16" s="1"/>
  <c r="K351" i="16"/>
  <c r="F351" i="16"/>
  <c r="O351" i="16" s="1"/>
  <c r="D25" i="9"/>
  <c r="T25" i="9"/>
  <c r="C25" i="9"/>
  <c r="E25" i="9"/>
  <c r="V25" i="9"/>
  <c r="O25" i="9"/>
  <c r="D14" i="9"/>
  <c r="C14" i="9"/>
  <c r="E14" i="9"/>
  <c r="E15" i="9"/>
  <c r="T15" i="9"/>
  <c r="O15" i="9"/>
  <c r="D15" i="9"/>
  <c r="C15" i="9"/>
  <c r="V15" i="9"/>
  <c r="G4331" i="16"/>
  <c r="H4331" i="16"/>
  <c r="G4327" i="16"/>
  <c r="I4327" i="16" s="1"/>
  <c r="H4327" i="16"/>
  <c r="H4320" i="16"/>
  <c r="G4320" i="16"/>
  <c r="I4320" i="16" s="1"/>
  <c r="H4318" i="16"/>
  <c r="G4318" i="16"/>
  <c r="I4318" i="16" s="1"/>
  <c r="H4311" i="16"/>
  <c r="G4311" i="16"/>
  <c r="I4311" i="16" s="1"/>
  <c r="G4307" i="16"/>
  <c r="I4307" i="16" s="1"/>
  <c r="H4307" i="16"/>
  <c r="H4296" i="16"/>
  <c r="I4296" i="16" s="1"/>
  <c r="H4297" i="16"/>
  <c r="I4297" i="16" s="1"/>
  <c r="H4290" i="16"/>
  <c r="G4290" i="16"/>
  <c r="I4290" i="16" s="1"/>
  <c r="G4286" i="16"/>
  <c r="I4286" i="16" s="1"/>
  <c r="H4286" i="16"/>
  <c r="G4279" i="16"/>
  <c r="I4279" i="16" s="1"/>
  <c r="H4279" i="16"/>
  <c r="H4282" i="16"/>
  <c r="G4282" i="16"/>
  <c r="I4282" i="16" s="1"/>
  <c r="H4275" i="16"/>
  <c r="G4275" i="16"/>
  <c r="I4275" i="16" s="1"/>
  <c r="H4273" i="16"/>
  <c r="G4273" i="16"/>
  <c r="I4273" i="16" s="1"/>
  <c r="L4569" i="16"/>
  <c r="H4270" i="16"/>
  <c r="G4270" i="16"/>
  <c r="I4270" i="16" s="1"/>
  <c r="G4268" i="16"/>
  <c r="I4268" i="16" s="1"/>
  <c r="G4269" i="16"/>
  <c r="I4269" i="16" s="1"/>
  <c r="H4269" i="16"/>
  <c r="O33" i="9"/>
  <c r="O8" i="9"/>
  <c r="I4322" i="16"/>
  <c r="I4310" i="16" l="1"/>
  <c r="I4309" i="16"/>
  <c r="G6" i="5"/>
  <c r="H6" i="5" s="1"/>
  <c r="E4049" i="16"/>
  <c r="I4049" i="16" s="1"/>
  <c r="E4157" i="16"/>
  <c r="I4157" i="16" s="1"/>
  <c r="I4331" i="16"/>
  <c r="K3484" i="16"/>
  <c r="F3484" i="16"/>
  <c r="O3484" i="16" s="1"/>
  <c r="K3214" i="16"/>
  <c r="F3214" i="16"/>
  <c r="O3214" i="16" s="1"/>
  <c r="K2350" i="16"/>
  <c r="F2350" i="16"/>
  <c r="O2350" i="16" s="1"/>
  <c r="K2080" i="16"/>
  <c r="F2080" i="16"/>
  <c r="O2080" i="16" s="1"/>
  <c r="K1810" i="16"/>
  <c r="F1810" i="16"/>
  <c r="O1810" i="16" s="1"/>
  <c r="K1540" i="16"/>
  <c r="F1540" i="16"/>
  <c r="O1540" i="16" s="1"/>
  <c r="K1432" i="16"/>
  <c r="F1432" i="16"/>
  <c r="O1432" i="16" s="1"/>
  <c r="K1162" i="16"/>
  <c r="F1162" i="16"/>
  <c r="O1162" i="16" s="1"/>
  <c r="K1108" i="16"/>
  <c r="F1108" i="16"/>
  <c r="O1108" i="16" s="1"/>
  <c r="K838" i="16"/>
  <c r="F838" i="16"/>
  <c r="O838" i="16" s="1"/>
  <c r="K784" i="16"/>
  <c r="F784" i="16"/>
  <c r="O784" i="16" s="1"/>
  <c r="K622" i="16"/>
  <c r="M622" i="16" s="1"/>
  <c r="F622" i="16"/>
  <c r="O622" i="16" s="1"/>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E4625" i="16"/>
  <c r="G4625" i="16"/>
  <c r="B4626" i="16"/>
  <c r="D4570" i="16"/>
  <c r="J4570" i="16"/>
  <c r="P4570" i="16"/>
  <c r="Q4570" i="16"/>
  <c r="R4570" i="16"/>
  <c r="L4571" i="16"/>
  <c r="C4571" i="16"/>
  <c r="E4571" i="16"/>
  <c r="G4571" i="16"/>
  <c r="I4571" i="16"/>
  <c r="B4572" i="16"/>
  <c r="E4517" i="16"/>
  <c r="G4517" i="16"/>
  <c r="C4517" i="16"/>
  <c r="F4517" i="16" s="1"/>
  <c r="I4517" i="16"/>
  <c r="K4517" i="16"/>
  <c r="L4517" i="16"/>
  <c r="B4518" i="16"/>
  <c r="D4516" i="16"/>
  <c r="J4516" i="16"/>
  <c r="P4516" i="16"/>
  <c r="Q4516" i="16"/>
  <c r="R4516" i="16"/>
  <c r="P4216" i="16"/>
  <c r="Q4216" i="16"/>
  <c r="R4216" i="16"/>
  <c r="D4216" i="16"/>
  <c r="J4216" i="16"/>
  <c r="N4216" i="16" s="1"/>
  <c r="M4216" i="16"/>
  <c r="I4217" i="16"/>
  <c r="B4218" i="16"/>
  <c r="C4217" i="16"/>
  <c r="K4217" i="16" s="1"/>
  <c r="E4217" i="16"/>
  <c r="F4217" i="16"/>
  <c r="G4217" i="16"/>
  <c r="L4217" i="16"/>
  <c r="I4163" i="16"/>
  <c r="L4163" i="16"/>
  <c r="C4163" i="16"/>
  <c r="F4163" i="16" s="1"/>
  <c r="E4163" i="16"/>
  <c r="G4163" i="16"/>
  <c r="K4163" i="16"/>
  <c r="B4164" i="16"/>
  <c r="D4162" i="16"/>
  <c r="J4162" i="16"/>
  <c r="N4162" i="16" s="1"/>
  <c r="P4162" i="16"/>
  <c r="Q4162" i="16"/>
  <c r="R4162" i="16"/>
  <c r="M4162" i="16"/>
  <c r="L4109" i="16"/>
  <c r="C4109" i="16"/>
  <c r="F4109" i="16" s="1"/>
  <c r="E4109" i="16"/>
  <c r="G4109" i="16"/>
  <c r="I4109" i="16"/>
  <c r="K4109" i="16"/>
  <c r="B4110" i="16"/>
  <c r="J4108" i="16"/>
  <c r="D4108" i="16"/>
  <c r="P4108" i="16"/>
  <c r="Q4108" i="16"/>
  <c r="R4108" i="16"/>
  <c r="M4054" i="16"/>
  <c r="D4054" i="16"/>
  <c r="J4054" i="16"/>
  <c r="N4054" i="16" s="1"/>
  <c r="P4054" i="16"/>
  <c r="Q4054" i="16"/>
  <c r="R4054" i="16"/>
  <c r="L4055" i="16"/>
  <c r="C4055" i="16"/>
  <c r="K4055" i="16" s="1"/>
  <c r="E4055" i="16"/>
  <c r="F4055" i="16"/>
  <c r="G4055" i="16"/>
  <c r="I4055" i="16"/>
  <c r="B4056" i="16"/>
  <c r="U3752" i="16"/>
  <c r="S3752" i="16"/>
  <c r="T3752" i="16" s="1"/>
  <c r="U3753" i="16"/>
  <c r="S3753" i="16"/>
  <c r="T3753" i="16" s="1"/>
  <c r="M3754" i="16"/>
  <c r="D3754" i="16"/>
  <c r="J3754" i="16"/>
  <c r="N3754" i="16" s="1"/>
  <c r="P3754" i="16"/>
  <c r="Q3754" i="16"/>
  <c r="R3754" i="16"/>
  <c r="L3755" i="16"/>
  <c r="C3755" i="16"/>
  <c r="K3755" i="16" s="1"/>
  <c r="E3755" i="16"/>
  <c r="F3755" i="16"/>
  <c r="O3755" i="16" s="1"/>
  <c r="G3755" i="16"/>
  <c r="I3755" i="16"/>
  <c r="B3756" i="16"/>
  <c r="U3698" i="16"/>
  <c r="S3698" i="16"/>
  <c r="T3698" i="16" s="1"/>
  <c r="U3699" i="16"/>
  <c r="S3699" i="16"/>
  <c r="T3699" i="16" s="1"/>
  <c r="M3700" i="16"/>
  <c r="D3700" i="16"/>
  <c r="J3700" i="16"/>
  <c r="N3700" i="16" s="1"/>
  <c r="P3700" i="16"/>
  <c r="Q3700" i="16"/>
  <c r="R3700" i="16"/>
  <c r="L3701" i="16"/>
  <c r="C3701" i="16"/>
  <c r="K3701" i="16" s="1"/>
  <c r="E3701" i="16"/>
  <c r="F3701" i="16"/>
  <c r="O3701" i="16" s="1"/>
  <c r="G3701" i="16"/>
  <c r="I3701" i="16"/>
  <c r="B3702" i="16"/>
  <c r="M3646" i="16"/>
  <c r="D3646" i="16"/>
  <c r="J3646" i="16"/>
  <c r="N3646" i="16" s="1"/>
  <c r="P3646" i="16"/>
  <c r="Q3646" i="16"/>
  <c r="R3646" i="16"/>
  <c r="L3647" i="16"/>
  <c r="C3647" i="16"/>
  <c r="E3647" i="16"/>
  <c r="G3647" i="16"/>
  <c r="I3647" i="16"/>
  <c r="B3648" i="16"/>
  <c r="D3592" i="16"/>
  <c r="J3592" i="16"/>
  <c r="P3592" i="16"/>
  <c r="Q3592" i="16"/>
  <c r="R3592" i="16"/>
  <c r="L3593" i="16"/>
  <c r="C3593" i="16"/>
  <c r="K3593" i="16" s="1"/>
  <c r="E3593" i="16"/>
  <c r="F3593" i="16"/>
  <c r="O3593" i="16" s="1"/>
  <c r="G3593" i="16"/>
  <c r="I3593" i="16"/>
  <c r="B3594" i="16"/>
  <c r="U3536" i="16"/>
  <c r="S3536" i="16"/>
  <c r="T3536" i="16" s="1"/>
  <c r="U3537" i="16"/>
  <c r="S3537" i="16"/>
  <c r="T3537" i="16" s="1"/>
  <c r="M3538" i="16"/>
  <c r="D3538" i="16"/>
  <c r="J3538" i="16"/>
  <c r="N3538" i="16" s="1"/>
  <c r="P3538" i="16"/>
  <c r="Q3538" i="16"/>
  <c r="R3538" i="16"/>
  <c r="L3539" i="16"/>
  <c r="C3539" i="16"/>
  <c r="K3539" i="16" s="1"/>
  <c r="E3539" i="16"/>
  <c r="F3539" i="16"/>
  <c r="O3539" i="16" s="1"/>
  <c r="G3539" i="16"/>
  <c r="I3539" i="16"/>
  <c r="B3540" i="16"/>
  <c r="M3484" i="16"/>
  <c r="P3484" i="16"/>
  <c r="Q3484" i="16"/>
  <c r="R3484" i="16"/>
  <c r="L3485" i="16"/>
  <c r="I3485" i="16"/>
  <c r="B3486" i="16"/>
  <c r="C3485" i="16"/>
  <c r="K3485" i="16" s="1"/>
  <c r="E3485" i="16"/>
  <c r="F3485" i="16"/>
  <c r="O3485" i="16" s="1"/>
  <c r="G3485" i="16"/>
  <c r="D3484" i="16"/>
  <c r="J3484" i="16"/>
  <c r="N3484" i="16" s="1"/>
  <c r="U3482" i="16"/>
  <c r="S3482" i="16"/>
  <c r="T3482" i="16" s="1"/>
  <c r="D3430" i="16"/>
  <c r="J3430" i="16"/>
  <c r="P3430" i="16"/>
  <c r="Q3430" i="16"/>
  <c r="R3430" i="16"/>
  <c r="L3431" i="16"/>
  <c r="C3431" i="16"/>
  <c r="E3431" i="16"/>
  <c r="G3431" i="16"/>
  <c r="I3431" i="16"/>
  <c r="B3432" i="16"/>
  <c r="U3375" i="16"/>
  <c r="S3375" i="16"/>
  <c r="T3375" i="16" s="1"/>
  <c r="D3376" i="16"/>
  <c r="J3376" i="16"/>
  <c r="P3376" i="16"/>
  <c r="Q3376" i="16"/>
  <c r="R3376" i="16"/>
  <c r="L3377" i="16"/>
  <c r="C3377" i="16"/>
  <c r="E3377" i="16"/>
  <c r="G3377" i="16"/>
  <c r="I3377" i="16"/>
  <c r="B3378" i="16"/>
  <c r="U3321" i="16"/>
  <c r="S3321" i="16"/>
  <c r="T3321" i="16" s="1"/>
  <c r="M3322" i="16"/>
  <c r="D3322" i="16"/>
  <c r="J3322" i="16"/>
  <c r="N3322" i="16" s="1"/>
  <c r="P3322" i="16"/>
  <c r="Q3322" i="16"/>
  <c r="R3322" i="16"/>
  <c r="L3323" i="16"/>
  <c r="C3323" i="16"/>
  <c r="K3323" i="16" s="1"/>
  <c r="E3323" i="16"/>
  <c r="F3323" i="16"/>
  <c r="O3323" i="16" s="1"/>
  <c r="G3323" i="16"/>
  <c r="I3323" i="16"/>
  <c r="B3324" i="16"/>
  <c r="U3266" i="16"/>
  <c r="S3266" i="16"/>
  <c r="T3266" i="16" s="1"/>
  <c r="U3267" i="16"/>
  <c r="S3267" i="16"/>
  <c r="T3267" i="16" s="1"/>
  <c r="D3268" i="16"/>
  <c r="J3268" i="16"/>
  <c r="P3268" i="16"/>
  <c r="Q3268" i="16"/>
  <c r="R3268" i="16"/>
  <c r="L3269" i="16"/>
  <c r="C3269" i="16"/>
  <c r="K3269" i="16" s="1"/>
  <c r="E3269" i="16"/>
  <c r="F3269" i="16"/>
  <c r="O3269" i="16" s="1"/>
  <c r="G3269" i="16"/>
  <c r="I3269" i="16"/>
  <c r="B3270" i="16"/>
  <c r="U3212" i="16"/>
  <c r="S3212" i="16"/>
  <c r="T3212" i="16" s="1"/>
  <c r="M3214" i="16"/>
  <c r="J3214" i="16"/>
  <c r="N3214" i="16" s="1"/>
  <c r="D3214" i="16"/>
  <c r="P3214" i="16"/>
  <c r="Q3214" i="16"/>
  <c r="R3214" i="16"/>
  <c r="L3215" i="16"/>
  <c r="B3216" i="16"/>
  <c r="G3215" i="16"/>
  <c r="C3215" i="16"/>
  <c r="K3215" i="16" s="1"/>
  <c r="I3215" i="16"/>
  <c r="F3215" i="16"/>
  <c r="O3215" i="16" s="1"/>
  <c r="E3215" i="16"/>
  <c r="M3160" i="16"/>
  <c r="P3160" i="16"/>
  <c r="Q3160" i="16"/>
  <c r="R3160" i="16"/>
  <c r="D3160" i="16"/>
  <c r="J3160" i="16"/>
  <c r="N3160" i="16" s="1"/>
  <c r="L3161" i="16"/>
  <c r="E3161" i="16"/>
  <c r="B3162" i="16"/>
  <c r="G3161" i="16"/>
  <c r="C3161" i="16"/>
  <c r="I3161" i="16"/>
  <c r="U3158" i="16"/>
  <c r="S3158" i="16"/>
  <c r="T3158" i="16" s="1"/>
  <c r="U3104" i="16"/>
  <c r="S3104" i="16"/>
  <c r="T3104" i="16" s="1"/>
  <c r="U3105" i="16"/>
  <c r="S3105" i="16"/>
  <c r="T3105" i="16" s="1"/>
  <c r="P3106" i="16"/>
  <c r="Q3106" i="16"/>
  <c r="R3106" i="16"/>
  <c r="L3107" i="16"/>
  <c r="C3107" i="16"/>
  <c r="B3108" i="16"/>
  <c r="G3107" i="16"/>
  <c r="I3107" i="16"/>
  <c r="E3107" i="16"/>
  <c r="J3106" i="16"/>
  <c r="D3106" i="16"/>
  <c r="U3050" i="16"/>
  <c r="S3050" i="16"/>
  <c r="T3050" i="16" s="1"/>
  <c r="U3051" i="16"/>
  <c r="S3051" i="16"/>
  <c r="T3051" i="16" s="1"/>
  <c r="L3053" i="16"/>
  <c r="E3053" i="16"/>
  <c r="I3053" i="16"/>
  <c r="C3053" i="16"/>
  <c r="K3053" i="16" s="1"/>
  <c r="F3053" i="16"/>
  <c r="O3053" i="16" s="1"/>
  <c r="B3054" i="16"/>
  <c r="G3053" i="16"/>
  <c r="P3052" i="16"/>
  <c r="Q3052" i="16"/>
  <c r="R3052" i="16"/>
  <c r="J3052" i="16"/>
  <c r="D3052" i="16"/>
  <c r="L2999" i="16"/>
  <c r="E2999" i="16"/>
  <c r="G2999" i="16"/>
  <c r="I2999" i="16"/>
  <c r="C2999" i="16"/>
  <c r="B3000" i="16"/>
  <c r="D2998" i="16"/>
  <c r="J2998" i="16"/>
  <c r="Q2998" i="16"/>
  <c r="P2998" i="16"/>
  <c r="R2998" i="16"/>
  <c r="U2942" i="16"/>
  <c r="S2942" i="16"/>
  <c r="T2942" i="16" s="1"/>
  <c r="U2943" i="16"/>
  <c r="S2943" i="16"/>
  <c r="T2943" i="16" s="1"/>
  <c r="M2944" i="16"/>
  <c r="D2944" i="16"/>
  <c r="J2944" i="16"/>
  <c r="N2944" i="16" s="1"/>
  <c r="P2944" i="16"/>
  <c r="Q2944" i="16"/>
  <c r="R2944" i="16"/>
  <c r="L2945" i="16"/>
  <c r="C2945" i="16"/>
  <c r="E2945" i="16"/>
  <c r="G2945" i="16"/>
  <c r="I2945" i="16"/>
  <c r="B2946" i="16"/>
  <c r="U2888" i="16"/>
  <c r="S2888" i="16"/>
  <c r="T2888" i="16" s="1"/>
  <c r="M2890" i="16"/>
  <c r="D2890" i="16"/>
  <c r="J2890" i="16"/>
  <c r="N2890" i="16" s="1"/>
  <c r="P2890" i="16"/>
  <c r="Q2890" i="16"/>
  <c r="R2890" i="16"/>
  <c r="L2891" i="16"/>
  <c r="C2891" i="16"/>
  <c r="K2891" i="16" s="1"/>
  <c r="E2891" i="16"/>
  <c r="F2891" i="16"/>
  <c r="O2891" i="16" s="1"/>
  <c r="G2891" i="16"/>
  <c r="I2891" i="16"/>
  <c r="B2892" i="16"/>
  <c r="U2834" i="16"/>
  <c r="S2834" i="16"/>
  <c r="T2834" i="16" s="1"/>
  <c r="M2836" i="16"/>
  <c r="D2836" i="16"/>
  <c r="J2836" i="16"/>
  <c r="N2836" i="16" s="1"/>
  <c r="P2836" i="16"/>
  <c r="Q2836" i="16"/>
  <c r="R2836" i="16"/>
  <c r="L2837" i="16"/>
  <c r="C2837" i="16"/>
  <c r="K2837" i="16" s="1"/>
  <c r="E2837" i="16"/>
  <c r="F2837" i="16"/>
  <c r="O2837" i="16" s="1"/>
  <c r="G2837" i="16"/>
  <c r="I2837" i="16"/>
  <c r="B2838" i="16"/>
  <c r="M2782" i="16"/>
  <c r="D2782" i="16"/>
  <c r="J2782" i="16"/>
  <c r="N2782" i="16" s="1"/>
  <c r="S2782" i="16" s="1"/>
  <c r="T2782" i="16" s="1"/>
  <c r="U2782" i="16" s="1"/>
  <c r="P2782" i="16"/>
  <c r="Q2782" i="16"/>
  <c r="R2782" i="16"/>
  <c r="L2783" i="16"/>
  <c r="C2783" i="16"/>
  <c r="K2783" i="16" s="1"/>
  <c r="E2783" i="16"/>
  <c r="F2783" i="16"/>
  <c r="O2783" i="16" s="1"/>
  <c r="G2783" i="16"/>
  <c r="I2783" i="16"/>
  <c r="B2784" i="16"/>
  <c r="U2726" i="16"/>
  <c r="S2726" i="16"/>
  <c r="T2726" i="16" s="1"/>
  <c r="U2727" i="16"/>
  <c r="S2727" i="16"/>
  <c r="T2727" i="16" s="1"/>
  <c r="D2728" i="16"/>
  <c r="J2728" i="16"/>
  <c r="P2728" i="16"/>
  <c r="Q2728" i="16"/>
  <c r="R2728" i="16"/>
  <c r="L2729" i="16"/>
  <c r="C2729" i="16"/>
  <c r="E2729" i="16"/>
  <c r="G2729" i="16"/>
  <c r="I2729" i="16"/>
  <c r="B2730" i="16"/>
  <c r="U2672" i="16"/>
  <c r="S2672" i="16"/>
  <c r="T2672" i="16" s="1"/>
  <c r="U2673" i="16"/>
  <c r="S2673" i="16"/>
  <c r="T2673" i="16" s="1"/>
  <c r="M2674" i="16"/>
  <c r="D2674" i="16"/>
  <c r="J2674" i="16"/>
  <c r="N2674" i="16" s="1"/>
  <c r="P2674" i="16"/>
  <c r="Q2674" i="16"/>
  <c r="R2674" i="16"/>
  <c r="L2675" i="16"/>
  <c r="C2675" i="16"/>
  <c r="K2675" i="16" s="1"/>
  <c r="E2675" i="16"/>
  <c r="F2675" i="16"/>
  <c r="O2675" i="16" s="1"/>
  <c r="G2675" i="16"/>
  <c r="I2675" i="16"/>
  <c r="B2676" i="16"/>
  <c r="U2619" i="16"/>
  <c r="S2619" i="16"/>
  <c r="T2619" i="16" s="1"/>
  <c r="M2620" i="16"/>
  <c r="D2620" i="16"/>
  <c r="J2620" i="16"/>
  <c r="N2620" i="16" s="1"/>
  <c r="P2620" i="16"/>
  <c r="Q2620" i="16"/>
  <c r="R2620" i="16"/>
  <c r="L2621" i="16"/>
  <c r="C2621" i="16"/>
  <c r="E2621" i="16"/>
  <c r="G2621" i="16"/>
  <c r="I2621" i="16"/>
  <c r="B2622" i="16"/>
  <c r="U2564" i="16"/>
  <c r="S2564" i="16"/>
  <c r="T2564" i="16" s="1"/>
  <c r="M2566" i="16"/>
  <c r="D2566" i="16"/>
  <c r="J2566" i="16"/>
  <c r="N2566" i="16" s="1"/>
  <c r="P2566" i="16"/>
  <c r="Q2566" i="16"/>
  <c r="R2566" i="16"/>
  <c r="L2567" i="16"/>
  <c r="C2567" i="16"/>
  <c r="K2567" i="16" s="1"/>
  <c r="E2567" i="16"/>
  <c r="F2567" i="16"/>
  <c r="O2567" i="16" s="1"/>
  <c r="G2567" i="16"/>
  <c r="I2567" i="16"/>
  <c r="B2568" i="16"/>
  <c r="D2512" i="16"/>
  <c r="J2512" i="16"/>
  <c r="Q2512" i="16"/>
  <c r="P2512" i="16"/>
  <c r="R2512" i="16"/>
  <c r="L2513" i="16"/>
  <c r="C2513" i="16"/>
  <c r="K2513" i="16" s="1"/>
  <c r="E2513" i="16"/>
  <c r="F2513" i="16"/>
  <c r="O2513" i="16" s="1"/>
  <c r="G2513" i="16"/>
  <c r="I2513" i="16"/>
  <c r="B2514" i="16"/>
  <c r="U2457" i="16"/>
  <c r="S2457" i="16"/>
  <c r="T2457" i="16" s="1"/>
  <c r="D2458" i="16"/>
  <c r="J2458" i="16"/>
  <c r="Q2458" i="16"/>
  <c r="P2458" i="16"/>
  <c r="R2458" i="16"/>
  <c r="L2459" i="16"/>
  <c r="C2459" i="16"/>
  <c r="K2459" i="16" s="1"/>
  <c r="E2459" i="16"/>
  <c r="F2459" i="16"/>
  <c r="O2459" i="16" s="1"/>
  <c r="G2459" i="16"/>
  <c r="I2459" i="16"/>
  <c r="B2460" i="16"/>
  <c r="U2403" i="16"/>
  <c r="S2403" i="16"/>
  <c r="T2403" i="16" s="1"/>
  <c r="D2404" i="16"/>
  <c r="J2404" i="16"/>
  <c r="P2404" i="16"/>
  <c r="Q2404" i="16"/>
  <c r="R2404" i="16"/>
  <c r="L2405" i="16"/>
  <c r="C2405" i="16"/>
  <c r="E2405" i="16"/>
  <c r="G2405" i="16"/>
  <c r="I2405" i="16"/>
  <c r="B2406" i="16"/>
  <c r="U2348" i="16"/>
  <c r="S2348" i="16"/>
  <c r="T2348" i="16" s="1"/>
  <c r="U2349" i="16"/>
  <c r="S2349" i="16"/>
  <c r="T2349" i="16" s="1"/>
  <c r="M2350" i="16"/>
  <c r="D2350" i="16"/>
  <c r="J2350" i="16"/>
  <c r="N2350" i="16" s="1"/>
  <c r="P2350" i="16"/>
  <c r="Q2350" i="16"/>
  <c r="R2350" i="16"/>
  <c r="L2351" i="16"/>
  <c r="C2351" i="16"/>
  <c r="K2351" i="16" s="1"/>
  <c r="E2351" i="16"/>
  <c r="F2351" i="16"/>
  <c r="O2351" i="16" s="1"/>
  <c r="G2351" i="16"/>
  <c r="I2351" i="16"/>
  <c r="B2352" i="16"/>
  <c r="U2295" i="16"/>
  <c r="S2295" i="16"/>
  <c r="T2295" i="16" s="1"/>
  <c r="M2296" i="16"/>
  <c r="D2296" i="16"/>
  <c r="J2296" i="16"/>
  <c r="N2296" i="16" s="1"/>
  <c r="P2296" i="16"/>
  <c r="Q2296" i="16"/>
  <c r="R2296" i="16"/>
  <c r="L2297" i="16"/>
  <c r="C2297" i="16"/>
  <c r="E2297" i="16"/>
  <c r="G2297" i="16"/>
  <c r="I2297" i="16"/>
  <c r="B2298" i="16"/>
  <c r="U2240" i="16"/>
  <c r="S2240" i="16"/>
  <c r="T2240" i="16" s="1"/>
  <c r="U2241" i="16"/>
  <c r="S2241" i="16"/>
  <c r="T2241" i="16" s="1"/>
  <c r="D2242" i="16"/>
  <c r="J2242" i="16"/>
  <c r="P2242" i="16"/>
  <c r="Q2242" i="16"/>
  <c r="R2242" i="16"/>
  <c r="L2243" i="16"/>
  <c r="C2243" i="16"/>
  <c r="K2243" i="16" s="1"/>
  <c r="E2243" i="16"/>
  <c r="F2243" i="16"/>
  <c r="O2243" i="16" s="1"/>
  <c r="G2243" i="16"/>
  <c r="I2243" i="16"/>
  <c r="B2244" i="16"/>
  <c r="U2186" i="16"/>
  <c r="S2186" i="16"/>
  <c r="T2186" i="16" s="1"/>
  <c r="U2187" i="16"/>
  <c r="S2187" i="16"/>
  <c r="T2187" i="16" s="1"/>
  <c r="D2188" i="16"/>
  <c r="J2188" i="16"/>
  <c r="P2188" i="16"/>
  <c r="Q2188" i="16"/>
  <c r="R2188" i="16"/>
  <c r="L2189" i="16"/>
  <c r="C2189" i="16"/>
  <c r="K2189" i="16" s="1"/>
  <c r="E2189" i="16"/>
  <c r="F2189" i="16"/>
  <c r="O2189" i="16" s="1"/>
  <c r="G2189" i="16"/>
  <c r="I2189" i="16"/>
  <c r="B2190" i="16"/>
  <c r="U2133" i="16"/>
  <c r="S2133" i="16"/>
  <c r="T2133" i="16" s="1"/>
  <c r="M2134" i="16"/>
  <c r="D2134" i="16"/>
  <c r="J2134" i="16"/>
  <c r="N2134" i="16" s="1"/>
  <c r="P2134" i="16"/>
  <c r="Q2134" i="16"/>
  <c r="R2134" i="16"/>
  <c r="L2135" i="16"/>
  <c r="C2135" i="16"/>
  <c r="K2135" i="16" s="1"/>
  <c r="E2135" i="16"/>
  <c r="F2135" i="16"/>
  <c r="O2135" i="16" s="1"/>
  <c r="G2135" i="16"/>
  <c r="I2135" i="16"/>
  <c r="B2136" i="16"/>
  <c r="U2132" i="16"/>
  <c r="S2132" i="16"/>
  <c r="T2132" i="16" s="1"/>
  <c r="U2079" i="16"/>
  <c r="S2079" i="16"/>
  <c r="T2079" i="16" s="1"/>
  <c r="M2080" i="16"/>
  <c r="D2080" i="16"/>
  <c r="J2080" i="16"/>
  <c r="N2080" i="16" s="1"/>
  <c r="P2080" i="16"/>
  <c r="Q2080" i="16"/>
  <c r="R2080" i="16"/>
  <c r="L2081" i="16"/>
  <c r="C2081" i="16"/>
  <c r="K2081" i="16" s="1"/>
  <c r="E2081" i="16"/>
  <c r="F2081" i="16"/>
  <c r="O2081" i="16" s="1"/>
  <c r="G2081" i="16"/>
  <c r="I2081" i="16"/>
  <c r="B2082" i="16"/>
  <c r="U2025" i="16"/>
  <c r="S2025" i="16"/>
  <c r="T2025" i="16" s="1"/>
  <c r="M2026" i="16"/>
  <c r="D2026" i="16"/>
  <c r="J2026" i="16"/>
  <c r="N2026" i="16" s="1"/>
  <c r="P2026" i="16"/>
  <c r="Q2026" i="16"/>
  <c r="R2026" i="16"/>
  <c r="L2027" i="16"/>
  <c r="C2027" i="16"/>
  <c r="K2027" i="16" s="1"/>
  <c r="E2027" i="16"/>
  <c r="F2027" i="16"/>
  <c r="O2027" i="16" s="1"/>
  <c r="G2027" i="16"/>
  <c r="I2027" i="16"/>
  <c r="B2028" i="16"/>
  <c r="U1971" i="16"/>
  <c r="S1971" i="16"/>
  <c r="T1971" i="16" s="1"/>
  <c r="M1972" i="16"/>
  <c r="D1972" i="16"/>
  <c r="J1972" i="16"/>
  <c r="N1972" i="16" s="1"/>
  <c r="P1972" i="16"/>
  <c r="Q1972" i="16"/>
  <c r="R1972" i="16"/>
  <c r="L1973" i="16"/>
  <c r="C1973" i="16"/>
  <c r="K1973" i="16" s="1"/>
  <c r="E1973" i="16"/>
  <c r="F1973" i="16"/>
  <c r="O1973" i="16" s="1"/>
  <c r="G1973" i="16"/>
  <c r="I1973" i="16"/>
  <c r="B1974" i="16"/>
  <c r="U1917" i="16"/>
  <c r="S1917" i="16"/>
  <c r="T1917" i="16" s="1"/>
  <c r="D1918" i="16"/>
  <c r="J1918" i="16"/>
  <c r="P1918" i="16"/>
  <c r="Q1918" i="16"/>
  <c r="R1918" i="16"/>
  <c r="L1919" i="16"/>
  <c r="C1919" i="16"/>
  <c r="K1919" i="16" s="1"/>
  <c r="E1919" i="16"/>
  <c r="F1919" i="16"/>
  <c r="O1919" i="16" s="1"/>
  <c r="G1919" i="16"/>
  <c r="I1919" i="16"/>
  <c r="B1920" i="16"/>
  <c r="U1862" i="16"/>
  <c r="S1862" i="16"/>
  <c r="T1862" i="16" s="1"/>
  <c r="D1864" i="16"/>
  <c r="J1864" i="16"/>
  <c r="P1864" i="16"/>
  <c r="Q1864" i="16"/>
  <c r="R1864" i="16"/>
  <c r="L1865" i="16"/>
  <c r="C1865" i="16"/>
  <c r="E1865" i="16"/>
  <c r="G1865" i="16"/>
  <c r="I1865" i="16"/>
  <c r="B1866" i="16"/>
  <c r="U1808" i="16"/>
  <c r="S1808" i="16"/>
  <c r="T1808" i="16" s="1"/>
  <c r="U1809" i="16"/>
  <c r="S1809" i="16"/>
  <c r="T1809" i="16" s="1"/>
  <c r="M1810" i="16"/>
  <c r="D1810" i="16"/>
  <c r="J1810" i="16"/>
  <c r="N1810" i="16" s="1"/>
  <c r="P1810" i="16"/>
  <c r="Q1810" i="16"/>
  <c r="R1810" i="16"/>
  <c r="L1811" i="16"/>
  <c r="C1811" i="16"/>
  <c r="K1811" i="16" s="1"/>
  <c r="E1811" i="16"/>
  <c r="F1811" i="16"/>
  <c r="O1811" i="16" s="1"/>
  <c r="G1811" i="16"/>
  <c r="I1811" i="16"/>
  <c r="B1812" i="16"/>
  <c r="U1754" i="16"/>
  <c r="S1754" i="16"/>
  <c r="T1754" i="16" s="1"/>
  <c r="U1755" i="16"/>
  <c r="S1755" i="16"/>
  <c r="T1755" i="16" s="1"/>
  <c r="M1756" i="16"/>
  <c r="D1756" i="16"/>
  <c r="J1756" i="16"/>
  <c r="N1756" i="16" s="1"/>
  <c r="P1756" i="16"/>
  <c r="Q1756" i="16"/>
  <c r="R1756" i="16"/>
  <c r="L1757" i="16"/>
  <c r="C1757" i="16"/>
  <c r="K1757" i="16" s="1"/>
  <c r="E1757" i="16"/>
  <c r="F1757" i="16"/>
  <c r="O1757" i="16" s="1"/>
  <c r="G1757" i="16"/>
  <c r="I1757" i="16"/>
  <c r="B1758" i="16"/>
  <c r="U1700" i="16"/>
  <c r="S1700" i="16"/>
  <c r="T1700" i="16" s="1"/>
  <c r="U1701" i="16"/>
  <c r="S1701" i="16"/>
  <c r="T1701" i="16" s="1"/>
  <c r="M1702" i="16"/>
  <c r="D1702" i="16"/>
  <c r="J1702" i="16"/>
  <c r="N1702" i="16" s="1"/>
  <c r="P1702" i="16"/>
  <c r="Q1702" i="16"/>
  <c r="R1702" i="16"/>
  <c r="L1703" i="16"/>
  <c r="C1703" i="16"/>
  <c r="K1703" i="16" s="1"/>
  <c r="E1703" i="16"/>
  <c r="F1703" i="16"/>
  <c r="O1703" i="16" s="1"/>
  <c r="G1703" i="16"/>
  <c r="I1703" i="16"/>
  <c r="B1704" i="16"/>
  <c r="U1646" i="16"/>
  <c r="S1646" i="16"/>
  <c r="T1646" i="16" s="1"/>
  <c r="U1647" i="16"/>
  <c r="S1647" i="16"/>
  <c r="T1647" i="16" s="1"/>
  <c r="M1648" i="16"/>
  <c r="D1648" i="16"/>
  <c r="J1648" i="16"/>
  <c r="N1648" i="16" s="1"/>
  <c r="P1648" i="16"/>
  <c r="Q1648" i="16"/>
  <c r="R1648" i="16"/>
  <c r="L1649" i="16"/>
  <c r="C1649" i="16"/>
  <c r="E1649" i="16"/>
  <c r="G1649" i="16"/>
  <c r="I1649" i="16"/>
  <c r="B1650" i="16"/>
  <c r="U1592" i="16"/>
  <c r="S1592" i="16"/>
  <c r="T1592" i="16" s="1"/>
  <c r="U1593" i="16"/>
  <c r="S1593" i="16"/>
  <c r="T1593" i="16" s="1"/>
  <c r="M1594" i="16"/>
  <c r="D1594" i="16"/>
  <c r="J1594" i="16"/>
  <c r="N1594" i="16" s="1"/>
  <c r="P1594" i="16"/>
  <c r="Q1594" i="16"/>
  <c r="R1594" i="16"/>
  <c r="L1595" i="16"/>
  <c r="C1595" i="16"/>
  <c r="K1595" i="16" s="1"/>
  <c r="E1595" i="16"/>
  <c r="F1595" i="16"/>
  <c r="O1595" i="16" s="1"/>
  <c r="G1595" i="16"/>
  <c r="I1595" i="16"/>
  <c r="B1596" i="16"/>
  <c r="U1538" i="16"/>
  <c r="S1538" i="16"/>
  <c r="T1538" i="16" s="1"/>
  <c r="M1540" i="16"/>
  <c r="D1540" i="16"/>
  <c r="J1540" i="16"/>
  <c r="N1540" i="16" s="1"/>
  <c r="P1540" i="16"/>
  <c r="Q1540" i="16"/>
  <c r="R1540" i="16"/>
  <c r="L1541" i="16"/>
  <c r="C1541" i="16"/>
  <c r="K1541" i="16" s="1"/>
  <c r="E1541" i="16"/>
  <c r="F1541" i="16"/>
  <c r="O1541" i="16" s="1"/>
  <c r="G1541" i="16"/>
  <c r="I1541" i="16"/>
  <c r="B1542" i="16"/>
  <c r="U1484" i="16"/>
  <c r="S1484" i="16"/>
  <c r="T1484" i="16" s="1"/>
  <c r="P1486" i="16"/>
  <c r="Q1486" i="16"/>
  <c r="R1486" i="16"/>
  <c r="J1486" i="16"/>
  <c r="D1486" i="16"/>
  <c r="L1487" i="16"/>
  <c r="E1487" i="16"/>
  <c r="G1487" i="16"/>
  <c r="C1487" i="16"/>
  <c r="B1488" i="16"/>
  <c r="I1487" i="16"/>
  <c r="U1431" i="16"/>
  <c r="S1431" i="16"/>
  <c r="T1431" i="16" s="1"/>
  <c r="M1432" i="16"/>
  <c r="Q1432" i="16"/>
  <c r="P1432" i="16"/>
  <c r="R1432" i="16"/>
  <c r="J1432" i="16"/>
  <c r="N1432" i="16" s="1"/>
  <c r="D1432" i="16"/>
  <c r="L1433" i="16"/>
  <c r="E1433" i="16"/>
  <c r="I1433" i="16"/>
  <c r="C1433" i="16"/>
  <c r="K1433" i="16" s="1"/>
  <c r="F1433" i="16"/>
  <c r="O1433" i="16" s="1"/>
  <c r="G1433" i="16"/>
  <c r="B1434" i="16"/>
  <c r="U1376" i="16"/>
  <c r="S1376" i="16"/>
  <c r="T1376" i="16" s="1"/>
  <c r="M1378" i="16"/>
  <c r="P1378" i="16"/>
  <c r="Q1378" i="16"/>
  <c r="R1378" i="16"/>
  <c r="J1378" i="16"/>
  <c r="N1378" i="16" s="1"/>
  <c r="D1378" i="16"/>
  <c r="L1379" i="16"/>
  <c r="I1379" i="16"/>
  <c r="B1380" i="16"/>
  <c r="C1379" i="16"/>
  <c r="G1379" i="16"/>
  <c r="E1379" i="16"/>
  <c r="U1323" i="16"/>
  <c r="S1323" i="16"/>
  <c r="T1323" i="16" s="1"/>
  <c r="M1324" i="16"/>
  <c r="J1324" i="16"/>
  <c r="N1324" i="16" s="1"/>
  <c r="D1324" i="16"/>
  <c r="L1325" i="16"/>
  <c r="C1325" i="16"/>
  <c r="K1325" i="16" s="1"/>
  <c r="F1325" i="16"/>
  <c r="O1325" i="16" s="1"/>
  <c r="I1325" i="16"/>
  <c r="E1325" i="16"/>
  <c r="G1325" i="16"/>
  <c r="B1326" i="16"/>
  <c r="P1324" i="16"/>
  <c r="Q1324" i="16"/>
  <c r="R1324" i="16"/>
  <c r="U1322" i="16"/>
  <c r="S1322" i="16"/>
  <c r="T1322" i="16" s="1"/>
  <c r="U1268" i="16"/>
  <c r="S1268" i="16"/>
  <c r="T1268" i="16" s="1"/>
  <c r="M1270" i="16"/>
  <c r="P1270" i="16"/>
  <c r="Q1270" i="16"/>
  <c r="R1270" i="16"/>
  <c r="J1270" i="16"/>
  <c r="N1270" i="16" s="1"/>
  <c r="D1270" i="16"/>
  <c r="L1271" i="16"/>
  <c r="B1272" i="16"/>
  <c r="C1271" i="16"/>
  <c r="I1271" i="16"/>
  <c r="E1271" i="16"/>
  <c r="G1271" i="16"/>
  <c r="U1215" i="16"/>
  <c r="S1215" i="16"/>
  <c r="T1215" i="16" s="1"/>
  <c r="M1217" i="16"/>
  <c r="P1217" i="16"/>
  <c r="Q1217" i="16"/>
  <c r="R1217" i="16"/>
  <c r="J1217" i="16"/>
  <c r="N1217" i="16" s="1"/>
  <c r="D1217" i="16"/>
  <c r="L1218" i="16"/>
  <c r="E1218" i="16"/>
  <c r="C1218" i="16"/>
  <c r="K1218" i="16" s="1"/>
  <c r="F1218" i="16"/>
  <c r="O1218" i="16" s="1"/>
  <c r="G1218" i="16"/>
  <c r="B1219" i="16"/>
  <c r="I1218" i="16"/>
  <c r="U1161" i="16"/>
  <c r="S1161" i="16"/>
  <c r="T1161" i="16" s="1"/>
  <c r="M1162" i="16"/>
  <c r="D1162" i="16"/>
  <c r="J1162" i="16"/>
  <c r="N1162" i="16" s="1"/>
  <c r="P1162" i="16"/>
  <c r="Q1162" i="16"/>
  <c r="R1162" i="16"/>
  <c r="L1163" i="16"/>
  <c r="C1163" i="16"/>
  <c r="K1163" i="16" s="1"/>
  <c r="E1163" i="16"/>
  <c r="F1163" i="16"/>
  <c r="O1163" i="16" s="1"/>
  <c r="G1163" i="16"/>
  <c r="I1163" i="16"/>
  <c r="B1164" i="16"/>
  <c r="U1106" i="16"/>
  <c r="S1106" i="16"/>
  <c r="T1106" i="16" s="1"/>
  <c r="U1107" i="16"/>
  <c r="S1107" i="16"/>
  <c r="T1107" i="16" s="1"/>
  <c r="M1108" i="16"/>
  <c r="D1108" i="16"/>
  <c r="J1108" i="16"/>
  <c r="N1108" i="16" s="1"/>
  <c r="P1108" i="16"/>
  <c r="Q1108" i="16"/>
  <c r="R1108" i="16"/>
  <c r="L1109" i="16"/>
  <c r="C1109" i="16"/>
  <c r="K1109" i="16" s="1"/>
  <c r="E1109" i="16"/>
  <c r="F1109" i="16"/>
  <c r="O1109" i="16" s="1"/>
  <c r="G1109" i="16"/>
  <c r="I1109" i="16"/>
  <c r="B1110" i="16"/>
  <c r="U1052" i="16"/>
  <c r="S1052" i="16"/>
  <c r="T1052" i="16" s="1"/>
  <c r="U1053" i="16"/>
  <c r="S1053" i="16"/>
  <c r="T1053" i="16" s="1"/>
  <c r="M1054" i="16"/>
  <c r="D1054" i="16"/>
  <c r="J1054" i="16"/>
  <c r="N1054" i="16" s="1"/>
  <c r="P1054" i="16"/>
  <c r="Q1054" i="16"/>
  <c r="R1054" i="16"/>
  <c r="L1055" i="16"/>
  <c r="C1055" i="16"/>
  <c r="K1055" i="16" s="1"/>
  <c r="E1055" i="16"/>
  <c r="F1055" i="16"/>
  <c r="O1055" i="16" s="1"/>
  <c r="G1055" i="16"/>
  <c r="I1055" i="16"/>
  <c r="B1056" i="16"/>
  <c r="U999" i="16"/>
  <c r="S999" i="16"/>
  <c r="T999" i="16" s="1"/>
  <c r="D1000" i="16"/>
  <c r="J1000" i="16"/>
  <c r="P1000" i="16"/>
  <c r="Q1000" i="16"/>
  <c r="R1000" i="16"/>
  <c r="L1001" i="16"/>
  <c r="E1001" i="16"/>
  <c r="G1001" i="16"/>
  <c r="B1002" i="16"/>
  <c r="C1001" i="16"/>
  <c r="I1001" i="16"/>
  <c r="M946" i="16"/>
  <c r="D946" i="16"/>
  <c r="J946" i="16"/>
  <c r="N946" i="16" s="1"/>
  <c r="P946" i="16"/>
  <c r="Q946" i="16"/>
  <c r="R946" i="16"/>
  <c r="L947" i="16"/>
  <c r="C947" i="16"/>
  <c r="E947" i="16"/>
  <c r="G947" i="16"/>
  <c r="I947" i="16"/>
  <c r="B948" i="16"/>
  <c r="U890" i="16"/>
  <c r="S890" i="16"/>
  <c r="T890" i="16" s="1"/>
  <c r="D892" i="16"/>
  <c r="J892" i="16"/>
  <c r="Q892" i="16"/>
  <c r="P892" i="16"/>
  <c r="R892" i="16"/>
  <c r="L893" i="16"/>
  <c r="C893" i="16"/>
  <c r="K893" i="16" s="1"/>
  <c r="E893" i="16"/>
  <c r="F893" i="16"/>
  <c r="O893" i="16" s="1"/>
  <c r="G893" i="16"/>
  <c r="I893" i="16"/>
  <c r="B894" i="16"/>
  <c r="U836" i="16"/>
  <c r="S836" i="16"/>
  <c r="T836" i="16" s="1"/>
  <c r="U837" i="16"/>
  <c r="S837" i="16"/>
  <c r="T837" i="16" s="1"/>
  <c r="M838" i="16"/>
  <c r="D838" i="16"/>
  <c r="J838" i="16"/>
  <c r="N838" i="16" s="1"/>
  <c r="Q838" i="16"/>
  <c r="P838" i="16"/>
  <c r="R838" i="16"/>
  <c r="L839" i="16"/>
  <c r="C839" i="16"/>
  <c r="K839" i="16" s="1"/>
  <c r="E839" i="16"/>
  <c r="F839" i="16"/>
  <c r="O839" i="16" s="1"/>
  <c r="G839" i="16"/>
  <c r="I839" i="16"/>
  <c r="B840" i="16"/>
  <c r="U782" i="16"/>
  <c r="S782" i="16"/>
  <c r="T782" i="16" s="1"/>
  <c r="U783" i="16"/>
  <c r="S783" i="16"/>
  <c r="T783" i="16" s="1"/>
  <c r="M784" i="16"/>
  <c r="D784" i="16"/>
  <c r="J784" i="16"/>
  <c r="N784" i="16" s="1"/>
  <c r="Q784" i="16"/>
  <c r="P784" i="16"/>
  <c r="R784" i="16"/>
  <c r="L785" i="16"/>
  <c r="C785" i="16"/>
  <c r="K785" i="16" s="1"/>
  <c r="E785" i="16"/>
  <c r="F785" i="16"/>
  <c r="O785" i="16" s="1"/>
  <c r="G785" i="16"/>
  <c r="I785" i="16"/>
  <c r="B786" i="16"/>
  <c r="U729" i="16"/>
  <c r="S729" i="16"/>
  <c r="T729" i="16" s="1"/>
  <c r="M730" i="16"/>
  <c r="D730" i="16"/>
  <c r="J730" i="16"/>
  <c r="N730" i="16" s="1"/>
  <c r="Q730" i="16"/>
  <c r="P730" i="16"/>
  <c r="R730" i="16"/>
  <c r="L731" i="16"/>
  <c r="C731" i="16"/>
  <c r="E731" i="16"/>
  <c r="G731" i="16"/>
  <c r="I731" i="16"/>
  <c r="B732" i="16"/>
  <c r="U674" i="16"/>
  <c r="S674" i="16"/>
  <c r="T674" i="16" s="1"/>
  <c r="U675" i="16"/>
  <c r="S675" i="16"/>
  <c r="T675" i="16" s="1"/>
  <c r="D676" i="16"/>
  <c r="J676" i="16"/>
  <c r="P676" i="16"/>
  <c r="Q676" i="16"/>
  <c r="R676" i="16"/>
  <c r="L677" i="16"/>
  <c r="C677" i="16"/>
  <c r="K677" i="16" s="1"/>
  <c r="E677" i="16"/>
  <c r="F677" i="16"/>
  <c r="O677" i="16" s="1"/>
  <c r="G677" i="16"/>
  <c r="I677" i="16"/>
  <c r="B678" i="16"/>
  <c r="U620" i="16"/>
  <c r="S620" i="16"/>
  <c r="T620" i="16" s="1"/>
  <c r="D622" i="16"/>
  <c r="J622" i="16"/>
  <c r="N622" i="16" s="1"/>
  <c r="P622" i="16"/>
  <c r="Q622" i="16"/>
  <c r="R622" i="16"/>
  <c r="L623" i="16"/>
  <c r="C623" i="16"/>
  <c r="K623" i="16" s="1"/>
  <c r="E623" i="16"/>
  <c r="F623" i="16"/>
  <c r="O623" i="16" s="1"/>
  <c r="G623" i="16"/>
  <c r="I623" i="16"/>
  <c r="B624" i="16"/>
  <c r="U566" i="16"/>
  <c r="S566" i="16"/>
  <c r="T566" i="16" s="1"/>
  <c r="U567" i="16"/>
  <c r="S567" i="16"/>
  <c r="T567" i="16" s="1"/>
  <c r="M568" i="16"/>
  <c r="D568" i="16"/>
  <c r="J568" i="16"/>
  <c r="N568" i="16" s="1"/>
  <c r="Q568" i="16"/>
  <c r="P568" i="16"/>
  <c r="R568" i="16"/>
  <c r="L569" i="16"/>
  <c r="C569" i="16"/>
  <c r="K569" i="16" s="1"/>
  <c r="E569" i="16"/>
  <c r="F569" i="16"/>
  <c r="O569" i="16" s="1"/>
  <c r="G569" i="16"/>
  <c r="I569" i="16"/>
  <c r="B570" i="16"/>
  <c r="U513" i="16"/>
  <c r="S513" i="16"/>
  <c r="T513" i="16" s="1"/>
  <c r="M514" i="16"/>
  <c r="D514" i="16"/>
  <c r="J514" i="16"/>
  <c r="N514" i="16" s="1"/>
  <c r="P514" i="16"/>
  <c r="Q514" i="16"/>
  <c r="R514" i="16"/>
  <c r="L515" i="16"/>
  <c r="C515" i="16"/>
  <c r="E515" i="16"/>
  <c r="G515" i="16"/>
  <c r="I515" i="16"/>
  <c r="B516" i="16"/>
  <c r="U458" i="16"/>
  <c r="S458" i="16"/>
  <c r="T458" i="16" s="1"/>
  <c r="U459" i="16"/>
  <c r="S459" i="16"/>
  <c r="T459" i="16" s="1"/>
  <c r="M460" i="16"/>
  <c r="D460" i="16"/>
  <c r="J460" i="16"/>
  <c r="N460" i="16" s="1"/>
  <c r="Q460" i="16"/>
  <c r="P460" i="16"/>
  <c r="R460" i="16"/>
  <c r="L461" i="16"/>
  <c r="K461" i="16"/>
  <c r="C461" i="16"/>
  <c r="E461" i="16"/>
  <c r="F461" i="16"/>
  <c r="O461" i="16" s="1"/>
  <c r="G461" i="16"/>
  <c r="I461" i="16"/>
  <c r="B462" i="16"/>
  <c r="U404" i="16"/>
  <c r="S404" i="16"/>
  <c r="T404" i="16" s="1"/>
  <c r="U405" i="16"/>
  <c r="S405" i="16"/>
  <c r="T405" i="16" s="1"/>
  <c r="D406" i="16"/>
  <c r="J406" i="16"/>
  <c r="P406" i="16"/>
  <c r="Q406" i="16"/>
  <c r="R406" i="16"/>
  <c r="L407" i="16"/>
  <c r="C407" i="16"/>
  <c r="K407" i="16" s="1"/>
  <c r="E407" i="16"/>
  <c r="F407" i="16"/>
  <c r="O407" i="16" s="1"/>
  <c r="G407" i="16"/>
  <c r="I407" i="16"/>
  <c r="B408" i="16"/>
  <c r="L353" i="16"/>
  <c r="G353" i="16"/>
  <c r="B354" i="16"/>
  <c r="I353" i="16"/>
  <c r="C353" i="16"/>
  <c r="E353" i="16"/>
  <c r="P352" i="16"/>
  <c r="Q352" i="16"/>
  <c r="R352" i="16"/>
  <c r="D352" i="16"/>
  <c r="J352" i="16"/>
  <c r="U350" i="16"/>
  <c r="S350" i="16"/>
  <c r="T350" i="16" s="1"/>
  <c r="U297" i="16"/>
  <c r="S297" i="16"/>
  <c r="T297" i="16" s="1"/>
  <c r="M298" i="16"/>
  <c r="D298" i="16"/>
  <c r="J298" i="16"/>
  <c r="N298" i="16" s="1"/>
  <c r="P298" i="16"/>
  <c r="Q298" i="16"/>
  <c r="R298" i="16"/>
  <c r="L299" i="16"/>
  <c r="C299" i="16"/>
  <c r="K299" i="16" s="1"/>
  <c r="E299" i="16"/>
  <c r="F299" i="16"/>
  <c r="O299" i="16" s="1"/>
  <c r="G299" i="16"/>
  <c r="I299" i="16"/>
  <c r="B300" i="16"/>
  <c r="U243" i="16"/>
  <c r="S243" i="16"/>
  <c r="T243" i="16" s="1"/>
  <c r="M244" i="16"/>
  <c r="D244" i="16"/>
  <c r="J244" i="16"/>
  <c r="N244" i="16" s="1"/>
  <c r="P244" i="16"/>
  <c r="Q244" i="16"/>
  <c r="R244" i="16"/>
  <c r="L245" i="16"/>
  <c r="C245" i="16"/>
  <c r="E245" i="16"/>
  <c r="G245" i="16"/>
  <c r="I245" i="16"/>
  <c r="B246" i="16"/>
  <c r="U189" i="16"/>
  <c r="S189" i="16"/>
  <c r="T189" i="16" s="1"/>
  <c r="D190" i="16"/>
  <c r="J190" i="16"/>
  <c r="P190" i="16"/>
  <c r="Q190" i="16"/>
  <c r="R190" i="16"/>
  <c r="L191" i="16"/>
  <c r="C191" i="16"/>
  <c r="K191" i="16" s="1"/>
  <c r="E191" i="16"/>
  <c r="F191" i="16"/>
  <c r="O191" i="16" s="1"/>
  <c r="G191" i="16"/>
  <c r="I191" i="16"/>
  <c r="B192" i="16"/>
  <c r="U135" i="16"/>
  <c r="S135" i="16"/>
  <c r="T135" i="16" s="1"/>
  <c r="D136" i="16"/>
  <c r="J136" i="16"/>
  <c r="P136" i="16"/>
  <c r="Q136" i="16"/>
  <c r="R136" i="16"/>
  <c r="L137" i="16"/>
  <c r="C137" i="16"/>
  <c r="K137" i="16" s="1"/>
  <c r="E137" i="16"/>
  <c r="F137" i="16"/>
  <c r="O137" i="16" s="1"/>
  <c r="G137" i="16"/>
  <c r="I137" i="16"/>
  <c r="B138" i="16"/>
  <c r="M82" i="16"/>
  <c r="D82" i="16"/>
  <c r="J82" i="16"/>
  <c r="N82" i="16" s="1"/>
  <c r="P82" i="16"/>
  <c r="Q82" i="16"/>
  <c r="R82" i="16"/>
  <c r="L83" i="16"/>
  <c r="C83" i="16"/>
  <c r="K83" i="16" s="1"/>
  <c r="E83" i="16"/>
  <c r="F83" i="16"/>
  <c r="O83" i="16" s="1"/>
  <c r="G83" i="16"/>
  <c r="I83" i="16"/>
  <c r="B84" i="16"/>
  <c r="M20" i="4"/>
  <c r="D20" i="4"/>
  <c r="J20" i="4"/>
  <c r="N20" i="4" s="1"/>
  <c r="X20" i="4"/>
  <c r="W20" i="4"/>
  <c r="P20" i="4"/>
  <c r="Q20" i="4"/>
  <c r="R20" i="4"/>
  <c r="V20" i="4"/>
  <c r="L21" i="4"/>
  <c r="C21" i="4"/>
  <c r="E21" i="4"/>
  <c r="G21" i="4"/>
  <c r="I21" i="4"/>
  <c r="B22" i="4"/>
  <c r="B21" i="5"/>
  <c r="AB16" i="4"/>
  <c r="B69" i="7"/>
  <c r="I69" i="7" s="1"/>
  <c r="AA15" i="4"/>
  <c r="Z17" i="4"/>
  <c r="Z18" i="4"/>
  <c r="Z19" i="4"/>
  <c r="Z20" i="4"/>
  <c r="Z21" i="4"/>
  <c r="F59" i="6"/>
  <c r="D31" i="6"/>
  <c r="C60" i="6"/>
  <c r="E60" i="6"/>
  <c r="A4619" i="16"/>
  <c r="B4619" i="16"/>
  <c r="J4619" i="16" s="1"/>
  <c r="T4677" i="16"/>
  <c r="T4676" i="16"/>
  <c r="T4675" i="16"/>
  <c r="U3644" i="16"/>
  <c r="S3644" i="16"/>
  <c r="T3644" i="16" s="1"/>
  <c r="U3645" i="16"/>
  <c r="S3645" i="16"/>
  <c r="T3645" i="16" s="1"/>
  <c r="U3590" i="16"/>
  <c r="S3590" i="16"/>
  <c r="T3590" i="16" s="1"/>
  <c r="U2294" i="16"/>
  <c r="S2294" i="16"/>
  <c r="T2294" i="16" s="1"/>
  <c r="U1970" i="16"/>
  <c r="S1970" i="16"/>
  <c r="T1970" i="16" s="1"/>
  <c r="U1916" i="16"/>
  <c r="S1916" i="16"/>
  <c r="T1916" i="16" s="1"/>
  <c r="U1430" i="16"/>
  <c r="S1430" i="16"/>
  <c r="T1430" i="16" s="1"/>
  <c r="U728" i="16"/>
  <c r="S728" i="16"/>
  <c r="T728" i="16" s="1"/>
  <c r="U81" i="16"/>
  <c r="S81" i="16"/>
  <c r="T81" i="16" s="1"/>
  <c r="M4569" i="16"/>
  <c r="N4569" i="16"/>
  <c r="N4161" i="16"/>
  <c r="M4161" i="16"/>
  <c r="N4107" i="16"/>
  <c r="M4107" i="16"/>
  <c r="M3591" i="16"/>
  <c r="N3591" i="16"/>
  <c r="N3483" i="16"/>
  <c r="M3483" i="16"/>
  <c r="M3429" i="16"/>
  <c r="N3429" i="16"/>
  <c r="S3265" i="16"/>
  <c r="T3265" i="16" s="1"/>
  <c r="N3213" i="16"/>
  <c r="M3213" i="16"/>
  <c r="N3159" i="16"/>
  <c r="M3159" i="16"/>
  <c r="N2997" i="16"/>
  <c r="M2997" i="16"/>
  <c r="M2889" i="16"/>
  <c r="N2889" i="16"/>
  <c r="M2835" i="16"/>
  <c r="N2835" i="16"/>
  <c r="M2781" i="16"/>
  <c r="N2781" i="16"/>
  <c r="S2781" i="16" s="1"/>
  <c r="T2781" i="16" s="1"/>
  <c r="U2781" i="16" s="1"/>
  <c r="M2565" i="16"/>
  <c r="N2565" i="16"/>
  <c r="M2511" i="16"/>
  <c r="N2511" i="16"/>
  <c r="S2239" i="16"/>
  <c r="T2239" i="16" s="1"/>
  <c r="M1863" i="16"/>
  <c r="N1863" i="16"/>
  <c r="M1539" i="16"/>
  <c r="N1539" i="16"/>
  <c r="N1485" i="16"/>
  <c r="M1485" i="16"/>
  <c r="M1377" i="16"/>
  <c r="N1377" i="16"/>
  <c r="N1269" i="16"/>
  <c r="M1269" i="16"/>
  <c r="N1216" i="16"/>
  <c r="M1216" i="16"/>
  <c r="M945" i="16"/>
  <c r="N945" i="16"/>
  <c r="M891" i="16"/>
  <c r="N891" i="16"/>
  <c r="M621" i="16"/>
  <c r="N621" i="16"/>
  <c r="N351" i="16"/>
  <c r="M351" i="16"/>
  <c r="K4049" i="16"/>
  <c r="K4103" i="16"/>
  <c r="K4211" i="16"/>
  <c r="H4619" i="16"/>
  <c r="K4619" i="16" s="1"/>
  <c r="K4157" i="16"/>
  <c r="H8" i="5"/>
  <c r="G31" i="6"/>
  <c r="B46" i="17"/>
  <c r="J4049" i="16"/>
  <c r="J4157" i="16"/>
  <c r="H7" i="5"/>
  <c r="K4570" i="16"/>
  <c r="F4570" i="16"/>
  <c r="F4516" i="16"/>
  <c r="K4516" i="16"/>
  <c r="U4215" i="16"/>
  <c r="K4108" i="16"/>
  <c r="F4108" i="16"/>
  <c r="U4053" i="16"/>
  <c r="F3592" i="16"/>
  <c r="O3592" i="16" s="1"/>
  <c r="K3592" i="16"/>
  <c r="K3430" i="16"/>
  <c r="F3430" i="16"/>
  <c r="O3430" i="16" s="1"/>
  <c r="K3376" i="16"/>
  <c r="F3376" i="16"/>
  <c r="O3376" i="16" s="1"/>
  <c r="K3268" i="16"/>
  <c r="F3268" i="16"/>
  <c r="O3268" i="16" s="1"/>
  <c r="F3106" i="16"/>
  <c r="O3106" i="16" s="1"/>
  <c r="K3106" i="16"/>
  <c r="F3052" i="16"/>
  <c r="O3052" i="16" s="1"/>
  <c r="K3052" i="16"/>
  <c r="F2998" i="16"/>
  <c r="O2998" i="16" s="1"/>
  <c r="K2998" i="16"/>
  <c r="K2728" i="16"/>
  <c r="F2728" i="16"/>
  <c r="O2728" i="16" s="1"/>
  <c r="F2512" i="16"/>
  <c r="O2512" i="16" s="1"/>
  <c r="K2512" i="16"/>
  <c r="F2458" i="16"/>
  <c r="O2458" i="16" s="1"/>
  <c r="K2458" i="16"/>
  <c r="F2404" i="16"/>
  <c r="O2404" i="16" s="1"/>
  <c r="K2404" i="16"/>
  <c r="F2242" i="16"/>
  <c r="O2242" i="16" s="1"/>
  <c r="K2242" i="16"/>
  <c r="K2188" i="16"/>
  <c r="F2188" i="16"/>
  <c r="O2188" i="16" s="1"/>
  <c r="F1918" i="16"/>
  <c r="O1918" i="16" s="1"/>
  <c r="K1918" i="16"/>
  <c r="K1864" i="16"/>
  <c r="F1864" i="16"/>
  <c r="O1864" i="16" s="1"/>
  <c r="K1486" i="16"/>
  <c r="F1486" i="16"/>
  <c r="O1486" i="16" s="1"/>
  <c r="K1000" i="16"/>
  <c r="F1000" i="16"/>
  <c r="O1000" i="16" s="1"/>
  <c r="K892" i="16"/>
  <c r="F892" i="16"/>
  <c r="O892" i="16" s="1"/>
  <c r="F676" i="16"/>
  <c r="O676" i="16" s="1"/>
  <c r="K676" i="16"/>
  <c r="K406" i="16"/>
  <c r="F406" i="16"/>
  <c r="O406" i="16" s="1"/>
  <c r="F352" i="16"/>
  <c r="O352" i="16" s="1"/>
  <c r="K352" i="16"/>
  <c r="F190" i="16"/>
  <c r="O190" i="16" s="1"/>
  <c r="K190" i="16"/>
  <c r="K136" i="16"/>
  <c r="F136" i="16"/>
  <c r="O136" i="16" s="1"/>
  <c r="U19" i="4"/>
  <c r="J4103" i="16"/>
  <c r="E4103" i="16"/>
  <c r="J4211" i="16"/>
  <c r="E4211" i="16"/>
  <c r="O4163" i="16" l="1"/>
  <c r="O4055" i="16"/>
  <c r="O4162" i="16"/>
  <c r="O4161" i="16"/>
  <c r="D4625" i="16"/>
  <c r="F4625" i="16"/>
  <c r="K3647" i="16"/>
  <c r="F3647" i="16"/>
  <c r="O3647" i="16" s="1"/>
  <c r="K3161" i="16"/>
  <c r="F3161" i="16"/>
  <c r="O3161" i="16" s="1"/>
  <c r="K2621" i="16"/>
  <c r="F2621" i="16"/>
  <c r="O2621" i="16" s="1"/>
  <c r="K2405" i="16"/>
  <c r="F2405" i="16"/>
  <c r="O2405" i="16" s="1"/>
  <c r="K1865" i="16"/>
  <c r="F1865" i="16"/>
  <c r="O1865" i="16" s="1"/>
  <c r="K1271" i="16"/>
  <c r="F1271" i="16"/>
  <c r="O1271" i="16" s="1"/>
  <c r="U4678" i="16"/>
  <c r="S4678" i="16"/>
  <c r="M4679" i="16"/>
  <c r="D4679" i="16"/>
  <c r="J4679" i="16"/>
  <c r="N4679" i="16" s="1"/>
  <c r="P4679" i="16"/>
  <c r="Q4679" i="16"/>
  <c r="R4679" i="16"/>
  <c r="L4680" i="16"/>
  <c r="C4680" i="16"/>
  <c r="K4680" i="16" s="1"/>
  <c r="E4680" i="16"/>
  <c r="F4680" i="16"/>
  <c r="G4680" i="16"/>
  <c r="I4680" i="16"/>
  <c r="B4681" i="16"/>
  <c r="P4625" i="16"/>
  <c r="Q4625" i="16"/>
  <c r="R4625" i="16"/>
  <c r="C4626" i="16"/>
  <c r="D4626" i="16" s="1"/>
  <c r="E4626" i="16"/>
  <c r="F4626" i="16"/>
  <c r="G4626" i="16"/>
  <c r="B4627" i="16"/>
  <c r="D4571" i="16"/>
  <c r="J4571" i="16"/>
  <c r="P4571" i="16"/>
  <c r="Q4571" i="16"/>
  <c r="R4571" i="16"/>
  <c r="L4572" i="16"/>
  <c r="C4572" i="16"/>
  <c r="E4572" i="16"/>
  <c r="G4572" i="16"/>
  <c r="I4572" i="16"/>
  <c r="B4573" i="16"/>
  <c r="P4517" i="16"/>
  <c r="Q4517" i="16"/>
  <c r="R4517" i="16"/>
  <c r="D4517" i="16"/>
  <c r="J4517" i="16"/>
  <c r="N4517" i="16" s="1"/>
  <c r="M4517" i="16"/>
  <c r="L4518" i="16"/>
  <c r="C4518" i="16"/>
  <c r="K4518" i="16" s="1"/>
  <c r="E4518" i="16"/>
  <c r="F4518" i="16"/>
  <c r="G4518" i="16"/>
  <c r="I4518" i="16"/>
  <c r="B4519" i="16"/>
  <c r="U4216" i="16"/>
  <c r="S4216" i="16"/>
  <c r="T4216" i="16" s="1"/>
  <c r="M4217" i="16"/>
  <c r="G4218" i="16"/>
  <c r="I4218" i="16"/>
  <c r="C4218" i="16"/>
  <c r="K4218" i="16" s="1"/>
  <c r="E4218" i="16"/>
  <c r="F4218" i="16"/>
  <c r="O4218" i="16" s="1"/>
  <c r="L4218" i="16"/>
  <c r="B4219" i="16"/>
  <c r="J4217" i="16"/>
  <c r="N4217" i="16" s="1"/>
  <c r="D4217" i="16"/>
  <c r="P4217" i="16"/>
  <c r="Q4217" i="16"/>
  <c r="R4217" i="16"/>
  <c r="J4163" i="16"/>
  <c r="N4163" i="16" s="1"/>
  <c r="D4163" i="16"/>
  <c r="P4163" i="16"/>
  <c r="Q4163" i="16"/>
  <c r="R4163" i="16"/>
  <c r="M4163" i="16"/>
  <c r="E4164" i="16"/>
  <c r="G4164" i="16"/>
  <c r="C4164" i="16"/>
  <c r="I4164" i="16"/>
  <c r="L4164" i="16"/>
  <c r="B4165" i="16"/>
  <c r="U4162" i="16"/>
  <c r="S4162" i="16"/>
  <c r="T4162" i="16" s="1"/>
  <c r="D4109" i="16"/>
  <c r="J4109" i="16"/>
  <c r="N4109" i="16" s="1"/>
  <c r="P4109" i="16"/>
  <c r="Q4109" i="16"/>
  <c r="R4109" i="16"/>
  <c r="M4109" i="16"/>
  <c r="C4110" i="16"/>
  <c r="E4110" i="16"/>
  <c r="F4110" i="16"/>
  <c r="O4110" i="16" s="1"/>
  <c r="G4110" i="16"/>
  <c r="K4110" i="16"/>
  <c r="L4110" i="16"/>
  <c r="I4110" i="16"/>
  <c r="B4111" i="16"/>
  <c r="U4054" i="16"/>
  <c r="S4054" i="16"/>
  <c r="T4054" i="16" s="1"/>
  <c r="M4055" i="16"/>
  <c r="D4055" i="16"/>
  <c r="J4055" i="16"/>
  <c r="N4055" i="16" s="1"/>
  <c r="P4055" i="16"/>
  <c r="Q4055" i="16"/>
  <c r="R4055" i="16"/>
  <c r="L4056" i="16"/>
  <c r="C4056" i="16"/>
  <c r="K4056" i="16" s="1"/>
  <c r="E4056" i="16"/>
  <c r="F4056" i="16"/>
  <c r="O4056" i="16" s="1"/>
  <c r="G4056" i="16"/>
  <c r="I4056" i="16"/>
  <c r="B4057" i="16"/>
  <c r="U3754" i="16"/>
  <c r="S3754" i="16"/>
  <c r="T3754" i="16" s="1"/>
  <c r="M3755" i="16"/>
  <c r="D3755" i="16"/>
  <c r="J3755" i="16"/>
  <c r="N3755" i="16" s="1"/>
  <c r="P3755" i="16"/>
  <c r="Q3755" i="16"/>
  <c r="R3755" i="16"/>
  <c r="L3756" i="16"/>
  <c r="C3756" i="16"/>
  <c r="E3756" i="16"/>
  <c r="G3756" i="16"/>
  <c r="I3756" i="16"/>
  <c r="B3757" i="16"/>
  <c r="U3700" i="16"/>
  <c r="S3700" i="16"/>
  <c r="T3700" i="16" s="1"/>
  <c r="M3701" i="16"/>
  <c r="D3701" i="16"/>
  <c r="J3701" i="16"/>
  <c r="N3701" i="16" s="1"/>
  <c r="P3701" i="16"/>
  <c r="Q3701" i="16"/>
  <c r="R3701" i="16"/>
  <c r="L3702" i="16"/>
  <c r="C3702" i="16"/>
  <c r="K3702" i="16" s="1"/>
  <c r="E3702" i="16"/>
  <c r="F3702" i="16"/>
  <c r="O3702" i="16" s="1"/>
  <c r="G3702" i="16"/>
  <c r="I3702" i="16"/>
  <c r="B3703" i="16"/>
  <c r="U3646" i="16"/>
  <c r="S3646" i="16"/>
  <c r="T3646" i="16" s="1"/>
  <c r="M3647" i="16"/>
  <c r="D3647" i="16"/>
  <c r="J3647" i="16"/>
  <c r="N3647" i="16" s="1"/>
  <c r="P3647" i="16"/>
  <c r="Q3647" i="16"/>
  <c r="R3647" i="16"/>
  <c r="L3648" i="16"/>
  <c r="C3648" i="16"/>
  <c r="E3648" i="16"/>
  <c r="G3648" i="16"/>
  <c r="I3648" i="16"/>
  <c r="B3649" i="16"/>
  <c r="M3593" i="16"/>
  <c r="D3593" i="16"/>
  <c r="J3593" i="16"/>
  <c r="N3593" i="16" s="1"/>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K3540" i="16" s="1"/>
  <c r="E3540" i="16"/>
  <c r="F3540" i="16"/>
  <c r="O3540" i="16" s="1"/>
  <c r="G3540" i="16"/>
  <c r="I3540" i="16"/>
  <c r="B3541" i="16"/>
  <c r="U3484" i="16"/>
  <c r="S3484" i="16"/>
  <c r="T3484" i="16" s="1"/>
  <c r="M3485" i="16"/>
  <c r="L3486" i="16"/>
  <c r="E3486" i="16"/>
  <c r="C3486" i="16"/>
  <c r="K3486" i="16" s="1"/>
  <c r="F3486" i="16"/>
  <c r="O3486" i="16" s="1"/>
  <c r="G3486" i="16"/>
  <c r="I3486" i="16"/>
  <c r="B3487" i="16"/>
  <c r="D3485" i="16"/>
  <c r="J3485" i="16"/>
  <c r="N3485" i="16" s="1"/>
  <c r="P3485" i="16"/>
  <c r="Q3485" i="16"/>
  <c r="R3485" i="16"/>
  <c r="D3431" i="16"/>
  <c r="J3431" i="16"/>
  <c r="P3431" i="16"/>
  <c r="Q3431" i="16"/>
  <c r="R3431" i="16"/>
  <c r="L3432" i="16"/>
  <c r="C3432" i="16"/>
  <c r="K3432" i="16" s="1"/>
  <c r="E3432" i="16"/>
  <c r="F3432" i="16"/>
  <c r="O3432" i="16" s="1"/>
  <c r="G3432" i="16"/>
  <c r="I3432" i="16"/>
  <c r="B3433" i="16"/>
  <c r="D3377" i="16"/>
  <c r="J3377" i="16"/>
  <c r="P3377" i="16"/>
  <c r="Q3377" i="16"/>
  <c r="R3377" i="16"/>
  <c r="L3378" i="16"/>
  <c r="C3378" i="16"/>
  <c r="K3378" i="16" s="1"/>
  <c r="E3378" i="16"/>
  <c r="F3378" i="16"/>
  <c r="O3378" i="16" s="1"/>
  <c r="G3378" i="16"/>
  <c r="I3378" i="16"/>
  <c r="B3379" i="16"/>
  <c r="U3322" i="16"/>
  <c r="S3322" i="16"/>
  <c r="T3322" i="16" s="1"/>
  <c r="M3323" i="16"/>
  <c r="D3323" i="16"/>
  <c r="J3323" i="16"/>
  <c r="N3323" i="16" s="1"/>
  <c r="P3323" i="16"/>
  <c r="Q3323" i="16"/>
  <c r="R3323" i="16"/>
  <c r="L3324" i="16"/>
  <c r="C3324" i="16"/>
  <c r="K3324" i="16" s="1"/>
  <c r="E3324" i="16"/>
  <c r="F3324" i="16"/>
  <c r="O3324" i="16" s="1"/>
  <c r="G3324" i="16"/>
  <c r="I3324" i="16"/>
  <c r="B3325" i="16"/>
  <c r="M3269" i="16"/>
  <c r="D3269" i="16"/>
  <c r="J3269" i="16"/>
  <c r="N3269" i="16" s="1"/>
  <c r="P3269" i="16"/>
  <c r="Q3269" i="16"/>
  <c r="R3269" i="16"/>
  <c r="L3270" i="16"/>
  <c r="C3270" i="16"/>
  <c r="E3270" i="16"/>
  <c r="G3270" i="16"/>
  <c r="I3270" i="16"/>
  <c r="B3271" i="16"/>
  <c r="U3214" i="16"/>
  <c r="S3214" i="16"/>
  <c r="T3214" i="16" s="1"/>
  <c r="M3215" i="16"/>
  <c r="L3216" i="16"/>
  <c r="I3216" i="16"/>
  <c r="C3216" i="16"/>
  <c r="K3216" i="16" s="1"/>
  <c r="B3217" i="16"/>
  <c r="F3216" i="16"/>
  <c r="O3216" i="16" s="1"/>
  <c r="E3216" i="16"/>
  <c r="G3216" i="16"/>
  <c r="P3215" i="16"/>
  <c r="Q3215" i="16"/>
  <c r="R3215" i="16"/>
  <c r="J3215" i="16"/>
  <c r="N3215" i="16" s="1"/>
  <c r="D3215" i="16"/>
  <c r="U3160" i="16"/>
  <c r="S3160" i="16"/>
  <c r="T3160" i="16" s="1"/>
  <c r="M3161" i="16"/>
  <c r="L3162" i="16"/>
  <c r="E3162" i="16"/>
  <c r="C3162" i="16"/>
  <c r="K3162" i="16" s="1"/>
  <c r="I3162" i="16"/>
  <c r="F3162" i="16"/>
  <c r="O3162" i="16" s="1"/>
  <c r="G3162" i="16"/>
  <c r="B3163" i="16"/>
  <c r="P3161" i="16"/>
  <c r="Q3161" i="16"/>
  <c r="R3161" i="16"/>
  <c r="D3161" i="16"/>
  <c r="J3161" i="16"/>
  <c r="N3161" i="16" s="1"/>
  <c r="J3107" i="16"/>
  <c r="D3107" i="16"/>
  <c r="L3108" i="16"/>
  <c r="I3108" i="16"/>
  <c r="G3108" i="16"/>
  <c r="C3108" i="16"/>
  <c r="E3108" i="16"/>
  <c r="B3109" i="16"/>
  <c r="P3107" i="16"/>
  <c r="R3107" i="16"/>
  <c r="Q3107" i="16"/>
  <c r="M3053" i="16"/>
  <c r="J3053" i="16"/>
  <c r="N3053" i="16" s="1"/>
  <c r="D3053" i="16"/>
  <c r="L3054" i="16"/>
  <c r="E3054" i="16"/>
  <c r="B3055" i="16"/>
  <c r="C3054" i="16"/>
  <c r="I3054" i="16"/>
  <c r="G3054" i="16"/>
  <c r="P3053" i="16"/>
  <c r="Q3053" i="16"/>
  <c r="R3053" i="16"/>
  <c r="P2999" i="16"/>
  <c r="Q2999" i="16"/>
  <c r="R2999" i="16"/>
  <c r="D2999" i="16"/>
  <c r="J2999" i="16"/>
  <c r="L3000" i="16"/>
  <c r="G3000" i="16"/>
  <c r="I3000" i="16"/>
  <c r="C3000" i="16"/>
  <c r="B3001" i="16"/>
  <c r="E3000" i="16"/>
  <c r="U2944" i="16"/>
  <c r="S2944" i="16"/>
  <c r="T2944" i="16" s="1"/>
  <c r="D2945" i="16"/>
  <c r="J2945" i="16"/>
  <c r="P2945" i="16"/>
  <c r="Q2945" i="16"/>
  <c r="R2945" i="16"/>
  <c r="L2946" i="16"/>
  <c r="C2946" i="16"/>
  <c r="K2946" i="16" s="1"/>
  <c r="E2946" i="16"/>
  <c r="F2946" i="16"/>
  <c r="O2946" i="16" s="1"/>
  <c r="G2946" i="16"/>
  <c r="I2946" i="16"/>
  <c r="B2947" i="16"/>
  <c r="U2890" i="16"/>
  <c r="S2890" i="16"/>
  <c r="T2890" i="16" s="1"/>
  <c r="M2891" i="16"/>
  <c r="D2891" i="16"/>
  <c r="J2891" i="16"/>
  <c r="N2891" i="16" s="1"/>
  <c r="P2891" i="16"/>
  <c r="Q2891" i="16"/>
  <c r="R2891" i="16"/>
  <c r="L2892" i="16"/>
  <c r="C2892" i="16"/>
  <c r="K2892" i="16" s="1"/>
  <c r="E2892" i="16"/>
  <c r="F2892" i="16"/>
  <c r="O2892" i="16" s="1"/>
  <c r="G2892" i="16"/>
  <c r="I2892" i="16"/>
  <c r="B2893" i="16"/>
  <c r="U2836" i="16"/>
  <c r="S2836" i="16"/>
  <c r="T2836" i="16" s="1"/>
  <c r="M2837" i="16"/>
  <c r="D2837" i="16"/>
  <c r="J2837" i="16"/>
  <c r="N2837" i="16" s="1"/>
  <c r="P2837" i="16"/>
  <c r="Q2837" i="16"/>
  <c r="R2837" i="16"/>
  <c r="L2838" i="16"/>
  <c r="C2838" i="16"/>
  <c r="K2838" i="16" s="1"/>
  <c r="E2838" i="16"/>
  <c r="F2838" i="16"/>
  <c r="O2838" i="16" s="1"/>
  <c r="G2838" i="16"/>
  <c r="I2838" i="16"/>
  <c r="B2839" i="16"/>
  <c r="M2783" i="16"/>
  <c r="D2783" i="16"/>
  <c r="J2783" i="16"/>
  <c r="N2783" i="16" s="1"/>
  <c r="S2783" i="16" s="1"/>
  <c r="T2783" i="16" s="1"/>
  <c r="U2783" i="16" s="1"/>
  <c r="P2783" i="16"/>
  <c r="Q2783" i="16"/>
  <c r="R2783" i="16"/>
  <c r="L2784" i="16"/>
  <c r="C2784" i="16"/>
  <c r="E2784" i="16"/>
  <c r="G2784" i="16"/>
  <c r="I2784" i="16"/>
  <c r="B2785" i="16"/>
  <c r="D2729" i="16"/>
  <c r="J2729" i="16"/>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E2676" i="16"/>
  <c r="G2676" i="16"/>
  <c r="I2676" i="16"/>
  <c r="B2677" i="16"/>
  <c r="U2620" i="16"/>
  <c r="S2620" i="16"/>
  <c r="T2620" i="16" s="1"/>
  <c r="M2621" i="16"/>
  <c r="D2621" i="16"/>
  <c r="J2621" i="16"/>
  <c r="N2621" i="16" s="1"/>
  <c r="P2621" i="16"/>
  <c r="Q2621" i="16"/>
  <c r="R2621" i="16"/>
  <c r="L2622" i="16"/>
  <c r="C2622" i="16"/>
  <c r="K2622" i="16" s="1"/>
  <c r="E2622" i="16"/>
  <c r="F2622" i="16"/>
  <c r="O2622" i="16" s="1"/>
  <c r="G2622" i="16"/>
  <c r="I2622" i="16"/>
  <c r="B2623" i="16"/>
  <c r="U2566" i="16"/>
  <c r="S2566" i="16"/>
  <c r="T2566" i="16" s="1"/>
  <c r="M2567" i="16"/>
  <c r="D2567" i="16"/>
  <c r="J2567" i="16"/>
  <c r="N2567" i="16" s="1"/>
  <c r="P2567" i="16"/>
  <c r="Q2567" i="16"/>
  <c r="R2567" i="16"/>
  <c r="L2568" i="16"/>
  <c r="C2568" i="16"/>
  <c r="E2568" i="16"/>
  <c r="G2568" i="16"/>
  <c r="I2568" i="16"/>
  <c r="B2569" i="16"/>
  <c r="M2513" i="16"/>
  <c r="D2513" i="16"/>
  <c r="J2513" i="16"/>
  <c r="N2513" i="16" s="1"/>
  <c r="Q2513" i="16"/>
  <c r="P2513" i="16"/>
  <c r="R2513" i="16"/>
  <c r="L2514" i="16"/>
  <c r="C2514" i="16"/>
  <c r="K2514" i="16" s="1"/>
  <c r="E2514" i="16"/>
  <c r="F2514" i="16"/>
  <c r="O2514" i="16" s="1"/>
  <c r="G2514" i="16"/>
  <c r="I2514" i="16"/>
  <c r="B2515" i="16"/>
  <c r="M2459" i="16"/>
  <c r="D2459" i="16"/>
  <c r="J2459" i="16"/>
  <c r="N2459" i="16" s="1"/>
  <c r="P2459" i="16"/>
  <c r="Q2459" i="16"/>
  <c r="R2459" i="16"/>
  <c r="L2460" i="16"/>
  <c r="C2460" i="16"/>
  <c r="K2460" i="16" s="1"/>
  <c r="E2460" i="16"/>
  <c r="F2460" i="16"/>
  <c r="O2460" i="16" s="1"/>
  <c r="G2460" i="16"/>
  <c r="I2460" i="16"/>
  <c r="B2461" i="16"/>
  <c r="M2405" i="16"/>
  <c r="D2405" i="16"/>
  <c r="J2405" i="16"/>
  <c r="N2405" i="16" s="1"/>
  <c r="Q2405" i="16"/>
  <c r="P2405" i="16"/>
  <c r="R2405" i="16"/>
  <c r="L2406" i="16"/>
  <c r="C2406" i="16"/>
  <c r="K2406" i="16" s="1"/>
  <c r="E2406" i="16"/>
  <c r="F2406" i="16"/>
  <c r="O2406" i="16" s="1"/>
  <c r="G2406" i="16"/>
  <c r="I2406" i="16"/>
  <c r="B2407" i="16"/>
  <c r="U2350" i="16"/>
  <c r="S2350" i="16"/>
  <c r="T2350" i="16" s="1"/>
  <c r="M2351" i="16"/>
  <c r="D2351" i="16"/>
  <c r="J2351" i="16"/>
  <c r="N2351" i="16" s="1"/>
  <c r="Q2351" i="16"/>
  <c r="P2351" i="16"/>
  <c r="R2351" i="16"/>
  <c r="L2352" i="16"/>
  <c r="C2352" i="16"/>
  <c r="K2352" i="16" s="1"/>
  <c r="E2352" i="16"/>
  <c r="F2352" i="16"/>
  <c r="O2352" i="16" s="1"/>
  <c r="G2352" i="16"/>
  <c r="I2352" i="16"/>
  <c r="B2353" i="16"/>
  <c r="U2296" i="16"/>
  <c r="S2296" i="16"/>
  <c r="T2296" i="16" s="1"/>
  <c r="D2297" i="16"/>
  <c r="J2297" i="16"/>
  <c r="P2297" i="16"/>
  <c r="Q2297" i="16"/>
  <c r="R2297" i="16"/>
  <c r="L2298" i="16"/>
  <c r="C2298" i="16"/>
  <c r="K2298" i="16" s="1"/>
  <c r="E2298" i="16"/>
  <c r="F2298" i="16"/>
  <c r="O2298" i="16" s="1"/>
  <c r="G2298" i="16"/>
  <c r="I2298" i="16"/>
  <c r="B2299" i="16"/>
  <c r="M2243" i="16"/>
  <c r="D2243" i="16"/>
  <c r="J2243" i="16"/>
  <c r="N2243" i="16" s="1"/>
  <c r="Q2243" i="16"/>
  <c r="P2243" i="16"/>
  <c r="R2243" i="16"/>
  <c r="L2244" i="16"/>
  <c r="C2244" i="16"/>
  <c r="K2244" i="16" s="1"/>
  <c r="E2244" i="16"/>
  <c r="F2244" i="16"/>
  <c r="O2244" i="16" s="1"/>
  <c r="G2244" i="16"/>
  <c r="I2244" i="16"/>
  <c r="B2245" i="16"/>
  <c r="M2189" i="16"/>
  <c r="D2189" i="16"/>
  <c r="J2189" i="16"/>
  <c r="N2189" i="16" s="1"/>
  <c r="P2189" i="16"/>
  <c r="Q2189" i="16"/>
  <c r="R2189" i="16"/>
  <c r="L2190" i="16"/>
  <c r="C2190" i="16"/>
  <c r="E2190" i="16"/>
  <c r="G2190" i="16"/>
  <c r="I2190" i="16"/>
  <c r="B2191" i="16"/>
  <c r="U2134" i="16"/>
  <c r="S2134" i="16"/>
  <c r="T2134" i="16" s="1"/>
  <c r="M2135" i="16"/>
  <c r="D2135" i="16"/>
  <c r="J2135" i="16"/>
  <c r="N2135" i="16" s="1"/>
  <c r="P2135" i="16"/>
  <c r="Q2135" i="16"/>
  <c r="R2135" i="16"/>
  <c r="L2136" i="16"/>
  <c r="C2136" i="16"/>
  <c r="K2136" i="16" s="1"/>
  <c r="E2136" i="16"/>
  <c r="F2136" i="16"/>
  <c r="O2136" i="16" s="1"/>
  <c r="G2136" i="16"/>
  <c r="I2136" i="16"/>
  <c r="B2137" i="16"/>
  <c r="U2080" i="16"/>
  <c r="S2080" i="16"/>
  <c r="T2080" i="16" s="1"/>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E2028" i="16"/>
  <c r="G2028" i="16"/>
  <c r="I2028" i="16"/>
  <c r="B2029" i="16"/>
  <c r="U1972" i="16"/>
  <c r="S1972" i="16"/>
  <c r="T1972" i="16" s="1"/>
  <c r="M1973" i="16"/>
  <c r="D1973" i="16"/>
  <c r="J1973" i="16"/>
  <c r="N1973" i="16" s="1"/>
  <c r="P1973" i="16"/>
  <c r="Q1973" i="16"/>
  <c r="R1973" i="16"/>
  <c r="L1974" i="16"/>
  <c r="C1974" i="16"/>
  <c r="E1974" i="16"/>
  <c r="G1974" i="16"/>
  <c r="I1974" i="16"/>
  <c r="B1975" i="16"/>
  <c r="M1919" i="16"/>
  <c r="D1919" i="16"/>
  <c r="J1919" i="16"/>
  <c r="N1919" i="16" s="1"/>
  <c r="P1919" i="16"/>
  <c r="Q1919" i="16"/>
  <c r="R1919" i="16"/>
  <c r="L1920" i="16"/>
  <c r="C1920" i="16"/>
  <c r="K1920" i="16" s="1"/>
  <c r="E1920" i="16"/>
  <c r="F1920" i="16"/>
  <c r="O1920" i="16" s="1"/>
  <c r="G1920" i="16"/>
  <c r="I1920" i="16"/>
  <c r="B1921" i="16"/>
  <c r="M1865" i="16"/>
  <c r="D1865" i="16"/>
  <c r="J1865" i="16"/>
  <c r="N1865" i="16" s="1"/>
  <c r="P1865" i="16"/>
  <c r="Q1865" i="16"/>
  <c r="R1865" i="16"/>
  <c r="L1866" i="16"/>
  <c r="C1866" i="16"/>
  <c r="K1866" i="16" s="1"/>
  <c r="E1866" i="16"/>
  <c r="F1866" i="16"/>
  <c r="O1866" i="16" s="1"/>
  <c r="G1866" i="16"/>
  <c r="I1866" i="16"/>
  <c r="B1867" i="16"/>
  <c r="U1810" i="16"/>
  <c r="S1810" i="16"/>
  <c r="T1810" i="16" s="1"/>
  <c r="M1811" i="16"/>
  <c r="D1811" i="16"/>
  <c r="J1811" i="16"/>
  <c r="N1811" i="16" s="1"/>
  <c r="P1811" i="16"/>
  <c r="Q1811" i="16"/>
  <c r="R1811" i="16"/>
  <c r="L1812" i="16"/>
  <c r="C1812" i="16"/>
  <c r="K1812" i="16" s="1"/>
  <c r="E1812" i="16"/>
  <c r="F1812" i="16"/>
  <c r="O1812" i="16" s="1"/>
  <c r="G1812" i="16"/>
  <c r="I1812" i="16"/>
  <c r="B1813" i="16"/>
  <c r="U1756" i="16"/>
  <c r="S1756" i="16"/>
  <c r="T1756" i="16" s="1"/>
  <c r="M1757" i="16"/>
  <c r="D1757" i="16"/>
  <c r="J1757" i="16"/>
  <c r="N1757" i="16" s="1"/>
  <c r="P1757" i="16"/>
  <c r="Q1757" i="16"/>
  <c r="R1757" i="16"/>
  <c r="L1758" i="16"/>
  <c r="C1758" i="16"/>
  <c r="E1758" i="16"/>
  <c r="G1758" i="16"/>
  <c r="I1758" i="16"/>
  <c r="B1759" i="16"/>
  <c r="U1702" i="16"/>
  <c r="S1702" i="16"/>
  <c r="T1702" i="16" s="1"/>
  <c r="M1703" i="16"/>
  <c r="D1703" i="16"/>
  <c r="J1703" i="16"/>
  <c r="N1703" i="16" s="1"/>
  <c r="P1703" i="16"/>
  <c r="Q1703" i="16"/>
  <c r="R1703" i="16"/>
  <c r="L1704" i="16"/>
  <c r="C1704" i="16"/>
  <c r="K1704" i="16" s="1"/>
  <c r="E1704" i="16"/>
  <c r="F1704" i="16"/>
  <c r="O1704" i="16" s="1"/>
  <c r="G1704" i="16"/>
  <c r="I1704" i="16"/>
  <c r="B1705" i="16"/>
  <c r="U1648" i="16"/>
  <c r="S1648" i="16"/>
  <c r="T1648" i="16" s="1"/>
  <c r="D1649" i="16"/>
  <c r="J1649" i="16"/>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K1596" i="16" s="1"/>
  <c r="E1596" i="16"/>
  <c r="F1596" i="16"/>
  <c r="O1596" i="16" s="1"/>
  <c r="G1596" i="16"/>
  <c r="I1596" i="16"/>
  <c r="B1597" i="16"/>
  <c r="U1540" i="16"/>
  <c r="S1540" i="16"/>
  <c r="T1540" i="16" s="1"/>
  <c r="M1541" i="16"/>
  <c r="D1541" i="16"/>
  <c r="J1541" i="16"/>
  <c r="N1541" i="16" s="1"/>
  <c r="P1541" i="16"/>
  <c r="Q1541" i="16"/>
  <c r="R1541" i="16"/>
  <c r="L1542" i="16"/>
  <c r="C1542" i="16"/>
  <c r="K1542" i="16" s="1"/>
  <c r="E1542" i="16"/>
  <c r="F1542" i="16"/>
  <c r="O1542" i="16" s="1"/>
  <c r="G1542" i="16"/>
  <c r="I1542" i="16"/>
  <c r="B1543" i="16"/>
  <c r="P1487" i="16"/>
  <c r="Q1487" i="16"/>
  <c r="R1487" i="16"/>
  <c r="J1487" i="16"/>
  <c r="D1487" i="16"/>
  <c r="L1488" i="16"/>
  <c r="C1488" i="16"/>
  <c r="K1488" i="16" s="1"/>
  <c r="E1488" i="16"/>
  <c r="F1488" i="16"/>
  <c r="O1488" i="16" s="1"/>
  <c r="G1488" i="16"/>
  <c r="B1489" i="16"/>
  <c r="I1488" i="16"/>
  <c r="U1432" i="16"/>
  <c r="S1432" i="16"/>
  <c r="T1432" i="16" s="1"/>
  <c r="M1433" i="16"/>
  <c r="D1433" i="16"/>
  <c r="J1433" i="16"/>
  <c r="N1433" i="16" s="1"/>
  <c r="P1433" i="16"/>
  <c r="Q1433" i="16"/>
  <c r="R1433" i="16"/>
  <c r="L1434" i="16"/>
  <c r="G1434" i="16"/>
  <c r="B1435" i="16"/>
  <c r="C1434" i="16"/>
  <c r="E1434" i="16"/>
  <c r="I1434" i="16"/>
  <c r="U1378" i="16"/>
  <c r="S1378" i="16"/>
  <c r="T1378" i="16" s="1"/>
  <c r="L1380" i="16"/>
  <c r="I1380" i="16"/>
  <c r="C1380" i="16"/>
  <c r="B1381" i="16"/>
  <c r="E1380" i="16"/>
  <c r="G1380" i="16"/>
  <c r="D1379" i="16"/>
  <c r="J1379" i="16"/>
  <c r="P1379" i="16"/>
  <c r="Q1379" i="16"/>
  <c r="R1379" i="16"/>
  <c r="U1324" i="16"/>
  <c r="S1324" i="16"/>
  <c r="T1324" i="16" s="1"/>
  <c r="M1325" i="16"/>
  <c r="D1325" i="16"/>
  <c r="J1325" i="16"/>
  <c r="N1325" i="16" s="1"/>
  <c r="P1325" i="16"/>
  <c r="Q1325" i="16"/>
  <c r="R1325" i="16"/>
  <c r="L1326" i="16"/>
  <c r="C1326" i="16"/>
  <c r="K1326" i="16" s="1"/>
  <c r="G1326" i="16"/>
  <c r="I1326" i="16"/>
  <c r="F1326" i="16"/>
  <c r="O1326" i="16" s="1"/>
  <c r="B1327" i="16"/>
  <c r="E1326" i="16"/>
  <c r="U1270" i="16"/>
  <c r="S1270" i="16"/>
  <c r="T1270" i="16" s="1"/>
  <c r="M1271" i="16"/>
  <c r="L1272" i="16"/>
  <c r="E1272" i="16"/>
  <c r="C1272" i="16"/>
  <c r="K1272" i="16" s="1"/>
  <c r="F1272" i="16"/>
  <c r="O1272" i="16" s="1"/>
  <c r="I1272" i="16"/>
  <c r="B1273" i="16"/>
  <c r="G1272" i="16"/>
  <c r="J1271" i="16"/>
  <c r="N1271" i="16" s="1"/>
  <c r="D1271" i="16"/>
  <c r="P1271" i="16"/>
  <c r="Q1271" i="16"/>
  <c r="R1271" i="16"/>
  <c r="U1217" i="16"/>
  <c r="S1217" i="16"/>
  <c r="T1217" i="16" s="1"/>
  <c r="M1218" i="16"/>
  <c r="J1218" i="16"/>
  <c r="N1218" i="16" s="1"/>
  <c r="D1218" i="16"/>
  <c r="P1218" i="16"/>
  <c r="Q1218" i="16"/>
  <c r="R1218" i="16"/>
  <c r="L1219" i="16"/>
  <c r="E1219" i="16"/>
  <c r="G1219" i="16"/>
  <c r="C1219" i="16"/>
  <c r="K1219" i="16" s="1"/>
  <c r="F1219" i="16"/>
  <c r="O1219" i="16" s="1"/>
  <c r="I1219" i="16"/>
  <c r="B1220" i="16"/>
  <c r="U1162" i="16"/>
  <c r="S1162" i="16"/>
  <c r="T1162" i="16" s="1"/>
  <c r="M1163" i="16"/>
  <c r="D1163" i="16"/>
  <c r="J1163" i="16"/>
  <c r="N1163" i="16" s="1"/>
  <c r="P1163" i="16"/>
  <c r="Q1163" i="16"/>
  <c r="R1163" i="16"/>
  <c r="L1164" i="16"/>
  <c r="C1164" i="16"/>
  <c r="E1164" i="16"/>
  <c r="G1164" i="16"/>
  <c r="I1164" i="16"/>
  <c r="B1165" i="16"/>
  <c r="U1108" i="16"/>
  <c r="S1108" i="16"/>
  <c r="T1108" i="16" s="1"/>
  <c r="M1109" i="16"/>
  <c r="D1109" i="16"/>
  <c r="J1109" i="16"/>
  <c r="N1109" i="16" s="1"/>
  <c r="P1109" i="16"/>
  <c r="Q1109" i="16"/>
  <c r="R1109" i="16"/>
  <c r="L1110" i="16"/>
  <c r="C1110" i="16"/>
  <c r="K1110" i="16" s="1"/>
  <c r="E1110" i="16"/>
  <c r="F1110" i="16"/>
  <c r="O1110" i="16" s="1"/>
  <c r="G1110" i="16"/>
  <c r="I1110" i="16"/>
  <c r="B1111" i="16"/>
  <c r="U1054" i="16"/>
  <c r="S1054" i="16"/>
  <c r="T1054" i="16" s="1"/>
  <c r="M1055" i="16"/>
  <c r="D1055" i="16"/>
  <c r="J1055" i="16"/>
  <c r="N1055" i="16" s="1"/>
  <c r="P1055" i="16"/>
  <c r="Q1055" i="16"/>
  <c r="R1055" i="16"/>
  <c r="L1056" i="16"/>
  <c r="C1056" i="16"/>
  <c r="K1056" i="16" s="1"/>
  <c r="E1056" i="16"/>
  <c r="F1056" i="16"/>
  <c r="O1056" i="16" s="1"/>
  <c r="G1056" i="16"/>
  <c r="I1056" i="16"/>
  <c r="B1057" i="16"/>
  <c r="P1001" i="16"/>
  <c r="Q1001" i="16"/>
  <c r="R1001" i="16"/>
  <c r="L1002" i="16"/>
  <c r="E1002" i="16"/>
  <c r="C1002" i="16"/>
  <c r="G1002" i="16"/>
  <c r="I1002" i="16"/>
  <c r="B1003" i="16"/>
  <c r="J1001" i="16"/>
  <c r="D1001" i="16"/>
  <c r="U946" i="16"/>
  <c r="S946" i="16"/>
  <c r="T946" i="16" s="1"/>
  <c r="D947" i="16"/>
  <c r="J947" i="16"/>
  <c r="P947" i="16"/>
  <c r="Q947" i="16"/>
  <c r="R947" i="16"/>
  <c r="L948" i="16"/>
  <c r="C948" i="16"/>
  <c r="K948" i="16" s="1"/>
  <c r="E948" i="16"/>
  <c r="F948" i="16"/>
  <c r="O948" i="16" s="1"/>
  <c r="G948" i="16"/>
  <c r="I948" i="16"/>
  <c r="B949" i="16"/>
  <c r="M893" i="16"/>
  <c r="D893" i="16"/>
  <c r="J893" i="16"/>
  <c r="N893" i="16" s="1"/>
  <c r="P893" i="16"/>
  <c r="Q893" i="16"/>
  <c r="R893" i="16"/>
  <c r="L894" i="16"/>
  <c r="C894" i="16"/>
  <c r="K894" i="16" s="1"/>
  <c r="E894" i="16"/>
  <c r="F894" i="16"/>
  <c r="O894" i="16" s="1"/>
  <c r="G894" i="16"/>
  <c r="I894" i="16"/>
  <c r="B895" i="16"/>
  <c r="U838" i="16"/>
  <c r="S838" i="16"/>
  <c r="T838" i="16" s="1"/>
  <c r="M839" i="16"/>
  <c r="D839" i="16"/>
  <c r="J839" i="16"/>
  <c r="N839" i="16" s="1"/>
  <c r="P839" i="16"/>
  <c r="Q839" i="16"/>
  <c r="R839" i="16"/>
  <c r="L840" i="16"/>
  <c r="C840" i="16"/>
  <c r="K840" i="16" s="1"/>
  <c r="E840" i="16"/>
  <c r="F840" i="16"/>
  <c r="O840" i="16" s="1"/>
  <c r="G840" i="16"/>
  <c r="I840" i="16"/>
  <c r="B841" i="16"/>
  <c r="U784" i="16"/>
  <c r="S784" i="16"/>
  <c r="T784" i="16" s="1"/>
  <c r="M785" i="16"/>
  <c r="D785" i="16"/>
  <c r="J785" i="16"/>
  <c r="N785" i="16" s="1"/>
  <c r="P785" i="16"/>
  <c r="Q785" i="16"/>
  <c r="R785" i="16"/>
  <c r="L786" i="16"/>
  <c r="C786" i="16"/>
  <c r="K786" i="16" s="1"/>
  <c r="E786" i="16"/>
  <c r="F786" i="16"/>
  <c r="O786" i="16" s="1"/>
  <c r="G786" i="16"/>
  <c r="I786" i="16"/>
  <c r="B787" i="16"/>
  <c r="U730" i="16"/>
  <c r="S730" i="16"/>
  <c r="T730" i="16" s="1"/>
  <c r="D731" i="16"/>
  <c r="J731" i="16"/>
  <c r="P731" i="16"/>
  <c r="Q731" i="16"/>
  <c r="R731" i="16"/>
  <c r="L732" i="16"/>
  <c r="C732" i="16"/>
  <c r="E732" i="16"/>
  <c r="G732" i="16"/>
  <c r="I732" i="16"/>
  <c r="B733" i="16"/>
  <c r="M677" i="16"/>
  <c r="D677" i="16"/>
  <c r="J677" i="16"/>
  <c r="N677" i="16" s="1"/>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U568" i="16"/>
  <c r="S568" i="16"/>
  <c r="T568" i="16" s="1"/>
  <c r="M569" i="16"/>
  <c r="D569" i="16"/>
  <c r="J569" i="16"/>
  <c r="N569" i="16" s="1"/>
  <c r="P569" i="16"/>
  <c r="Q569" i="16"/>
  <c r="R569" i="16"/>
  <c r="L570" i="16"/>
  <c r="C570" i="16"/>
  <c r="K570" i="16" s="1"/>
  <c r="E570" i="16"/>
  <c r="F570" i="16"/>
  <c r="O570" i="16" s="1"/>
  <c r="G570" i="16"/>
  <c r="I570" i="16"/>
  <c r="B571" i="16"/>
  <c r="U514" i="16"/>
  <c r="S514" i="16"/>
  <c r="T514" i="16" s="1"/>
  <c r="D515" i="16"/>
  <c r="J515" i="16"/>
  <c r="P515" i="16"/>
  <c r="Q515" i="16"/>
  <c r="R515" i="16"/>
  <c r="L516" i="16"/>
  <c r="C516" i="16"/>
  <c r="K516" i="16" s="1"/>
  <c r="E516" i="16"/>
  <c r="F516" i="16"/>
  <c r="O516" i="16" s="1"/>
  <c r="G516" i="16"/>
  <c r="I516" i="16"/>
  <c r="B517" i="16"/>
  <c r="U460" i="16"/>
  <c r="S460" i="16"/>
  <c r="T460" i="16" s="1"/>
  <c r="M461" i="16"/>
  <c r="D461" i="16"/>
  <c r="J461" i="16"/>
  <c r="N461" i="16" s="1"/>
  <c r="P461" i="16"/>
  <c r="Q461" i="16"/>
  <c r="R461" i="16"/>
  <c r="L462" i="16"/>
  <c r="C462" i="16"/>
  <c r="K462" i="16" s="1"/>
  <c r="E462" i="16"/>
  <c r="F462" i="16"/>
  <c r="O462" i="16" s="1"/>
  <c r="G462" i="16"/>
  <c r="I462" i="16"/>
  <c r="B463" i="16"/>
  <c r="M407" i="16"/>
  <c r="D407" i="16"/>
  <c r="J407" i="16"/>
  <c r="N407" i="16" s="1"/>
  <c r="P407" i="16"/>
  <c r="Q407" i="16"/>
  <c r="R407" i="16"/>
  <c r="L408" i="16"/>
  <c r="C408" i="16"/>
  <c r="K408" i="16" s="1"/>
  <c r="E408" i="16"/>
  <c r="F408" i="16"/>
  <c r="O408" i="16" s="1"/>
  <c r="G408" i="16"/>
  <c r="I408" i="16"/>
  <c r="B409" i="16"/>
  <c r="P353" i="16"/>
  <c r="Q353" i="16"/>
  <c r="R353" i="16"/>
  <c r="L354" i="16"/>
  <c r="E354" i="16"/>
  <c r="C354" i="16"/>
  <c r="K354" i="16" s="1"/>
  <c r="F354" i="16"/>
  <c r="O354" i="16" s="1"/>
  <c r="G354" i="16"/>
  <c r="I354" i="16"/>
  <c r="B355" i="16"/>
  <c r="J353" i="16"/>
  <c r="D353" i="16"/>
  <c r="U298" i="16"/>
  <c r="S298" i="16"/>
  <c r="T298" i="16" s="1"/>
  <c r="M299" i="16"/>
  <c r="D299" i="16"/>
  <c r="J299" i="16"/>
  <c r="N299" i="16" s="1"/>
  <c r="P299" i="16"/>
  <c r="Q299" i="16"/>
  <c r="R299" i="16"/>
  <c r="L300" i="16"/>
  <c r="C300" i="16"/>
  <c r="E300" i="16"/>
  <c r="G300" i="16"/>
  <c r="I300" i="16"/>
  <c r="B301" i="16"/>
  <c r="U244" i="16"/>
  <c r="S244" i="16"/>
  <c r="T244" i="16" s="1"/>
  <c r="D245" i="16"/>
  <c r="J245" i="16"/>
  <c r="P245" i="16"/>
  <c r="Q245" i="16"/>
  <c r="R245" i="16"/>
  <c r="L246" i="16"/>
  <c r="C246" i="16"/>
  <c r="E246" i="16"/>
  <c r="G246" i="16"/>
  <c r="I246" i="16"/>
  <c r="B247" i="16"/>
  <c r="M191" i="16"/>
  <c r="D191" i="16"/>
  <c r="J191" i="16"/>
  <c r="N191" i="16" s="1"/>
  <c r="P191" i="16"/>
  <c r="Q191" i="16"/>
  <c r="R191" i="16"/>
  <c r="L192" i="16"/>
  <c r="C192" i="16"/>
  <c r="E192" i="16"/>
  <c r="G192" i="16"/>
  <c r="I192" i="16"/>
  <c r="B193" i="16"/>
  <c r="M137" i="16"/>
  <c r="D137" i="16"/>
  <c r="J137" i="16"/>
  <c r="N137" i="16" s="1"/>
  <c r="P137" i="16"/>
  <c r="Q137" i="16"/>
  <c r="R137" i="16"/>
  <c r="L138" i="16"/>
  <c r="C138" i="16"/>
  <c r="E138" i="16"/>
  <c r="G138" i="16"/>
  <c r="I138" i="16"/>
  <c r="B139" i="16"/>
  <c r="U82" i="16"/>
  <c r="S82" i="16"/>
  <c r="T82" i="16" s="1"/>
  <c r="M83" i="16"/>
  <c r="D83" i="16"/>
  <c r="J83" i="16"/>
  <c r="N83" i="16" s="1"/>
  <c r="P83" i="16"/>
  <c r="Q83" i="16"/>
  <c r="R83" i="16"/>
  <c r="L84" i="16"/>
  <c r="C84" i="16"/>
  <c r="K84" i="16" s="1"/>
  <c r="E84" i="16"/>
  <c r="F84" i="16"/>
  <c r="O84" i="16" s="1"/>
  <c r="G84" i="16"/>
  <c r="I84" i="16"/>
  <c r="B85" i="16"/>
  <c r="U20" i="4"/>
  <c r="D21" i="4"/>
  <c r="J21" i="4"/>
  <c r="Y21" i="4"/>
  <c r="X21" i="4"/>
  <c r="W21" i="4"/>
  <c r="P21" i="4"/>
  <c r="Q21" i="4"/>
  <c r="R21" i="4"/>
  <c r="V21" i="4"/>
  <c r="L22" i="4"/>
  <c r="C22" i="4"/>
  <c r="K22" i="4" s="1"/>
  <c r="E22" i="4"/>
  <c r="F22" i="4"/>
  <c r="C22" i="5" s="1"/>
  <c r="E22" i="5" s="1"/>
  <c r="O22" i="4" s="1"/>
  <c r="G22" i="4"/>
  <c r="I22" i="4"/>
  <c r="B23" i="4"/>
  <c r="B22" i="5"/>
  <c r="AC16" i="4"/>
  <c r="B70" i="7"/>
  <c r="I70" i="7" s="1"/>
  <c r="AB15" i="4"/>
  <c r="AA17" i="4"/>
  <c r="AA18" i="4"/>
  <c r="AA19" i="4"/>
  <c r="AA20" i="4"/>
  <c r="AA21" i="4"/>
  <c r="AA22" i="4"/>
  <c r="D32" i="6"/>
  <c r="E31" i="6"/>
  <c r="D60" i="6"/>
  <c r="E4619" i="16"/>
  <c r="U4161" i="16"/>
  <c r="S4161" i="16"/>
  <c r="T4161" i="16" s="1"/>
  <c r="U4107" i="16"/>
  <c r="U3591" i="16"/>
  <c r="S3591" i="16"/>
  <c r="T3591" i="16" s="1"/>
  <c r="U3483" i="16"/>
  <c r="S3483" i="16"/>
  <c r="T3483" i="16" s="1"/>
  <c r="U3429" i="16"/>
  <c r="S3429" i="16"/>
  <c r="T3429" i="16" s="1"/>
  <c r="U3213" i="16"/>
  <c r="S3213" i="16"/>
  <c r="T3213" i="16" s="1"/>
  <c r="U3159" i="16"/>
  <c r="S3159" i="16"/>
  <c r="T3159" i="16" s="1"/>
  <c r="U2997" i="16"/>
  <c r="S2997" i="16"/>
  <c r="T2997" i="16" s="1"/>
  <c r="U2889" i="16"/>
  <c r="S2889" i="16"/>
  <c r="T2889" i="16" s="1"/>
  <c r="U2835" i="16"/>
  <c r="S2835" i="16"/>
  <c r="T2835" i="16" s="1"/>
  <c r="U2565" i="16"/>
  <c r="S2565" i="16"/>
  <c r="T2565" i="16" s="1"/>
  <c r="U2511" i="16"/>
  <c r="S2511" i="16"/>
  <c r="T2511" i="16" s="1"/>
  <c r="U1863" i="16"/>
  <c r="S1863" i="16"/>
  <c r="T1863" i="16" s="1"/>
  <c r="U1539" i="16"/>
  <c r="S1539" i="16"/>
  <c r="T1539" i="16" s="1"/>
  <c r="U1485" i="16"/>
  <c r="S1485" i="16"/>
  <c r="T1485" i="16" s="1"/>
  <c r="U1377" i="16"/>
  <c r="S1377" i="16"/>
  <c r="T1377" i="16" s="1"/>
  <c r="U1269" i="16"/>
  <c r="S1269" i="16"/>
  <c r="T1269" i="16" s="1"/>
  <c r="S1216" i="16"/>
  <c r="T1216" i="16" s="1"/>
  <c r="U1216" i="16"/>
  <c r="U945" i="16"/>
  <c r="S945" i="16"/>
  <c r="T945" i="16" s="1"/>
  <c r="U891" i="16"/>
  <c r="S891" i="16"/>
  <c r="T891" i="16" s="1"/>
  <c r="U621" i="16"/>
  <c r="S621" i="16"/>
  <c r="T621" i="16" s="1"/>
  <c r="U351" i="16"/>
  <c r="S351" i="16"/>
  <c r="T351" i="16" s="1"/>
  <c r="G32" i="6"/>
  <c r="H31" i="6"/>
  <c r="G17" i="13"/>
  <c r="M4570" i="16"/>
  <c r="N4570" i="16"/>
  <c r="N4516" i="16"/>
  <c r="M4516" i="16"/>
  <c r="N4108" i="16"/>
  <c r="M4108" i="16"/>
  <c r="M3592" i="16"/>
  <c r="N3592" i="16"/>
  <c r="M3430" i="16"/>
  <c r="N3430" i="16"/>
  <c r="M3376" i="16"/>
  <c r="N3376" i="16"/>
  <c r="M3268" i="16"/>
  <c r="N3268" i="16"/>
  <c r="N3106" i="16"/>
  <c r="M3106" i="16"/>
  <c r="N3052" i="16"/>
  <c r="M3052" i="16"/>
  <c r="N2998" i="16"/>
  <c r="M2998" i="16"/>
  <c r="M2728" i="16"/>
  <c r="N2728" i="16"/>
  <c r="M2512" i="16"/>
  <c r="N2512" i="16"/>
  <c r="M2458" i="16"/>
  <c r="N2458" i="16"/>
  <c r="M2404" i="16"/>
  <c r="N2404" i="16"/>
  <c r="M2242" i="16"/>
  <c r="N2242" i="16"/>
  <c r="N2188" i="16"/>
  <c r="M2188" i="16"/>
  <c r="M1918" i="16"/>
  <c r="N1918" i="16"/>
  <c r="M1864" i="16"/>
  <c r="N1864" i="16"/>
  <c r="N1486" i="16"/>
  <c r="M1486" i="16"/>
  <c r="M1000" i="16"/>
  <c r="N1000" i="16"/>
  <c r="M892" i="16"/>
  <c r="N892" i="16"/>
  <c r="M676" i="16"/>
  <c r="N676" i="16"/>
  <c r="M406" i="16"/>
  <c r="N406" i="16"/>
  <c r="M352" i="16"/>
  <c r="N352" i="16"/>
  <c r="M190" i="16"/>
  <c r="N190" i="16"/>
  <c r="M136" i="16"/>
  <c r="N136" i="16"/>
  <c r="I4103" i="16"/>
  <c r="I4211" i="16"/>
  <c r="O4217" i="16" s="1"/>
  <c r="O4216" i="16"/>
  <c r="O4108" i="16"/>
  <c r="K4571" i="16"/>
  <c r="F4571" i="16"/>
  <c r="K3431" i="16"/>
  <c r="F3431" i="16"/>
  <c r="O3431" i="16" s="1"/>
  <c r="K3377" i="16"/>
  <c r="F3377" i="16"/>
  <c r="O3377" i="16" s="1"/>
  <c r="F3107" i="16"/>
  <c r="O3107" i="16" s="1"/>
  <c r="K3107" i="16"/>
  <c r="F2999" i="16"/>
  <c r="O2999" i="16" s="1"/>
  <c r="K2999" i="16"/>
  <c r="F2945" i="16"/>
  <c r="O2945" i="16" s="1"/>
  <c r="K2945" i="16"/>
  <c r="F2729" i="16"/>
  <c r="O2729" i="16" s="1"/>
  <c r="K2729" i="16"/>
  <c r="K2297" i="16"/>
  <c r="F2297" i="16"/>
  <c r="O2297" i="16" s="1"/>
  <c r="K1649" i="16"/>
  <c r="F1649" i="16"/>
  <c r="O1649" i="16" s="1"/>
  <c r="K1487" i="16"/>
  <c r="F1487" i="16"/>
  <c r="O1487" i="16" s="1"/>
  <c r="K1379" i="16"/>
  <c r="F1379" i="16"/>
  <c r="O1379" i="16" s="1"/>
  <c r="F1001" i="16"/>
  <c r="O1001" i="16" s="1"/>
  <c r="K1001" i="16"/>
  <c r="F947" i="16"/>
  <c r="O947" i="16" s="1"/>
  <c r="K947" i="16"/>
  <c r="F731" i="16"/>
  <c r="O731" i="16" s="1"/>
  <c r="K731" i="16"/>
  <c r="K515" i="16"/>
  <c r="F515" i="16"/>
  <c r="O515" i="16" s="1"/>
  <c r="F353" i="16"/>
  <c r="O353" i="16" s="1"/>
  <c r="K353" i="16"/>
  <c r="K245" i="16"/>
  <c r="F245" i="16"/>
  <c r="O245" i="16" s="1"/>
  <c r="F20" i="5"/>
  <c r="G20" i="5"/>
  <c r="H20" i="5"/>
  <c r="F21" i="4"/>
  <c r="C21" i="5" s="1"/>
  <c r="E21" i="5" s="1"/>
  <c r="O21" i="4" s="1"/>
  <c r="K21" i="4"/>
  <c r="E20" i="5"/>
  <c r="O20" i="4" s="1"/>
  <c r="S20" i="4" s="1"/>
  <c r="T20" i="4" s="1"/>
  <c r="E19" i="5"/>
  <c r="O19" i="4" s="1"/>
  <c r="S19" i="4" s="1"/>
  <c r="T19" i="4" s="1"/>
  <c r="E17" i="5"/>
  <c r="E18" i="5"/>
  <c r="O18" i="4" s="1"/>
  <c r="S18" i="4" s="1"/>
  <c r="T18" i="4" s="1"/>
  <c r="O4052" i="16"/>
  <c r="S4052" i="16" s="1"/>
  <c r="T4052" i="16" s="1"/>
  <c r="O4053" i="16"/>
  <c r="S4053" i="16" s="1"/>
  <c r="T4053" i="16" s="1"/>
  <c r="O4054" i="16"/>
  <c r="O4051" i="16"/>
  <c r="O4159" i="16"/>
  <c r="O4160" i="16"/>
  <c r="S4160" i="16" s="1"/>
  <c r="T4160" i="16" s="1"/>
  <c r="F15" i="13"/>
  <c r="L11" i="5"/>
  <c r="D15" i="13" s="1"/>
  <c r="O4105" i="16"/>
  <c r="O4106" i="16"/>
  <c r="S4106" i="16" s="1"/>
  <c r="T4106" i="16" s="1"/>
  <c r="O4215" i="16"/>
  <c r="S4215" i="16" s="1"/>
  <c r="T4215" i="16" s="1"/>
  <c r="O4214" i="16"/>
  <c r="S4214" i="16" s="1"/>
  <c r="T4214" i="16" s="1"/>
  <c r="O4213" i="16"/>
  <c r="K4572" i="16" l="1"/>
  <c r="F4572" i="16"/>
  <c r="K3756" i="16"/>
  <c r="F3756" i="16"/>
  <c r="O3756" i="16" s="1"/>
  <c r="K3648" i="16"/>
  <c r="F3648" i="16"/>
  <c r="O3648" i="16" s="1"/>
  <c r="K3054" i="16"/>
  <c r="F3054" i="16"/>
  <c r="O3054" i="16" s="1"/>
  <c r="K2784" i="16"/>
  <c r="F2784" i="16"/>
  <c r="O2784" i="16" s="1"/>
  <c r="K2568" i="16"/>
  <c r="F2568" i="16"/>
  <c r="O2568" i="16" s="1"/>
  <c r="K2190" i="16"/>
  <c r="F2190" i="16"/>
  <c r="O2190" i="16" s="1"/>
  <c r="K1974" i="16"/>
  <c r="F1974" i="16"/>
  <c r="O1974" i="16" s="1"/>
  <c r="K1758" i="16"/>
  <c r="F1758" i="16"/>
  <c r="O1758" i="16" s="1"/>
  <c r="K1380" i="16"/>
  <c r="F1380" i="16"/>
  <c r="O1380" i="16" s="1"/>
  <c r="K1164" i="16"/>
  <c r="F1164" i="16"/>
  <c r="O1164" i="16" s="1"/>
  <c r="K732" i="16"/>
  <c r="F732" i="16"/>
  <c r="O732" i="16" s="1"/>
  <c r="K300" i="16"/>
  <c r="F300" i="16"/>
  <c r="O300" i="16" s="1"/>
  <c r="K246" i="16"/>
  <c r="F246" i="16"/>
  <c r="O246" i="16" s="1"/>
  <c r="K192" i="16"/>
  <c r="F192" i="16"/>
  <c r="O192" i="16" s="1"/>
  <c r="T4678" i="16"/>
  <c r="U4679" i="16"/>
  <c r="S4679" i="16"/>
  <c r="M4680" i="16"/>
  <c r="D4680" i="16"/>
  <c r="J4680" i="16"/>
  <c r="N4680" i="16" s="1"/>
  <c r="P4680" i="16"/>
  <c r="Q4680" i="16"/>
  <c r="R4680" i="16"/>
  <c r="L4681" i="16"/>
  <c r="C4681" i="16"/>
  <c r="K4681" i="16" s="1"/>
  <c r="E4681" i="16"/>
  <c r="F4681" i="16"/>
  <c r="G4681" i="16"/>
  <c r="I4681" i="16"/>
  <c r="B4682" i="16"/>
  <c r="P4626" i="16"/>
  <c r="Q4626" i="16"/>
  <c r="R4626" i="16"/>
  <c r="C4627" i="16"/>
  <c r="D4627" i="16" s="1"/>
  <c r="E4627" i="16"/>
  <c r="F4627" i="16"/>
  <c r="G4627" i="16"/>
  <c r="B4628" i="16"/>
  <c r="M4572" i="16"/>
  <c r="D4572" i="16"/>
  <c r="J4572" i="16"/>
  <c r="N4572" i="16" s="1"/>
  <c r="P4572" i="16"/>
  <c r="Q4572" i="16"/>
  <c r="R4572" i="16"/>
  <c r="L4573" i="16"/>
  <c r="C4573" i="16"/>
  <c r="K4573" i="16" s="1"/>
  <c r="E4573" i="16"/>
  <c r="F4573" i="16"/>
  <c r="G4573" i="16"/>
  <c r="I4573" i="16"/>
  <c r="B4574" i="16"/>
  <c r="M4518" i="16"/>
  <c r="D4518" i="16"/>
  <c r="J4518" i="16"/>
  <c r="N4518" i="16" s="1"/>
  <c r="P4518" i="16"/>
  <c r="Q4518" i="16"/>
  <c r="R4518" i="16"/>
  <c r="L4519" i="16"/>
  <c r="C4519" i="16"/>
  <c r="K4519" i="16" s="1"/>
  <c r="E4519" i="16"/>
  <c r="F4519" i="16"/>
  <c r="G4519" i="16"/>
  <c r="I4519" i="16"/>
  <c r="B4520" i="16"/>
  <c r="U4217" i="16"/>
  <c r="S4217" i="16"/>
  <c r="T4217" i="16" s="1"/>
  <c r="P4218" i="16"/>
  <c r="Q4218" i="16"/>
  <c r="R4218" i="16"/>
  <c r="M4218" i="16"/>
  <c r="J4218" i="16"/>
  <c r="N4218" i="16" s="1"/>
  <c r="D4218" i="16"/>
  <c r="C4219" i="16"/>
  <c r="K4219" i="16" s="1"/>
  <c r="E4219" i="16"/>
  <c r="F4219" i="16"/>
  <c r="O4219" i="16" s="1"/>
  <c r="G4219" i="16"/>
  <c r="I4219" i="16"/>
  <c r="L4219" i="16"/>
  <c r="B4220" i="16"/>
  <c r="U4163" i="16"/>
  <c r="S4163" i="16"/>
  <c r="T4163" i="16" s="1"/>
  <c r="P4164" i="16"/>
  <c r="Q4164" i="16"/>
  <c r="R4164" i="16"/>
  <c r="D4164" i="16"/>
  <c r="J4164" i="16"/>
  <c r="C4165" i="16"/>
  <c r="K4165" i="16" s="1"/>
  <c r="E4165" i="16"/>
  <c r="F4165" i="16"/>
  <c r="O4165" i="16" s="1"/>
  <c r="G4165" i="16"/>
  <c r="I4165" i="16"/>
  <c r="L4165" i="16"/>
  <c r="B4166" i="16"/>
  <c r="U4109" i="16"/>
  <c r="D4110" i="16"/>
  <c r="J4110" i="16"/>
  <c r="P4110" i="16"/>
  <c r="Q4110" i="16"/>
  <c r="R4110" i="16"/>
  <c r="M4110" i="16"/>
  <c r="N4110" i="16"/>
  <c r="G4111" i="16"/>
  <c r="I4111" i="16"/>
  <c r="C4111" i="16"/>
  <c r="E4111" i="16"/>
  <c r="L4111" i="16"/>
  <c r="B4112"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K3757" i="16" s="1"/>
  <c r="E3757" i="16"/>
  <c r="F3757" i="16"/>
  <c r="O3757" i="16" s="1"/>
  <c r="G3757" i="16"/>
  <c r="I3757" i="16"/>
  <c r="B3758" i="16"/>
  <c r="U3701" i="16"/>
  <c r="S3701" i="16"/>
  <c r="T3701" i="16" s="1"/>
  <c r="M3702" i="16"/>
  <c r="D3702" i="16"/>
  <c r="J3702" i="16"/>
  <c r="N3702" i="16" s="1"/>
  <c r="P3702" i="16"/>
  <c r="Q3702" i="16"/>
  <c r="R3702" i="16"/>
  <c r="L3703" i="16"/>
  <c r="C3703" i="16"/>
  <c r="K3703" i="16" s="1"/>
  <c r="E3703" i="16"/>
  <c r="F3703" i="16"/>
  <c r="O3703" i="16" s="1"/>
  <c r="G3703" i="16"/>
  <c r="I3703" i="16"/>
  <c r="B3704" i="16"/>
  <c r="U3647" i="16"/>
  <c r="S3647" i="16"/>
  <c r="T3647" i="16" s="1"/>
  <c r="M3648" i="16"/>
  <c r="D3648" i="16"/>
  <c r="J3648" i="16"/>
  <c r="N3648" i="16" s="1"/>
  <c r="P3648" i="16"/>
  <c r="Q3648" i="16"/>
  <c r="R3648" i="16"/>
  <c r="L3649" i="16"/>
  <c r="C3649" i="16"/>
  <c r="K3649" i="16" s="1"/>
  <c r="E3649" i="16"/>
  <c r="F3649" i="16"/>
  <c r="O3649" i="16" s="1"/>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E3541" i="16"/>
  <c r="G3541" i="16"/>
  <c r="I3541" i="16"/>
  <c r="B3542" i="16"/>
  <c r="U3485" i="16"/>
  <c r="S3485" i="16"/>
  <c r="T3485" i="16" s="1"/>
  <c r="M3486" i="16"/>
  <c r="D3486" i="16"/>
  <c r="J3486" i="16"/>
  <c r="N3486" i="16" s="1"/>
  <c r="P3486" i="16"/>
  <c r="Q3486" i="16"/>
  <c r="R3486" i="16"/>
  <c r="L3487" i="16"/>
  <c r="E3487" i="16"/>
  <c r="B3488" i="16"/>
  <c r="C3487" i="16"/>
  <c r="G3487" i="16"/>
  <c r="I3487" i="16"/>
  <c r="M3432" i="16"/>
  <c r="D3432" i="16"/>
  <c r="J3432" i="16"/>
  <c r="N3432" i="16" s="1"/>
  <c r="P3432" i="16"/>
  <c r="Q3432" i="16"/>
  <c r="R3432" i="16"/>
  <c r="L3433" i="16"/>
  <c r="C3433" i="16"/>
  <c r="K3433" i="16" s="1"/>
  <c r="E3433" i="16"/>
  <c r="F3433" i="16"/>
  <c r="O3433" i="16" s="1"/>
  <c r="G3433" i="16"/>
  <c r="I3433" i="16"/>
  <c r="B3434" i="16"/>
  <c r="M3378" i="16"/>
  <c r="D3378" i="16"/>
  <c r="J3378" i="16"/>
  <c r="N3378" i="16" s="1"/>
  <c r="P3378" i="16"/>
  <c r="Q3378" i="16"/>
  <c r="R3378" i="16"/>
  <c r="L3379" i="16"/>
  <c r="C3379" i="16"/>
  <c r="E3379" i="16"/>
  <c r="G3379" i="16"/>
  <c r="I3379" i="16"/>
  <c r="B3380" i="16"/>
  <c r="U3323" i="16"/>
  <c r="S3323" i="16"/>
  <c r="T3323" i="16" s="1"/>
  <c r="M3324" i="16"/>
  <c r="D3324" i="16"/>
  <c r="J3324" i="16"/>
  <c r="N3324" i="16" s="1"/>
  <c r="P3324" i="16"/>
  <c r="Q3324" i="16"/>
  <c r="R3324" i="16"/>
  <c r="L3325" i="16"/>
  <c r="C3325" i="16"/>
  <c r="K3325" i="16" s="1"/>
  <c r="E3325" i="16"/>
  <c r="F3325" i="16"/>
  <c r="O3325" i="16" s="1"/>
  <c r="G3325" i="16"/>
  <c r="I3325" i="16"/>
  <c r="B3326" i="16"/>
  <c r="U3269" i="16"/>
  <c r="S3269" i="16"/>
  <c r="T3269" i="16" s="1"/>
  <c r="D3270" i="16"/>
  <c r="J3270" i="16"/>
  <c r="P3270" i="16"/>
  <c r="Q3270" i="16"/>
  <c r="R3270" i="16"/>
  <c r="L3271" i="16"/>
  <c r="C3271" i="16"/>
  <c r="E3271" i="16"/>
  <c r="G3271" i="16"/>
  <c r="I3271" i="16"/>
  <c r="B3272" i="16"/>
  <c r="U3215" i="16"/>
  <c r="S3215" i="16"/>
  <c r="T3215" i="16" s="1"/>
  <c r="M3216" i="16"/>
  <c r="D3216" i="16"/>
  <c r="J3216" i="16"/>
  <c r="N3216" i="16" s="1"/>
  <c r="L3217" i="16"/>
  <c r="E3217" i="16"/>
  <c r="B3218" i="16"/>
  <c r="C3217" i="16"/>
  <c r="K3217" i="16" s="1"/>
  <c r="G3217" i="16"/>
  <c r="F3217" i="16"/>
  <c r="O3217" i="16" s="1"/>
  <c r="I3217" i="16"/>
  <c r="P3216" i="16"/>
  <c r="R3216" i="16"/>
  <c r="Q3216" i="16"/>
  <c r="U3161" i="16"/>
  <c r="S3161" i="16"/>
  <c r="T3161" i="16" s="1"/>
  <c r="M3162" i="16"/>
  <c r="D3162" i="16"/>
  <c r="J3162" i="16"/>
  <c r="N3162" i="16" s="1"/>
  <c r="P3162" i="16"/>
  <c r="Q3162" i="16"/>
  <c r="R3162" i="16"/>
  <c r="L3163" i="16"/>
  <c r="G3163" i="16"/>
  <c r="C3163" i="16"/>
  <c r="K3163" i="16" s="1"/>
  <c r="B3164" i="16"/>
  <c r="F3163" i="16"/>
  <c r="O3163" i="16" s="1"/>
  <c r="E3163" i="16"/>
  <c r="I3163" i="16"/>
  <c r="P3108" i="16"/>
  <c r="Q3108" i="16"/>
  <c r="R3108" i="16"/>
  <c r="J3108" i="16"/>
  <c r="D3108" i="16"/>
  <c r="L3109" i="16"/>
  <c r="G3109" i="16"/>
  <c r="C3109" i="16"/>
  <c r="K3109" i="16" s="1"/>
  <c r="I3109" i="16"/>
  <c r="F3109" i="16"/>
  <c r="O3109" i="16" s="1"/>
  <c r="B3110" i="16"/>
  <c r="E3109" i="16"/>
  <c r="U3053" i="16"/>
  <c r="S3053" i="16"/>
  <c r="T3053" i="16" s="1"/>
  <c r="M3054" i="16"/>
  <c r="L3055" i="16"/>
  <c r="E3055" i="16"/>
  <c r="B3056" i="16"/>
  <c r="I3055" i="16"/>
  <c r="C3055" i="16"/>
  <c r="G3055" i="16"/>
  <c r="J3054" i="16"/>
  <c r="N3054" i="16" s="1"/>
  <c r="D3054" i="16"/>
  <c r="P3054" i="16"/>
  <c r="Q3054" i="16"/>
  <c r="R3054" i="16"/>
  <c r="P3000" i="16"/>
  <c r="R3000" i="16"/>
  <c r="Q3000" i="16"/>
  <c r="J3000" i="16"/>
  <c r="D3000" i="16"/>
  <c r="L3001" i="16"/>
  <c r="E3001" i="16"/>
  <c r="B3002" i="16"/>
  <c r="C3001" i="16"/>
  <c r="I3001" i="16"/>
  <c r="G3001" i="16"/>
  <c r="M2946" i="16"/>
  <c r="D2946" i="16"/>
  <c r="J2946" i="16"/>
  <c r="N2946" i="16" s="1"/>
  <c r="P2946" i="16"/>
  <c r="Q2946" i="16"/>
  <c r="R2946" i="16"/>
  <c r="L2947" i="16"/>
  <c r="C2947" i="16"/>
  <c r="E2947" i="16"/>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U2837" i="16"/>
  <c r="S2837" i="16"/>
  <c r="T2837" i="16" s="1"/>
  <c r="M2838" i="16"/>
  <c r="D2838" i="16"/>
  <c r="J2838" i="16"/>
  <c r="N2838" i="16" s="1"/>
  <c r="P2838" i="16"/>
  <c r="Q2838" i="16"/>
  <c r="R2838" i="16"/>
  <c r="L2839" i="16"/>
  <c r="C2839" i="16"/>
  <c r="K2839" i="16" s="1"/>
  <c r="E2839" i="16"/>
  <c r="F2839" i="16"/>
  <c r="O2839" i="16" s="1"/>
  <c r="G2839" i="16"/>
  <c r="I2839" i="16"/>
  <c r="B2840" i="16"/>
  <c r="M2784" i="16"/>
  <c r="D2784" i="16"/>
  <c r="J2784" i="16"/>
  <c r="N2784" i="16" s="1"/>
  <c r="S2784" i="16" s="1"/>
  <c r="T2784" i="16" s="1"/>
  <c r="U2784" i="16" s="1"/>
  <c r="P2784" i="16"/>
  <c r="Q2784" i="16"/>
  <c r="R2784" i="16"/>
  <c r="L2785" i="16"/>
  <c r="C2785" i="16"/>
  <c r="K2785" i="16" s="1"/>
  <c r="E2785" i="16"/>
  <c r="F2785" i="16"/>
  <c r="O2785" i="16" s="1"/>
  <c r="G2785" i="16"/>
  <c r="I2785" i="16"/>
  <c r="B2786" i="16"/>
  <c r="M2730" i="16"/>
  <c r="D2730" i="16"/>
  <c r="J2730" i="16"/>
  <c r="N2730" i="16" s="1"/>
  <c r="P2730" i="16"/>
  <c r="Q2730" i="16"/>
  <c r="R2730" i="16"/>
  <c r="L2731" i="16"/>
  <c r="C2731" i="16"/>
  <c r="E2731" i="16"/>
  <c r="G2731" i="16"/>
  <c r="I2731" i="16"/>
  <c r="B2732" i="16"/>
  <c r="U2675" i="16"/>
  <c r="S2675" i="16"/>
  <c r="T2675" i="16" s="1"/>
  <c r="D2676" i="16"/>
  <c r="J2676" i="16"/>
  <c r="P2676" i="16"/>
  <c r="Q2676" i="16"/>
  <c r="R2676" i="16"/>
  <c r="L2677" i="16"/>
  <c r="C2677" i="16"/>
  <c r="E2677" i="16"/>
  <c r="G2677" i="16"/>
  <c r="I2677" i="16"/>
  <c r="B2678" i="16"/>
  <c r="U2621" i="16"/>
  <c r="S2621" i="16"/>
  <c r="T2621" i="16" s="1"/>
  <c r="M2622" i="16"/>
  <c r="D2622" i="16"/>
  <c r="J2622" i="16"/>
  <c r="N2622" i="16" s="1"/>
  <c r="P2622" i="16"/>
  <c r="Q2622" i="16"/>
  <c r="R2622" i="16"/>
  <c r="L2623" i="16"/>
  <c r="C2623" i="16"/>
  <c r="K2623" i="16" s="1"/>
  <c r="E2623" i="16"/>
  <c r="F2623" i="16"/>
  <c r="O2623" i="16" s="1"/>
  <c r="G2623" i="16"/>
  <c r="I2623" i="16"/>
  <c r="B2624" i="16"/>
  <c r="U2567" i="16"/>
  <c r="S2567" i="16"/>
  <c r="T2567" i="16" s="1"/>
  <c r="M2568" i="16"/>
  <c r="D2568" i="16"/>
  <c r="J2568" i="16"/>
  <c r="N2568" i="16" s="1"/>
  <c r="P2568" i="16"/>
  <c r="Q2568" i="16"/>
  <c r="R2568" i="16"/>
  <c r="L2569" i="16"/>
  <c r="C2569" i="16"/>
  <c r="K2569" i="16" s="1"/>
  <c r="E2569" i="16"/>
  <c r="F2569" i="16"/>
  <c r="O2569" i="16" s="1"/>
  <c r="G2569" i="16"/>
  <c r="I2569" i="16"/>
  <c r="B2570" i="16"/>
  <c r="U2513" i="16"/>
  <c r="S2513" i="16"/>
  <c r="T2513" i="16" s="1"/>
  <c r="M2514" i="16"/>
  <c r="D2514" i="16"/>
  <c r="J2514" i="16"/>
  <c r="N2514" i="16" s="1"/>
  <c r="Q2514" i="16"/>
  <c r="P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E2461" i="16"/>
  <c r="G2461" i="16"/>
  <c r="I2461" i="16"/>
  <c r="B2462" i="16"/>
  <c r="U2405" i="16"/>
  <c r="S2405" i="16"/>
  <c r="T2405" i="16" s="1"/>
  <c r="M2406" i="16"/>
  <c r="D2406" i="16"/>
  <c r="J2406" i="16"/>
  <c r="N2406" i="16" s="1"/>
  <c r="Q2406" i="16"/>
  <c r="P2406" i="16"/>
  <c r="R2406" i="16"/>
  <c r="L2407" i="16"/>
  <c r="C2407" i="16"/>
  <c r="K2407" i="16" s="1"/>
  <c r="E2407" i="16"/>
  <c r="F2407" i="16"/>
  <c r="O2407" i="16" s="1"/>
  <c r="G2407" i="16"/>
  <c r="I2407" i="16"/>
  <c r="B2408" i="16"/>
  <c r="U2351" i="16"/>
  <c r="S2351" i="16"/>
  <c r="T2351" i="16" s="1"/>
  <c r="M2352" i="16"/>
  <c r="D2352" i="16"/>
  <c r="J2352" i="16"/>
  <c r="N2352" i="16" s="1"/>
  <c r="Q2352" i="16"/>
  <c r="P2352" i="16"/>
  <c r="R2352" i="16"/>
  <c r="L2353" i="16"/>
  <c r="C2353" i="16"/>
  <c r="K2353" i="16" s="1"/>
  <c r="E2353" i="16"/>
  <c r="F2353" i="16"/>
  <c r="O2353" i="16" s="1"/>
  <c r="G2353" i="16"/>
  <c r="I2353" i="16"/>
  <c r="B2354" i="16"/>
  <c r="M2298" i="16"/>
  <c r="D2298" i="16"/>
  <c r="J2298" i="16"/>
  <c r="N2298" i="16" s="1"/>
  <c r="P2298" i="16"/>
  <c r="Q2298" i="16"/>
  <c r="R2298" i="16"/>
  <c r="L2299" i="16"/>
  <c r="C2299" i="16"/>
  <c r="E2299" i="16"/>
  <c r="G2299" i="16"/>
  <c r="I2299" i="16"/>
  <c r="B2300" i="16"/>
  <c r="U2243" i="16"/>
  <c r="S2243" i="16"/>
  <c r="T2243" i="16" s="1"/>
  <c r="M2244" i="16"/>
  <c r="D2244" i="16"/>
  <c r="J2244" i="16"/>
  <c r="N2244" i="16" s="1"/>
  <c r="P2244" i="16"/>
  <c r="Q2244" i="16"/>
  <c r="R2244" i="16"/>
  <c r="L2245" i="16"/>
  <c r="C2245" i="16"/>
  <c r="E2245" i="16"/>
  <c r="G2245" i="16"/>
  <c r="B2246" i="16"/>
  <c r="I2245" i="16"/>
  <c r="U2189" i="16"/>
  <c r="S2189" i="16"/>
  <c r="T2189" i="16" s="1"/>
  <c r="M2190" i="16"/>
  <c r="D2190" i="16"/>
  <c r="J2190" i="16"/>
  <c r="N2190" i="16" s="1"/>
  <c r="P2190" i="16"/>
  <c r="Q2190" i="16"/>
  <c r="R2190" i="16"/>
  <c r="L2191" i="16"/>
  <c r="C2191" i="16"/>
  <c r="K2191" i="16" s="1"/>
  <c r="E2191" i="16"/>
  <c r="F2191" i="16"/>
  <c r="O2191" i="16" s="1"/>
  <c r="G2191" i="16"/>
  <c r="I2191" i="16"/>
  <c r="B2192" i="16"/>
  <c r="U2135" i="16"/>
  <c r="S2135" i="16"/>
  <c r="T2135" i="16" s="1"/>
  <c r="M2136" i="16"/>
  <c r="D2136" i="16"/>
  <c r="J2136" i="16"/>
  <c r="N2136" i="16" s="1"/>
  <c r="Q2136" i="16"/>
  <c r="P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E2083" i="16"/>
  <c r="G2083" i="16"/>
  <c r="I2083" i="16"/>
  <c r="B2084" i="16"/>
  <c r="U2027" i="16"/>
  <c r="S2027" i="16"/>
  <c r="T2027" i="16" s="1"/>
  <c r="D2028" i="16"/>
  <c r="J2028" i="16"/>
  <c r="P2028" i="16"/>
  <c r="Q2028" i="16"/>
  <c r="R2028" i="16"/>
  <c r="L2029" i="16"/>
  <c r="C2029" i="16"/>
  <c r="E2029" i="16"/>
  <c r="G2029" i="16"/>
  <c r="I2029" i="16"/>
  <c r="B2030" i="16"/>
  <c r="U1973" i="16"/>
  <c r="S1973" i="16"/>
  <c r="T1973" i="16" s="1"/>
  <c r="M1974" i="16"/>
  <c r="D1974" i="16"/>
  <c r="J1974" i="16"/>
  <c r="N1974" i="16" s="1"/>
  <c r="P1974" i="16"/>
  <c r="Q1974" i="16"/>
  <c r="R1974" i="16"/>
  <c r="L1975" i="16"/>
  <c r="C1975" i="16"/>
  <c r="K1975" i="16" s="1"/>
  <c r="E1975" i="16"/>
  <c r="F1975" i="16"/>
  <c r="O1975" i="16" s="1"/>
  <c r="G1975" i="16"/>
  <c r="I1975" i="16"/>
  <c r="B1976" i="16"/>
  <c r="U1919" i="16"/>
  <c r="S1919" i="16"/>
  <c r="T1919" i="16" s="1"/>
  <c r="M1920" i="16"/>
  <c r="D1920" i="16"/>
  <c r="J1920" i="16"/>
  <c r="N1920" i="16" s="1"/>
  <c r="P1920" i="16"/>
  <c r="Q1920" i="16"/>
  <c r="R1920" i="16"/>
  <c r="L1921" i="16"/>
  <c r="C1921" i="16"/>
  <c r="E1921" i="16"/>
  <c r="G1921" i="16"/>
  <c r="I1921" i="16"/>
  <c r="B1922" i="16"/>
  <c r="U1865" i="16"/>
  <c r="S1865" i="16"/>
  <c r="T1865" i="16" s="1"/>
  <c r="M1866" i="16"/>
  <c r="D1866" i="16"/>
  <c r="J1866" i="16"/>
  <c r="N1866" i="16" s="1"/>
  <c r="P1866" i="16"/>
  <c r="Q1866" i="16"/>
  <c r="R1866" i="16"/>
  <c r="L1867" i="16"/>
  <c r="C1867" i="16"/>
  <c r="E1867" i="16"/>
  <c r="G1867" i="16"/>
  <c r="I1867" i="16"/>
  <c r="B1868" i="16"/>
  <c r="U1811" i="16"/>
  <c r="S1811" i="16"/>
  <c r="T1811" i="16" s="1"/>
  <c r="M1812" i="16"/>
  <c r="D1812" i="16"/>
  <c r="J1812" i="16"/>
  <c r="N1812" i="16" s="1"/>
  <c r="P1812" i="16"/>
  <c r="Q1812" i="16"/>
  <c r="R1812" i="16"/>
  <c r="L1813" i="16"/>
  <c r="C1813" i="16"/>
  <c r="E1813" i="16"/>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U1703" i="16"/>
  <c r="S1703" i="16"/>
  <c r="T1703" i="16" s="1"/>
  <c r="M1704" i="16"/>
  <c r="D1704" i="16"/>
  <c r="J1704" i="16"/>
  <c r="N1704" i="16" s="1"/>
  <c r="P1704" i="16"/>
  <c r="Q1704" i="16"/>
  <c r="R1704" i="16"/>
  <c r="L1705" i="16"/>
  <c r="C1705" i="16"/>
  <c r="E1705" i="16"/>
  <c r="G1705" i="16"/>
  <c r="I1705" i="16"/>
  <c r="B1706" i="16"/>
  <c r="M1650" i="16"/>
  <c r="D1650" i="16"/>
  <c r="J1650" i="16"/>
  <c r="N1650" i="16" s="1"/>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E1597" i="16"/>
  <c r="G1597" i="16"/>
  <c r="I1597" i="16"/>
  <c r="B1598" i="16"/>
  <c r="U1541" i="16"/>
  <c r="S1541" i="16"/>
  <c r="T1541" i="16" s="1"/>
  <c r="M1542" i="16"/>
  <c r="D1542" i="16"/>
  <c r="J1542" i="16"/>
  <c r="N1542" i="16" s="1"/>
  <c r="P1542" i="16"/>
  <c r="Q1542" i="16"/>
  <c r="R1542" i="16"/>
  <c r="L1543" i="16"/>
  <c r="C1543" i="16"/>
  <c r="E1543" i="16"/>
  <c r="G1543" i="16"/>
  <c r="I1543" i="16"/>
  <c r="B1544" i="16"/>
  <c r="M1488" i="16"/>
  <c r="D1488" i="16"/>
  <c r="J1488" i="16"/>
  <c r="N1488" i="16" s="1"/>
  <c r="P1488" i="16"/>
  <c r="Q1488" i="16"/>
  <c r="R1488" i="16"/>
  <c r="L1489" i="16"/>
  <c r="C1489" i="16"/>
  <c r="E1489" i="16"/>
  <c r="G1489" i="16"/>
  <c r="B1490" i="16"/>
  <c r="I1489" i="16"/>
  <c r="U1433" i="16"/>
  <c r="S1433" i="16"/>
  <c r="T1433" i="16" s="1"/>
  <c r="P1434" i="16"/>
  <c r="Q1434" i="16"/>
  <c r="R1434" i="16"/>
  <c r="L1435" i="16"/>
  <c r="C1435" i="16"/>
  <c r="K1435" i="16" s="1"/>
  <c r="E1435" i="16"/>
  <c r="F1435" i="16"/>
  <c r="O1435" i="16" s="1"/>
  <c r="G1435" i="16"/>
  <c r="I1435" i="16"/>
  <c r="B1436" i="16"/>
  <c r="D1434" i="16"/>
  <c r="J1434" i="16"/>
  <c r="M1380" i="16"/>
  <c r="D1380" i="16"/>
  <c r="J1380" i="16"/>
  <c r="N1380" i="16" s="1"/>
  <c r="L1381" i="16"/>
  <c r="E1381" i="16"/>
  <c r="C1381" i="16"/>
  <c r="K1381" i="16" s="1"/>
  <c r="G1381" i="16"/>
  <c r="I1381" i="16"/>
  <c r="B1382" i="16"/>
  <c r="F1381" i="16"/>
  <c r="O1381" i="16" s="1"/>
  <c r="P1380" i="16"/>
  <c r="Q1380" i="16"/>
  <c r="R1380" i="16"/>
  <c r="U1325" i="16"/>
  <c r="S1325" i="16"/>
  <c r="T1325" i="16" s="1"/>
  <c r="M1326" i="16"/>
  <c r="D1326" i="16"/>
  <c r="J1326" i="16"/>
  <c r="N1326" i="16" s="1"/>
  <c r="P1326" i="16"/>
  <c r="Q1326" i="16"/>
  <c r="R1326" i="16"/>
  <c r="L1327" i="16"/>
  <c r="E1327" i="16"/>
  <c r="I1327" i="16"/>
  <c r="C1327" i="16"/>
  <c r="G1327" i="16"/>
  <c r="B1328" i="16"/>
  <c r="U1271" i="16"/>
  <c r="S1271" i="16"/>
  <c r="T1271" i="16" s="1"/>
  <c r="M1272" i="16"/>
  <c r="J1272" i="16"/>
  <c r="N1272" i="16" s="1"/>
  <c r="D1272" i="16"/>
  <c r="L1273" i="16"/>
  <c r="C1273" i="16"/>
  <c r="E1273" i="16"/>
  <c r="G1273" i="16"/>
  <c r="I1273" i="16"/>
  <c r="B1274" i="16"/>
  <c r="P1272" i="16"/>
  <c r="Q1272" i="16"/>
  <c r="R1272" i="16"/>
  <c r="S1218" i="16"/>
  <c r="T1218" i="16" s="1"/>
  <c r="U1218" i="16"/>
  <c r="M1219" i="16"/>
  <c r="Q1219" i="16"/>
  <c r="P1219" i="16"/>
  <c r="R1219" i="16"/>
  <c r="J1219" i="16"/>
  <c r="N1219" i="16" s="1"/>
  <c r="D1219" i="16"/>
  <c r="L1220" i="16"/>
  <c r="I1220" i="16"/>
  <c r="E1220" i="16"/>
  <c r="G1220" i="16"/>
  <c r="C1220" i="16"/>
  <c r="K1220" i="16" s="1"/>
  <c r="F1220" i="16"/>
  <c r="O1220" i="16" s="1"/>
  <c r="B1221" i="16"/>
  <c r="U1163" i="16"/>
  <c r="S1163" i="16"/>
  <c r="T1163" i="16" s="1"/>
  <c r="M1164" i="16"/>
  <c r="D1164" i="16"/>
  <c r="J1164" i="16"/>
  <c r="N1164" i="16" s="1"/>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K1111" i="16" s="1"/>
  <c r="E1111" i="16"/>
  <c r="F1111" i="16"/>
  <c r="O1111" i="16" s="1"/>
  <c r="G1111" i="16"/>
  <c r="I1111" i="16"/>
  <c r="B1112" i="16"/>
  <c r="U1055" i="16"/>
  <c r="S1055" i="16"/>
  <c r="T1055" i="16" s="1"/>
  <c r="M1056" i="16"/>
  <c r="D1056" i="16"/>
  <c r="J1056" i="16"/>
  <c r="N1056" i="16" s="1"/>
  <c r="P1056" i="16"/>
  <c r="Q1056" i="16"/>
  <c r="R1056" i="16"/>
  <c r="L1057" i="16"/>
  <c r="C1057" i="16"/>
  <c r="E1057" i="16"/>
  <c r="G1057" i="16"/>
  <c r="I1057" i="16"/>
  <c r="B1058" i="16"/>
  <c r="D1002" i="16"/>
  <c r="J1002" i="16"/>
  <c r="P1002" i="16"/>
  <c r="Q1002" i="16"/>
  <c r="R1002" i="16"/>
  <c r="L1003" i="16"/>
  <c r="G1003" i="16"/>
  <c r="I1003" i="16"/>
  <c r="C1003" i="16"/>
  <c r="K1003" i="16" s="1"/>
  <c r="B1004" i="16"/>
  <c r="F1003" i="16"/>
  <c r="O1003" i="16" s="1"/>
  <c r="E1003" i="16"/>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E895" i="16"/>
  <c r="G895" i="16"/>
  <c r="I895" i="16"/>
  <c r="B896" i="16"/>
  <c r="U839" i="16"/>
  <c r="S839" i="16"/>
  <c r="T839" i="16" s="1"/>
  <c r="M840" i="16"/>
  <c r="D840" i="16"/>
  <c r="J840" i="16"/>
  <c r="N840" i="16" s="1"/>
  <c r="Q840" i="16"/>
  <c r="P840" i="16"/>
  <c r="R840" i="16"/>
  <c r="L841" i="16"/>
  <c r="C841" i="16"/>
  <c r="E841" i="16"/>
  <c r="G841" i="16"/>
  <c r="I841" i="16"/>
  <c r="B842" i="16"/>
  <c r="U785" i="16"/>
  <c r="S785" i="16"/>
  <c r="T785" i="16" s="1"/>
  <c r="M786" i="16"/>
  <c r="D786" i="16"/>
  <c r="J786" i="16"/>
  <c r="N786" i="16" s="1"/>
  <c r="Q786" i="16"/>
  <c r="P786" i="16"/>
  <c r="R786" i="16"/>
  <c r="L787" i="16"/>
  <c r="C787" i="16"/>
  <c r="K787" i="16" s="1"/>
  <c r="E787" i="16"/>
  <c r="F787" i="16"/>
  <c r="O787" i="16" s="1"/>
  <c r="G787" i="16"/>
  <c r="I787" i="16"/>
  <c r="B788" i="16"/>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Q678" i="16"/>
  <c r="P678" i="16"/>
  <c r="R678" i="16"/>
  <c r="L679" i="16"/>
  <c r="C679" i="16"/>
  <c r="E679" i="16"/>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E571" i="16"/>
  <c r="G571" i="16"/>
  <c r="I571" i="16"/>
  <c r="B572" i="16"/>
  <c r="M516" i="16"/>
  <c r="D516" i="16"/>
  <c r="J516" i="16"/>
  <c r="N516" i="16" s="1"/>
  <c r="P516" i="16"/>
  <c r="Q516" i="16"/>
  <c r="R516" i="16"/>
  <c r="L517" i="16"/>
  <c r="C517" i="16"/>
  <c r="E517" i="16"/>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K409" i="16" s="1"/>
  <c r="E409" i="16"/>
  <c r="F409" i="16"/>
  <c r="O409" i="16" s="1"/>
  <c r="G409" i="16"/>
  <c r="I409" i="16"/>
  <c r="B410" i="16"/>
  <c r="M354" i="16"/>
  <c r="D354" i="16"/>
  <c r="J354" i="16"/>
  <c r="N354" i="16" s="1"/>
  <c r="Q354" i="16"/>
  <c r="P354" i="16"/>
  <c r="R354" i="16"/>
  <c r="L355" i="16"/>
  <c r="E355" i="16"/>
  <c r="I355" i="16"/>
  <c r="C355" i="16"/>
  <c r="G355" i="16"/>
  <c r="B356" i="16"/>
  <c r="U299" i="16"/>
  <c r="S299" i="16"/>
  <c r="T299" i="16" s="1"/>
  <c r="M300" i="16"/>
  <c r="D300" i="16"/>
  <c r="J300" i="16"/>
  <c r="N300" i="16" s="1"/>
  <c r="P300" i="16"/>
  <c r="Q300" i="16"/>
  <c r="R300" i="16"/>
  <c r="L301" i="16"/>
  <c r="C301" i="16"/>
  <c r="E301" i="16"/>
  <c r="G301" i="16"/>
  <c r="I301" i="16"/>
  <c r="B302" i="16"/>
  <c r="M246" i="16"/>
  <c r="D246" i="16"/>
  <c r="J246" i="16"/>
  <c r="N246" i="16" s="1"/>
  <c r="P246" i="16"/>
  <c r="Q246" i="16"/>
  <c r="R246" i="16"/>
  <c r="L247" i="16"/>
  <c r="C247" i="16"/>
  <c r="E247" i="16"/>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U137" i="16"/>
  <c r="S137" i="16"/>
  <c r="T137" i="16" s="1"/>
  <c r="D138" i="16"/>
  <c r="J138" i="16"/>
  <c r="P138" i="16"/>
  <c r="Q138" i="16"/>
  <c r="R138" i="16"/>
  <c r="L139" i="16"/>
  <c r="C139" i="16"/>
  <c r="K139" i="16" s="1"/>
  <c r="E139" i="16"/>
  <c r="F139" i="16"/>
  <c r="O139" i="16" s="1"/>
  <c r="G139" i="16"/>
  <c r="I139" i="16"/>
  <c r="B140" i="16"/>
  <c r="U83" i="16"/>
  <c r="S83" i="16"/>
  <c r="T83" i="16" s="1"/>
  <c r="M84" i="16"/>
  <c r="D84" i="16"/>
  <c r="J84" i="16"/>
  <c r="N84" i="16" s="1"/>
  <c r="P84" i="16"/>
  <c r="Q84" i="16"/>
  <c r="R84" i="16"/>
  <c r="L85" i="16"/>
  <c r="C85" i="16"/>
  <c r="K85" i="16" s="1"/>
  <c r="E85" i="16"/>
  <c r="F85" i="16"/>
  <c r="O85" i="16" s="1"/>
  <c r="G85" i="16"/>
  <c r="I85" i="16"/>
  <c r="B86" i="16"/>
  <c r="M22" i="4"/>
  <c r="D22" i="4"/>
  <c r="J22" i="4"/>
  <c r="N22" i="4" s="1"/>
  <c r="Z22" i="4"/>
  <c r="Y22" i="4"/>
  <c r="X22" i="4"/>
  <c r="W22" i="4"/>
  <c r="P22" i="4"/>
  <c r="F22" i="5" s="1"/>
  <c r="Q22" i="4"/>
  <c r="G22" i="5" s="1"/>
  <c r="R22" i="4"/>
  <c r="H22" i="5" s="1"/>
  <c r="V22" i="4"/>
  <c r="L23" i="4"/>
  <c r="C23" i="4"/>
  <c r="K23" i="4" s="1"/>
  <c r="E23" i="4"/>
  <c r="F23" i="4"/>
  <c r="C23" i="5" s="1"/>
  <c r="E23" i="5" s="1"/>
  <c r="O23" i="4" s="1"/>
  <c r="G23" i="4"/>
  <c r="I23" i="4"/>
  <c r="B24" i="4"/>
  <c r="B23" i="5"/>
  <c r="AD16" i="4"/>
  <c r="B71" i="7"/>
  <c r="I71" i="7" s="1"/>
  <c r="AC15" i="4"/>
  <c r="AB17" i="4"/>
  <c r="AB18" i="4"/>
  <c r="AB19" i="4"/>
  <c r="AB20" i="4"/>
  <c r="AB21" i="4"/>
  <c r="AB22" i="4"/>
  <c r="AB23" i="4"/>
  <c r="E32" i="6"/>
  <c r="I4619" i="16"/>
  <c r="O4625" i="16" s="1"/>
  <c r="H32" i="6"/>
  <c r="U4108" i="16"/>
  <c r="S4108" i="16"/>
  <c r="T4108" i="16" s="1"/>
  <c r="U3592" i="16"/>
  <c r="S3592" i="16"/>
  <c r="T3592" i="16" s="1"/>
  <c r="U3430" i="16"/>
  <c r="S3430" i="16"/>
  <c r="T3430" i="16" s="1"/>
  <c r="U3376" i="16"/>
  <c r="S3376" i="16"/>
  <c r="T3376" i="16" s="1"/>
  <c r="U3268" i="16"/>
  <c r="S3268" i="16"/>
  <c r="T3268" i="16" s="1"/>
  <c r="U3106" i="16"/>
  <c r="S3106" i="16"/>
  <c r="T3106" i="16" s="1"/>
  <c r="U3052" i="16"/>
  <c r="S3052" i="16"/>
  <c r="T3052" i="16" s="1"/>
  <c r="U2998" i="16"/>
  <c r="S2998" i="16"/>
  <c r="T2998" i="16" s="1"/>
  <c r="U2728" i="16"/>
  <c r="S2728" i="16"/>
  <c r="T2728" i="16" s="1"/>
  <c r="U2512" i="16"/>
  <c r="S2512" i="16"/>
  <c r="T2512" i="16" s="1"/>
  <c r="U2458" i="16"/>
  <c r="S2458" i="16"/>
  <c r="T2458" i="16" s="1"/>
  <c r="U2404" i="16"/>
  <c r="S2404" i="16"/>
  <c r="T2404" i="16" s="1"/>
  <c r="U2242" i="16"/>
  <c r="S2242" i="16"/>
  <c r="T2242" i="16" s="1"/>
  <c r="U2188" i="16"/>
  <c r="S2188" i="16"/>
  <c r="T2188" i="16" s="1"/>
  <c r="U1918" i="16"/>
  <c r="S1918" i="16"/>
  <c r="T1918" i="16" s="1"/>
  <c r="U1864" i="16"/>
  <c r="S1864" i="16"/>
  <c r="T1864" i="16" s="1"/>
  <c r="U1486" i="16"/>
  <c r="S1486" i="16"/>
  <c r="T1486" i="16" s="1"/>
  <c r="U1000" i="16"/>
  <c r="S1000" i="16"/>
  <c r="T1000" i="16" s="1"/>
  <c r="U892" i="16"/>
  <c r="S892" i="16"/>
  <c r="T892" i="16" s="1"/>
  <c r="U676" i="16"/>
  <c r="S676" i="16"/>
  <c r="T676" i="16" s="1"/>
  <c r="U406" i="16"/>
  <c r="S406" i="16"/>
  <c r="T406" i="16" s="1"/>
  <c r="U352" i="16"/>
  <c r="S352" i="16"/>
  <c r="T352" i="16" s="1"/>
  <c r="U190" i="16"/>
  <c r="S190" i="16"/>
  <c r="T190" i="16" s="1"/>
  <c r="U136" i="16"/>
  <c r="S136" i="16"/>
  <c r="T136" i="16" s="1"/>
  <c r="M4571" i="16"/>
  <c r="N4571" i="16"/>
  <c r="M3431" i="16"/>
  <c r="N3431" i="16"/>
  <c r="M3377" i="16"/>
  <c r="N3377" i="16"/>
  <c r="M3107" i="16"/>
  <c r="N3107" i="16"/>
  <c r="N2999" i="16"/>
  <c r="M2999" i="16"/>
  <c r="M2945" i="16"/>
  <c r="N2945" i="16"/>
  <c r="M2729" i="16"/>
  <c r="N2729" i="16"/>
  <c r="M2297" i="16"/>
  <c r="N2297" i="16"/>
  <c r="M1649" i="16"/>
  <c r="N1649" i="16"/>
  <c r="M1487" i="16"/>
  <c r="N1487" i="16"/>
  <c r="M1379" i="16"/>
  <c r="N1379" i="16"/>
  <c r="N1001" i="16"/>
  <c r="M1001" i="16"/>
  <c r="M947" i="16"/>
  <c r="N947" i="16"/>
  <c r="M731" i="16"/>
  <c r="N731" i="16"/>
  <c r="M515" i="16"/>
  <c r="N515" i="16"/>
  <c r="M353" i="16"/>
  <c r="N353" i="16"/>
  <c r="M245" i="16"/>
  <c r="N245" i="16"/>
  <c r="M21" i="4"/>
  <c r="N21" i="4"/>
  <c r="O17" i="4"/>
  <c r="S17" i="4" s="1"/>
  <c r="T17" i="4" s="1"/>
  <c r="S4051" i="16"/>
  <c r="T4051" i="16" s="1"/>
  <c r="S4159" i="16"/>
  <c r="T4159" i="16" s="1"/>
  <c r="S4105" i="16"/>
  <c r="T4105" i="16" s="1"/>
  <c r="S4213" i="16"/>
  <c r="T4213" i="16" s="1"/>
  <c r="K4164" i="16"/>
  <c r="F4164" i="16"/>
  <c r="O4164" i="16" s="1"/>
  <c r="K3270" i="16"/>
  <c r="F3270" i="16"/>
  <c r="O3270" i="16" s="1"/>
  <c r="K3108" i="16"/>
  <c r="F3108" i="16"/>
  <c r="O3108" i="16" s="1"/>
  <c r="K3000" i="16"/>
  <c r="F3000" i="16"/>
  <c r="O3000" i="16" s="1"/>
  <c r="K2676" i="16"/>
  <c r="F2676" i="16"/>
  <c r="O2676" i="16" s="1"/>
  <c r="F2028" i="16"/>
  <c r="O2028" i="16" s="1"/>
  <c r="K2028" i="16"/>
  <c r="F1434" i="16"/>
  <c r="O1434" i="16" s="1"/>
  <c r="K1434" i="16"/>
  <c r="K1002" i="16"/>
  <c r="F1002" i="16"/>
  <c r="O1002" i="16" s="1"/>
  <c r="F138" i="16"/>
  <c r="O138" i="16" s="1"/>
  <c r="K138" i="16"/>
  <c r="F21" i="5"/>
  <c r="G21" i="5"/>
  <c r="H21" i="5"/>
  <c r="O4109" i="16"/>
  <c r="S4109" i="16" s="1"/>
  <c r="T4109" i="16" s="1"/>
  <c r="O4107" i="16"/>
  <c r="S4107" i="16" s="1"/>
  <c r="T4107" i="16" s="1"/>
  <c r="K3379" i="16" l="1"/>
  <c r="F3379" i="16"/>
  <c r="O3379" i="16" s="1"/>
  <c r="K1921" i="16"/>
  <c r="F1921" i="16"/>
  <c r="O1921" i="16" s="1"/>
  <c r="K1705" i="16"/>
  <c r="F1705" i="16"/>
  <c r="O1705" i="16" s="1"/>
  <c r="K1489" i="16"/>
  <c r="F1489" i="16"/>
  <c r="O1489" i="16" s="1"/>
  <c r="K679" i="16"/>
  <c r="F679" i="16"/>
  <c r="O679" i="16" s="1"/>
  <c r="U4680" i="16"/>
  <c r="S4680" i="16"/>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M4573" i="16" s="1"/>
  <c r="J4573" i="16"/>
  <c r="P4573" i="16"/>
  <c r="Q4573" i="16"/>
  <c r="R4573" i="16"/>
  <c r="L4574" i="16"/>
  <c r="C4574" i="16"/>
  <c r="E4574" i="16"/>
  <c r="G4574" i="16"/>
  <c r="I4574" i="16"/>
  <c r="B4575" i="16"/>
  <c r="D4519" i="16"/>
  <c r="M4519" i="16" s="1"/>
  <c r="J4519" i="16"/>
  <c r="P4519" i="16"/>
  <c r="Q4519" i="16"/>
  <c r="R4519" i="16"/>
  <c r="L4520" i="16"/>
  <c r="C4520" i="16"/>
  <c r="E4520" i="16"/>
  <c r="G4520" i="16"/>
  <c r="I4520" i="16"/>
  <c r="B4521" i="16"/>
  <c r="U4218" i="16"/>
  <c r="S4218" i="16"/>
  <c r="T4218" i="16" s="1"/>
  <c r="D4219" i="16"/>
  <c r="J4219" i="16"/>
  <c r="M4219" i="16"/>
  <c r="P4219" i="16"/>
  <c r="Q4219" i="16"/>
  <c r="R4219" i="16"/>
  <c r="C4220" i="16"/>
  <c r="E4220" i="16"/>
  <c r="F4220" i="16"/>
  <c r="O4220" i="16" s="1"/>
  <c r="G4220" i="16"/>
  <c r="L4220" i="16"/>
  <c r="I4220" i="16"/>
  <c r="K4220" i="16"/>
  <c r="B4221" i="16"/>
  <c r="D4165" i="16"/>
  <c r="M4165" i="16" s="1"/>
  <c r="J4165" i="16"/>
  <c r="P4165" i="16"/>
  <c r="Q4165" i="16"/>
  <c r="R4165" i="16"/>
  <c r="E4166" i="16"/>
  <c r="G4166" i="16"/>
  <c r="L4166" i="16"/>
  <c r="B4167" i="16"/>
  <c r="C4166" i="16"/>
  <c r="F4166" i="16" s="1"/>
  <c r="O4166" i="16" s="1"/>
  <c r="I4166" i="16"/>
  <c r="K4166" i="16"/>
  <c r="U4110" i="16"/>
  <c r="S4110" i="16"/>
  <c r="T4110" i="16" s="1"/>
  <c r="P4111" i="16"/>
  <c r="Q4111" i="16"/>
  <c r="R4111" i="16"/>
  <c r="J4111" i="16"/>
  <c r="D4111" i="16"/>
  <c r="E4112" i="16"/>
  <c r="G4112" i="16"/>
  <c r="L4112" i="16"/>
  <c r="B4113" i="16"/>
  <c r="C4112" i="16"/>
  <c r="F4112" i="16" s="1"/>
  <c r="O4112" i="16" s="1"/>
  <c r="I4112" i="16"/>
  <c r="K4112" i="16"/>
  <c r="U4056" i="16"/>
  <c r="S4056" i="16"/>
  <c r="T4056" i="16" s="1"/>
  <c r="D4057" i="16"/>
  <c r="M4057" i="16" s="1"/>
  <c r="N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E3758" i="16"/>
  <c r="G3758" i="16"/>
  <c r="I3758" i="16"/>
  <c r="B3759" i="16"/>
  <c r="U3702" i="16"/>
  <c r="S3702" i="16"/>
  <c r="T3702" i="16" s="1"/>
  <c r="M3703" i="16"/>
  <c r="D3703" i="16"/>
  <c r="J3703" i="16"/>
  <c r="N3703" i="16" s="1"/>
  <c r="P3703" i="16"/>
  <c r="Q3703" i="16"/>
  <c r="R3703" i="16"/>
  <c r="L3704" i="16"/>
  <c r="C3704" i="16"/>
  <c r="K3704" i="16" s="1"/>
  <c r="E3704" i="16"/>
  <c r="F3704" i="16"/>
  <c r="O3704" i="16" s="1"/>
  <c r="G3704" i="16"/>
  <c r="B3705" i="16"/>
  <c r="I3704" i="16"/>
  <c r="U3648" i="16"/>
  <c r="S3648" i="16"/>
  <c r="T3648" i="16" s="1"/>
  <c r="M3649" i="16"/>
  <c r="D3649" i="16"/>
  <c r="J3649" i="16"/>
  <c r="N3649" i="16" s="1"/>
  <c r="P3649" i="16"/>
  <c r="Q3649" i="16"/>
  <c r="R3649" i="16"/>
  <c r="L3650" i="16"/>
  <c r="C3650" i="16"/>
  <c r="E3650" i="16"/>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D3541" i="16"/>
  <c r="J3541" i="16"/>
  <c r="P3541" i="16"/>
  <c r="Q3541" i="16"/>
  <c r="R3541" i="16"/>
  <c r="L3542" i="16"/>
  <c r="C3542" i="16"/>
  <c r="K3542" i="16" s="1"/>
  <c r="E3542" i="16"/>
  <c r="F3542" i="16"/>
  <c r="O3542" i="16" s="1"/>
  <c r="G3542" i="16"/>
  <c r="I3542" i="16"/>
  <c r="B3543" i="16"/>
  <c r="U3486" i="16"/>
  <c r="S3486" i="16"/>
  <c r="T3486" i="16" s="1"/>
  <c r="L3488" i="16"/>
  <c r="I3488" i="16"/>
  <c r="C3488" i="16"/>
  <c r="E3488" i="16"/>
  <c r="G3488" i="16"/>
  <c r="B3489" i="16"/>
  <c r="J3487" i="16"/>
  <c r="D3487" i="16"/>
  <c r="P3487" i="16"/>
  <c r="Q3487" i="16"/>
  <c r="R3487" i="16"/>
  <c r="U3432" i="16"/>
  <c r="S3432" i="16"/>
  <c r="T3432" i="16" s="1"/>
  <c r="M3433" i="16"/>
  <c r="D3433" i="16"/>
  <c r="J3433" i="16"/>
  <c r="N3433" i="16" s="1"/>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D3271" i="16"/>
  <c r="J3271" i="16"/>
  <c r="P3271" i="16"/>
  <c r="Q3271" i="16"/>
  <c r="R3271" i="16"/>
  <c r="L3272" i="16"/>
  <c r="C3272" i="16"/>
  <c r="E3272" i="16"/>
  <c r="G3272" i="16"/>
  <c r="I3272" i="16"/>
  <c r="B3273" i="16"/>
  <c r="U3216" i="16"/>
  <c r="S3216" i="16"/>
  <c r="T3216" i="16" s="1"/>
  <c r="M3217" i="16"/>
  <c r="L3218" i="16"/>
  <c r="C3218" i="16"/>
  <c r="I3218" i="16"/>
  <c r="E3218" i="16"/>
  <c r="G3218" i="16"/>
  <c r="B3219" i="16"/>
  <c r="J3217" i="16"/>
  <c r="N3217" i="16" s="1"/>
  <c r="D3217" i="16"/>
  <c r="P3217" i="16"/>
  <c r="Q3217" i="16"/>
  <c r="R3217" i="16"/>
  <c r="U3162" i="16"/>
  <c r="S3162" i="16"/>
  <c r="T3162" i="16" s="1"/>
  <c r="M3163" i="16"/>
  <c r="P3163" i="16"/>
  <c r="Q3163" i="16"/>
  <c r="R3163" i="16"/>
  <c r="J3163" i="16"/>
  <c r="N3163" i="16" s="1"/>
  <c r="D3163" i="16"/>
  <c r="L3164" i="16"/>
  <c r="G3164" i="16"/>
  <c r="I3164" i="16"/>
  <c r="B3165" i="16"/>
  <c r="E3164" i="16"/>
  <c r="C3164" i="16"/>
  <c r="M3109" i="16"/>
  <c r="P3109" i="16"/>
  <c r="Q3109" i="16"/>
  <c r="R3109" i="16"/>
  <c r="D3109" i="16"/>
  <c r="J3109" i="16"/>
  <c r="N3109" i="16" s="1"/>
  <c r="L3110" i="16"/>
  <c r="E3110" i="16"/>
  <c r="I3110" i="16"/>
  <c r="C3110" i="16"/>
  <c r="K3110" i="16" s="1"/>
  <c r="B3111" i="16"/>
  <c r="F3110" i="16"/>
  <c r="O3110" i="16" s="1"/>
  <c r="G3110" i="16"/>
  <c r="U3054" i="16"/>
  <c r="S3054" i="16"/>
  <c r="T3054" i="16" s="1"/>
  <c r="L3056" i="16"/>
  <c r="C3056" i="16"/>
  <c r="K3056" i="16" s="1"/>
  <c r="F3056" i="16"/>
  <c r="O3056" i="16" s="1"/>
  <c r="E3056" i="16"/>
  <c r="G3056" i="16"/>
  <c r="I3056" i="16"/>
  <c r="B3057" i="16"/>
  <c r="J3055" i="16"/>
  <c r="D3055" i="16"/>
  <c r="P3055" i="16"/>
  <c r="Q3055" i="16"/>
  <c r="R3055" i="16"/>
  <c r="L3002" i="16"/>
  <c r="E3002" i="16"/>
  <c r="B3003" i="16"/>
  <c r="C3002" i="16"/>
  <c r="G3002" i="16"/>
  <c r="I3002" i="16"/>
  <c r="J3001" i="16"/>
  <c r="D3001" i="16"/>
  <c r="P3001" i="16"/>
  <c r="Q3001" i="16"/>
  <c r="R3001" i="16"/>
  <c r="U2946" i="16"/>
  <c r="S2946" i="16"/>
  <c r="T2946" i="16" s="1"/>
  <c r="D2947" i="16"/>
  <c r="J2947" i="16"/>
  <c r="P2947" i="16"/>
  <c r="Q2947" i="16"/>
  <c r="R2947" i="16"/>
  <c r="L2948" i="16"/>
  <c r="C2948" i="16"/>
  <c r="K2948" i="16" s="1"/>
  <c r="E2948" i="16"/>
  <c r="F2948" i="16"/>
  <c r="O2948" i="16" s="1"/>
  <c r="G2948" i="16"/>
  <c r="I2948" i="16"/>
  <c r="B2949" i="16"/>
  <c r="U2892" i="16"/>
  <c r="S2892" i="16"/>
  <c r="T2892" i="16" s="1"/>
  <c r="M2893" i="16"/>
  <c r="D2893" i="16"/>
  <c r="J2893" i="16"/>
  <c r="N2893" i="16" s="1"/>
  <c r="P2893" i="16"/>
  <c r="Q2893" i="16"/>
  <c r="R2893" i="16"/>
  <c r="L2894" i="16"/>
  <c r="C2894" i="16"/>
  <c r="K2894" i="16" s="1"/>
  <c r="E2894" i="16"/>
  <c r="F2894" i="16"/>
  <c r="O2894" i="16" s="1"/>
  <c r="G2894" i="16"/>
  <c r="I2894" i="16"/>
  <c r="B2895" i="16"/>
  <c r="U2838" i="16"/>
  <c r="S2838" i="16"/>
  <c r="T2838" i="16" s="1"/>
  <c r="M2839" i="16"/>
  <c r="D2839" i="16"/>
  <c r="J2839" i="16"/>
  <c r="N2839" i="16" s="1"/>
  <c r="P2839" i="16"/>
  <c r="Q2839" i="16"/>
  <c r="R2839" i="16"/>
  <c r="L2840" i="16"/>
  <c r="C2840" i="16"/>
  <c r="K2840" i="16" s="1"/>
  <c r="E2840" i="16"/>
  <c r="F2840" i="16"/>
  <c r="O2840" i="16" s="1"/>
  <c r="G2840" i="16"/>
  <c r="I2840" i="16"/>
  <c r="B2841" i="16"/>
  <c r="M2785" i="16"/>
  <c r="D2785" i="16"/>
  <c r="J2785" i="16"/>
  <c r="N2785" i="16" s="1"/>
  <c r="S2785" i="16" s="1"/>
  <c r="T2785" i="16" s="1"/>
  <c r="U2785" i="16" s="1"/>
  <c r="P2785" i="16"/>
  <c r="Q2785" i="16"/>
  <c r="R2785" i="16"/>
  <c r="L2786" i="16"/>
  <c r="C2786" i="16"/>
  <c r="K2786" i="16" s="1"/>
  <c r="E2786" i="16"/>
  <c r="F2786" i="16"/>
  <c r="O2786" i="16" s="1"/>
  <c r="G2786" i="16"/>
  <c r="I2786" i="16"/>
  <c r="B2787" i="16"/>
  <c r="U2730" i="16"/>
  <c r="S2730" i="16"/>
  <c r="T2730" i="16" s="1"/>
  <c r="D2731" i="16"/>
  <c r="J2731" i="16"/>
  <c r="P2731" i="16"/>
  <c r="Q2731" i="16"/>
  <c r="R2731" i="16"/>
  <c r="L2732" i="16"/>
  <c r="C2732" i="16"/>
  <c r="K2732" i="16" s="1"/>
  <c r="E2732" i="16"/>
  <c r="F2732" i="16"/>
  <c r="O2732" i="16" s="1"/>
  <c r="G2732" i="16"/>
  <c r="I2732" i="16"/>
  <c r="B2733" i="16"/>
  <c r="D2677" i="16"/>
  <c r="J2677" i="16"/>
  <c r="P2677" i="16"/>
  <c r="Q2677" i="16"/>
  <c r="R2677" i="16"/>
  <c r="L2678" i="16"/>
  <c r="C2678" i="16"/>
  <c r="E2678" i="16"/>
  <c r="G2678" i="16"/>
  <c r="I2678" i="16"/>
  <c r="B2679" i="16"/>
  <c r="U2622" i="16"/>
  <c r="S2622" i="16"/>
  <c r="T2622" i="16" s="1"/>
  <c r="M2623" i="16"/>
  <c r="D2623" i="16"/>
  <c r="J2623" i="16"/>
  <c r="N2623" i="16" s="1"/>
  <c r="P2623" i="16"/>
  <c r="Q2623" i="16"/>
  <c r="R2623" i="16"/>
  <c r="L2624" i="16"/>
  <c r="C2624" i="16"/>
  <c r="E2624" i="16"/>
  <c r="G2624" i="16"/>
  <c r="I2624" i="16"/>
  <c r="B2625" i="16"/>
  <c r="U2568" i="16"/>
  <c r="S2568" i="16"/>
  <c r="T2568" i="16" s="1"/>
  <c r="M2569" i="16"/>
  <c r="D2569" i="16"/>
  <c r="J2569" i="16"/>
  <c r="N2569" i="16" s="1"/>
  <c r="P2569" i="16"/>
  <c r="Q2569" i="16"/>
  <c r="R2569" i="16"/>
  <c r="L2570" i="16"/>
  <c r="C2570" i="16"/>
  <c r="E2570" i="16"/>
  <c r="G2570" i="16"/>
  <c r="I2570" i="16"/>
  <c r="B2571" i="16"/>
  <c r="U2514" i="16"/>
  <c r="S2514" i="16"/>
  <c r="T2514" i="16" s="1"/>
  <c r="M2515" i="16"/>
  <c r="D2515" i="16"/>
  <c r="J2515" i="16"/>
  <c r="N2515" i="16" s="1"/>
  <c r="Q2515" i="16"/>
  <c r="P2515" i="16"/>
  <c r="R2515" i="16"/>
  <c r="L2516" i="16"/>
  <c r="C2516" i="16"/>
  <c r="K2516" i="16" s="1"/>
  <c r="E2516" i="16"/>
  <c r="F2516" i="16"/>
  <c r="O2516" i="16" s="1"/>
  <c r="G2516" i="16"/>
  <c r="I2516" i="16"/>
  <c r="B2517" i="16"/>
  <c r="U2460" i="16"/>
  <c r="S2460" i="16"/>
  <c r="T2460" i="16" s="1"/>
  <c r="D2461" i="16"/>
  <c r="J2461" i="16"/>
  <c r="Q2461" i="16"/>
  <c r="P2461" i="16"/>
  <c r="R2461" i="16"/>
  <c r="L2462" i="16"/>
  <c r="C2462" i="16"/>
  <c r="E2462" i="16"/>
  <c r="G2462" i="16"/>
  <c r="I2462" i="16"/>
  <c r="B2463" i="16"/>
  <c r="U2406" i="16"/>
  <c r="S2406" i="16"/>
  <c r="T2406" i="16" s="1"/>
  <c r="M2407" i="16"/>
  <c r="D2407" i="16"/>
  <c r="J2407" i="16"/>
  <c r="N2407" i="16" s="1"/>
  <c r="P2407" i="16"/>
  <c r="Q2407" i="16"/>
  <c r="R2407" i="16"/>
  <c r="L2408" i="16"/>
  <c r="C2408" i="16"/>
  <c r="E2408" i="16"/>
  <c r="G2408" i="16"/>
  <c r="I2408" i="16"/>
  <c r="B2409" i="16"/>
  <c r="U2352" i="16"/>
  <c r="S2352" i="16"/>
  <c r="T2352" i="16" s="1"/>
  <c r="M2353" i="16"/>
  <c r="D2353" i="16"/>
  <c r="J2353" i="16"/>
  <c r="N2353" i="16" s="1"/>
  <c r="Q2353" i="16"/>
  <c r="R2353" i="16"/>
  <c r="P2353" i="16"/>
  <c r="L2354" i="16"/>
  <c r="C2354" i="16"/>
  <c r="K2354" i="16" s="1"/>
  <c r="E2354" i="16"/>
  <c r="F2354" i="16"/>
  <c r="O2354" i="16" s="1"/>
  <c r="G2354" i="16"/>
  <c r="I2354" i="16"/>
  <c r="B2355" i="16"/>
  <c r="U2298" i="16"/>
  <c r="S2298" i="16"/>
  <c r="T2298" i="16" s="1"/>
  <c r="D2299" i="16"/>
  <c r="J2299" i="16"/>
  <c r="P2299" i="16"/>
  <c r="Q2299" i="16"/>
  <c r="R2299" i="16"/>
  <c r="L2300" i="16"/>
  <c r="C2300" i="16"/>
  <c r="E2300" i="16"/>
  <c r="G2300" i="16"/>
  <c r="I2300" i="16"/>
  <c r="B2301" i="16"/>
  <c r="U2244" i="16"/>
  <c r="S2244" i="16"/>
  <c r="T2244" i="16" s="1"/>
  <c r="D2245" i="16"/>
  <c r="J2245" i="16"/>
  <c r="Q2245" i="16"/>
  <c r="R2245" i="16"/>
  <c r="P2245" i="16"/>
  <c r="L2246" i="16"/>
  <c r="C2246" i="16"/>
  <c r="K2246" i="16" s="1"/>
  <c r="E2246" i="16"/>
  <c r="F2246" i="16"/>
  <c r="O2246" i="16" s="1"/>
  <c r="G2246" i="16"/>
  <c r="B2247" i="16"/>
  <c r="I2246"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M2137" i="16"/>
  <c r="D2137" i="16"/>
  <c r="J2137" i="16"/>
  <c r="N2137" i="16" s="1"/>
  <c r="P2137" i="16"/>
  <c r="Q2137" i="16"/>
  <c r="R2137" i="16"/>
  <c r="L2138" i="16"/>
  <c r="E2138" i="16"/>
  <c r="G2138" i="16"/>
  <c r="B2139" i="16"/>
  <c r="C2138" i="16"/>
  <c r="I2138" i="16"/>
  <c r="U2082" i="16"/>
  <c r="S2082" i="16"/>
  <c r="T2082" i="16" s="1"/>
  <c r="D2083" i="16"/>
  <c r="J2083" i="16"/>
  <c r="P2083" i="16"/>
  <c r="Q2083" i="16"/>
  <c r="R2083" i="16"/>
  <c r="L2084" i="16"/>
  <c r="C2084" i="16"/>
  <c r="E2084" i="16"/>
  <c r="G2084" i="16"/>
  <c r="I2084" i="16"/>
  <c r="B2085" i="16"/>
  <c r="D2029" i="16"/>
  <c r="J2029" i="16"/>
  <c r="P2029" i="16"/>
  <c r="Q2029" i="16"/>
  <c r="R2029" i="16"/>
  <c r="L2030" i="16"/>
  <c r="C2030" i="16"/>
  <c r="E2030" i="16"/>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U1920" i="16"/>
  <c r="S1920" i="16"/>
  <c r="T1920" i="16" s="1"/>
  <c r="M1921" i="16"/>
  <c r="D1921" i="16"/>
  <c r="J1921" i="16"/>
  <c r="N1921" i="16" s="1"/>
  <c r="P1921" i="16"/>
  <c r="Q1921" i="16"/>
  <c r="R1921" i="16"/>
  <c r="L1922" i="16"/>
  <c r="C1922" i="16"/>
  <c r="K1922" i="16" s="1"/>
  <c r="E1922" i="16"/>
  <c r="F1922" i="16"/>
  <c r="O1922" i="16" s="1"/>
  <c r="G1922" i="16"/>
  <c r="I1922" i="16"/>
  <c r="B1923" i="16"/>
  <c r="U1866" i="16"/>
  <c r="S1866" i="16"/>
  <c r="T1866" i="16" s="1"/>
  <c r="D1867" i="16"/>
  <c r="J1867" i="16"/>
  <c r="P1867" i="16"/>
  <c r="Q1867" i="16"/>
  <c r="R1867" i="16"/>
  <c r="L1868" i="16"/>
  <c r="C1868" i="16"/>
  <c r="E1868" i="16"/>
  <c r="G1868" i="16"/>
  <c r="I1868" i="16"/>
  <c r="B1869" i="16"/>
  <c r="U1812" i="16"/>
  <c r="S1812" i="16"/>
  <c r="T1812" i="16" s="1"/>
  <c r="D1813" i="16"/>
  <c r="J1813" i="16"/>
  <c r="P1813" i="16"/>
  <c r="Q1813" i="16"/>
  <c r="R1813" i="16"/>
  <c r="L1814" i="16"/>
  <c r="C1814" i="16"/>
  <c r="E1814" i="16"/>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U1704" i="16"/>
  <c r="S1704" i="16"/>
  <c r="T1704" i="16" s="1"/>
  <c r="M1705" i="16"/>
  <c r="D1705" i="16"/>
  <c r="J1705" i="16"/>
  <c r="N1705" i="16" s="1"/>
  <c r="P1705" i="16"/>
  <c r="Q1705" i="16"/>
  <c r="R1705" i="16"/>
  <c r="L1706" i="16"/>
  <c r="C1706" i="16"/>
  <c r="K1706" i="16" s="1"/>
  <c r="E1706" i="16"/>
  <c r="F1706" i="16"/>
  <c r="O1706" i="16" s="1"/>
  <c r="G1706" i="16"/>
  <c r="I1706" i="16"/>
  <c r="B1707" i="16"/>
  <c r="U1650" i="16"/>
  <c r="S1650" i="16"/>
  <c r="T1650" i="16" s="1"/>
  <c r="M1651" i="16"/>
  <c r="D1651" i="16"/>
  <c r="J1651" i="16"/>
  <c r="N1651" i="16" s="1"/>
  <c r="P1651" i="16"/>
  <c r="Q1651" i="16"/>
  <c r="R1651" i="16"/>
  <c r="L1652" i="16"/>
  <c r="C1652" i="16"/>
  <c r="K1652" i="16" s="1"/>
  <c r="E1652" i="16"/>
  <c r="F1652" i="16"/>
  <c r="O1652" i="16" s="1"/>
  <c r="G1652" i="16"/>
  <c r="I1652" i="16"/>
  <c r="B1653" i="16"/>
  <c r="U1596" i="16"/>
  <c r="S1596" i="16"/>
  <c r="T1596" i="16" s="1"/>
  <c r="D1597" i="16"/>
  <c r="J1597" i="16"/>
  <c r="P1597" i="16"/>
  <c r="Q1597" i="16"/>
  <c r="R1597" i="16"/>
  <c r="L1598" i="16"/>
  <c r="C1598" i="16"/>
  <c r="K1598" i="16" s="1"/>
  <c r="E1598" i="16"/>
  <c r="F1598" i="16"/>
  <c r="O1598" i="16" s="1"/>
  <c r="G1598" i="16"/>
  <c r="I1598" i="16"/>
  <c r="B1599" i="16"/>
  <c r="U1542" i="16"/>
  <c r="S1542" i="16"/>
  <c r="T1542" i="16" s="1"/>
  <c r="D1543" i="16"/>
  <c r="J1543" i="16"/>
  <c r="P1543" i="16"/>
  <c r="Q1543" i="16"/>
  <c r="R1543" i="16"/>
  <c r="L1544" i="16"/>
  <c r="C1544" i="16"/>
  <c r="E1544" i="16"/>
  <c r="G1544" i="16"/>
  <c r="I1544" i="16"/>
  <c r="B1545" i="16"/>
  <c r="U1488" i="16"/>
  <c r="S1488" i="16"/>
  <c r="T1488" i="16" s="1"/>
  <c r="M1489" i="16"/>
  <c r="D1489" i="16"/>
  <c r="J1489" i="16"/>
  <c r="N1489" i="16" s="1"/>
  <c r="P1489" i="16"/>
  <c r="Q1489" i="16"/>
  <c r="R1489" i="16"/>
  <c r="L1490" i="16"/>
  <c r="C1490" i="16"/>
  <c r="K1490" i="16" s="1"/>
  <c r="E1490" i="16"/>
  <c r="F1490" i="16"/>
  <c r="O1490" i="16" s="1"/>
  <c r="G1490" i="16"/>
  <c r="I1490" i="16"/>
  <c r="B1491" i="16"/>
  <c r="M1435" i="16"/>
  <c r="D1435" i="16"/>
  <c r="J1435" i="16"/>
  <c r="N1435" i="16" s="1"/>
  <c r="P1435" i="16"/>
  <c r="Q1435" i="16"/>
  <c r="R1435" i="16"/>
  <c r="L1436" i="16"/>
  <c r="I1436" i="16"/>
  <c r="B1437" i="16"/>
  <c r="C1436" i="16"/>
  <c r="E1436" i="16"/>
  <c r="G1436" i="16"/>
  <c r="U1380" i="16"/>
  <c r="S1380" i="16"/>
  <c r="T1380" i="16" s="1"/>
  <c r="M1381" i="16"/>
  <c r="D1381" i="16"/>
  <c r="J1381" i="16"/>
  <c r="N1381" i="16" s="1"/>
  <c r="P1381" i="16"/>
  <c r="Q1381" i="16"/>
  <c r="R1381" i="16"/>
  <c r="L1382" i="16"/>
  <c r="B1383" i="16"/>
  <c r="E1382" i="16"/>
  <c r="C1382" i="16"/>
  <c r="G1382" i="16"/>
  <c r="I1382" i="16"/>
  <c r="U1326" i="16"/>
  <c r="S1326" i="16"/>
  <c r="T1326" i="16" s="1"/>
  <c r="D1327" i="16"/>
  <c r="J1327" i="16"/>
  <c r="P1327" i="16"/>
  <c r="Q1327" i="16"/>
  <c r="R1327" i="16"/>
  <c r="L1328" i="16"/>
  <c r="C1328" i="16"/>
  <c r="E1328" i="16"/>
  <c r="G1328" i="16"/>
  <c r="I1328" i="16"/>
  <c r="B1329" i="16"/>
  <c r="U1272" i="16"/>
  <c r="S1272" i="16"/>
  <c r="T1272" i="16" s="1"/>
  <c r="J1273" i="16"/>
  <c r="D1273" i="16"/>
  <c r="P1273" i="16"/>
  <c r="Q1273" i="16"/>
  <c r="R1273" i="16"/>
  <c r="L1274" i="16"/>
  <c r="G1274" i="16"/>
  <c r="B1275" i="16"/>
  <c r="C1274" i="16"/>
  <c r="K1274" i="16" s="1"/>
  <c r="E1274" i="16"/>
  <c r="F1274" i="16"/>
  <c r="O1274" i="16" s="1"/>
  <c r="I1274" i="16"/>
  <c r="S1219" i="16"/>
  <c r="T1219" i="16" s="1"/>
  <c r="U1219" i="16"/>
  <c r="M1220" i="16"/>
  <c r="P1220" i="16"/>
  <c r="Q1220" i="16"/>
  <c r="R1220" i="16"/>
  <c r="D1220" i="16"/>
  <c r="J1220" i="16"/>
  <c r="N1220" i="16" s="1"/>
  <c r="L1221" i="16"/>
  <c r="I1221" i="16"/>
  <c r="B1222" i="16"/>
  <c r="C1221" i="16"/>
  <c r="E1221" i="16"/>
  <c r="G1221"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U1056" i="16"/>
  <c r="S1056" i="16"/>
  <c r="T1056" i="16" s="1"/>
  <c r="D1057" i="16"/>
  <c r="J1057" i="16"/>
  <c r="P1057" i="16"/>
  <c r="Q1057" i="16"/>
  <c r="R1057" i="16"/>
  <c r="L1058" i="16"/>
  <c r="C1058" i="16"/>
  <c r="E1058" i="16"/>
  <c r="G1058" i="16"/>
  <c r="I1058" i="16"/>
  <c r="B1059" i="16"/>
  <c r="M1003" i="16"/>
  <c r="P1003" i="16"/>
  <c r="Q1003" i="16"/>
  <c r="R1003" i="16"/>
  <c r="J1003" i="16"/>
  <c r="N1003" i="16" s="1"/>
  <c r="D1003" i="16"/>
  <c r="L1004" i="16"/>
  <c r="E1004" i="16"/>
  <c r="I1004" i="16"/>
  <c r="B1005" i="16"/>
  <c r="C1004" i="16"/>
  <c r="G1004"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D895" i="16"/>
  <c r="J895" i="16"/>
  <c r="P895" i="16"/>
  <c r="Q895" i="16"/>
  <c r="R895" i="16"/>
  <c r="L896" i="16"/>
  <c r="C896" i="16"/>
  <c r="K896" i="16" s="1"/>
  <c r="E896" i="16"/>
  <c r="F896" i="16"/>
  <c r="O896" i="16" s="1"/>
  <c r="G896" i="16"/>
  <c r="I896" i="16"/>
  <c r="B897" i="16"/>
  <c r="U840" i="16"/>
  <c r="S840" i="16"/>
  <c r="T840" i="16" s="1"/>
  <c r="D841" i="16"/>
  <c r="J841" i="16"/>
  <c r="P841" i="16"/>
  <c r="Q841" i="16"/>
  <c r="R841" i="16"/>
  <c r="L842" i="16"/>
  <c r="C842" i="16"/>
  <c r="E842" i="16"/>
  <c r="G842" i="16"/>
  <c r="I842" i="16"/>
  <c r="B843" i="16"/>
  <c r="U786" i="16"/>
  <c r="S786" i="16"/>
  <c r="T786" i="16" s="1"/>
  <c r="M787" i="16"/>
  <c r="D787" i="16"/>
  <c r="J787" i="16"/>
  <c r="N787" i="16" s="1"/>
  <c r="Q787" i="16"/>
  <c r="P787" i="16"/>
  <c r="R787" i="16"/>
  <c r="L788" i="16"/>
  <c r="C788" i="16"/>
  <c r="E788" i="16"/>
  <c r="G788" i="16"/>
  <c r="I788" i="16"/>
  <c r="B789" i="16"/>
  <c r="U732" i="16"/>
  <c r="S732" i="16"/>
  <c r="T732" i="16" s="1"/>
  <c r="M733" i="16"/>
  <c r="D733" i="16"/>
  <c r="J733" i="16"/>
  <c r="N733" i="16" s="1"/>
  <c r="Q733" i="16"/>
  <c r="P733" i="16"/>
  <c r="R733" i="16"/>
  <c r="L734" i="16"/>
  <c r="C734" i="16"/>
  <c r="K734" i="16" s="1"/>
  <c r="E734" i="16"/>
  <c r="F734" i="16"/>
  <c r="O734" i="16" s="1"/>
  <c r="G734" i="16"/>
  <c r="I734" i="16"/>
  <c r="B735" i="16"/>
  <c r="U678" i="16"/>
  <c r="S678" i="16"/>
  <c r="T678" i="16" s="1"/>
  <c r="M679" i="16"/>
  <c r="D679" i="16"/>
  <c r="J679" i="16"/>
  <c r="N679" i="16" s="1"/>
  <c r="Q679" i="16"/>
  <c r="P679" i="16"/>
  <c r="R679" i="16"/>
  <c r="L680" i="16"/>
  <c r="C680" i="16"/>
  <c r="K680" i="16" s="1"/>
  <c r="E680" i="16"/>
  <c r="F680" i="16"/>
  <c r="O680" i="16" s="1"/>
  <c r="G680" i="16"/>
  <c r="I680" i="16"/>
  <c r="B681" i="16"/>
  <c r="U624" i="16"/>
  <c r="S624" i="16"/>
  <c r="T624" i="16" s="1"/>
  <c r="M625" i="16"/>
  <c r="D625" i="16"/>
  <c r="J625" i="16"/>
  <c r="N625" i="16" s="1"/>
  <c r="Q625" i="16"/>
  <c r="P625" i="16"/>
  <c r="R625" i="16"/>
  <c r="L626" i="16"/>
  <c r="C626" i="16"/>
  <c r="K626" i="16" s="1"/>
  <c r="E626" i="16"/>
  <c r="F626" i="16"/>
  <c r="O626" i="16" s="1"/>
  <c r="G626" i="16"/>
  <c r="I626" i="16"/>
  <c r="B627" i="16"/>
  <c r="U570" i="16"/>
  <c r="S570" i="16"/>
  <c r="T570" i="16" s="1"/>
  <c r="D571" i="16"/>
  <c r="J571" i="16"/>
  <c r="Q571" i="16"/>
  <c r="P571" i="16"/>
  <c r="R571" i="16"/>
  <c r="L572" i="16"/>
  <c r="C572" i="16"/>
  <c r="E572" i="16"/>
  <c r="G572" i="16"/>
  <c r="I572" i="16"/>
  <c r="B573" i="16"/>
  <c r="U516" i="16"/>
  <c r="S516" i="16"/>
  <c r="T516" i="16" s="1"/>
  <c r="D517" i="16"/>
  <c r="J517" i="16"/>
  <c r="Q517" i="16"/>
  <c r="P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U408" i="16"/>
  <c r="S408" i="16"/>
  <c r="T408" i="16" s="1"/>
  <c r="M409" i="16"/>
  <c r="D409" i="16"/>
  <c r="J409" i="16"/>
  <c r="N409" i="16" s="1"/>
  <c r="P409" i="16"/>
  <c r="Q409" i="16"/>
  <c r="R409" i="16"/>
  <c r="L410" i="16"/>
  <c r="C410" i="16"/>
  <c r="K410" i="16" s="1"/>
  <c r="E410" i="16"/>
  <c r="F410" i="16"/>
  <c r="O410" i="16" s="1"/>
  <c r="G410" i="16"/>
  <c r="I410" i="16"/>
  <c r="B411" i="16"/>
  <c r="U354" i="16"/>
  <c r="S354" i="16"/>
  <c r="T354" i="16" s="1"/>
  <c r="D355" i="16"/>
  <c r="J355" i="16"/>
  <c r="P355" i="16"/>
  <c r="Q355" i="16"/>
  <c r="R355" i="16"/>
  <c r="L356" i="16"/>
  <c r="C356" i="16"/>
  <c r="E356" i="16"/>
  <c r="G356" i="16"/>
  <c r="I356" i="16"/>
  <c r="B357" i="16"/>
  <c r="U300" i="16"/>
  <c r="S300" i="16"/>
  <c r="T300" i="16" s="1"/>
  <c r="D301" i="16"/>
  <c r="J301" i="16"/>
  <c r="P301" i="16"/>
  <c r="Q301" i="16"/>
  <c r="R301" i="16"/>
  <c r="L302" i="16"/>
  <c r="C302" i="16"/>
  <c r="K302" i="16" s="1"/>
  <c r="E302" i="16"/>
  <c r="F302" i="16"/>
  <c r="O302" i="16" s="1"/>
  <c r="G302" i="16"/>
  <c r="I302" i="16"/>
  <c r="B303" i="16"/>
  <c r="U246" i="16"/>
  <c r="S246" i="16"/>
  <c r="T246" i="16" s="1"/>
  <c r="D247" i="16"/>
  <c r="J247" i="16"/>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K194" i="16" s="1"/>
  <c r="E194" i="16"/>
  <c r="F194" i="16"/>
  <c r="O194" i="16" s="1"/>
  <c r="G194" i="16"/>
  <c r="I194" i="16"/>
  <c r="B195" i="16"/>
  <c r="M139" i="16"/>
  <c r="D139" i="16"/>
  <c r="J139" i="16"/>
  <c r="N139" i="16" s="1"/>
  <c r="P139" i="16"/>
  <c r="Q139" i="16"/>
  <c r="R139" i="16"/>
  <c r="L140" i="16"/>
  <c r="C140" i="16"/>
  <c r="K140" i="16" s="1"/>
  <c r="E140" i="16"/>
  <c r="F140" i="16"/>
  <c r="O140" i="16" s="1"/>
  <c r="G140" i="16"/>
  <c r="I140" i="16"/>
  <c r="B141" i="16"/>
  <c r="U84" i="16"/>
  <c r="S84" i="16"/>
  <c r="T84" i="16" s="1"/>
  <c r="D85" i="16"/>
  <c r="M85" i="16" s="1"/>
  <c r="J85" i="16"/>
  <c r="P85" i="16"/>
  <c r="Q85" i="16"/>
  <c r="R85" i="16"/>
  <c r="L86" i="16"/>
  <c r="C86" i="16"/>
  <c r="E86" i="16"/>
  <c r="G86" i="16"/>
  <c r="I86" i="16"/>
  <c r="B87" i="16"/>
  <c r="U22" i="4"/>
  <c r="S22" i="4"/>
  <c r="T22" i="4" s="1"/>
  <c r="D23" i="4"/>
  <c r="M23" i="4" s="1"/>
  <c r="J23" i="4"/>
  <c r="AA23" i="4"/>
  <c r="Z23" i="4"/>
  <c r="Y23" i="4"/>
  <c r="X23" i="4"/>
  <c r="W23" i="4"/>
  <c r="P23" i="4"/>
  <c r="Q23" i="4"/>
  <c r="R23" i="4"/>
  <c r="V23" i="4"/>
  <c r="L24" i="4"/>
  <c r="C24" i="4"/>
  <c r="K24" i="4" s="1"/>
  <c r="E24" i="4"/>
  <c r="F24" i="4"/>
  <c r="C24" i="5" s="1"/>
  <c r="E24" i="5" s="1"/>
  <c r="O24" i="4" s="1"/>
  <c r="G24" i="4"/>
  <c r="I24" i="4"/>
  <c r="B25" i="4"/>
  <c r="B24" i="5"/>
  <c r="AE16" i="4"/>
  <c r="B72" i="7"/>
  <c r="I72" i="7" s="1"/>
  <c r="AD15" i="4"/>
  <c r="AC17" i="4"/>
  <c r="AC18" i="4"/>
  <c r="AC19" i="4"/>
  <c r="AC20" i="4"/>
  <c r="AC21" i="4"/>
  <c r="AC22" i="4"/>
  <c r="AC23" i="4"/>
  <c r="AC24" i="4"/>
  <c r="O4621" i="16"/>
  <c r="O4622" i="16"/>
  <c r="O4623" i="16"/>
  <c r="O4624" i="16"/>
  <c r="O4626" i="16"/>
  <c r="U3431" i="16"/>
  <c r="S3431" i="16"/>
  <c r="T3431" i="16" s="1"/>
  <c r="U3377" i="16"/>
  <c r="S3377" i="16"/>
  <c r="T3377" i="16" s="1"/>
  <c r="U3107" i="16"/>
  <c r="S3107" i="16"/>
  <c r="T3107" i="16" s="1"/>
  <c r="U2999" i="16"/>
  <c r="S2999" i="16"/>
  <c r="T2999" i="16" s="1"/>
  <c r="U2945" i="16"/>
  <c r="S2945" i="16"/>
  <c r="T2945" i="16" s="1"/>
  <c r="U2729" i="16"/>
  <c r="S2729" i="16"/>
  <c r="T2729" i="16" s="1"/>
  <c r="U2297" i="16"/>
  <c r="S2297" i="16"/>
  <c r="T2297" i="16" s="1"/>
  <c r="U1649" i="16"/>
  <c r="S1649" i="16"/>
  <c r="T1649" i="16" s="1"/>
  <c r="U1487" i="16"/>
  <c r="S1487" i="16"/>
  <c r="T1487" i="16" s="1"/>
  <c r="U1379" i="16"/>
  <c r="S1379" i="16"/>
  <c r="T1379" i="16" s="1"/>
  <c r="U1001" i="16"/>
  <c r="S1001" i="16"/>
  <c r="T1001" i="16" s="1"/>
  <c r="U947" i="16"/>
  <c r="S947" i="16"/>
  <c r="T947" i="16" s="1"/>
  <c r="U731" i="16"/>
  <c r="S731" i="16"/>
  <c r="T731" i="16" s="1"/>
  <c r="U515" i="16"/>
  <c r="S515" i="16"/>
  <c r="T515" i="16" s="1"/>
  <c r="U353" i="16"/>
  <c r="S353" i="16"/>
  <c r="T353" i="16" s="1"/>
  <c r="U245" i="16"/>
  <c r="S245" i="16"/>
  <c r="T245" i="16" s="1"/>
  <c r="U21" i="4"/>
  <c r="S21" i="4"/>
  <c r="T21" i="4" s="1"/>
  <c r="M4164" i="16"/>
  <c r="N4164" i="16"/>
  <c r="M3270" i="16"/>
  <c r="N3270" i="16"/>
  <c r="N3108" i="16"/>
  <c r="M3108" i="16"/>
  <c r="N3000" i="16"/>
  <c r="M3000" i="16"/>
  <c r="M2676" i="16"/>
  <c r="N2676" i="16"/>
  <c r="M2028" i="16"/>
  <c r="N2028" i="16"/>
  <c r="M1434" i="16"/>
  <c r="N1434" i="16"/>
  <c r="N1002" i="16"/>
  <c r="M1002" i="16"/>
  <c r="M138" i="16"/>
  <c r="N138" i="16"/>
  <c r="O4627" i="16"/>
  <c r="T4679" i="16"/>
  <c r="T4680" i="16"/>
  <c r="F4111" i="16"/>
  <c r="O4111" i="16" s="1"/>
  <c r="K4111" i="16"/>
  <c r="F3541" i="16"/>
  <c r="O3541" i="16" s="1"/>
  <c r="K3541" i="16"/>
  <c r="K3487" i="16"/>
  <c r="F3487" i="16"/>
  <c r="O3487" i="16" s="1"/>
  <c r="F3271" i="16"/>
  <c r="O3271" i="16" s="1"/>
  <c r="K3271" i="16"/>
  <c r="K3055" i="16"/>
  <c r="F3055" i="16"/>
  <c r="O3055" i="16" s="1"/>
  <c r="F3001" i="16"/>
  <c r="O3001" i="16" s="1"/>
  <c r="K3001" i="16"/>
  <c r="F2947" i="16"/>
  <c r="O2947" i="16" s="1"/>
  <c r="K2947" i="16"/>
  <c r="K2731" i="16"/>
  <c r="F2731" i="16"/>
  <c r="O2731" i="16" s="1"/>
  <c r="F2677" i="16"/>
  <c r="O2677" i="16" s="1"/>
  <c r="K2677" i="16"/>
  <c r="K2461" i="16"/>
  <c r="F2461" i="16"/>
  <c r="O2461" i="16" s="1"/>
  <c r="K2299" i="16"/>
  <c r="F2299" i="16"/>
  <c r="O2299" i="16" s="1"/>
  <c r="F2245" i="16"/>
  <c r="O2245" i="16" s="1"/>
  <c r="K2245" i="16"/>
  <c r="F2083" i="16"/>
  <c r="O2083" i="16" s="1"/>
  <c r="K2083" i="16"/>
  <c r="F2029" i="16"/>
  <c r="O2029" i="16" s="1"/>
  <c r="K2029" i="16"/>
  <c r="K1867" i="16"/>
  <c r="F1867" i="16"/>
  <c r="O1867" i="16" s="1"/>
  <c r="F1813" i="16"/>
  <c r="O1813" i="16" s="1"/>
  <c r="K1813" i="16"/>
  <c r="F1597" i="16"/>
  <c r="O1597" i="16" s="1"/>
  <c r="K1597" i="16"/>
  <c r="F1543" i="16"/>
  <c r="O1543" i="16" s="1"/>
  <c r="K1543" i="16"/>
  <c r="F1327" i="16"/>
  <c r="O1327" i="16" s="1"/>
  <c r="K1327" i="16"/>
  <c r="K1273" i="16"/>
  <c r="F1273" i="16"/>
  <c r="O1273" i="16" s="1"/>
  <c r="F1057" i="16"/>
  <c r="O1057" i="16" s="1"/>
  <c r="K1057" i="16"/>
  <c r="F895" i="16"/>
  <c r="O895" i="16" s="1"/>
  <c r="K895" i="16"/>
  <c r="K841" i="16"/>
  <c r="F841" i="16"/>
  <c r="O841" i="16" s="1"/>
  <c r="K571" i="16"/>
  <c r="F571" i="16"/>
  <c r="O571" i="16" s="1"/>
  <c r="F517" i="16"/>
  <c r="O517" i="16" s="1"/>
  <c r="K517" i="16"/>
  <c r="F355" i="16"/>
  <c r="O355" i="16" s="1"/>
  <c r="K355" i="16"/>
  <c r="F301" i="16"/>
  <c r="O301" i="16" s="1"/>
  <c r="K301" i="16"/>
  <c r="K247" i="16"/>
  <c r="F247" i="16"/>
  <c r="O247" i="16" s="1"/>
  <c r="N4681" i="16" l="1"/>
  <c r="N4219" i="16"/>
  <c r="N85" i="16"/>
  <c r="N23" i="4"/>
  <c r="N4573" i="16"/>
  <c r="N4165" i="16"/>
  <c r="N4519" i="16"/>
  <c r="K3650" i="16"/>
  <c r="F3650" i="16"/>
  <c r="O3650" i="16" s="1"/>
  <c r="K2462" i="16"/>
  <c r="F2462" i="16"/>
  <c r="O2462" i="16" s="1"/>
  <c r="K2084" i="16"/>
  <c r="F2084" i="16"/>
  <c r="O2084" i="16" s="1"/>
  <c r="K2030" i="16"/>
  <c r="F2030" i="16"/>
  <c r="O2030" i="16" s="1"/>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D4574" i="16"/>
  <c r="J4574" i="16"/>
  <c r="P4574" i="16"/>
  <c r="Q4574" i="16"/>
  <c r="R4574" i="16"/>
  <c r="L4575" i="16"/>
  <c r="C4575" i="16"/>
  <c r="E4575" i="16"/>
  <c r="G4575" i="16"/>
  <c r="I4575" i="16"/>
  <c r="B4576" i="16"/>
  <c r="D4520" i="16"/>
  <c r="J4520" i="16"/>
  <c r="P4520" i="16"/>
  <c r="Q4520" i="16"/>
  <c r="R4520" i="16"/>
  <c r="L4521" i="16"/>
  <c r="C4521" i="16"/>
  <c r="E4521" i="16"/>
  <c r="G4521" i="16"/>
  <c r="I4521" i="16"/>
  <c r="B4522" i="16"/>
  <c r="U4219" i="16"/>
  <c r="S4219" i="16"/>
  <c r="T4219" i="16" s="1"/>
  <c r="D4220" i="16"/>
  <c r="J4220" i="16"/>
  <c r="N4220" i="16" s="1"/>
  <c r="P4220" i="16"/>
  <c r="Q4220" i="16"/>
  <c r="R4220" i="16"/>
  <c r="M4220" i="16"/>
  <c r="G4221" i="16"/>
  <c r="L4221" i="16"/>
  <c r="B4222" i="16"/>
  <c r="C4221" i="16"/>
  <c r="E4221" i="16"/>
  <c r="F4221" i="16"/>
  <c r="O4221" i="16" s="1"/>
  <c r="I4221" i="16"/>
  <c r="K4221" i="16"/>
  <c r="U4165" i="16"/>
  <c r="S4165" i="16"/>
  <c r="T4165" i="16" s="1"/>
  <c r="P4166" i="16"/>
  <c r="Q4166" i="16"/>
  <c r="R4166" i="16"/>
  <c r="G4167" i="16"/>
  <c r="B4168" i="16"/>
  <c r="C4167" i="16"/>
  <c r="E4167" i="16"/>
  <c r="I4167" i="16"/>
  <c r="L4167" i="16"/>
  <c r="D4166" i="16"/>
  <c r="J4166" i="16"/>
  <c r="N4166" i="16" s="1"/>
  <c r="M4166" i="16"/>
  <c r="P4112" i="16"/>
  <c r="Q4112" i="16"/>
  <c r="R4112" i="16"/>
  <c r="L4113" i="16"/>
  <c r="B4114" i="16"/>
  <c r="C4113" i="16"/>
  <c r="F4113" i="16" s="1"/>
  <c r="O4113" i="16" s="1"/>
  <c r="E4113" i="16"/>
  <c r="G4113" i="16"/>
  <c r="I4113" i="16"/>
  <c r="K4113" i="16"/>
  <c r="D4112" i="16"/>
  <c r="J4112" i="16"/>
  <c r="N4112" i="16" s="1"/>
  <c r="M4112"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D3758" i="16"/>
  <c r="J3758" i="16"/>
  <c r="P3758" i="16"/>
  <c r="Q3758" i="16"/>
  <c r="R3758" i="16"/>
  <c r="L3759" i="16"/>
  <c r="C3759" i="16"/>
  <c r="E3759" i="16"/>
  <c r="G3759" i="16"/>
  <c r="I3759" i="16"/>
  <c r="B3760" i="16"/>
  <c r="U3703" i="16"/>
  <c r="S3703" i="16"/>
  <c r="T3703" i="16" s="1"/>
  <c r="M3704" i="16"/>
  <c r="D3704" i="16"/>
  <c r="J3704" i="16"/>
  <c r="N3704" i="16" s="1"/>
  <c r="P3704" i="16"/>
  <c r="Q3704" i="16"/>
  <c r="R3704" i="16"/>
  <c r="L3705" i="16"/>
  <c r="C3705" i="16"/>
  <c r="K3705" i="16" s="1"/>
  <c r="E3705" i="16"/>
  <c r="F3705" i="16"/>
  <c r="O3705" i="16" s="1"/>
  <c r="G3705" i="16"/>
  <c r="I3705" i="16"/>
  <c r="B3706" i="16"/>
  <c r="U3649" i="16"/>
  <c r="S3649" i="16"/>
  <c r="T3649" i="16" s="1"/>
  <c r="M3650" i="16"/>
  <c r="D3650" i="16"/>
  <c r="J3650" i="16"/>
  <c r="N3650" i="16" s="1"/>
  <c r="P3650" i="16"/>
  <c r="Q3650" i="16"/>
  <c r="R3650" i="16"/>
  <c r="L3651" i="16"/>
  <c r="C3651" i="16"/>
  <c r="E3651" i="16"/>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M3542" i="16"/>
  <c r="D3542" i="16"/>
  <c r="J3542" i="16"/>
  <c r="N3542" i="16" s="1"/>
  <c r="P3542" i="16"/>
  <c r="Q3542" i="16"/>
  <c r="R3542" i="16"/>
  <c r="L3543" i="16"/>
  <c r="C3543" i="16"/>
  <c r="K3543" i="16" s="1"/>
  <c r="E3543" i="16"/>
  <c r="F3543" i="16"/>
  <c r="O3543" i="16" s="1"/>
  <c r="G3543" i="16"/>
  <c r="I3543" i="16"/>
  <c r="B3544" i="16"/>
  <c r="J3488" i="16"/>
  <c r="D3488" i="16"/>
  <c r="P3488" i="16"/>
  <c r="Q3488" i="16"/>
  <c r="R3488" i="16"/>
  <c r="L3489" i="16"/>
  <c r="G3489" i="16"/>
  <c r="C3489" i="16"/>
  <c r="E3489" i="16"/>
  <c r="B3490" i="16"/>
  <c r="I3489" i="16"/>
  <c r="U3433" i="16"/>
  <c r="S3433" i="16"/>
  <c r="T3433" i="16" s="1"/>
  <c r="D3434" i="16"/>
  <c r="J3434" i="16"/>
  <c r="P3434" i="16"/>
  <c r="Q3434" i="16"/>
  <c r="R3434" i="16"/>
  <c r="L3435" i="16"/>
  <c r="C3435" i="16"/>
  <c r="E3435" i="16"/>
  <c r="I3435" i="16"/>
  <c r="B3436" i="16"/>
  <c r="G3435"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D3272" i="16"/>
  <c r="J3272" i="16"/>
  <c r="P3272" i="16"/>
  <c r="Q3272" i="16"/>
  <c r="R3272" i="16"/>
  <c r="L3273" i="16"/>
  <c r="C3273" i="16"/>
  <c r="K3273" i="16" s="1"/>
  <c r="E3273" i="16"/>
  <c r="F3273" i="16"/>
  <c r="O3273" i="16" s="1"/>
  <c r="G3273" i="16"/>
  <c r="I3273" i="16"/>
  <c r="B3274" i="16"/>
  <c r="U3217" i="16"/>
  <c r="S3217" i="16"/>
  <c r="T3217" i="16" s="1"/>
  <c r="J3218" i="16"/>
  <c r="D3218" i="16"/>
  <c r="P3218" i="16"/>
  <c r="Q3218" i="16"/>
  <c r="R3218" i="16"/>
  <c r="L3219" i="16"/>
  <c r="C3219" i="16"/>
  <c r="K3219" i="16" s="1"/>
  <c r="G3219" i="16"/>
  <c r="E3219" i="16"/>
  <c r="F3219" i="16"/>
  <c r="O3219" i="16" s="1"/>
  <c r="I3219" i="16"/>
  <c r="B3220" i="16"/>
  <c r="U3163" i="16"/>
  <c r="S3163" i="16"/>
  <c r="T3163" i="16" s="1"/>
  <c r="P3164" i="16"/>
  <c r="Q3164" i="16"/>
  <c r="R3164" i="16"/>
  <c r="L3165" i="16"/>
  <c r="G3165" i="16"/>
  <c r="E3165" i="16"/>
  <c r="B3166" i="16"/>
  <c r="C3165" i="16"/>
  <c r="I3165" i="16"/>
  <c r="J3164" i="16"/>
  <c r="D3164" i="16"/>
  <c r="U3109" i="16"/>
  <c r="S3109" i="16"/>
  <c r="T3109" i="16" s="1"/>
  <c r="M3110" i="16"/>
  <c r="D3110" i="16"/>
  <c r="J3110" i="16"/>
  <c r="N3110" i="16" s="1"/>
  <c r="L3111" i="16"/>
  <c r="G3111" i="16"/>
  <c r="C3111" i="16"/>
  <c r="K3111" i="16" s="1"/>
  <c r="B3112" i="16"/>
  <c r="I3111" i="16"/>
  <c r="E3111" i="16"/>
  <c r="F3111" i="16"/>
  <c r="O3111" i="16" s="1"/>
  <c r="P3110" i="16"/>
  <c r="Q3110" i="16"/>
  <c r="R3110" i="16"/>
  <c r="M3056" i="16"/>
  <c r="D3056" i="16"/>
  <c r="J3056" i="16"/>
  <c r="N3056" i="16" s="1"/>
  <c r="P3056" i="16"/>
  <c r="Q3056" i="16"/>
  <c r="R3056" i="16"/>
  <c r="L3057" i="16"/>
  <c r="E3057" i="16"/>
  <c r="G3057" i="16"/>
  <c r="I3057" i="16"/>
  <c r="C3057" i="16"/>
  <c r="K3057" i="16" s="1"/>
  <c r="F3057" i="16"/>
  <c r="O3057" i="16" s="1"/>
  <c r="B3058" i="16"/>
  <c r="L3003" i="16"/>
  <c r="B3004" i="16"/>
  <c r="G3003" i="16"/>
  <c r="C3003" i="16"/>
  <c r="I3003" i="16"/>
  <c r="E3003" i="16"/>
  <c r="J3002" i="16"/>
  <c r="D3002" i="16"/>
  <c r="P3002" i="16"/>
  <c r="Q3002" i="16"/>
  <c r="R3002" i="16"/>
  <c r="M2948" i="16"/>
  <c r="D2948" i="16"/>
  <c r="J2948" i="16"/>
  <c r="N2948" i="16" s="1"/>
  <c r="P2948" i="16"/>
  <c r="Q2948" i="16"/>
  <c r="R2948" i="16"/>
  <c r="L2949" i="16"/>
  <c r="C2949" i="16"/>
  <c r="E2949" i="16"/>
  <c r="G2949" i="16"/>
  <c r="I2949" i="16"/>
  <c r="B2950" i="16"/>
  <c r="U2893" i="16"/>
  <c r="S2893" i="16"/>
  <c r="T2893" i="16" s="1"/>
  <c r="M2894" i="16"/>
  <c r="D2894" i="16"/>
  <c r="J2894" i="16"/>
  <c r="N2894" i="16" s="1"/>
  <c r="P2894" i="16"/>
  <c r="Q2894" i="16"/>
  <c r="R2894" i="16"/>
  <c r="L2895" i="16"/>
  <c r="C2895" i="16"/>
  <c r="K2895" i="16" s="1"/>
  <c r="E2895" i="16"/>
  <c r="F2895" i="16"/>
  <c r="O2895" i="16" s="1"/>
  <c r="G2895" i="16"/>
  <c r="I2895" i="16"/>
  <c r="B2896" i="16"/>
  <c r="U2839" i="16"/>
  <c r="S2839" i="16"/>
  <c r="T2839" i="16" s="1"/>
  <c r="M2840" i="16"/>
  <c r="D2840" i="16"/>
  <c r="J2840" i="16"/>
  <c r="N2840" i="16" s="1"/>
  <c r="P2840" i="16"/>
  <c r="Q2840" i="16"/>
  <c r="R2840" i="16"/>
  <c r="L2841" i="16"/>
  <c r="C2841" i="16"/>
  <c r="K2841" i="16" s="1"/>
  <c r="E2841" i="16"/>
  <c r="F2841" i="16"/>
  <c r="O2841" i="16" s="1"/>
  <c r="G2841" i="16"/>
  <c r="I2841" i="16"/>
  <c r="B2842" i="16"/>
  <c r="M2786" i="16"/>
  <c r="D2786" i="16"/>
  <c r="J2786" i="16"/>
  <c r="N2786" i="16" s="1"/>
  <c r="S2786" i="16" s="1"/>
  <c r="T2786" i="16" s="1"/>
  <c r="U2786" i="16" s="1"/>
  <c r="P2786" i="16"/>
  <c r="Q2786" i="16"/>
  <c r="R2786" i="16"/>
  <c r="L2787" i="16"/>
  <c r="C2787" i="16"/>
  <c r="E2787" i="16"/>
  <c r="G2787" i="16"/>
  <c r="I2787" i="16"/>
  <c r="B2788" i="16"/>
  <c r="M2732" i="16"/>
  <c r="D2732" i="16"/>
  <c r="J2732" i="16"/>
  <c r="N2732" i="16" s="1"/>
  <c r="P2732" i="16"/>
  <c r="Q2732" i="16"/>
  <c r="R2732" i="16"/>
  <c r="L2733" i="16"/>
  <c r="C2733" i="16"/>
  <c r="E2733" i="16"/>
  <c r="G2733" i="16"/>
  <c r="I2733" i="16"/>
  <c r="B2734" i="16"/>
  <c r="D2678" i="16"/>
  <c r="J2678" i="16"/>
  <c r="P2678" i="16"/>
  <c r="Q2678" i="16"/>
  <c r="R2678" i="16"/>
  <c r="L2679" i="16"/>
  <c r="C2679" i="16"/>
  <c r="E2679" i="16"/>
  <c r="G2679" i="16"/>
  <c r="I2679" i="16"/>
  <c r="B2680" i="16"/>
  <c r="U2623" i="16"/>
  <c r="S2623" i="16"/>
  <c r="T2623" i="16" s="1"/>
  <c r="D2624" i="16"/>
  <c r="J2624" i="16"/>
  <c r="P2624" i="16"/>
  <c r="Q2624" i="16"/>
  <c r="R2624" i="16"/>
  <c r="L2625" i="16"/>
  <c r="C2625" i="16"/>
  <c r="K2625" i="16" s="1"/>
  <c r="E2625" i="16"/>
  <c r="F2625" i="16"/>
  <c r="O2625" i="16" s="1"/>
  <c r="G2625" i="16"/>
  <c r="I2625" i="16"/>
  <c r="B2626" i="16"/>
  <c r="U2569" i="16"/>
  <c r="S2569" i="16"/>
  <c r="T2569" i="16" s="1"/>
  <c r="D2570" i="16"/>
  <c r="J2570" i="16"/>
  <c r="P2570" i="16"/>
  <c r="Q2570" i="16"/>
  <c r="R2570" i="16"/>
  <c r="L2571" i="16"/>
  <c r="C2571" i="16"/>
  <c r="K2571" i="16" s="1"/>
  <c r="E2571" i="16"/>
  <c r="F2571" i="16"/>
  <c r="O2571" i="16" s="1"/>
  <c r="G2571" i="16"/>
  <c r="I2571" i="16"/>
  <c r="B2572" i="16"/>
  <c r="U2515" i="16"/>
  <c r="S2515" i="16"/>
  <c r="T2515" i="16" s="1"/>
  <c r="M2516" i="16"/>
  <c r="D2516" i="16"/>
  <c r="J2516" i="16"/>
  <c r="N2516" i="16" s="1"/>
  <c r="Q2516" i="16"/>
  <c r="P2516" i="16"/>
  <c r="R2516" i="16"/>
  <c r="L2517" i="16"/>
  <c r="C2517" i="16"/>
  <c r="E2517" i="16"/>
  <c r="G2517" i="16"/>
  <c r="I2517" i="16"/>
  <c r="B2518" i="16"/>
  <c r="M2462" i="16"/>
  <c r="D2462" i="16"/>
  <c r="J2462" i="16"/>
  <c r="N2462" i="16" s="1"/>
  <c r="Q2462" i="16"/>
  <c r="P2462" i="16"/>
  <c r="R2462" i="16"/>
  <c r="L2463" i="16"/>
  <c r="C2463" i="16"/>
  <c r="K2463" i="16" s="1"/>
  <c r="E2463" i="16"/>
  <c r="F2463" i="16"/>
  <c r="O2463" i="16" s="1"/>
  <c r="G2463" i="16"/>
  <c r="I2463" i="16"/>
  <c r="B2464" i="16"/>
  <c r="U2407" i="16"/>
  <c r="S2407" i="16"/>
  <c r="T2407" i="16" s="1"/>
  <c r="D2408" i="16"/>
  <c r="J2408" i="16"/>
  <c r="P2408" i="16"/>
  <c r="Q2408" i="16"/>
  <c r="R2408" i="16"/>
  <c r="L2409" i="16"/>
  <c r="C2409" i="16"/>
  <c r="K2409" i="16" s="1"/>
  <c r="E2409" i="16"/>
  <c r="F2409" i="16"/>
  <c r="O2409" i="16" s="1"/>
  <c r="G2409" i="16"/>
  <c r="I2409" i="16"/>
  <c r="B2410" i="16"/>
  <c r="U2353" i="16"/>
  <c r="S2353" i="16"/>
  <c r="T2353" i="16" s="1"/>
  <c r="M2354" i="16"/>
  <c r="D2354" i="16"/>
  <c r="J2354" i="16"/>
  <c r="N2354" i="16" s="1"/>
  <c r="Q2354" i="16"/>
  <c r="P2354" i="16"/>
  <c r="R2354" i="16"/>
  <c r="L2355" i="16"/>
  <c r="C2355" i="16"/>
  <c r="K2355" i="16" s="1"/>
  <c r="E2355" i="16"/>
  <c r="F2355" i="16"/>
  <c r="O2355" i="16" s="1"/>
  <c r="G2355" i="16"/>
  <c r="I2355" i="16"/>
  <c r="B2356" i="16"/>
  <c r="D2300" i="16"/>
  <c r="J2300" i="16"/>
  <c r="P2300" i="16"/>
  <c r="Q2300" i="16"/>
  <c r="R2300" i="16"/>
  <c r="L2301" i="16"/>
  <c r="C2301" i="16"/>
  <c r="K2301" i="16" s="1"/>
  <c r="E2301" i="16"/>
  <c r="F2301" i="16"/>
  <c r="O2301" i="16" s="1"/>
  <c r="G2301" i="16"/>
  <c r="I2301" i="16"/>
  <c r="B2302" i="16"/>
  <c r="M2246" i="16"/>
  <c r="D2246" i="16"/>
  <c r="J2246" i="16"/>
  <c r="N2246" i="16" s="1"/>
  <c r="Q2246" i="16"/>
  <c r="P2246" i="16"/>
  <c r="R2246" i="16"/>
  <c r="L2247" i="16"/>
  <c r="E2247" i="16"/>
  <c r="G2247" i="16"/>
  <c r="I2247" i="16"/>
  <c r="C2247" i="16"/>
  <c r="B2248" i="16"/>
  <c r="U2191" i="16"/>
  <c r="S2191" i="16"/>
  <c r="T2191" i="16" s="1"/>
  <c r="M2192" i="16"/>
  <c r="D2192" i="16"/>
  <c r="J2192" i="16"/>
  <c r="N2192" i="16" s="1"/>
  <c r="P2192" i="16"/>
  <c r="Q2192" i="16"/>
  <c r="R2192" i="16"/>
  <c r="L2193" i="16"/>
  <c r="C2193" i="16"/>
  <c r="E2193" i="16"/>
  <c r="G2193" i="16"/>
  <c r="B2194" i="16"/>
  <c r="I2193" i="16"/>
  <c r="U2137" i="16"/>
  <c r="S2137" i="16"/>
  <c r="T2137" i="16" s="1"/>
  <c r="P2138" i="16"/>
  <c r="Q2138" i="16"/>
  <c r="R2138" i="16"/>
  <c r="L2139" i="16"/>
  <c r="C2139" i="16"/>
  <c r="K2139" i="16" s="1"/>
  <c r="E2139" i="16"/>
  <c r="F2139" i="16"/>
  <c r="O2139" i="16" s="1"/>
  <c r="G2139" i="16"/>
  <c r="I2139" i="16"/>
  <c r="B2140" i="16"/>
  <c r="J2138" i="16"/>
  <c r="D2138" i="16"/>
  <c r="M2084" i="16"/>
  <c r="D2084" i="16"/>
  <c r="J2084" i="16"/>
  <c r="N2084" i="16" s="1"/>
  <c r="P2084" i="16"/>
  <c r="Q2084" i="16"/>
  <c r="R2084" i="16"/>
  <c r="L2085" i="16"/>
  <c r="C2085" i="16"/>
  <c r="K2085" i="16" s="1"/>
  <c r="E2085" i="16"/>
  <c r="F2085" i="16"/>
  <c r="O2085" i="16" s="1"/>
  <c r="G2085" i="16"/>
  <c r="I2085" i="16"/>
  <c r="B2086" i="16"/>
  <c r="M2030" i="16"/>
  <c r="D2030" i="16"/>
  <c r="J2030" i="16"/>
  <c r="N2030" i="16" s="1"/>
  <c r="P2030" i="16"/>
  <c r="Q2030" i="16"/>
  <c r="R2030" i="16"/>
  <c r="L2031" i="16"/>
  <c r="C2031" i="16"/>
  <c r="E2031" i="16"/>
  <c r="G2031" i="16"/>
  <c r="I2031" i="16"/>
  <c r="B2032" i="16"/>
  <c r="U1975" i="16"/>
  <c r="S1975" i="16"/>
  <c r="T1975" i="16" s="1"/>
  <c r="M1976" i="16"/>
  <c r="D1976" i="16"/>
  <c r="J1976" i="16"/>
  <c r="N1976" i="16" s="1"/>
  <c r="P1976" i="16"/>
  <c r="Q1976" i="16"/>
  <c r="R1976" i="16"/>
  <c r="L1977" i="16"/>
  <c r="C1977" i="16"/>
  <c r="K1977" i="16" s="1"/>
  <c r="E1977" i="16"/>
  <c r="F1977" i="16"/>
  <c r="O1977" i="16" s="1"/>
  <c r="G1977" i="16"/>
  <c r="I1977" i="16"/>
  <c r="B1978" i="16"/>
  <c r="U1921" i="16"/>
  <c r="S1921" i="16"/>
  <c r="T1921" i="16" s="1"/>
  <c r="M1922" i="16"/>
  <c r="D1922" i="16"/>
  <c r="J1922" i="16"/>
  <c r="N1922" i="16" s="1"/>
  <c r="P1922" i="16"/>
  <c r="Q1922" i="16"/>
  <c r="R1922" i="16"/>
  <c r="L1923" i="16"/>
  <c r="C1923" i="16"/>
  <c r="K1923" i="16" s="1"/>
  <c r="E1923" i="16"/>
  <c r="F1923" i="16"/>
  <c r="O1923" i="16" s="1"/>
  <c r="G1923" i="16"/>
  <c r="I1923" i="16"/>
  <c r="B1924" i="16"/>
  <c r="D1868" i="16"/>
  <c r="J1868" i="16"/>
  <c r="P1868" i="16"/>
  <c r="Q1868" i="16"/>
  <c r="R1868" i="16"/>
  <c r="L1869" i="16"/>
  <c r="C1869" i="16"/>
  <c r="K1869" i="16" s="1"/>
  <c r="E1869" i="16"/>
  <c r="F1869" i="16"/>
  <c r="O1869" i="16" s="1"/>
  <c r="G1869" i="16"/>
  <c r="I1869" i="16"/>
  <c r="B1870" i="16"/>
  <c r="D1814" i="16"/>
  <c r="J1814" i="16"/>
  <c r="P1814" i="16"/>
  <c r="Q1814" i="16"/>
  <c r="R1814" i="16"/>
  <c r="L1815" i="16"/>
  <c r="C1815" i="16"/>
  <c r="K1815" i="16" s="1"/>
  <c r="E1815" i="16"/>
  <c r="F1815" i="16"/>
  <c r="O1815" i="16" s="1"/>
  <c r="G1815" i="16"/>
  <c r="I1815" i="16"/>
  <c r="B1816" i="16"/>
  <c r="U1759" i="16"/>
  <c r="S1759" i="16"/>
  <c r="T1759" i="16" s="1"/>
  <c r="M1760" i="16"/>
  <c r="D1760" i="16"/>
  <c r="J1760" i="16"/>
  <c r="N1760" i="16" s="1"/>
  <c r="P1760" i="16"/>
  <c r="Q1760" i="16"/>
  <c r="R1760" i="16"/>
  <c r="L1761" i="16"/>
  <c r="C1761" i="16"/>
  <c r="K1761" i="16" s="1"/>
  <c r="E1761" i="16"/>
  <c r="F1761" i="16"/>
  <c r="O1761" i="16" s="1"/>
  <c r="G1761" i="16"/>
  <c r="I1761" i="16"/>
  <c r="B1762" i="16"/>
  <c r="U1705" i="16"/>
  <c r="S1705" i="16"/>
  <c r="T1705" i="16" s="1"/>
  <c r="M1706" i="16"/>
  <c r="D1706" i="16"/>
  <c r="J1706" i="16"/>
  <c r="N1706" i="16" s="1"/>
  <c r="P1706" i="16"/>
  <c r="Q1706" i="16"/>
  <c r="R1706" i="16"/>
  <c r="L1707" i="16"/>
  <c r="C1707" i="16"/>
  <c r="K1707" i="16" s="1"/>
  <c r="E1707" i="16"/>
  <c r="F1707" i="16"/>
  <c r="O1707" i="16" s="1"/>
  <c r="G1707" i="16"/>
  <c r="I1707" i="16"/>
  <c r="B1708" i="16"/>
  <c r="U1651" i="16"/>
  <c r="S1651" i="16"/>
  <c r="T1651" i="16" s="1"/>
  <c r="M1652" i="16"/>
  <c r="D1652" i="16"/>
  <c r="J1652" i="16"/>
  <c r="N1652" i="16" s="1"/>
  <c r="P1652" i="16"/>
  <c r="Q1652" i="16"/>
  <c r="R1652" i="16"/>
  <c r="L1653" i="16"/>
  <c r="C1653" i="16"/>
  <c r="E1653" i="16"/>
  <c r="G1653" i="16"/>
  <c r="I1653" i="16"/>
  <c r="B1654" i="16"/>
  <c r="M1598" i="16"/>
  <c r="D1598" i="16"/>
  <c r="J1598" i="16"/>
  <c r="N1598" i="16" s="1"/>
  <c r="P1598" i="16"/>
  <c r="Q1598" i="16"/>
  <c r="R1598" i="16"/>
  <c r="L1599" i="16"/>
  <c r="C1599" i="16"/>
  <c r="K1599" i="16" s="1"/>
  <c r="E1599" i="16"/>
  <c r="F1599" i="16"/>
  <c r="O1599" i="16" s="1"/>
  <c r="G1599" i="16"/>
  <c r="I1599" i="16"/>
  <c r="B1600" i="16"/>
  <c r="D1544" i="16"/>
  <c r="J1544" i="16"/>
  <c r="P1544" i="16"/>
  <c r="Q1544" i="16"/>
  <c r="R1544" i="16"/>
  <c r="L1545" i="16"/>
  <c r="C1545" i="16"/>
  <c r="K1545" i="16" s="1"/>
  <c r="E1545" i="16"/>
  <c r="F1545" i="16"/>
  <c r="O1545" i="16" s="1"/>
  <c r="G1545" i="16"/>
  <c r="I1545" i="16"/>
  <c r="B1546" i="16"/>
  <c r="U1489" i="16"/>
  <c r="S1489" i="16"/>
  <c r="T1489" i="16" s="1"/>
  <c r="M1490" i="16"/>
  <c r="D1490" i="16"/>
  <c r="J1490" i="16"/>
  <c r="N1490" i="16" s="1"/>
  <c r="P1490" i="16"/>
  <c r="Q1490" i="16"/>
  <c r="R1490" i="16"/>
  <c r="L1491" i="16"/>
  <c r="C1491" i="16"/>
  <c r="K1491" i="16" s="1"/>
  <c r="E1491" i="16"/>
  <c r="F1491" i="16"/>
  <c r="O1491" i="16" s="1"/>
  <c r="G1491" i="16"/>
  <c r="B1492" i="16"/>
  <c r="I1491" i="16"/>
  <c r="U1435" i="16"/>
  <c r="S1435" i="16"/>
  <c r="T1435" i="16" s="1"/>
  <c r="L1437" i="16"/>
  <c r="G1437" i="16"/>
  <c r="B1438" i="16"/>
  <c r="E1437" i="16"/>
  <c r="I1437" i="16"/>
  <c r="C1437" i="16"/>
  <c r="J1436" i="16"/>
  <c r="D1436" i="16"/>
  <c r="P1436" i="16"/>
  <c r="Q1436" i="16"/>
  <c r="R1436" i="16"/>
  <c r="U1381" i="16"/>
  <c r="S1381" i="16"/>
  <c r="T1381" i="16" s="1"/>
  <c r="L1383" i="16"/>
  <c r="I1383" i="16"/>
  <c r="E1383" i="16"/>
  <c r="C1383" i="16"/>
  <c r="G1383" i="16"/>
  <c r="B1384" i="16"/>
  <c r="J1382" i="16"/>
  <c r="D1382" i="16"/>
  <c r="P1382" i="16"/>
  <c r="Q1382" i="16"/>
  <c r="R1382" i="16"/>
  <c r="D1328" i="16"/>
  <c r="J1328" i="16"/>
  <c r="P1328" i="16"/>
  <c r="Q1328" i="16"/>
  <c r="R1328" i="16"/>
  <c r="L1329" i="16"/>
  <c r="B1330" i="16"/>
  <c r="G1329" i="16"/>
  <c r="I1329" i="16"/>
  <c r="E1329" i="16"/>
  <c r="C1329" i="16"/>
  <c r="M1274" i="16"/>
  <c r="P1274" i="16"/>
  <c r="Q1274" i="16"/>
  <c r="R1274" i="16"/>
  <c r="L1275" i="16"/>
  <c r="E1275" i="16"/>
  <c r="B1276" i="16"/>
  <c r="I1275" i="16"/>
  <c r="C1275" i="16"/>
  <c r="K1275" i="16" s="1"/>
  <c r="G1275" i="16"/>
  <c r="F1275" i="16"/>
  <c r="O1275" i="16" s="1"/>
  <c r="J1274" i="16"/>
  <c r="N1274" i="16" s="1"/>
  <c r="D1274" i="16"/>
  <c r="S1220" i="16"/>
  <c r="T1220" i="16" s="1"/>
  <c r="U1220" i="16"/>
  <c r="L1222" i="16"/>
  <c r="I1222" i="16"/>
  <c r="C1222" i="16"/>
  <c r="K1222" i="16" s="1"/>
  <c r="E1222" i="16"/>
  <c r="F1222" i="16"/>
  <c r="O1222" i="16" s="1"/>
  <c r="G1222" i="16"/>
  <c r="B1223" i="16"/>
  <c r="D1221" i="16"/>
  <c r="J1221" i="16"/>
  <c r="Q1221" i="16"/>
  <c r="R1221" i="16"/>
  <c r="P1221" i="16"/>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M1112" i="16"/>
  <c r="D1112" i="16"/>
  <c r="J1112" i="16"/>
  <c r="N1112" i="16" s="1"/>
  <c r="P1112" i="16"/>
  <c r="Q1112" i="16"/>
  <c r="R1112" i="16"/>
  <c r="L1113" i="16"/>
  <c r="C1113" i="16"/>
  <c r="E1113" i="16"/>
  <c r="G1113" i="16"/>
  <c r="I1113" i="16"/>
  <c r="B1114" i="16"/>
  <c r="D1058" i="16"/>
  <c r="J1058" i="16"/>
  <c r="P1058" i="16"/>
  <c r="Q1058" i="16"/>
  <c r="R1058" i="16"/>
  <c r="L1059" i="16"/>
  <c r="C1059" i="16"/>
  <c r="K1059" i="16" s="1"/>
  <c r="E1059" i="16"/>
  <c r="F1059" i="16"/>
  <c r="O1059" i="16" s="1"/>
  <c r="G1059" i="16"/>
  <c r="I1059" i="16"/>
  <c r="B1060" i="16"/>
  <c r="U1003" i="16"/>
  <c r="S1003" i="16"/>
  <c r="T1003" i="16" s="1"/>
  <c r="L1005" i="16"/>
  <c r="E1005" i="16"/>
  <c r="I1005" i="16"/>
  <c r="B1006" i="16"/>
  <c r="C1005" i="16"/>
  <c r="K1005" i="16" s="1"/>
  <c r="F1005" i="16"/>
  <c r="O1005" i="16" s="1"/>
  <c r="G1005" i="16"/>
  <c r="D1004" i="16"/>
  <c r="J1004" i="16"/>
  <c r="P1004" i="16"/>
  <c r="Q1004" i="16"/>
  <c r="R1004" i="16"/>
  <c r="U949" i="16"/>
  <c r="S949" i="16"/>
  <c r="T949" i="16" s="1"/>
  <c r="M950" i="16"/>
  <c r="D950" i="16"/>
  <c r="J950" i="16"/>
  <c r="N950" i="16" s="1"/>
  <c r="P950" i="16"/>
  <c r="Q950" i="16"/>
  <c r="R950" i="16"/>
  <c r="L951" i="16"/>
  <c r="C951" i="16"/>
  <c r="K951" i="16" s="1"/>
  <c r="E951" i="16"/>
  <c r="F951" i="16"/>
  <c r="O951" i="16" s="1"/>
  <c r="G951" i="16"/>
  <c r="I951" i="16"/>
  <c r="B952" i="16"/>
  <c r="M896" i="16"/>
  <c r="D896" i="16"/>
  <c r="J896" i="16"/>
  <c r="N896" i="16" s="1"/>
  <c r="P896" i="16"/>
  <c r="Q896" i="16"/>
  <c r="R896" i="16"/>
  <c r="L897" i="16"/>
  <c r="C897" i="16"/>
  <c r="E897" i="16"/>
  <c r="G897" i="16"/>
  <c r="I897" i="16"/>
  <c r="B898" i="16"/>
  <c r="D842" i="16"/>
  <c r="J842" i="16"/>
  <c r="Q842" i="16"/>
  <c r="P842" i="16"/>
  <c r="R842" i="16"/>
  <c r="L843" i="16"/>
  <c r="C843" i="16"/>
  <c r="E843" i="16"/>
  <c r="G843" i="16"/>
  <c r="I843" i="16"/>
  <c r="B844" i="16"/>
  <c r="U787" i="16"/>
  <c r="S787" i="16"/>
  <c r="T787" i="16" s="1"/>
  <c r="D788" i="16"/>
  <c r="J788" i="16"/>
  <c r="P788" i="16"/>
  <c r="Q788" i="16"/>
  <c r="R788" i="16"/>
  <c r="L789" i="16"/>
  <c r="C789" i="16"/>
  <c r="E789" i="16"/>
  <c r="G789" i="16"/>
  <c r="I789" i="16"/>
  <c r="B790" i="16"/>
  <c r="U733" i="16"/>
  <c r="S733" i="16"/>
  <c r="T733" i="16" s="1"/>
  <c r="M734" i="16"/>
  <c r="D734" i="16"/>
  <c r="J734" i="16"/>
  <c r="N734" i="16" s="1"/>
  <c r="P734" i="16"/>
  <c r="Q734" i="16"/>
  <c r="R734" i="16"/>
  <c r="L735" i="16"/>
  <c r="C735" i="16"/>
  <c r="E735" i="16"/>
  <c r="G735" i="16"/>
  <c r="I735" i="16"/>
  <c r="B736" i="16"/>
  <c r="U679" i="16"/>
  <c r="S679" i="16"/>
  <c r="T679" i="16" s="1"/>
  <c r="M680" i="16"/>
  <c r="D680" i="16"/>
  <c r="J680" i="16"/>
  <c r="N680" i="16" s="1"/>
  <c r="P680" i="16"/>
  <c r="Q680" i="16"/>
  <c r="R680" i="16"/>
  <c r="L681" i="16"/>
  <c r="C681" i="16"/>
  <c r="E681" i="16"/>
  <c r="G681" i="16"/>
  <c r="I681" i="16"/>
  <c r="B682" i="16"/>
  <c r="U625" i="16"/>
  <c r="S625" i="16"/>
  <c r="T625" i="16" s="1"/>
  <c r="M626" i="16"/>
  <c r="D626" i="16"/>
  <c r="J626" i="16"/>
  <c r="N626" i="16" s="1"/>
  <c r="Q626" i="16"/>
  <c r="P626" i="16"/>
  <c r="R626" i="16"/>
  <c r="L627" i="16"/>
  <c r="C627" i="16"/>
  <c r="E627" i="16"/>
  <c r="G627" i="16"/>
  <c r="I627" i="16"/>
  <c r="B628" i="16"/>
  <c r="D572" i="16"/>
  <c r="J572" i="16"/>
  <c r="P572" i="16"/>
  <c r="Q572" i="16"/>
  <c r="R572" i="16"/>
  <c r="L573" i="16"/>
  <c r="C573" i="16"/>
  <c r="E573" i="16"/>
  <c r="G573" i="16"/>
  <c r="I573" i="16"/>
  <c r="B574" i="16"/>
  <c r="M518" i="16"/>
  <c r="D518" i="16"/>
  <c r="J518" i="16"/>
  <c r="N518" i="16" s="1"/>
  <c r="Q518" i="16"/>
  <c r="P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M410" i="16"/>
  <c r="D410" i="16"/>
  <c r="J410" i="16"/>
  <c r="N410" i="16" s="1"/>
  <c r="Q410" i="16"/>
  <c r="P410" i="16"/>
  <c r="R410" i="16"/>
  <c r="L411" i="16"/>
  <c r="C411" i="16"/>
  <c r="K411" i="16" s="1"/>
  <c r="E411" i="16"/>
  <c r="F411" i="16"/>
  <c r="O411" i="16" s="1"/>
  <c r="G411" i="16"/>
  <c r="I411" i="16"/>
  <c r="B412" i="16"/>
  <c r="D356" i="16"/>
  <c r="J356" i="16"/>
  <c r="P356" i="16"/>
  <c r="Q356" i="16"/>
  <c r="R356" i="16"/>
  <c r="L357" i="16"/>
  <c r="C357" i="16"/>
  <c r="K357" i="16" s="1"/>
  <c r="E357" i="16"/>
  <c r="F357" i="16"/>
  <c r="O357" i="16" s="1"/>
  <c r="G357" i="16"/>
  <c r="I357" i="16"/>
  <c r="B358" i="16"/>
  <c r="M302" i="16"/>
  <c r="D302" i="16"/>
  <c r="J302" i="16"/>
  <c r="N302" i="16" s="1"/>
  <c r="P302" i="16"/>
  <c r="Q302" i="16"/>
  <c r="R302" i="16"/>
  <c r="L303" i="16"/>
  <c r="C303" i="16"/>
  <c r="E303" i="16"/>
  <c r="G303" i="16"/>
  <c r="I303" i="16"/>
  <c r="B304" i="16"/>
  <c r="M248" i="16"/>
  <c r="D248" i="16"/>
  <c r="J248" i="16"/>
  <c r="N248" i="16" s="1"/>
  <c r="P248" i="16"/>
  <c r="Q248" i="16"/>
  <c r="R248" i="16"/>
  <c r="L249" i="16"/>
  <c r="C249" i="16"/>
  <c r="K249" i="16" s="1"/>
  <c r="E249" i="16"/>
  <c r="F249" i="16"/>
  <c r="O249" i="16" s="1"/>
  <c r="G249" i="16"/>
  <c r="I249" i="16"/>
  <c r="B250" i="16"/>
  <c r="U193" i="16"/>
  <c r="S193" i="16"/>
  <c r="T193" i="16" s="1"/>
  <c r="M194" i="16"/>
  <c r="D194" i="16"/>
  <c r="J194" i="16"/>
  <c r="N194" i="16" s="1"/>
  <c r="P194" i="16"/>
  <c r="Q194" i="16"/>
  <c r="R194" i="16"/>
  <c r="L195" i="16"/>
  <c r="C195" i="16"/>
  <c r="K195" i="16" s="1"/>
  <c r="E195" i="16"/>
  <c r="F195" i="16"/>
  <c r="O195" i="16" s="1"/>
  <c r="G195" i="16"/>
  <c r="I195" i="16"/>
  <c r="B196" i="16"/>
  <c r="U139" i="16"/>
  <c r="S139" i="16"/>
  <c r="T139" i="16" s="1"/>
  <c r="M140" i="16"/>
  <c r="D140" i="16"/>
  <c r="J140" i="16"/>
  <c r="N140" i="16" s="1"/>
  <c r="P140" i="16"/>
  <c r="Q140" i="16"/>
  <c r="R140" i="16"/>
  <c r="L141" i="16"/>
  <c r="C141" i="16"/>
  <c r="K141" i="16" s="1"/>
  <c r="E141" i="16"/>
  <c r="F141" i="16"/>
  <c r="O141" i="16" s="1"/>
  <c r="G141" i="16"/>
  <c r="I141" i="16"/>
  <c r="B142" i="16"/>
  <c r="U85" i="16"/>
  <c r="S85" i="16"/>
  <c r="T85" i="16" s="1"/>
  <c r="D86" i="16"/>
  <c r="J86" i="16"/>
  <c r="P86" i="16"/>
  <c r="Q86" i="16"/>
  <c r="R86" i="16"/>
  <c r="L87" i="16"/>
  <c r="C87" i="16"/>
  <c r="K87" i="16" s="1"/>
  <c r="E87" i="16"/>
  <c r="F87" i="16"/>
  <c r="O87" i="16" s="1"/>
  <c r="G87" i="16"/>
  <c r="I87" i="16"/>
  <c r="B88" i="16"/>
  <c r="U23" i="4"/>
  <c r="S23" i="4"/>
  <c r="T23" i="4" s="1"/>
  <c r="F23" i="5"/>
  <c r="G23" i="5"/>
  <c r="H23" i="5"/>
  <c r="M24" i="4"/>
  <c r="D24" i="4"/>
  <c r="J24" i="4"/>
  <c r="N24" i="4" s="1"/>
  <c r="AB24" i="4"/>
  <c r="AA24" i="4"/>
  <c r="Z24" i="4"/>
  <c r="Y24" i="4"/>
  <c r="X24" i="4"/>
  <c r="W24" i="4"/>
  <c r="P24" i="4"/>
  <c r="F24" i="5" s="1"/>
  <c r="Q24" i="4"/>
  <c r="G24" i="5" s="1"/>
  <c r="R24" i="4"/>
  <c r="V24" i="4"/>
  <c r="L25" i="4"/>
  <c r="C25" i="4"/>
  <c r="K25" i="4" s="1"/>
  <c r="E25" i="4"/>
  <c r="F25" i="4"/>
  <c r="C25" i="5" s="1"/>
  <c r="E25" i="5" s="1"/>
  <c r="O25" i="4" s="1"/>
  <c r="G25" i="4"/>
  <c r="AD25" i="4" s="1"/>
  <c r="I25" i="4"/>
  <c r="B26" i="4"/>
  <c r="B25" i="5"/>
  <c r="AF16" i="4"/>
  <c r="B73" i="7"/>
  <c r="I73" i="7" s="1"/>
  <c r="AE15" i="4"/>
  <c r="AD17" i="4"/>
  <c r="AD18" i="4"/>
  <c r="AD19" i="4"/>
  <c r="AD20" i="4"/>
  <c r="AD21" i="4"/>
  <c r="AD22" i="4"/>
  <c r="AD23" i="4"/>
  <c r="AD24" i="4"/>
  <c r="U4164" i="16"/>
  <c r="S4164" i="16"/>
  <c r="T4164" i="16" s="1"/>
  <c r="U3270" i="16"/>
  <c r="S3270" i="16"/>
  <c r="T3270" i="16" s="1"/>
  <c r="U3108" i="16"/>
  <c r="S3108" i="16"/>
  <c r="T3108" i="16" s="1"/>
  <c r="U3000" i="16"/>
  <c r="S3000" i="16"/>
  <c r="T3000" i="16" s="1"/>
  <c r="U2676" i="16"/>
  <c r="S2676" i="16"/>
  <c r="T2676" i="16" s="1"/>
  <c r="U2028" i="16"/>
  <c r="S2028" i="16"/>
  <c r="T2028" i="16" s="1"/>
  <c r="U1434" i="16"/>
  <c r="S1434" i="16"/>
  <c r="T1434" i="16" s="1"/>
  <c r="U1002" i="16"/>
  <c r="S1002" i="16"/>
  <c r="T1002" i="16" s="1"/>
  <c r="U138" i="16"/>
  <c r="S138" i="16"/>
  <c r="T138" i="16" s="1"/>
  <c r="M4111" i="16"/>
  <c r="N4111" i="16" s="1"/>
  <c r="M3541" i="16"/>
  <c r="N3541" i="16"/>
  <c r="M3487" i="16"/>
  <c r="N3487" i="16"/>
  <c r="M3271" i="16"/>
  <c r="N3271" i="16"/>
  <c r="N3055" i="16"/>
  <c r="M3055" i="16"/>
  <c r="M3001" i="16"/>
  <c r="N3001" i="16"/>
  <c r="M2947" i="16"/>
  <c r="N2947" i="16"/>
  <c r="M2731" i="16"/>
  <c r="N2731" i="16"/>
  <c r="M2677" i="16"/>
  <c r="N2677" i="16"/>
  <c r="M2461" i="16"/>
  <c r="N2461" i="16"/>
  <c r="M2299" i="16"/>
  <c r="N2299" i="16"/>
  <c r="M2245" i="16"/>
  <c r="N2245" i="16"/>
  <c r="M2083" i="16"/>
  <c r="N2083" i="16"/>
  <c r="M2029" i="16"/>
  <c r="N2029" i="16"/>
  <c r="M1867" i="16"/>
  <c r="N1867" i="16"/>
  <c r="M1813" i="16"/>
  <c r="N1813" i="16"/>
  <c r="M1597" i="16"/>
  <c r="N1597" i="16"/>
  <c r="M1543" i="16"/>
  <c r="N1543" i="16"/>
  <c r="N1327" i="16"/>
  <c r="M1327" i="16"/>
  <c r="N1273" i="16"/>
  <c r="M1273" i="16"/>
  <c r="M1057" i="16"/>
  <c r="N1057" i="16"/>
  <c r="M895" i="16"/>
  <c r="N895" i="16"/>
  <c r="M841" i="16"/>
  <c r="N841" i="16"/>
  <c r="M571" i="16"/>
  <c r="N571" i="16"/>
  <c r="M517" i="16"/>
  <c r="N517" i="16"/>
  <c r="N355" i="16"/>
  <c r="M355" i="16"/>
  <c r="M301" i="16"/>
  <c r="N301" i="16"/>
  <c r="M247" i="16"/>
  <c r="N247" i="16"/>
  <c r="F4574" i="16"/>
  <c r="K4574" i="16"/>
  <c r="F4520" i="16"/>
  <c r="K4520" i="16"/>
  <c r="F3758" i="16"/>
  <c r="O3758" i="16" s="1"/>
  <c r="K3758" i="16"/>
  <c r="K3488" i="16"/>
  <c r="F3488" i="16"/>
  <c r="O3488" i="16" s="1"/>
  <c r="F3434" i="16"/>
  <c r="O3434" i="16" s="1"/>
  <c r="K3434" i="16"/>
  <c r="F3272" i="16"/>
  <c r="O3272" i="16" s="1"/>
  <c r="K3272" i="16"/>
  <c r="F3218" i="16"/>
  <c r="O3218" i="16" s="1"/>
  <c r="K3218" i="16"/>
  <c r="K3164" i="16"/>
  <c r="F3164" i="16"/>
  <c r="O3164" i="16" s="1"/>
  <c r="K3002" i="16"/>
  <c r="F3002" i="16"/>
  <c r="O3002" i="16" s="1"/>
  <c r="F2678" i="16"/>
  <c r="O2678" i="16" s="1"/>
  <c r="K2678" i="16"/>
  <c r="F2624" i="16"/>
  <c r="O2624" i="16" s="1"/>
  <c r="K2624" i="16"/>
  <c r="K2570" i="16"/>
  <c r="F2570" i="16"/>
  <c r="O2570" i="16" s="1"/>
  <c r="F2408" i="16"/>
  <c r="O2408" i="16" s="1"/>
  <c r="K2408" i="16"/>
  <c r="K2300" i="16"/>
  <c r="F2300" i="16"/>
  <c r="O2300" i="16" s="1"/>
  <c r="F2138" i="16"/>
  <c r="O2138" i="16" s="1"/>
  <c r="K2138" i="16"/>
  <c r="F1868" i="16"/>
  <c r="O1868" i="16" s="1"/>
  <c r="K1868" i="16"/>
  <c r="K1814" i="16"/>
  <c r="F1814" i="16"/>
  <c r="O1814" i="16" s="1"/>
  <c r="F1544" i="16"/>
  <c r="O1544" i="16" s="1"/>
  <c r="K1544" i="16"/>
  <c r="F1436" i="16"/>
  <c r="O1436" i="16" s="1"/>
  <c r="K1436" i="16"/>
  <c r="K1382" i="16"/>
  <c r="F1382" i="16"/>
  <c r="O1382" i="16" s="1"/>
  <c r="F1328" i="16"/>
  <c r="O1328" i="16" s="1"/>
  <c r="K1328" i="16"/>
  <c r="F1221" i="16"/>
  <c r="O1221" i="16" s="1"/>
  <c r="K1221" i="16"/>
  <c r="F1058" i="16"/>
  <c r="O1058" i="16" s="1"/>
  <c r="K1058" i="16"/>
  <c r="K1004" i="16"/>
  <c r="F1004" i="16"/>
  <c r="O1004" i="16" s="1"/>
  <c r="K842" i="16"/>
  <c r="F842" i="16"/>
  <c r="O842" i="16" s="1"/>
  <c r="K788" i="16"/>
  <c r="F788" i="16"/>
  <c r="O788" i="16" s="1"/>
  <c r="K572" i="16"/>
  <c r="F572" i="16"/>
  <c r="O572" i="16" s="1"/>
  <c r="K356" i="16"/>
  <c r="F356" i="16"/>
  <c r="O356" i="16" s="1"/>
  <c r="K86" i="16"/>
  <c r="F86" i="16"/>
  <c r="O86" i="16" s="1"/>
  <c r="K3651" i="16" l="1"/>
  <c r="F3651" i="16"/>
  <c r="O3651" i="16" s="1"/>
  <c r="K2193" i="16"/>
  <c r="F2193" i="16"/>
  <c r="O2193" i="16" s="1"/>
  <c r="K2031" i="16"/>
  <c r="F2031" i="16"/>
  <c r="O2031" i="16" s="1"/>
  <c r="K1329" i="16"/>
  <c r="F1329" i="16"/>
  <c r="O1329" i="16" s="1"/>
  <c r="K789" i="16"/>
  <c r="F789" i="16"/>
  <c r="O789" i="16" s="1"/>
  <c r="K735" i="16"/>
  <c r="F735" i="16"/>
  <c r="O735" i="16" s="1"/>
  <c r="K681" i="16"/>
  <c r="F681" i="16"/>
  <c r="O681" i="16" s="1"/>
  <c r="T4681" i="16"/>
  <c r="U4682" i="16"/>
  <c r="S4682" i="16"/>
  <c r="M4683" i="16"/>
  <c r="D4683" i="16"/>
  <c r="J4683" i="16"/>
  <c r="N4683" i="16" s="1"/>
  <c r="P4683" i="16"/>
  <c r="Q4683" i="16"/>
  <c r="R4683" i="16"/>
  <c r="L4684" i="16"/>
  <c r="C4684" i="16"/>
  <c r="K4684" i="16" s="1"/>
  <c r="E4684" i="16"/>
  <c r="F4684" i="16"/>
  <c r="G4684" i="16"/>
  <c r="I4684" i="16"/>
  <c r="B4685" i="16"/>
  <c r="P4629" i="16"/>
  <c r="Q4629" i="16"/>
  <c r="R4629" i="16"/>
  <c r="C4630" i="16"/>
  <c r="E4630" i="16"/>
  <c r="G4630" i="16"/>
  <c r="B4631" i="16"/>
  <c r="D4575" i="16"/>
  <c r="J4575" i="16"/>
  <c r="P4575" i="16"/>
  <c r="Q4575" i="16"/>
  <c r="R4575" i="16"/>
  <c r="L4576" i="16"/>
  <c r="C4576" i="16"/>
  <c r="K4576" i="16" s="1"/>
  <c r="E4576" i="16"/>
  <c r="F4576" i="16"/>
  <c r="G4576" i="16"/>
  <c r="I4576" i="16"/>
  <c r="B4577" i="16"/>
  <c r="D4521" i="16"/>
  <c r="J4521" i="16"/>
  <c r="P4521" i="16"/>
  <c r="Q4521" i="16"/>
  <c r="R4521" i="16"/>
  <c r="L4522" i="16"/>
  <c r="C4522" i="16"/>
  <c r="K4522" i="16" s="1"/>
  <c r="E4522" i="16"/>
  <c r="F4522" i="16"/>
  <c r="G4522" i="16"/>
  <c r="I4522" i="16"/>
  <c r="B4523" i="16"/>
  <c r="U4220" i="16"/>
  <c r="S4220" i="16"/>
  <c r="T4220" i="16" s="1"/>
  <c r="P4221" i="16"/>
  <c r="Q4221" i="16"/>
  <c r="R4221" i="16"/>
  <c r="E4222" i="16"/>
  <c r="B4223" i="16"/>
  <c r="C4222" i="16"/>
  <c r="G4222" i="16"/>
  <c r="I4222" i="16"/>
  <c r="L4222" i="16"/>
  <c r="D4221" i="16"/>
  <c r="J4221" i="16"/>
  <c r="N4221" i="16" s="1"/>
  <c r="M4221" i="16"/>
  <c r="P4167" i="16"/>
  <c r="Q4167" i="16"/>
  <c r="R4167" i="16"/>
  <c r="E4168" i="16"/>
  <c r="G4168" i="16"/>
  <c r="L4168" i="16"/>
  <c r="C4168" i="16"/>
  <c r="F4168" i="16" s="1"/>
  <c r="O4168" i="16" s="1"/>
  <c r="I4168" i="16"/>
  <c r="K4168" i="16"/>
  <c r="B4169" i="16"/>
  <c r="D4167" i="16"/>
  <c r="J4167" i="16"/>
  <c r="U4166" i="16"/>
  <c r="S4166" i="16"/>
  <c r="T4166" i="16" s="1"/>
  <c r="E4114" i="16"/>
  <c r="G4114" i="16"/>
  <c r="I4114" i="16"/>
  <c r="B4115" i="16"/>
  <c r="C4114" i="16"/>
  <c r="L4114" i="16"/>
  <c r="D4113" i="16"/>
  <c r="J4113" i="16"/>
  <c r="N4113" i="16" s="1"/>
  <c r="P4113" i="16"/>
  <c r="Q4113" i="16"/>
  <c r="R4113" i="16"/>
  <c r="M4113" i="16"/>
  <c r="U4112" i="16"/>
  <c r="S4112" i="16"/>
  <c r="T4112" i="16" s="1"/>
  <c r="U4058" i="16"/>
  <c r="S4058" i="16"/>
  <c r="T4058" i="16" s="1"/>
  <c r="M4059" i="16"/>
  <c r="D4059" i="16"/>
  <c r="J4059" i="16"/>
  <c r="N4059" i="16" s="1"/>
  <c r="P4059" i="16"/>
  <c r="Q4059" i="16"/>
  <c r="R4059" i="16"/>
  <c r="L4060" i="16"/>
  <c r="C4060" i="16"/>
  <c r="K4060" i="16" s="1"/>
  <c r="E4060" i="16"/>
  <c r="F4060" i="16"/>
  <c r="O4060" i="16" s="1"/>
  <c r="G4060" i="16"/>
  <c r="I4060" i="16"/>
  <c r="B4061" i="16"/>
  <c r="D3759" i="16"/>
  <c r="J3759" i="16"/>
  <c r="P3759" i="16"/>
  <c r="Q3759" i="16"/>
  <c r="R3759" i="16"/>
  <c r="L3760" i="16"/>
  <c r="C3760" i="16"/>
  <c r="K3760" i="16" s="1"/>
  <c r="E3760" i="16"/>
  <c r="F3760" i="16"/>
  <c r="O3760" i="16" s="1"/>
  <c r="G3760" i="16"/>
  <c r="I3760" i="16"/>
  <c r="B3761" i="16"/>
  <c r="U3704" i="16"/>
  <c r="S3704" i="16"/>
  <c r="T3704" i="16" s="1"/>
  <c r="M3705" i="16"/>
  <c r="D3705" i="16"/>
  <c r="J3705" i="16"/>
  <c r="N3705" i="16" s="1"/>
  <c r="P3705" i="16"/>
  <c r="Q3705" i="16"/>
  <c r="R3705" i="16"/>
  <c r="L3706" i="16"/>
  <c r="C3706" i="16"/>
  <c r="K3706" i="16" s="1"/>
  <c r="E3706" i="16"/>
  <c r="F3706" i="16"/>
  <c r="O3706" i="16" s="1"/>
  <c r="G3706" i="16"/>
  <c r="B3707" i="16"/>
  <c r="I3706" i="16"/>
  <c r="U3650" i="16"/>
  <c r="S3650" i="16"/>
  <c r="T3650" i="16" s="1"/>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E3598" i="16"/>
  <c r="G3598" i="16"/>
  <c r="I3598" i="16"/>
  <c r="B3599" i="16"/>
  <c r="U3542" i="16"/>
  <c r="S3542" i="16"/>
  <c r="T3542" i="16" s="1"/>
  <c r="M3543" i="16"/>
  <c r="D3543" i="16"/>
  <c r="J3543" i="16"/>
  <c r="N3543" i="16" s="1"/>
  <c r="P3543" i="16"/>
  <c r="Q3543" i="16"/>
  <c r="R3543" i="16"/>
  <c r="L3544" i="16"/>
  <c r="C3544" i="16"/>
  <c r="E3544" i="16"/>
  <c r="G3544" i="16"/>
  <c r="I3544" i="16"/>
  <c r="B3545" i="16"/>
  <c r="P3489" i="16"/>
  <c r="Q3489" i="16"/>
  <c r="R3489" i="16"/>
  <c r="J3489" i="16"/>
  <c r="D3489" i="16"/>
  <c r="L3490" i="16"/>
  <c r="I3490" i="16"/>
  <c r="B3491" i="16"/>
  <c r="C3490" i="16"/>
  <c r="E3490" i="16"/>
  <c r="G3490" i="16"/>
  <c r="D3435" i="16"/>
  <c r="J3435" i="16"/>
  <c r="L3436" i="16"/>
  <c r="E3436" i="16"/>
  <c r="I3436" i="16"/>
  <c r="B3437" i="16"/>
  <c r="C3436" i="16"/>
  <c r="G3436" i="16"/>
  <c r="P3435" i="16"/>
  <c r="Q3435" i="16"/>
  <c r="R3435" i="16"/>
  <c r="U3380" i="16"/>
  <c r="S3380" i="16"/>
  <c r="T3380" i="16" s="1"/>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E3328" i="16"/>
  <c r="G3328" i="16"/>
  <c r="I3328" i="16"/>
  <c r="B3329" i="16"/>
  <c r="M3273" i="16"/>
  <c r="D3273" i="16"/>
  <c r="J3273" i="16"/>
  <c r="N3273" i="16" s="1"/>
  <c r="P3273" i="16"/>
  <c r="Q3273" i="16"/>
  <c r="R3273" i="16"/>
  <c r="L3274" i="16"/>
  <c r="C3274" i="16"/>
  <c r="K3274" i="16" s="1"/>
  <c r="E3274" i="16"/>
  <c r="F3274" i="16"/>
  <c r="O3274" i="16" s="1"/>
  <c r="G3274" i="16"/>
  <c r="I3274" i="16"/>
  <c r="B3275" i="16"/>
  <c r="M3219" i="16"/>
  <c r="J3219" i="16"/>
  <c r="N3219" i="16" s="1"/>
  <c r="D3219" i="16"/>
  <c r="P3219" i="16"/>
  <c r="Q3219" i="16"/>
  <c r="R3219" i="16"/>
  <c r="L3220" i="16"/>
  <c r="I3220" i="16"/>
  <c r="G3220" i="16"/>
  <c r="C3220" i="16"/>
  <c r="E3220" i="16"/>
  <c r="B3221" i="16"/>
  <c r="P3165" i="16"/>
  <c r="Q3165" i="16"/>
  <c r="R3165" i="16"/>
  <c r="L3166" i="16"/>
  <c r="C3166" i="16"/>
  <c r="K3166" i="16" s="1"/>
  <c r="G3166" i="16"/>
  <c r="B3167" i="16"/>
  <c r="F3166" i="16"/>
  <c r="O3166" i="16" s="1"/>
  <c r="E3166" i="16"/>
  <c r="I3166" i="16"/>
  <c r="J3165" i="16"/>
  <c r="D3165" i="16"/>
  <c r="U3110" i="16"/>
  <c r="S3110" i="16"/>
  <c r="T3110" i="16" s="1"/>
  <c r="M3111" i="16"/>
  <c r="P3111" i="16"/>
  <c r="Q3111" i="16"/>
  <c r="R3111" i="16"/>
  <c r="D3111" i="16"/>
  <c r="J3111" i="16"/>
  <c r="N3111" i="16" s="1"/>
  <c r="L3112" i="16"/>
  <c r="E3112" i="16"/>
  <c r="B3113" i="16"/>
  <c r="C3112" i="16"/>
  <c r="K3112" i="16" s="1"/>
  <c r="I3112" i="16"/>
  <c r="F3112" i="16"/>
  <c r="O3112" i="16" s="1"/>
  <c r="G3112" i="16"/>
  <c r="U3056" i="16"/>
  <c r="S3056" i="16"/>
  <c r="T3056" i="16" s="1"/>
  <c r="M3057" i="16"/>
  <c r="P3057" i="16"/>
  <c r="Q3057" i="16"/>
  <c r="R3057" i="16"/>
  <c r="J3057" i="16"/>
  <c r="N3057" i="16" s="1"/>
  <c r="D3057" i="16"/>
  <c r="L3058" i="16"/>
  <c r="C3058" i="16"/>
  <c r="K3058" i="16" s="1"/>
  <c r="E3058" i="16"/>
  <c r="B3059" i="16"/>
  <c r="F3058" i="16"/>
  <c r="O3058" i="16" s="1"/>
  <c r="G3058" i="16"/>
  <c r="I3058" i="16"/>
  <c r="L3004" i="16"/>
  <c r="I3004" i="16"/>
  <c r="B3005" i="16"/>
  <c r="C3004" i="16"/>
  <c r="E3004" i="16"/>
  <c r="G3004" i="16"/>
  <c r="P3003" i="16"/>
  <c r="Q3003" i="16"/>
  <c r="R3003" i="16"/>
  <c r="D3003" i="16"/>
  <c r="J3003" i="16"/>
  <c r="U2948" i="16"/>
  <c r="S2948" i="16"/>
  <c r="T2948" i="16" s="1"/>
  <c r="D2949" i="16"/>
  <c r="J2949" i="16"/>
  <c r="P2949" i="16"/>
  <c r="Q2949" i="16"/>
  <c r="R2949" i="16"/>
  <c r="L2950" i="16"/>
  <c r="C2950" i="16"/>
  <c r="K2950" i="16" s="1"/>
  <c r="E2950" i="16"/>
  <c r="F2950" i="16"/>
  <c r="O2950" i="16" s="1"/>
  <c r="G2950" i="16"/>
  <c r="I2950" i="16"/>
  <c r="B2951" i="16"/>
  <c r="U2894" i="16"/>
  <c r="S2894" i="16"/>
  <c r="T2894" i="16" s="1"/>
  <c r="M2895" i="16"/>
  <c r="D2895" i="16"/>
  <c r="J2895" i="16"/>
  <c r="N2895" i="16" s="1"/>
  <c r="P2895" i="16"/>
  <c r="Q2895" i="16"/>
  <c r="R2895" i="16"/>
  <c r="L2896" i="16"/>
  <c r="C2896" i="16"/>
  <c r="K2896" i="16" s="1"/>
  <c r="E2896" i="16"/>
  <c r="F2896" i="16"/>
  <c r="O2896" i="16" s="1"/>
  <c r="G2896" i="16"/>
  <c r="I2896" i="16"/>
  <c r="B2897" i="16"/>
  <c r="U2840" i="16"/>
  <c r="S2840" i="16"/>
  <c r="T2840" i="16" s="1"/>
  <c r="M2841" i="16"/>
  <c r="D2841" i="16"/>
  <c r="J2841" i="16"/>
  <c r="N2841" i="16" s="1"/>
  <c r="P2841" i="16"/>
  <c r="Q2841" i="16"/>
  <c r="R2841" i="16"/>
  <c r="L2842" i="16"/>
  <c r="C2842" i="16"/>
  <c r="E2842" i="16"/>
  <c r="G2842" i="16"/>
  <c r="I2842" i="16"/>
  <c r="B2843" i="16"/>
  <c r="D2787" i="16"/>
  <c r="J2787" i="16"/>
  <c r="P2787" i="16"/>
  <c r="Q2787" i="16"/>
  <c r="R2787" i="16"/>
  <c r="L2788" i="16"/>
  <c r="C2788" i="16"/>
  <c r="E2788" i="16"/>
  <c r="G2788" i="16"/>
  <c r="I2788" i="16"/>
  <c r="B2789" i="16"/>
  <c r="U2732" i="16"/>
  <c r="S2732" i="16"/>
  <c r="T2732" i="16" s="1"/>
  <c r="D2733" i="16"/>
  <c r="J2733" i="16"/>
  <c r="P2733" i="16"/>
  <c r="Q2733" i="16"/>
  <c r="R2733" i="16"/>
  <c r="L2734" i="16"/>
  <c r="C2734" i="16"/>
  <c r="K2734" i="16" s="1"/>
  <c r="E2734" i="16"/>
  <c r="F2734" i="16"/>
  <c r="O2734" i="16" s="1"/>
  <c r="G2734" i="16"/>
  <c r="I2734" i="16"/>
  <c r="B2735" i="16"/>
  <c r="D2679" i="16"/>
  <c r="J2679" i="16"/>
  <c r="P2679" i="16"/>
  <c r="Q2679" i="16"/>
  <c r="R2679" i="16"/>
  <c r="L2680" i="16"/>
  <c r="C2680" i="16"/>
  <c r="K2680" i="16" s="1"/>
  <c r="E2680" i="16"/>
  <c r="F2680" i="16"/>
  <c r="O2680" i="16" s="1"/>
  <c r="G2680" i="16"/>
  <c r="I2680" i="16"/>
  <c r="B2681" i="16"/>
  <c r="M2625" i="16"/>
  <c r="D2625" i="16"/>
  <c r="J2625" i="16"/>
  <c r="N2625" i="16" s="1"/>
  <c r="P2625" i="16"/>
  <c r="Q2625" i="16"/>
  <c r="R2625" i="16"/>
  <c r="L2626" i="16"/>
  <c r="C2626" i="16"/>
  <c r="K2626" i="16" s="1"/>
  <c r="E2626" i="16"/>
  <c r="F2626" i="16"/>
  <c r="O2626" i="16" s="1"/>
  <c r="G2626" i="16"/>
  <c r="I2626" i="16"/>
  <c r="B2627" i="16"/>
  <c r="M2571" i="16"/>
  <c r="D2571" i="16"/>
  <c r="J2571" i="16"/>
  <c r="N2571" i="16" s="1"/>
  <c r="P2571" i="16"/>
  <c r="Q2571" i="16"/>
  <c r="R2571" i="16"/>
  <c r="L2572" i="16"/>
  <c r="C2572" i="16"/>
  <c r="E2572" i="16"/>
  <c r="G2572" i="16"/>
  <c r="I2572" i="16"/>
  <c r="B2573" i="16"/>
  <c r="U2516" i="16"/>
  <c r="S2516" i="16"/>
  <c r="T2516" i="16" s="1"/>
  <c r="D2517" i="16"/>
  <c r="J2517" i="16"/>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M2409" i="16"/>
  <c r="D2409" i="16"/>
  <c r="J2409" i="16"/>
  <c r="N2409" i="16" s="1"/>
  <c r="Q2409" i="16"/>
  <c r="R2409" i="16"/>
  <c r="P2409" i="16"/>
  <c r="L2410" i="16"/>
  <c r="C2410" i="16"/>
  <c r="K2410" i="16" s="1"/>
  <c r="E2410" i="16"/>
  <c r="F2410" i="16"/>
  <c r="O2410" i="16" s="1"/>
  <c r="G2410" i="16"/>
  <c r="I2410" i="16"/>
  <c r="B2411" i="16"/>
  <c r="U2354" i="16"/>
  <c r="S2354" i="16"/>
  <c r="T2354" i="16" s="1"/>
  <c r="M2355" i="16"/>
  <c r="D2355" i="16"/>
  <c r="J2355" i="16"/>
  <c r="N2355" i="16" s="1"/>
  <c r="Q2355" i="16"/>
  <c r="P2355" i="16"/>
  <c r="R2355" i="16"/>
  <c r="L2356" i="16"/>
  <c r="C2356" i="16"/>
  <c r="K2356" i="16" s="1"/>
  <c r="E2356" i="16"/>
  <c r="F2356" i="16"/>
  <c r="O2356" i="16" s="1"/>
  <c r="G2356" i="16"/>
  <c r="I2356" i="16"/>
  <c r="B2357" i="16"/>
  <c r="M2301" i="16"/>
  <c r="D2301" i="16"/>
  <c r="J2301" i="16"/>
  <c r="N2301" i="16" s="1"/>
  <c r="P2301" i="16"/>
  <c r="Q2301" i="16"/>
  <c r="R2301" i="16"/>
  <c r="L2302" i="16"/>
  <c r="C2302" i="16"/>
  <c r="K2302" i="16" s="1"/>
  <c r="E2302" i="16"/>
  <c r="F2302" i="16"/>
  <c r="O2302" i="16" s="1"/>
  <c r="G2302" i="16"/>
  <c r="I2302" i="16"/>
  <c r="B2303" i="16"/>
  <c r="U2246" i="16"/>
  <c r="S2246" i="16"/>
  <c r="T2246" i="16" s="1"/>
  <c r="Q2247" i="16"/>
  <c r="P2247" i="16"/>
  <c r="R2247" i="16"/>
  <c r="D2247" i="16"/>
  <c r="J2247" i="16"/>
  <c r="L2248" i="16"/>
  <c r="C2248" i="16"/>
  <c r="E2248" i="16"/>
  <c r="G2248" i="16"/>
  <c r="I2248" i="16"/>
  <c r="B2249" i="16"/>
  <c r="U2192" i="16"/>
  <c r="S2192" i="16"/>
  <c r="T2192" i="16" s="1"/>
  <c r="M2193" i="16"/>
  <c r="D2193" i="16"/>
  <c r="J2193" i="16"/>
  <c r="N2193" i="16" s="1"/>
  <c r="Q2193" i="16"/>
  <c r="P2193" i="16"/>
  <c r="R2193" i="16"/>
  <c r="L2194" i="16"/>
  <c r="C2194" i="16"/>
  <c r="K2194" i="16" s="1"/>
  <c r="E2194" i="16"/>
  <c r="F2194" i="16"/>
  <c r="O2194" i="16" s="1"/>
  <c r="G2194" i="16"/>
  <c r="B2195" i="16"/>
  <c r="I2194" i="16"/>
  <c r="M2139" i="16"/>
  <c r="D2139" i="16"/>
  <c r="J2139" i="16"/>
  <c r="N2139" i="16" s="1"/>
  <c r="Q2139" i="16"/>
  <c r="R2139" i="16"/>
  <c r="P2139" i="16"/>
  <c r="L2140" i="16"/>
  <c r="C2140" i="16"/>
  <c r="E2140" i="16"/>
  <c r="G2140" i="16"/>
  <c r="B2141" i="16"/>
  <c r="I2140" i="16"/>
  <c r="U2084" i="16"/>
  <c r="S2084" i="16"/>
  <c r="T2084" i="16" s="1"/>
  <c r="M2085" i="16"/>
  <c r="D2085" i="16"/>
  <c r="J2085" i="16"/>
  <c r="N2085" i="16" s="1"/>
  <c r="P2085" i="16"/>
  <c r="Q2085" i="16"/>
  <c r="R2085" i="16"/>
  <c r="L2086" i="16"/>
  <c r="C2086" i="16"/>
  <c r="K2086" i="16" s="1"/>
  <c r="E2086" i="16"/>
  <c r="F2086" i="16"/>
  <c r="O2086" i="16" s="1"/>
  <c r="G2086" i="16"/>
  <c r="I2086" i="16"/>
  <c r="B2087" i="16"/>
  <c r="U2030" i="16"/>
  <c r="S2030" i="16"/>
  <c r="T2030" i="16" s="1"/>
  <c r="M2031" i="16"/>
  <c r="D2031" i="16"/>
  <c r="J2031" i="16"/>
  <c r="N2031" i="16" s="1"/>
  <c r="P2031" i="16"/>
  <c r="Q2031" i="16"/>
  <c r="R2031" i="16"/>
  <c r="L2032" i="16"/>
  <c r="C2032" i="16"/>
  <c r="E2032" i="16"/>
  <c r="G2032" i="16"/>
  <c r="I2032" i="16"/>
  <c r="B2033" i="16"/>
  <c r="U1976" i="16"/>
  <c r="S1976" i="16"/>
  <c r="T1976" i="16" s="1"/>
  <c r="M1977" i="16"/>
  <c r="D1977" i="16"/>
  <c r="J1977" i="16"/>
  <c r="N1977" i="16" s="1"/>
  <c r="P1977" i="16"/>
  <c r="Q1977" i="16"/>
  <c r="R1977" i="16"/>
  <c r="L1978" i="16"/>
  <c r="C1978" i="16"/>
  <c r="E1978" i="16"/>
  <c r="G1978" i="16"/>
  <c r="I1978" i="16"/>
  <c r="B1979" i="16"/>
  <c r="U1922" i="16"/>
  <c r="S1922" i="16"/>
  <c r="T1922" i="16" s="1"/>
  <c r="M1923" i="16"/>
  <c r="D1923" i="16"/>
  <c r="J1923" i="16"/>
  <c r="N1923" i="16" s="1"/>
  <c r="P1923" i="16"/>
  <c r="Q1923" i="16"/>
  <c r="R1923" i="16"/>
  <c r="L1924" i="16"/>
  <c r="C1924" i="16"/>
  <c r="K1924" i="16" s="1"/>
  <c r="E1924" i="16"/>
  <c r="F1924" i="16"/>
  <c r="O1924" i="16" s="1"/>
  <c r="G1924" i="16"/>
  <c r="I1924" i="16"/>
  <c r="B1925" i="16"/>
  <c r="M1869" i="16"/>
  <c r="D1869" i="16"/>
  <c r="J1869" i="16"/>
  <c r="N1869" i="16" s="1"/>
  <c r="P1869" i="16"/>
  <c r="Q1869" i="16"/>
  <c r="R1869" i="16"/>
  <c r="L1870" i="16"/>
  <c r="C1870" i="16"/>
  <c r="K1870" i="16" s="1"/>
  <c r="E1870" i="16"/>
  <c r="F1870" i="16"/>
  <c r="O1870" i="16" s="1"/>
  <c r="G1870" i="16"/>
  <c r="I1870" i="16"/>
  <c r="B1871" i="16"/>
  <c r="M1815" i="16"/>
  <c r="D1815" i="16"/>
  <c r="J1815" i="16"/>
  <c r="N1815" i="16" s="1"/>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K1762" i="16" s="1"/>
  <c r="E1762" i="16"/>
  <c r="F1762" i="16"/>
  <c r="O1762" i="16" s="1"/>
  <c r="G1762" i="16"/>
  <c r="I1762" i="16"/>
  <c r="B1763" i="16"/>
  <c r="U1706" i="16"/>
  <c r="S1706" i="16"/>
  <c r="T1706" i="16" s="1"/>
  <c r="M1707" i="16"/>
  <c r="D1707" i="16"/>
  <c r="J1707" i="16"/>
  <c r="N1707" i="16" s="1"/>
  <c r="P1707" i="16"/>
  <c r="Q1707" i="16"/>
  <c r="R1707" i="16"/>
  <c r="L1708" i="16"/>
  <c r="C1708" i="16"/>
  <c r="E1708" i="16"/>
  <c r="G1708" i="16"/>
  <c r="I1708" i="16"/>
  <c r="B1709" i="16"/>
  <c r="U1652" i="16"/>
  <c r="S1652" i="16"/>
  <c r="T1652" i="16" s="1"/>
  <c r="D1653" i="16"/>
  <c r="J1653" i="16"/>
  <c r="P1653" i="16"/>
  <c r="Q1653" i="16"/>
  <c r="R1653" i="16"/>
  <c r="L1654" i="16"/>
  <c r="C1654" i="16"/>
  <c r="K1654" i="16" s="1"/>
  <c r="E1654" i="16"/>
  <c r="F1654" i="16"/>
  <c r="O1654" i="16" s="1"/>
  <c r="G1654" i="16"/>
  <c r="I1654" i="16"/>
  <c r="B1655" i="16"/>
  <c r="U1598" i="16"/>
  <c r="S1598" i="16"/>
  <c r="T1598" i="16" s="1"/>
  <c r="M1599" i="16"/>
  <c r="D1599" i="16"/>
  <c r="J1599" i="16"/>
  <c r="N1599" i="16" s="1"/>
  <c r="P1599" i="16"/>
  <c r="Q1599" i="16"/>
  <c r="R1599" i="16"/>
  <c r="L1600" i="16"/>
  <c r="C1600" i="16"/>
  <c r="K1600" i="16" s="1"/>
  <c r="E1600" i="16"/>
  <c r="F1600" i="16"/>
  <c r="O1600" i="16" s="1"/>
  <c r="G1600" i="16"/>
  <c r="I1600" i="16"/>
  <c r="B1601" i="16"/>
  <c r="M1545" i="16"/>
  <c r="D1545" i="16"/>
  <c r="J1545" i="16"/>
  <c r="N1545" i="16" s="1"/>
  <c r="P1545" i="16"/>
  <c r="Q1545" i="16"/>
  <c r="R1545" i="16"/>
  <c r="L1546" i="16"/>
  <c r="C1546" i="16"/>
  <c r="E1546" i="16"/>
  <c r="G1546" i="16"/>
  <c r="I1546" i="16"/>
  <c r="B1547" i="16"/>
  <c r="U1490" i="16"/>
  <c r="S1490" i="16"/>
  <c r="T1490" i="16" s="1"/>
  <c r="M1491" i="16"/>
  <c r="D1491" i="16"/>
  <c r="J1491" i="16"/>
  <c r="N1491" i="16" s="1"/>
  <c r="P1491" i="16"/>
  <c r="Q1491" i="16"/>
  <c r="R1491" i="16"/>
  <c r="L1492" i="16"/>
  <c r="C1492" i="16"/>
  <c r="E1492" i="16"/>
  <c r="G1492" i="16"/>
  <c r="I1492" i="16"/>
  <c r="B1493" i="16"/>
  <c r="P1437" i="16"/>
  <c r="Q1437" i="16"/>
  <c r="R1437" i="16"/>
  <c r="L1438" i="16"/>
  <c r="G1438" i="16"/>
  <c r="C1438" i="16"/>
  <c r="E1438" i="16"/>
  <c r="I1438" i="16"/>
  <c r="B1439" i="16"/>
  <c r="D1437" i="16"/>
  <c r="J1437" i="16"/>
  <c r="J1383" i="16"/>
  <c r="D1383" i="16"/>
  <c r="P1383" i="16"/>
  <c r="Q1383" i="16"/>
  <c r="R1383" i="16"/>
  <c r="L1384" i="16"/>
  <c r="B1385" i="16"/>
  <c r="E1384" i="16"/>
  <c r="G1384" i="16"/>
  <c r="I1384" i="16"/>
  <c r="C1384" i="16"/>
  <c r="K1384" i="16" s="1"/>
  <c r="F1384" i="16"/>
  <c r="O1384" i="16" s="1"/>
  <c r="M1329" i="16"/>
  <c r="L1330" i="16"/>
  <c r="G1330" i="16"/>
  <c r="B1331" i="16"/>
  <c r="I1330" i="16"/>
  <c r="E1330" i="16"/>
  <c r="C1330" i="16"/>
  <c r="P1329" i="16"/>
  <c r="Q1329" i="16"/>
  <c r="R1329" i="16"/>
  <c r="D1329" i="16"/>
  <c r="J1329" i="16"/>
  <c r="N1329" i="16" s="1"/>
  <c r="U1274" i="16"/>
  <c r="S1274" i="16"/>
  <c r="T1274" i="16" s="1"/>
  <c r="M1275" i="16"/>
  <c r="L1276" i="16"/>
  <c r="I1276" i="16"/>
  <c r="B1277" i="16"/>
  <c r="E1276" i="16"/>
  <c r="C1276" i="16"/>
  <c r="G1276" i="16"/>
  <c r="J1275" i="16"/>
  <c r="N1275" i="16" s="1"/>
  <c r="D1275" i="16"/>
  <c r="P1275" i="16"/>
  <c r="Q1275" i="16"/>
  <c r="R1275" i="16"/>
  <c r="M1222" i="16"/>
  <c r="J1222" i="16"/>
  <c r="N1222" i="16" s="1"/>
  <c r="D1222" i="16"/>
  <c r="P1222" i="16"/>
  <c r="Q1222" i="16"/>
  <c r="R1222" i="16"/>
  <c r="L1223" i="16"/>
  <c r="E1223" i="16"/>
  <c r="G1223" i="16"/>
  <c r="I1223" i="16"/>
  <c r="B1224" i="16"/>
  <c r="C1223" i="16"/>
  <c r="K1223" i="16" s="1"/>
  <c r="F1223" i="16"/>
  <c r="O1223" i="16" s="1"/>
  <c r="U1166" i="16"/>
  <c r="S1166" i="16"/>
  <c r="T1166" i="16" s="1"/>
  <c r="M1167" i="16"/>
  <c r="D1167" i="16"/>
  <c r="J1167" i="16"/>
  <c r="N1167" i="16" s="1"/>
  <c r="P1167" i="16"/>
  <c r="Q1167" i="16"/>
  <c r="R1167" i="16"/>
  <c r="L1168" i="16"/>
  <c r="C1168" i="16"/>
  <c r="E1168" i="16"/>
  <c r="G1168" i="16"/>
  <c r="I1168" i="16"/>
  <c r="B1169" i="16"/>
  <c r="U1112" i="16"/>
  <c r="S1112" i="16"/>
  <c r="T1112" i="16" s="1"/>
  <c r="D1113" i="16"/>
  <c r="J1113" i="16"/>
  <c r="P1113" i="16"/>
  <c r="Q1113" i="16"/>
  <c r="R1113" i="16"/>
  <c r="L1114" i="16"/>
  <c r="C1114" i="16"/>
  <c r="K1114" i="16" s="1"/>
  <c r="E1114" i="16"/>
  <c r="F1114" i="16"/>
  <c r="O1114" i="16" s="1"/>
  <c r="G1114" i="16"/>
  <c r="I1114" i="16"/>
  <c r="B1115" i="16"/>
  <c r="M1059" i="16"/>
  <c r="D1059" i="16"/>
  <c r="J1059" i="16"/>
  <c r="N1059" i="16" s="1"/>
  <c r="P1059" i="16"/>
  <c r="Q1059" i="16"/>
  <c r="R1059" i="16"/>
  <c r="L1060" i="16"/>
  <c r="C1060" i="16"/>
  <c r="K1060" i="16" s="1"/>
  <c r="E1060" i="16"/>
  <c r="F1060" i="16"/>
  <c r="O1060" i="16" s="1"/>
  <c r="G1060" i="16"/>
  <c r="I1060" i="16"/>
  <c r="B1061" i="16"/>
  <c r="M1005" i="16"/>
  <c r="L1006" i="16"/>
  <c r="G1006" i="16"/>
  <c r="B1007" i="16"/>
  <c r="I1006" i="16"/>
  <c r="C1006" i="16"/>
  <c r="K1006" i="16" s="1"/>
  <c r="E1006" i="16"/>
  <c r="F1006" i="16"/>
  <c r="O1006" i="16" s="1"/>
  <c r="D1005" i="16"/>
  <c r="J1005" i="16"/>
  <c r="N1005" i="16" s="1"/>
  <c r="P1005" i="16"/>
  <c r="Q1005" i="16"/>
  <c r="R1005" i="16"/>
  <c r="U950" i="16"/>
  <c r="S950" i="16"/>
  <c r="T950" i="16" s="1"/>
  <c r="M951" i="16"/>
  <c r="D951" i="16"/>
  <c r="J951" i="16"/>
  <c r="N951" i="16" s="1"/>
  <c r="P951" i="16"/>
  <c r="Q951" i="16"/>
  <c r="R951" i="16"/>
  <c r="L952" i="16"/>
  <c r="C952" i="16"/>
  <c r="K952" i="16" s="1"/>
  <c r="E952" i="16"/>
  <c r="F952" i="16"/>
  <c r="O952" i="16" s="1"/>
  <c r="G952" i="16"/>
  <c r="I952" i="16"/>
  <c r="B953" i="16"/>
  <c r="U896" i="16"/>
  <c r="S896" i="16"/>
  <c r="T896" i="16" s="1"/>
  <c r="D897" i="16"/>
  <c r="J897" i="16"/>
  <c r="Q897" i="16"/>
  <c r="P897" i="16"/>
  <c r="R897" i="16"/>
  <c r="L898" i="16"/>
  <c r="C898" i="16"/>
  <c r="E898" i="16"/>
  <c r="G898" i="16"/>
  <c r="I898" i="16"/>
  <c r="B899" i="16"/>
  <c r="D843" i="16"/>
  <c r="J843" i="16"/>
  <c r="P843" i="16"/>
  <c r="Q843" i="16"/>
  <c r="R843" i="16"/>
  <c r="L844" i="16"/>
  <c r="C844" i="16"/>
  <c r="K844" i="16" s="1"/>
  <c r="E844" i="16"/>
  <c r="F844" i="16"/>
  <c r="O844" i="16" s="1"/>
  <c r="G844" i="16"/>
  <c r="I844" i="16"/>
  <c r="B845" i="16"/>
  <c r="M789" i="16"/>
  <c r="D789" i="16"/>
  <c r="J789" i="16"/>
  <c r="N789" i="16" s="1"/>
  <c r="P789" i="16"/>
  <c r="Q789" i="16"/>
  <c r="R789" i="16"/>
  <c r="L790" i="16"/>
  <c r="C790" i="16"/>
  <c r="K790" i="16" s="1"/>
  <c r="E790" i="16"/>
  <c r="F790" i="16"/>
  <c r="O790" i="16" s="1"/>
  <c r="G790" i="16"/>
  <c r="I790" i="16"/>
  <c r="B791" i="16"/>
  <c r="U734" i="16"/>
  <c r="S734" i="16"/>
  <c r="T734" i="16" s="1"/>
  <c r="M735" i="16"/>
  <c r="D735" i="16"/>
  <c r="J735" i="16"/>
  <c r="N735" i="16" s="1"/>
  <c r="Q735" i="16"/>
  <c r="P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E682" i="16"/>
  <c r="G682" i="16"/>
  <c r="I682" i="16"/>
  <c r="B683" i="16"/>
  <c r="U626" i="16"/>
  <c r="S626" i="16"/>
  <c r="T626" i="16" s="1"/>
  <c r="D627" i="16"/>
  <c r="J627" i="16"/>
  <c r="P627" i="16"/>
  <c r="Q627" i="16"/>
  <c r="R627" i="16"/>
  <c r="L628" i="16"/>
  <c r="C628" i="16"/>
  <c r="E628" i="16"/>
  <c r="G628" i="16"/>
  <c r="I628" i="16"/>
  <c r="B629" i="16"/>
  <c r="D573" i="16"/>
  <c r="J573" i="16"/>
  <c r="P573" i="16"/>
  <c r="Q573" i="16"/>
  <c r="R573" i="16"/>
  <c r="L574" i="16"/>
  <c r="C574" i="16"/>
  <c r="K574" i="16" s="1"/>
  <c r="E574" i="16"/>
  <c r="F574" i="16"/>
  <c r="O574" i="16" s="1"/>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E466" i="16"/>
  <c r="G466" i="16"/>
  <c r="I466" i="16"/>
  <c r="B467" i="16"/>
  <c r="U410" i="16"/>
  <c r="S410" i="16"/>
  <c r="T410" i="16" s="1"/>
  <c r="M411" i="16"/>
  <c r="D411" i="16"/>
  <c r="J411" i="16"/>
  <c r="N411" i="16" s="1"/>
  <c r="P411" i="16"/>
  <c r="Q411" i="16"/>
  <c r="R411" i="16"/>
  <c r="L412" i="16"/>
  <c r="C412" i="16"/>
  <c r="K412" i="16" s="1"/>
  <c r="E412" i="16"/>
  <c r="F412" i="16"/>
  <c r="O412" i="16" s="1"/>
  <c r="G412" i="16"/>
  <c r="I412" i="16"/>
  <c r="B413" i="16"/>
  <c r="M357" i="16"/>
  <c r="D357" i="16"/>
  <c r="J357" i="16"/>
  <c r="N357" i="16" s="1"/>
  <c r="P357" i="16"/>
  <c r="Q357" i="16"/>
  <c r="R357" i="16"/>
  <c r="L358" i="16"/>
  <c r="C358" i="16"/>
  <c r="K358" i="16" s="1"/>
  <c r="E358" i="16"/>
  <c r="F358" i="16"/>
  <c r="O358" i="16" s="1"/>
  <c r="G358" i="16"/>
  <c r="I358" i="16"/>
  <c r="B359" i="16"/>
  <c r="U302" i="16"/>
  <c r="S302" i="16"/>
  <c r="T302" i="16" s="1"/>
  <c r="D303" i="16"/>
  <c r="J303" i="16"/>
  <c r="P303" i="16"/>
  <c r="Q303" i="16"/>
  <c r="R303" i="16"/>
  <c r="L304" i="16"/>
  <c r="C304" i="16"/>
  <c r="K304" i="16" s="1"/>
  <c r="E304" i="16"/>
  <c r="F304" i="16"/>
  <c r="O304" i="16" s="1"/>
  <c r="G304" i="16"/>
  <c r="I304" i="16"/>
  <c r="B305" i="16"/>
  <c r="U248" i="16"/>
  <c r="S248" i="16"/>
  <c r="T248" i="16" s="1"/>
  <c r="M249" i="16"/>
  <c r="D249" i="16"/>
  <c r="J249" i="16"/>
  <c r="N249" i="16" s="1"/>
  <c r="P249" i="16"/>
  <c r="Q249" i="16"/>
  <c r="R249" i="16"/>
  <c r="L250" i="16"/>
  <c r="C250" i="16"/>
  <c r="K250" i="16" s="1"/>
  <c r="E250" i="16"/>
  <c r="F250" i="16"/>
  <c r="O250" i="16" s="1"/>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U140" i="16"/>
  <c r="S140" i="16"/>
  <c r="T140" i="16" s="1"/>
  <c r="M141" i="16"/>
  <c r="D141" i="16"/>
  <c r="J141" i="16"/>
  <c r="N141" i="16" s="1"/>
  <c r="P141" i="16"/>
  <c r="Q141" i="16"/>
  <c r="R141" i="16"/>
  <c r="L142" i="16"/>
  <c r="C142" i="16"/>
  <c r="K142" i="16" s="1"/>
  <c r="E142" i="16"/>
  <c r="F142" i="16"/>
  <c r="O142" i="16" s="1"/>
  <c r="G142" i="16"/>
  <c r="I142" i="16"/>
  <c r="B143" i="16"/>
  <c r="M87" i="16"/>
  <c r="D87" i="16"/>
  <c r="J87" i="16"/>
  <c r="N87" i="16" s="1"/>
  <c r="P87" i="16"/>
  <c r="Q87" i="16"/>
  <c r="R87" i="16"/>
  <c r="L88" i="16"/>
  <c r="C88" i="16"/>
  <c r="E88" i="16"/>
  <c r="G88" i="16"/>
  <c r="I88" i="16"/>
  <c r="B89" i="16"/>
  <c r="U24" i="4"/>
  <c r="S24" i="4"/>
  <c r="T24" i="4" s="1"/>
  <c r="M25" i="4"/>
  <c r="D25" i="4"/>
  <c r="J25" i="4"/>
  <c r="N25" i="4" s="1"/>
  <c r="AC25" i="4"/>
  <c r="AB25" i="4"/>
  <c r="AA25" i="4"/>
  <c r="Z25" i="4"/>
  <c r="Y25" i="4"/>
  <c r="X25" i="4"/>
  <c r="W25" i="4"/>
  <c r="P25" i="4"/>
  <c r="Q25" i="4"/>
  <c r="R25" i="4"/>
  <c r="H25" i="5" s="1"/>
  <c r="V25" i="4"/>
  <c r="L26" i="4"/>
  <c r="C26" i="4"/>
  <c r="K26" i="4" s="1"/>
  <c r="E26" i="4"/>
  <c r="F26" i="4"/>
  <c r="C26" i="5" s="1"/>
  <c r="E26" i="5" s="1"/>
  <c r="O26" i="4" s="1"/>
  <c r="G26" i="4"/>
  <c r="I26" i="4"/>
  <c r="B27" i="4"/>
  <c r="B26" i="5"/>
  <c r="AG16" i="4"/>
  <c r="B74" i="7"/>
  <c r="I74" i="7" s="1"/>
  <c r="AF15" i="4"/>
  <c r="AE17" i="4"/>
  <c r="AE18" i="4"/>
  <c r="AE19" i="4"/>
  <c r="AE20" i="4"/>
  <c r="AE21" i="4"/>
  <c r="AE22" i="4"/>
  <c r="AE23" i="4"/>
  <c r="AE24" i="4"/>
  <c r="AE25" i="4"/>
  <c r="AE26" i="4"/>
  <c r="U4111" i="16"/>
  <c r="S4111" i="16"/>
  <c r="T4111" i="16" s="1"/>
  <c r="U3541" i="16"/>
  <c r="S3541" i="16"/>
  <c r="T3541" i="16" s="1"/>
  <c r="U3487" i="16"/>
  <c r="S3487" i="16"/>
  <c r="T3487" i="16" s="1"/>
  <c r="U3271" i="16"/>
  <c r="S3271" i="16"/>
  <c r="T3271" i="16" s="1"/>
  <c r="U3055" i="16"/>
  <c r="S3055" i="16"/>
  <c r="T3055" i="16" s="1"/>
  <c r="U3001" i="16"/>
  <c r="S3001" i="16"/>
  <c r="T3001" i="16" s="1"/>
  <c r="U2947" i="16"/>
  <c r="S2947" i="16"/>
  <c r="T2947" i="16" s="1"/>
  <c r="U2731" i="16"/>
  <c r="S2731" i="16"/>
  <c r="T2731" i="16" s="1"/>
  <c r="U2677" i="16"/>
  <c r="S2677" i="16"/>
  <c r="T2677" i="16" s="1"/>
  <c r="U2461" i="16"/>
  <c r="S2461" i="16"/>
  <c r="T2461" i="16" s="1"/>
  <c r="U2299" i="16"/>
  <c r="S2299" i="16"/>
  <c r="T2299" i="16" s="1"/>
  <c r="U2245" i="16"/>
  <c r="S2245" i="16"/>
  <c r="T2245" i="16" s="1"/>
  <c r="U2083" i="16"/>
  <c r="S2083" i="16"/>
  <c r="T2083" i="16" s="1"/>
  <c r="U2029" i="16"/>
  <c r="S2029" i="16"/>
  <c r="T2029" i="16" s="1"/>
  <c r="U1867" i="16"/>
  <c r="S1867" i="16"/>
  <c r="T1867" i="16" s="1"/>
  <c r="U1813" i="16"/>
  <c r="S1813" i="16"/>
  <c r="T1813" i="16" s="1"/>
  <c r="U1597" i="16"/>
  <c r="S1597" i="16"/>
  <c r="T1597" i="16" s="1"/>
  <c r="U1543" i="16"/>
  <c r="S1543" i="16"/>
  <c r="T1543" i="16" s="1"/>
  <c r="U1327" i="16"/>
  <c r="S1327" i="16"/>
  <c r="T1327" i="16" s="1"/>
  <c r="U1273" i="16"/>
  <c r="S1273" i="16"/>
  <c r="T1273" i="16" s="1"/>
  <c r="U1057" i="16"/>
  <c r="S1057" i="16"/>
  <c r="T1057" i="16" s="1"/>
  <c r="U895" i="16"/>
  <c r="S895" i="16"/>
  <c r="T895" i="16" s="1"/>
  <c r="U841" i="16"/>
  <c r="S841" i="16"/>
  <c r="T841" i="16" s="1"/>
  <c r="U571" i="16"/>
  <c r="S571" i="16"/>
  <c r="T571" i="16" s="1"/>
  <c r="U517" i="16"/>
  <c r="S517" i="16"/>
  <c r="T517" i="16" s="1"/>
  <c r="U355" i="16"/>
  <c r="S355" i="16"/>
  <c r="T355" i="16" s="1"/>
  <c r="U301" i="16"/>
  <c r="S301" i="16"/>
  <c r="T301" i="16" s="1"/>
  <c r="U247" i="16"/>
  <c r="S247" i="16"/>
  <c r="T247" i="16" s="1"/>
  <c r="M4574" i="16"/>
  <c r="N4574" i="16"/>
  <c r="M4520" i="16"/>
  <c r="N4520" i="16"/>
  <c r="M3758" i="16"/>
  <c r="N3758" i="16"/>
  <c r="M3488" i="16"/>
  <c r="N3488" i="16"/>
  <c r="M3434" i="16"/>
  <c r="N3434" i="16"/>
  <c r="M3272" i="16"/>
  <c r="N3272" i="16"/>
  <c r="N3218" i="16"/>
  <c r="M3218" i="16"/>
  <c r="M3164" i="16"/>
  <c r="N3164" i="16"/>
  <c r="M3002" i="16"/>
  <c r="N3002" i="16"/>
  <c r="M2678" i="16"/>
  <c r="N2678" i="16"/>
  <c r="M2624" i="16"/>
  <c r="N2624" i="16"/>
  <c r="M2570" i="16"/>
  <c r="N2570" i="16"/>
  <c r="M2408" i="16"/>
  <c r="N2408" i="16"/>
  <c r="M2300" i="16"/>
  <c r="N2300" i="16"/>
  <c r="N2138" i="16"/>
  <c r="M2138" i="16"/>
  <c r="M1868" i="16"/>
  <c r="N1868" i="16"/>
  <c r="M1814" i="16"/>
  <c r="N1814" i="16"/>
  <c r="M1544" i="16"/>
  <c r="N1544" i="16"/>
  <c r="N1436" i="16"/>
  <c r="M1436" i="16"/>
  <c r="M1382" i="16"/>
  <c r="N1382" i="16"/>
  <c r="N1328" i="16"/>
  <c r="M1328" i="16"/>
  <c r="N1221" i="16"/>
  <c r="M1221" i="16"/>
  <c r="M1058" i="16"/>
  <c r="N1058" i="16"/>
  <c r="M1004" i="16"/>
  <c r="N1004" i="16"/>
  <c r="M842" i="16"/>
  <c r="N842" i="16"/>
  <c r="M788" i="16"/>
  <c r="N788" i="16"/>
  <c r="M572" i="16"/>
  <c r="N572" i="16"/>
  <c r="M356" i="16"/>
  <c r="N356" i="16"/>
  <c r="M86" i="16"/>
  <c r="N86" i="16"/>
  <c r="K4575" i="16"/>
  <c r="F4575" i="16"/>
  <c r="F4521" i="16"/>
  <c r="K4521" i="16"/>
  <c r="F4167" i="16"/>
  <c r="O4167" i="16" s="1"/>
  <c r="K4167" i="16"/>
  <c r="K3759" i="16"/>
  <c r="F3759" i="16"/>
  <c r="O3759" i="16" s="1"/>
  <c r="F3489" i="16"/>
  <c r="O3489" i="16" s="1"/>
  <c r="K3489" i="16"/>
  <c r="F3435" i="16"/>
  <c r="O3435" i="16" s="1"/>
  <c r="K3435" i="16"/>
  <c r="K3165" i="16"/>
  <c r="F3165" i="16"/>
  <c r="O3165" i="16" s="1"/>
  <c r="F3003" i="16"/>
  <c r="O3003" i="16" s="1"/>
  <c r="K3003" i="16"/>
  <c r="F2949" i="16"/>
  <c r="O2949" i="16" s="1"/>
  <c r="K2949" i="16"/>
  <c r="K2787" i="16"/>
  <c r="F2787" i="16"/>
  <c r="O2787" i="16" s="1"/>
  <c r="K2733" i="16"/>
  <c r="F2733" i="16"/>
  <c r="O2733" i="16" s="1"/>
  <c r="F2679" i="16"/>
  <c r="O2679" i="16" s="1"/>
  <c r="K2679" i="16"/>
  <c r="F2517" i="16"/>
  <c r="O2517" i="16" s="1"/>
  <c r="K2517" i="16"/>
  <c r="F2247" i="16"/>
  <c r="O2247" i="16" s="1"/>
  <c r="K2247" i="16"/>
  <c r="F1653" i="16"/>
  <c r="O1653" i="16" s="1"/>
  <c r="K1653" i="16"/>
  <c r="K1437" i="16"/>
  <c r="F1437" i="16"/>
  <c r="O1437" i="16" s="1"/>
  <c r="F1383" i="16"/>
  <c r="O1383" i="16" s="1"/>
  <c r="K1383" i="16"/>
  <c r="K1113" i="16"/>
  <c r="F1113" i="16"/>
  <c r="O1113" i="16" s="1"/>
  <c r="K897" i="16"/>
  <c r="F897" i="16"/>
  <c r="O897" i="16" s="1"/>
  <c r="K843" i="16"/>
  <c r="F843" i="16"/>
  <c r="O843" i="16" s="1"/>
  <c r="F627" i="16"/>
  <c r="O627" i="16" s="1"/>
  <c r="K627" i="16"/>
  <c r="F573" i="16"/>
  <c r="O573" i="16" s="1"/>
  <c r="K573" i="16"/>
  <c r="K303" i="16"/>
  <c r="F303" i="16"/>
  <c r="O303" i="16" s="1"/>
  <c r="H24" i="5"/>
  <c r="D4630" i="16" l="1"/>
  <c r="F4630" i="16"/>
  <c r="O4630" i="16" s="1"/>
  <c r="K3544" i="16"/>
  <c r="F3544" i="16"/>
  <c r="O3544" i="16" s="1"/>
  <c r="F3004" i="16"/>
  <c r="O3004" i="16" s="1"/>
  <c r="K3004" i="16"/>
  <c r="K2140" i="16"/>
  <c r="F2140" i="16"/>
  <c r="O2140" i="16" s="1"/>
  <c r="K1546" i="16"/>
  <c r="F1546" i="16"/>
  <c r="O1546" i="16" s="1"/>
  <c r="K1330" i="16"/>
  <c r="F1330" i="16"/>
  <c r="O1330" i="16" s="1"/>
  <c r="K682" i="16"/>
  <c r="F682" i="16"/>
  <c r="O682" i="16" s="1"/>
  <c r="K466" i="16"/>
  <c r="F466" i="16"/>
  <c r="O466" i="16" s="1"/>
  <c r="U4683" i="16"/>
  <c r="S4683" i="16"/>
  <c r="T4683" i="16" s="1"/>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M4576" i="16"/>
  <c r="D4576" i="16"/>
  <c r="J4576" i="16"/>
  <c r="N4576" i="16" s="1"/>
  <c r="P4576" i="16"/>
  <c r="Q4576" i="16"/>
  <c r="R4576" i="16"/>
  <c r="L4577" i="16"/>
  <c r="C4577" i="16"/>
  <c r="K4577" i="16" s="1"/>
  <c r="E4577" i="16"/>
  <c r="F4577" i="16"/>
  <c r="G4577" i="16"/>
  <c r="I4577" i="16"/>
  <c r="B4578" i="16"/>
  <c r="M4522" i="16"/>
  <c r="D4522" i="16"/>
  <c r="J4522" i="16"/>
  <c r="N4522" i="16" s="1"/>
  <c r="P4522" i="16"/>
  <c r="Q4522" i="16"/>
  <c r="R4522" i="16"/>
  <c r="L4523" i="16"/>
  <c r="C4523" i="16"/>
  <c r="E4523" i="16"/>
  <c r="G4523" i="16"/>
  <c r="I4523" i="16"/>
  <c r="B4524" i="16"/>
  <c r="G4223" i="16"/>
  <c r="L4223" i="16"/>
  <c r="C4223" i="16"/>
  <c r="F4223" i="16" s="1"/>
  <c r="O4223" i="16" s="1"/>
  <c r="E4223" i="16"/>
  <c r="I4223" i="16"/>
  <c r="K4223" i="16"/>
  <c r="B4224" i="16"/>
  <c r="D4222" i="16"/>
  <c r="J4222" i="16"/>
  <c r="P4222" i="16"/>
  <c r="Q4222" i="16"/>
  <c r="R4222" i="16"/>
  <c r="U4221" i="16"/>
  <c r="S4221" i="16"/>
  <c r="T4221" i="16" s="1"/>
  <c r="P4168" i="16"/>
  <c r="Q4168" i="16"/>
  <c r="R4168" i="16"/>
  <c r="D4168" i="16"/>
  <c r="J4168" i="16"/>
  <c r="N4168" i="16" s="1"/>
  <c r="M4168" i="16"/>
  <c r="E4169" i="16"/>
  <c r="G4169" i="16"/>
  <c r="L4169" i="16"/>
  <c r="B4170" i="16"/>
  <c r="C4169" i="16"/>
  <c r="F4169" i="16" s="1"/>
  <c r="O4169" i="16" s="1"/>
  <c r="I4169" i="16"/>
  <c r="K4169" i="16"/>
  <c r="P4114" i="16"/>
  <c r="Q4114" i="16"/>
  <c r="R4114" i="16"/>
  <c r="L4115" i="16"/>
  <c r="B4116" i="16"/>
  <c r="C4115" i="16"/>
  <c r="F4115" i="16" s="1"/>
  <c r="O4115" i="16" s="1"/>
  <c r="E4115" i="16"/>
  <c r="G4115" i="16"/>
  <c r="I4115" i="16"/>
  <c r="K4115" i="16"/>
  <c r="J4114" i="16"/>
  <c r="D4114" i="16"/>
  <c r="U4113" i="16"/>
  <c r="S4113" i="16"/>
  <c r="T4113" i="16" s="1"/>
  <c r="U4059" i="16"/>
  <c r="S4059" i="16"/>
  <c r="T4059" i="16" s="1"/>
  <c r="M4060" i="16"/>
  <c r="D4060" i="16"/>
  <c r="J4060" i="16"/>
  <c r="N4060" i="16" s="1"/>
  <c r="P4060" i="16"/>
  <c r="Q4060" i="16"/>
  <c r="R4060" i="16"/>
  <c r="L4061" i="16"/>
  <c r="C4061" i="16"/>
  <c r="K4061" i="16" s="1"/>
  <c r="E4061" i="16"/>
  <c r="F4061" i="16"/>
  <c r="O4061" i="16" s="1"/>
  <c r="G4061" i="16"/>
  <c r="I4061" i="16"/>
  <c r="B4062" i="16"/>
  <c r="M3760" i="16"/>
  <c r="D3760" i="16"/>
  <c r="J3760" i="16"/>
  <c r="N3760" i="16" s="1"/>
  <c r="P3760" i="16"/>
  <c r="Q3760" i="16"/>
  <c r="R3760" i="16"/>
  <c r="L3761" i="16"/>
  <c r="C3761" i="16"/>
  <c r="E3761" i="16"/>
  <c r="G3761" i="16"/>
  <c r="I3761" i="16"/>
  <c r="B3762" i="16"/>
  <c r="U3705" i="16"/>
  <c r="S3705" i="16"/>
  <c r="T3705" i="16" s="1"/>
  <c r="M3706" i="16"/>
  <c r="D3706" i="16"/>
  <c r="J3706" i="16"/>
  <c r="N3706" i="16" s="1"/>
  <c r="P3706" i="16"/>
  <c r="Q3706" i="16"/>
  <c r="R3706" i="16"/>
  <c r="L3707" i="16"/>
  <c r="C3707" i="16"/>
  <c r="K3707" i="16" s="1"/>
  <c r="E3707" i="16"/>
  <c r="F3707" i="16"/>
  <c r="O3707" i="16" s="1"/>
  <c r="G3707" i="16"/>
  <c r="B3708" i="16"/>
  <c r="I3707" i="16"/>
  <c r="U3651" i="16"/>
  <c r="S3651" i="16"/>
  <c r="T3651" i="16" s="1"/>
  <c r="M3652" i="16"/>
  <c r="D3652" i="16"/>
  <c r="J3652" i="16"/>
  <c r="N3652" i="16" s="1"/>
  <c r="P3652" i="16"/>
  <c r="Q3652" i="16"/>
  <c r="R3652" i="16"/>
  <c r="L3653" i="16"/>
  <c r="C3653" i="16"/>
  <c r="E3653" i="16"/>
  <c r="G3653" i="16"/>
  <c r="I3653" i="16"/>
  <c r="B3654" i="16"/>
  <c r="U3597" i="16"/>
  <c r="S3597" i="16"/>
  <c r="T3597" i="16" s="1"/>
  <c r="D3598" i="16"/>
  <c r="J3598" i="16"/>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L3491" i="16"/>
  <c r="C3491" i="16"/>
  <c r="E3491" i="16"/>
  <c r="G3491" i="16"/>
  <c r="I3491" i="16"/>
  <c r="B3492" i="16"/>
  <c r="D3490" i="16"/>
  <c r="J3490" i="16"/>
  <c r="P3490" i="16"/>
  <c r="Q3490" i="16"/>
  <c r="R3490" i="16"/>
  <c r="L3437" i="16"/>
  <c r="E3437" i="16"/>
  <c r="G3437" i="16"/>
  <c r="I3437" i="16"/>
  <c r="B3438" i="16"/>
  <c r="C3437" i="16"/>
  <c r="D3436" i="16"/>
  <c r="J3436" i="16"/>
  <c r="P3436" i="16"/>
  <c r="Q3436" i="16"/>
  <c r="R3436" i="16"/>
  <c r="U3381" i="16"/>
  <c r="S3381" i="16"/>
  <c r="T3381" i="16" s="1"/>
  <c r="M3382" i="16"/>
  <c r="D3382" i="16"/>
  <c r="J3382" i="16"/>
  <c r="N3382" i="16" s="1"/>
  <c r="P3382" i="16"/>
  <c r="Q3382" i="16"/>
  <c r="R3382" i="16"/>
  <c r="L3383" i="16"/>
  <c r="C3383" i="16"/>
  <c r="E3383" i="16"/>
  <c r="G3383" i="16"/>
  <c r="I3383" i="16"/>
  <c r="B3384" i="16"/>
  <c r="U3327" i="16"/>
  <c r="S3327" i="16"/>
  <c r="T3327" i="16" s="1"/>
  <c r="D3328" i="16"/>
  <c r="J3328" i="16"/>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K3275" i="16" s="1"/>
  <c r="E3275" i="16"/>
  <c r="F3275" i="16"/>
  <c r="O3275" i="16" s="1"/>
  <c r="G3275" i="16"/>
  <c r="I3275" i="16"/>
  <c r="B3276" i="16"/>
  <c r="U3219" i="16"/>
  <c r="S3219" i="16"/>
  <c r="T3219" i="16" s="1"/>
  <c r="P3220" i="16"/>
  <c r="Q3220" i="16"/>
  <c r="R3220" i="16"/>
  <c r="D3220" i="16"/>
  <c r="J3220" i="16"/>
  <c r="L3221" i="16"/>
  <c r="I3221" i="16"/>
  <c r="C3221" i="16"/>
  <c r="E3221" i="16"/>
  <c r="G3221" i="16"/>
  <c r="B3222" i="16"/>
  <c r="M3166" i="16"/>
  <c r="J3166" i="16"/>
  <c r="N3166" i="16" s="1"/>
  <c r="D3166" i="16"/>
  <c r="P3166" i="16"/>
  <c r="Q3166" i="16"/>
  <c r="R3166" i="16"/>
  <c r="L3167" i="16"/>
  <c r="C3167" i="16"/>
  <c r="K3167" i="16" s="1"/>
  <c r="E3167" i="16"/>
  <c r="B3168" i="16"/>
  <c r="I3167" i="16"/>
  <c r="G3167" i="16"/>
  <c r="F3167" i="16"/>
  <c r="O3167" i="16" s="1"/>
  <c r="U3111" i="16"/>
  <c r="S3111" i="16"/>
  <c r="T3111" i="16" s="1"/>
  <c r="M3112" i="16"/>
  <c r="L3113" i="16"/>
  <c r="G3113" i="16"/>
  <c r="I3113" i="16"/>
  <c r="B3114" i="16"/>
  <c r="E3113" i="16"/>
  <c r="C3113" i="16"/>
  <c r="K3113" i="16" s="1"/>
  <c r="F3113" i="16"/>
  <c r="O3113" i="16" s="1"/>
  <c r="D3112" i="16"/>
  <c r="J3112" i="16"/>
  <c r="N3112" i="16" s="1"/>
  <c r="P3112" i="16"/>
  <c r="Q3112" i="16"/>
  <c r="R3112" i="16"/>
  <c r="U3057" i="16"/>
  <c r="S3057" i="16"/>
  <c r="T3057" i="16" s="1"/>
  <c r="M3058" i="16"/>
  <c r="D3058" i="16"/>
  <c r="J3058" i="16"/>
  <c r="N3058" i="16" s="1"/>
  <c r="L3059" i="16"/>
  <c r="E3059" i="16"/>
  <c r="G3059" i="16"/>
  <c r="I3059" i="16"/>
  <c r="C3059" i="16"/>
  <c r="B3060" i="16"/>
  <c r="P3058" i="16"/>
  <c r="Q3058" i="16"/>
  <c r="R3058" i="16"/>
  <c r="M3004" i="16"/>
  <c r="L3005" i="16"/>
  <c r="G3005" i="16"/>
  <c r="E3005" i="16"/>
  <c r="C3005" i="16"/>
  <c r="B3006" i="16"/>
  <c r="I3005" i="16"/>
  <c r="D3004" i="16"/>
  <c r="J3004" i="16"/>
  <c r="N3004" i="16" s="1"/>
  <c r="P3004" i="16"/>
  <c r="Q3004" i="16"/>
  <c r="R3004" i="16"/>
  <c r="M2950" i="16"/>
  <c r="D2950" i="16"/>
  <c r="J2950" i="16"/>
  <c r="N2950" i="16" s="1"/>
  <c r="P2950" i="16"/>
  <c r="Q2950" i="16"/>
  <c r="R2950" i="16"/>
  <c r="L2951" i="16"/>
  <c r="C2951" i="16"/>
  <c r="K2951" i="16" s="1"/>
  <c r="E2951" i="16"/>
  <c r="F2951" i="16"/>
  <c r="O2951" i="16" s="1"/>
  <c r="G2951" i="16"/>
  <c r="I2951" i="16"/>
  <c r="B2952" i="16"/>
  <c r="U2895" i="16"/>
  <c r="S2895" i="16"/>
  <c r="T2895" i="16" s="1"/>
  <c r="M2896" i="16"/>
  <c r="D2896" i="16"/>
  <c r="J2896" i="16"/>
  <c r="N2896" i="16" s="1"/>
  <c r="P2896" i="16"/>
  <c r="Q2896" i="16"/>
  <c r="R2896" i="16"/>
  <c r="L2897" i="16"/>
  <c r="C2897" i="16"/>
  <c r="E2897" i="16"/>
  <c r="G2897" i="16"/>
  <c r="I2897" i="16"/>
  <c r="B2898" i="16"/>
  <c r="U2841" i="16"/>
  <c r="S2841" i="16"/>
  <c r="T2841" i="16" s="1"/>
  <c r="D2842" i="16"/>
  <c r="J2842" i="16"/>
  <c r="P2842" i="16"/>
  <c r="Q2842" i="16"/>
  <c r="R2842" i="16"/>
  <c r="L2843" i="16"/>
  <c r="C2843" i="16"/>
  <c r="K2843" i="16" s="1"/>
  <c r="E2843" i="16"/>
  <c r="F2843" i="16"/>
  <c r="O2843" i="16" s="1"/>
  <c r="G2843" i="16"/>
  <c r="I2843" i="16"/>
  <c r="B2844" i="16"/>
  <c r="D2788" i="16"/>
  <c r="J2788" i="16"/>
  <c r="P2788" i="16"/>
  <c r="Q2788" i="16"/>
  <c r="R2788" i="16"/>
  <c r="L2789" i="16"/>
  <c r="C2789" i="16"/>
  <c r="E2789" i="16"/>
  <c r="G2789" i="16"/>
  <c r="I2789" i="16"/>
  <c r="B2790" i="16"/>
  <c r="M2734" i="16"/>
  <c r="D2734" i="16"/>
  <c r="J2734" i="16"/>
  <c r="N2734" i="16" s="1"/>
  <c r="P2734" i="16"/>
  <c r="Q2734" i="16"/>
  <c r="R2734" i="16"/>
  <c r="L2735" i="16"/>
  <c r="C2735" i="16"/>
  <c r="K2735" i="16" s="1"/>
  <c r="E2735" i="16"/>
  <c r="F2735" i="16"/>
  <c r="O2735" i="16" s="1"/>
  <c r="G2735" i="16"/>
  <c r="I2735" i="16"/>
  <c r="B2736" i="16"/>
  <c r="M2680" i="16"/>
  <c r="D2680" i="16"/>
  <c r="J2680" i="16"/>
  <c r="N2680" i="16" s="1"/>
  <c r="P2680" i="16"/>
  <c r="Q2680" i="16"/>
  <c r="R2680" i="16"/>
  <c r="L2681" i="16"/>
  <c r="C2681" i="16"/>
  <c r="K2681" i="16" s="1"/>
  <c r="E2681" i="16"/>
  <c r="F2681" i="16"/>
  <c r="O2681" i="16" s="1"/>
  <c r="G2681" i="16"/>
  <c r="I2681" i="16"/>
  <c r="B2682" i="16"/>
  <c r="U2625" i="16"/>
  <c r="S2625" i="16"/>
  <c r="T2625" i="16" s="1"/>
  <c r="M2626" i="16"/>
  <c r="D2626" i="16"/>
  <c r="J2626" i="16"/>
  <c r="N2626" i="16" s="1"/>
  <c r="P2626" i="16"/>
  <c r="Q2626" i="16"/>
  <c r="R2626" i="16"/>
  <c r="L2627" i="16"/>
  <c r="C2627" i="16"/>
  <c r="K2627" i="16" s="1"/>
  <c r="E2627" i="16"/>
  <c r="F2627" i="16"/>
  <c r="O2627" i="16" s="1"/>
  <c r="G2627" i="16"/>
  <c r="I2627" i="16"/>
  <c r="B2628" i="16"/>
  <c r="U2571" i="16"/>
  <c r="S2571" i="16"/>
  <c r="T2571" i="16" s="1"/>
  <c r="D2572" i="16"/>
  <c r="J2572" i="16"/>
  <c r="P2572" i="16"/>
  <c r="Q2572" i="16"/>
  <c r="R2572" i="16"/>
  <c r="L2573" i="16"/>
  <c r="C2573" i="16"/>
  <c r="E2573" i="16"/>
  <c r="G2573" i="16"/>
  <c r="I2573" i="16"/>
  <c r="B2574" i="16"/>
  <c r="M2518" i="16"/>
  <c r="D2518" i="16"/>
  <c r="J2518" i="16"/>
  <c r="N2518" i="16" s="1"/>
  <c r="Q2518" i="16"/>
  <c r="R2518" i="16"/>
  <c r="P2518" i="16"/>
  <c r="L2519" i="16"/>
  <c r="C2519" i="16"/>
  <c r="E2519" i="16"/>
  <c r="G2519" i="16"/>
  <c r="I2519" i="16"/>
  <c r="B2520" i="16"/>
  <c r="U2463" i="16"/>
  <c r="S2463" i="16"/>
  <c r="T2463" i="16" s="1"/>
  <c r="M2464" i="16"/>
  <c r="D2464" i="16"/>
  <c r="J2464" i="16"/>
  <c r="N2464" i="16" s="1"/>
  <c r="Q2464" i="16"/>
  <c r="R2464" i="16"/>
  <c r="P2464" i="16"/>
  <c r="L2465" i="16"/>
  <c r="C2465" i="16"/>
  <c r="E2465" i="16"/>
  <c r="G2465" i="16"/>
  <c r="I2465" i="16"/>
  <c r="B2466" i="16"/>
  <c r="U2409" i="16"/>
  <c r="S2409" i="16"/>
  <c r="T2409" i="16" s="1"/>
  <c r="M2410" i="16"/>
  <c r="D2410" i="16"/>
  <c r="J2410" i="16"/>
  <c r="N2410" i="16" s="1"/>
  <c r="Q2410" i="16"/>
  <c r="P2410" i="16"/>
  <c r="R2410" i="16"/>
  <c r="L2411" i="16"/>
  <c r="C2411" i="16"/>
  <c r="E2411" i="16"/>
  <c r="G2411" i="16"/>
  <c r="I2411" i="16"/>
  <c r="B2412" i="16"/>
  <c r="U2355" i="16"/>
  <c r="S2355" i="16"/>
  <c r="T2355" i="16" s="1"/>
  <c r="M2356" i="16"/>
  <c r="D2356" i="16"/>
  <c r="J2356" i="16"/>
  <c r="N2356" i="16" s="1"/>
  <c r="Q2356" i="16"/>
  <c r="P2356" i="16"/>
  <c r="R2356" i="16"/>
  <c r="L2357" i="16"/>
  <c r="C2357" i="16"/>
  <c r="K2357" i="16" s="1"/>
  <c r="E2357" i="16"/>
  <c r="F2357" i="16"/>
  <c r="O2357" i="16" s="1"/>
  <c r="G2357" i="16"/>
  <c r="I2357" i="16"/>
  <c r="B2358" i="16"/>
  <c r="U2301" i="16"/>
  <c r="S2301" i="16"/>
  <c r="T2301" i="16" s="1"/>
  <c r="M2302" i="16"/>
  <c r="D2302" i="16"/>
  <c r="J2302" i="16"/>
  <c r="N2302" i="16" s="1"/>
  <c r="P2302" i="16"/>
  <c r="Q2302" i="16"/>
  <c r="R2302" i="16"/>
  <c r="L2303" i="16"/>
  <c r="C2303" i="16"/>
  <c r="K2303" i="16" s="1"/>
  <c r="E2303" i="16"/>
  <c r="F2303" i="16"/>
  <c r="O2303" i="16" s="1"/>
  <c r="G2303" i="16"/>
  <c r="I2303" i="16"/>
  <c r="B2304" i="16"/>
  <c r="D2248" i="16"/>
  <c r="J2248" i="16"/>
  <c r="P2248" i="16"/>
  <c r="Q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E2195" i="16"/>
  <c r="G2195" i="16"/>
  <c r="I2195" i="16"/>
  <c r="B2196" i="16"/>
  <c r="U2139" i="16"/>
  <c r="S2139" i="16"/>
  <c r="T2139" i="16" s="1"/>
  <c r="M2140" i="16"/>
  <c r="D2140" i="16"/>
  <c r="J2140" i="16"/>
  <c r="N2140" i="16" s="1"/>
  <c r="P2140" i="16"/>
  <c r="Q2140" i="16"/>
  <c r="R2140" i="16"/>
  <c r="L2141" i="16"/>
  <c r="G2141" i="16"/>
  <c r="C2141" i="16"/>
  <c r="E2141" i="16"/>
  <c r="B2142" i="16"/>
  <c r="I2141" i="16"/>
  <c r="U2085" i="16"/>
  <c r="S2085" i="16"/>
  <c r="T2085" i="16" s="1"/>
  <c r="M2086" i="16"/>
  <c r="D2086" i="16"/>
  <c r="J2086" i="16"/>
  <c r="N2086" i="16" s="1"/>
  <c r="P2086" i="16"/>
  <c r="Q2086" i="16"/>
  <c r="R2086" i="16"/>
  <c r="L2087" i="16"/>
  <c r="C2087" i="16"/>
  <c r="K2087" i="16" s="1"/>
  <c r="E2087" i="16"/>
  <c r="F2087" i="16"/>
  <c r="O2087" i="16" s="1"/>
  <c r="G2087" i="16"/>
  <c r="I2087" i="16"/>
  <c r="B2088" i="16"/>
  <c r="U2031" i="16"/>
  <c r="S2031" i="16"/>
  <c r="T2031" i="16" s="1"/>
  <c r="D2032" i="16"/>
  <c r="J2032" i="16"/>
  <c r="P2032" i="16"/>
  <c r="Q2032" i="16"/>
  <c r="R2032" i="16"/>
  <c r="L2033" i="16"/>
  <c r="C2033" i="16"/>
  <c r="K2033" i="16" s="1"/>
  <c r="E2033" i="16"/>
  <c r="F2033" i="16"/>
  <c r="O2033" i="16" s="1"/>
  <c r="G2033" i="16"/>
  <c r="I2033" i="16"/>
  <c r="B2034" i="16"/>
  <c r="U1977" i="16"/>
  <c r="S1977" i="16"/>
  <c r="T1977" i="16" s="1"/>
  <c r="D1978" i="16"/>
  <c r="J1978" i="16"/>
  <c r="P1978" i="16"/>
  <c r="Q1978" i="16"/>
  <c r="R1978" i="16"/>
  <c r="L1979" i="16"/>
  <c r="C1979" i="16"/>
  <c r="E1979" i="16"/>
  <c r="G1979" i="16"/>
  <c r="I1979" i="16"/>
  <c r="B1980" i="16"/>
  <c r="U1923" i="16"/>
  <c r="S1923" i="16"/>
  <c r="T1923" i="16" s="1"/>
  <c r="M1924" i="16"/>
  <c r="D1924" i="16"/>
  <c r="J1924" i="16"/>
  <c r="N1924" i="16" s="1"/>
  <c r="P1924" i="16"/>
  <c r="Q1924" i="16"/>
  <c r="R1924" i="16"/>
  <c r="L1925" i="16"/>
  <c r="C1925" i="16"/>
  <c r="E1925" i="16"/>
  <c r="G1925" i="16"/>
  <c r="I1925" i="16"/>
  <c r="B1926" i="16"/>
  <c r="U1869" i="16"/>
  <c r="S1869" i="16"/>
  <c r="T1869" i="16" s="1"/>
  <c r="M1870" i="16"/>
  <c r="D1870" i="16"/>
  <c r="J1870" i="16"/>
  <c r="N1870" i="16" s="1"/>
  <c r="P1870" i="16"/>
  <c r="Q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U1707" i="16"/>
  <c r="S1707" i="16"/>
  <c r="T1707" i="16" s="1"/>
  <c r="D1708" i="16"/>
  <c r="J1708" i="16"/>
  <c r="P1708" i="16"/>
  <c r="Q1708" i="16"/>
  <c r="R1708" i="16"/>
  <c r="L1709" i="16"/>
  <c r="C1709" i="16"/>
  <c r="K1709" i="16" s="1"/>
  <c r="E1709" i="16"/>
  <c r="F1709" i="16"/>
  <c r="O1709" i="16" s="1"/>
  <c r="G1709" i="16"/>
  <c r="I1709" i="16"/>
  <c r="B1710" i="16"/>
  <c r="M1654" i="16"/>
  <c r="D1654" i="16"/>
  <c r="J1654" i="16"/>
  <c r="N1654" i="16" s="1"/>
  <c r="P1654" i="16"/>
  <c r="Q1654" i="16"/>
  <c r="R1654" i="16"/>
  <c r="L1655" i="16"/>
  <c r="C1655" i="16"/>
  <c r="E1655" i="16"/>
  <c r="G1655" i="16"/>
  <c r="I1655" i="16"/>
  <c r="B1656" i="16"/>
  <c r="U1599" i="16"/>
  <c r="S1599" i="16"/>
  <c r="T1599" i="16" s="1"/>
  <c r="M1600" i="16"/>
  <c r="D1600" i="16"/>
  <c r="J1600" i="16"/>
  <c r="N1600" i="16" s="1"/>
  <c r="P1600" i="16"/>
  <c r="Q1600" i="16"/>
  <c r="R1600" i="16"/>
  <c r="L1601" i="16"/>
  <c r="C1601" i="16"/>
  <c r="K1601" i="16" s="1"/>
  <c r="E1601" i="16"/>
  <c r="F1601" i="16"/>
  <c r="O1601" i="16" s="1"/>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U1491" i="16"/>
  <c r="S1491" i="16"/>
  <c r="T1491" i="16" s="1"/>
  <c r="D1492" i="16"/>
  <c r="J1492" i="16"/>
  <c r="P1492" i="16"/>
  <c r="Q1492" i="16"/>
  <c r="R1492" i="16"/>
  <c r="L1493" i="16"/>
  <c r="E1493" i="16"/>
  <c r="I1493" i="16"/>
  <c r="C1493" i="16"/>
  <c r="G1493" i="16"/>
  <c r="B1494" i="16"/>
  <c r="P1438" i="16"/>
  <c r="Q1438" i="16"/>
  <c r="R1438" i="16"/>
  <c r="J1438" i="16"/>
  <c r="D1438" i="16"/>
  <c r="L1439" i="16"/>
  <c r="G1439" i="16"/>
  <c r="C1439" i="16"/>
  <c r="E1439" i="16"/>
  <c r="B1440" i="16"/>
  <c r="I1439" i="16"/>
  <c r="M1384" i="16"/>
  <c r="L1385" i="16"/>
  <c r="C1385" i="16"/>
  <c r="G1385" i="16"/>
  <c r="I1385" i="16"/>
  <c r="B1386" i="16"/>
  <c r="E1385" i="16"/>
  <c r="P1384" i="16"/>
  <c r="Q1384" i="16"/>
  <c r="R1384" i="16"/>
  <c r="D1384" i="16"/>
  <c r="J1384" i="16"/>
  <c r="N1384" i="16" s="1"/>
  <c r="U1329" i="16"/>
  <c r="S1329" i="16"/>
  <c r="T1329" i="16" s="1"/>
  <c r="M1330" i="16"/>
  <c r="P1330" i="16"/>
  <c r="Q1330" i="16"/>
  <c r="R1330" i="16"/>
  <c r="L1331" i="16"/>
  <c r="G1331" i="16"/>
  <c r="C1331" i="16"/>
  <c r="E1331" i="16"/>
  <c r="I1331" i="16"/>
  <c r="B1332" i="16"/>
  <c r="J1330" i="16"/>
  <c r="N1330" i="16" s="1"/>
  <c r="D1330" i="16"/>
  <c r="U1275" i="16"/>
  <c r="S1275" i="16"/>
  <c r="T1275" i="16" s="1"/>
  <c r="L1277" i="16"/>
  <c r="C1277" i="16"/>
  <c r="K1277" i="16" s="1"/>
  <c r="F1277" i="16"/>
  <c r="O1277" i="16" s="1"/>
  <c r="B1278" i="16"/>
  <c r="E1277" i="16"/>
  <c r="G1277" i="16"/>
  <c r="I1277" i="16"/>
  <c r="D1276" i="16"/>
  <c r="J1276" i="16"/>
  <c r="P1276" i="16"/>
  <c r="Q1276" i="16"/>
  <c r="R1276" i="16"/>
  <c r="U1222" i="16"/>
  <c r="S1222" i="16"/>
  <c r="T1222" i="16" s="1"/>
  <c r="M1223" i="16"/>
  <c r="P1223" i="16"/>
  <c r="Q1223" i="16"/>
  <c r="R1223" i="16"/>
  <c r="L1224" i="16"/>
  <c r="E1224" i="16"/>
  <c r="B1225" i="16"/>
  <c r="I1224" i="16"/>
  <c r="C1224" i="16"/>
  <c r="G1224" i="16"/>
  <c r="J1223" i="16"/>
  <c r="N1223" i="16" s="1"/>
  <c r="D1223" i="16"/>
  <c r="U1167" i="16"/>
  <c r="S1167" i="16"/>
  <c r="T1167" i="16" s="1"/>
  <c r="D1168" i="16"/>
  <c r="J1168" i="16"/>
  <c r="P1168" i="16"/>
  <c r="Q1168" i="16"/>
  <c r="R1168" i="16"/>
  <c r="L1169" i="16"/>
  <c r="C1169" i="16"/>
  <c r="E1169" i="16"/>
  <c r="G1169" i="16"/>
  <c r="I1169" i="16"/>
  <c r="B1170" i="16"/>
  <c r="M1114" i="16"/>
  <c r="D1114" i="16"/>
  <c r="J1114" i="16"/>
  <c r="N1114" i="16" s="1"/>
  <c r="P1114" i="16"/>
  <c r="Q1114" i="16"/>
  <c r="R1114" i="16"/>
  <c r="L1115" i="16"/>
  <c r="C1115" i="16"/>
  <c r="E1115" i="16"/>
  <c r="G1115" i="16"/>
  <c r="I1115" i="16"/>
  <c r="B1116" i="16"/>
  <c r="U1059" i="16"/>
  <c r="S1059" i="16"/>
  <c r="T1059" i="16" s="1"/>
  <c r="M1060" i="16"/>
  <c r="D1060" i="16"/>
  <c r="J1060" i="16"/>
  <c r="N1060" i="16" s="1"/>
  <c r="P1060" i="16"/>
  <c r="Q1060" i="16"/>
  <c r="R1060" i="16"/>
  <c r="L1061" i="16"/>
  <c r="C1061" i="16"/>
  <c r="K1061" i="16" s="1"/>
  <c r="E1061" i="16"/>
  <c r="F1061" i="16"/>
  <c r="O1061" i="16" s="1"/>
  <c r="G1061" i="16"/>
  <c r="I1061" i="16"/>
  <c r="B1062" i="16"/>
  <c r="U1005" i="16"/>
  <c r="S1005" i="16"/>
  <c r="T1005" i="16" s="1"/>
  <c r="M1006" i="16"/>
  <c r="P1006" i="16"/>
  <c r="Q1006" i="16"/>
  <c r="R1006" i="16"/>
  <c r="L1007" i="16"/>
  <c r="E1007" i="16"/>
  <c r="G1007" i="16"/>
  <c r="I1007" i="16"/>
  <c r="B1008" i="16"/>
  <c r="C1007" i="16"/>
  <c r="K1007" i="16" s="1"/>
  <c r="F1007" i="16"/>
  <c r="O1007" i="16" s="1"/>
  <c r="D1006" i="16"/>
  <c r="J1006" i="16"/>
  <c r="N1006" i="16" s="1"/>
  <c r="U951" i="16"/>
  <c r="S951" i="16"/>
  <c r="T951" i="16" s="1"/>
  <c r="M952" i="16"/>
  <c r="D952" i="16"/>
  <c r="J952" i="16"/>
  <c r="N952" i="16" s="1"/>
  <c r="P952" i="16"/>
  <c r="Q952" i="16"/>
  <c r="R952" i="16"/>
  <c r="L953" i="16"/>
  <c r="C953" i="16"/>
  <c r="K953" i="16" s="1"/>
  <c r="E953" i="16"/>
  <c r="F953" i="16"/>
  <c r="O953" i="16" s="1"/>
  <c r="G953" i="16"/>
  <c r="I953" i="16"/>
  <c r="B954" i="16"/>
  <c r="D898" i="16"/>
  <c r="J898" i="16"/>
  <c r="Q898" i="16"/>
  <c r="P898" i="16"/>
  <c r="R898" i="16"/>
  <c r="L899" i="16"/>
  <c r="C899" i="16"/>
  <c r="K899" i="16" s="1"/>
  <c r="E899" i="16"/>
  <c r="F899" i="16"/>
  <c r="O899" i="16" s="1"/>
  <c r="G899" i="16"/>
  <c r="I899" i="16"/>
  <c r="B900" i="16"/>
  <c r="M844" i="16"/>
  <c r="D844" i="16"/>
  <c r="J844" i="16"/>
  <c r="N844" i="16" s="1"/>
  <c r="P844" i="16"/>
  <c r="Q844" i="16"/>
  <c r="R844" i="16"/>
  <c r="L845" i="16"/>
  <c r="C845" i="16"/>
  <c r="E845" i="16"/>
  <c r="G845" i="16"/>
  <c r="I845" i="16"/>
  <c r="B846" i="16"/>
  <c r="U789" i="16"/>
  <c r="S789" i="16"/>
  <c r="T789" i="16" s="1"/>
  <c r="M790" i="16"/>
  <c r="D790" i="16"/>
  <c r="J790" i="16"/>
  <c r="N790" i="16" s="1"/>
  <c r="Q790" i="16"/>
  <c r="P790" i="16"/>
  <c r="R790" i="16"/>
  <c r="L791" i="16"/>
  <c r="C791" i="16"/>
  <c r="K791" i="16" s="1"/>
  <c r="E791" i="16"/>
  <c r="F791" i="16"/>
  <c r="O791" i="16" s="1"/>
  <c r="G791" i="16"/>
  <c r="I791" i="16"/>
  <c r="B792" i="16"/>
  <c r="U735" i="16"/>
  <c r="S735" i="16"/>
  <c r="T735" i="16" s="1"/>
  <c r="M736" i="16"/>
  <c r="D736" i="16"/>
  <c r="J736" i="16"/>
  <c r="N736" i="16" s="1"/>
  <c r="Q736" i="16"/>
  <c r="P736" i="16"/>
  <c r="R736" i="16"/>
  <c r="L737" i="16"/>
  <c r="C737" i="16"/>
  <c r="K737" i="16" s="1"/>
  <c r="E737" i="16"/>
  <c r="F737" i="16"/>
  <c r="O737" i="16" s="1"/>
  <c r="G737" i="16"/>
  <c r="I737" i="16"/>
  <c r="B738" i="16"/>
  <c r="U681" i="16"/>
  <c r="S681" i="16"/>
  <c r="T681" i="16" s="1"/>
  <c r="M682" i="16"/>
  <c r="D682" i="16"/>
  <c r="J682" i="16"/>
  <c r="N682" i="16" s="1"/>
  <c r="Q682" i="16"/>
  <c r="P682" i="16"/>
  <c r="R682" i="16"/>
  <c r="L683" i="16"/>
  <c r="C683" i="16"/>
  <c r="K683" i="16" s="1"/>
  <c r="E683" i="16"/>
  <c r="F683" i="16"/>
  <c r="O683" i="16" s="1"/>
  <c r="G683" i="16"/>
  <c r="I683" i="16"/>
  <c r="B684" i="16"/>
  <c r="D628" i="16"/>
  <c r="J628" i="16"/>
  <c r="Q628" i="16"/>
  <c r="P628" i="16"/>
  <c r="R628" i="16"/>
  <c r="L629" i="16"/>
  <c r="C629" i="16"/>
  <c r="K629" i="16" s="1"/>
  <c r="E629" i="16"/>
  <c r="F629" i="16"/>
  <c r="O629" i="16" s="1"/>
  <c r="G629" i="16"/>
  <c r="I629" i="16"/>
  <c r="B630" i="16"/>
  <c r="M574" i="16"/>
  <c r="D574" i="16"/>
  <c r="J574" i="16"/>
  <c r="N574" i="16" s="1"/>
  <c r="P574" i="16"/>
  <c r="Q574" i="16"/>
  <c r="R574" i="16"/>
  <c r="L575" i="16"/>
  <c r="C575" i="16"/>
  <c r="K575" i="16" s="1"/>
  <c r="E575" i="16"/>
  <c r="F575" i="16"/>
  <c r="O575" i="16" s="1"/>
  <c r="G575" i="16"/>
  <c r="I575" i="16"/>
  <c r="B576" i="16"/>
  <c r="U519" i="16"/>
  <c r="S519" i="16"/>
  <c r="T519" i="16" s="1"/>
  <c r="M520" i="16"/>
  <c r="D520" i="16"/>
  <c r="J520" i="16"/>
  <c r="N520" i="16" s="1"/>
  <c r="P520" i="16"/>
  <c r="Q520" i="16"/>
  <c r="R520" i="16"/>
  <c r="L521" i="16"/>
  <c r="C521" i="16"/>
  <c r="E521" i="16"/>
  <c r="G521" i="16"/>
  <c r="I521" i="16"/>
  <c r="B522" i="16"/>
  <c r="U465" i="16"/>
  <c r="S465" i="16"/>
  <c r="T465" i="16" s="1"/>
  <c r="M466" i="16"/>
  <c r="D466" i="16"/>
  <c r="J466" i="16"/>
  <c r="N466" i="16" s="1"/>
  <c r="Q466" i="16"/>
  <c r="P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U357" i="16"/>
  <c r="S357" i="16"/>
  <c r="T357" i="16" s="1"/>
  <c r="M358" i="16"/>
  <c r="D358" i="16"/>
  <c r="J358" i="16"/>
  <c r="N358" i="16" s="1"/>
  <c r="P358" i="16"/>
  <c r="Q358" i="16"/>
  <c r="R358" i="16"/>
  <c r="L359" i="16"/>
  <c r="C359" i="16"/>
  <c r="K359" i="16" s="1"/>
  <c r="E359" i="16"/>
  <c r="F359" i="16"/>
  <c r="O359" i="16" s="1"/>
  <c r="G359" i="16"/>
  <c r="I359" i="16"/>
  <c r="B360" i="16"/>
  <c r="M304" i="16"/>
  <c r="D304" i="16"/>
  <c r="J304" i="16"/>
  <c r="N304" i="16" s="1"/>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U141" i="16"/>
  <c r="S141" i="16"/>
  <c r="T141" i="16" s="1"/>
  <c r="M142" i="16"/>
  <c r="D142" i="16"/>
  <c r="J142" i="16"/>
  <c r="N142" i="16" s="1"/>
  <c r="P142" i="16"/>
  <c r="Q142" i="16"/>
  <c r="R142" i="16"/>
  <c r="L143" i="16"/>
  <c r="C143" i="16"/>
  <c r="E143" i="16"/>
  <c r="G143" i="16"/>
  <c r="I143" i="16"/>
  <c r="B144" i="16"/>
  <c r="U87" i="16"/>
  <c r="S87" i="16"/>
  <c r="T87" i="16" s="1"/>
  <c r="D88" i="16"/>
  <c r="J88" i="16"/>
  <c r="P88" i="16"/>
  <c r="Q88" i="16"/>
  <c r="R88" i="16"/>
  <c r="L89" i="16"/>
  <c r="C89" i="16"/>
  <c r="K89" i="16" s="1"/>
  <c r="E89" i="16"/>
  <c r="F89" i="16"/>
  <c r="O89" i="16" s="1"/>
  <c r="G89" i="16"/>
  <c r="I89" i="16"/>
  <c r="B90" i="16"/>
  <c r="U25" i="4"/>
  <c r="S25" i="4"/>
  <c r="T25" i="4" s="1"/>
  <c r="F25" i="5"/>
  <c r="G25" i="5"/>
  <c r="M26" i="4"/>
  <c r="D26" i="4"/>
  <c r="J26" i="4"/>
  <c r="N26" i="4" s="1"/>
  <c r="AD26" i="4"/>
  <c r="AC26" i="4"/>
  <c r="AB26" i="4"/>
  <c r="AA26" i="4"/>
  <c r="Z26" i="4"/>
  <c r="Y26" i="4"/>
  <c r="X26" i="4"/>
  <c r="W26" i="4"/>
  <c r="P26" i="4"/>
  <c r="Q26" i="4"/>
  <c r="R26" i="4"/>
  <c r="V26" i="4"/>
  <c r="L27" i="4"/>
  <c r="C27" i="4"/>
  <c r="K27" i="4" s="1"/>
  <c r="E27" i="4"/>
  <c r="F27" i="4"/>
  <c r="C27" i="5" s="1"/>
  <c r="E27" i="5" s="1"/>
  <c r="O27" i="4" s="1"/>
  <c r="G27" i="4"/>
  <c r="I27" i="4"/>
  <c r="B28" i="4"/>
  <c r="B27" i="5"/>
  <c r="AH16" i="4"/>
  <c r="B75" i="7"/>
  <c r="I75" i="7" s="1"/>
  <c r="AG15" i="4"/>
  <c r="AF17" i="4"/>
  <c r="AF18" i="4"/>
  <c r="AF19" i="4"/>
  <c r="AF20" i="4"/>
  <c r="AF21" i="4"/>
  <c r="AF22" i="4"/>
  <c r="AF23" i="4"/>
  <c r="AF24" i="4"/>
  <c r="AF25" i="4"/>
  <c r="AF26" i="4"/>
  <c r="AF27" i="4"/>
  <c r="U3758" i="16"/>
  <c r="S3758" i="16"/>
  <c r="T3758" i="16" s="1"/>
  <c r="U3488" i="16"/>
  <c r="S3488" i="16"/>
  <c r="T3488" i="16" s="1"/>
  <c r="U3434" i="16"/>
  <c r="S3434" i="16"/>
  <c r="T3434" i="16" s="1"/>
  <c r="U3272" i="16"/>
  <c r="S3272" i="16"/>
  <c r="T3272" i="16" s="1"/>
  <c r="U3218" i="16"/>
  <c r="S3218" i="16"/>
  <c r="T3218" i="16" s="1"/>
  <c r="U3164" i="16"/>
  <c r="S3164" i="16"/>
  <c r="T3164" i="16" s="1"/>
  <c r="U3002" i="16"/>
  <c r="S3002" i="16"/>
  <c r="T3002" i="16" s="1"/>
  <c r="U2678" i="16"/>
  <c r="S2678" i="16"/>
  <c r="T2678" i="16" s="1"/>
  <c r="U2624" i="16"/>
  <c r="S2624" i="16"/>
  <c r="T2624" i="16" s="1"/>
  <c r="U2570" i="16"/>
  <c r="S2570" i="16"/>
  <c r="T2570" i="16" s="1"/>
  <c r="U2408" i="16"/>
  <c r="S2408" i="16"/>
  <c r="T2408" i="16" s="1"/>
  <c r="U2300" i="16"/>
  <c r="S2300" i="16"/>
  <c r="T2300" i="16" s="1"/>
  <c r="U2138" i="16"/>
  <c r="S2138" i="16"/>
  <c r="T2138" i="16" s="1"/>
  <c r="U1868" i="16"/>
  <c r="S1868" i="16"/>
  <c r="T1868" i="16" s="1"/>
  <c r="U1814" i="16"/>
  <c r="S1814" i="16"/>
  <c r="T1814" i="16" s="1"/>
  <c r="U1544" i="16"/>
  <c r="S1544" i="16"/>
  <c r="T1544" i="16" s="1"/>
  <c r="U1436" i="16"/>
  <c r="S1436" i="16"/>
  <c r="T1436" i="16" s="1"/>
  <c r="U1382" i="16"/>
  <c r="S1382" i="16"/>
  <c r="T1382" i="16" s="1"/>
  <c r="U1328" i="16"/>
  <c r="S1328" i="16"/>
  <c r="T1328" i="16" s="1"/>
  <c r="S1221" i="16"/>
  <c r="T1221" i="16" s="1"/>
  <c r="U1221" i="16"/>
  <c r="U1058" i="16"/>
  <c r="S1058" i="16"/>
  <c r="T1058" i="16" s="1"/>
  <c r="U1004" i="16"/>
  <c r="S1004" i="16"/>
  <c r="T1004" i="16" s="1"/>
  <c r="U842" i="16"/>
  <c r="S842" i="16"/>
  <c r="T842" i="16" s="1"/>
  <c r="U788" i="16"/>
  <c r="S788" i="16"/>
  <c r="T788" i="16" s="1"/>
  <c r="U572" i="16"/>
  <c r="S572" i="16"/>
  <c r="T572" i="16" s="1"/>
  <c r="U356" i="16"/>
  <c r="S356" i="16"/>
  <c r="T356" i="16" s="1"/>
  <c r="U86" i="16"/>
  <c r="S86" i="16"/>
  <c r="T86" i="16" s="1"/>
  <c r="M4575" i="16"/>
  <c r="N4575" i="16"/>
  <c r="M4521" i="16"/>
  <c r="N4521" i="16"/>
  <c r="N4167" i="16"/>
  <c r="M4167" i="16"/>
  <c r="M3759" i="16"/>
  <c r="N3759" i="16"/>
  <c r="M3489" i="16"/>
  <c r="N3489" i="16"/>
  <c r="M3435" i="16"/>
  <c r="N3435" i="16"/>
  <c r="M3165" i="16"/>
  <c r="N3165" i="16"/>
  <c r="N3003" i="16"/>
  <c r="M3003" i="16"/>
  <c r="M2949" i="16"/>
  <c r="N2949" i="16"/>
  <c r="M2787" i="16"/>
  <c r="N2787" i="16"/>
  <c r="S2787" i="16" s="1"/>
  <c r="T2787" i="16" s="1"/>
  <c r="U2787" i="16" s="1"/>
  <c r="M2733" i="16"/>
  <c r="N2733" i="16"/>
  <c r="M2679" i="16"/>
  <c r="N2679" i="16"/>
  <c r="M2517" i="16"/>
  <c r="N2517" i="16"/>
  <c r="M2247" i="16"/>
  <c r="N2247" i="16"/>
  <c r="M1653" i="16"/>
  <c r="N1653" i="16"/>
  <c r="N1437" i="16"/>
  <c r="M1437" i="16"/>
  <c r="M1383" i="16"/>
  <c r="N1383" i="16"/>
  <c r="M1113" i="16"/>
  <c r="N1113" i="16"/>
  <c r="M897" i="16"/>
  <c r="N897" i="16"/>
  <c r="M843" i="16"/>
  <c r="N843" i="16"/>
  <c r="M627" i="16"/>
  <c r="N627" i="16"/>
  <c r="M573" i="16"/>
  <c r="N573" i="16"/>
  <c r="M303" i="16"/>
  <c r="N303" i="16"/>
  <c r="T4682" i="16"/>
  <c r="K4222" i="16"/>
  <c r="F4222" i="16"/>
  <c r="O4222" i="16" s="1"/>
  <c r="F4114" i="16"/>
  <c r="O4114" i="16" s="1"/>
  <c r="K4114" i="16"/>
  <c r="K3598" i="16"/>
  <c r="F3598" i="16"/>
  <c r="O3598" i="16" s="1"/>
  <c r="F3490" i="16"/>
  <c r="O3490" i="16" s="1"/>
  <c r="K3490" i="16"/>
  <c r="F3436" i="16"/>
  <c r="O3436" i="16" s="1"/>
  <c r="K3436" i="16"/>
  <c r="F3328" i="16"/>
  <c r="O3328" i="16" s="1"/>
  <c r="K3328" i="16"/>
  <c r="F3220" i="16"/>
  <c r="O3220" i="16" s="1"/>
  <c r="K3220" i="16"/>
  <c r="K2842" i="16"/>
  <c r="F2842" i="16"/>
  <c r="O2842" i="16" s="1"/>
  <c r="K2788" i="16"/>
  <c r="F2788" i="16"/>
  <c r="O2788" i="16" s="1"/>
  <c r="K2572" i="16"/>
  <c r="F2572" i="16"/>
  <c r="O2572" i="16" s="1"/>
  <c r="K2248" i="16"/>
  <c r="F2248" i="16"/>
  <c r="O2248" i="16" s="1"/>
  <c r="K2032" i="16"/>
  <c r="F2032" i="16"/>
  <c r="O2032" i="16" s="1"/>
  <c r="K1978" i="16"/>
  <c r="F1978" i="16"/>
  <c r="O1978" i="16" s="1"/>
  <c r="F1708" i="16"/>
  <c r="O1708" i="16" s="1"/>
  <c r="K1708" i="16"/>
  <c r="K1492" i="16"/>
  <c r="F1492" i="16"/>
  <c r="O1492" i="16" s="1"/>
  <c r="K1438" i="16"/>
  <c r="F1438" i="16"/>
  <c r="O1438" i="16" s="1"/>
  <c r="K1276" i="16"/>
  <c r="F1276" i="16"/>
  <c r="O1276" i="16" s="1"/>
  <c r="K1168" i="16"/>
  <c r="F1168" i="16"/>
  <c r="O1168" i="16" s="1"/>
  <c r="K898" i="16"/>
  <c r="F898" i="16"/>
  <c r="O898" i="16" s="1"/>
  <c r="F628" i="16"/>
  <c r="O628" i="16" s="1"/>
  <c r="K628" i="16"/>
  <c r="F88" i="16"/>
  <c r="O88" i="16" s="1"/>
  <c r="K88" i="16"/>
  <c r="K3761" i="16" l="1"/>
  <c r="F3761" i="16"/>
  <c r="O3761" i="16" s="1"/>
  <c r="K3221" i="16"/>
  <c r="F3221" i="16"/>
  <c r="O3221" i="16" s="1"/>
  <c r="K2789" i="16"/>
  <c r="F2789" i="16"/>
  <c r="O2789" i="16" s="1"/>
  <c r="K2573" i="16"/>
  <c r="F2573" i="16"/>
  <c r="O2573" i="16" s="1"/>
  <c r="K2519" i="16"/>
  <c r="F2519" i="16"/>
  <c r="O2519" i="16" s="1"/>
  <c r="K2465" i="16"/>
  <c r="F2465" i="16"/>
  <c r="O2465" i="16" s="1"/>
  <c r="K1979" i="16"/>
  <c r="F1979" i="16"/>
  <c r="O1979" i="16" s="1"/>
  <c r="K1331" i="16"/>
  <c r="F1331" i="16"/>
  <c r="O1331" i="16" s="1"/>
  <c r="K1224" i="16"/>
  <c r="F1224" i="16"/>
  <c r="O1224" i="16" s="1"/>
  <c r="K521" i="16"/>
  <c r="F521" i="16"/>
  <c r="O521" i="16" s="1"/>
  <c r="U4684" i="16"/>
  <c r="S4684" i="16"/>
  <c r="M4685" i="16"/>
  <c r="D4685" i="16"/>
  <c r="J4685" i="16"/>
  <c r="N4685" i="16" s="1"/>
  <c r="P4685" i="16"/>
  <c r="Q4685" i="16"/>
  <c r="R4685" i="16"/>
  <c r="L4686" i="16"/>
  <c r="C4686" i="16"/>
  <c r="K4686" i="16" s="1"/>
  <c r="E4686" i="16"/>
  <c r="F4686" i="16"/>
  <c r="G4686" i="16"/>
  <c r="I4686" i="16"/>
  <c r="B4687" i="16"/>
  <c r="P4631" i="16"/>
  <c r="Q4631" i="16"/>
  <c r="R4631" i="16"/>
  <c r="C4632" i="16"/>
  <c r="E4632" i="16"/>
  <c r="G4632" i="16"/>
  <c r="B4633" i="16"/>
  <c r="M4577" i="16"/>
  <c r="D4577" i="16"/>
  <c r="J4577" i="16"/>
  <c r="N4577" i="16" s="1"/>
  <c r="P4577" i="16"/>
  <c r="Q4577" i="16"/>
  <c r="R4577" i="16"/>
  <c r="L4578" i="16"/>
  <c r="C4578" i="16"/>
  <c r="E4578" i="16"/>
  <c r="G4578" i="16"/>
  <c r="I4578" i="16"/>
  <c r="B4579" i="16"/>
  <c r="D4523" i="16"/>
  <c r="J4523" i="16"/>
  <c r="P4523" i="16"/>
  <c r="Q4523" i="16"/>
  <c r="R4523" i="16"/>
  <c r="L4524" i="16"/>
  <c r="C4524" i="16"/>
  <c r="K4524" i="16" s="1"/>
  <c r="E4524" i="16"/>
  <c r="F4524" i="16"/>
  <c r="G4524" i="16"/>
  <c r="I4524" i="16"/>
  <c r="B4525" i="16"/>
  <c r="P4223" i="16"/>
  <c r="Q4223" i="16"/>
  <c r="R4223" i="16"/>
  <c r="D4223" i="16"/>
  <c r="J4223" i="16"/>
  <c r="N4223" i="16" s="1"/>
  <c r="M4223" i="16"/>
  <c r="I4224" i="16"/>
  <c r="B4225" i="16"/>
  <c r="C4224" i="16"/>
  <c r="F4224" i="16" s="1"/>
  <c r="O4224" i="16" s="1"/>
  <c r="E4224" i="16"/>
  <c r="G4224" i="16"/>
  <c r="K4224" i="16"/>
  <c r="L4224" i="16"/>
  <c r="U4168" i="16"/>
  <c r="S4168" i="16"/>
  <c r="T4168" i="16" s="1"/>
  <c r="P4169" i="16"/>
  <c r="Q4169" i="16"/>
  <c r="R4169" i="16"/>
  <c r="E4170" i="16"/>
  <c r="L4170" i="16"/>
  <c r="C4170" i="16"/>
  <c r="F4170" i="16" s="1"/>
  <c r="O4170" i="16" s="1"/>
  <c r="G4170" i="16"/>
  <c r="I4170" i="16"/>
  <c r="K4170" i="16"/>
  <c r="B4171" i="16"/>
  <c r="D4169" i="16"/>
  <c r="J4169" i="16"/>
  <c r="N4169" i="16" s="1"/>
  <c r="M4169" i="16"/>
  <c r="E4116" i="16"/>
  <c r="G4116" i="16"/>
  <c r="L4116" i="16"/>
  <c r="C4116" i="16"/>
  <c r="F4116" i="16" s="1"/>
  <c r="O4116" i="16" s="1"/>
  <c r="I4116" i="16"/>
  <c r="K4116" i="16"/>
  <c r="B4117" i="16"/>
  <c r="D4115" i="16"/>
  <c r="J4115" i="16"/>
  <c r="N4115" i="16" s="1"/>
  <c r="P4115" i="16"/>
  <c r="Q4115" i="16"/>
  <c r="R4115" i="16"/>
  <c r="M4115"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K3762" i="16" s="1"/>
  <c r="E3762" i="16"/>
  <c r="F3762" i="16"/>
  <c r="O3762" i="16" s="1"/>
  <c r="G3762" i="16"/>
  <c r="I3762" i="16"/>
  <c r="B3763" i="16"/>
  <c r="U3706" i="16"/>
  <c r="S3706" i="16"/>
  <c r="T3706" i="16" s="1"/>
  <c r="M3707" i="16"/>
  <c r="D3707" i="16"/>
  <c r="J3707" i="16"/>
  <c r="N3707" i="16" s="1"/>
  <c r="P3707" i="16"/>
  <c r="Q3707" i="16"/>
  <c r="R3707" i="16"/>
  <c r="L3708" i="16"/>
  <c r="C3708" i="16"/>
  <c r="E3708" i="16"/>
  <c r="G3708" i="16"/>
  <c r="B3709" i="16"/>
  <c r="I3708" i="16"/>
  <c r="U3652" i="16"/>
  <c r="S3652" i="16"/>
  <c r="T3652" i="16" s="1"/>
  <c r="D3653" i="16"/>
  <c r="J3653" i="16"/>
  <c r="P3653" i="16"/>
  <c r="Q3653" i="16"/>
  <c r="R3653" i="16"/>
  <c r="L3654" i="16"/>
  <c r="C3654" i="16"/>
  <c r="K3654" i="16" s="1"/>
  <c r="E3654" i="16"/>
  <c r="F3654" i="16"/>
  <c r="O3654" i="16" s="1"/>
  <c r="G3654" i="16"/>
  <c r="I3654" i="16"/>
  <c r="B3655" i="16"/>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J3491" i="16"/>
  <c r="D3491" i="16"/>
  <c r="P3491" i="16"/>
  <c r="Q3491" i="16"/>
  <c r="R3491" i="16"/>
  <c r="L3492" i="16"/>
  <c r="G3492" i="16"/>
  <c r="C3492" i="16"/>
  <c r="E3492" i="16"/>
  <c r="I3492" i="16"/>
  <c r="B3493" i="16"/>
  <c r="P3437" i="16"/>
  <c r="Q3437" i="16"/>
  <c r="R3437" i="16"/>
  <c r="L3438" i="16"/>
  <c r="C3438" i="16"/>
  <c r="E3438" i="16"/>
  <c r="G3438" i="16"/>
  <c r="B3439" i="16"/>
  <c r="I3438" i="16"/>
  <c r="D3437" i="16"/>
  <c r="J3437" i="16"/>
  <c r="U3382" i="16"/>
  <c r="S3382" i="16"/>
  <c r="T3382" i="16" s="1"/>
  <c r="D3383" i="16"/>
  <c r="J3383" i="16"/>
  <c r="P3383" i="16"/>
  <c r="Q3383" i="16"/>
  <c r="R3383" i="16"/>
  <c r="L3384" i="16"/>
  <c r="C3384" i="16"/>
  <c r="K3384" i="16" s="1"/>
  <c r="E3384" i="16"/>
  <c r="F3384" i="16"/>
  <c r="O3384" i="16" s="1"/>
  <c r="G3384" i="16"/>
  <c r="I3384" i="16"/>
  <c r="B3385" i="16"/>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E3276" i="16"/>
  <c r="G3276" i="16"/>
  <c r="I3276" i="16"/>
  <c r="B3277" i="16"/>
  <c r="M3221" i="16"/>
  <c r="D3221" i="16"/>
  <c r="J3221" i="16"/>
  <c r="N3221" i="16" s="1"/>
  <c r="P3221" i="16"/>
  <c r="Q3221" i="16"/>
  <c r="R3221" i="16"/>
  <c r="L3222" i="16"/>
  <c r="E3222" i="16"/>
  <c r="C3222" i="16"/>
  <c r="B3223" i="16"/>
  <c r="G3222" i="16"/>
  <c r="I3222" i="16"/>
  <c r="U3166" i="16"/>
  <c r="S3166" i="16"/>
  <c r="T3166" i="16" s="1"/>
  <c r="M3167" i="16"/>
  <c r="J3167" i="16"/>
  <c r="N3167" i="16" s="1"/>
  <c r="D3167" i="16"/>
  <c r="L3168" i="16"/>
  <c r="E3168" i="16"/>
  <c r="G3168" i="16"/>
  <c r="I3168" i="16"/>
  <c r="C3168" i="16"/>
  <c r="B3169" i="16"/>
  <c r="P3167" i="16"/>
  <c r="Q3167" i="16"/>
  <c r="R3167" i="16"/>
  <c r="U3112" i="16"/>
  <c r="S3112" i="16"/>
  <c r="T3112" i="16" s="1"/>
  <c r="M3113" i="16"/>
  <c r="P3113" i="16"/>
  <c r="Q3113" i="16"/>
  <c r="R3113" i="16"/>
  <c r="L3114" i="16"/>
  <c r="I3114" i="16"/>
  <c r="G3114" i="16"/>
  <c r="B3115" i="16"/>
  <c r="E3114" i="16"/>
  <c r="C3114" i="16"/>
  <c r="J3113" i="16"/>
  <c r="N3113" i="16" s="1"/>
  <c r="D3113" i="16"/>
  <c r="U3058" i="16"/>
  <c r="S3058" i="16"/>
  <c r="T3058" i="16" s="1"/>
  <c r="P3059" i="16"/>
  <c r="Q3059" i="16"/>
  <c r="R3059" i="16"/>
  <c r="J3059" i="16"/>
  <c r="D3059" i="16"/>
  <c r="L3060" i="16"/>
  <c r="C3060" i="16"/>
  <c r="K3060" i="16" s="1"/>
  <c r="E3060" i="16"/>
  <c r="B3061" i="16"/>
  <c r="G3060" i="16"/>
  <c r="I3060" i="16"/>
  <c r="F3060" i="16"/>
  <c r="O3060" i="16" s="1"/>
  <c r="U3004" i="16"/>
  <c r="S3004" i="16"/>
  <c r="T3004" i="16" s="1"/>
  <c r="Q3005" i="16"/>
  <c r="P3005" i="16"/>
  <c r="R3005" i="16"/>
  <c r="D3005" i="16"/>
  <c r="J3005" i="16"/>
  <c r="L3006" i="16"/>
  <c r="I3006" i="16"/>
  <c r="G3006" i="16"/>
  <c r="B3007" i="16"/>
  <c r="C3006" i="16"/>
  <c r="E3006" i="16"/>
  <c r="U2950" i="16"/>
  <c r="S2950" i="16"/>
  <c r="T2950" i="16" s="1"/>
  <c r="M2951" i="16"/>
  <c r="D2951" i="16"/>
  <c r="J2951" i="16"/>
  <c r="N2951" i="16" s="1"/>
  <c r="P2951" i="16"/>
  <c r="Q2951" i="16"/>
  <c r="R2951" i="16"/>
  <c r="L2952" i="16"/>
  <c r="C2952" i="16"/>
  <c r="E2952" i="16"/>
  <c r="G2952" i="16"/>
  <c r="I2952" i="16"/>
  <c r="B2953" i="16"/>
  <c r="U2896" i="16"/>
  <c r="S2896" i="16"/>
  <c r="T2896" i="16" s="1"/>
  <c r="D2897" i="16"/>
  <c r="J2897" i="16"/>
  <c r="P2897" i="16"/>
  <c r="Q2897" i="16"/>
  <c r="R2897" i="16"/>
  <c r="L2898" i="16"/>
  <c r="C2898" i="16"/>
  <c r="K2898" i="16" s="1"/>
  <c r="E2898" i="16"/>
  <c r="F2898" i="16"/>
  <c r="O2898" i="16" s="1"/>
  <c r="G2898" i="16"/>
  <c r="I2898" i="16"/>
  <c r="B2899" i="16"/>
  <c r="M2843" i="16"/>
  <c r="D2843" i="16"/>
  <c r="J2843" i="16"/>
  <c r="N2843" i="16" s="1"/>
  <c r="P2843" i="16"/>
  <c r="Q2843" i="16"/>
  <c r="R2843" i="16"/>
  <c r="L2844" i="16"/>
  <c r="C2844" i="16"/>
  <c r="K2844" i="16" s="1"/>
  <c r="E2844" i="16"/>
  <c r="F2844" i="16"/>
  <c r="O2844" i="16" s="1"/>
  <c r="G2844" i="16"/>
  <c r="I2844" i="16"/>
  <c r="B2845" i="16"/>
  <c r="M2789" i="16"/>
  <c r="D2789" i="16"/>
  <c r="J2789" i="16"/>
  <c r="N2789" i="16" s="1"/>
  <c r="S2789" i="16" s="1"/>
  <c r="T2789" i="16" s="1"/>
  <c r="U2789" i="16" s="1"/>
  <c r="P2789" i="16"/>
  <c r="Q2789" i="16"/>
  <c r="R2789" i="16"/>
  <c r="L2790" i="16"/>
  <c r="C2790" i="16"/>
  <c r="K2790" i="16" s="1"/>
  <c r="E2790" i="16"/>
  <c r="F2790" i="16"/>
  <c r="O2790" i="16" s="1"/>
  <c r="G2790" i="16"/>
  <c r="I2790" i="16"/>
  <c r="B2791" i="16"/>
  <c r="U2734" i="16"/>
  <c r="S2734" i="16"/>
  <c r="T2734" i="16" s="1"/>
  <c r="M2735" i="16"/>
  <c r="D2735" i="16"/>
  <c r="J2735" i="16"/>
  <c r="N2735" i="16" s="1"/>
  <c r="P2735" i="16"/>
  <c r="Q2735" i="16"/>
  <c r="R2735" i="16"/>
  <c r="L2736" i="16"/>
  <c r="C2736" i="16"/>
  <c r="E2736" i="16"/>
  <c r="G2736" i="16"/>
  <c r="I2736" i="16"/>
  <c r="B2737" i="16"/>
  <c r="U2680" i="16"/>
  <c r="S2680" i="16"/>
  <c r="T2680" i="16" s="1"/>
  <c r="M2681" i="16"/>
  <c r="D2681" i="16"/>
  <c r="J2681" i="16"/>
  <c r="N2681" i="16" s="1"/>
  <c r="P2681" i="16"/>
  <c r="Q2681" i="16"/>
  <c r="R2681" i="16"/>
  <c r="L2682" i="16"/>
  <c r="C2682" i="16"/>
  <c r="K2682" i="16" s="1"/>
  <c r="E2682" i="16"/>
  <c r="F2682" i="16"/>
  <c r="O2682" i="16" s="1"/>
  <c r="G2682" i="16"/>
  <c r="I2682" i="16"/>
  <c r="B2683" i="16"/>
  <c r="U2626" i="16"/>
  <c r="S2626" i="16"/>
  <c r="T2626" i="16" s="1"/>
  <c r="M2627" i="16"/>
  <c r="D2627" i="16"/>
  <c r="J2627" i="16"/>
  <c r="N2627" i="16" s="1"/>
  <c r="P2627" i="16"/>
  <c r="Q2627" i="16"/>
  <c r="R2627" i="16"/>
  <c r="L2628" i="16"/>
  <c r="C2628" i="16"/>
  <c r="K2628" i="16" s="1"/>
  <c r="E2628" i="16"/>
  <c r="F2628" i="16"/>
  <c r="O2628" i="16" s="1"/>
  <c r="G2628" i="16"/>
  <c r="I2628" i="16"/>
  <c r="B2629" i="16"/>
  <c r="M2573" i="16"/>
  <c r="D2573" i="16"/>
  <c r="J2573" i="16"/>
  <c r="N2573" i="16" s="1"/>
  <c r="P2573" i="16"/>
  <c r="Q2573" i="16"/>
  <c r="R2573" i="16"/>
  <c r="L2574" i="16"/>
  <c r="C2574" i="16"/>
  <c r="K2574" i="16" s="1"/>
  <c r="E2574" i="16"/>
  <c r="F2574" i="16"/>
  <c r="O2574" i="16" s="1"/>
  <c r="G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Q2465" i="16"/>
  <c r="P2465" i="16"/>
  <c r="R2465" i="16"/>
  <c r="L2466" i="16"/>
  <c r="C2466" i="16"/>
  <c r="E2466" i="16"/>
  <c r="G2466" i="16"/>
  <c r="I2466" i="16"/>
  <c r="B2467" i="16"/>
  <c r="U2410" i="16"/>
  <c r="S2410" i="16"/>
  <c r="T2410" i="16" s="1"/>
  <c r="D2411" i="16"/>
  <c r="J2411" i="16"/>
  <c r="P2411" i="16"/>
  <c r="Q2411" i="16"/>
  <c r="R2411" i="16"/>
  <c r="L2412" i="16"/>
  <c r="C2412" i="16"/>
  <c r="E2412" i="16"/>
  <c r="G2412" i="16"/>
  <c r="I2412" i="16"/>
  <c r="B2413" i="16"/>
  <c r="U2356" i="16"/>
  <c r="S2356" i="16"/>
  <c r="T2356" i="16" s="1"/>
  <c r="M2357" i="16"/>
  <c r="D2357" i="16"/>
  <c r="J2357" i="16"/>
  <c r="N2357" i="16" s="1"/>
  <c r="P2357" i="16"/>
  <c r="Q2357" i="16"/>
  <c r="R2357" i="16"/>
  <c r="L2358" i="16"/>
  <c r="C2358" i="16"/>
  <c r="K2358" i="16" s="1"/>
  <c r="E2358" i="16"/>
  <c r="F2358" i="16"/>
  <c r="O2358" i="16" s="1"/>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M2249" i="16"/>
  <c r="D2249" i="16"/>
  <c r="J2249" i="16"/>
  <c r="N2249" i="16" s="1"/>
  <c r="P2249" i="16"/>
  <c r="Q2249" i="16"/>
  <c r="R2249" i="16"/>
  <c r="L2250" i="16"/>
  <c r="C2250" i="16"/>
  <c r="K2250" i="16" s="1"/>
  <c r="E2250" i="16"/>
  <c r="F2250" i="16"/>
  <c r="O2250" i="16" s="1"/>
  <c r="G2250" i="16"/>
  <c r="I2250" i="16"/>
  <c r="B2251" i="16"/>
  <c r="U2194" i="16"/>
  <c r="S2194" i="16"/>
  <c r="T2194" i="16" s="1"/>
  <c r="J2195" i="16"/>
  <c r="D2195" i="16"/>
  <c r="Q2195" i="16"/>
  <c r="R2195" i="16"/>
  <c r="P2195" i="16"/>
  <c r="L2196" i="16"/>
  <c r="G2196" i="16"/>
  <c r="C2196" i="16"/>
  <c r="E2196" i="16"/>
  <c r="B2197" i="16"/>
  <c r="I2196" i="16"/>
  <c r="U2140" i="16"/>
  <c r="S2140" i="16"/>
  <c r="T2140" i="16" s="1"/>
  <c r="P2141" i="16"/>
  <c r="Q2141" i="16"/>
  <c r="R2141" i="16"/>
  <c r="J2141" i="16"/>
  <c r="D2141" i="16"/>
  <c r="L2142" i="16"/>
  <c r="E2142" i="16"/>
  <c r="C2142" i="16"/>
  <c r="K2142" i="16" s="1"/>
  <c r="F2142" i="16"/>
  <c r="O2142" i="16" s="1"/>
  <c r="G2142" i="16"/>
  <c r="I2142" i="16"/>
  <c r="B2143" i="16"/>
  <c r="U2086" i="16"/>
  <c r="S2086" i="16"/>
  <c r="T2086" i="16" s="1"/>
  <c r="M2087" i="16"/>
  <c r="D2087" i="16"/>
  <c r="J2087" i="16"/>
  <c r="N2087" i="16" s="1"/>
  <c r="P2087" i="16"/>
  <c r="Q2087" i="16"/>
  <c r="R2087" i="16"/>
  <c r="L2088" i="16"/>
  <c r="C2088" i="16"/>
  <c r="K2088" i="16" s="1"/>
  <c r="E2088" i="16"/>
  <c r="F2088" i="16"/>
  <c r="O2088" i="16" s="1"/>
  <c r="G2088" i="16"/>
  <c r="I2088" i="16"/>
  <c r="B2089" i="16"/>
  <c r="M2033" i="16"/>
  <c r="D2033" i="16"/>
  <c r="J2033" i="16"/>
  <c r="N2033" i="16" s="1"/>
  <c r="P2033" i="16"/>
  <c r="Q2033" i="16"/>
  <c r="R2033" i="16"/>
  <c r="L2034" i="16"/>
  <c r="C2034" i="16"/>
  <c r="K2034" i="16" s="1"/>
  <c r="E2034" i="16"/>
  <c r="F2034" i="16"/>
  <c r="O2034" i="16" s="1"/>
  <c r="G2034" i="16"/>
  <c r="I2034" i="16"/>
  <c r="B2035" i="16"/>
  <c r="M1979" i="16"/>
  <c r="D1979" i="16"/>
  <c r="J1979" i="16"/>
  <c r="N1979" i="16" s="1"/>
  <c r="P1979" i="16"/>
  <c r="Q1979" i="16"/>
  <c r="R1979" i="16"/>
  <c r="L1980" i="16"/>
  <c r="C1980" i="16"/>
  <c r="K1980" i="16" s="1"/>
  <c r="E1980" i="16"/>
  <c r="F1980" i="16"/>
  <c r="O1980" i="16" s="1"/>
  <c r="G1980" i="16"/>
  <c r="I1980" i="16"/>
  <c r="B1981" i="16"/>
  <c r="U1924" i="16"/>
  <c r="S1924" i="16"/>
  <c r="T1924" i="16" s="1"/>
  <c r="D1925" i="16"/>
  <c r="J1925" i="16"/>
  <c r="P1925" i="16"/>
  <c r="Q1925" i="16"/>
  <c r="R1925" i="16"/>
  <c r="L1926" i="16"/>
  <c r="C1926" i="16"/>
  <c r="E1926" i="16"/>
  <c r="G1926" i="16"/>
  <c r="I1926" i="16"/>
  <c r="B1927" i="16"/>
  <c r="U1870" i="16"/>
  <c r="S1870" i="16"/>
  <c r="T1870" i="16" s="1"/>
  <c r="M1871" i="16"/>
  <c r="D1871" i="16"/>
  <c r="J1871" i="16"/>
  <c r="N1871" i="16" s="1"/>
  <c r="P1871" i="16"/>
  <c r="Q1871" i="16"/>
  <c r="R1871" i="16"/>
  <c r="L1872" i="16"/>
  <c r="C1872" i="16"/>
  <c r="K1872" i="16" s="1"/>
  <c r="E1872" i="16"/>
  <c r="F1872" i="16"/>
  <c r="O1872" i="16" s="1"/>
  <c r="G1872" i="16"/>
  <c r="I1872" i="16"/>
  <c r="B1873" i="16"/>
  <c r="U1816" i="16"/>
  <c r="S1816" i="16"/>
  <c r="T1816" i="16" s="1"/>
  <c r="M1817" i="16"/>
  <c r="D1817" i="16"/>
  <c r="J1817" i="16"/>
  <c r="N1817" i="16" s="1"/>
  <c r="P1817" i="16"/>
  <c r="Q1817" i="16"/>
  <c r="R1817" i="16"/>
  <c r="L1818" i="16"/>
  <c r="C1818" i="16"/>
  <c r="E1818" i="16"/>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M1709" i="16"/>
  <c r="D1709" i="16"/>
  <c r="J1709" i="16"/>
  <c r="N1709" i="16" s="1"/>
  <c r="P1709" i="16"/>
  <c r="Q1709" i="16"/>
  <c r="R1709" i="16"/>
  <c r="L1710" i="16"/>
  <c r="C1710" i="16"/>
  <c r="E1710" i="16"/>
  <c r="G1710" i="16"/>
  <c r="I1710" i="16"/>
  <c r="B1711" i="16"/>
  <c r="U1654" i="16"/>
  <c r="S1654" i="16"/>
  <c r="T1654" i="16" s="1"/>
  <c r="D1655" i="16"/>
  <c r="J1655" i="16"/>
  <c r="P1655" i="16"/>
  <c r="Q1655" i="16"/>
  <c r="R1655" i="16"/>
  <c r="L1656" i="16"/>
  <c r="C1656" i="16"/>
  <c r="K1656" i="16" s="1"/>
  <c r="E1656" i="16"/>
  <c r="F1656" i="16"/>
  <c r="O1656" i="16" s="1"/>
  <c r="G1656" i="16"/>
  <c r="I1656" i="16"/>
  <c r="B1657" i="16"/>
  <c r="U1600" i="16"/>
  <c r="S1600" i="16"/>
  <c r="T1600" i="16" s="1"/>
  <c r="M1601" i="16"/>
  <c r="D1601" i="16"/>
  <c r="J1601" i="16"/>
  <c r="N1601" i="16" s="1"/>
  <c r="P1601" i="16"/>
  <c r="Q1601" i="16"/>
  <c r="R1601" i="16"/>
  <c r="L1602" i="16"/>
  <c r="C1602" i="16"/>
  <c r="K1602" i="16" s="1"/>
  <c r="E1602" i="16"/>
  <c r="F1602" i="16"/>
  <c r="O1602" i="16" s="1"/>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D1493" i="16"/>
  <c r="J1493" i="16"/>
  <c r="P1493" i="16"/>
  <c r="Q1493" i="16"/>
  <c r="R1493" i="16"/>
  <c r="L1494" i="16"/>
  <c r="C1494" i="16"/>
  <c r="E1494" i="16"/>
  <c r="G1494" i="16"/>
  <c r="I1494" i="16"/>
  <c r="B1495" i="16"/>
  <c r="P1439" i="16"/>
  <c r="Q1439" i="16"/>
  <c r="R1439" i="16"/>
  <c r="D1439" i="16"/>
  <c r="J1439" i="16"/>
  <c r="L1440" i="16"/>
  <c r="E1440" i="16"/>
  <c r="G1440" i="16"/>
  <c r="B1441" i="16"/>
  <c r="I1440" i="16"/>
  <c r="C1440" i="16"/>
  <c r="U1384" i="16"/>
  <c r="S1384" i="16"/>
  <c r="T1384" i="16" s="1"/>
  <c r="D1385" i="16"/>
  <c r="J1385" i="16"/>
  <c r="P1385" i="16"/>
  <c r="Q1385" i="16"/>
  <c r="R1385" i="16"/>
  <c r="L1386" i="16"/>
  <c r="E1386" i="16"/>
  <c r="G1386" i="16"/>
  <c r="I1386" i="16"/>
  <c r="B1387" i="16"/>
  <c r="C1386" i="16"/>
  <c r="U1330" i="16"/>
  <c r="S1330" i="16"/>
  <c r="T1330" i="16" s="1"/>
  <c r="M1331" i="16"/>
  <c r="Q1331" i="16"/>
  <c r="P1331" i="16"/>
  <c r="R1331" i="16"/>
  <c r="J1331" i="16"/>
  <c r="N1331" i="16" s="1"/>
  <c r="D1331" i="16"/>
  <c r="L1332" i="16"/>
  <c r="E1332" i="16"/>
  <c r="C1332" i="16"/>
  <c r="K1332" i="16" s="1"/>
  <c r="G1332" i="16"/>
  <c r="B1333" i="16"/>
  <c r="F1332" i="16"/>
  <c r="O1332" i="16" s="1"/>
  <c r="I1332" i="16"/>
  <c r="M1277" i="16"/>
  <c r="D1277" i="16"/>
  <c r="J1277" i="16"/>
  <c r="N1277" i="16" s="1"/>
  <c r="L1278" i="16"/>
  <c r="G1278" i="16"/>
  <c r="I1278" i="16"/>
  <c r="C1278" i="16"/>
  <c r="K1278" i="16" s="1"/>
  <c r="F1278" i="16"/>
  <c r="O1278" i="16" s="1"/>
  <c r="B1279" i="16"/>
  <c r="E1278" i="16"/>
  <c r="P1277" i="16"/>
  <c r="Q1277" i="16"/>
  <c r="R1277" i="16"/>
  <c r="U1223" i="16"/>
  <c r="S1223" i="16"/>
  <c r="T1223" i="16" s="1"/>
  <c r="M1224" i="16"/>
  <c r="L1225" i="16"/>
  <c r="E1225" i="16"/>
  <c r="B1226" i="16"/>
  <c r="C1225" i="16"/>
  <c r="K1225" i="16" s="1"/>
  <c r="F1225" i="16"/>
  <c r="O1225" i="16" s="1"/>
  <c r="G1225" i="16"/>
  <c r="I1225" i="16"/>
  <c r="D1224" i="16"/>
  <c r="J1224" i="16"/>
  <c r="N1224" i="16" s="1"/>
  <c r="P1224" i="16"/>
  <c r="Q1224" i="16"/>
  <c r="R1224" i="16"/>
  <c r="D1169" i="16"/>
  <c r="J1169" i="16"/>
  <c r="P1169" i="16"/>
  <c r="Q1169" i="16"/>
  <c r="R1169" i="16"/>
  <c r="L1170" i="16"/>
  <c r="C1170" i="16"/>
  <c r="E1170" i="16"/>
  <c r="G1170" i="16"/>
  <c r="I1170" i="16"/>
  <c r="B1171" i="16"/>
  <c r="U1114" i="16"/>
  <c r="S1114" i="16"/>
  <c r="T1114" i="16" s="1"/>
  <c r="D1115" i="16"/>
  <c r="J1115" i="16"/>
  <c r="P1115" i="16"/>
  <c r="Q1115" i="16"/>
  <c r="R1115" i="16"/>
  <c r="L1116" i="16"/>
  <c r="C1116" i="16"/>
  <c r="K1116" i="16" s="1"/>
  <c r="E1116" i="16"/>
  <c r="F1116" i="16"/>
  <c r="O1116" i="16" s="1"/>
  <c r="G1116" i="16"/>
  <c r="I1116" i="16"/>
  <c r="B1117" i="16"/>
  <c r="U1060" i="16"/>
  <c r="S1060" i="16"/>
  <c r="T1060" i="16" s="1"/>
  <c r="M1061" i="16"/>
  <c r="D1061" i="16"/>
  <c r="J1061" i="16"/>
  <c r="N1061" i="16" s="1"/>
  <c r="P1061" i="16"/>
  <c r="Q1061" i="16"/>
  <c r="R1061" i="16"/>
  <c r="L1062" i="16"/>
  <c r="C1062" i="16"/>
  <c r="K1062" i="16" s="1"/>
  <c r="E1062" i="16"/>
  <c r="F1062" i="16"/>
  <c r="O1062" i="16" s="1"/>
  <c r="G1062" i="16"/>
  <c r="I1062" i="16"/>
  <c r="B1063" i="16"/>
  <c r="U1006" i="16"/>
  <c r="S1006" i="16"/>
  <c r="T1006" i="16" s="1"/>
  <c r="M1007" i="16"/>
  <c r="P1007" i="16"/>
  <c r="Q1007" i="16"/>
  <c r="R1007" i="16"/>
  <c r="L1008" i="16"/>
  <c r="E1008" i="16"/>
  <c r="B1009" i="16"/>
  <c r="I1008" i="16"/>
  <c r="C1008" i="16"/>
  <c r="G1008" i="16"/>
  <c r="J1007" i="16"/>
  <c r="N1007" i="16" s="1"/>
  <c r="D1007" i="16"/>
  <c r="U952" i="16"/>
  <c r="S952" i="16"/>
  <c r="T952" i="16" s="1"/>
  <c r="M953" i="16"/>
  <c r="D953" i="16"/>
  <c r="J953" i="16"/>
  <c r="N953" i="16" s="1"/>
  <c r="P953" i="16"/>
  <c r="Q953" i="16"/>
  <c r="R953" i="16"/>
  <c r="L954" i="16"/>
  <c r="C954" i="16"/>
  <c r="E954" i="16"/>
  <c r="G954" i="16"/>
  <c r="I954" i="16"/>
  <c r="B955" i="16"/>
  <c r="M899" i="16"/>
  <c r="D899" i="16"/>
  <c r="J899" i="16"/>
  <c r="N899" i="16" s="1"/>
  <c r="P899" i="16"/>
  <c r="Q899" i="16"/>
  <c r="R899" i="16"/>
  <c r="L900" i="16"/>
  <c r="C900" i="16"/>
  <c r="K900" i="16" s="1"/>
  <c r="E900" i="16"/>
  <c r="F900" i="16"/>
  <c r="O900" i="16" s="1"/>
  <c r="G900" i="16"/>
  <c r="I900" i="16"/>
  <c r="B901" i="16"/>
  <c r="U844" i="16"/>
  <c r="S844" i="16"/>
  <c r="T844" i="16" s="1"/>
  <c r="D845" i="16"/>
  <c r="J845" i="16"/>
  <c r="Q845" i="16"/>
  <c r="P845" i="16"/>
  <c r="R845" i="16"/>
  <c r="L846" i="16"/>
  <c r="C846" i="16"/>
  <c r="K846" i="16" s="1"/>
  <c r="E846" i="16"/>
  <c r="F846" i="16"/>
  <c r="O846" i="16" s="1"/>
  <c r="G846" i="16"/>
  <c r="I846" i="16"/>
  <c r="B847" i="16"/>
  <c r="U790" i="16"/>
  <c r="S790" i="16"/>
  <c r="T790" i="16" s="1"/>
  <c r="M791" i="16"/>
  <c r="D791" i="16"/>
  <c r="J791" i="16"/>
  <c r="N791" i="16" s="1"/>
  <c r="Q791" i="16"/>
  <c r="P791" i="16"/>
  <c r="R791" i="16"/>
  <c r="L792" i="16"/>
  <c r="C792" i="16"/>
  <c r="E792" i="16"/>
  <c r="G792" i="16"/>
  <c r="I792" i="16"/>
  <c r="B793" i="16"/>
  <c r="U736" i="16"/>
  <c r="S736" i="16"/>
  <c r="T736" i="16" s="1"/>
  <c r="M737" i="16"/>
  <c r="D737" i="16"/>
  <c r="J737" i="16"/>
  <c r="N737" i="16" s="1"/>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E684" i="16"/>
  <c r="G684" i="16"/>
  <c r="I684" i="16"/>
  <c r="B685" i="16"/>
  <c r="M629" i="16"/>
  <c r="D629" i="16"/>
  <c r="J629" i="16"/>
  <c r="N629" i="16" s="1"/>
  <c r="P629" i="16"/>
  <c r="Q629" i="16"/>
  <c r="R629" i="16"/>
  <c r="L630" i="16"/>
  <c r="C630" i="16"/>
  <c r="K630" i="16" s="1"/>
  <c r="E630" i="16"/>
  <c r="F630" i="16"/>
  <c r="O630" i="16" s="1"/>
  <c r="G630" i="16"/>
  <c r="I630" i="16"/>
  <c r="B631" i="16"/>
  <c r="U574" i="16"/>
  <c r="S574" i="16"/>
  <c r="T574" i="16" s="1"/>
  <c r="M575" i="16"/>
  <c r="D575" i="16"/>
  <c r="J575" i="16"/>
  <c r="N575" i="16" s="1"/>
  <c r="Q575" i="16"/>
  <c r="P575" i="16"/>
  <c r="R575" i="16"/>
  <c r="L576" i="16"/>
  <c r="C576" i="16"/>
  <c r="E576" i="16"/>
  <c r="G576" i="16"/>
  <c r="I576" i="16"/>
  <c r="B577" i="16"/>
  <c r="U520" i="16"/>
  <c r="S520" i="16"/>
  <c r="T520" i="16" s="1"/>
  <c r="M521" i="16"/>
  <c r="D521" i="16"/>
  <c r="J521" i="16"/>
  <c r="N521" i="16" s="1"/>
  <c r="Q521" i="16"/>
  <c r="P521" i="16"/>
  <c r="R521" i="16"/>
  <c r="L522" i="16"/>
  <c r="C522" i="16"/>
  <c r="K522" i="16" s="1"/>
  <c r="E522" i="16"/>
  <c r="F522" i="16"/>
  <c r="O522" i="16" s="1"/>
  <c r="G522" i="16"/>
  <c r="I522" i="16"/>
  <c r="B523" i="16"/>
  <c r="U466" i="16"/>
  <c r="S466" i="16"/>
  <c r="T466" i="16" s="1"/>
  <c r="M467" i="16"/>
  <c r="D467" i="16"/>
  <c r="J467" i="16"/>
  <c r="N467" i="16" s="1"/>
  <c r="Q467" i="16"/>
  <c r="P467" i="16"/>
  <c r="R467" i="16"/>
  <c r="L468" i="16"/>
  <c r="C468" i="16"/>
  <c r="K468" i="16" s="1"/>
  <c r="E468" i="16"/>
  <c r="F468" i="16"/>
  <c r="O468" i="16" s="1"/>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U358" i="16"/>
  <c r="S358" i="16"/>
  <c r="T358" i="16" s="1"/>
  <c r="M359" i="16"/>
  <c r="D359" i="16"/>
  <c r="J359" i="16"/>
  <c r="N359" i="16" s="1"/>
  <c r="P359" i="16"/>
  <c r="Q359" i="16"/>
  <c r="R359" i="16"/>
  <c r="L360" i="16"/>
  <c r="C360" i="16"/>
  <c r="K360" i="16" s="1"/>
  <c r="E360" i="16"/>
  <c r="F360" i="16"/>
  <c r="O360" i="16" s="1"/>
  <c r="G360" i="16"/>
  <c r="I360" i="16"/>
  <c r="B361" i="16"/>
  <c r="U304" i="16"/>
  <c r="S304" i="16"/>
  <c r="T304" i="16" s="1"/>
  <c r="M305" i="16"/>
  <c r="D305" i="16"/>
  <c r="J305" i="16"/>
  <c r="N305" i="16" s="1"/>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U142" i="16"/>
  <c r="S142" i="16"/>
  <c r="T142" i="16" s="1"/>
  <c r="D143" i="16"/>
  <c r="J143" i="16"/>
  <c r="P143" i="16"/>
  <c r="Q143" i="16"/>
  <c r="R143" i="16"/>
  <c r="L144" i="16"/>
  <c r="C144" i="16"/>
  <c r="K144" i="16" s="1"/>
  <c r="E144" i="16"/>
  <c r="F144" i="16"/>
  <c r="O144" i="16" s="1"/>
  <c r="G144" i="16"/>
  <c r="I144" i="16"/>
  <c r="B145" i="16"/>
  <c r="M89" i="16"/>
  <c r="D89" i="16"/>
  <c r="J89" i="16"/>
  <c r="N89" i="16" s="1"/>
  <c r="P89" i="16"/>
  <c r="Q89" i="16"/>
  <c r="R89" i="16"/>
  <c r="L90" i="16"/>
  <c r="C90" i="16"/>
  <c r="K90" i="16" s="1"/>
  <c r="E90" i="16"/>
  <c r="F90" i="16"/>
  <c r="O90" i="16" s="1"/>
  <c r="G90" i="16"/>
  <c r="I90" i="16"/>
  <c r="B91" i="16"/>
  <c r="U26" i="4"/>
  <c r="S26" i="4"/>
  <c r="T26" i="4" s="1"/>
  <c r="H26" i="5"/>
  <c r="M27" i="4"/>
  <c r="D27" i="4"/>
  <c r="J27" i="4"/>
  <c r="N27" i="4" s="1"/>
  <c r="AE27" i="4"/>
  <c r="AD27" i="4"/>
  <c r="AC27" i="4"/>
  <c r="AB27" i="4"/>
  <c r="AA27" i="4"/>
  <c r="Z27" i="4"/>
  <c r="Y27" i="4"/>
  <c r="X27" i="4"/>
  <c r="W27" i="4"/>
  <c r="P27" i="4"/>
  <c r="Q27" i="4"/>
  <c r="R27" i="4"/>
  <c r="V27" i="4"/>
  <c r="L28" i="4"/>
  <c r="C28" i="4"/>
  <c r="E28" i="4"/>
  <c r="G28" i="4"/>
  <c r="AG28" i="4" s="1"/>
  <c r="I28" i="4"/>
  <c r="B29" i="4"/>
  <c r="B28" i="5"/>
  <c r="AI16" i="4"/>
  <c r="B76" i="7"/>
  <c r="I76" i="7" s="1"/>
  <c r="AH15" i="4"/>
  <c r="AG17" i="4"/>
  <c r="AG18" i="4"/>
  <c r="AG19" i="4"/>
  <c r="AG20" i="4"/>
  <c r="AG21" i="4"/>
  <c r="AG22" i="4"/>
  <c r="AG23" i="4"/>
  <c r="AG24" i="4"/>
  <c r="AG25" i="4"/>
  <c r="AG26" i="4"/>
  <c r="AG27" i="4"/>
  <c r="U4167" i="16"/>
  <c r="S4167" i="16"/>
  <c r="T4167" i="16" s="1"/>
  <c r="U3759" i="16"/>
  <c r="S3759" i="16"/>
  <c r="T3759" i="16" s="1"/>
  <c r="U3489" i="16"/>
  <c r="S3489" i="16"/>
  <c r="T3489" i="16" s="1"/>
  <c r="S3435" i="16"/>
  <c r="T3435" i="16" s="1"/>
  <c r="U3435" i="16"/>
  <c r="U3165" i="16"/>
  <c r="S3165" i="16"/>
  <c r="T3165" i="16" s="1"/>
  <c r="U3003" i="16"/>
  <c r="S3003" i="16"/>
  <c r="T3003" i="16" s="1"/>
  <c r="U2949" i="16"/>
  <c r="S2949" i="16"/>
  <c r="T2949" i="16" s="1"/>
  <c r="U2733" i="16"/>
  <c r="S2733" i="16"/>
  <c r="T2733" i="16" s="1"/>
  <c r="U2679" i="16"/>
  <c r="S2679" i="16"/>
  <c r="T2679" i="16" s="1"/>
  <c r="U2517" i="16"/>
  <c r="S2517" i="16"/>
  <c r="T2517" i="16" s="1"/>
  <c r="U2247" i="16"/>
  <c r="S2247" i="16"/>
  <c r="T2247" i="16" s="1"/>
  <c r="U1653" i="16"/>
  <c r="S1653" i="16"/>
  <c r="T1653" i="16" s="1"/>
  <c r="U1437" i="16"/>
  <c r="S1437" i="16"/>
  <c r="T1437" i="16" s="1"/>
  <c r="U1383" i="16"/>
  <c r="S1383" i="16"/>
  <c r="T1383" i="16" s="1"/>
  <c r="U1113" i="16"/>
  <c r="S1113" i="16"/>
  <c r="T1113" i="16" s="1"/>
  <c r="U897" i="16"/>
  <c r="S897" i="16"/>
  <c r="T897" i="16" s="1"/>
  <c r="U843" i="16"/>
  <c r="S843" i="16"/>
  <c r="T843" i="16" s="1"/>
  <c r="U627" i="16"/>
  <c r="S627" i="16"/>
  <c r="T627" i="16" s="1"/>
  <c r="U573" i="16"/>
  <c r="S573" i="16"/>
  <c r="T573" i="16" s="1"/>
  <c r="U303" i="16"/>
  <c r="S303" i="16"/>
  <c r="T303" i="16" s="1"/>
  <c r="N4222" i="16"/>
  <c r="M4222" i="16"/>
  <c r="N4114" i="16"/>
  <c r="M4114" i="16"/>
  <c r="M3598" i="16"/>
  <c r="N3598" i="16"/>
  <c r="M3490" i="16"/>
  <c r="N3490" i="16"/>
  <c r="N3436" i="16"/>
  <c r="M3436" i="16"/>
  <c r="M3328" i="16"/>
  <c r="N3328" i="16"/>
  <c r="N3220" i="16"/>
  <c r="M3220" i="16"/>
  <c r="M2842" i="16"/>
  <c r="N2842" i="16"/>
  <c r="M2788" i="16"/>
  <c r="N2788" i="16"/>
  <c r="S2788" i="16" s="1"/>
  <c r="T2788" i="16" s="1"/>
  <c r="U2788" i="16" s="1"/>
  <c r="M2572" i="16"/>
  <c r="N2572" i="16"/>
  <c r="M2248" i="16"/>
  <c r="N2248" i="16"/>
  <c r="M2032" i="16"/>
  <c r="N2032" i="16"/>
  <c r="M1978" i="16"/>
  <c r="N1978" i="16"/>
  <c r="M1708" i="16"/>
  <c r="N1708" i="16"/>
  <c r="N1492" i="16"/>
  <c r="M1492" i="16"/>
  <c r="N1438" i="16"/>
  <c r="M1438" i="16"/>
  <c r="M1276" i="16"/>
  <c r="N1276" i="16"/>
  <c r="M1168" i="16"/>
  <c r="N1168" i="16"/>
  <c r="M898" i="16"/>
  <c r="N898" i="16"/>
  <c r="M628" i="16"/>
  <c r="N628" i="16"/>
  <c r="M88" i="16"/>
  <c r="N88" i="16"/>
  <c r="K4523" i="16"/>
  <c r="F4523" i="16"/>
  <c r="F3653" i="16"/>
  <c r="O3653" i="16" s="1"/>
  <c r="K3653" i="16"/>
  <c r="K3491" i="16"/>
  <c r="F3491" i="16"/>
  <c r="O3491" i="16" s="1"/>
  <c r="K3437" i="16"/>
  <c r="F3437" i="16"/>
  <c r="O3437" i="16" s="1"/>
  <c r="F3383" i="16"/>
  <c r="O3383" i="16" s="1"/>
  <c r="K3383" i="16"/>
  <c r="K3059" i="16"/>
  <c r="F3059" i="16"/>
  <c r="O3059" i="16" s="1"/>
  <c r="F3005" i="16"/>
  <c r="O3005" i="16" s="1"/>
  <c r="K3005" i="16"/>
  <c r="F2897" i="16"/>
  <c r="O2897" i="16" s="1"/>
  <c r="K2897" i="16"/>
  <c r="K2411" i="16"/>
  <c r="F2411" i="16"/>
  <c r="O2411" i="16" s="1"/>
  <c r="F2195" i="16"/>
  <c r="O2195" i="16" s="1"/>
  <c r="K2195" i="16"/>
  <c r="F2141" i="16"/>
  <c r="O2141" i="16" s="1"/>
  <c r="K2141" i="16"/>
  <c r="K1925" i="16"/>
  <c r="F1925" i="16"/>
  <c r="O1925" i="16" s="1"/>
  <c r="K1655" i="16"/>
  <c r="F1655" i="16"/>
  <c r="O1655" i="16" s="1"/>
  <c r="K1493" i="16"/>
  <c r="F1493" i="16"/>
  <c r="O1493" i="16" s="1"/>
  <c r="K1439" i="16"/>
  <c r="F1439" i="16"/>
  <c r="O1439" i="16" s="1"/>
  <c r="F1385" i="16"/>
  <c r="O1385" i="16" s="1"/>
  <c r="K1385" i="16"/>
  <c r="K1169" i="16"/>
  <c r="F1169" i="16"/>
  <c r="O1169" i="16" s="1"/>
  <c r="K1115" i="16"/>
  <c r="F1115" i="16"/>
  <c r="O1115" i="16" s="1"/>
  <c r="F845" i="16"/>
  <c r="O845" i="16" s="1"/>
  <c r="K845" i="16"/>
  <c r="K143" i="16"/>
  <c r="F143" i="16"/>
  <c r="O143" i="16" s="1"/>
  <c r="F26" i="5"/>
  <c r="G26" i="5"/>
  <c r="K3276" i="16" l="1"/>
  <c r="F3276" i="16"/>
  <c r="O3276" i="16" s="1"/>
  <c r="K2412" i="16"/>
  <c r="F2412" i="16"/>
  <c r="O2412" i="16" s="1"/>
  <c r="K1818" i="16"/>
  <c r="F1818" i="16"/>
  <c r="O1818" i="16" s="1"/>
  <c r="K1008" i="16"/>
  <c r="F1008" i="16"/>
  <c r="O1008" i="16" s="1"/>
  <c r="K792" i="16"/>
  <c r="F792" i="16"/>
  <c r="O792" i="16" s="1"/>
  <c r="K576" i="16"/>
  <c r="F576" i="16"/>
  <c r="O576" i="16" s="1"/>
  <c r="T4684" i="16"/>
  <c r="U4685" i="16"/>
  <c r="S4685" i="16"/>
  <c r="T4685" i="16" s="1"/>
  <c r="M4686" i="16"/>
  <c r="D4686" i="16"/>
  <c r="J4686" i="16"/>
  <c r="N4686" i="16" s="1"/>
  <c r="P4686" i="16"/>
  <c r="Q4686" i="16"/>
  <c r="R4686" i="16"/>
  <c r="L4687" i="16"/>
  <c r="C4687" i="16"/>
  <c r="K4687" i="16" s="1"/>
  <c r="E4687" i="16"/>
  <c r="F4687" i="16"/>
  <c r="G4687" i="16"/>
  <c r="I4687" i="16"/>
  <c r="B4688" i="16"/>
  <c r="P4632" i="16"/>
  <c r="Q4632" i="16"/>
  <c r="R4632" i="16"/>
  <c r="C4633" i="16"/>
  <c r="D4633" i="16" s="1"/>
  <c r="E4633" i="16"/>
  <c r="F4633" i="16"/>
  <c r="O4633" i="16" s="1"/>
  <c r="G4633" i="16"/>
  <c r="B4634" i="16"/>
  <c r="D4578" i="16"/>
  <c r="J4578" i="16"/>
  <c r="P4578" i="16"/>
  <c r="Q4578" i="16"/>
  <c r="R4578" i="16"/>
  <c r="L4579" i="16"/>
  <c r="C4579" i="16"/>
  <c r="K4579" i="16" s="1"/>
  <c r="E4579" i="16"/>
  <c r="F4579" i="16"/>
  <c r="G4579" i="16"/>
  <c r="I4579" i="16"/>
  <c r="B4580" i="16"/>
  <c r="M4524" i="16"/>
  <c r="D4524" i="16"/>
  <c r="J4524" i="16"/>
  <c r="N4524" i="16" s="1"/>
  <c r="P4524" i="16"/>
  <c r="Q4524" i="16"/>
  <c r="R4524" i="16"/>
  <c r="L4525" i="16"/>
  <c r="C4525" i="16"/>
  <c r="K4525" i="16" s="1"/>
  <c r="E4525" i="16"/>
  <c r="F4525" i="16"/>
  <c r="G4525" i="16"/>
  <c r="I4525" i="16"/>
  <c r="B4526" i="16"/>
  <c r="U4223" i="16"/>
  <c r="S4223" i="16"/>
  <c r="T4223" i="16" s="1"/>
  <c r="E4225" i="16"/>
  <c r="G4225" i="16"/>
  <c r="B4226" i="16"/>
  <c r="C4225" i="16"/>
  <c r="F4225" i="16"/>
  <c r="O4225" i="16" s="1"/>
  <c r="I4225" i="16"/>
  <c r="K4225" i="16"/>
  <c r="L4225" i="16"/>
  <c r="J4224" i="16"/>
  <c r="N4224" i="16" s="1"/>
  <c r="D4224" i="16"/>
  <c r="P4224" i="16"/>
  <c r="Q4224" i="16"/>
  <c r="R4224" i="16"/>
  <c r="M4224" i="16"/>
  <c r="D4170" i="16"/>
  <c r="J4170" i="16"/>
  <c r="N4170" i="16" s="1"/>
  <c r="P4170" i="16"/>
  <c r="Q4170" i="16"/>
  <c r="R4170" i="16"/>
  <c r="M4170" i="16"/>
  <c r="E4171" i="16"/>
  <c r="G4171" i="16"/>
  <c r="I4171" i="16"/>
  <c r="B4172" i="16"/>
  <c r="C4171" i="16"/>
  <c r="L4171" i="16"/>
  <c r="U4169" i="16"/>
  <c r="S4169" i="16"/>
  <c r="T4169" i="16" s="1"/>
  <c r="P4116" i="16"/>
  <c r="Q4116" i="16"/>
  <c r="R4116" i="16"/>
  <c r="D4116" i="16"/>
  <c r="J4116" i="16"/>
  <c r="N4116" i="16" s="1"/>
  <c r="M4116" i="16"/>
  <c r="C4117" i="16"/>
  <c r="E4117" i="16"/>
  <c r="F4117" i="16"/>
  <c r="O4117" i="16" s="1"/>
  <c r="G4117" i="16"/>
  <c r="K4117" i="16"/>
  <c r="I4117" i="16"/>
  <c r="L4117" i="16"/>
  <c r="B4118" i="16"/>
  <c r="U4115" i="16"/>
  <c r="S4115" i="16"/>
  <c r="T4115" i="16" s="1"/>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C3763" i="16"/>
  <c r="K3763" i="16" s="1"/>
  <c r="E3763" i="16"/>
  <c r="F3763" i="16"/>
  <c r="O3763" i="16" s="1"/>
  <c r="G3763" i="16"/>
  <c r="I3763" i="16"/>
  <c r="B3764" i="16"/>
  <c r="U3707" i="16"/>
  <c r="S3707" i="16"/>
  <c r="T3707" i="16" s="1"/>
  <c r="D3708" i="16"/>
  <c r="J3708" i="16"/>
  <c r="P3708" i="16"/>
  <c r="Q3708" i="16"/>
  <c r="R3708" i="16"/>
  <c r="L3709" i="16"/>
  <c r="C3709" i="16"/>
  <c r="E3709" i="16"/>
  <c r="G3709" i="16"/>
  <c r="B3710" i="16"/>
  <c r="I3709" i="16"/>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P3492" i="16"/>
  <c r="Q3492" i="16"/>
  <c r="R3492" i="16"/>
  <c r="D3492" i="16"/>
  <c r="J3492" i="16"/>
  <c r="L3493" i="16"/>
  <c r="C3493" i="16"/>
  <c r="E3493" i="16"/>
  <c r="G3493" i="16"/>
  <c r="I3493" i="16"/>
  <c r="B3494" i="16"/>
  <c r="D3438" i="16"/>
  <c r="J3438" i="16"/>
  <c r="P3438" i="16"/>
  <c r="Q3438" i="16"/>
  <c r="R3438" i="16"/>
  <c r="L3439" i="16"/>
  <c r="C3439" i="16"/>
  <c r="E3439" i="16"/>
  <c r="G3439" i="16"/>
  <c r="B3440" i="16"/>
  <c r="I3439" i="16"/>
  <c r="M3384" i="16"/>
  <c r="D3384" i="16"/>
  <c r="J3384" i="16"/>
  <c r="N3384" i="16" s="1"/>
  <c r="P3384" i="16"/>
  <c r="Q3384" i="16"/>
  <c r="R3384" i="16"/>
  <c r="L3385" i="16"/>
  <c r="C3385" i="16"/>
  <c r="E3385" i="16"/>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M3276" i="16"/>
  <c r="D3276" i="16"/>
  <c r="J3276" i="16"/>
  <c r="N3276" i="16" s="1"/>
  <c r="P3276" i="16"/>
  <c r="Q3276" i="16"/>
  <c r="R3276" i="16"/>
  <c r="L3277" i="16"/>
  <c r="C3277" i="16"/>
  <c r="K3277" i="16" s="1"/>
  <c r="E3277" i="16"/>
  <c r="F3277" i="16"/>
  <c r="O3277" i="16" s="1"/>
  <c r="G3277" i="16"/>
  <c r="I3277" i="16"/>
  <c r="B3278" i="16"/>
  <c r="U3221" i="16"/>
  <c r="S3221" i="16"/>
  <c r="T3221" i="16" s="1"/>
  <c r="J3222" i="16"/>
  <c r="D3222" i="16"/>
  <c r="L3223" i="16"/>
  <c r="E3223" i="16"/>
  <c r="G3223" i="16"/>
  <c r="I3223" i="16"/>
  <c r="B3224" i="16"/>
  <c r="C3223" i="16"/>
  <c r="K3223" i="16" s="1"/>
  <c r="F3223" i="16"/>
  <c r="O3223" i="16" s="1"/>
  <c r="P3222" i="16"/>
  <c r="R3222" i="16"/>
  <c r="Q3222" i="16"/>
  <c r="U3167" i="16"/>
  <c r="S3167" i="16"/>
  <c r="T3167" i="16" s="1"/>
  <c r="P3168" i="16"/>
  <c r="Q3168" i="16"/>
  <c r="R3168" i="16"/>
  <c r="J3168" i="16"/>
  <c r="D3168" i="16"/>
  <c r="L3169" i="16"/>
  <c r="B3170" i="16"/>
  <c r="I3169" i="16"/>
  <c r="C3169" i="16"/>
  <c r="E3169" i="16"/>
  <c r="G3169" i="16"/>
  <c r="U3113" i="16"/>
  <c r="S3113" i="16"/>
  <c r="T3113" i="16" s="1"/>
  <c r="P3114" i="16"/>
  <c r="Q3114" i="16"/>
  <c r="R3114" i="16"/>
  <c r="L3115" i="16"/>
  <c r="B3116" i="16"/>
  <c r="C3115" i="16"/>
  <c r="G3115" i="16"/>
  <c r="I3115" i="16"/>
  <c r="E3115" i="16"/>
  <c r="D3114" i="16"/>
  <c r="J3114" i="16"/>
  <c r="M3060" i="16"/>
  <c r="D3060" i="16"/>
  <c r="J3060" i="16"/>
  <c r="N3060" i="16" s="1"/>
  <c r="L3061" i="16"/>
  <c r="C3061" i="16"/>
  <c r="K3061" i="16" s="1"/>
  <c r="G3061" i="16"/>
  <c r="I3061" i="16"/>
  <c r="B3062" i="16"/>
  <c r="E3061" i="16"/>
  <c r="F3061" i="16"/>
  <c r="O3061" i="16" s="1"/>
  <c r="P3060" i="16"/>
  <c r="Q3060" i="16"/>
  <c r="R3060" i="16"/>
  <c r="P3006" i="16"/>
  <c r="Q3006" i="16"/>
  <c r="R3006" i="16"/>
  <c r="L3007" i="16"/>
  <c r="G3007" i="16"/>
  <c r="B3008" i="16"/>
  <c r="I3007" i="16"/>
  <c r="C3007" i="16"/>
  <c r="E3007" i="16"/>
  <c r="J3006" i="16"/>
  <c r="D3006" i="16"/>
  <c r="U2951" i="16"/>
  <c r="S2951" i="16"/>
  <c r="T2951" i="16" s="1"/>
  <c r="D2952" i="16"/>
  <c r="J2952" i="16"/>
  <c r="P2952" i="16"/>
  <c r="Q2952" i="16"/>
  <c r="R2952" i="16"/>
  <c r="L2953" i="16"/>
  <c r="C2953" i="16"/>
  <c r="K2953" i="16" s="1"/>
  <c r="E2953" i="16"/>
  <c r="F2953" i="16"/>
  <c r="O2953" i="16" s="1"/>
  <c r="G2953" i="16"/>
  <c r="I2953" i="16"/>
  <c r="B2954" i="16"/>
  <c r="M2898" i="16"/>
  <c r="D2898" i="16"/>
  <c r="J2898" i="16"/>
  <c r="N2898" i="16" s="1"/>
  <c r="P2898" i="16"/>
  <c r="Q2898" i="16"/>
  <c r="R2898" i="16"/>
  <c r="L2899" i="16"/>
  <c r="C2899" i="16"/>
  <c r="E2899" i="16"/>
  <c r="G2899" i="16"/>
  <c r="I2899" i="16"/>
  <c r="B2900" i="16"/>
  <c r="U2843" i="16"/>
  <c r="S2843" i="16"/>
  <c r="T2843" i="16" s="1"/>
  <c r="M2844" i="16"/>
  <c r="D2844" i="16"/>
  <c r="J2844" i="16"/>
  <c r="N2844" i="16" s="1"/>
  <c r="P2844" i="16"/>
  <c r="Q2844" i="16"/>
  <c r="R2844" i="16"/>
  <c r="L2845" i="16"/>
  <c r="C2845" i="16"/>
  <c r="E2845" i="16"/>
  <c r="G2845" i="16"/>
  <c r="I2845" i="16"/>
  <c r="B2846" i="16"/>
  <c r="M2790" i="16"/>
  <c r="D2790" i="16"/>
  <c r="J2790" i="16"/>
  <c r="N2790" i="16" s="1"/>
  <c r="S2790" i="16" s="1"/>
  <c r="T2790" i="16" s="1"/>
  <c r="U2790" i="16" s="1"/>
  <c r="P2790" i="16"/>
  <c r="Q2790" i="16"/>
  <c r="R2790" i="16"/>
  <c r="L2791" i="16"/>
  <c r="C2791" i="16"/>
  <c r="K2791" i="16" s="1"/>
  <c r="E2791" i="16"/>
  <c r="F2791" i="16"/>
  <c r="O2791" i="16" s="1"/>
  <c r="G2791" i="16"/>
  <c r="I2791" i="16"/>
  <c r="B2792" i="16"/>
  <c r="U2735" i="16"/>
  <c r="S2735" i="16"/>
  <c r="T2735" i="16" s="1"/>
  <c r="D2736" i="16"/>
  <c r="J2736" i="16"/>
  <c r="P2736" i="16"/>
  <c r="Q2736" i="16"/>
  <c r="R2736" i="16"/>
  <c r="L2737" i="16"/>
  <c r="C2737" i="16"/>
  <c r="K2737" i="16" s="1"/>
  <c r="E2737" i="16"/>
  <c r="F2737" i="16"/>
  <c r="O2737" i="16" s="1"/>
  <c r="G2737" i="16"/>
  <c r="I2737" i="16"/>
  <c r="B2738" i="16"/>
  <c r="U2681" i="16"/>
  <c r="S2681" i="16"/>
  <c r="T2681" i="16" s="1"/>
  <c r="M2682" i="16"/>
  <c r="D2682" i="16"/>
  <c r="J2682" i="16"/>
  <c r="N2682" i="16" s="1"/>
  <c r="P2682" i="16"/>
  <c r="Q2682" i="16"/>
  <c r="R2682" i="16"/>
  <c r="L2683" i="16"/>
  <c r="C2683" i="16"/>
  <c r="E2683" i="16"/>
  <c r="G2683" i="16"/>
  <c r="I2683" i="16"/>
  <c r="B2684" i="16"/>
  <c r="U2627" i="16"/>
  <c r="S2627" i="16"/>
  <c r="T2627" i="16" s="1"/>
  <c r="M2628" i="16"/>
  <c r="D2628" i="16"/>
  <c r="J2628" i="16"/>
  <c r="N2628" i="16" s="1"/>
  <c r="P2628" i="16"/>
  <c r="Q2628" i="16"/>
  <c r="R2628" i="16"/>
  <c r="L2629" i="16"/>
  <c r="C2629" i="16"/>
  <c r="K2629" i="16" s="1"/>
  <c r="E2629" i="16"/>
  <c r="F2629" i="16"/>
  <c r="O2629" i="16" s="1"/>
  <c r="G2629" i="16"/>
  <c r="I2629" i="16"/>
  <c r="B2630" i="16"/>
  <c r="U2573" i="16"/>
  <c r="S2573" i="16"/>
  <c r="T2573" i="16" s="1"/>
  <c r="M2574" i="16"/>
  <c r="D2574" i="16"/>
  <c r="J2574" i="16"/>
  <c r="N2574" i="16" s="1"/>
  <c r="P2574" i="16"/>
  <c r="Q2574" i="16"/>
  <c r="R2574" i="16"/>
  <c r="L2575" i="16"/>
  <c r="C2575" i="16"/>
  <c r="K2575" i="16" s="1"/>
  <c r="E2575" i="16"/>
  <c r="F2575" i="16"/>
  <c r="O2575" i="16" s="1"/>
  <c r="G2575" i="16"/>
  <c r="I2575" i="16"/>
  <c r="B2576" i="16"/>
  <c r="U2519" i="16"/>
  <c r="S2519" i="16"/>
  <c r="T2519" i="16" s="1"/>
  <c r="M2520" i="16"/>
  <c r="D2520" i="16"/>
  <c r="J2520" i="16"/>
  <c r="N2520" i="16" s="1"/>
  <c r="Q2520" i="16"/>
  <c r="P2520" i="16"/>
  <c r="R2520" i="16"/>
  <c r="L2521" i="16"/>
  <c r="C2521" i="16"/>
  <c r="E2521" i="16"/>
  <c r="G2521" i="16"/>
  <c r="I2521" i="16"/>
  <c r="B2522" i="16"/>
  <c r="U2465" i="16"/>
  <c r="S2465" i="16"/>
  <c r="T2465" i="16" s="1"/>
  <c r="D2466" i="16"/>
  <c r="J2466" i="16"/>
  <c r="Q2466" i="16"/>
  <c r="P2466" i="16"/>
  <c r="R2466" i="16"/>
  <c r="L2467" i="16"/>
  <c r="C2467" i="16"/>
  <c r="E2467" i="16"/>
  <c r="G2467" i="16"/>
  <c r="I2467" i="16"/>
  <c r="B2468" i="16"/>
  <c r="M2412" i="16"/>
  <c r="D2412" i="16"/>
  <c r="J2412" i="16"/>
  <c r="N2412" i="16" s="1"/>
  <c r="Q2412" i="16"/>
  <c r="R2412" i="16"/>
  <c r="P2412" i="16"/>
  <c r="L2413" i="16"/>
  <c r="C2413" i="16"/>
  <c r="E2413" i="16"/>
  <c r="G2413" i="16"/>
  <c r="I2413" i="16"/>
  <c r="B2414" i="16"/>
  <c r="U2357" i="16"/>
  <c r="S2357" i="16"/>
  <c r="T2357" i="16" s="1"/>
  <c r="M2358" i="16"/>
  <c r="D2358" i="16"/>
  <c r="J2358" i="16"/>
  <c r="N2358" i="16" s="1"/>
  <c r="P2358" i="16"/>
  <c r="Q2358" i="16"/>
  <c r="R2358" i="16"/>
  <c r="L2359" i="16"/>
  <c r="C2359" i="16"/>
  <c r="E2359" i="16"/>
  <c r="G2359" i="16"/>
  <c r="I2359" i="16"/>
  <c r="B2360" i="16"/>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P2196" i="16"/>
  <c r="Q2196" i="16"/>
  <c r="R2196" i="16"/>
  <c r="J2196" i="16"/>
  <c r="D2196" i="16"/>
  <c r="L2197" i="16"/>
  <c r="G2197" i="16"/>
  <c r="B2198" i="16"/>
  <c r="I2197" i="16"/>
  <c r="C2197" i="16"/>
  <c r="E2197" i="16"/>
  <c r="M2142" i="16"/>
  <c r="D2142" i="16"/>
  <c r="J2142" i="16"/>
  <c r="N2142" i="16" s="1"/>
  <c r="P2142" i="16"/>
  <c r="Q2142" i="16"/>
  <c r="R2142" i="16"/>
  <c r="L2143" i="16"/>
  <c r="E2143" i="16"/>
  <c r="G2143" i="16"/>
  <c r="I2143" i="16"/>
  <c r="C2143" i="16"/>
  <c r="B2144" i="16"/>
  <c r="U2087" i="16"/>
  <c r="S2087" i="16"/>
  <c r="T2087" i="16" s="1"/>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D1926" i="16"/>
  <c r="J1926" i="16"/>
  <c r="P1926" i="16"/>
  <c r="Q1926" i="16"/>
  <c r="R1926" i="16"/>
  <c r="L1927" i="16"/>
  <c r="C1927" i="16"/>
  <c r="K1927" i="16" s="1"/>
  <c r="E1927" i="16"/>
  <c r="F1927" i="16"/>
  <c r="O1927" i="16" s="1"/>
  <c r="G1927" i="16"/>
  <c r="I1927" i="16"/>
  <c r="B1928" i="16"/>
  <c r="U1871" i="16"/>
  <c r="S1871" i="16"/>
  <c r="T1871" i="16" s="1"/>
  <c r="M1872" i="16"/>
  <c r="D1872" i="16"/>
  <c r="J1872" i="16"/>
  <c r="N1872" i="16" s="1"/>
  <c r="P1872" i="16"/>
  <c r="Q1872" i="16"/>
  <c r="R1872" i="16"/>
  <c r="L1873" i="16"/>
  <c r="C1873" i="16"/>
  <c r="E1873" i="16"/>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M1764" i="16"/>
  <c r="D1764" i="16"/>
  <c r="J1764" i="16"/>
  <c r="N1764" i="16" s="1"/>
  <c r="P1764" i="16"/>
  <c r="Q1764" i="16"/>
  <c r="R1764" i="16"/>
  <c r="L1765" i="16"/>
  <c r="C1765" i="16"/>
  <c r="K1765" i="16" s="1"/>
  <c r="E1765" i="16"/>
  <c r="F1765" i="16"/>
  <c r="O1765" i="16" s="1"/>
  <c r="G1765" i="16"/>
  <c r="I1765" i="16"/>
  <c r="B1766" i="16"/>
  <c r="U1709" i="16"/>
  <c r="S1709" i="16"/>
  <c r="T1709" i="16" s="1"/>
  <c r="D1710" i="16"/>
  <c r="J1710" i="16"/>
  <c r="P1710" i="16"/>
  <c r="Q1710" i="16"/>
  <c r="R1710" i="16"/>
  <c r="L1711" i="16"/>
  <c r="C1711" i="16"/>
  <c r="K1711" i="16" s="1"/>
  <c r="E1711" i="16"/>
  <c r="F1711" i="16"/>
  <c r="O1711" i="16" s="1"/>
  <c r="G1711" i="16"/>
  <c r="I1711" i="16"/>
  <c r="B1712" i="16"/>
  <c r="M1656" i="16"/>
  <c r="D1656" i="16"/>
  <c r="J1656" i="16"/>
  <c r="N1656" i="16" s="1"/>
  <c r="P1656" i="16"/>
  <c r="Q1656" i="16"/>
  <c r="R1656" i="16"/>
  <c r="L1657" i="16"/>
  <c r="C1657" i="16"/>
  <c r="K1657" i="16" s="1"/>
  <c r="E1657" i="16"/>
  <c r="F1657" i="16"/>
  <c r="O1657" i="16" s="1"/>
  <c r="G1657" i="16"/>
  <c r="I1657" i="16"/>
  <c r="B1658" i="16"/>
  <c r="U1601" i="16"/>
  <c r="S1601" i="16"/>
  <c r="T1601" i="16" s="1"/>
  <c r="M1602" i="16"/>
  <c r="D1602" i="16"/>
  <c r="J1602" i="16"/>
  <c r="N1602" i="16" s="1"/>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D1494" i="16"/>
  <c r="J1494" i="16"/>
  <c r="P1494" i="16"/>
  <c r="Q1494" i="16"/>
  <c r="R1494" i="16"/>
  <c r="L1495" i="16"/>
  <c r="C1495" i="16"/>
  <c r="K1495" i="16" s="1"/>
  <c r="E1495" i="16"/>
  <c r="F1495" i="16"/>
  <c r="O1495" i="16" s="1"/>
  <c r="G1495" i="16"/>
  <c r="I1495" i="16"/>
  <c r="B1496" i="16"/>
  <c r="P1440" i="16"/>
  <c r="Q1440" i="16"/>
  <c r="R1440" i="16"/>
  <c r="L1441" i="16"/>
  <c r="I1441" i="16"/>
  <c r="B1442" i="16"/>
  <c r="C1441" i="16"/>
  <c r="E1441" i="16"/>
  <c r="G1441" i="16"/>
  <c r="J1440" i="16"/>
  <c r="D1440" i="16"/>
  <c r="P1386" i="16"/>
  <c r="Q1386" i="16"/>
  <c r="R1386" i="16"/>
  <c r="L1387" i="16"/>
  <c r="I1387" i="16"/>
  <c r="E1387" i="16"/>
  <c r="B1388" i="16"/>
  <c r="C1387" i="16"/>
  <c r="G1387" i="16"/>
  <c r="J1386" i="16"/>
  <c r="D1386" i="16"/>
  <c r="U1331" i="16"/>
  <c r="S1331" i="16"/>
  <c r="T1331" i="16" s="1"/>
  <c r="M1332" i="16"/>
  <c r="D1332" i="16"/>
  <c r="J1332" i="16"/>
  <c r="N1332" i="16" s="1"/>
  <c r="P1332" i="16"/>
  <c r="Q1332" i="16"/>
  <c r="R1332" i="16"/>
  <c r="L1333" i="16"/>
  <c r="B1334" i="16"/>
  <c r="G1333" i="16"/>
  <c r="I1333" i="16"/>
  <c r="C1333" i="16"/>
  <c r="E1333" i="16"/>
  <c r="U1277" i="16"/>
  <c r="S1277" i="16"/>
  <c r="T1277" i="16" s="1"/>
  <c r="M1278" i="16"/>
  <c r="P1278" i="16"/>
  <c r="Q1278" i="16"/>
  <c r="R1278" i="16"/>
  <c r="J1278" i="16"/>
  <c r="N1278" i="16" s="1"/>
  <c r="D1278" i="16"/>
  <c r="L1279" i="16"/>
  <c r="E1279" i="16"/>
  <c r="C1279" i="16"/>
  <c r="K1279" i="16" s="1"/>
  <c r="F1279" i="16"/>
  <c r="O1279" i="16" s="1"/>
  <c r="G1279" i="16"/>
  <c r="I1279" i="16"/>
  <c r="B1280" i="16"/>
  <c r="U1224" i="16"/>
  <c r="S1224" i="16"/>
  <c r="T1224" i="16" s="1"/>
  <c r="M1225" i="16"/>
  <c r="L1226" i="16"/>
  <c r="E1226" i="16"/>
  <c r="B1227" i="16"/>
  <c r="C1226" i="16"/>
  <c r="K1226" i="16" s="1"/>
  <c r="F1226" i="16"/>
  <c r="O1226" i="16" s="1"/>
  <c r="I1226" i="16"/>
  <c r="G1226" i="16"/>
  <c r="D1225" i="16"/>
  <c r="J1225" i="16"/>
  <c r="N1225" i="16" s="1"/>
  <c r="P1225" i="16"/>
  <c r="Q1225" i="16"/>
  <c r="R1225" i="16"/>
  <c r="D1170" i="16"/>
  <c r="J1170" i="16"/>
  <c r="P1170" i="16"/>
  <c r="Q1170" i="16"/>
  <c r="R1170" i="16"/>
  <c r="L1171" i="16"/>
  <c r="C1171" i="16"/>
  <c r="K1171" i="16" s="1"/>
  <c r="E1171" i="16"/>
  <c r="F1171" i="16"/>
  <c r="O1171" i="16" s="1"/>
  <c r="G1171" i="16"/>
  <c r="I1171" i="16"/>
  <c r="B1172" i="16"/>
  <c r="M1116" i="16"/>
  <c r="D1116" i="16"/>
  <c r="J1116" i="16"/>
  <c r="N1116" i="16" s="1"/>
  <c r="P1116" i="16"/>
  <c r="Q1116" i="16"/>
  <c r="R1116" i="16"/>
  <c r="L1117" i="16"/>
  <c r="C1117" i="16"/>
  <c r="K1117" i="16" s="1"/>
  <c r="E1117" i="16"/>
  <c r="F1117" i="16"/>
  <c r="O1117" i="16" s="1"/>
  <c r="G1117" i="16"/>
  <c r="I1117" i="16"/>
  <c r="B1118" i="16"/>
  <c r="U1061" i="16"/>
  <c r="S1061" i="16"/>
  <c r="T1061" i="16" s="1"/>
  <c r="M1062" i="16"/>
  <c r="D1062" i="16"/>
  <c r="J1062" i="16"/>
  <c r="N1062" i="16" s="1"/>
  <c r="P1062" i="16"/>
  <c r="Q1062" i="16"/>
  <c r="R1062" i="16"/>
  <c r="L1063" i="16"/>
  <c r="C1063" i="16"/>
  <c r="E1063" i="16"/>
  <c r="G1063" i="16"/>
  <c r="I1063" i="16"/>
  <c r="B1064" i="16"/>
  <c r="U1007" i="16"/>
  <c r="S1007" i="16"/>
  <c r="T1007" i="16" s="1"/>
  <c r="M1008" i="16"/>
  <c r="L1009" i="16"/>
  <c r="B1010" i="16"/>
  <c r="C1009" i="16"/>
  <c r="E1009" i="16"/>
  <c r="G1009" i="16"/>
  <c r="I1009" i="16"/>
  <c r="J1008" i="16"/>
  <c r="N1008" i="16" s="1"/>
  <c r="D1008" i="16"/>
  <c r="P1008" i="16"/>
  <c r="Q1008" i="16"/>
  <c r="R1008" i="16"/>
  <c r="U953" i="16"/>
  <c r="S953" i="16"/>
  <c r="T953" i="16" s="1"/>
  <c r="D954" i="16"/>
  <c r="J954" i="16"/>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M846" i="16"/>
  <c r="D846" i="16"/>
  <c r="J846" i="16"/>
  <c r="N846" i="16" s="1"/>
  <c r="Q846" i="16"/>
  <c r="P846" i="16"/>
  <c r="R846" i="16"/>
  <c r="L847" i="16"/>
  <c r="C847" i="16"/>
  <c r="K847" i="16" s="1"/>
  <c r="E847" i="16"/>
  <c r="F847" i="16"/>
  <c r="O847" i="16" s="1"/>
  <c r="G847" i="16"/>
  <c r="I847" i="16"/>
  <c r="B848" i="16"/>
  <c r="U791" i="16"/>
  <c r="S791" i="16"/>
  <c r="T791" i="16" s="1"/>
  <c r="M792" i="16"/>
  <c r="D792" i="16"/>
  <c r="J792" i="16"/>
  <c r="N792" i="16" s="1"/>
  <c r="P792" i="16"/>
  <c r="Q792" i="16"/>
  <c r="R792" i="16"/>
  <c r="L793" i="16"/>
  <c r="C793" i="16"/>
  <c r="E793" i="16"/>
  <c r="G793" i="16"/>
  <c r="I793" i="16"/>
  <c r="B794" i="16"/>
  <c r="U737" i="16"/>
  <c r="S737" i="16"/>
  <c r="T737" i="16" s="1"/>
  <c r="M738" i="16"/>
  <c r="D738" i="16"/>
  <c r="J738" i="16"/>
  <c r="N738" i="16" s="1"/>
  <c r="P738" i="16"/>
  <c r="Q738" i="16"/>
  <c r="R738" i="16"/>
  <c r="L739" i="16"/>
  <c r="C739" i="16"/>
  <c r="K739" i="16" s="1"/>
  <c r="E739" i="16"/>
  <c r="F739" i="16"/>
  <c r="O739" i="16" s="1"/>
  <c r="G739" i="16"/>
  <c r="I739" i="16"/>
  <c r="B740" i="16"/>
  <c r="U683" i="16"/>
  <c r="S683" i="16"/>
  <c r="T683" i="16" s="1"/>
  <c r="D684" i="16"/>
  <c r="J684" i="16"/>
  <c r="Q684" i="16"/>
  <c r="P684" i="16"/>
  <c r="R684" i="16"/>
  <c r="L685" i="16"/>
  <c r="C685" i="16"/>
  <c r="K685" i="16" s="1"/>
  <c r="E685" i="16"/>
  <c r="F685" i="16"/>
  <c r="O685" i="16" s="1"/>
  <c r="G685" i="16"/>
  <c r="I685" i="16"/>
  <c r="B686" i="16"/>
  <c r="U629" i="16"/>
  <c r="S629" i="16"/>
  <c r="T629" i="16" s="1"/>
  <c r="M630" i="16"/>
  <c r="D630" i="16"/>
  <c r="J630" i="16"/>
  <c r="N630" i="16" s="1"/>
  <c r="Q630" i="16"/>
  <c r="P630" i="16"/>
  <c r="R630" i="16"/>
  <c r="L631" i="16"/>
  <c r="C631" i="16"/>
  <c r="K631" i="16" s="1"/>
  <c r="E631" i="16"/>
  <c r="F631" i="16"/>
  <c r="O631" i="16" s="1"/>
  <c r="G631" i="16"/>
  <c r="I631" i="16"/>
  <c r="B632" i="16"/>
  <c r="U575" i="16"/>
  <c r="S575" i="16"/>
  <c r="T575" i="16" s="1"/>
  <c r="M576" i="16"/>
  <c r="D576" i="16"/>
  <c r="J576" i="16"/>
  <c r="N576" i="16" s="1"/>
  <c r="P576" i="16"/>
  <c r="Q576" i="16"/>
  <c r="R576" i="16"/>
  <c r="L577" i="16"/>
  <c r="C577" i="16"/>
  <c r="E577" i="16"/>
  <c r="G577" i="16"/>
  <c r="I577" i="16"/>
  <c r="B578" i="16"/>
  <c r="U521" i="16"/>
  <c r="S521" i="16"/>
  <c r="T521" i="16" s="1"/>
  <c r="M522" i="16"/>
  <c r="D522" i="16"/>
  <c r="J522" i="16"/>
  <c r="N522" i="16" s="1"/>
  <c r="Q522" i="16"/>
  <c r="P522" i="16"/>
  <c r="R522" i="16"/>
  <c r="L523" i="16"/>
  <c r="C523" i="16"/>
  <c r="K523" i="16" s="1"/>
  <c r="E523" i="16"/>
  <c r="F523" i="16"/>
  <c r="O523" i="16" s="1"/>
  <c r="G523" i="16"/>
  <c r="I523" i="16"/>
  <c r="B524" i="16"/>
  <c r="U467" i="16"/>
  <c r="S467" i="16"/>
  <c r="T467" i="16" s="1"/>
  <c r="M468" i="16"/>
  <c r="D468" i="16"/>
  <c r="J468" i="16"/>
  <c r="N468" i="16" s="1"/>
  <c r="P468" i="16"/>
  <c r="Q468" i="16"/>
  <c r="R468" i="16"/>
  <c r="L469" i="16"/>
  <c r="C469" i="16"/>
  <c r="E469" i="16"/>
  <c r="G469" i="16"/>
  <c r="I469" i="16"/>
  <c r="B470" i="16"/>
  <c r="U413" i="16"/>
  <c r="S413" i="16"/>
  <c r="T413" i="16" s="1"/>
  <c r="M414" i="16"/>
  <c r="D414" i="16"/>
  <c r="J414" i="16"/>
  <c r="N414" i="16" s="1"/>
  <c r="P414" i="16"/>
  <c r="Q414" i="16"/>
  <c r="R414" i="16"/>
  <c r="L415" i="16"/>
  <c r="C415" i="16"/>
  <c r="E415" i="16"/>
  <c r="G415" i="16"/>
  <c r="I415" i="16"/>
  <c r="B416" i="16"/>
  <c r="U359" i="16"/>
  <c r="S359" i="16"/>
  <c r="T359" i="16" s="1"/>
  <c r="M360" i="16"/>
  <c r="D360" i="16"/>
  <c r="J360" i="16"/>
  <c r="N360" i="16" s="1"/>
  <c r="P360" i="16"/>
  <c r="Q360" i="16"/>
  <c r="R360" i="16"/>
  <c r="L361" i="16"/>
  <c r="C361" i="16"/>
  <c r="E361" i="16"/>
  <c r="G361" i="16"/>
  <c r="I361" i="16"/>
  <c r="B362" i="16"/>
  <c r="U305" i="16"/>
  <c r="S305" i="16"/>
  <c r="T305" i="16" s="1"/>
  <c r="M306" i="16"/>
  <c r="D306" i="16"/>
  <c r="J306" i="16"/>
  <c r="N306" i="16" s="1"/>
  <c r="P306" i="16"/>
  <c r="Q306" i="16"/>
  <c r="R306" i="16"/>
  <c r="L307" i="16"/>
  <c r="C307" i="16"/>
  <c r="E307" i="16"/>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K199" i="16" s="1"/>
  <c r="E199" i="16"/>
  <c r="F199" i="16"/>
  <c r="O199" i="16" s="1"/>
  <c r="G199" i="16"/>
  <c r="I199" i="16"/>
  <c r="B200" i="16"/>
  <c r="M144" i="16"/>
  <c r="D144" i="16"/>
  <c r="J144" i="16"/>
  <c r="N144" i="16" s="1"/>
  <c r="P144" i="16"/>
  <c r="Q144" i="16"/>
  <c r="R144" i="16"/>
  <c r="L145" i="16"/>
  <c r="C145" i="16"/>
  <c r="K145" i="16" s="1"/>
  <c r="E145" i="16"/>
  <c r="F145" i="16"/>
  <c r="O145" i="16" s="1"/>
  <c r="G145" i="16"/>
  <c r="I145" i="16"/>
  <c r="B146" i="16"/>
  <c r="U89" i="16"/>
  <c r="S89" i="16"/>
  <c r="T89" i="16" s="1"/>
  <c r="M90" i="16"/>
  <c r="D90" i="16"/>
  <c r="J90" i="16"/>
  <c r="N90" i="16" s="1"/>
  <c r="P90" i="16"/>
  <c r="Q90" i="16"/>
  <c r="R90" i="16"/>
  <c r="L91" i="16"/>
  <c r="C91" i="16"/>
  <c r="E91" i="16"/>
  <c r="G91" i="16"/>
  <c r="I91" i="16"/>
  <c r="B92" i="16"/>
  <c r="U27" i="4"/>
  <c r="S27" i="4"/>
  <c r="T27" i="4" s="1"/>
  <c r="D28" i="4"/>
  <c r="J28" i="4"/>
  <c r="AF28" i="4"/>
  <c r="AE28" i="4"/>
  <c r="AD28" i="4"/>
  <c r="AC28" i="4"/>
  <c r="AB28" i="4"/>
  <c r="AA28" i="4"/>
  <c r="Z28" i="4"/>
  <c r="Y28" i="4"/>
  <c r="X28" i="4"/>
  <c r="W28" i="4"/>
  <c r="P28" i="4"/>
  <c r="F28" i="5" s="1"/>
  <c r="Q28" i="4"/>
  <c r="G28" i="5" s="1"/>
  <c r="R28" i="4"/>
  <c r="H28" i="5" s="1"/>
  <c r="V28" i="4"/>
  <c r="L29" i="4"/>
  <c r="C29" i="4"/>
  <c r="E29" i="4"/>
  <c r="G29" i="4"/>
  <c r="AH29" i="4" s="1"/>
  <c r="I29" i="4"/>
  <c r="B30" i="4"/>
  <c r="B29" i="5"/>
  <c r="AJ16" i="4"/>
  <c r="B77" i="7"/>
  <c r="I77" i="7" s="1"/>
  <c r="AI15" i="4"/>
  <c r="AH17" i="4"/>
  <c r="AH18" i="4"/>
  <c r="AH19" i="4"/>
  <c r="AH20" i="4"/>
  <c r="AH21" i="4"/>
  <c r="AH22" i="4"/>
  <c r="AH23" i="4"/>
  <c r="AH24" i="4"/>
  <c r="AH25" i="4"/>
  <c r="AH26" i="4"/>
  <c r="AH27" i="4"/>
  <c r="AH28" i="4"/>
  <c r="U4222" i="16"/>
  <c r="S4222" i="16"/>
  <c r="T4222" i="16" s="1"/>
  <c r="U4114" i="16"/>
  <c r="S4114" i="16"/>
  <c r="T4114" i="16" s="1"/>
  <c r="U3598" i="16"/>
  <c r="S3598" i="16"/>
  <c r="T3598" i="16" s="1"/>
  <c r="U3490" i="16"/>
  <c r="S3490" i="16"/>
  <c r="T3490" i="16" s="1"/>
  <c r="S3436" i="16"/>
  <c r="T3436" i="16" s="1"/>
  <c r="U3436" i="16"/>
  <c r="U3328" i="16"/>
  <c r="S3328" i="16"/>
  <c r="T3328" i="16" s="1"/>
  <c r="U3220" i="16"/>
  <c r="S3220" i="16"/>
  <c r="T3220" i="16" s="1"/>
  <c r="U2842" i="16"/>
  <c r="S2842" i="16"/>
  <c r="T2842" i="16" s="1"/>
  <c r="U2572" i="16"/>
  <c r="S2572" i="16"/>
  <c r="T2572" i="16" s="1"/>
  <c r="U2248" i="16"/>
  <c r="S2248" i="16"/>
  <c r="T2248" i="16" s="1"/>
  <c r="U2032" i="16"/>
  <c r="S2032" i="16"/>
  <c r="T2032" i="16" s="1"/>
  <c r="U1978" i="16"/>
  <c r="S1978" i="16"/>
  <c r="T1978" i="16" s="1"/>
  <c r="U1708" i="16"/>
  <c r="S1708" i="16"/>
  <c r="T1708" i="16" s="1"/>
  <c r="U1492" i="16"/>
  <c r="S1492" i="16"/>
  <c r="T1492" i="16" s="1"/>
  <c r="U1438" i="16"/>
  <c r="S1438" i="16"/>
  <c r="T1438" i="16" s="1"/>
  <c r="U1276" i="16"/>
  <c r="S1276" i="16"/>
  <c r="T1276" i="16" s="1"/>
  <c r="U1168" i="16"/>
  <c r="S1168" i="16"/>
  <c r="T1168" i="16" s="1"/>
  <c r="U898" i="16"/>
  <c r="S898" i="16"/>
  <c r="T898" i="16" s="1"/>
  <c r="U628" i="16"/>
  <c r="S628" i="16"/>
  <c r="T628" i="16" s="1"/>
  <c r="U88" i="16"/>
  <c r="S88" i="16"/>
  <c r="T88" i="16" s="1"/>
  <c r="M4523" i="16"/>
  <c r="N4523" i="16"/>
  <c r="M3653" i="16"/>
  <c r="N3653" i="16"/>
  <c r="N3491" i="16"/>
  <c r="M3491" i="16"/>
  <c r="N3437" i="16"/>
  <c r="M3437" i="16"/>
  <c r="M3383" i="16"/>
  <c r="N3383" i="16"/>
  <c r="M3059" i="16"/>
  <c r="N3059" i="16"/>
  <c r="M3005" i="16"/>
  <c r="N3005" i="16"/>
  <c r="M2897" i="16"/>
  <c r="N2897" i="16"/>
  <c r="M2411" i="16"/>
  <c r="N2411" i="16"/>
  <c r="N2195" i="16"/>
  <c r="M2195" i="16"/>
  <c r="N2141" i="16"/>
  <c r="M2141" i="16"/>
  <c r="M1925" i="16"/>
  <c r="N1925" i="16"/>
  <c r="M1655" i="16"/>
  <c r="N1655" i="16"/>
  <c r="N1493" i="16"/>
  <c r="M1493" i="16"/>
  <c r="M1439" i="16"/>
  <c r="N1439" i="16"/>
  <c r="M1385" i="16"/>
  <c r="N1385" i="16"/>
  <c r="M1169" i="16"/>
  <c r="N1169" i="16"/>
  <c r="M1115" i="16"/>
  <c r="N1115" i="16"/>
  <c r="M845" i="16"/>
  <c r="N845" i="16"/>
  <c r="M143" i="16"/>
  <c r="N143" i="16"/>
  <c r="D4632" i="16"/>
  <c r="F4632" i="16"/>
  <c r="O4632" i="16" s="1"/>
  <c r="K4578" i="16"/>
  <c r="F4578" i="16"/>
  <c r="F3708" i="16"/>
  <c r="O3708" i="16" s="1"/>
  <c r="K3708" i="16"/>
  <c r="F3492" i="16"/>
  <c r="O3492" i="16" s="1"/>
  <c r="K3492" i="16"/>
  <c r="F3438" i="16"/>
  <c r="O3438" i="16" s="1"/>
  <c r="K3438" i="16"/>
  <c r="K3222" i="16"/>
  <c r="F3222" i="16"/>
  <c r="O3222" i="16" s="1"/>
  <c r="F3168" i="16"/>
  <c r="O3168" i="16" s="1"/>
  <c r="K3168" i="16"/>
  <c r="F3114" i="16"/>
  <c r="O3114" i="16" s="1"/>
  <c r="K3114" i="16"/>
  <c r="F3006" i="16"/>
  <c r="O3006" i="16" s="1"/>
  <c r="K3006" i="16"/>
  <c r="F2952" i="16"/>
  <c r="O2952" i="16" s="1"/>
  <c r="K2952" i="16"/>
  <c r="F2736" i="16"/>
  <c r="O2736" i="16" s="1"/>
  <c r="K2736" i="16"/>
  <c r="F2466" i="16"/>
  <c r="O2466" i="16" s="1"/>
  <c r="K2466" i="16"/>
  <c r="F2196" i="16"/>
  <c r="O2196" i="16" s="1"/>
  <c r="K2196" i="16"/>
  <c r="F1926" i="16"/>
  <c r="O1926" i="16" s="1"/>
  <c r="K1926" i="16"/>
  <c r="K1710" i="16"/>
  <c r="F1710" i="16"/>
  <c r="O1710" i="16" s="1"/>
  <c r="F1494" i="16"/>
  <c r="O1494" i="16" s="1"/>
  <c r="K1494" i="16"/>
  <c r="K1440" i="16"/>
  <c r="F1440" i="16"/>
  <c r="O1440" i="16" s="1"/>
  <c r="K1386" i="16"/>
  <c r="F1386" i="16"/>
  <c r="O1386" i="16" s="1"/>
  <c r="K1170" i="16"/>
  <c r="F1170" i="16"/>
  <c r="O1170" i="16" s="1"/>
  <c r="F954" i="16"/>
  <c r="O954" i="16" s="1"/>
  <c r="K954" i="16"/>
  <c r="F684" i="16"/>
  <c r="O684" i="16" s="1"/>
  <c r="K684" i="16"/>
  <c r="F27" i="5"/>
  <c r="G27" i="5"/>
  <c r="H27" i="5"/>
  <c r="K28" i="4"/>
  <c r="F28" i="4"/>
  <c r="C28" i="5" s="1"/>
  <c r="E28" i="5" s="1"/>
  <c r="O28" i="4" s="1"/>
  <c r="K2899" i="16" l="1"/>
  <c r="F2899" i="16"/>
  <c r="O2899" i="16" s="1"/>
  <c r="K2197" i="16"/>
  <c r="F2197" i="16"/>
  <c r="O2197" i="16" s="1"/>
  <c r="K91" i="16"/>
  <c r="F91" i="16"/>
  <c r="O91" i="16" s="1"/>
  <c r="K29" i="4"/>
  <c r="F29" i="4"/>
  <c r="C29" i="5" s="1"/>
  <c r="E29" i="5" s="1"/>
  <c r="U4686" i="16"/>
  <c r="S4686" i="16"/>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M4579" i="16"/>
  <c r="D4579" i="16"/>
  <c r="J4579" i="16"/>
  <c r="N4579" i="16" s="1"/>
  <c r="P4579" i="16"/>
  <c r="Q4579" i="16"/>
  <c r="R4579" i="16"/>
  <c r="L4580" i="16"/>
  <c r="C4580" i="16"/>
  <c r="E4580" i="16"/>
  <c r="G4580" i="16"/>
  <c r="I4580" i="16"/>
  <c r="B4581" i="16"/>
  <c r="M4525" i="16"/>
  <c r="D4525" i="16"/>
  <c r="J4525" i="16"/>
  <c r="N4525" i="16" s="1"/>
  <c r="P4525" i="16"/>
  <c r="Q4525" i="16"/>
  <c r="R4525" i="16"/>
  <c r="L4526" i="16"/>
  <c r="C4526" i="16"/>
  <c r="E4526" i="16"/>
  <c r="G4526" i="16"/>
  <c r="I4526" i="16"/>
  <c r="B4527" i="16"/>
  <c r="P4225" i="16"/>
  <c r="Q4225" i="16"/>
  <c r="R4225" i="16"/>
  <c r="G4226" i="16"/>
  <c r="I4226" i="16"/>
  <c r="B4227" i="16"/>
  <c r="C4226" i="16"/>
  <c r="E4226" i="16"/>
  <c r="L4226" i="16"/>
  <c r="D4225" i="16"/>
  <c r="J4225" i="16"/>
  <c r="N4225" i="16" s="1"/>
  <c r="M4225" i="16"/>
  <c r="U4224" i="16"/>
  <c r="S4224" i="16"/>
  <c r="T4224" i="16" s="1"/>
  <c r="U4170" i="16"/>
  <c r="S4170" i="16"/>
  <c r="T4170" i="16" s="1"/>
  <c r="P4171" i="16"/>
  <c r="Q4171" i="16"/>
  <c r="R4171" i="16"/>
  <c r="C4172" i="16"/>
  <c r="F4172" i="16" s="1"/>
  <c r="O4172" i="16" s="1"/>
  <c r="E4172" i="16"/>
  <c r="G4172" i="16"/>
  <c r="K4172" i="16"/>
  <c r="B4173" i="16"/>
  <c r="I4172" i="16"/>
  <c r="L4172" i="16"/>
  <c r="J4171" i="16"/>
  <c r="D4171" i="16"/>
  <c r="U4116" i="16"/>
  <c r="S4116" i="16"/>
  <c r="T4116" i="16" s="1"/>
  <c r="D4117" i="16"/>
  <c r="J4117" i="16"/>
  <c r="N4117" i="16" s="1"/>
  <c r="P4117" i="16"/>
  <c r="Q4117" i="16"/>
  <c r="R4117" i="16"/>
  <c r="M4117" i="16"/>
  <c r="G4118" i="16"/>
  <c r="I4118" i="16"/>
  <c r="B4119" i="16"/>
  <c r="C4118" i="16"/>
  <c r="E4118" i="16"/>
  <c r="L4118"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M3763" i="16"/>
  <c r="D3763" i="16"/>
  <c r="J3763" i="16"/>
  <c r="N3763" i="16" s="1"/>
  <c r="P3763" i="16"/>
  <c r="Q3763" i="16"/>
  <c r="R3763" i="16"/>
  <c r="L3764" i="16"/>
  <c r="C3764" i="16"/>
  <c r="K3764" i="16" s="1"/>
  <c r="E3764" i="16"/>
  <c r="F3764" i="16"/>
  <c r="O3764" i="16" s="1"/>
  <c r="G3764" i="16"/>
  <c r="I3764" i="16"/>
  <c r="B3765" i="16"/>
  <c r="D3709" i="16"/>
  <c r="J3709" i="16"/>
  <c r="P3709" i="16"/>
  <c r="Q3709" i="16"/>
  <c r="R3709" i="16"/>
  <c r="L3710" i="16"/>
  <c r="C3710" i="16"/>
  <c r="E3710" i="16"/>
  <c r="G3710" i="16"/>
  <c r="I3710" i="16"/>
  <c r="B3711" i="16"/>
  <c r="U3654" i="16"/>
  <c r="S3654" i="16"/>
  <c r="T3654" i="16" s="1"/>
  <c r="M3655" i="16"/>
  <c r="D3655" i="16"/>
  <c r="J3655" i="16"/>
  <c r="N3655" i="16" s="1"/>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J3493" i="16"/>
  <c r="D3493" i="16"/>
  <c r="P3493" i="16"/>
  <c r="Q3493" i="16"/>
  <c r="R3493" i="16"/>
  <c r="L3494" i="16"/>
  <c r="E3494" i="16"/>
  <c r="G3494" i="16"/>
  <c r="C3494" i="16"/>
  <c r="B3495" i="16"/>
  <c r="I3494" i="16"/>
  <c r="D3439" i="16"/>
  <c r="J3439" i="16"/>
  <c r="P3439" i="16"/>
  <c r="Q3439" i="16"/>
  <c r="R3439" i="16"/>
  <c r="L3440" i="16"/>
  <c r="C3440" i="16"/>
  <c r="K3440" i="16" s="1"/>
  <c r="E3440" i="16"/>
  <c r="F3440" i="16"/>
  <c r="O3440" i="16" s="1"/>
  <c r="G3440" i="16"/>
  <c r="B3441" i="16"/>
  <c r="I3440" i="16"/>
  <c r="U3384" i="16"/>
  <c r="S3384" i="16"/>
  <c r="T3384" i="16" s="1"/>
  <c r="D3385" i="16"/>
  <c r="J3385" i="16"/>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K3278" i="16" s="1"/>
  <c r="E3278" i="16"/>
  <c r="F3278" i="16"/>
  <c r="O3278" i="16" s="1"/>
  <c r="G3278" i="16"/>
  <c r="I3278" i="16"/>
  <c r="B3279" i="16"/>
  <c r="M3223" i="16"/>
  <c r="P3223" i="16"/>
  <c r="Q3223" i="16"/>
  <c r="R3223" i="16"/>
  <c r="L3224" i="16"/>
  <c r="G3224" i="16"/>
  <c r="I3224" i="16"/>
  <c r="B3225" i="16"/>
  <c r="C3224" i="16"/>
  <c r="E3224" i="16"/>
  <c r="J3223" i="16"/>
  <c r="N3223" i="16" s="1"/>
  <c r="D3223" i="16"/>
  <c r="L3170" i="16"/>
  <c r="B3171" i="16"/>
  <c r="G3170" i="16"/>
  <c r="C3170" i="16"/>
  <c r="E3170" i="16"/>
  <c r="I3170" i="16"/>
  <c r="D3169" i="16"/>
  <c r="J3169" i="16"/>
  <c r="P3169" i="16"/>
  <c r="Q3169" i="16"/>
  <c r="R3169" i="16"/>
  <c r="L3116" i="16"/>
  <c r="G3116" i="16"/>
  <c r="C3116" i="16"/>
  <c r="E3116" i="16"/>
  <c r="I3116" i="16"/>
  <c r="B3117" i="16"/>
  <c r="J3115" i="16"/>
  <c r="D3115" i="16"/>
  <c r="P3115" i="16"/>
  <c r="Q3115" i="16"/>
  <c r="R3115" i="16"/>
  <c r="U3060" i="16"/>
  <c r="S3060" i="16"/>
  <c r="T3060" i="16" s="1"/>
  <c r="M3061" i="16"/>
  <c r="D3061" i="16"/>
  <c r="J3061" i="16"/>
  <c r="N3061" i="16" s="1"/>
  <c r="P3061" i="16"/>
  <c r="Q3061" i="16"/>
  <c r="R3061" i="16"/>
  <c r="L3062" i="16"/>
  <c r="G3062" i="16"/>
  <c r="B3063" i="16"/>
  <c r="I3062" i="16"/>
  <c r="C3062" i="16"/>
  <c r="E3062" i="16"/>
  <c r="P3007" i="16"/>
  <c r="Q3007" i="16"/>
  <c r="R3007" i="16"/>
  <c r="L3008" i="16"/>
  <c r="I3008" i="16"/>
  <c r="E3008" i="16"/>
  <c r="G3008" i="16"/>
  <c r="B3009" i="16"/>
  <c r="C3008" i="16"/>
  <c r="J3007" i="16"/>
  <c r="D3007" i="16"/>
  <c r="M2953" i="16"/>
  <c r="D2953" i="16"/>
  <c r="J2953" i="16"/>
  <c r="N2953" i="16" s="1"/>
  <c r="P2953" i="16"/>
  <c r="Q2953" i="16"/>
  <c r="R2953" i="16"/>
  <c r="L2954" i="16"/>
  <c r="C2954" i="16"/>
  <c r="K2954" i="16" s="1"/>
  <c r="E2954" i="16"/>
  <c r="F2954" i="16"/>
  <c r="O2954" i="16" s="1"/>
  <c r="G2954" i="16"/>
  <c r="I2954" i="16"/>
  <c r="B2955" i="16"/>
  <c r="U2898" i="16"/>
  <c r="S2898" i="16"/>
  <c r="T2898" i="16" s="1"/>
  <c r="M2899" i="16"/>
  <c r="D2899" i="16"/>
  <c r="J2899" i="16"/>
  <c r="N2899" i="16" s="1"/>
  <c r="P2899" i="16"/>
  <c r="Q2899" i="16"/>
  <c r="R2899" i="16"/>
  <c r="L2900" i="16"/>
  <c r="C2900" i="16"/>
  <c r="E2900" i="16"/>
  <c r="G2900" i="16"/>
  <c r="I2900" i="16"/>
  <c r="B2901" i="16"/>
  <c r="U2844" i="16"/>
  <c r="S2844" i="16"/>
  <c r="T2844" i="16" s="1"/>
  <c r="D2845" i="16"/>
  <c r="J2845" i="16"/>
  <c r="P2845" i="16"/>
  <c r="Q2845" i="16"/>
  <c r="R2845" i="16"/>
  <c r="L2846" i="16"/>
  <c r="C2846" i="16"/>
  <c r="K2846" i="16" s="1"/>
  <c r="E2846" i="16"/>
  <c r="F2846" i="16"/>
  <c r="O2846" i="16" s="1"/>
  <c r="G2846" i="16"/>
  <c r="I2846" i="16"/>
  <c r="B2847" i="16"/>
  <c r="M2791" i="16"/>
  <c r="D2791" i="16"/>
  <c r="J2791" i="16"/>
  <c r="N2791" i="16" s="1"/>
  <c r="S2791" i="16" s="1"/>
  <c r="T2791" i="16" s="1"/>
  <c r="U2791" i="16" s="1"/>
  <c r="P2791" i="16"/>
  <c r="Q2791" i="16"/>
  <c r="R2791" i="16"/>
  <c r="L2792" i="16"/>
  <c r="C2792" i="16"/>
  <c r="K2792" i="16" s="1"/>
  <c r="E2792" i="16"/>
  <c r="F2792" i="16"/>
  <c r="O2792" i="16" s="1"/>
  <c r="G2792" i="16"/>
  <c r="I2792" i="16"/>
  <c r="B2793" i="16"/>
  <c r="M2737" i="16"/>
  <c r="D2737" i="16"/>
  <c r="J2737" i="16"/>
  <c r="N2737" i="16" s="1"/>
  <c r="P2737" i="16"/>
  <c r="Q2737" i="16"/>
  <c r="R2737" i="16"/>
  <c r="L2738" i="16"/>
  <c r="C2738" i="16"/>
  <c r="E2738" i="16"/>
  <c r="G2738" i="16"/>
  <c r="I2738" i="16"/>
  <c r="B2739" i="16"/>
  <c r="U2682" i="16"/>
  <c r="S2682" i="16"/>
  <c r="T2682" i="16" s="1"/>
  <c r="D2683" i="16"/>
  <c r="J2683" i="16"/>
  <c r="P2683" i="16"/>
  <c r="Q2683" i="16"/>
  <c r="R2683" i="16"/>
  <c r="L2684" i="16"/>
  <c r="C2684" i="16"/>
  <c r="K2684" i="16" s="1"/>
  <c r="E2684" i="16"/>
  <c r="F2684" i="16"/>
  <c r="O2684" i="16" s="1"/>
  <c r="G2684" i="16"/>
  <c r="I2684" i="16"/>
  <c r="B2685" i="16"/>
  <c r="U2628" i="16"/>
  <c r="S2628" i="16"/>
  <c r="T2628" i="16" s="1"/>
  <c r="M2629" i="16"/>
  <c r="D2629" i="16"/>
  <c r="J2629" i="16"/>
  <c r="N2629" i="16" s="1"/>
  <c r="P2629" i="16"/>
  <c r="Q2629" i="16"/>
  <c r="R2629" i="16"/>
  <c r="L2630" i="16"/>
  <c r="C2630" i="16"/>
  <c r="E2630" i="16"/>
  <c r="G2630" i="16"/>
  <c r="I2630" i="16"/>
  <c r="B2631" i="16"/>
  <c r="U2574" i="16"/>
  <c r="S2574" i="16"/>
  <c r="T2574" i="16" s="1"/>
  <c r="M2575" i="16"/>
  <c r="D2575" i="16"/>
  <c r="J2575" i="16"/>
  <c r="N2575" i="16" s="1"/>
  <c r="P2575" i="16"/>
  <c r="Q2575" i="16"/>
  <c r="R2575" i="16"/>
  <c r="L2576" i="16"/>
  <c r="C2576" i="16"/>
  <c r="K2576" i="16" s="1"/>
  <c r="E2576" i="16"/>
  <c r="F2576" i="16"/>
  <c r="O2576" i="16" s="1"/>
  <c r="G2576" i="16"/>
  <c r="I2576" i="16"/>
  <c r="B2577" i="16"/>
  <c r="U2520" i="16"/>
  <c r="S2520" i="16"/>
  <c r="T2520" i="16" s="1"/>
  <c r="D2521" i="16"/>
  <c r="J2521" i="16"/>
  <c r="Q2521" i="16"/>
  <c r="P2521" i="16"/>
  <c r="R2521" i="16"/>
  <c r="L2522" i="16"/>
  <c r="C2522" i="16"/>
  <c r="K2522" i="16" s="1"/>
  <c r="E2522" i="16"/>
  <c r="F2522" i="16"/>
  <c r="O2522" i="16" s="1"/>
  <c r="G2522" i="16"/>
  <c r="I2522" i="16"/>
  <c r="B2523" i="16"/>
  <c r="D2467" i="16"/>
  <c r="J2467" i="16"/>
  <c r="Q2467" i="16"/>
  <c r="P2467" i="16"/>
  <c r="R2467" i="16"/>
  <c r="L2468" i="16"/>
  <c r="C2468" i="16"/>
  <c r="K2468" i="16" s="1"/>
  <c r="E2468" i="16"/>
  <c r="F2468" i="16"/>
  <c r="O2468" i="16" s="1"/>
  <c r="G2468" i="16"/>
  <c r="I2468" i="16"/>
  <c r="B2469" i="16"/>
  <c r="U2412" i="16"/>
  <c r="S2412" i="16"/>
  <c r="T2412" i="16" s="1"/>
  <c r="D2413" i="16"/>
  <c r="J2413" i="16"/>
  <c r="P2413" i="16"/>
  <c r="Q2413" i="16"/>
  <c r="R2413" i="16"/>
  <c r="L2414" i="16"/>
  <c r="C2414" i="16"/>
  <c r="E2414" i="16"/>
  <c r="G2414" i="16"/>
  <c r="I2414" i="16"/>
  <c r="B2415" i="16"/>
  <c r="U2358" i="16"/>
  <c r="S2358" i="16"/>
  <c r="T2358" i="16" s="1"/>
  <c r="D2359" i="16"/>
  <c r="J2359" i="16"/>
  <c r="Q2359" i="16"/>
  <c r="R2359" i="16"/>
  <c r="P2359" i="16"/>
  <c r="L2360" i="16"/>
  <c r="C2360" i="16"/>
  <c r="E2360" i="16"/>
  <c r="G2360" i="16"/>
  <c r="I2360" i="16"/>
  <c r="B2361"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M2197" i="16"/>
  <c r="P2197" i="16"/>
  <c r="Q2197" i="16"/>
  <c r="R2197" i="16"/>
  <c r="L2198" i="16"/>
  <c r="C2198" i="16"/>
  <c r="K2198" i="16" s="1"/>
  <c r="E2198" i="16"/>
  <c r="F2198" i="16"/>
  <c r="O2198" i="16" s="1"/>
  <c r="G2198" i="16"/>
  <c r="B2199" i="16"/>
  <c r="I2198" i="16"/>
  <c r="D2197" i="16"/>
  <c r="J2197" i="16"/>
  <c r="N2197" i="16" s="1"/>
  <c r="U2142" i="16"/>
  <c r="S2142" i="16"/>
  <c r="T2142" i="16" s="1"/>
  <c r="Q2143" i="16"/>
  <c r="P2143" i="16"/>
  <c r="R2143" i="16"/>
  <c r="J2143" i="16"/>
  <c r="D2143" i="16"/>
  <c r="L2144" i="16"/>
  <c r="E2144" i="16"/>
  <c r="I2144" i="16"/>
  <c r="B2145" i="16"/>
  <c r="C2144" i="16"/>
  <c r="K2144" i="16" s="1"/>
  <c r="F2144" i="16"/>
  <c r="O2144" i="16" s="1"/>
  <c r="G2144" i="16"/>
  <c r="U2088" i="16"/>
  <c r="S2088" i="16"/>
  <c r="T2088" i="16" s="1"/>
  <c r="M2089" i="16"/>
  <c r="D2089" i="16"/>
  <c r="J2089" i="16"/>
  <c r="N2089" i="16" s="1"/>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U1980" i="16"/>
  <c r="S1980" i="16"/>
  <c r="T1980" i="16" s="1"/>
  <c r="M1981" i="16"/>
  <c r="D1981" i="16"/>
  <c r="J1981" i="16"/>
  <c r="N1981" i="16" s="1"/>
  <c r="P1981" i="16"/>
  <c r="Q1981" i="16"/>
  <c r="R1981" i="16"/>
  <c r="L1982" i="16"/>
  <c r="C1982" i="16"/>
  <c r="E1982" i="16"/>
  <c r="G1982" i="16"/>
  <c r="I1982" i="16"/>
  <c r="B1983" i="16"/>
  <c r="M1927" i="16"/>
  <c r="D1927" i="16"/>
  <c r="J1927" i="16"/>
  <c r="N1927" i="16" s="1"/>
  <c r="P1927" i="16"/>
  <c r="Q1927" i="16"/>
  <c r="R1927" i="16"/>
  <c r="L1928" i="16"/>
  <c r="C1928" i="16"/>
  <c r="K1928" i="16" s="1"/>
  <c r="E1928" i="16"/>
  <c r="F1928" i="16"/>
  <c r="O1928" i="16" s="1"/>
  <c r="G1928" i="16"/>
  <c r="I1928" i="16"/>
  <c r="B1929" i="16"/>
  <c r="U1872" i="16"/>
  <c r="S1872" i="16"/>
  <c r="T1872" i="16" s="1"/>
  <c r="D1873" i="16"/>
  <c r="J1873" i="16"/>
  <c r="P1873" i="16"/>
  <c r="Q1873" i="16"/>
  <c r="R1873" i="16"/>
  <c r="L1874" i="16"/>
  <c r="C1874" i="16"/>
  <c r="K1874" i="16" s="1"/>
  <c r="E1874" i="16"/>
  <c r="F1874" i="16"/>
  <c r="O1874" i="16" s="1"/>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M1711" i="16"/>
  <c r="D1711" i="16"/>
  <c r="J1711" i="16"/>
  <c r="N1711" i="16" s="1"/>
  <c r="P1711" i="16"/>
  <c r="Q1711" i="16"/>
  <c r="R1711" i="16"/>
  <c r="L1712" i="16"/>
  <c r="C1712" i="16"/>
  <c r="K1712" i="16" s="1"/>
  <c r="E1712" i="16"/>
  <c r="F1712" i="16"/>
  <c r="O1712" i="16" s="1"/>
  <c r="G1712" i="16"/>
  <c r="I1712" i="16"/>
  <c r="B1713" i="16"/>
  <c r="U1656" i="16"/>
  <c r="S1656" i="16"/>
  <c r="T1656" i="16" s="1"/>
  <c r="M1657" i="16"/>
  <c r="D1657" i="16"/>
  <c r="J1657" i="16"/>
  <c r="N1657" i="16" s="1"/>
  <c r="P1657" i="16"/>
  <c r="Q1657" i="16"/>
  <c r="R1657" i="16"/>
  <c r="L1658" i="16"/>
  <c r="C1658" i="16"/>
  <c r="E1658" i="16"/>
  <c r="G1658" i="16"/>
  <c r="I1658" i="16"/>
  <c r="B1659" i="16"/>
  <c r="U1602" i="16"/>
  <c r="S1602" i="16"/>
  <c r="T1602" i="16" s="1"/>
  <c r="D1603" i="16"/>
  <c r="J1603" i="16"/>
  <c r="P1603" i="16"/>
  <c r="Q1603" i="16"/>
  <c r="R1603" i="16"/>
  <c r="L1604" i="16"/>
  <c r="C1604" i="16"/>
  <c r="E1604" i="16"/>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M1495" i="16"/>
  <c r="D1495" i="16"/>
  <c r="J1495" i="16"/>
  <c r="N1495" i="16" s="1"/>
  <c r="P1495" i="16"/>
  <c r="Q1495" i="16"/>
  <c r="R1495" i="16"/>
  <c r="L1496" i="16"/>
  <c r="C1496" i="16"/>
  <c r="K1496" i="16" s="1"/>
  <c r="E1496" i="16"/>
  <c r="F1496" i="16"/>
  <c r="O1496" i="16" s="1"/>
  <c r="G1496" i="16"/>
  <c r="B1497" i="16"/>
  <c r="I1496" i="16"/>
  <c r="L1442" i="16"/>
  <c r="I1442" i="16"/>
  <c r="B1443" i="16"/>
  <c r="C1442" i="16"/>
  <c r="K1442" i="16" s="1"/>
  <c r="E1442" i="16"/>
  <c r="F1442" i="16"/>
  <c r="O1442" i="16" s="1"/>
  <c r="G1442" i="16"/>
  <c r="J1441" i="16"/>
  <c r="D1441" i="16"/>
  <c r="P1441" i="16"/>
  <c r="Q1441" i="16"/>
  <c r="R1441" i="16"/>
  <c r="L1388" i="16"/>
  <c r="E1388" i="16"/>
  <c r="G1388" i="16"/>
  <c r="I1388" i="16"/>
  <c r="B1389" i="16"/>
  <c r="C1388" i="16"/>
  <c r="D1387" i="16"/>
  <c r="J1387" i="16"/>
  <c r="P1387" i="16"/>
  <c r="Q1387" i="16"/>
  <c r="R1387" i="16"/>
  <c r="U1332" i="16"/>
  <c r="S1332" i="16"/>
  <c r="T1332" i="16" s="1"/>
  <c r="L1334" i="16"/>
  <c r="B1335" i="16"/>
  <c r="G1334" i="16"/>
  <c r="C1334" i="16"/>
  <c r="E1334" i="16"/>
  <c r="I1334" i="16"/>
  <c r="P1333" i="16"/>
  <c r="Q1333" i="16"/>
  <c r="R1333" i="16"/>
  <c r="J1333" i="16"/>
  <c r="D1333" i="16"/>
  <c r="U1278" i="16"/>
  <c r="S1278" i="16"/>
  <c r="T1278" i="16" s="1"/>
  <c r="M1279" i="16"/>
  <c r="J1279" i="16"/>
  <c r="N1279" i="16" s="1"/>
  <c r="D1279" i="16"/>
  <c r="P1279" i="16"/>
  <c r="Q1279" i="16"/>
  <c r="R1279" i="16"/>
  <c r="L1280" i="16"/>
  <c r="C1280" i="16"/>
  <c r="E1280" i="16"/>
  <c r="G1280" i="16"/>
  <c r="I1280" i="16"/>
  <c r="B1281" i="16"/>
  <c r="U1225" i="16"/>
  <c r="S1225" i="16"/>
  <c r="T1225" i="16" s="1"/>
  <c r="M1226" i="16"/>
  <c r="L1227" i="16"/>
  <c r="I1227" i="16"/>
  <c r="C1227" i="16"/>
  <c r="B1228" i="16"/>
  <c r="E1227" i="16"/>
  <c r="G1227" i="16"/>
  <c r="D1226" i="16"/>
  <c r="J1226" i="16"/>
  <c r="N1226" i="16" s="1"/>
  <c r="P1226" i="16"/>
  <c r="Q1226" i="16"/>
  <c r="R1226" i="16"/>
  <c r="M1171" i="16"/>
  <c r="D1171" i="16"/>
  <c r="J1171" i="16"/>
  <c r="N1171" i="16" s="1"/>
  <c r="P1171" i="16"/>
  <c r="Q1171" i="16"/>
  <c r="R1171" i="16"/>
  <c r="L1172" i="16"/>
  <c r="C1172" i="16"/>
  <c r="K1172" i="16" s="1"/>
  <c r="E1172" i="16"/>
  <c r="F1172" i="16"/>
  <c r="O1172" i="16" s="1"/>
  <c r="G1172" i="16"/>
  <c r="I1172" i="16"/>
  <c r="B1173" i="16"/>
  <c r="U1116" i="16"/>
  <c r="S1116" i="16"/>
  <c r="T1116" i="16" s="1"/>
  <c r="M1117" i="16"/>
  <c r="D1117" i="16"/>
  <c r="J1117" i="16"/>
  <c r="N1117" i="16" s="1"/>
  <c r="P1117" i="16"/>
  <c r="Q1117" i="16"/>
  <c r="R1117" i="16"/>
  <c r="L1118" i="16"/>
  <c r="C1118" i="16"/>
  <c r="E1118" i="16"/>
  <c r="G1118" i="16"/>
  <c r="I1118" i="16"/>
  <c r="B1119" i="16"/>
  <c r="U1062" i="16"/>
  <c r="S1062" i="16"/>
  <c r="T1062" i="16" s="1"/>
  <c r="D1063" i="16"/>
  <c r="J1063" i="16"/>
  <c r="P1063" i="16"/>
  <c r="Q1063" i="16"/>
  <c r="R1063" i="16"/>
  <c r="L1064" i="16"/>
  <c r="C1064" i="16"/>
  <c r="E1064" i="16"/>
  <c r="G1064" i="16"/>
  <c r="I1064" i="16"/>
  <c r="B1065" i="16"/>
  <c r="U1008" i="16"/>
  <c r="S1008" i="16"/>
  <c r="T1008" i="16" s="1"/>
  <c r="L1010" i="16"/>
  <c r="B1011" i="16"/>
  <c r="I1010" i="16"/>
  <c r="G1010" i="16"/>
  <c r="C1010" i="16"/>
  <c r="E1010" i="16"/>
  <c r="D1009" i="16"/>
  <c r="J1009" i="16"/>
  <c r="P1009" i="16"/>
  <c r="Q1009" i="16"/>
  <c r="R1009" i="16"/>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Q901" i="16"/>
  <c r="P901" i="16"/>
  <c r="R901" i="16"/>
  <c r="L902" i="16"/>
  <c r="C902" i="16"/>
  <c r="K902" i="16" s="1"/>
  <c r="E902" i="16"/>
  <c r="F902" i="16"/>
  <c r="O902" i="16" s="1"/>
  <c r="G902" i="16"/>
  <c r="I902" i="16"/>
  <c r="B903" i="16"/>
  <c r="U846" i="16"/>
  <c r="S846" i="16"/>
  <c r="T846" i="16" s="1"/>
  <c r="M847" i="16"/>
  <c r="D847" i="16"/>
  <c r="J847" i="16"/>
  <c r="N847" i="16" s="1"/>
  <c r="P847" i="16"/>
  <c r="Q847" i="16"/>
  <c r="R847" i="16"/>
  <c r="L848" i="16"/>
  <c r="C848" i="16"/>
  <c r="K848" i="16" s="1"/>
  <c r="E848" i="16"/>
  <c r="F848" i="16"/>
  <c r="O848" i="16" s="1"/>
  <c r="G848" i="16"/>
  <c r="I848" i="16"/>
  <c r="B849" i="16"/>
  <c r="U792" i="16"/>
  <c r="S792" i="16"/>
  <c r="T792" i="16" s="1"/>
  <c r="D793" i="16"/>
  <c r="J793" i="16"/>
  <c r="P793" i="16"/>
  <c r="Q793" i="16"/>
  <c r="R793" i="16"/>
  <c r="L794" i="16"/>
  <c r="C794" i="16"/>
  <c r="E794" i="16"/>
  <c r="G794" i="16"/>
  <c r="I794" i="16"/>
  <c r="B795" i="16"/>
  <c r="U738" i="16"/>
  <c r="S738" i="16"/>
  <c r="T738" i="16" s="1"/>
  <c r="D739" i="16"/>
  <c r="M739" i="16" s="1"/>
  <c r="J739" i="16"/>
  <c r="Q739" i="16"/>
  <c r="P739" i="16"/>
  <c r="R739" i="16"/>
  <c r="L740" i="16"/>
  <c r="C740" i="16"/>
  <c r="K740" i="16" s="1"/>
  <c r="E740" i="16"/>
  <c r="F740" i="16"/>
  <c r="O740" i="16" s="1"/>
  <c r="G740" i="16"/>
  <c r="I740" i="16"/>
  <c r="B741" i="16"/>
  <c r="M685" i="16"/>
  <c r="D685" i="16"/>
  <c r="J685" i="16"/>
  <c r="N685" i="16" s="1"/>
  <c r="Q685" i="16"/>
  <c r="P685" i="16"/>
  <c r="R685" i="16"/>
  <c r="L686" i="16"/>
  <c r="C686" i="16"/>
  <c r="K686" i="16" s="1"/>
  <c r="E686" i="16"/>
  <c r="F686" i="16"/>
  <c r="O686" i="16" s="1"/>
  <c r="G686" i="16"/>
  <c r="I686" i="16"/>
  <c r="B687" i="16"/>
  <c r="U630" i="16"/>
  <c r="S630" i="16"/>
  <c r="T630" i="16" s="1"/>
  <c r="M631" i="16"/>
  <c r="D631" i="16"/>
  <c r="J631" i="16"/>
  <c r="N631" i="16" s="1"/>
  <c r="Q631" i="16"/>
  <c r="P631" i="16"/>
  <c r="R631" i="16"/>
  <c r="L632" i="16"/>
  <c r="C632" i="16"/>
  <c r="K632" i="16" s="1"/>
  <c r="E632" i="16"/>
  <c r="F632" i="16"/>
  <c r="O632" i="16" s="1"/>
  <c r="G632" i="16"/>
  <c r="I632" i="16"/>
  <c r="B633" i="16"/>
  <c r="U576" i="16"/>
  <c r="S576" i="16"/>
  <c r="T576" i="16" s="1"/>
  <c r="D577" i="16"/>
  <c r="J577" i="16"/>
  <c r="P577" i="16"/>
  <c r="Q577" i="16"/>
  <c r="R577" i="16"/>
  <c r="L578" i="16"/>
  <c r="C578" i="16"/>
  <c r="E578" i="16"/>
  <c r="G578" i="16"/>
  <c r="I578" i="16"/>
  <c r="B579" i="16"/>
  <c r="U522" i="16"/>
  <c r="S522" i="16"/>
  <c r="T522" i="16" s="1"/>
  <c r="M523" i="16"/>
  <c r="D523" i="16"/>
  <c r="J523" i="16"/>
  <c r="N523" i="16" s="1"/>
  <c r="Q523" i="16"/>
  <c r="P523" i="16"/>
  <c r="R523" i="16"/>
  <c r="L524" i="16"/>
  <c r="C524" i="16"/>
  <c r="E524" i="16"/>
  <c r="G524" i="16"/>
  <c r="I524" i="16"/>
  <c r="B525" i="16"/>
  <c r="U468" i="16"/>
  <c r="S468" i="16"/>
  <c r="T468" i="16" s="1"/>
  <c r="D469" i="16"/>
  <c r="J469" i="16"/>
  <c r="Q469" i="16"/>
  <c r="P469" i="16"/>
  <c r="R469" i="16"/>
  <c r="L470" i="16"/>
  <c r="C470" i="16"/>
  <c r="K470" i="16" s="1"/>
  <c r="E470" i="16"/>
  <c r="F470" i="16"/>
  <c r="O470" i="16" s="1"/>
  <c r="G470" i="16"/>
  <c r="I470" i="16"/>
  <c r="B471" i="16"/>
  <c r="U414" i="16"/>
  <c r="S414" i="16"/>
  <c r="T414" i="16" s="1"/>
  <c r="D415" i="16"/>
  <c r="J415" i="16"/>
  <c r="P415" i="16"/>
  <c r="Q415" i="16"/>
  <c r="R415" i="16"/>
  <c r="L416" i="16"/>
  <c r="C416" i="16"/>
  <c r="K416" i="16" s="1"/>
  <c r="E416" i="16"/>
  <c r="F416" i="16"/>
  <c r="O416" i="16" s="1"/>
  <c r="G416" i="16"/>
  <c r="I416" i="16"/>
  <c r="B417" i="16"/>
  <c r="U360" i="16"/>
  <c r="S360" i="16"/>
  <c r="T360" i="16" s="1"/>
  <c r="D361" i="16"/>
  <c r="J361" i="16"/>
  <c r="P361" i="16"/>
  <c r="Q361" i="16"/>
  <c r="R361" i="16"/>
  <c r="L362" i="16"/>
  <c r="C362" i="16"/>
  <c r="K362" i="16" s="1"/>
  <c r="E362" i="16"/>
  <c r="F362" i="16"/>
  <c r="O362" i="16" s="1"/>
  <c r="G362" i="16"/>
  <c r="I362" i="16"/>
  <c r="B363" i="16"/>
  <c r="U306" i="16"/>
  <c r="S306" i="16"/>
  <c r="T306" i="16" s="1"/>
  <c r="D307" i="16"/>
  <c r="J307" i="16"/>
  <c r="P307" i="16"/>
  <c r="Q307" i="16"/>
  <c r="R307" i="16"/>
  <c r="L308" i="16"/>
  <c r="C308" i="16"/>
  <c r="E308" i="16"/>
  <c r="G308" i="16"/>
  <c r="I308" i="16"/>
  <c r="B309" i="16"/>
  <c r="U252" i="16"/>
  <c r="S252" i="16"/>
  <c r="T252" i="16" s="1"/>
  <c r="M253" i="16"/>
  <c r="D253" i="16"/>
  <c r="J253" i="16"/>
  <c r="N253" i="16" s="1"/>
  <c r="P253" i="16"/>
  <c r="Q253" i="16"/>
  <c r="R253" i="16"/>
  <c r="L254" i="16"/>
  <c r="C254" i="16"/>
  <c r="E254" i="16"/>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U144" i="16"/>
  <c r="S144" i="16"/>
  <c r="T144" i="16" s="1"/>
  <c r="M145" i="16"/>
  <c r="D145" i="16"/>
  <c r="J145" i="16"/>
  <c r="N145" i="16" s="1"/>
  <c r="P145" i="16"/>
  <c r="Q145" i="16"/>
  <c r="R145" i="16"/>
  <c r="L146" i="16"/>
  <c r="C146" i="16"/>
  <c r="K146" i="16" s="1"/>
  <c r="E146" i="16"/>
  <c r="F146" i="16"/>
  <c r="O146" i="16" s="1"/>
  <c r="G146" i="16"/>
  <c r="I146" i="16"/>
  <c r="B147" i="16"/>
  <c r="U90" i="16"/>
  <c r="S90" i="16"/>
  <c r="T90" i="16" s="1"/>
  <c r="M91" i="16"/>
  <c r="D91" i="16"/>
  <c r="J91" i="16"/>
  <c r="N91" i="16" s="1"/>
  <c r="P91" i="16"/>
  <c r="Q91" i="16"/>
  <c r="R91" i="16"/>
  <c r="L92" i="16"/>
  <c r="C92" i="16"/>
  <c r="K92" i="16" s="1"/>
  <c r="E92" i="16"/>
  <c r="F92" i="16"/>
  <c r="O92" i="16" s="1"/>
  <c r="G92" i="16"/>
  <c r="I92" i="16"/>
  <c r="B93" i="16"/>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AI30" i="4" s="1"/>
  <c r="I30" i="4"/>
  <c r="B31" i="4"/>
  <c r="B30" i="5"/>
  <c r="AK16" i="4"/>
  <c r="B78" i="7"/>
  <c r="I78" i="7" s="1"/>
  <c r="AJ15" i="4"/>
  <c r="AI17" i="4"/>
  <c r="AI18" i="4"/>
  <c r="AI19" i="4"/>
  <c r="AI20" i="4"/>
  <c r="AI21" i="4"/>
  <c r="AI22" i="4"/>
  <c r="AI23" i="4"/>
  <c r="AI24" i="4"/>
  <c r="AI25" i="4"/>
  <c r="AI26" i="4"/>
  <c r="AI27" i="4"/>
  <c r="AI28" i="4"/>
  <c r="AI29" i="4"/>
  <c r="U3653" i="16"/>
  <c r="S3653" i="16"/>
  <c r="T3653" i="16" s="1"/>
  <c r="U3491" i="16"/>
  <c r="S3491" i="16"/>
  <c r="T3491" i="16" s="1"/>
  <c r="S3437" i="16"/>
  <c r="T3437" i="16" s="1"/>
  <c r="U3437" i="16"/>
  <c r="U3383" i="16"/>
  <c r="S3383" i="16"/>
  <c r="T3383" i="16" s="1"/>
  <c r="U3059" i="16"/>
  <c r="S3059" i="16"/>
  <c r="T3059" i="16" s="1"/>
  <c r="U3005" i="16"/>
  <c r="S3005" i="16"/>
  <c r="T3005" i="16" s="1"/>
  <c r="U2897" i="16"/>
  <c r="S2897" i="16"/>
  <c r="T2897" i="16" s="1"/>
  <c r="U2411" i="16"/>
  <c r="S2411" i="16"/>
  <c r="T2411" i="16" s="1"/>
  <c r="U2195" i="16"/>
  <c r="S2195" i="16"/>
  <c r="T2195" i="16" s="1"/>
  <c r="U2141" i="16"/>
  <c r="S2141" i="16"/>
  <c r="T2141" i="16" s="1"/>
  <c r="U1925" i="16"/>
  <c r="S1925" i="16"/>
  <c r="T1925" i="16" s="1"/>
  <c r="U1655" i="16"/>
  <c r="S1655" i="16"/>
  <c r="T1655" i="16" s="1"/>
  <c r="U1493" i="16"/>
  <c r="S1493" i="16"/>
  <c r="T1493" i="16" s="1"/>
  <c r="U1439" i="16"/>
  <c r="S1439" i="16"/>
  <c r="T1439" i="16" s="1"/>
  <c r="U1385" i="16"/>
  <c r="S1385" i="16"/>
  <c r="T1385" i="16" s="1"/>
  <c r="U1169" i="16"/>
  <c r="S1169" i="16"/>
  <c r="T1169" i="16" s="1"/>
  <c r="U1115" i="16"/>
  <c r="S1115" i="16"/>
  <c r="T1115" i="16" s="1"/>
  <c r="U845" i="16"/>
  <c r="S845" i="16"/>
  <c r="T845" i="16" s="1"/>
  <c r="U143" i="16"/>
  <c r="S143" i="16"/>
  <c r="T143" i="16" s="1"/>
  <c r="M4578" i="16"/>
  <c r="N4578" i="16"/>
  <c r="N3708" i="16"/>
  <c r="M3708" i="16"/>
  <c r="M3492" i="16"/>
  <c r="N3492" i="16"/>
  <c r="M3438" i="16"/>
  <c r="N3438" i="16"/>
  <c r="M3222" i="16"/>
  <c r="N3222" i="16"/>
  <c r="N3168" i="16"/>
  <c r="M3168" i="16"/>
  <c r="M3114" i="16"/>
  <c r="N3114" i="16"/>
  <c r="N3006" i="16"/>
  <c r="M3006" i="16"/>
  <c r="M2952" i="16"/>
  <c r="N2952" i="16"/>
  <c r="M2736" i="16"/>
  <c r="N2736" i="16"/>
  <c r="M2466" i="16"/>
  <c r="N2466" i="16"/>
  <c r="N2196" i="16"/>
  <c r="M2196" i="16"/>
  <c r="M1926" i="16"/>
  <c r="N1926" i="16"/>
  <c r="M1710" i="16"/>
  <c r="N1710" i="16"/>
  <c r="M1494" i="16"/>
  <c r="N1494" i="16"/>
  <c r="M1440" i="16"/>
  <c r="N1440" i="16"/>
  <c r="N1386" i="16"/>
  <c r="M1386" i="16"/>
  <c r="M1170" i="16"/>
  <c r="N1170" i="16"/>
  <c r="M954" i="16"/>
  <c r="N954" i="16"/>
  <c r="M684" i="16"/>
  <c r="N684" i="16"/>
  <c r="M28" i="4"/>
  <c r="N28" i="4"/>
  <c r="K4171" i="16"/>
  <c r="F4171" i="16"/>
  <c r="O4171" i="16" s="1"/>
  <c r="F3709" i="16"/>
  <c r="O3709" i="16" s="1"/>
  <c r="K3709" i="16"/>
  <c r="K3493" i="16"/>
  <c r="F3493" i="16"/>
  <c r="O3493" i="16" s="1"/>
  <c r="K3439" i="16"/>
  <c r="F3439" i="16"/>
  <c r="O3439" i="16" s="1"/>
  <c r="K3385" i="16"/>
  <c r="F3385" i="16"/>
  <c r="O3385" i="16" s="1"/>
  <c r="K3169" i="16"/>
  <c r="F3169" i="16"/>
  <c r="O3169" i="16" s="1"/>
  <c r="F3115" i="16"/>
  <c r="O3115" i="16" s="1"/>
  <c r="K3115" i="16"/>
  <c r="F3007" i="16"/>
  <c r="O3007" i="16" s="1"/>
  <c r="K3007" i="16"/>
  <c r="K2845" i="16"/>
  <c r="F2845" i="16"/>
  <c r="O2845" i="16" s="1"/>
  <c r="F2683" i="16"/>
  <c r="O2683" i="16" s="1"/>
  <c r="K2683" i="16"/>
  <c r="K2521" i="16"/>
  <c r="F2521" i="16"/>
  <c r="O2521" i="16" s="1"/>
  <c r="F2467" i="16"/>
  <c r="O2467" i="16" s="1"/>
  <c r="K2467" i="16"/>
  <c r="F2413" i="16"/>
  <c r="O2413" i="16" s="1"/>
  <c r="K2413" i="16"/>
  <c r="F2359" i="16"/>
  <c r="O2359" i="16" s="1"/>
  <c r="K2359" i="16"/>
  <c r="K2143" i="16"/>
  <c r="F2143" i="16"/>
  <c r="O2143" i="16" s="1"/>
  <c r="K1873" i="16"/>
  <c r="F1873" i="16"/>
  <c r="O1873" i="16" s="1"/>
  <c r="K1603" i="16"/>
  <c r="F1603" i="16"/>
  <c r="O1603" i="16" s="1"/>
  <c r="K1441" i="16"/>
  <c r="F1441" i="16"/>
  <c r="O1441" i="16" s="1"/>
  <c r="K1387" i="16"/>
  <c r="F1387" i="16"/>
  <c r="O1387" i="16" s="1"/>
  <c r="K1333" i="16"/>
  <c r="F1333" i="16"/>
  <c r="O1333" i="16" s="1"/>
  <c r="F1063" i="16"/>
  <c r="O1063" i="16" s="1"/>
  <c r="K1063" i="16"/>
  <c r="K1009" i="16"/>
  <c r="F1009" i="16"/>
  <c r="O1009" i="16" s="1"/>
  <c r="F793" i="16"/>
  <c r="O793" i="16" s="1"/>
  <c r="K793" i="16"/>
  <c r="F577" i="16"/>
  <c r="O577" i="16" s="1"/>
  <c r="K577" i="16"/>
  <c r="K469" i="16"/>
  <c r="F469" i="16"/>
  <c r="O469" i="16" s="1"/>
  <c r="K415" i="16"/>
  <c r="F415" i="16"/>
  <c r="O415" i="16" s="1"/>
  <c r="K361" i="16"/>
  <c r="F361" i="16"/>
  <c r="O361" i="16" s="1"/>
  <c r="F307" i="16"/>
  <c r="O307" i="16" s="1"/>
  <c r="K307" i="16"/>
  <c r="N3331" i="16" l="1"/>
  <c r="N2035" i="16"/>
  <c r="N739" i="16"/>
  <c r="D4634" i="16"/>
  <c r="F4634" i="16"/>
  <c r="O4634" i="16" s="1"/>
  <c r="K4226" i="16"/>
  <c r="F4226" i="16"/>
  <c r="O4226" i="16" s="1"/>
  <c r="K3494" i="16"/>
  <c r="F3494" i="16"/>
  <c r="O3494" i="16" s="1"/>
  <c r="K1982" i="16"/>
  <c r="F1982" i="16"/>
  <c r="O1982" i="16" s="1"/>
  <c r="K1604" i="16"/>
  <c r="F1604" i="16"/>
  <c r="O1604" i="16" s="1"/>
  <c r="K308" i="16"/>
  <c r="F308" i="16"/>
  <c r="O308" i="16" s="1"/>
  <c r="T4686" i="16"/>
  <c r="U4687" i="16"/>
  <c r="S4687" i="16"/>
  <c r="T4687" i="16" s="1"/>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D4580" i="16"/>
  <c r="J4580" i="16"/>
  <c r="P4580" i="16"/>
  <c r="Q4580" i="16"/>
  <c r="R4580" i="16"/>
  <c r="L4581" i="16"/>
  <c r="C4581" i="16"/>
  <c r="E4581" i="16"/>
  <c r="G4581" i="16"/>
  <c r="I4581" i="16"/>
  <c r="B4582" i="16"/>
  <c r="D4526" i="16"/>
  <c r="J4526" i="16"/>
  <c r="P4526" i="16"/>
  <c r="Q4526" i="16"/>
  <c r="R4526" i="16"/>
  <c r="L4527" i="16"/>
  <c r="C4527" i="16"/>
  <c r="E4527" i="16"/>
  <c r="G4527" i="16"/>
  <c r="I4527" i="16"/>
  <c r="B4528" i="16"/>
  <c r="P4226" i="16"/>
  <c r="Q4226" i="16"/>
  <c r="R4226" i="16"/>
  <c r="M4226" i="16"/>
  <c r="I4227" i="16"/>
  <c r="C4227" i="16"/>
  <c r="E4227" i="16"/>
  <c r="G4227" i="16"/>
  <c r="L4227" i="16"/>
  <c r="B4228" i="16"/>
  <c r="J4226" i="16"/>
  <c r="N4226" i="16" s="1"/>
  <c r="D4226" i="16"/>
  <c r="U4225" i="16"/>
  <c r="S4225" i="16"/>
  <c r="T4225" i="16" s="1"/>
  <c r="D4172" i="16"/>
  <c r="J4172" i="16"/>
  <c r="N4172" i="16" s="1"/>
  <c r="P4172" i="16"/>
  <c r="Q4172" i="16"/>
  <c r="R4172" i="16"/>
  <c r="M4172" i="16"/>
  <c r="G4173" i="16"/>
  <c r="C4173" i="16"/>
  <c r="E4173" i="16"/>
  <c r="I4173" i="16"/>
  <c r="L4173" i="16"/>
  <c r="B4174" i="16"/>
  <c r="U4117" i="16"/>
  <c r="S4117" i="16"/>
  <c r="T4117" i="16" s="1"/>
  <c r="P4118" i="16"/>
  <c r="Q4118" i="16"/>
  <c r="R4118" i="16"/>
  <c r="E4119" i="16"/>
  <c r="I4119" i="16"/>
  <c r="C4119" i="16"/>
  <c r="G4119" i="16"/>
  <c r="L4119" i="16"/>
  <c r="B4120" i="16"/>
  <c r="J4118" i="16"/>
  <c r="D4118" i="16"/>
  <c r="U4063" i="16"/>
  <c r="S4063" i="16"/>
  <c r="T4063" i="16" s="1"/>
  <c r="M4064" i="16"/>
  <c r="D4064" i="16"/>
  <c r="J4064" i="16"/>
  <c r="N4064" i="16" s="1"/>
  <c r="P4064" i="16"/>
  <c r="Q4064" i="16"/>
  <c r="R4064" i="16"/>
  <c r="L4065" i="16"/>
  <c r="C4065" i="16"/>
  <c r="K4065" i="16" s="1"/>
  <c r="E4065" i="16"/>
  <c r="F4065" i="16"/>
  <c r="O4065" i="16" s="1"/>
  <c r="G4065" i="16"/>
  <c r="I4065" i="16"/>
  <c r="B4066" i="16"/>
  <c r="U3763" i="16"/>
  <c r="S3763" i="16"/>
  <c r="T3763" i="16" s="1"/>
  <c r="M3764" i="16"/>
  <c r="D3764" i="16"/>
  <c r="J3764" i="16"/>
  <c r="N3764" i="16" s="1"/>
  <c r="P3764" i="16"/>
  <c r="Q3764" i="16"/>
  <c r="R3764" i="16"/>
  <c r="L3765" i="16"/>
  <c r="C3765" i="16"/>
  <c r="K3765" i="16" s="1"/>
  <c r="E3765" i="16"/>
  <c r="F3765" i="16"/>
  <c r="O3765" i="16" s="1"/>
  <c r="G3765" i="16"/>
  <c r="I3765" i="16"/>
  <c r="B3766" i="16"/>
  <c r="D3710" i="16"/>
  <c r="J3710" i="16"/>
  <c r="P3710" i="16"/>
  <c r="Q3710" i="16"/>
  <c r="R3710" i="16"/>
  <c r="L3711" i="16"/>
  <c r="C3711" i="16"/>
  <c r="K3711" i="16" s="1"/>
  <c r="E3711" i="16"/>
  <c r="F3711" i="16"/>
  <c r="O3711" i="16" s="1"/>
  <c r="G3711" i="16"/>
  <c r="B3712" i="16"/>
  <c r="I3711" i="16"/>
  <c r="U3655" i="16"/>
  <c r="S3655" i="16"/>
  <c r="T3655" i="16" s="1"/>
  <c r="M3656" i="16"/>
  <c r="D3656" i="16"/>
  <c r="J3656" i="16"/>
  <c r="N3656" i="16" s="1"/>
  <c r="P3656" i="16"/>
  <c r="Q3656" i="16"/>
  <c r="R3656" i="16"/>
  <c r="L3657" i="16"/>
  <c r="C3657" i="16"/>
  <c r="K3657" i="16" s="1"/>
  <c r="E3657" i="16"/>
  <c r="F3657" i="16"/>
  <c r="O3657" i="16" s="1"/>
  <c r="G3657" i="16"/>
  <c r="B3658" i="16"/>
  <c r="I3657"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M3494" i="16"/>
  <c r="P3494" i="16"/>
  <c r="Q3494" i="16"/>
  <c r="R3494" i="16"/>
  <c r="D3494" i="16"/>
  <c r="J3494" i="16"/>
  <c r="N3494" i="16" s="1"/>
  <c r="L3495" i="16"/>
  <c r="I3495" i="16"/>
  <c r="B3496" i="16"/>
  <c r="C3495" i="16"/>
  <c r="E3495" i="16"/>
  <c r="G3495" i="16"/>
  <c r="M3440" i="16"/>
  <c r="D3440" i="16"/>
  <c r="J3440" i="16"/>
  <c r="N3440" i="16" s="1"/>
  <c r="P3440" i="16"/>
  <c r="Q3440" i="16"/>
  <c r="R3440" i="16"/>
  <c r="L3441" i="16"/>
  <c r="C3441" i="16"/>
  <c r="K3441" i="16" s="1"/>
  <c r="E3441" i="16"/>
  <c r="F3441" i="16"/>
  <c r="O3441" i="16" s="1"/>
  <c r="G3441" i="16"/>
  <c r="I3441" i="16"/>
  <c r="B3442" i="16"/>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U3223" i="16"/>
  <c r="S3223" i="16"/>
  <c r="T3223" i="16" s="1"/>
  <c r="P3224" i="16"/>
  <c r="Q3224" i="16"/>
  <c r="R3224" i="16"/>
  <c r="L3225" i="16"/>
  <c r="I3225" i="16"/>
  <c r="E3225" i="16"/>
  <c r="B3226" i="16"/>
  <c r="C3225" i="16"/>
  <c r="G3225" i="16"/>
  <c r="D3224" i="16"/>
  <c r="J3224" i="16"/>
  <c r="L3171" i="16"/>
  <c r="I3171" i="16"/>
  <c r="B3172" i="16"/>
  <c r="C3171" i="16"/>
  <c r="K3171" i="16" s="1"/>
  <c r="F3171" i="16"/>
  <c r="O3171" i="16" s="1"/>
  <c r="G3171" i="16"/>
  <c r="E3171" i="16"/>
  <c r="P3170" i="16"/>
  <c r="Q3170" i="16"/>
  <c r="R3170" i="16"/>
  <c r="J3170" i="16"/>
  <c r="D3170" i="16"/>
  <c r="P3116" i="16"/>
  <c r="Q3116" i="16"/>
  <c r="R3116" i="16"/>
  <c r="D3116" i="16"/>
  <c r="J3116" i="16"/>
  <c r="L3117" i="16"/>
  <c r="E3117" i="16"/>
  <c r="C3117" i="16"/>
  <c r="K3117" i="16" s="1"/>
  <c r="I3117" i="16"/>
  <c r="F3117" i="16"/>
  <c r="O3117" i="16" s="1"/>
  <c r="B3118" i="16"/>
  <c r="G3117" i="16"/>
  <c r="U3061" i="16"/>
  <c r="S3061" i="16"/>
  <c r="T3061" i="16" s="1"/>
  <c r="P3062" i="16"/>
  <c r="Q3062" i="16"/>
  <c r="R3062" i="16"/>
  <c r="L3063" i="16"/>
  <c r="E3063" i="16"/>
  <c r="C3063" i="16"/>
  <c r="K3063" i="16" s="1"/>
  <c r="G3063" i="16"/>
  <c r="I3063" i="16"/>
  <c r="F3063" i="16"/>
  <c r="O3063" i="16" s="1"/>
  <c r="B3064" i="16"/>
  <c r="D3062" i="16"/>
  <c r="J3062" i="16"/>
  <c r="P3008" i="16"/>
  <c r="Q3008" i="16"/>
  <c r="R3008" i="16"/>
  <c r="L3009" i="16"/>
  <c r="I3009" i="16"/>
  <c r="E3009" i="16"/>
  <c r="C3009" i="16"/>
  <c r="G3009" i="16"/>
  <c r="B3010" i="16"/>
  <c r="J3008" i="16"/>
  <c r="D3008" i="16"/>
  <c r="U2953" i="16"/>
  <c r="S2953" i="16"/>
  <c r="T2953" i="16" s="1"/>
  <c r="M2954" i="16"/>
  <c r="D2954" i="16"/>
  <c r="J2954" i="16"/>
  <c r="N2954" i="16" s="1"/>
  <c r="P2954" i="16"/>
  <c r="Q2954" i="16"/>
  <c r="R2954" i="16"/>
  <c r="L2955" i="16"/>
  <c r="C2955" i="16"/>
  <c r="E2955" i="16"/>
  <c r="G2955" i="16"/>
  <c r="I2955" i="16"/>
  <c r="B2956" i="16"/>
  <c r="U2899" i="16"/>
  <c r="S2899" i="16"/>
  <c r="T2899" i="16" s="1"/>
  <c r="D2900" i="16"/>
  <c r="J2900" i="16"/>
  <c r="P2900" i="16"/>
  <c r="Q2900" i="16"/>
  <c r="R2900" i="16"/>
  <c r="L2901" i="16"/>
  <c r="C2901" i="16"/>
  <c r="E2901" i="16"/>
  <c r="G2901" i="16"/>
  <c r="I2901" i="16"/>
  <c r="B2902" i="16"/>
  <c r="M2846" i="16"/>
  <c r="D2846" i="16"/>
  <c r="J2846" i="16"/>
  <c r="N2846" i="16" s="1"/>
  <c r="P2846" i="16"/>
  <c r="Q2846" i="16"/>
  <c r="R2846" i="16"/>
  <c r="L2847" i="16"/>
  <c r="C2847" i="16"/>
  <c r="K2847" i="16" s="1"/>
  <c r="E2847" i="16"/>
  <c r="F2847" i="16"/>
  <c r="O2847" i="16" s="1"/>
  <c r="G2847" i="16"/>
  <c r="I2847" i="16"/>
  <c r="B2848" i="16"/>
  <c r="M2792" i="16"/>
  <c r="D2792" i="16"/>
  <c r="J2792" i="16"/>
  <c r="N2792" i="16" s="1"/>
  <c r="S2792" i="16" s="1"/>
  <c r="T2792" i="16" s="1"/>
  <c r="U2792" i="16" s="1"/>
  <c r="P2792" i="16"/>
  <c r="Q2792" i="16"/>
  <c r="R2792" i="16"/>
  <c r="L2793" i="16"/>
  <c r="C2793" i="16"/>
  <c r="K2793" i="16" s="1"/>
  <c r="E2793" i="16"/>
  <c r="F2793" i="16"/>
  <c r="O2793" i="16" s="1"/>
  <c r="G2793" i="16"/>
  <c r="I2793" i="16"/>
  <c r="B2794" i="16"/>
  <c r="U2737" i="16"/>
  <c r="S2737" i="16"/>
  <c r="T2737" i="16" s="1"/>
  <c r="D2738" i="16"/>
  <c r="J2738" i="16"/>
  <c r="P2738" i="16"/>
  <c r="Q2738" i="16"/>
  <c r="R2738" i="16"/>
  <c r="L2739" i="16"/>
  <c r="C2739" i="16"/>
  <c r="K2739" i="16" s="1"/>
  <c r="E2739" i="16"/>
  <c r="F2739" i="16"/>
  <c r="O2739" i="16" s="1"/>
  <c r="G2739" i="16"/>
  <c r="I2739" i="16"/>
  <c r="B2740" i="16"/>
  <c r="M2684" i="16"/>
  <c r="D2684" i="16"/>
  <c r="J2684" i="16"/>
  <c r="N2684" i="16" s="1"/>
  <c r="P2684" i="16"/>
  <c r="Q2684" i="16"/>
  <c r="R2684" i="16"/>
  <c r="L2685" i="16"/>
  <c r="C2685" i="16"/>
  <c r="K2685" i="16" s="1"/>
  <c r="E2685" i="16"/>
  <c r="F2685" i="16"/>
  <c r="O2685" i="16" s="1"/>
  <c r="G2685" i="16"/>
  <c r="I2685" i="16"/>
  <c r="B2686" i="16"/>
  <c r="U2629" i="16"/>
  <c r="S2629" i="16"/>
  <c r="T2629" i="16" s="1"/>
  <c r="D2630" i="16"/>
  <c r="J2630" i="16"/>
  <c r="P2630" i="16"/>
  <c r="Q2630" i="16"/>
  <c r="R2630" i="16"/>
  <c r="L2631" i="16"/>
  <c r="C2631" i="16"/>
  <c r="E2631" i="16"/>
  <c r="G2631" i="16"/>
  <c r="I2631" i="16"/>
  <c r="B2632" i="16"/>
  <c r="U2575" i="16"/>
  <c r="S2575" i="16"/>
  <c r="T2575" i="16" s="1"/>
  <c r="M2576" i="16"/>
  <c r="D2576" i="16"/>
  <c r="J2576" i="16"/>
  <c r="N2576" i="16" s="1"/>
  <c r="P2576" i="16"/>
  <c r="Q2576" i="16"/>
  <c r="R2576" i="16"/>
  <c r="L2577" i="16"/>
  <c r="C2577" i="16"/>
  <c r="K2577" i="16" s="1"/>
  <c r="E2577" i="16"/>
  <c r="F2577" i="16"/>
  <c r="O2577" i="16" s="1"/>
  <c r="G2577" i="16"/>
  <c r="I2577" i="16"/>
  <c r="B2578" i="16"/>
  <c r="M2522" i="16"/>
  <c r="D2522" i="16"/>
  <c r="J2522" i="16"/>
  <c r="N2522" i="16" s="1"/>
  <c r="Q2522" i="16"/>
  <c r="P2522" i="16"/>
  <c r="R2522" i="16"/>
  <c r="L2523" i="16"/>
  <c r="C2523" i="16"/>
  <c r="K2523" i="16" s="1"/>
  <c r="E2523" i="16"/>
  <c r="F2523" i="16"/>
  <c r="O2523" i="16" s="1"/>
  <c r="G2523" i="16"/>
  <c r="I2523" i="16"/>
  <c r="B2524" i="16"/>
  <c r="M2468" i="16"/>
  <c r="D2468" i="16"/>
  <c r="J2468" i="16"/>
  <c r="N2468" i="16" s="1"/>
  <c r="P2468" i="16"/>
  <c r="Q2468" i="16"/>
  <c r="R2468" i="16"/>
  <c r="L2469" i="16"/>
  <c r="C2469" i="16"/>
  <c r="K2469" i="16" s="1"/>
  <c r="E2469" i="16"/>
  <c r="F2469" i="16"/>
  <c r="O2469" i="16" s="1"/>
  <c r="G2469" i="16"/>
  <c r="I2469" i="16"/>
  <c r="B2470" i="16"/>
  <c r="D2414" i="16"/>
  <c r="J2414" i="16"/>
  <c r="Q2414" i="16"/>
  <c r="P2414" i="16"/>
  <c r="R2414" i="16"/>
  <c r="L2415" i="16"/>
  <c r="C2415" i="16"/>
  <c r="E2415" i="16"/>
  <c r="G2415" i="16"/>
  <c r="I2415" i="16"/>
  <c r="B2416" i="16"/>
  <c r="D2360" i="16"/>
  <c r="J2360" i="16"/>
  <c r="Q2360" i="16"/>
  <c r="P2360" i="16"/>
  <c r="R2360" i="16"/>
  <c r="L2361" i="16"/>
  <c r="C2361" i="16"/>
  <c r="K2361" i="16" s="1"/>
  <c r="E2361" i="16"/>
  <c r="F2361" i="16"/>
  <c r="O2361" i="16" s="1"/>
  <c r="G2361" i="16"/>
  <c r="I2361" i="16"/>
  <c r="B2362" i="16"/>
  <c r="U2305" i="16"/>
  <c r="S2305" i="16"/>
  <c r="T2305" i="16" s="1"/>
  <c r="M2306" i="16"/>
  <c r="D2306" i="16"/>
  <c r="J2306" i="16"/>
  <c r="N2306" i="16" s="1"/>
  <c r="P2306" i="16"/>
  <c r="Q2306" i="16"/>
  <c r="R2306" i="16"/>
  <c r="L2307" i="16"/>
  <c r="C2307" i="16"/>
  <c r="E2307" i="16"/>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M2198" i="16"/>
  <c r="D2198" i="16"/>
  <c r="J2198" i="16"/>
  <c r="N2198" i="16" s="1"/>
  <c r="P2198" i="16"/>
  <c r="Q2198" i="16"/>
  <c r="R2198" i="16"/>
  <c r="L2199" i="16"/>
  <c r="C2199" i="16"/>
  <c r="K2199" i="16" s="1"/>
  <c r="E2199" i="16"/>
  <c r="F2199" i="16"/>
  <c r="O2199" i="16" s="1"/>
  <c r="G2199" i="16"/>
  <c r="I2199" i="16"/>
  <c r="B2200" i="16"/>
  <c r="M2144" i="16"/>
  <c r="L2145" i="16"/>
  <c r="C2145" i="16"/>
  <c r="K2145" i="16" s="1"/>
  <c r="E2145" i="16"/>
  <c r="F2145" i="16"/>
  <c r="O2145" i="16" s="1"/>
  <c r="G2145" i="16"/>
  <c r="B2146" i="16"/>
  <c r="I2145" i="16"/>
  <c r="D2144" i="16"/>
  <c r="J2144" i="16"/>
  <c r="N2144" i="16" s="1"/>
  <c r="P2144" i="16"/>
  <c r="Q2144" i="16"/>
  <c r="R2144" i="16"/>
  <c r="U2089" i="16"/>
  <c r="S2089" i="16"/>
  <c r="T2089" i="16" s="1"/>
  <c r="D2090" i="16"/>
  <c r="M2090" i="16" s="1"/>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U1981" i="16"/>
  <c r="S1981" i="16"/>
  <c r="T1981" i="16" s="1"/>
  <c r="M1982" i="16"/>
  <c r="D1982" i="16"/>
  <c r="J1982" i="16"/>
  <c r="N1982" i="16" s="1"/>
  <c r="P1982" i="16"/>
  <c r="Q1982" i="16"/>
  <c r="R1982" i="16"/>
  <c r="L1983" i="16"/>
  <c r="C1983" i="16"/>
  <c r="K1983" i="16" s="1"/>
  <c r="E1983" i="16"/>
  <c r="F1983" i="16"/>
  <c r="O1983" i="16" s="1"/>
  <c r="G1983" i="16"/>
  <c r="I1983" i="16"/>
  <c r="B1984" i="16"/>
  <c r="U1927" i="16"/>
  <c r="S1927" i="16"/>
  <c r="T1927" i="16" s="1"/>
  <c r="M1928" i="16"/>
  <c r="D1928" i="16"/>
  <c r="J1928" i="16"/>
  <c r="N1928" i="16" s="1"/>
  <c r="P1928" i="16"/>
  <c r="Q1928" i="16"/>
  <c r="R1928" i="16"/>
  <c r="L1929" i="16"/>
  <c r="C1929" i="16"/>
  <c r="K1929" i="16" s="1"/>
  <c r="E1929" i="16"/>
  <c r="F1929" i="16"/>
  <c r="O1929" i="16" s="1"/>
  <c r="G1929" i="16"/>
  <c r="I1929" i="16"/>
  <c r="B1930" i="16"/>
  <c r="M1874" i="16"/>
  <c r="D1874" i="16"/>
  <c r="J1874" i="16"/>
  <c r="N1874" i="16" s="1"/>
  <c r="P1874" i="16"/>
  <c r="Q1874" i="16"/>
  <c r="R1874" i="16"/>
  <c r="L1875" i="16"/>
  <c r="C1875" i="16"/>
  <c r="E1875" i="16"/>
  <c r="G1875" i="16"/>
  <c r="I1875" i="16"/>
  <c r="B1876" i="16"/>
  <c r="U1819" i="16"/>
  <c r="S1819" i="16"/>
  <c r="T1819" i="16" s="1"/>
  <c r="M1820" i="16"/>
  <c r="D1820" i="16"/>
  <c r="J1820" i="16"/>
  <c r="N1820" i="16" s="1"/>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E1767" i="16"/>
  <c r="G1767" i="16"/>
  <c r="I1767" i="16"/>
  <c r="B1768" i="16"/>
  <c r="U1711" i="16"/>
  <c r="S1711" i="16"/>
  <c r="T1711" i="16" s="1"/>
  <c r="M1712" i="16"/>
  <c r="D1712" i="16"/>
  <c r="J1712" i="16"/>
  <c r="N1712" i="16" s="1"/>
  <c r="P1712" i="16"/>
  <c r="Q1712" i="16"/>
  <c r="R1712" i="16"/>
  <c r="L1713" i="16"/>
  <c r="C1713" i="16"/>
  <c r="K1713" i="16" s="1"/>
  <c r="E1713" i="16"/>
  <c r="F1713" i="16"/>
  <c r="O1713" i="16" s="1"/>
  <c r="G1713" i="16"/>
  <c r="I1713" i="16"/>
  <c r="B1714" i="16"/>
  <c r="S1657" i="16"/>
  <c r="T1657" i="16" s="1"/>
  <c r="U1657" i="16"/>
  <c r="D1658" i="16"/>
  <c r="J1658" i="16"/>
  <c r="P1658" i="16"/>
  <c r="Q1658" i="16"/>
  <c r="R1658" i="16"/>
  <c r="L1659" i="16"/>
  <c r="C1659" i="16"/>
  <c r="K1659" i="16" s="1"/>
  <c r="E1659" i="16"/>
  <c r="F1659" i="16"/>
  <c r="O1659" i="16" s="1"/>
  <c r="G1659" i="16"/>
  <c r="I1659" i="16"/>
  <c r="B1660" i="16"/>
  <c r="M1604" i="16"/>
  <c r="D1604" i="16"/>
  <c r="J1604" i="16"/>
  <c r="N1604" i="16" s="1"/>
  <c r="P1604" i="16"/>
  <c r="Q1604" i="16"/>
  <c r="R1604" i="16"/>
  <c r="L1605" i="16"/>
  <c r="C1605" i="16"/>
  <c r="K1605" i="16" s="1"/>
  <c r="E1605" i="16"/>
  <c r="F1605" i="16"/>
  <c r="O1605" i="16" s="1"/>
  <c r="G1605" i="16"/>
  <c r="I1605" i="16"/>
  <c r="B1606" i="16"/>
  <c r="U1549" i="16"/>
  <c r="S1549" i="16"/>
  <c r="T1549" i="16" s="1"/>
  <c r="M1550" i="16"/>
  <c r="D1550" i="16"/>
  <c r="J1550" i="16"/>
  <c r="N1550" i="16" s="1"/>
  <c r="P1550" i="16"/>
  <c r="Q1550" i="16"/>
  <c r="R1550" i="16"/>
  <c r="L1551" i="16"/>
  <c r="C1551" i="16"/>
  <c r="K1551" i="16" s="1"/>
  <c r="E1551" i="16"/>
  <c r="F1551" i="16"/>
  <c r="O1551" i="16" s="1"/>
  <c r="G1551" i="16"/>
  <c r="I1551" i="16"/>
  <c r="B1552" i="16"/>
  <c r="U1495" i="16"/>
  <c r="S1495" i="16"/>
  <c r="T1495" i="16" s="1"/>
  <c r="M1496" i="16"/>
  <c r="D1496" i="16"/>
  <c r="J1496" i="16"/>
  <c r="N1496" i="16" s="1"/>
  <c r="P1496" i="16"/>
  <c r="Q1496" i="16"/>
  <c r="R1496" i="16"/>
  <c r="L1497" i="16"/>
  <c r="C1497" i="16"/>
  <c r="K1497" i="16" s="1"/>
  <c r="E1497" i="16"/>
  <c r="F1497" i="16"/>
  <c r="O1497" i="16" s="1"/>
  <c r="G1497" i="16"/>
  <c r="B1498" i="16"/>
  <c r="I1497" i="16"/>
  <c r="L1443" i="16"/>
  <c r="C1443" i="16"/>
  <c r="K1443" i="16" s="1"/>
  <c r="F1443" i="16"/>
  <c r="O1443" i="16" s="1"/>
  <c r="G1443" i="16"/>
  <c r="I1443" i="16"/>
  <c r="E1443" i="16"/>
  <c r="B1444" i="16"/>
  <c r="D1442" i="16"/>
  <c r="M1442" i="16" s="1"/>
  <c r="J1442" i="16"/>
  <c r="P1442" i="16"/>
  <c r="Q1442" i="16"/>
  <c r="R1442" i="16"/>
  <c r="P1388" i="16"/>
  <c r="Q1388" i="16"/>
  <c r="R1388" i="16"/>
  <c r="L1389" i="16"/>
  <c r="B1390" i="16"/>
  <c r="C1389" i="16"/>
  <c r="I1389" i="16"/>
  <c r="E1389" i="16"/>
  <c r="G1389" i="16"/>
  <c r="D1388" i="16"/>
  <c r="J1388" i="16"/>
  <c r="L1335" i="16"/>
  <c r="G1335" i="16"/>
  <c r="E1335" i="16"/>
  <c r="B1336" i="16"/>
  <c r="C1335" i="16"/>
  <c r="K1335" i="16" s="1"/>
  <c r="F1335" i="16"/>
  <c r="O1335" i="16" s="1"/>
  <c r="I1335" i="16"/>
  <c r="P1334" i="16"/>
  <c r="Q1334" i="16"/>
  <c r="R1334" i="16"/>
  <c r="D1334" i="16"/>
  <c r="J1334" i="16"/>
  <c r="U1279" i="16"/>
  <c r="S1279" i="16"/>
  <c r="T1279" i="16" s="1"/>
  <c r="J1280" i="16"/>
  <c r="D1280" i="16"/>
  <c r="P1280" i="16"/>
  <c r="Q1280" i="16"/>
  <c r="R1280" i="16"/>
  <c r="L1281" i="16"/>
  <c r="C1281" i="16"/>
  <c r="E1281" i="16"/>
  <c r="G1281" i="16"/>
  <c r="B1282" i="16"/>
  <c r="I1281" i="16"/>
  <c r="S1226" i="16"/>
  <c r="T1226" i="16" s="1"/>
  <c r="U1226" i="16"/>
  <c r="D1227" i="16"/>
  <c r="J1227" i="16"/>
  <c r="L1228" i="16"/>
  <c r="C1228" i="16"/>
  <c r="I1228" i="16"/>
  <c r="E1228" i="16"/>
  <c r="G1228" i="16"/>
  <c r="B1229" i="16"/>
  <c r="P1227" i="16"/>
  <c r="Q1227" i="16"/>
  <c r="R1227" i="16"/>
  <c r="U1171" i="16"/>
  <c r="S1171" i="16"/>
  <c r="T1171" i="16" s="1"/>
  <c r="M1172" i="16"/>
  <c r="D1172" i="16"/>
  <c r="J1172" i="16"/>
  <c r="N1172" i="16" s="1"/>
  <c r="P1172" i="16"/>
  <c r="Q1172" i="16"/>
  <c r="R1172" i="16"/>
  <c r="L1173" i="16"/>
  <c r="C1173" i="16"/>
  <c r="K1173" i="16" s="1"/>
  <c r="E1173" i="16"/>
  <c r="F1173" i="16"/>
  <c r="O1173" i="16" s="1"/>
  <c r="G1173" i="16"/>
  <c r="I1173" i="16"/>
  <c r="B1174" i="16"/>
  <c r="U1117" i="16"/>
  <c r="S1117" i="16"/>
  <c r="T1117" i="16" s="1"/>
  <c r="D1118" i="16"/>
  <c r="J1118" i="16"/>
  <c r="P1118" i="16"/>
  <c r="Q1118" i="16"/>
  <c r="R1118" i="16"/>
  <c r="L1119" i="16"/>
  <c r="C1119" i="16"/>
  <c r="K1119" i="16" s="1"/>
  <c r="E1119" i="16"/>
  <c r="F1119" i="16"/>
  <c r="O1119" i="16" s="1"/>
  <c r="G1119" i="16"/>
  <c r="I1119" i="16"/>
  <c r="B1120" i="16"/>
  <c r="D1064" i="16"/>
  <c r="J1064" i="16"/>
  <c r="P1064" i="16"/>
  <c r="Q1064" i="16"/>
  <c r="R1064" i="16"/>
  <c r="L1065" i="16"/>
  <c r="C1065" i="16"/>
  <c r="E1065" i="16"/>
  <c r="G1065" i="16"/>
  <c r="I1065" i="16"/>
  <c r="B1066" i="16"/>
  <c r="L1011" i="16"/>
  <c r="C1011" i="16"/>
  <c r="E1011" i="16"/>
  <c r="G1011" i="16"/>
  <c r="I1011" i="16"/>
  <c r="B1012" i="16"/>
  <c r="P1010" i="16"/>
  <c r="Q1010" i="16"/>
  <c r="R1010" i="16"/>
  <c r="J1010" i="16"/>
  <c r="D1010"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U847" i="16"/>
  <c r="S847" i="16"/>
  <c r="T847" i="16" s="1"/>
  <c r="M848" i="16"/>
  <c r="D848" i="16"/>
  <c r="J848" i="16"/>
  <c r="N848" i="16" s="1"/>
  <c r="P848" i="16"/>
  <c r="Q848" i="16"/>
  <c r="R848" i="16"/>
  <c r="L849" i="16"/>
  <c r="C849" i="16"/>
  <c r="K849" i="16" s="1"/>
  <c r="E849" i="16"/>
  <c r="F849" i="16"/>
  <c r="O849" i="16" s="1"/>
  <c r="G849" i="16"/>
  <c r="I849" i="16"/>
  <c r="B850" i="16"/>
  <c r="D794" i="16"/>
  <c r="J794" i="16"/>
  <c r="P794" i="16"/>
  <c r="Q794" i="16"/>
  <c r="R794" i="16"/>
  <c r="L795" i="16"/>
  <c r="C795" i="16"/>
  <c r="E795" i="16"/>
  <c r="G795" i="16"/>
  <c r="I795" i="16"/>
  <c r="B796" i="16"/>
  <c r="U739" i="16"/>
  <c r="S739" i="16"/>
  <c r="T739" i="16" s="1"/>
  <c r="M740" i="16"/>
  <c r="D740" i="16"/>
  <c r="J740" i="16"/>
  <c r="N740" i="16" s="1"/>
  <c r="P740" i="16"/>
  <c r="Q740" i="16"/>
  <c r="R740" i="16"/>
  <c r="L741" i="16"/>
  <c r="C741" i="16"/>
  <c r="E741" i="16"/>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D578" i="16"/>
  <c r="J578" i="16"/>
  <c r="Q578" i="16"/>
  <c r="P578" i="16"/>
  <c r="R578" i="16"/>
  <c r="L579" i="16"/>
  <c r="C579" i="16"/>
  <c r="E579" i="16"/>
  <c r="G579" i="16"/>
  <c r="I579" i="16"/>
  <c r="B580" i="16"/>
  <c r="U523" i="16"/>
  <c r="S523" i="16"/>
  <c r="T523" i="16" s="1"/>
  <c r="D524" i="16"/>
  <c r="J524" i="16"/>
  <c r="Q524" i="16"/>
  <c r="P524" i="16"/>
  <c r="R524" i="16"/>
  <c r="L525" i="16"/>
  <c r="C525" i="16"/>
  <c r="E525" i="16"/>
  <c r="G525" i="16"/>
  <c r="I525" i="16"/>
  <c r="B526" i="16"/>
  <c r="M470" i="16"/>
  <c r="D470" i="16"/>
  <c r="J470" i="16"/>
  <c r="N470" i="16" s="1"/>
  <c r="P470" i="16"/>
  <c r="Q470" i="16"/>
  <c r="R470" i="16"/>
  <c r="L471" i="16"/>
  <c r="C471" i="16"/>
  <c r="K471" i="16" s="1"/>
  <c r="E471" i="16"/>
  <c r="F471" i="16"/>
  <c r="O471" i="16" s="1"/>
  <c r="G471" i="16"/>
  <c r="I471" i="16"/>
  <c r="B472" i="16"/>
  <c r="M416" i="16"/>
  <c r="D416" i="16"/>
  <c r="J416" i="16"/>
  <c r="N416" i="16" s="1"/>
  <c r="P416" i="16"/>
  <c r="Q416" i="16"/>
  <c r="R416" i="16"/>
  <c r="L417" i="16"/>
  <c r="C417" i="16"/>
  <c r="K417" i="16" s="1"/>
  <c r="E417" i="16"/>
  <c r="F417" i="16"/>
  <c r="O417" i="16" s="1"/>
  <c r="G417" i="16"/>
  <c r="I417" i="16"/>
  <c r="B418" i="16"/>
  <c r="M362" i="16"/>
  <c r="D362" i="16"/>
  <c r="J362" i="16"/>
  <c r="N362" i="16" s="1"/>
  <c r="P362" i="16"/>
  <c r="Q362" i="16"/>
  <c r="R362" i="16"/>
  <c r="L363" i="16"/>
  <c r="C363" i="16"/>
  <c r="K363" i="16" s="1"/>
  <c r="E363" i="16"/>
  <c r="F363" i="16"/>
  <c r="O363" i="16" s="1"/>
  <c r="G363" i="16"/>
  <c r="I363" i="16"/>
  <c r="B364" i="16"/>
  <c r="M308" i="16"/>
  <c r="D308" i="16"/>
  <c r="J308" i="16"/>
  <c r="N308" i="16" s="1"/>
  <c r="P308" i="16"/>
  <c r="Q308" i="16"/>
  <c r="R308" i="16"/>
  <c r="L309" i="16"/>
  <c r="C309" i="16"/>
  <c r="K309" i="16" s="1"/>
  <c r="E309" i="16"/>
  <c r="F309" i="16"/>
  <c r="O309" i="16" s="1"/>
  <c r="G309" i="16"/>
  <c r="I309" i="16"/>
  <c r="B310" i="16"/>
  <c r="U253" i="16"/>
  <c r="S253" i="16"/>
  <c r="T253" i="16" s="1"/>
  <c r="D254" i="16"/>
  <c r="J254" i="16"/>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E201" i="16"/>
  <c r="G201" i="16"/>
  <c r="I201" i="16"/>
  <c r="B202" i="16"/>
  <c r="U145" i="16"/>
  <c r="S145" i="16"/>
  <c r="T145" i="16" s="1"/>
  <c r="D146" i="16"/>
  <c r="M146" i="16" s="1"/>
  <c r="J146" i="16"/>
  <c r="P146" i="16"/>
  <c r="Q146" i="16"/>
  <c r="R146" i="16"/>
  <c r="L147" i="16"/>
  <c r="C147" i="16"/>
  <c r="K147" i="16" s="1"/>
  <c r="E147" i="16"/>
  <c r="F147" i="16"/>
  <c r="O147" i="16" s="1"/>
  <c r="G147" i="16"/>
  <c r="I147" i="16"/>
  <c r="B148" i="16"/>
  <c r="U91" i="16"/>
  <c r="S91" i="16"/>
  <c r="T91" i="16" s="1"/>
  <c r="M92" i="16"/>
  <c r="D92" i="16"/>
  <c r="J92" i="16"/>
  <c r="N92" i="16" s="1"/>
  <c r="P92" i="16"/>
  <c r="Q92" i="16"/>
  <c r="R92" i="16"/>
  <c r="L93" i="16"/>
  <c r="C93" i="16"/>
  <c r="K93" i="16" s="1"/>
  <c r="E93" i="16"/>
  <c r="F93" i="16"/>
  <c r="O93" i="16" s="1"/>
  <c r="G93" i="16"/>
  <c r="I93" i="16"/>
  <c r="B94" i="16"/>
  <c r="U29" i="4"/>
  <c r="S29" i="4"/>
  <c r="T29" i="4" s="1"/>
  <c r="F29" i="5"/>
  <c r="G29" i="5"/>
  <c r="H29" i="5"/>
  <c r="M30" i="4"/>
  <c r="D30" i="4"/>
  <c r="J30" i="4"/>
  <c r="N30" i="4" s="1"/>
  <c r="O30" i="4"/>
  <c r="E65" i="7"/>
  <c r="AH30" i="4"/>
  <c r="AG30" i="4"/>
  <c r="AF30" i="4"/>
  <c r="AE30" i="4"/>
  <c r="AD30" i="4"/>
  <c r="AC30" i="4"/>
  <c r="AB30" i="4"/>
  <c r="AA30" i="4"/>
  <c r="Z30" i="4"/>
  <c r="Y30" i="4"/>
  <c r="X30" i="4"/>
  <c r="W30" i="4"/>
  <c r="P30" i="4"/>
  <c r="Q30" i="4"/>
  <c r="G30" i="5" s="1"/>
  <c r="R30" i="4"/>
  <c r="H30" i="5" s="1"/>
  <c r="V30" i="4"/>
  <c r="L31" i="4"/>
  <c r="C31" i="4"/>
  <c r="K31" i="4" s="1"/>
  <c r="E31" i="4"/>
  <c r="F31" i="4"/>
  <c r="C31" i="5" s="1"/>
  <c r="E31" i="5" s="1"/>
  <c r="G31" i="4"/>
  <c r="I31" i="4"/>
  <c r="B32" i="4"/>
  <c r="B31" i="5"/>
  <c r="AL16" i="4"/>
  <c r="B79" i="7"/>
  <c r="I79" i="7" s="1"/>
  <c r="AK15" i="4"/>
  <c r="AJ17" i="4"/>
  <c r="AJ18" i="4"/>
  <c r="AJ19" i="4"/>
  <c r="AJ20" i="4"/>
  <c r="AJ21" i="4"/>
  <c r="AJ22" i="4"/>
  <c r="AJ23" i="4"/>
  <c r="AJ24" i="4"/>
  <c r="AJ25" i="4"/>
  <c r="AJ26" i="4"/>
  <c r="AJ27" i="4"/>
  <c r="AJ28" i="4"/>
  <c r="AJ29" i="4"/>
  <c r="AJ30" i="4"/>
  <c r="AJ31" i="4"/>
  <c r="U3708" i="16"/>
  <c r="S3708" i="16"/>
  <c r="T3708" i="16" s="1"/>
  <c r="U3492" i="16"/>
  <c r="S3492" i="16"/>
  <c r="T3492" i="16" s="1"/>
  <c r="S3438" i="16"/>
  <c r="T3438" i="16" s="1"/>
  <c r="U3438" i="16"/>
  <c r="U3222" i="16"/>
  <c r="S3222" i="16"/>
  <c r="T3222" i="16" s="1"/>
  <c r="U3168" i="16"/>
  <c r="S3168" i="16"/>
  <c r="T3168" i="16" s="1"/>
  <c r="U3114" i="16"/>
  <c r="S3114" i="16"/>
  <c r="T3114" i="16" s="1"/>
  <c r="U3006" i="16"/>
  <c r="S3006" i="16"/>
  <c r="T3006" i="16" s="1"/>
  <c r="U2952" i="16"/>
  <c r="S2952" i="16"/>
  <c r="T2952" i="16" s="1"/>
  <c r="U2736" i="16"/>
  <c r="S2736" i="16"/>
  <c r="T2736" i="16" s="1"/>
  <c r="U2466" i="16"/>
  <c r="S2466" i="16"/>
  <c r="T2466" i="16" s="1"/>
  <c r="U2196" i="16"/>
  <c r="S2196" i="16"/>
  <c r="T2196" i="16" s="1"/>
  <c r="U1926" i="16"/>
  <c r="S1926" i="16"/>
  <c r="T1926" i="16" s="1"/>
  <c r="U1710" i="16"/>
  <c r="S1710" i="16"/>
  <c r="T1710" i="16" s="1"/>
  <c r="U1494" i="16"/>
  <c r="S1494" i="16"/>
  <c r="T1494" i="16" s="1"/>
  <c r="U1440" i="16"/>
  <c r="S1440" i="16"/>
  <c r="T1440" i="16" s="1"/>
  <c r="U1386" i="16"/>
  <c r="S1386" i="16"/>
  <c r="T1386" i="16" s="1"/>
  <c r="U1170" i="16"/>
  <c r="S1170" i="16"/>
  <c r="T1170" i="16" s="1"/>
  <c r="U954" i="16"/>
  <c r="S954" i="16"/>
  <c r="T954" i="16" s="1"/>
  <c r="U684" i="16"/>
  <c r="S684" i="16"/>
  <c r="T684" i="16" s="1"/>
  <c r="U28" i="4"/>
  <c r="S28" i="4"/>
  <c r="T28" i="4" s="1"/>
  <c r="N4171" i="16"/>
  <c r="M4171" i="16"/>
  <c r="M3709" i="16"/>
  <c r="N3709" i="16"/>
  <c r="N3493" i="16"/>
  <c r="M3493" i="16"/>
  <c r="M3439" i="16"/>
  <c r="N3439" i="16"/>
  <c r="M3385" i="16"/>
  <c r="N3385" i="16"/>
  <c r="N3169" i="16"/>
  <c r="M3169" i="16"/>
  <c r="N3115" i="16"/>
  <c r="M3115" i="16"/>
  <c r="N3007" i="16"/>
  <c r="M3007" i="16"/>
  <c r="M2845" i="16"/>
  <c r="N2845" i="16"/>
  <c r="M2683" i="16"/>
  <c r="N2683" i="16"/>
  <c r="M2521" i="16"/>
  <c r="N2521" i="16"/>
  <c r="M2467" i="16"/>
  <c r="N2467" i="16"/>
  <c r="M2413" i="16"/>
  <c r="N2413" i="16"/>
  <c r="M2359" i="16"/>
  <c r="N2359" i="16"/>
  <c r="N2143" i="16"/>
  <c r="M2143" i="16"/>
  <c r="M1873" i="16"/>
  <c r="N1873" i="16"/>
  <c r="M1603" i="16"/>
  <c r="N1603" i="16"/>
  <c r="M1441" i="16"/>
  <c r="N1441" i="16"/>
  <c r="M1387" i="16"/>
  <c r="N1387" i="16"/>
  <c r="M1333" i="16"/>
  <c r="N1333" i="16"/>
  <c r="M1063" i="16"/>
  <c r="N1063" i="16"/>
  <c r="N1009" i="16"/>
  <c r="M1009" i="16"/>
  <c r="M793" i="16"/>
  <c r="N793" i="16"/>
  <c r="M577" i="16"/>
  <c r="N577" i="16"/>
  <c r="M469" i="16"/>
  <c r="N469" i="16"/>
  <c r="M415" i="16"/>
  <c r="N415" i="16"/>
  <c r="M361" i="16"/>
  <c r="N361" i="16"/>
  <c r="M307" i="16"/>
  <c r="N307" i="16"/>
  <c r="F4580" i="16"/>
  <c r="K4580" i="16"/>
  <c r="F4526" i="16"/>
  <c r="K4526" i="16"/>
  <c r="F4118" i="16"/>
  <c r="O4118" i="16" s="1"/>
  <c r="K4118" i="16"/>
  <c r="F3710" i="16"/>
  <c r="O3710" i="16" s="1"/>
  <c r="K3710" i="16"/>
  <c r="F3224" i="16"/>
  <c r="O3224" i="16" s="1"/>
  <c r="K3224" i="16"/>
  <c r="F3170" i="16"/>
  <c r="O3170" i="16" s="1"/>
  <c r="K3170" i="16"/>
  <c r="F3116" i="16"/>
  <c r="O3116" i="16" s="1"/>
  <c r="K3116" i="16"/>
  <c r="K3062" i="16"/>
  <c r="F3062" i="16"/>
  <c r="O3062" i="16" s="1"/>
  <c r="K3008" i="16"/>
  <c r="F3008" i="16"/>
  <c r="O3008" i="16" s="1"/>
  <c r="F2900" i="16"/>
  <c r="O2900" i="16" s="1"/>
  <c r="K2900" i="16"/>
  <c r="K2738" i="16"/>
  <c r="F2738" i="16"/>
  <c r="O2738" i="16" s="1"/>
  <c r="F2630" i="16"/>
  <c r="O2630" i="16" s="1"/>
  <c r="K2630" i="16"/>
  <c r="F2414" i="16"/>
  <c r="O2414" i="16" s="1"/>
  <c r="K2414" i="16"/>
  <c r="K2360" i="16"/>
  <c r="F2360" i="16"/>
  <c r="O2360" i="16" s="1"/>
  <c r="K1658" i="16"/>
  <c r="F1658" i="16"/>
  <c r="O1658" i="16" s="1"/>
  <c r="K1388" i="16"/>
  <c r="F1388" i="16"/>
  <c r="O1388" i="16" s="1"/>
  <c r="F1334" i="16"/>
  <c r="O1334" i="16" s="1"/>
  <c r="K1334" i="16"/>
  <c r="F1280" i="16"/>
  <c r="O1280" i="16" s="1"/>
  <c r="K1280" i="16"/>
  <c r="K1227" i="16"/>
  <c r="F1227" i="16"/>
  <c r="O1227" i="16" s="1"/>
  <c r="F1118" i="16"/>
  <c r="O1118" i="16" s="1"/>
  <c r="K1118" i="16"/>
  <c r="K1064" i="16"/>
  <c r="F1064" i="16"/>
  <c r="O1064" i="16" s="1"/>
  <c r="F1010" i="16"/>
  <c r="O1010" i="16" s="1"/>
  <c r="K1010" i="16"/>
  <c r="K794" i="16"/>
  <c r="F794" i="16"/>
  <c r="O794" i="16" s="1"/>
  <c r="K578" i="16"/>
  <c r="F578" i="16"/>
  <c r="O578" i="16" s="1"/>
  <c r="F524" i="16"/>
  <c r="O524" i="16" s="1"/>
  <c r="K524" i="16"/>
  <c r="F254" i="16"/>
  <c r="O254" i="16" s="1"/>
  <c r="K254" i="16"/>
  <c r="N3386" i="16" l="1"/>
  <c r="N2090" i="16"/>
  <c r="N1442" i="16"/>
  <c r="N146" i="16"/>
  <c r="D4635" i="16"/>
  <c r="F4635" i="16"/>
  <c r="O4635" i="16" s="1"/>
  <c r="K4119" i="16"/>
  <c r="F4119" i="16"/>
  <c r="O4119" i="16" s="1"/>
  <c r="K2415" i="16"/>
  <c r="F2415" i="16"/>
  <c r="O2415" i="16" s="1"/>
  <c r="K1767" i="16"/>
  <c r="F1767" i="16"/>
  <c r="O1767" i="16" s="1"/>
  <c r="K1389" i="16"/>
  <c r="F1389" i="16"/>
  <c r="O1389" i="16" s="1"/>
  <c r="K741" i="16"/>
  <c r="F741" i="16"/>
  <c r="O741" i="16" s="1"/>
  <c r="U4688" i="16"/>
  <c r="S4688" i="16"/>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D4581" i="16"/>
  <c r="J4581" i="16"/>
  <c r="P4581" i="16"/>
  <c r="Q4581" i="16"/>
  <c r="R4581" i="16"/>
  <c r="L4582" i="16"/>
  <c r="C4582" i="16"/>
  <c r="E4582" i="16"/>
  <c r="G4582" i="16"/>
  <c r="I4582" i="16"/>
  <c r="B4583" i="16"/>
  <c r="D4527" i="16"/>
  <c r="J4527" i="16"/>
  <c r="P4527" i="16"/>
  <c r="Q4527" i="16"/>
  <c r="R4527" i="16"/>
  <c r="L4528" i="16"/>
  <c r="C4528" i="16"/>
  <c r="E4528" i="16"/>
  <c r="G4528" i="16"/>
  <c r="I4528" i="16"/>
  <c r="B4529" i="16"/>
  <c r="U4226" i="16"/>
  <c r="S4226" i="16"/>
  <c r="T4226" i="16" s="1"/>
  <c r="D4227" i="16"/>
  <c r="J4227" i="16"/>
  <c r="P4227" i="16"/>
  <c r="Q4227" i="16"/>
  <c r="R4227" i="16"/>
  <c r="E4228" i="16"/>
  <c r="G4228" i="16"/>
  <c r="I4228" i="16"/>
  <c r="B4229" i="16"/>
  <c r="C4228" i="16"/>
  <c r="L4228" i="16"/>
  <c r="U4172" i="16"/>
  <c r="S4172" i="16"/>
  <c r="T4172" i="16" s="1"/>
  <c r="P4173" i="16"/>
  <c r="Q4173" i="16"/>
  <c r="R4173" i="16"/>
  <c r="D4173" i="16"/>
  <c r="J4173" i="16"/>
  <c r="C4174" i="16"/>
  <c r="E4174" i="16"/>
  <c r="L4174" i="16"/>
  <c r="F4174" i="16"/>
  <c r="O4174" i="16" s="1"/>
  <c r="G4174" i="16"/>
  <c r="I4174" i="16"/>
  <c r="K4174" i="16"/>
  <c r="B4175" i="16"/>
  <c r="M4119" i="16"/>
  <c r="D4119" i="16"/>
  <c r="J4119" i="16"/>
  <c r="N4119" i="16" s="1"/>
  <c r="P4119" i="16"/>
  <c r="Q4119" i="16"/>
  <c r="R4119" i="16"/>
  <c r="I4120" i="16"/>
  <c r="C4120" i="16"/>
  <c r="E4120" i="16"/>
  <c r="G4120" i="16"/>
  <c r="L4120" i="16"/>
  <c r="B4121"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E3766" i="16"/>
  <c r="G3766" i="16"/>
  <c r="I3766" i="16"/>
  <c r="B3767" i="16"/>
  <c r="M3711" i="16"/>
  <c r="D3711" i="16"/>
  <c r="J3711" i="16"/>
  <c r="N3711" i="16" s="1"/>
  <c r="P3711" i="16"/>
  <c r="Q3711" i="16"/>
  <c r="R3711" i="16"/>
  <c r="L3712" i="16"/>
  <c r="C3712" i="16"/>
  <c r="E3712" i="16"/>
  <c r="G3712" i="16"/>
  <c r="I3712" i="16"/>
  <c r="B3713" i="16"/>
  <c r="S3656" i="16"/>
  <c r="T3656" i="16" s="1"/>
  <c r="U3656" i="16"/>
  <c r="M3657" i="16"/>
  <c r="D3657" i="16"/>
  <c r="J3657" i="16"/>
  <c r="N3657" i="16" s="1"/>
  <c r="P3657" i="16"/>
  <c r="Q3657" i="16"/>
  <c r="R3657" i="16"/>
  <c r="L3658" i="16"/>
  <c r="C3658" i="16"/>
  <c r="E3658" i="16"/>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U3494" i="16"/>
  <c r="S3494" i="16"/>
  <c r="T3494" i="16" s="1"/>
  <c r="L3496" i="16"/>
  <c r="G3496" i="16"/>
  <c r="C3496" i="16"/>
  <c r="E3496" i="16"/>
  <c r="B3497" i="16"/>
  <c r="I3496" i="16"/>
  <c r="D3495" i="16"/>
  <c r="J3495" i="16"/>
  <c r="P3495" i="16"/>
  <c r="Q3495" i="16"/>
  <c r="R3495" i="16"/>
  <c r="S3440" i="16"/>
  <c r="T3440" i="16" s="1"/>
  <c r="U3440" i="16"/>
  <c r="M3441" i="16"/>
  <c r="D3441" i="16"/>
  <c r="J3441" i="16"/>
  <c r="N3441" i="16" s="1"/>
  <c r="P3441" i="16"/>
  <c r="Q3441" i="16"/>
  <c r="R3441" i="16"/>
  <c r="L3442" i="16"/>
  <c r="C3442" i="16"/>
  <c r="K3442" i="16" s="1"/>
  <c r="E3442" i="16"/>
  <c r="F3442" i="16"/>
  <c r="O3442" i="16" s="1"/>
  <c r="G3442" i="16"/>
  <c r="I3442" i="16"/>
  <c r="B3443" i="16"/>
  <c r="U3386" i="16"/>
  <c r="S3386" i="16"/>
  <c r="T3386" i="16" s="1"/>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D3279" i="16"/>
  <c r="J3279" i="16"/>
  <c r="N3279" i="16" s="1"/>
  <c r="P3279" i="16"/>
  <c r="Q3279" i="16"/>
  <c r="R3279" i="16"/>
  <c r="L3280" i="16"/>
  <c r="C3280" i="16"/>
  <c r="K3280" i="16" s="1"/>
  <c r="E3280" i="16"/>
  <c r="F3280" i="16"/>
  <c r="O3280" i="16" s="1"/>
  <c r="G3280" i="16"/>
  <c r="I3280" i="16"/>
  <c r="B3281" i="16"/>
  <c r="L3226" i="16"/>
  <c r="G3226" i="16"/>
  <c r="B3227" i="16"/>
  <c r="E3226" i="16"/>
  <c r="C3226" i="16"/>
  <c r="I3226" i="16"/>
  <c r="J3225" i="16"/>
  <c r="D3225" i="16"/>
  <c r="P3225" i="16"/>
  <c r="Q3225" i="16"/>
  <c r="R3225" i="16"/>
  <c r="M3171" i="16"/>
  <c r="L3172" i="16"/>
  <c r="C3172" i="16"/>
  <c r="G3172" i="16"/>
  <c r="I3172" i="16"/>
  <c r="E3172" i="16"/>
  <c r="B3173" i="16"/>
  <c r="J3171" i="16"/>
  <c r="N3171" i="16" s="1"/>
  <c r="D3171" i="16"/>
  <c r="P3171" i="16"/>
  <c r="Q3171" i="16"/>
  <c r="R3171" i="16"/>
  <c r="M3117" i="16"/>
  <c r="D3117" i="16"/>
  <c r="J3117" i="16"/>
  <c r="N3117" i="16" s="1"/>
  <c r="L3118" i="16"/>
  <c r="E3118" i="16"/>
  <c r="C3118" i="16"/>
  <c r="G3118" i="16"/>
  <c r="I3118" i="16"/>
  <c r="B3119" i="16"/>
  <c r="P3117" i="16"/>
  <c r="Q3117" i="16"/>
  <c r="R3117" i="16"/>
  <c r="M3063" i="16"/>
  <c r="D3063" i="16"/>
  <c r="J3063" i="16"/>
  <c r="N3063" i="16" s="1"/>
  <c r="P3063" i="16"/>
  <c r="Q3063" i="16"/>
  <c r="R3063" i="16"/>
  <c r="L3064" i="16"/>
  <c r="G3064" i="16"/>
  <c r="I3064" i="16"/>
  <c r="E3064" i="16"/>
  <c r="C3064" i="16"/>
  <c r="K3064" i="16" s="1"/>
  <c r="F3064" i="16"/>
  <c r="O3064" i="16" s="1"/>
  <c r="B3065" i="16"/>
  <c r="D3009" i="16"/>
  <c r="J3009" i="16"/>
  <c r="P3009" i="16"/>
  <c r="Q3009" i="16"/>
  <c r="R3009" i="16"/>
  <c r="L3010" i="16"/>
  <c r="I3010" i="16"/>
  <c r="B3011" i="16"/>
  <c r="G3010" i="16"/>
  <c r="E3010" i="16"/>
  <c r="C3010" i="16"/>
  <c r="U2954" i="16"/>
  <c r="S2954" i="16"/>
  <c r="T2954" i="16" s="1"/>
  <c r="D2955" i="16"/>
  <c r="J2955" i="16"/>
  <c r="P2955" i="16"/>
  <c r="Q2955" i="16"/>
  <c r="R2955" i="16"/>
  <c r="L2956" i="16"/>
  <c r="C2956" i="16"/>
  <c r="E2956" i="16"/>
  <c r="G2956" i="16"/>
  <c r="I2956" i="16"/>
  <c r="B2957" i="16"/>
  <c r="D2901" i="16"/>
  <c r="J2901" i="16"/>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K2848" i="16" s="1"/>
  <c r="E2848" i="16"/>
  <c r="F2848" i="16"/>
  <c r="O2848" i="16" s="1"/>
  <c r="G2848" i="16"/>
  <c r="I2848" i="16"/>
  <c r="B2849" i="16"/>
  <c r="M2793" i="16"/>
  <c r="D2793" i="16"/>
  <c r="J2793" i="16"/>
  <c r="N2793" i="16" s="1"/>
  <c r="S2793" i="16" s="1"/>
  <c r="T2793" i="16" s="1"/>
  <c r="U2793" i="16" s="1"/>
  <c r="P2793" i="16"/>
  <c r="Q2793" i="16"/>
  <c r="R2793" i="16"/>
  <c r="L2794" i="16"/>
  <c r="C2794" i="16"/>
  <c r="K2794" i="16" s="1"/>
  <c r="E2794" i="16"/>
  <c r="F2794" i="16"/>
  <c r="O2794" i="16" s="1"/>
  <c r="G2794" i="16"/>
  <c r="I2794" i="16"/>
  <c r="B2795" i="16"/>
  <c r="M2739" i="16"/>
  <c r="D2739" i="16"/>
  <c r="J2739" i="16"/>
  <c r="N2739" i="16" s="1"/>
  <c r="P2739" i="16"/>
  <c r="Q2739" i="16"/>
  <c r="R2739" i="16"/>
  <c r="L2740" i="16"/>
  <c r="C2740" i="16"/>
  <c r="E2740" i="16"/>
  <c r="G2740" i="16"/>
  <c r="I2740" i="16"/>
  <c r="B2741" i="16"/>
  <c r="U2684" i="16"/>
  <c r="S2684" i="16"/>
  <c r="T2684" i="16" s="1"/>
  <c r="M2685" i="16"/>
  <c r="D2685" i="16"/>
  <c r="J2685" i="16"/>
  <c r="N2685" i="16" s="1"/>
  <c r="P2685" i="16"/>
  <c r="Q2685" i="16"/>
  <c r="R2685" i="16"/>
  <c r="L2686" i="16"/>
  <c r="C2686" i="16"/>
  <c r="K2686" i="16" s="1"/>
  <c r="E2686" i="16"/>
  <c r="F2686" i="16"/>
  <c r="O2686" i="16" s="1"/>
  <c r="G2686" i="16"/>
  <c r="I2686" i="16"/>
  <c r="B2687" i="16"/>
  <c r="D2631" i="16"/>
  <c r="J2631" i="16"/>
  <c r="P2631" i="16"/>
  <c r="Q2631" i="16"/>
  <c r="R2631" i="16"/>
  <c r="L2632" i="16"/>
  <c r="C2632" i="16"/>
  <c r="K2632" i="16" s="1"/>
  <c r="E2632" i="16"/>
  <c r="F2632" i="16"/>
  <c r="O2632" i="16" s="1"/>
  <c r="G2632" i="16"/>
  <c r="I2632" i="16"/>
  <c r="B2633" i="16"/>
  <c r="U2576" i="16"/>
  <c r="S2576" i="16"/>
  <c r="T2576" i="16" s="1"/>
  <c r="M2577" i="16"/>
  <c r="D2577" i="16"/>
  <c r="J2577" i="16"/>
  <c r="N2577" i="16" s="1"/>
  <c r="P2577" i="16"/>
  <c r="Q2577" i="16"/>
  <c r="R2577" i="16"/>
  <c r="L2578" i="16"/>
  <c r="C2578" i="16"/>
  <c r="E2578" i="16"/>
  <c r="G2578" i="16"/>
  <c r="I2578" i="16"/>
  <c r="B2579" i="16"/>
  <c r="U2522" i="16"/>
  <c r="S2522" i="16"/>
  <c r="T2522" i="16" s="1"/>
  <c r="M2523" i="16"/>
  <c r="D2523" i="16"/>
  <c r="J2523" i="16"/>
  <c r="N2523" i="16" s="1"/>
  <c r="Q2523" i="16"/>
  <c r="P2523" i="16"/>
  <c r="R2523" i="16"/>
  <c r="L2524" i="16"/>
  <c r="C2524" i="16"/>
  <c r="E2524" i="16"/>
  <c r="G2524" i="16"/>
  <c r="I2524" i="16"/>
  <c r="B2525" i="16"/>
  <c r="U2468" i="16"/>
  <c r="S2468" i="16"/>
  <c r="T2468" i="16" s="1"/>
  <c r="M2469" i="16"/>
  <c r="D2469" i="16"/>
  <c r="J2469" i="16"/>
  <c r="N2469" i="16" s="1"/>
  <c r="Q2469" i="16"/>
  <c r="R2469" i="16"/>
  <c r="P2469" i="16"/>
  <c r="L2470" i="16"/>
  <c r="C2470" i="16"/>
  <c r="K2470" i="16" s="1"/>
  <c r="E2470" i="16"/>
  <c r="F2470" i="16"/>
  <c r="O2470" i="16" s="1"/>
  <c r="G2470" i="16"/>
  <c r="I2470" i="16"/>
  <c r="B2471" i="16"/>
  <c r="M2415" i="16"/>
  <c r="D2415" i="16"/>
  <c r="J2415" i="16"/>
  <c r="N2415" i="16" s="1"/>
  <c r="Q2415" i="16"/>
  <c r="P2415" i="16"/>
  <c r="R2415" i="16"/>
  <c r="L2416" i="16"/>
  <c r="C2416" i="16"/>
  <c r="E2416" i="16"/>
  <c r="G2416" i="16"/>
  <c r="I2416" i="16"/>
  <c r="B2417" i="16"/>
  <c r="M2361" i="16"/>
  <c r="D2361" i="16"/>
  <c r="J2361" i="16"/>
  <c r="N2361" i="16" s="1"/>
  <c r="P2361" i="16"/>
  <c r="Q2361" i="16"/>
  <c r="R2361" i="16"/>
  <c r="L2362" i="16"/>
  <c r="C2362" i="16"/>
  <c r="E2362" i="16"/>
  <c r="G2362" i="16"/>
  <c r="I2362" i="16"/>
  <c r="B2363" i="16"/>
  <c r="U2306" i="16"/>
  <c r="S2306" i="16"/>
  <c r="T2306" i="16" s="1"/>
  <c r="D2307" i="16"/>
  <c r="J2307" i="16"/>
  <c r="P2307" i="16"/>
  <c r="Q2307" i="16"/>
  <c r="R2307" i="16"/>
  <c r="L2308" i="16"/>
  <c r="C2308" i="16"/>
  <c r="E2308" i="16"/>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U2198" i="16"/>
  <c r="S2198" i="16"/>
  <c r="T2198" i="16" s="1"/>
  <c r="M2199" i="16"/>
  <c r="D2199" i="16"/>
  <c r="J2199" i="16"/>
  <c r="N2199" i="16" s="1"/>
  <c r="P2199" i="16"/>
  <c r="Q2199" i="16"/>
  <c r="R2199" i="16"/>
  <c r="L2200" i="16"/>
  <c r="C2200" i="16"/>
  <c r="K2200" i="16" s="1"/>
  <c r="E2200" i="16"/>
  <c r="F2200" i="16"/>
  <c r="O2200" i="16" s="1"/>
  <c r="G2200" i="16"/>
  <c r="B2201" i="16"/>
  <c r="I2200" i="16"/>
  <c r="U2144" i="16"/>
  <c r="S2144" i="16"/>
  <c r="T2144" i="16" s="1"/>
  <c r="M2145" i="16"/>
  <c r="D2145" i="16"/>
  <c r="J2145" i="16"/>
  <c r="N2145" i="16" s="1"/>
  <c r="Q2145" i="16"/>
  <c r="P2145" i="16"/>
  <c r="R2145" i="16"/>
  <c r="L2146" i="16"/>
  <c r="C2146" i="16"/>
  <c r="E2146" i="16"/>
  <c r="G2146" i="16"/>
  <c r="B2147" i="16"/>
  <c r="I2146" i="16"/>
  <c r="U2090" i="16"/>
  <c r="S2090" i="16"/>
  <c r="T2090" i="16" s="1"/>
  <c r="D2091" i="16"/>
  <c r="J2091" i="16"/>
  <c r="P2091" i="16"/>
  <c r="Q2091" i="16"/>
  <c r="R2091" i="16"/>
  <c r="L2092" i="16"/>
  <c r="C2092" i="16"/>
  <c r="E2092" i="16"/>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K1984" i="16" s="1"/>
  <c r="E1984" i="16"/>
  <c r="F1984" i="16"/>
  <c r="O1984" i="16" s="1"/>
  <c r="G1984" i="16"/>
  <c r="I1984" i="16"/>
  <c r="B1985" i="16"/>
  <c r="U1928" i="16"/>
  <c r="S1928" i="16"/>
  <c r="T1928" i="16" s="1"/>
  <c r="M1929" i="16"/>
  <c r="D1929" i="16"/>
  <c r="J1929" i="16"/>
  <c r="N1929" i="16" s="1"/>
  <c r="P1929" i="16"/>
  <c r="Q1929" i="16"/>
  <c r="R1929" i="16"/>
  <c r="L1930" i="16"/>
  <c r="C1930" i="16"/>
  <c r="E1930" i="16"/>
  <c r="G1930" i="16"/>
  <c r="I1930" i="16"/>
  <c r="B1931" i="16"/>
  <c r="U1874" i="16"/>
  <c r="S1874" i="16"/>
  <c r="T1874" i="16" s="1"/>
  <c r="D1875" i="16"/>
  <c r="J1875" i="16"/>
  <c r="P1875" i="16"/>
  <c r="Q1875" i="16"/>
  <c r="R1875" i="16"/>
  <c r="L1876" i="16"/>
  <c r="C1876" i="16"/>
  <c r="E1876" i="16"/>
  <c r="G1876" i="16"/>
  <c r="I1876" i="16"/>
  <c r="B1877" i="16"/>
  <c r="U1820" i="16"/>
  <c r="S1820" i="16"/>
  <c r="T1820" i="16" s="1"/>
  <c r="M1821" i="16"/>
  <c r="D1821" i="16"/>
  <c r="J1821" i="16"/>
  <c r="N1821" i="16" s="1"/>
  <c r="P1821" i="16"/>
  <c r="Q1821" i="16"/>
  <c r="R1821" i="16"/>
  <c r="L1822" i="16"/>
  <c r="C1822" i="16"/>
  <c r="E1822" i="16"/>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U1712" i="16"/>
  <c r="S1712" i="16"/>
  <c r="T1712" i="16" s="1"/>
  <c r="M1713" i="16"/>
  <c r="D1713" i="16"/>
  <c r="J1713" i="16"/>
  <c r="N1713" i="16" s="1"/>
  <c r="P1713" i="16"/>
  <c r="Q1713" i="16"/>
  <c r="R1713" i="16"/>
  <c r="L1714" i="16"/>
  <c r="C1714" i="16"/>
  <c r="E1714" i="16"/>
  <c r="G1714" i="16"/>
  <c r="I1714" i="16"/>
  <c r="B1715" i="16"/>
  <c r="M1659" i="16"/>
  <c r="D1659" i="16"/>
  <c r="J1659" i="16"/>
  <c r="N1659" i="16" s="1"/>
  <c r="P1659" i="16"/>
  <c r="Q1659" i="16"/>
  <c r="R1659" i="16"/>
  <c r="L1660" i="16"/>
  <c r="C1660" i="16"/>
  <c r="K1660" i="16" s="1"/>
  <c r="E1660" i="16"/>
  <c r="F1660" i="16"/>
  <c r="O1660" i="16" s="1"/>
  <c r="G1660" i="16"/>
  <c r="I1660" i="16"/>
  <c r="B1661" i="16"/>
  <c r="U1604" i="16"/>
  <c r="S1604" i="16"/>
  <c r="T1604" i="16" s="1"/>
  <c r="M1605" i="16"/>
  <c r="D1605" i="16"/>
  <c r="J1605" i="16"/>
  <c r="N1605" i="16" s="1"/>
  <c r="P1605" i="16"/>
  <c r="Q1605" i="16"/>
  <c r="R1605" i="16"/>
  <c r="L1606" i="16"/>
  <c r="C1606" i="16"/>
  <c r="E1606" i="16"/>
  <c r="G1606" i="16"/>
  <c r="I1606" i="16"/>
  <c r="B1607" i="16"/>
  <c r="U1550" i="16"/>
  <c r="S1550" i="16"/>
  <c r="T1550" i="16" s="1"/>
  <c r="M1551" i="16"/>
  <c r="D1551" i="16"/>
  <c r="J1551" i="16"/>
  <c r="N1551" i="16" s="1"/>
  <c r="P1551" i="16"/>
  <c r="Q1551" i="16"/>
  <c r="R1551" i="16"/>
  <c r="L1552" i="16"/>
  <c r="C1552" i="16"/>
  <c r="K1552" i="16" s="1"/>
  <c r="E1552" i="16"/>
  <c r="F1552" i="16"/>
  <c r="O1552" i="16" s="1"/>
  <c r="G1552" i="16"/>
  <c r="I1552" i="16"/>
  <c r="B1553" i="16"/>
  <c r="U1496" i="16"/>
  <c r="S1496" i="16"/>
  <c r="T1496" i="16" s="1"/>
  <c r="M1497" i="16"/>
  <c r="D1497" i="16"/>
  <c r="J1497" i="16"/>
  <c r="N1497" i="16" s="1"/>
  <c r="P1497" i="16"/>
  <c r="Q1497" i="16"/>
  <c r="R1497" i="16"/>
  <c r="L1498" i="16"/>
  <c r="C1498" i="16"/>
  <c r="K1498" i="16" s="1"/>
  <c r="E1498" i="16"/>
  <c r="F1498" i="16"/>
  <c r="O1498" i="16" s="1"/>
  <c r="G1498" i="16"/>
  <c r="B1499" i="16"/>
  <c r="I1498" i="16"/>
  <c r="U1442" i="16"/>
  <c r="S1442" i="16"/>
  <c r="T1442" i="16" s="1"/>
  <c r="M1443" i="16"/>
  <c r="D1443" i="16"/>
  <c r="J1443" i="16"/>
  <c r="N1443" i="16" s="1"/>
  <c r="P1443" i="16"/>
  <c r="Q1443" i="16"/>
  <c r="R1443" i="16"/>
  <c r="L1444" i="16"/>
  <c r="E1444" i="16"/>
  <c r="G1444" i="16"/>
  <c r="I1444" i="16"/>
  <c r="B1445" i="16"/>
  <c r="C1444" i="16"/>
  <c r="K1444" i="16" s="1"/>
  <c r="F1444" i="16"/>
  <c r="O1444" i="16" s="1"/>
  <c r="M1389" i="16"/>
  <c r="L1390" i="16"/>
  <c r="E1390" i="16"/>
  <c r="C1390" i="16"/>
  <c r="K1390" i="16" s="1"/>
  <c r="G1390" i="16"/>
  <c r="B1391" i="16"/>
  <c r="I1390" i="16"/>
  <c r="F1390" i="16"/>
  <c r="O1390" i="16" s="1"/>
  <c r="D1389" i="16"/>
  <c r="J1389" i="16"/>
  <c r="N1389" i="16" s="1"/>
  <c r="P1389" i="16"/>
  <c r="Q1389" i="16"/>
  <c r="R1389" i="16"/>
  <c r="M1335" i="16"/>
  <c r="P1335" i="16"/>
  <c r="Q1335" i="16"/>
  <c r="R1335" i="16"/>
  <c r="L1336" i="16"/>
  <c r="G1336" i="16"/>
  <c r="C1336" i="16"/>
  <c r="E1336" i="16"/>
  <c r="B1337" i="16"/>
  <c r="I1336" i="16"/>
  <c r="J1335" i="16"/>
  <c r="N1335" i="16" s="1"/>
  <c r="D1335" i="16"/>
  <c r="J1281" i="16"/>
  <c r="D1281" i="16"/>
  <c r="P1281" i="16"/>
  <c r="Q1281" i="16"/>
  <c r="R1281" i="16"/>
  <c r="L1282" i="16"/>
  <c r="E1282" i="16"/>
  <c r="I1282" i="16"/>
  <c r="C1282" i="16"/>
  <c r="G1282" i="16"/>
  <c r="B1283" i="16"/>
  <c r="D1228" i="16"/>
  <c r="J1228" i="16"/>
  <c r="P1228" i="16"/>
  <c r="Q1228" i="16"/>
  <c r="R1228" i="16"/>
  <c r="L1229" i="16"/>
  <c r="E1229" i="16"/>
  <c r="C1229" i="16"/>
  <c r="K1229" i="16" s="1"/>
  <c r="F1229" i="16"/>
  <c r="O1229" i="16" s="1"/>
  <c r="B1230" i="16"/>
  <c r="G1229" i="16"/>
  <c r="I1229" i="16"/>
  <c r="U1172" i="16"/>
  <c r="S1172" i="16"/>
  <c r="T1172" i="16" s="1"/>
  <c r="M1173" i="16"/>
  <c r="D1173" i="16"/>
  <c r="J1173" i="16"/>
  <c r="N1173" i="16" s="1"/>
  <c r="P1173" i="16"/>
  <c r="Q1173" i="16"/>
  <c r="R1173" i="16"/>
  <c r="L1174" i="16"/>
  <c r="C1174" i="16"/>
  <c r="K1174" i="16" s="1"/>
  <c r="E1174" i="16"/>
  <c r="F1174" i="16"/>
  <c r="O1174" i="16" s="1"/>
  <c r="G1174" i="16"/>
  <c r="I1174" i="16"/>
  <c r="B1175" i="16"/>
  <c r="M1119" i="16"/>
  <c r="D1119" i="16"/>
  <c r="J1119" i="16"/>
  <c r="N1119" i="16" s="1"/>
  <c r="P1119" i="16"/>
  <c r="Q1119" i="16"/>
  <c r="R1119" i="16"/>
  <c r="L1120" i="16"/>
  <c r="C1120" i="16"/>
  <c r="E1120" i="16"/>
  <c r="G1120" i="16"/>
  <c r="I1120" i="16"/>
  <c r="B1121" i="16"/>
  <c r="D1065" i="16"/>
  <c r="J1065" i="16"/>
  <c r="P1065" i="16"/>
  <c r="Q1065" i="16"/>
  <c r="R1065" i="16"/>
  <c r="L1066" i="16"/>
  <c r="C1066" i="16"/>
  <c r="K1066" i="16" s="1"/>
  <c r="E1066" i="16"/>
  <c r="F1066" i="16"/>
  <c r="O1066" i="16" s="1"/>
  <c r="G1066" i="16"/>
  <c r="I1066" i="16"/>
  <c r="B1067" i="16"/>
  <c r="D1011" i="16"/>
  <c r="J1011" i="16"/>
  <c r="P1011" i="16"/>
  <c r="Q1011" i="16"/>
  <c r="R1011" i="16"/>
  <c r="L1012" i="16"/>
  <c r="C1012" i="16"/>
  <c r="E1012" i="16"/>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Q903" i="16"/>
  <c r="P903" i="16"/>
  <c r="R903" i="16"/>
  <c r="L904" i="16"/>
  <c r="C904" i="16"/>
  <c r="E904" i="16"/>
  <c r="G904" i="16"/>
  <c r="I904" i="16"/>
  <c r="B905" i="16"/>
  <c r="U848" i="16"/>
  <c r="S848" i="16"/>
  <c r="T848" i="16" s="1"/>
  <c r="M849" i="16"/>
  <c r="D849" i="16"/>
  <c r="J849" i="16"/>
  <c r="N849" i="16" s="1"/>
  <c r="Q849" i="16"/>
  <c r="P849" i="16"/>
  <c r="R849" i="16"/>
  <c r="L850" i="16"/>
  <c r="C850" i="16"/>
  <c r="E850" i="16"/>
  <c r="G850" i="16"/>
  <c r="I850" i="16"/>
  <c r="B851" i="16"/>
  <c r="D795" i="16"/>
  <c r="J795" i="16"/>
  <c r="Q795" i="16"/>
  <c r="P795" i="16"/>
  <c r="R795" i="16"/>
  <c r="L796" i="16"/>
  <c r="C796" i="16"/>
  <c r="E796" i="16"/>
  <c r="G796" i="16"/>
  <c r="I796" i="16"/>
  <c r="B797" i="16"/>
  <c r="U740" i="16"/>
  <c r="S740" i="16"/>
  <c r="T740" i="16" s="1"/>
  <c r="M741" i="16"/>
  <c r="D741" i="16"/>
  <c r="J741" i="16"/>
  <c r="N741" i="16" s="1"/>
  <c r="Q741" i="16"/>
  <c r="P741" i="16"/>
  <c r="R741" i="16"/>
  <c r="L742" i="16"/>
  <c r="C742" i="16"/>
  <c r="E742" i="16"/>
  <c r="G742" i="16"/>
  <c r="I742" i="16"/>
  <c r="B743" i="16"/>
  <c r="U686" i="16"/>
  <c r="S686" i="16"/>
  <c r="T686" i="16" s="1"/>
  <c r="M687" i="16"/>
  <c r="D687" i="16"/>
  <c r="J687" i="16"/>
  <c r="N687" i="16" s="1"/>
  <c r="P687" i="16"/>
  <c r="Q687" i="16"/>
  <c r="R687" i="16"/>
  <c r="L688" i="16"/>
  <c r="C688" i="16"/>
  <c r="E688" i="16"/>
  <c r="G688" i="16"/>
  <c r="I688" i="16"/>
  <c r="B689" i="16"/>
  <c r="U632" i="16"/>
  <c r="S632" i="16"/>
  <c r="T632" i="16" s="1"/>
  <c r="M633" i="16"/>
  <c r="D633" i="16"/>
  <c r="J633" i="16"/>
  <c r="N633" i="16" s="1"/>
  <c r="P633" i="16"/>
  <c r="Q633" i="16"/>
  <c r="R633" i="16"/>
  <c r="L634" i="16"/>
  <c r="C634" i="16"/>
  <c r="K634" i="16" s="1"/>
  <c r="E634" i="16"/>
  <c r="F634" i="16"/>
  <c r="O634" i="16" s="1"/>
  <c r="G634" i="16"/>
  <c r="I634" i="16"/>
  <c r="B635" i="16"/>
  <c r="D579" i="16"/>
  <c r="J579" i="16"/>
  <c r="P579" i="16"/>
  <c r="Q579" i="16"/>
  <c r="R579" i="16"/>
  <c r="L580" i="16"/>
  <c r="C580" i="16"/>
  <c r="K580" i="16" s="1"/>
  <c r="E580" i="16"/>
  <c r="F580" i="16"/>
  <c r="O580" i="16" s="1"/>
  <c r="G580" i="16"/>
  <c r="I580" i="16"/>
  <c r="B581" i="16"/>
  <c r="D525" i="16"/>
  <c r="J525" i="16"/>
  <c r="Q525" i="16"/>
  <c r="P525" i="16"/>
  <c r="R525" i="16"/>
  <c r="L526" i="16"/>
  <c r="C526" i="16"/>
  <c r="E526" i="16"/>
  <c r="G526" i="16"/>
  <c r="I526" i="16"/>
  <c r="B527" i="16"/>
  <c r="U470" i="16"/>
  <c r="S470" i="16"/>
  <c r="T470" i="16" s="1"/>
  <c r="M471" i="16"/>
  <c r="D471" i="16"/>
  <c r="J471" i="16"/>
  <c r="N471" i="16" s="1"/>
  <c r="Q471" i="16"/>
  <c r="P471" i="16"/>
  <c r="R471" i="16"/>
  <c r="L472" i="16"/>
  <c r="C472" i="16"/>
  <c r="K472" i="16" s="1"/>
  <c r="E472" i="16"/>
  <c r="F472" i="16"/>
  <c r="O472" i="16" s="1"/>
  <c r="G472" i="16"/>
  <c r="I472" i="16"/>
  <c r="B473" i="16"/>
  <c r="U416" i="16"/>
  <c r="S416" i="16"/>
  <c r="T416" i="16" s="1"/>
  <c r="M417" i="16"/>
  <c r="D417" i="16"/>
  <c r="J417" i="16"/>
  <c r="N417" i="16" s="1"/>
  <c r="Q417" i="16"/>
  <c r="P417" i="16"/>
  <c r="R417" i="16"/>
  <c r="L418" i="16"/>
  <c r="C418" i="16"/>
  <c r="K418" i="16" s="1"/>
  <c r="E418" i="16"/>
  <c r="F418" i="16"/>
  <c r="O418" i="16" s="1"/>
  <c r="G418" i="16"/>
  <c r="I418" i="16"/>
  <c r="B419" i="16"/>
  <c r="U362" i="16"/>
  <c r="S362" i="16"/>
  <c r="T362" i="16" s="1"/>
  <c r="M363" i="16"/>
  <c r="D363" i="16"/>
  <c r="J363" i="16"/>
  <c r="N363" i="16" s="1"/>
  <c r="P363" i="16"/>
  <c r="Q363" i="16"/>
  <c r="R363" i="16"/>
  <c r="L364" i="16"/>
  <c r="C364" i="16"/>
  <c r="K364" i="16" s="1"/>
  <c r="E364" i="16"/>
  <c r="F364" i="16"/>
  <c r="O364" i="16" s="1"/>
  <c r="G364" i="16"/>
  <c r="I364" i="16"/>
  <c r="B365" i="16"/>
  <c r="U308" i="16"/>
  <c r="S308" i="16"/>
  <c r="T308" i="16" s="1"/>
  <c r="M309" i="16"/>
  <c r="D309" i="16"/>
  <c r="J309" i="16"/>
  <c r="N309" i="16" s="1"/>
  <c r="P309" i="16"/>
  <c r="Q309" i="16"/>
  <c r="R309" i="16"/>
  <c r="L310" i="16"/>
  <c r="C310" i="16"/>
  <c r="K310" i="16" s="1"/>
  <c r="E310" i="16"/>
  <c r="F310" i="16"/>
  <c r="O310" i="16" s="1"/>
  <c r="G310" i="16"/>
  <c r="I310" i="16"/>
  <c r="B311" i="16"/>
  <c r="M255" i="16"/>
  <c r="D255" i="16"/>
  <c r="J255" i="16"/>
  <c r="N255" i="16" s="1"/>
  <c r="P255" i="16"/>
  <c r="Q255" i="16"/>
  <c r="R255" i="16"/>
  <c r="L256" i="16"/>
  <c r="C256" i="16"/>
  <c r="K256" i="16" s="1"/>
  <c r="E256" i="16"/>
  <c r="F256" i="16"/>
  <c r="O256" i="16" s="1"/>
  <c r="G256" i="16"/>
  <c r="I256" i="16"/>
  <c r="B257" i="16"/>
  <c r="U200" i="16"/>
  <c r="S200" i="16"/>
  <c r="T200" i="16" s="1"/>
  <c r="D201" i="16"/>
  <c r="J201" i="16"/>
  <c r="P201" i="16"/>
  <c r="Q201" i="16"/>
  <c r="R201" i="16"/>
  <c r="L202" i="16"/>
  <c r="C202" i="16"/>
  <c r="K202" i="16" s="1"/>
  <c r="E202" i="16"/>
  <c r="F202" i="16"/>
  <c r="O202" i="16" s="1"/>
  <c r="G202" i="16"/>
  <c r="I202" i="16"/>
  <c r="B203" i="16"/>
  <c r="U146" i="16"/>
  <c r="S146" i="16"/>
  <c r="T146" i="16" s="1"/>
  <c r="M147" i="16"/>
  <c r="D147" i="16"/>
  <c r="J147" i="16"/>
  <c r="N147" i="16" s="1"/>
  <c r="P147" i="16"/>
  <c r="Q147" i="16"/>
  <c r="R147" i="16"/>
  <c r="L148" i="16"/>
  <c r="C148" i="16"/>
  <c r="K148" i="16" s="1"/>
  <c r="E148" i="16"/>
  <c r="F148" i="16"/>
  <c r="O148" i="16" s="1"/>
  <c r="G148" i="16"/>
  <c r="I148" i="16"/>
  <c r="B149" i="16"/>
  <c r="U92" i="16"/>
  <c r="S92" i="16"/>
  <c r="T92" i="16" s="1"/>
  <c r="M93" i="16"/>
  <c r="D93" i="16"/>
  <c r="J93" i="16"/>
  <c r="N93" i="16" s="1"/>
  <c r="P93" i="16"/>
  <c r="Q93" i="16"/>
  <c r="R93" i="16"/>
  <c r="L94" i="16"/>
  <c r="C94" i="16"/>
  <c r="K94" i="16" s="1"/>
  <c r="E94" i="16"/>
  <c r="F94" i="16"/>
  <c r="O94" i="16" s="1"/>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I32" i="4"/>
  <c r="B33" i="4"/>
  <c r="B32" i="5"/>
  <c r="AM16" i="4"/>
  <c r="B80" i="7"/>
  <c r="I80" i="7" s="1"/>
  <c r="AL15" i="4"/>
  <c r="AK17" i="4"/>
  <c r="AK18" i="4"/>
  <c r="AK19" i="4"/>
  <c r="AK20" i="4"/>
  <c r="AK21" i="4"/>
  <c r="AK22" i="4"/>
  <c r="AK23" i="4"/>
  <c r="AK24" i="4"/>
  <c r="AK25" i="4"/>
  <c r="AK26" i="4"/>
  <c r="AK27" i="4"/>
  <c r="AK28" i="4"/>
  <c r="AK29" i="4"/>
  <c r="AK30" i="4"/>
  <c r="AK31" i="4"/>
  <c r="AK32" i="4"/>
  <c r="U4171" i="16"/>
  <c r="S4171" i="16"/>
  <c r="T4171" i="16" s="1"/>
  <c r="U3709" i="16"/>
  <c r="S3709" i="16"/>
  <c r="T3709" i="16" s="1"/>
  <c r="U3493" i="16"/>
  <c r="S3493" i="16"/>
  <c r="T3493" i="16" s="1"/>
  <c r="S3439" i="16"/>
  <c r="T3439" i="16" s="1"/>
  <c r="U3439" i="16"/>
  <c r="U3385" i="16"/>
  <c r="S3385" i="16"/>
  <c r="T3385" i="16" s="1"/>
  <c r="U3169" i="16"/>
  <c r="S3169" i="16"/>
  <c r="T3169" i="16" s="1"/>
  <c r="U3115" i="16"/>
  <c r="S3115" i="16"/>
  <c r="T3115" i="16" s="1"/>
  <c r="U3007" i="16"/>
  <c r="S3007" i="16"/>
  <c r="T3007" i="16" s="1"/>
  <c r="U2845" i="16"/>
  <c r="S2845" i="16"/>
  <c r="T2845" i="16" s="1"/>
  <c r="U2683" i="16"/>
  <c r="S2683" i="16"/>
  <c r="T2683" i="16" s="1"/>
  <c r="U2521" i="16"/>
  <c r="S2521" i="16"/>
  <c r="T2521" i="16" s="1"/>
  <c r="U2467" i="16"/>
  <c r="S2467" i="16"/>
  <c r="T2467" i="16" s="1"/>
  <c r="U2413" i="16"/>
  <c r="S2413" i="16"/>
  <c r="T2413" i="16" s="1"/>
  <c r="U2359" i="16"/>
  <c r="S2359" i="16"/>
  <c r="T2359" i="16" s="1"/>
  <c r="U2143" i="16"/>
  <c r="S2143" i="16"/>
  <c r="T2143" i="16" s="1"/>
  <c r="U1873" i="16"/>
  <c r="S1873" i="16"/>
  <c r="T1873" i="16" s="1"/>
  <c r="U1603" i="16"/>
  <c r="S1603" i="16"/>
  <c r="T1603" i="16" s="1"/>
  <c r="U1441" i="16"/>
  <c r="S1441" i="16"/>
  <c r="T1441" i="16" s="1"/>
  <c r="U1387" i="16"/>
  <c r="S1387" i="16"/>
  <c r="T1387" i="16" s="1"/>
  <c r="U1333" i="16"/>
  <c r="S1333" i="16"/>
  <c r="T1333" i="16" s="1"/>
  <c r="U1063" i="16"/>
  <c r="S1063" i="16"/>
  <c r="T1063" i="16" s="1"/>
  <c r="U1009" i="16"/>
  <c r="S1009" i="16"/>
  <c r="T1009" i="16" s="1"/>
  <c r="U793" i="16"/>
  <c r="S793" i="16"/>
  <c r="T793" i="16" s="1"/>
  <c r="U577" i="16"/>
  <c r="S577" i="16"/>
  <c r="T577" i="16" s="1"/>
  <c r="U469" i="16"/>
  <c r="S469" i="16"/>
  <c r="T469" i="16" s="1"/>
  <c r="U415" i="16"/>
  <c r="S415" i="16"/>
  <c r="T415" i="16" s="1"/>
  <c r="U361" i="16"/>
  <c r="S361" i="16"/>
  <c r="T361" i="16" s="1"/>
  <c r="U307" i="16"/>
  <c r="S307" i="16"/>
  <c r="T307" i="16" s="1"/>
  <c r="M4580" i="16"/>
  <c r="N4580" i="16"/>
  <c r="M4526" i="16"/>
  <c r="N4526" i="16"/>
  <c r="N4118" i="16"/>
  <c r="M4118" i="16"/>
  <c r="M3710" i="16"/>
  <c r="N3710" i="16"/>
  <c r="N3224" i="16"/>
  <c r="M3224" i="16"/>
  <c r="M3170" i="16"/>
  <c r="N3170" i="16"/>
  <c r="M3116" i="16"/>
  <c r="N3116" i="16"/>
  <c r="N3062" i="16"/>
  <c r="M3062" i="16"/>
  <c r="M3008" i="16"/>
  <c r="N3008" i="16"/>
  <c r="M2900" i="16"/>
  <c r="N2900" i="16"/>
  <c r="M2738" i="16"/>
  <c r="N2738" i="16" s="1"/>
  <c r="M2630" i="16"/>
  <c r="N2630" i="16"/>
  <c r="M2414" i="16"/>
  <c r="N2414" i="16"/>
  <c r="M2360" i="16"/>
  <c r="N2360" i="16"/>
  <c r="M1658" i="16"/>
  <c r="N1658" i="16"/>
  <c r="N1388" i="16"/>
  <c r="M1388" i="16"/>
  <c r="M1334" i="16"/>
  <c r="N1334" i="16"/>
  <c r="M1280" i="16"/>
  <c r="N1280" i="16"/>
  <c r="N1227" i="16"/>
  <c r="M1227" i="16"/>
  <c r="M1118" i="16"/>
  <c r="N1118" i="16"/>
  <c r="M1064" i="16"/>
  <c r="N1064" i="16"/>
  <c r="M1010" i="16"/>
  <c r="N1010" i="16"/>
  <c r="M794" i="16"/>
  <c r="N794" i="16" s="1"/>
  <c r="M578" i="16"/>
  <c r="N578" i="16"/>
  <c r="M524" i="16"/>
  <c r="N524" i="16"/>
  <c r="M254" i="16"/>
  <c r="N254" i="16"/>
  <c r="F4581" i="16"/>
  <c r="K4581" i="16"/>
  <c r="K4527" i="16"/>
  <c r="F4527" i="16"/>
  <c r="K4227" i="16"/>
  <c r="F4227" i="16"/>
  <c r="O4227" i="16" s="1"/>
  <c r="K4173" i="16"/>
  <c r="F4173" i="16"/>
  <c r="O4173" i="16" s="1"/>
  <c r="F3495" i="16"/>
  <c r="O3495" i="16" s="1"/>
  <c r="K3495" i="16"/>
  <c r="K3225" i="16"/>
  <c r="F3225" i="16"/>
  <c r="O3225" i="16" s="1"/>
  <c r="K3009" i="16"/>
  <c r="F3009" i="16"/>
  <c r="O3009" i="16" s="1"/>
  <c r="F2955" i="16"/>
  <c r="O2955" i="16" s="1"/>
  <c r="K2955" i="16"/>
  <c r="K2901" i="16"/>
  <c r="F2901" i="16"/>
  <c r="O2901" i="16" s="1"/>
  <c r="K2631" i="16"/>
  <c r="F2631" i="16"/>
  <c r="O2631" i="16" s="1"/>
  <c r="F2307" i="16"/>
  <c r="O2307" i="16" s="1"/>
  <c r="K2307" i="16"/>
  <c r="K2091" i="16"/>
  <c r="F2091" i="16"/>
  <c r="O2091" i="16" s="1"/>
  <c r="K1875" i="16"/>
  <c r="F1875" i="16"/>
  <c r="O1875" i="16" s="1"/>
  <c r="K1281" i="16"/>
  <c r="F1281" i="16"/>
  <c r="O1281" i="16" s="1"/>
  <c r="F1228" i="16"/>
  <c r="O1228" i="16" s="1"/>
  <c r="K1228" i="16"/>
  <c r="K1065" i="16"/>
  <c r="F1065" i="16"/>
  <c r="O1065" i="16" s="1"/>
  <c r="K1011" i="16"/>
  <c r="F1011" i="16"/>
  <c r="O1011" i="16" s="1"/>
  <c r="K795" i="16"/>
  <c r="F795" i="16"/>
  <c r="O795" i="16" s="1"/>
  <c r="F579" i="16"/>
  <c r="O579" i="16" s="1"/>
  <c r="K579" i="16"/>
  <c r="F525" i="16"/>
  <c r="O525" i="16" s="1"/>
  <c r="K525" i="16"/>
  <c r="F201" i="16"/>
  <c r="O201" i="16" s="1"/>
  <c r="K201" i="16"/>
  <c r="F30" i="5"/>
  <c r="K2956" i="16" l="1"/>
  <c r="F2956" i="16"/>
  <c r="O2956" i="16" s="1"/>
  <c r="K2740" i="16"/>
  <c r="F2740" i="16"/>
  <c r="O2740" i="16" s="1"/>
  <c r="K2524" i="16"/>
  <c r="F2524" i="16"/>
  <c r="O2524" i="16" s="1"/>
  <c r="K2308" i="16"/>
  <c r="F2308" i="16"/>
  <c r="O2308" i="16" s="1"/>
  <c r="K2146" i="16"/>
  <c r="F2146" i="16"/>
  <c r="O2146" i="16" s="1"/>
  <c r="K1930" i="16"/>
  <c r="F1930" i="16"/>
  <c r="O1930" i="16" s="1"/>
  <c r="K1714" i="16"/>
  <c r="F1714" i="16"/>
  <c r="O1714" i="16" s="1"/>
  <c r="K1336" i="16"/>
  <c r="F1336" i="16"/>
  <c r="O1336" i="16" s="1"/>
  <c r="K1282" i="16"/>
  <c r="F1282" i="16"/>
  <c r="O1282" i="16" s="1"/>
  <c r="K1120" i="16"/>
  <c r="F1120" i="16"/>
  <c r="O1120" i="16" s="1"/>
  <c r="K904" i="16"/>
  <c r="F904" i="16"/>
  <c r="O904" i="16" s="1"/>
  <c r="K850" i="16"/>
  <c r="F850" i="16"/>
  <c r="O850" i="16" s="1"/>
  <c r="K796" i="16"/>
  <c r="F796" i="16"/>
  <c r="O796" i="16" s="1"/>
  <c r="K688" i="16"/>
  <c r="F688" i="16"/>
  <c r="O688" i="16" s="1"/>
  <c r="T4688" i="16"/>
  <c r="U4689" i="16"/>
  <c r="S4689" i="16"/>
  <c r="T4689" i="16" s="1"/>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D4582" i="16"/>
  <c r="J4582" i="16"/>
  <c r="P4582" i="16"/>
  <c r="Q4582" i="16"/>
  <c r="R4582" i="16"/>
  <c r="L4583" i="16"/>
  <c r="C4583" i="16"/>
  <c r="K4583" i="16" s="1"/>
  <c r="E4583" i="16"/>
  <c r="F4583" i="16"/>
  <c r="G4583" i="16"/>
  <c r="I4583" i="16"/>
  <c r="B4584" i="16"/>
  <c r="D4528" i="16"/>
  <c r="J4528" i="16"/>
  <c r="P4528" i="16"/>
  <c r="Q4528" i="16"/>
  <c r="R4528" i="16"/>
  <c r="L4529" i="16"/>
  <c r="C4529" i="16"/>
  <c r="E4529" i="16"/>
  <c r="G4529" i="16"/>
  <c r="I4529" i="16"/>
  <c r="B4530" i="16"/>
  <c r="P4228" i="16"/>
  <c r="Q4228" i="16"/>
  <c r="R4228" i="16"/>
  <c r="G4229" i="16"/>
  <c r="I4229" i="16"/>
  <c r="B4230" i="16"/>
  <c r="C4229" i="16"/>
  <c r="E4229" i="16"/>
  <c r="L4229" i="16"/>
  <c r="J4228" i="16"/>
  <c r="D4228" i="16"/>
  <c r="J4174" i="16"/>
  <c r="N4174" i="16" s="1"/>
  <c r="D4174" i="16"/>
  <c r="P4174" i="16"/>
  <c r="Q4174" i="16"/>
  <c r="R4174" i="16"/>
  <c r="M4174" i="16"/>
  <c r="G4175" i="16"/>
  <c r="L4175" i="16"/>
  <c r="B4176" i="16"/>
  <c r="C4175" i="16"/>
  <c r="F4175" i="16" s="1"/>
  <c r="O4175" i="16" s="1"/>
  <c r="E4175" i="16"/>
  <c r="I4175" i="16"/>
  <c r="K4175" i="16"/>
  <c r="U4119" i="16"/>
  <c r="S4119" i="16"/>
  <c r="T4119" i="16" s="1"/>
  <c r="J4120" i="16"/>
  <c r="D4120" i="16"/>
  <c r="P4120" i="16"/>
  <c r="Q4120" i="16"/>
  <c r="R4120" i="16"/>
  <c r="G4121" i="16"/>
  <c r="L4121" i="16"/>
  <c r="C4121" i="16"/>
  <c r="F4121" i="16" s="1"/>
  <c r="O4121" i="16" s="1"/>
  <c r="E4121" i="16"/>
  <c r="I4121" i="16"/>
  <c r="K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D3766" i="16"/>
  <c r="J3766" i="16"/>
  <c r="P3766" i="16"/>
  <c r="Q3766" i="16"/>
  <c r="R3766" i="16"/>
  <c r="L3767" i="16"/>
  <c r="C3767" i="16"/>
  <c r="K3767" i="16" s="1"/>
  <c r="E3767" i="16"/>
  <c r="F3767" i="16"/>
  <c r="O3767" i="16" s="1"/>
  <c r="G3767" i="16"/>
  <c r="I3767" i="16"/>
  <c r="B3768" i="16"/>
  <c r="U3711" i="16"/>
  <c r="S3711" i="16"/>
  <c r="T3711" i="16" s="1"/>
  <c r="D3712" i="16"/>
  <c r="J3712" i="16"/>
  <c r="P3712" i="16"/>
  <c r="Q3712" i="16"/>
  <c r="R3712" i="16"/>
  <c r="L3713" i="16"/>
  <c r="C3713" i="16"/>
  <c r="K3713" i="16" s="1"/>
  <c r="E3713" i="16"/>
  <c r="F3713" i="16"/>
  <c r="O3713" i="16" s="1"/>
  <c r="G3713" i="16"/>
  <c r="I3713" i="16"/>
  <c r="B3714" i="16"/>
  <c r="U3657" i="16"/>
  <c r="S3657" i="16"/>
  <c r="T3657" i="16" s="1"/>
  <c r="D3658" i="16"/>
  <c r="J3658" i="16"/>
  <c r="P3658" i="16"/>
  <c r="Q3658" i="16"/>
  <c r="R3658" i="16"/>
  <c r="L3659" i="16"/>
  <c r="C3659" i="16"/>
  <c r="E3659" i="16"/>
  <c r="G3659" i="16"/>
  <c r="B3660" i="16"/>
  <c r="I3659"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P3496" i="16"/>
  <c r="Q3496" i="16"/>
  <c r="R3496" i="16"/>
  <c r="J3496" i="16"/>
  <c r="D3496" i="16"/>
  <c r="L3497" i="16"/>
  <c r="B3498" i="16"/>
  <c r="C3497" i="16"/>
  <c r="E3497" i="16"/>
  <c r="G3497" i="16"/>
  <c r="I3497" i="16"/>
  <c r="S3441" i="16"/>
  <c r="T3441" i="16" s="1"/>
  <c r="U3441" i="16"/>
  <c r="M3442" i="16"/>
  <c r="D3442" i="16"/>
  <c r="J3442" i="16"/>
  <c r="N3442" i="16" s="1"/>
  <c r="P3442" i="16"/>
  <c r="Q3442" i="16"/>
  <c r="R3442" i="16"/>
  <c r="L3443" i="16"/>
  <c r="C3443" i="16"/>
  <c r="K3443" i="16" s="1"/>
  <c r="E3443" i="16"/>
  <c r="F3443" i="16"/>
  <c r="O3443" i="16" s="1"/>
  <c r="G3443" i="16"/>
  <c r="B3444" i="16"/>
  <c r="I3443" i="16"/>
  <c r="U3387" i="16"/>
  <c r="S3387" i="16"/>
  <c r="T3387" i="16" s="1"/>
  <c r="M3388" i="16"/>
  <c r="D3388" i="16"/>
  <c r="J3388" i="16"/>
  <c r="N3388" i="16" s="1"/>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E3281" i="16"/>
  <c r="G3281" i="16"/>
  <c r="I3281" i="16"/>
  <c r="B3282" i="16"/>
  <c r="P3226" i="16"/>
  <c r="Q3226" i="16"/>
  <c r="R3226" i="16"/>
  <c r="L3227" i="16"/>
  <c r="B3228" i="16"/>
  <c r="C3227" i="16"/>
  <c r="G3227" i="16"/>
  <c r="I3227" i="16"/>
  <c r="E3227" i="16"/>
  <c r="J3226" i="16"/>
  <c r="D3226" i="16"/>
  <c r="U3171" i="16"/>
  <c r="S3171" i="16"/>
  <c r="T3171" i="16" s="1"/>
  <c r="D3172" i="16"/>
  <c r="J3172" i="16"/>
  <c r="P3172" i="16"/>
  <c r="Q3172" i="16"/>
  <c r="R3172" i="16"/>
  <c r="L3173" i="16"/>
  <c r="E3173" i="16"/>
  <c r="I3173" i="16"/>
  <c r="C3173" i="16"/>
  <c r="G3173" i="16"/>
  <c r="B3174" i="16"/>
  <c r="U3117" i="16"/>
  <c r="S3117" i="16"/>
  <c r="T3117" i="16" s="1"/>
  <c r="D3118" i="16"/>
  <c r="J3118" i="16"/>
  <c r="P3118" i="16"/>
  <c r="Q3118" i="16"/>
  <c r="R3118" i="16"/>
  <c r="L3119" i="16"/>
  <c r="I3119" i="16"/>
  <c r="C3119" i="16"/>
  <c r="G3119" i="16"/>
  <c r="B3120" i="16"/>
  <c r="E3119" i="16"/>
  <c r="U3063" i="16"/>
  <c r="S3063" i="16"/>
  <c r="T3063" i="16" s="1"/>
  <c r="M3064" i="16"/>
  <c r="P3064" i="16"/>
  <c r="Q3064" i="16"/>
  <c r="R3064" i="16"/>
  <c r="J3064" i="16"/>
  <c r="N3064" i="16" s="1"/>
  <c r="D3064" i="16"/>
  <c r="L3065" i="16"/>
  <c r="G3065" i="16"/>
  <c r="I3065" i="16"/>
  <c r="C3065" i="16"/>
  <c r="B3066" i="16"/>
  <c r="E3065" i="16"/>
  <c r="L3011" i="16"/>
  <c r="C3011" i="16"/>
  <c r="G3011" i="16"/>
  <c r="I3011" i="16"/>
  <c r="E3011" i="16"/>
  <c r="B3012" i="16"/>
  <c r="P3010" i="16"/>
  <c r="Q3010" i="16"/>
  <c r="R3010" i="16"/>
  <c r="D3010" i="16"/>
  <c r="J3010" i="16"/>
  <c r="M2956" i="16"/>
  <c r="D2956" i="16"/>
  <c r="J2956" i="16"/>
  <c r="N2956" i="16" s="1"/>
  <c r="P2956" i="16"/>
  <c r="Q2956" i="16"/>
  <c r="R2956" i="16"/>
  <c r="L2957" i="16"/>
  <c r="C2957" i="16"/>
  <c r="K2957" i="16" s="1"/>
  <c r="E2957" i="16"/>
  <c r="F2957" i="16"/>
  <c r="O2957" i="16" s="1"/>
  <c r="G2957" i="16"/>
  <c r="I2957" i="16"/>
  <c r="B2958" i="16"/>
  <c r="D2902" i="16"/>
  <c r="J2902" i="16"/>
  <c r="P2902" i="16"/>
  <c r="Q2902" i="16"/>
  <c r="R2902" i="16"/>
  <c r="L2903" i="16"/>
  <c r="C2903" i="16"/>
  <c r="K2903" i="16" s="1"/>
  <c r="E2903" i="16"/>
  <c r="F2903" i="16"/>
  <c r="O2903" i="16" s="1"/>
  <c r="G2903" i="16"/>
  <c r="I2903" i="16"/>
  <c r="B2904" i="16"/>
  <c r="U2847" i="16"/>
  <c r="S2847" i="16"/>
  <c r="T2847" i="16" s="1"/>
  <c r="D2848" i="16"/>
  <c r="M2848" i="16" s="1"/>
  <c r="J2848" i="16"/>
  <c r="P2848" i="16"/>
  <c r="Q2848" i="16"/>
  <c r="R2848" i="16"/>
  <c r="L2849" i="16"/>
  <c r="C2849" i="16"/>
  <c r="K2849" i="16" s="1"/>
  <c r="E2849" i="16"/>
  <c r="F2849" i="16"/>
  <c r="O2849" i="16" s="1"/>
  <c r="G2849" i="16"/>
  <c r="I2849" i="16"/>
  <c r="B2850" i="16"/>
  <c r="M2794" i="16"/>
  <c r="D2794" i="16"/>
  <c r="J2794" i="16"/>
  <c r="N2794" i="16" s="1"/>
  <c r="S2794" i="16" s="1"/>
  <c r="T2794" i="16" s="1"/>
  <c r="U2794" i="16" s="1"/>
  <c r="P2794" i="16"/>
  <c r="Q2794" i="16"/>
  <c r="R2794" i="16"/>
  <c r="L2795" i="16"/>
  <c r="C2795" i="16"/>
  <c r="E2795" i="16"/>
  <c r="G2795" i="16"/>
  <c r="I2795" i="16"/>
  <c r="B2796" i="16"/>
  <c r="U2739" i="16"/>
  <c r="S2739" i="16"/>
  <c r="T2739" i="16" s="1"/>
  <c r="M2740" i="16"/>
  <c r="D2740" i="16"/>
  <c r="J2740" i="16"/>
  <c r="N2740" i="16" s="1"/>
  <c r="P2740" i="16"/>
  <c r="Q2740" i="16"/>
  <c r="R2740" i="16"/>
  <c r="L2741" i="16"/>
  <c r="C2741" i="16"/>
  <c r="K2741" i="16" s="1"/>
  <c r="E2741" i="16"/>
  <c r="F2741" i="16"/>
  <c r="O2741" i="16" s="1"/>
  <c r="G2741" i="16"/>
  <c r="I2741" i="16"/>
  <c r="B2742" i="16"/>
  <c r="U2685" i="16"/>
  <c r="S2685" i="16"/>
  <c r="T2685" i="16" s="1"/>
  <c r="M2686" i="16"/>
  <c r="D2686" i="16"/>
  <c r="J2686" i="16"/>
  <c r="N2686" i="16" s="1"/>
  <c r="P2686" i="16"/>
  <c r="Q2686" i="16"/>
  <c r="R2686" i="16"/>
  <c r="L2687" i="16"/>
  <c r="C2687" i="16"/>
  <c r="E2687" i="16"/>
  <c r="G2687" i="16"/>
  <c r="I2687" i="16"/>
  <c r="B2688" i="16"/>
  <c r="M2632" i="16"/>
  <c r="D2632" i="16"/>
  <c r="J2632" i="16"/>
  <c r="N2632" i="16" s="1"/>
  <c r="P2632" i="16"/>
  <c r="Q2632" i="16"/>
  <c r="R2632" i="16"/>
  <c r="L2633" i="16"/>
  <c r="C2633" i="16"/>
  <c r="K2633" i="16" s="1"/>
  <c r="E2633" i="16"/>
  <c r="F2633" i="16"/>
  <c r="O2633" i="16" s="1"/>
  <c r="G2633" i="16"/>
  <c r="I2633" i="16"/>
  <c r="B2634" i="16"/>
  <c r="U2577" i="16"/>
  <c r="S2577" i="16"/>
  <c r="T2577" i="16" s="1"/>
  <c r="D2578" i="16"/>
  <c r="J2578" i="16"/>
  <c r="P2578" i="16"/>
  <c r="Q2578" i="16"/>
  <c r="R2578" i="16"/>
  <c r="L2579" i="16"/>
  <c r="C2579" i="16"/>
  <c r="E2579" i="16"/>
  <c r="G2579" i="16"/>
  <c r="I2579" i="16"/>
  <c r="B2580" i="16"/>
  <c r="U2523" i="16"/>
  <c r="S2523" i="16"/>
  <c r="T2523" i="16" s="1"/>
  <c r="M2524" i="16"/>
  <c r="D2524" i="16"/>
  <c r="J2524" i="16"/>
  <c r="N2524" i="16" s="1"/>
  <c r="Q2524" i="16"/>
  <c r="P2524" i="16"/>
  <c r="R2524" i="16"/>
  <c r="L2525" i="16"/>
  <c r="C2525" i="16"/>
  <c r="K2525" i="16" s="1"/>
  <c r="E2525" i="16"/>
  <c r="F2525" i="16"/>
  <c r="O2525" i="16" s="1"/>
  <c r="G2525" i="16"/>
  <c r="I2525" i="16"/>
  <c r="B2526" i="16"/>
  <c r="U2469" i="16"/>
  <c r="S2469" i="16"/>
  <c r="T2469" i="16" s="1"/>
  <c r="M2470" i="16"/>
  <c r="D2470" i="16"/>
  <c r="J2470" i="16"/>
  <c r="N2470" i="16" s="1"/>
  <c r="Q2470" i="16"/>
  <c r="P2470" i="16"/>
  <c r="R2470" i="16"/>
  <c r="L2471" i="16"/>
  <c r="C2471" i="16"/>
  <c r="E2471" i="16"/>
  <c r="G2471" i="16"/>
  <c r="I2471" i="16"/>
  <c r="B2472" i="16"/>
  <c r="U2415" i="16"/>
  <c r="S2415" i="16"/>
  <c r="T2415" i="16" s="1"/>
  <c r="D2416" i="16"/>
  <c r="J2416" i="16"/>
  <c r="P2416" i="16"/>
  <c r="Q2416" i="16"/>
  <c r="R2416" i="16"/>
  <c r="L2417" i="16"/>
  <c r="C2417" i="16"/>
  <c r="E2417" i="16"/>
  <c r="G2417" i="16"/>
  <c r="I2417" i="16"/>
  <c r="B2418" i="16"/>
  <c r="U2361" i="16"/>
  <c r="S2361" i="16"/>
  <c r="T2361" i="16" s="1"/>
  <c r="D2362" i="16"/>
  <c r="J2362" i="16"/>
  <c r="Q2362" i="16"/>
  <c r="P2362" i="16"/>
  <c r="R2362" i="16"/>
  <c r="L2363" i="16"/>
  <c r="C2363" i="16"/>
  <c r="K2363" i="16" s="1"/>
  <c r="E2363" i="16"/>
  <c r="F2363" i="16"/>
  <c r="O2363" i="16" s="1"/>
  <c r="G2363" i="16"/>
  <c r="I2363" i="16"/>
  <c r="B2364" i="16"/>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K2201" i="16" s="1"/>
  <c r="E2201" i="16"/>
  <c r="F2201" i="16"/>
  <c r="O2201" i="16" s="1"/>
  <c r="G2201" i="16"/>
  <c r="B2202" i="16"/>
  <c r="I2201" i="16"/>
  <c r="U2145" i="16"/>
  <c r="S2145" i="16"/>
  <c r="T2145" i="16" s="1"/>
  <c r="M2146" i="16"/>
  <c r="D2146" i="16"/>
  <c r="J2146" i="16"/>
  <c r="N2146" i="16" s="1"/>
  <c r="P2146" i="16"/>
  <c r="Q2146" i="16"/>
  <c r="R2146" i="16"/>
  <c r="L2147" i="16"/>
  <c r="C2147" i="16"/>
  <c r="K2147" i="16" s="1"/>
  <c r="E2147" i="16"/>
  <c r="F2147" i="16"/>
  <c r="O2147" i="16" s="1"/>
  <c r="G2147" i="16"/>
  <c r="I2147" i="16"/>
  <c r="B2148" i="16"/>
  <c r="D2092" i="16"/>
  <c r="J2092" i="16"/>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M1984" i="16"/>
  <c r="D1984" i="16"/>
  <c r="J1984" i="16"/>
  <c r="N1984" i="16" s="1"/>
  <c r="P1984" i="16"/>
  <c r="Q1984" i="16"/>
  <c r="R1984" i="16"/>
  <c r="L1985" i="16"/>
  <c r="C1985" i="16"/>
  <c r="E1985" i="16"/>
  <c r="G1985" i="16"/>
  <c r="I1985" i="16"/>
  <c r="B1986" i="16"/>
  <c r="U1929" i="16"/>
  <c r="S1929" i="16"/>
  <c r="T1929" i="16" s="1"/>
  <c r="M1930" i="16"/>
  <c r="D1930" i="16"/>
  <c r="J1930" i="16"/>
  <c r="N1930" i="16" s="1"/>
  <c r="P1930" i="16"/>
  <c r="Q1930" i="16"/>
  <c r="R1930" i="16"/>
  <c r="L1931" i="16"/>
  <c r="C1931" i="16"/>
  <c r="K1931" i="16" s="1"/>
  <c r="E1931" i="16"/>
  <c r="F1931" i="16"/>
  <c r="O1931" i="16" s="1"/>
  <c r="G1931" i="16"/>
  <c r="I1931" i="16"/>
  <c r="B1932" i="16"/>
  <c r="D1876" i="16"/>
  <c r="J1876" i="16"/>
  <c r="P1876" i="16"/>
  <c r="Q1876" i="16"/>
  <c r="R1876" i="16"/>
  <c r="L1877" i="16"/>
  <c r="C1877" i="16"/>
  <c r="K1877" i="16" s="1"/>
  <c r="E1877" i="16"/>
  <c r="F1877" i="16"/>
  <c r="O1877" i="16" s="1"/>
  <c r="G1877" i="16"/>
  <c r="I1877" i="16"/>
  <c r="B1878" i="16"/>
  <c r="U1821" i="16"/>
  <c r="S1821" i="16"/>
  <c r="T1821" i="16" s="1"/>
  <c r="D1822" i="16"/>
  <c r="J1822" i="16"/>
  <c r="P1822" i="16"/>
  <c r="Q1822" i="16"/>
  <c r="R1822" i="16"/>
  <c r="L1823" i="16"/>
  <c r="C1823" i="16"/>
  <c r="E1823" i="16"/>
  <c r="G1823" i="16"/>
  <c r="I1823" i="16"/>
  <c r="B1824" i="16"/>
  <c r="U1767" i="16"/>
  <c r="S1767" i="16"/>
  <c r="T1767" i="16" s="1"/>
  <c r="M1768" i="16"/>
  <c r="D1768" i="16"/>
  <c r="J1768" i="16"/>
  <c r="N1768" i="16" s="1"/>
  <c r="P1768" i="16"/>
  <c r="Q1768" i="16"/>
  <c r="R1768" i="16"/>
  <c r="L1769" i="16"/>
  <c r="C1769" i="16"/>
  <c r="E1769" i="16"/>
  <c r="G1769" i="16"/>
  <c r="I1769" i="16"/>
  <c r="B1770" i="16"/>
  <c r="U1713" i="16"/>
  <c r="S1713" i="16"/>
  <c r="T1713" i="16" s="1"/>
  <c r="M1714" i="16"/>
  <c r="D1714" i="16"/>
  <c r="J1714" i="16"/>
  <c r="N1714" i="16" s="1"/>
  <c r="P1714" i="16"/>
  <c r="Q1714" i="16"/>
  <c r="R1714" i="16"/>
  <c r="L1715" i="16"/>
  <c r="C1715" i="16"/>
  <c r="K1715" i="16" s="1"/>
  <c r="E1715" i="16"/>
  <c r="F1715" i="16"/>
  <c r="O1715" i="16" s="1"/>
  <c r="G1715" i="16"/>
  <c r="I1715" i="16"/>
  <c r="B1716" i="16"/>
  <c r="S1659" i="16"/>
  <c r="T1659" i="16" s="1"/>
  <c r="U1659" i="16"/>
  <c r="M1660" i="16"/>
  <c r="D1660" i="16"/>
  <c r="J1660" i="16"/>
  <c r="N1660" i="16" s="1"/>
  <c r="P1660" i="16"/>
  <c r="Q1660" i="16"/>
  <c r="R1660" i="16"/>
  <c r="L1661" i="16"/>
  <c r="C1661" i="16"/>
  <c r="K1661" i="16" s="1"/>
  <c r="E1661" i="16"/>
  <c r="F1661" i="16"/>
  <c r="O1661" i="16" s="1"/>
  <c r="G1661" i="16"/>
  <c r="I1661" i="16"/>
  <c r="B1662" i="16"/>
  <c r="U1605" i="16"/>
  <c r="S1605" i="16"/>
  <c r="T1605" i="16" s="1"/>
  <c r="D1606" i="16"/>
  <c r="J1606" i="16"/>
  <c r="P1606" i="16"/>
  <c r="Q1606" i="16"/>
  <c r="R1606" i="16"/>
  <c r="L1607" i="16"/>
  <c r="C1607" i="16"/>
  <c r="K1607" i="16" s="1"/>
  <c r="E1607" i="16"/>
  <c r="F1607" i="16"/>
  <c r="O1607" i="16" s="1"/>
  <c r="G1607" i="16"/>
  <c r="I1607" i="16"/>
  <c r="B1608" i="16"/>
  <c r="U1551" i="16"/>
  <c r="S1551" i="16"/>
  <c r="T1551" i="16" s="1"/>
  <c r="D1552" i="16"/>
  <c r="M1552" i="16" s="1"/>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K1499" i="16" s="1"/>
  <c r="E1499" i="16"/>
  <c r="F1499" i="16"/>
  <c r="O1499" i="16" s="1"/>
  <c r="G1499" i="16"/>
  <c r="B1500" i="16"/>
  <c r="I1499" i="16"/>
  <c r="U1443" i="16"/>
  <c r="S1443" i="16"/>
  <c r="T1443" i="16" s="1"/>
  <c r="M1444" i="16"/>
  <c r="P1444" i="16"/>
  <c r="Q1444" i="16"/>
  <c r="R1444" i="16"/>
  <c r="L1445" i="16"/>
  <c r="G1445" i="16"/>
  <c r="I1445" i="16"/>
  <c r="B1446" i="16"/>
  <c r="C1445" i="16"/>
  <c r="K1445" i="16" s="1"/>
  <c r="E1445" i="16"/>
  <c r="F1445" i="16"/>
  <c r="O1445" i="16" s="1"/>
  <c r="J1444" i="16"/>
  <c r="N1444" i="16" s="1"/>
  <c r="D1444" i="16"/>
  <c r="U1389" i="16"/>
  <c r="S1389" i="16"/>
  <c r="T1389" i="16" s="1"/>
  <c r="M1390" i="16"/>
  <c r="D1390" i="16"/>
  <c r="J1390" i="16"/>
  <c r="N1390" i="16" s="1"/>
  <c r="P1390" i="16"/>
  <c r="Q1390" i="16"/>
  <c r="R1390" i="16"/>
  <c r="L1391" i="16"/>
  <c r="I1391" i="16"/>
  <c r="B1392" i="16"/>
  <c r="C1391" i="16"/>
  <c r="G1391" i="16"/>
  <c r="E1391" i="16"/>
  <c r="U1335" i="16"/>
  <c r="S1335" i="16"/>
  <c r="T1335" i="16" s="1"/>
  <c r="P1336" i="16"/>
  <c r="Q1336" i="16"/>
  <c r="R1336" i="16"/>
  <c r="D1336" i="16"/>
  <c r="M1336" i="16" s="1"/>
  <c r="J1336" i="16"/>
  <c r="L1337" i="16"/>
  <c r="C1337" i="16"/>
  <c r="K1337" i="16" s="1"/>
  <c r="G1337" i="16"/>
  <c r="F1337" i="16"/>
  <c r="O1337" i="16" s="1"/>
  <c r="I1337" i="16"/>
  <c r="E1337" i="16"/>
  <c r="B1338" i="16"/>
  <c r="M1282" i="16"/>
  <c r="D1282" i="16"/>
  <c r="J1282" i="16"/>
  <c r="N1282" i="16" s="1"/>
  <c r="P1282" i="16"/>
  <c r="Q1282" i="16"/>
  <c r="R1282" i="16"/>
  <c r="L1283" i="16"/>
  <c r="G1283" i="16"/>
  <c r="C1283" i="16"/>
  <c r="E1283" i="16"/>
  <c r="I1283" i="16"/>
  <c r="B1284" i="16"/>
  <c r="M1229" i="16"/>
  <c r="D1229" i="16"/>
  <c r="J1229" i="16"/>
  <c r="N1229" i="16" s="1"/>
  <c r="L1230" i="16"/>
  <c r="E1230" i="16"/>
  <c r="C1230" i="16"/>
  <c r="G1230" i="16"/>
  <c r="B1231" i="16"/>
  <c r="I1230" i="16"/>
  <c r="P1229" i="16"/>
  <c r="Q1229" i="16"/>
  <c r="R1229" i="16"/>
  <c r="U1173" i="16"/>
  <c r="S1173" i="16"/>
  <c r="T1173" i="16" s="1"/>
  <c r="M1174" i="16"/>
  <c r="D1174" i="16"/>
  <c r="J1174" i="16"/>
  <c r="N1174" i="16" s="1"/>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E1121" i="16"/>
  <c r="G1121" i="16"/>
  <c r="I1121" i="16"/>
  <c r="B1122" i="16"/>
  <c r="M1066" i="16"/>
  <c r="D1066" i="16"/>
  <c r="J1066" i="16"/>
  <c r="N1066" i="16" s="1"/>
  <c r="P1066" i="16"/>
  <c r="Q1066" i="16"/>
  <c r="R1066" i="16"/>
  <c r="L1067" i="16"/>
  <c r="C1067" i="16"/>
  <c r="E1067" i="16"/>
  <c r="G1067" i="16"/>
  <c r="I1067" i="16"/>
  <c r="B1068" i="16"/>
  <c r="D1012" i="16"/>
  <c r="J1012" i="16"/>
  <c r="P1012" i="16"/>
  <c r="Q1012" i="16"/>
  <c r="R1012" i="16"/>
  <c r="L1013" i="16"/>
  <c r="C1013" i="16"/>
  <c r="E1013" i="16"/>
  <c r="G1013" i="16"/>
  <c r="I1013" i="16"/>
  <c r="B1014" i="16"/>
  <c r="U957" i="16"/>
  <c r="S957" i="16"/>
  <c r="T957" i="16" s="1"/>
  <c r="M958" i="16"/>
  <c r="D958" i="16"/>
  <c r="J958" i="16"/>
  <c r="N958" i="16" s="1"/>
  <c r="P958" i="16"/>
  <c r="Q958" i="16"/>
  <c r="R958" i="16"/>
  <c r="L959" i="16"/>
  <c r="C959" i="16"/>
  <c r="E959" i="16"/>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M850" i="16"/>
  <c r="D850" i="16"/>
  <c r="J850" i="16"/>
  <c r="N850" i="16" s="1"/>
  <c r="P850" i="16"/>
  <c r="Q850" i="16"/>
  <c r="R850" i="16"/>
  <c r="L851" i="16"/>
  <c r="C851" i="16"/>
  <c r="E851" i="16"/>
  <c r="G851" i="16"/>
  <c r="I851" i="16"/>
  <c r="B852" i="16"/>
  <c r="M796" i="16"/>
  <c r="D796" i="16"/>
  <c r="J796" i="16"/>
  <c r="N796" i="16" s="1"/>
  <c r="Q796" i="16"/>
  <c r="P796" i="16"/>
  <c r="R796" i="16"/>
  <c r="L797" i="16"/>
  <c r="C797" i="16"/>
  <c r="E797" i="16"/>
  <c r="G797" i="16"/>
  <c r="I797" i="16"/>
  <c r="B798" i="16"/>
  <c r="U741" i="16"/>
  <c r="S741" i="16"/>
  <c r="T741" i="16" s="1"/>
  <c r="D742" i="16"/>
  <c r="J742" i="16"/>
  <c r="P742" i="16"/>
  <c r="Q742" i="16"/>
  <c r="R742" i="16"/>
  <c r="L743" i="16"/>
  <c r="C743" i="16"/>
  <c r="K743" i="16" s="1"/>
  <c r="E743" i="16"/>
  <c r="F743" i="16"/>
  <c r="O743" i="16" s="1"/>
  <c r="G743" i="16"/>
  <c r="I743" i="16"/>
  <c r="B744" i="16"/>
  <c r="U687" i="16"/>
  <c r="S687" i="16"/>
  <c r="T687" i="16" s="1"/>
  <c r="M688" i="16"/>
  <c r="D688" i="16"/>
  <c r="J688" i="16"/>
  <c r="N688" i="16" s="1"/>
  <c r="Q688" i="16"/>
  <c r="P688" i="16"/>
  <c r="R688" i="16"/>
  <c r="L689" i="16"/>
  <c r="C689" i="16"/>
  <c r="K689" i="16" s="1"/>
  <c r="E689" i="16"/>
  <c r="F689" i="16"/>
  <c r="O689" i="16" s="1"/>
  <c r="G689" i="16"/>
  <c r="I689" i="16"/>
  <c r="B690" i="16"/>
  <c r="U633" i="16"/>
  <c r="S633" i="16"/>
  <c r="T633" i="16" s="1"/>
  <c r="M634" i="16"/>
  <c r="D634" i="16"/>
  <c r="J634" i="16"/>
  <c r="N634" i="16" s="1"/>
  <c r="Q634" i="16"/>
  <c r="P634" i="16"/>
  <c r="R634" i="16"/>
  <c r="L635" i="16"/>
  <c r="C635" i="16"/>
  <c r="K635" i="16" s="1"/>
  <c r="E635" i="16"/>
  <c r="F635" i="16"/>
  <c r="O635" i="16" s="1"/>
  <c r="G635" i="16"/>
  <c r="I635" i="16"/>
  <c r="B636" i="16"/>
  <c r="M580" i="16"/>
  <c r="D580" i="16"/>
  <c r="J580" i="16"/>
  <c r="N580" i="16" s="1"/>
  <c r="Q580" i="16"/>
  <c r="P580" i="16"/>
  <c r="R580" i="16"/>
  <c r="L581" i="16"/>
  <c r="C581" i="16"/>
  <c r="K581" i="16" s="1"/>
  <c r="E581" i="16"/>
  <c r="F581" i="16"/>
  <c r="O581" i="16" s="1"/>
  <c r="G581" i="16"/>
  <c r="I581" i="16"/>
  <c r="B582" i="16"/>
  <c r="D526" i="16"/>
  <c r="J526" i="16"/>
  <c r="Q526" i="16"/>
  <c r="P526" i="16"/>
  <c r="R526" i="16"/>
  <c r="L527" i="16"/>
  <c r="C527" i="16"/>
  <c r="E527" i="16"/>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U363" i="16"/>
  <c r="S363" i="16"/>
  <c r="T363" i="16" s="1"/>
  <c r="M364" i="16"/>
  <c r="D364" i="16"/>
  <c r="J364" i="16"/>
  <c r="N364" i="16" s="1"/>
  <c r="P364" i="16"/>
  <c r="Q364" i="16"/>
  <c r="R364" i="16"/>
  <c r="L365" i="16"/>
  <c r="C365" i="16"/>
  <c r="K365" i="16" s="1"/>
  <c r="E365" i="16"/>
  <c r="F365" i="16"/>
  <c r="O365" i="16" s="1"/>
  <c r="G365" i="16"/>
  <c r="I365" i="16"/>
  <c r="B366" i="16"/>
  <c r="U309" i="16"/>
  <c r="S309" i="16"/>
  <c r="T309" i="16" s="1"/>
  <c r="M310" i="16"/>
  <c r="D310" i="16"/>
  <c r="J310" i="16"/>
  <c r="N310" i="16" s="1"/>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K257" i="16" s="1"/>
  <c r="E257" i="16"/>
  <c r="F257" i="16"/>
  <c r="O257" i="16" s="1"/>
  <c r="G257" i="16"/>
  <c r="I257" i="16"/>
  <c r="B258" i="16"/>
  <c r="M202" i="16"/>
  <c r="D202" i="16"/>
  <c r="J202" i="16"/>
  <c r="N202" i="16" s="1"/>
  <c r="P202" i="16"/>
  <c r="Q202" i="16"/>
  <c r="R202" i="16"/>
  <c r="L203" i="16"/>
  <c r="C203" i="16"/>
  <c r="K203" i="16" s="1"/>
  <c r="E203" i="16"/>
  <c r="F203" i="16"/>
  <c r="O203" i="16" s="1"/>
  <c r="G203" i="16"/>
  <c r="I203" i="16"/>
  <c r="B204" i="16"/>
  <c r="U147" i="16"/>
  <c r="S147" i="16"/>
  <c r="T147" i="16" s="1"/>
  <c r="M148" i="16"/>
  <c r="D148" i="16"/>
  <c r="J148" i="16"/>
  <c r="N148" i="16" s="1"/>
  <c r="P148" i="16"/>
  <c r="Q148" i="16"/>
  <c r="R148" i="16"/>
  <c r="L149" i="16"/>
  <c r="C149" i="16"/>
  <c r="K149" i="16" s="1"/>
  <c r="E149" i="16"/>
  <c r="F149" i="16"/>
  <c r="O149" i="16" s="1"/>
  <c r="G149" i="16"/>
  <c r="I149" i="16"/>
  <c r="B150" i="16"/>
  <c r="U93" i="16"/>
  <c r="S93" i="16"/>
  <c r="T93" i="16" s="1"/>
  <c r="M94" i="16"/>
  <c r="D94" i="16"/>
  <c r="J94" i="16"/>
  <c r="N94" i="16" s="1"/>
  <c r="P94" i="16"/>
  <c r="Q94" i="16"/>
  <c r="R94" i="16"/>
  <c r="L95" i="16"/>
  <c r="C95" i="16"/>
  <c r="E95" i="16"/>
  <c r="G95" i="16"/>
  <c r="I95" i="16"/>
  <c r="B96" i="16"/>
  <c r="C65" i="7"/>
  <c r="G65" i="7" s="1"/>
  <c r="U31" i="4"/>
  <c r="S31" i="4"/>
  <c r="T31" i="4" s="1"/>
  <c r="G31" i="5"/>
  <c r="H31" i="5"/>
  <c r="M32" i="4"/>
  <c r="D32" i="4"/>
  <c r="J32" i="4"/>
  <c r="N32" i="4" s="1"/>
  <c r="E67" i="7"/>
  <c r="O32" i="4"/>
  <c r="AJ32" i="4"/>
  <c r="AI32" i="4"/>
  <c r="AH32" i="4"/>
  <c r="AG32" i="4"/>
  <c r="AF32" i="4"/>
  <c r="AE32" i="4"/>
  <c r="AD32" i="4"/>
  <c r="AC32" i="4"/>
  <c r="AB32" i="4"/>
  <c r="AA32" i="4"/>
  <c r="Z32" i="4"/>
  <c r="Y32" i="4"/>
  <c r="X32" i="4"/>
  <c r="W32" i="4"/>
  <c r="P32" i="4"/>
  <c r="Q32" i="4"/>
  <c r="G32" i="5" s="1"/>
  <c r="R32" i="4"/>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4118" i="16"/>
  <c r="S4118" i="16"/>
  <c r="T4118" i="16" s="1"/>
  <c r="U3710" i="16"/>
  <c r="S3710" i="16"/>
  <c r="T3710" i="16" s="1"/>
  <c r="U3224" i="16"/>
  <c r="S3224" i="16"/>
  <c r="T3224" i="16" s="1"/>
  <c r="U3170" i="16"/>
  <c r="S3170" i="16"/>
  <c r="T3170" i="16" s="1"/>
  <c r="U3116" i="16"/>
  <c r="S3116" i="16"/>
  <c r="T3116" i="16" s="1"/>
  <c r="U3062" i="16"/>
  <c r="S3062" i="16"/>
  <c r="T3062" i="16" s="1"/>
  <c r="U3008" i="16"/>
  <c r="S3008" i="16"/>
  <c r="T3008" i="16" s="1"/>
  <c r="U2900" i="16"/>
  <c r="S2900" i="16"/>
  <c r="T2900" i="16" s="1"/>
  <c r="U2738" i="16"/>
  <c r="S2738" i="16"/>
  <c r="T2738" i="16" s="1"/>
  <c r="U2630" i="16"/>
  <c r="S2630" i="16"/>
  <c r="T2630" i="16" s="1"/>
  <c r="U2414" i="16"/>
  <c r="S2414" i="16"/>
  <c r="T2414" i="16" s="1"/>
  <c r="U2360" i="16"/>
  <c r="S2360" i="16"/>
  <c r="T2360" i="16" s="1"/>
  <c r="S1658" i="16"/>
  <c r="T1658" i="16" s="1"/>
  <c r="U1658" i="16"/>
  <c r="U1388" i="16"/>
  <c r="S1388" i="16"/>
  <c r="T1388" i="16" s="1"/>
  <c r="U1334" i="16"/>
  <c r="S1334" i="16"/>
  <c r="T1334" i="16" s="1"/>
  <c r="U1280" i="16"/>
  <c r="S1280" i="16"/>
  <c r="T1280" i="16" s="1"/>
  <c r="U1227" i="16"/>
  <c r="S1227" i="16"/>
  <c r="T1227" i="16" s="1"/>
  <c r="U1118" i="16"/>
  <c r="S1118" i="16"/>
  <c r="T1118" i="16" s="1"/>
  <c r="U1064" i="16"/>
  <c r="S1064" i="16"/>
  <c r="T1064" i="16" s="1"/>
  <c r="U1010" i="16"/>
  <c r="S1010" i="16"/>
  <c r="T1010" i="16" s="1"/>
  <c r="U794" i="16"/>
  <c r="S794" i="16"/>
  <c r="T794" i="16" s="1"/>
  <c r="U578" i="16"/>
  <c r="S578" i="16"/>
  <c r="T578" i="16" s="1"/>
  <c r="U524" i="16"/>
  <c r="S524" i="16"/>
  <c r="T524" i="16" s="1"/>
  <c r="U254" i="16"/>
  <c r="S254" i="16"/>
  <c r="T254" i="16" s="1"/>
  <c r="M4581" i="16"/>
  <c r="N4581" i="16"/>
  <c r="M4527" i="16"/>
  <c r="N4527" i="16"/>
  <c r="N4227" i="16"/>
  <c r="M4227" i="16"/>
  <c r="N4173" i="16"/>
  <c r="M4173" i="16"/>
  <c r="N3495" i="16"/>
  <c r="M3495" i="16"/>
  <c r="N3225" i="16"/>
  <c r="M3225" i="16"/>
  <c r="M3009" i="16"/>
  <c r="N3009" i="16"/>
  <c r="M2955" i="16"/>
  <c r="N2955" i="16"/>
  <c r="M2901" i="16"/>
  <c r="N2901" i="16"/>
  <c r="M2631" i="16"/>
  <c r="N2631" i="16"/>
  <c r="M2307" i="16"/>
  <c r="N2307" i="16"/>
  <c r="M2091" i="16"/>
  <c r="N2091" i="16"/>
  <c r="M1875" i="16"/>
  <c r="N1875" i="16"/>
  <c r="N1281" i="16"/>
  <c r="M1281" i="16"/>
  <c r="M1228" i="16"/>
  <c r="N1228" i="16"/>
  <c r="M1065" i="16"/>
  <c r="N1065" i="16"/>
  <c r="M1011" i="16"/>
  <c r="N1011" i="16"/>
  <c r="M795" i="16"/>
  <c r="N795" i="16"/>
  <c r="M579" i="16"/>
  <c r="N579" i="16"/>
  <c r="M525" i="16"/>
  <c r="N525" i="16"/>
  <c r="M201" i="16"/>
  <c r="N201" i="16"/>
  <c r="D4636" i="16"/>
  <c r="F4636" i="16"/>
  <c r="O4636" i="16" s="1"/>
  <c r="F4582" i="16"/>
  <c r="K4582" i="16"/>
  <c r="K4528" i="16"/>
  <c r="F4528" i="16"/>
  <c r="K4228" i="16"/>
  <c r="F4228" i="16"/>
  <c r="O4228" i="16" s="1"/>
  <c r="F4120" i="16"/>
  <c r="O4120" i="16" s="1"/>
  <c r="K4120" i="16"/>
  <c r="F3766" i="16"/>
  <c r="O3766" i="16" s="1"/>
  <c r="K3766" i="16"/>
  <c r="K3712" i="16"/>
  <c r="F3712" i="16"/>
  <c r="O3712" i="16" s="1"/>
  <c r="F3658" i="16"/>
  <c r="O3658" i="16" s="1"/>
  <c r="K3658" i="16"/>
  <c r="F3496" i="16"/>
  <c r="O3496" i="16" s="1"/>
  <c r="K3496" i="16"/>
  <c r="F3226" i="16"/>
  <c r="O3226" i="16" s="1"/>
  <c r="K3226" i="16"/>
  <c r="F3172" i="16"/>
  <c r="O3172" i="16" s="1"/>
  <c r="K3172" i="16"/>
  <c r="F3118" i="16"/>
  <c r="O3118" i="16" s="1"/>
  <c r="K3118" i="16"/>
  <c r="K3010" i="16"/>
  <c r="F3010" i="16"/>
  <c r="O3010" i="16" s="1"/>
  <c r="F2902" i="16"/>
  <c r="O2902" i="16" s="1"/>
  <c r="K2902" i="16"/>
  <c r="K2578" i="16"/>
  <c r="F2578" i="16"/>
  <c r="O2578" i="16" s="1"/>
  <c r="K2416" i="16"/>
  <c r="F2416" i="16"/>
  <c r="O2416" i="16" s="1"/>
  <c r="F2362" i="16"/>
  <c r="O2362" i="16" s="1"/>
  <c r="K2362" i="16"/>
  <c r="F2092" i="16"/>
  <c r="O2092" i="16" s="1"/>
  <c r="K2092" i="16"/>
  <c r="F1876" i="16"/>
  <c r="O1876" i="16" s="1"/>
  <c r="K1876" i="16"/>
  <c r="F1822" i="16"/>
  <c r="O1822" i="16" s="1"/>
  <c r="K1822" i="16"/>
  <c r="K1606" i="16"/>
  <c r="F1606" i="16"/>
  <c r="O1606" i="16" s="1"/>
  <c r="K1012" i="16"/>
  <c r="F1012" i="16"/>
  <c r="O1012" i="16" s="1"/>
  <c r="F742" i="16"/>
  <c r="O742" i="16" s="1"/>
  <c r="K742" i="16"/>
  <c r="K526" i="16"/>
  <c r="F526" i="16"/>
  <c r="O526" i="16" s="1"/>
  <c r="F31" i="5"/>
  <c r="N2848" i="16" l="1"/>
  <c r="N1552" i="16"/>
  <c r="N2200" i="16"/>
  <c r="N1336" i="16"/>
  <c r="N904" i="16"/>
  <c r="N256" i="16"/>
  <c r="D4637" i="16"/>
  <c r="F4637" i="16"/>
  <c r="O4637" i="16" s="1"/>
  <c r="K2795" i="16"/>
  <c r="F2795" i="16"/>
  <c r="O2795" i="16" s="1"/>
  <c r="K2579" i="16"/>
  <c r="F2579" i="16"/>
  <c r="O2579" i="16" s="1"/>
  <c r="K2417" i="16"/>
  <c r="F2417" i="16"/>
  <c r="O2417" i="16" s="1"/>
  <c r="K1985" i="16"/>
  <c r="F1985" i="16"/>
  <c r="O1985" i="16" s="1"/>
  <c r="K1769" i="16"/>
  <c r="F1769" i="16"/>
  <c r="O1769" i="16" s="1"/>
  <c r="K1230" i="16"/>
  <c r="F1230" i="16"/>
  <c r="O1230" i="16" s="1"/>
  <c r="K1013" i="16"/>
  <c r="F1013" i="16"/>
  <c r="O1013" i="16" s="1"/>
  <c r="K959" i="16"/>
  <c r="F959" i="16"/>
  <c r="O959" i="16" s="1"/>
  <c r="U4690" i="16"/>
  <c r="S4690" i="16"/>
  <c r="M4691" i="16"/>
  <c r="D4691" i="16"/>
  <c r="J4691" i="16"/>
  <c r="N4691" i="16" s="1"/>
  <c r="P4691" i="16"/>
  <c r="Q4691" i="16"/>
  <c r="R4691" i="16"/>
  <c r="L4692" i="16"/>
  <c r="C4692" i="16"/>
  <c r="E4692" i="16"/>
  <c r="G4692" i="16"/>
  <c r="I4692" i="16"/>
  <c r="B4693" i="16"/>
  <c r="P4637" i="16"/>
  <c r="Q4637" i="16"/>
  <c r="R4637" i="16"/>
  <c r="C4638" i="16"/>
  <c r="D4638" i="16" s="1"/>
  <c r="E4638" i="16"/>
  <c r="F4638" i="16"/>
  <c r="O4638" i="16" s="1"/>
  <c r="G4638" i="16"/>
  <c r="B4639" i="16"/>
  <c r="M4583" i="16"/>
  <c r="D4583" i="16"/>
  <c r="J4583" i="16"/>
  <c r="N4583" i="16" s="1"/>
  <c r="P4583" i="16"/>
  <c r="Q4583" i="16"/>
  <c r="R4583" i="16"/>
  <c r="L4584" i="16"/>
  <c r="C4584" i="16"/>
  <c r="E4584" i="16"/>
  <c r="G4584" i="16"/>
  <c r="I4584" i="16"/>
  <c r="B4585" i="16"/>
  <c r="D4529" i="16"/>
  <c r="J4529" i="16"/>
  <c r="P4529" i="16"/>
  <c r="Q4529" i="16"/>
  <c r="R4529" i="16"/>
  <c r="L4530" i="16"/>
  <c r="C4530" i="16"/>
  <c r="E4530" i="16"/>
  <c r="G4530" i="16"/>
  <c r="I4530" i="16"/>
  <c r="B4531" i="16"/>
  <c r="P4229" i="16"/>
  <c r="Q4229" i="16"/>
  <c r="R4229" i="16"/>
  <c r="G4230" i="16"/>
  <c r="B4231" i="16"/>
  <c r="C4230" i="16"/>
  <c r="E4230" i="16"/>
  <c r="I4230" i="16"/>
  <c r="L4230" i="16"/>
  <c r="J4229" i="16"/>
  <c r="D4229" i="16"/>
  <c r="U4174" i="16"/>
  <c r="S4174" i="16"/>
  <c r="T4174" i="16" s="1"/>
  <c r="P4175" i="16"/>
  <c r="Q4175" i="16"/>
  <c r="R4175" i="16"/>
  <c r="G4176" i="16"/>
  <c r="I4176" i="16"/>
  <c r="L4176" i="16"/>
  <c r="B4177" i="16"/>
  <c r="C4176" i="16"/>
  <c r="F4176" i="16" s="1"/>
  <c r="O4176" i="16" s="1"/>
  <c r="E4176" i="16"/>
  <c r="K4176" i="16"/>
  <c r="D4175" i="16"/>
  <c r="J4175" i="16"/>
  <c r="N4175" i="16" s="1"/>
  <c r="M4175" i="16"/>
  <c r="P4121" i="16"/>
  <c r="Q4121" i="16"/>
  <c r="R4121" i="16"/>
  <c r="D4121" i="16"/>
  <c r="J4121" i="16"/>
  <c r="N4121" i="16" s="1"/>
  <c r="M4121" i="16"/>
  <c r="L4122" i="16"/>
  <c r="B4123" i="16"/>
  <c r="C4122" i="16"/>
  <c r="E4122" i="16"/>
  <c r="G4122" i="16"/>
  <c r="I4122" i="16"/>
  <c r="U4066" i="16"/>
  <c r="S4066" i="16"/>
  <c r="T4066" i="16" s="1"/>
  <c r="M4067" i="16"/>
  <c r="D4067" i="16"/>
  <c r="J4067" i="16"/>
  <c r="N4067" i="16" s="1"/>
  <c r="P4067" i="16"/>
  <c r="Q4067" i="16"/>
  <c r="R4067" i="16"/>
  <c r="L4068" i="16"/>
  <c r="C4068" i="16"/>
  <c r="K4068" i="16" s="1"/>
  <c r="E4068" i="16"/>
  <c r="F4068" i="16"/>
  <c r="O4068" i="16" s="1"/>
  <c r="G4068" i="16"/>
  <c r="I4068" i="16"/>
  <c r="B4069" i="16"/>
  <c r="M3767" i="16"/>
  <c r="D3767" i="16"/>
  <c r="J3767" i="16"/>
  <c r="N3767" i="16" s="1"/>
  <c r="P3767" i="16"/>
  <c r="Q3767" i="16"/>
  <c r="R3767" i="16"/>
  <c r="L3768" i="16"/>
  <c r="C3768" i="16"/>
  <c r="K3768" i="16" s="1"/>
  <c r="E3768" i="16"/>
  <c r="F3768" i="16"/>
  <c r="O3768" i="16" s="1"/>
  <c r="G3768" i="16"/>
  <c r="I3768" i="16"/>
  <c r="B3769" i="16"/>
  <c r="M3713" i="16"/>
  <c r="D3713" i="16"/>
  <c r="J3713" i="16"/>
  <c r="N3713" i="16" s="1"/>
  <c r="P3713" i="16"/>
  <c r="Q3713" i="16"/>
  <c r="R3713" i="16"/>
  <c r="L3714" i="16"/>
  <c r="B3715" i="16"/>
  <c r="C3714" i="16"/>
  <c r="K3714" i="16" s="1"/>
  <c r="E3714" i="16"/>
  <c r="F3714" i="16"/>
  <c r="O3714" i="16" s="1"/>
  <c r="G3714" i="16"/>
  <c r="I3714" i="16"/>
  <c r="D3659" i="16"/>
  <c r="J3659" i="16"/>
  <c r="P3659" i="16"/>
  <c r="Q3659" i="16"/>
  <c r="R3659" i="16"/>
  <c r="L3660" i="16"/>
  <c r="C3660" i="16"/>
  <c r="K3660" i="16" s="1"/>
  <c r="E3660" i="16"/>
  <c r="F3660" i="16"/>
  <c r="O3660" i="16" s="1"/>
  <c r="G3660" i="16"/>
  <c r="B3661" i="16"/>
  <c r="I3660" i="16"/>
  <c r="U3604" i="16"/>
  <c r="S3604" i="16"/>
  <c r="T3604" i="16" s="1"/>
  <c r="M3605" i="16"/>
  <c r="D3605" i="16"/>
  <c r="J3605" i="16"/>
  <c r="N3605" i="16" s="1"/>
  <c r="P3605" i="16"/>
  <c r="Q3605" i="16"/>
  <c r="R3605" i="16"/>
  <c r="L3606" i="16"/>
  <c r="C3606" i="16"/>
  <c r="E3606" i="16"/>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L3498" i="16"/>
  <c r="G3498" i="16"/>
  <c r="I3498" i="16"/>
  <c r="C3498" i="16"/>
  <c r="E3498" i="16"/>
  <c r="B3499" i="16"/>
  <c r="J3497" i="16"/>
  <c r="D3497" i="16"/>
  <c r="P3497" i="16"/>
  <c r="Q3497" i="16"/>
  <c r="R3497" i="16"/>
  <c r="S3442" i="16"/>
  <c r="T3442" i="16" s="1"/>
  <c r="U3442" i="16"/>
  <c r="M3443" i="16"/>
  <c r="D3443" i="16"/>
  <c r="J3443" i="16"/>
  <c r="N3443" i="16" s="1"/>
  <c r="P3443" i="16"/>
  <c r="Q3443" i="16"/>
  <c r="R3443" i="16"/>
  <c r="L3444" i="16"/>
  <c r="C3444" i="16"/>
  <c r="E3444" i="16"/>
  <c r="G3444" i="16"/>
  <c r="B3445" i="16"/>
  <c r="I3444" i="16"/>
  <c r="U3388" i="16"/>
  <c r="S3388" i="16"/>
  <c r="T3388" i="16" s="1"/>
  <c r="D3389" i="16"/>
  <c r="J3389" i="16"/>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D3281" i="16"/>
  <c r="J3281" i="16"/>
  <c r="P3281" i="16"/>
  <c r="Q3281" i="16"/>
  <c r="R3281" i="16"/>
  <c r="L3282" i="16"/>
  <c r="C3282" i="16"/>
  <c r="K3282" i="16" s="1"/>
  <c r="E3282" i="16"/>
  <c r="F3282" i="16"/>
  <c r="O3282" i="16" s="1"/>
  <c r="G3282" i="16"/>
  <c r="I3282" i="16"/>
  <c r="B3283" i="16"/>
  <c r="L3228" i="16"/>
  <c r="G3228" i="16"/>
  <c r="E3228" i="16"/>
  <c r="C3228" i="16"/>
  <c r="K3228" i="16" s="1"/>
  <c r="F3228" i="16"/>
  <c r="O3228" i="16" s="1"/>
  <c r="B3229" i="16"/>
  <c r="I3228" i="16"/>
  <c r="J3227" i="16"/>
  <c r="D3227" i="16"/>
  <c r="P3227" i="16"/>
  <c r="Q3227" i="16"/>
  <c r="R3227" i="16"/>
  <c r="D3173" i="16"/>
  <c r="J3173" i="16"/>
  <c r="P3173" i="16"/>
  <c r="Q3173" i="16"/>
  <c r="R3173" i="16"/>
  <c r="L3174" i="16"/>
  <c r="E3174" i="16"/>
  <c r="B3175" i="16"/>
  <c r="I3174" i="16"/>
  <c r="G3174" i="16"/>
  <c r="C3174" i="16"/>
  <c r="J3119" i="16"/>
  <c r="D3119" i="16"/>
  <c r="P3119" i="16"/>
  <c r="Q3119" i="16"/>
  <c r="R3119" i="16"/>
  <c r="L3120" i="16"/>
  <c r="I3120" i="16"/>
  <c r="E3120" i="16"/>
  <c r="G3120" i="16"/>
  <c r="C3120" i="16"/>
  <c r="B3121" i="16"/>
  <c r="U3064" i="16"/>
  <c r="S3064" i="16"/>
  <c r="T3064" i="16" s="1"/>
  <c r="P3065" i="16"/>
  <c r="Q3065" i="16"/>
  <c r="R3065" i="16"/>
  <c r="J3065" i="16"/>
  <c r="D3065" i="16"/>
  <c r="L3066" i="16"/>
  <c r="E3066" i="16"/>
  <c r="C3066" i="16"/>
  <c r="K3066" i="16" s="1"/>
  <c r="F3066" i="16"/>
  <c r="O3066" i="16" s="1"/>
  <c r="B3067" i="16"/>
  <c r="I3066" i="16"/>
  <c r="G3066" i="16"/>
  <c r="D3011" i="16"/>
  <c r="J3011" i="16"/>
  <c r="P3011" i="16"/>
  <c r="Q3011" i="16"/>
  <c r="R3011" i="16"/>
  <c r="L3012" i="16"/>
  <c r="G3012" i="16"/>
  <c r="B3013" i="16"/>
  <c r="E3012" i="16"/>
  <c r="I3012" i="16"/>
  <c r="C3012" i="16"/>
  <c r="U2956" i="16"/>
  <c r="S2956" i="16"/>
  <c r="T2956" i="16" s="1"/>
  <c r="M2957" i="16"/>
  <c r="D2957" i="16"/>
  <c r="J2957" i="16"/>
  <c r="N2957" i="16" s="1"/>
  <c r="P2957" i="16"/>
  <c r="Q2957" i="16"/>
  <c r="R2957" i="16"/>
  <c r="L2958" i="16"/>
  <c r="C2958" i="16"/>
  <c r="K2958" i="16" s="1"/>
  <c r="E2958" i="16"/>
  <c r="F2958" i="16"/>
  <c r="O2958" i="16" s="1"/>
  <c r="G2958" i="16"/>
  <c r="I2958" i="16"/>
  <c r="B2959" i="16"/>
  <c r="D2903" i="16"/>
  <c r="M2903" i="16" s="1"/>
  <c r="J2903" i="16"/>
  <c r="P2903" i="16"/>
  <c r="Q2903" i="16"/>
  <c r="R2903" i="16"/>
  <c r="L2904" i="16"/>
  <c r="C2904" i="16"/>
  <c r="K2904" i="16" s="1"/>
  <c r="E2904" i="16"/>
  <c r="F2904" i="16"/>
  <c r="O2904" i="16" s="1"/>
  <c r="G2904" i="16"/>
  <c r="I2904" i="16"/>
  <c r="B2905" i="16"/>
  <c r="U2848" i="16"/>
  <c r="S2848" i="16"/>
  <c r="T2848" i="16" s="1"/>
  <c r="M2849" i="16"/>
  <c r="D2849" i="16"/>
  <c r="J2849" i="16"/>
  <c r="N2849" i="16" s="1"/>
  <c r="P2849" i="16"/>
  <c r="Q2849" i="16"/>
  <c r="R2849" i="16"/>
  <c r="L2850" i="16"/>
  <c r="C2850" i="16"/>
  <c r="E2850" i="16"/>
  <c r="G2850" i="16"/>
  <c r="I2850" i="16"/>
  <c r="B2851" i="16"/>
  <c r="M2795" i="16"/>
  <c r="D2795" i="16"/>
  <c r="J2795" i="16"/>
  <c r="N2795" i="16" s="1"/>
  <c r="S2795" i="16" s="1"/>
  <c r="T2795" i="16" s="1"/>
  <c r="U2795" i="16" s="1"/>
  <c r="P2795" i="16"/>
  <c r="Q2795" i="16"/>
  <c r="R2795" i="16"/>
  <c r="L2796" i="16"/>
  <c r="C2796" i="16"/>
  <c r="E2796" i="16"/>
  <c r="G2796" i="16"/>
  <c r="I2796" i="16"/>
  <c r="B2797" i="16"/>
  <c r="U2740" i="16"/>
  <c r="S2740" i="16"/>
  <c r="T2740" i="16" s="1"/>
  <c r="M2741" i="16"/>
  <c r="D2741" i="16"/>
  <c r="J2741" i="16"/>
  <c r="N2741" i="16" s="1"/>
  <c r="P2741" i="16"/>
  <c r="Q2741" i="16"/>
  <c r="R2741" i="16"/>
  <c r="L2742" i="16"/>
  <c r="C2742" i="16"/>
  <c r="K2742" i="16" s="1"/>
  <c r="E2742" i="16"/>
  <c r="F2742" i="16"/>
  <c r="O2742" i="16" s="1"/>
  <c r="G2742" i="16"/>
  <c r="I2742" i="16"/>
  <c r="B2743" i="16"/>
  <c r="U2686" i="16"/>
  <c r="S2686" i="16"/>
  <c r="T2686" i="16" s="1"/>
  <c r="D2687" i="16"/>
  <c r="J2687" i="16"/>
  <c r="P2687" i="16"/>
  <c r="Q2687" i="16"/>
  <c r="R2687" i="16"/>
  <c r="L2688" i="16"/>
  <c r="C2688" i="16"/>
  <c r="K2688" i="16" s="1"/>
  <c r="E2688" i="16"/>
  <c r="F2688" i="16"/>
  <c r="O2688" i="16" s="1"/>
  <c r="G2688" i="16"/>
  <c r="I2688" i="16"/>
  <c r="B2689" i="16"/>
  <c r="U2632" i="16"/>
  <c r="S2632" i="16"/>
  <c r="T2632" i="16" s="1"/>
  <c r="M2633" i="16"/>
  <c r="D2633" i="16"/>
  <c r="J2633" i="16"/>
  <c r="N2633" i="16" s="1"/>
  <c r="P2633" i="16"/>
  <c r="Q2633" i="16"/>
  <c r="R2633" i="16"/>
  <c r="L2634" i="16"/>
  <c r="C2634" i="16"/>
  <c r="K2634" i="16" s="1"/>
  <c r="E2634" i="16"/>
  <c r="F2634" i="16"/>
  <c r="O2634" i="16" s="1"/>
  <c r="G2634" i="16"/>
  <c r="I2634" i="16"/>
  <c r="B2635" i="16"/>
  <c r="M2579" i="16"/>
  <c r="D2579" i="16"/>
  <c r="J2579" i="16"/>
  <c r="N2579" i="16" s="1"/>
  <c r="P2579" i="16"/>
  <c r="Q2579" i="16"/>
  <c r="R2579" i="16"/>
  <c r="L2580" i="16"/>
  <c r="C2580" i="16"/>
  <c r="K2580" i="16" s="1"/>
  <c r="E2580" i="16"/>
  <c r="F2580" i="16"/>
  <c r="O2580" i="16" s="1"/>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D2471" i="16"/>
  <c r="J2471" i="16"/>
  <c r="P2471" i="16"/>
  <c r="Q2471" i="16"/>
  <c r="R2471" i="16"/>
  <c r="L2472" i="16"/>
  <c r="C2472" i="16"/>
  <c r="K2472" i="16" s="1"/>
  <c r="E2472" i="16"/>
  <c r="F2472" i="16"/>
  <c r="O2472" i="16" s="1"/>
  <c r="G2472" i="16"/>
  <c r="I2472" i="16"/>
  <c r="B2473" i="16"/>
  <c r="M2417" i="16"/>
  <c r="D2417" i="16"/>
  <c r="J2417" i="16"/>
  <c r="N2417" i="16" s="1"/>
  <c r="Q2417" i="16"/>
  <c r="P2417" i="16"/>
  <c r="R2417" i="16"/>
  <c r="L2418" i="16"/>
  <c r="C2418" i="16"/>
  <c r="K2418" i="16" s="1"/>
  <c r="E2418" i="16"/>
  <c r="F2418" i="16"/>
  <c r="O2418" i="16" s="1"/>
  <c r="G2418" i="16"/>
  <c r="I2418" i="16"/>
  <c r="B2419" i="16"/>
  <c r="M2363" i="16"/>
  <c r="D2363" i="16"/>
  <c r="J2363" i="16"/>
  <c r="N2363" i="16" s="1"/>
  <c r="Q2363" i="16"/>
  <c r="P2363" i="16"/>
  <c r="R2363" i="16"/>
  <c r="L2364" i="16"/>
  <c r="C2364" i="16"/>
  <c r="E2364" i="16"/>
  <c r="G2364" i="16"/>
  <c r="I2364" i="16"/>
  <c r="B2365" i="16"/>
  <c r="U2308" i="16"/>
  <c r="S2308" i="16"/>
  <c r="T2308" i="16" s="1"/>
  <c r="M2309" i="16"/>
  <c r="D2309" i="16"/>
  <c r="J2309" i="16"/>
  <c r="N2309" i="16" s="1"/>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E2256" i="16"/>
  <c r="G2256" i="16"/>
  <c r="I2256" i="16"/>
  <c r="B2257" i="16"/>
  <c r="U2200" i="16"/>
  <c r="S2200" i="16"/>
  <c r="T2200" i="16" s="1"/>
  <c r="M2201" i="16"/>
  <c r="D2201" i="16"/>
  <c r="J2201" i="16"/>
  <c r="N2201" i="16" s="1"/>
  <c r="P2201" i="16"/>
  <c r="Q2201" i="16"/>
  <c r="R2201" i="16"/>
  <c r="L2202" i="16"/>
  <c r="C2202" i="16"/>
  <c r="K2202" i="16" s="1"/>
  <c r="E2202" i="16"/>
  <c r="F2202" i="16"/>
  <c r="O2202" i="16" s="1"/>
  <c r="G2202" i="16"/>
  <c r="I2202" i="16"/>
  <c r="B2203" i="16"/>
  <c r="U2146" i="16"/>
  <c r="S2146" i="16"/>
  <c r="T2146" i="16" s="1"/>
  <c r="M2147" i="16"/>
  <c r="D2147" i="16"/>
  <c r="J2147" i="16"/>
  <c r="N2147" i="16" s="1"/>
  <c r="Q2147" i="16"/>
  <c r="P2147" i="16"/>
  <c r="R2147" i="16"/>
  <c r="L2148" i="16"/>
  <c r="C2148" i="16"/>
  <c r="K2148" i="16" s="1"/>
  <c r="E2148" i="16"/>
  <c r="F2148" i="16"/>
  <c r="O2148" i="16" s="1"/>
  <c r="G2148" i="16"/>
  <c r="I2148" i="16"/>
  <c r="B2149" i="16"/>
  <c r="M2093" i="16"/>
  <c r="D2093" i="16"/>
  <c r="J2093" i="16"/>
  <c r="N2093" i="16" s="1"/>
  <c r="P2093" i="16"/>
  <c r="Q2093" i="16"/>
  <c r="R2093" i="16"/>
  <c r="L2094" i="16"/>
  <c r="C2094" i="16"/>
  <c r="E2094" i="16"/>
  <c r="G2094" i="16"/>
  <c r="I2094" i="16"/>
  <c r="B2095" i="16"/>
  <c r="U2038" i="16"/>
  <c r="S2038" i="16"/>
  <c r="T2038" i="16" s="1"/>
  <c r="M2039" i="16"/>
  <c r="D2039" i="16"/>
  <c r="J2039" i="16"/>
  <c r="N2039" i="16" s="1"/>
  <c r="P2039" i="16"/>
  <c r="Q2039" i="16"/>
  <c r="R2039" i="16"/>
  <c r="L2040" i="16"/>
  <c r="C2040" i="16"/>
  <c r="E2040" i="16"/>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U1930" i="16"/>
  <c r="S1930" i="16"/>
  <c r="T1930" i="16" s="1"/>
  <c r="M1931" i="16"/>
  <c r="D1931" i="16"/>
  <c r="J1931" i="16"/>
  <c r="N1931" i="16" s="1"/>
  <c r="P1931" i="16"/>
  <c r="Q1931" i="16"/>
  <c r="R1931" i="16"/>
  <c r="L1932" i="16"/>
  <c r="C1932" i="16"/>
  <c r="K1932" i="16" s="1"/>
  <c r="E1932" i="16"/>
  <c r="F1932" i="16"/>
  <c r="O1932" i="16" s="1"/>
  <c r="G1932" i="16"/>
  <c r="I1932" i="16"/>
  <c r="B1933" i="16"/>
  <c r="M1877" i="16"/>
  <c r="D1877" i="16"/>
  <c r="J1877" i="16"/>
  <c r="N1877" i="16" s="1"/>
  <c r="P1877" i="16"/>
  <c r="Q1877" i="16"/>
  <c r="R1877" i="16"/>
  <c r="L1878" i="16"/>
  <c r="C1878" i="16"/>
  <c r="K1878" i="16" s="1"/>
  <c r="E1878" i="16"/>
  <c r="F1878" i="16"/>
  <c r="O1878" i="16" s="1"/>
  <c r="G1878" i="16"/>
  <c r="I1878" i="16"/>
  <c r="B1879" i="16"/>
  <c r="D1823" i="16"/>
  <c r="J1823" i="16"/>
  <c r="P1823" i="16"/>
  <c r="Q1823" i="16"/>
  <c r="R1823" i="16"/>
  <c r="L1824" i="16"/>
  <c r="C1824" i="16"/>
  <c r="E1824" i="16"/>
  <c r="G1824" i="16"/>
  <c r="I1824" i="16"/>
  <c r="B1825" i="16"/>
  <c r="U1768" i="16"/>
  <c r="S1768" i="16"/>
  <c r="T1768" i="16" s="1"/>
  <c r="M1769" i="16"/>
  <c r="D1769" i="16"/>
  <c r="J1769" i="16"/>
  <c r="N1769" i="16" s="1"/>
  <c r="P1769" i="16"/>
  <c r="Q1769" i="16"/>
  <c r="R1769" i="16"/>
  <c r="L1770" i="16"/>
  <c r="C1770" i="16"/>
  <c r="E1770" i="16"/>
  <c r="G1770" i="16"/>
  <c r="I1770" i="16"/>
  <c r="B1771" i="16"/>
  <c r="U1714" i="16"/>
  <c r="S1714" i="16"/>
  <c r="T1714" i="16" s="1"/>
  <c r="M1715" i="16"/>
  <c r="D1715" i="16"/>
  <c r="J1715" i="16"/>
  <c r="N1715" i="16" s="1"/>
  <c r="P1715" i="16"/>
  <c r="Q1715" i="16"/>
  <c r="R1715" i="16"/>
  <c r="L1716" i="16"/>
  <c r="C1716" i="16"/>
  <c r="K1716" i="16" s="1"/>
  <c r="E1716" i="16"/>
  <c r="F1716" i="16"/>
  <c r="O1716" i="16" s="1"/>
  <c r="G1716" i="16"/>
  <c r="I1716" i="16"/>
  <c r="B1717" i="16"/>
  <c r="S1660" i="16"/>
  <c r="T1660" i="16" s="1"/>
  <c r="U1660" i="16"/>
  <c r="M1661" i="16"/>
  <c r="D1661" i="16"/>
  <c r="J1661" i="16"/>
  <c r="N1661" i="16" s="1"/>
  <c r="P1661" i="16"/>
  <c r="Q1661" i="16"/>
  <c r="R1661" i="16"/>
  <c r="L1662" i="16"/>
  <c r="C1662" i="16"/>
  <c r="K1662" i="16" s="1"/>
  <c r="E1662" i="16"/>
  <c r="F1662" i="16"/>
  <c r="O1662" i="16" s="1"/>
  <c r="G1662" i="16"/>
  <c r="I1662" i="16"/>
  <c r="B1663" i="16"/>
  <c r="D1607" i="16"/>
  <c r="M1607" i="16" s="1"/>
  <c r="J1607" i="16"/>
  <c r="P1607" i="16"/>
  <c r="Q1607" i="16"/>
  <c r="R1607" i="16"/>
  <c r="L1608" i="16"/>
  <c r="C1608" i="16"/>
  <c r="K1608" i="16" s="1"/>
  <c r="E1608" i="16"/>
  <c r="F1608" i="16"/>
  <c r="O1608" i="16" s="1"/>
  <c r="G1608" i="16"/>
  <c r="I1608" i="16"/>
  <c r="B1609" i="16"/>
  <c r="U1552" i="16"/>
  <c r="S1552" i="16"/>
  <c r="T1552" i="16" s="1"/>
  <c r="M1553" i="16"/>
  <c r="D1553" i="16"/>
  <c r="J1553" i="16"/>
  <c r="N1553" i="16" s="1"/>
  <c r="P1553" i="16"/>
  <c r="Q1553" i="16"/>
  <c r="R1553" i="16"/>
  <c r="L1554" i="16"/>
  <c r="C1554" i="16"/>
  <c r="E1554" i="16"/>
  <c r="G1554" i="16"/>
  <c r="I1554" i="16"/>
  <c r="B1555" i="16"/>
  <c r="U1498" i="16"/>
  <c r="S1498" i="16"/>
  <c r="T1498" i="16" s="1"/>
  <c r="M1499" i="16"/>
  <c r="D1499" i="16"/>
  <c r="J1499" i="16"/>
  <c r="N1499" i="16" s="1"/>
  <c r="P1499" i="16"/>
  <c r="Q1499" i="16"/>
  <c r="R1499" i="16"/>
  <c r="L1500" i="16"/>
  <c r="C1500" i="16"/>
  <c r="E1500" i="16"/>
  <c r="G1500" i="16"/>
  <c r="B1501" i="16"/>
  <c r="I1500" i="16"/>
  <c r="U1444" i="16"/>
  <c r="S1444" i="16"/>
  <c r="T1444" i="16" s="1"/>
  <c r="M1445" i="16"/>
  <c r="P1445" i="16"/>
  <c r="Q1445" i="16"/>
  <c r="R1445" i="16"/>
  <c r="L1446" i="16"/>
  <c r="G1446" i="16"/>
  <c r="I1446" i="16"/>
  <c r="B1447" i="16"/>
  <c r="C1446" i="16"/>
  <c r="E1446" i="16"/>
  <c r="D1445" i="16"/>
  <c r="J1445" i="16"/>
  <c r="N1445" i="16" s="1"/>
  <c r="U1390" i="16"/>
  <c r="S1390" i="16"/>
  <c r="T1390" i="16" s="1"/>
  <c r="L1392" i="16"/>
  <c r="G1392" i="16"/>
  <c r="B1393" i="16"/>
  <c r="E1392" i="16"/>
  <c r="C1392" i="16"/>
  <c r="K1392" i="16" s="1"/>
  <c r="F1392" i="16"/>
  <c r="O1392" i="16" s="1"/>
  <c r="I1392" i="16"/>
  <c r="D1391" i="16"/>
  <c r="J1391" i="16"/>
  <c r="P1391" i="16"/>
  <c r="Q1391" i="16"/>
  <c r="R1391" i="16"/>
  <c r="U1336" i="16"/>
  <c r="S1336" i="16"/>
  <c r="T1336" i="16" s="1"/>
  <c r="M1337" i="16"/>
  <c r="J1337" i="16"/>
  <c r="N1337" i="16" s="1"/>
  <c r="D1337" i="16"/>
  <c r="P1337" i="16"/>
  <c r="Q1337" i="16"/>
  <c r="R1337" i="16"/>
  <c r="L1338" i="16"/>
  <c r="E1338" i="16"/>
  <c r="B1339" i="16"/>
  <c r="C1338" i="16"/>
  <c r="I1338" i="16"/>
  <c r="G1338" i="16"/>
  <c r="U1282" i="16"/>
  <c r="S1282" i="16"/>
  <c r="T1282" i="16" s="1"/>
  <c r="P1283" i="16"/>
  <c r="Q1283" i="16"/>
  <c r="R1283" i="16"/>
  <c r="J1283" i="16"/>
  <c r="D1283" i="16"/>
  <c r="L1284" i="16"/>
  <c r="G1284" i="16"/>
  <c r="I1284" i="16"/>
  <c r="B1285" i="16"/>
  <c r="E1284" i="16"/>
  <c r="C1284" i="16"/>
  <c r="S1229" i="16"/>
  <c r="T1229" i="16" s="1"/>
  <c r="U1229" i="16"/>
  <c r="M1230" i="16"/>
  <c r="D1230" i="16"/>
  <c r="J1230" i="16"/>
  <c r="N1230" i="16" s="1"/>
  <c r="P1230" i="16"/>
  <c r="Q1230" i="16"/>
  <c r="R1230" i="16"/>
  <c r="L1231" i="16"/>
  <c r="E1231" i="16"/>
  <c r="G1231" i="16"/>
  <c r="B1232" i="16"/>
  <c r="I1231" i="16"/>
  <c r="C1231" i="16"/>
  <c r="U1174" i="16"/>
  <c r="S1174" i="16"/>
  <c r="T1174" i="16" s="1"/>
  <c r="M1175" i="16"/>
  <c r="D1175" i="16"/>
  <c r="J1175" i="16"/>
  <c r="N1175" i="16" s="1"/>
  <c r="P1175" i="16"/>
  <c r="Q1175" i="16"/>
  <c r="R1175" i="16"/>
  <c r="L1176" i="16"/>
  <c r="C1176" i="16"/>
  <c r="E1176" i="16"/>
  <c r="G1176" i="16"/>
  <c r="I1176" i="16"/>
  <c r="B1177" i="16"/>
  <c r="U1120" i="16"/>
  <c r="S1120" i="16"/>
  <c r="T1120" i="16" s="1"/>
  <c r="D1121" i="16"/>
  <c r="J1121" i="16"/>
  <c r="P1121" i="16"/>
  <c r="Q1121" i="16"/>
  <c r="R1121" i="16"/>
  <c r="L1122" i="16"/>
  <c r="C1122" i="16"/>
  <c r="K1122" i="16" s="1"/>
  <c r="E1122" i="16"/>
  <c r="F1122" i="16"/>
  <c r="O1122" i="16" s="1"/>
  <c r="G1122" i="16"/>
  <c r="I1122" i="16"/>
  <c r="B1123" i="16"/>
  <c r="U1066" i="16"/>
  <c r="S1066" i="16"/>
  <c r="T1066" i="16" s="1"/>
  <c r="D1067" i="16"/>
  <c r="J1067" i="16"/>
  <c r="P1067" i="16"/>
  <c r="Q1067" i="16"/>
  <c r="R1067" i="16"/>
  <c r="L1068" i="16"/>
  <c r="C1068" i="16"/>
  <c r="K1068" i="16" s="1"/>
  <c r="E1068" i="16"/>
  <c r="F1068" i="16"/>
  <c r="O1068" i="16" s="1"/>
  <c r="G1068" i="16"/>
  <c r="I1068" i="16"/>
  <c r="B1069" i="16"/>
  <c r="M1013" i="16"/>
  <c r="D1013" i="16"/>
  <c r="J1013" i="16"/>
  <c r="N1013" i="16" s="1"/>
  <c r="P1013" i="16"/>
  <c r="Q1013" i="16"/>
  <c r="R1013" i="16"/>
  <c r="L1014" i="16"/>
  <c r="C1014" i="16"/>
  <c r="E1014" i="16"/>
  <c r="G1014" i="16"/>
  <c r="I1014" i="16"/>
  <c r="B1015" i="16"/>
  <c r="U958" i="16"/>
  <c r="S958" i="16"/>
  <c r="T958" i="16" s="1"/>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U850" i="16"/>
  <c r="S850" i="16"/>
  <c r="T850" i="16" s="1"/>
  <c r="D851" i="16"/>
  <c r="J851" i="16"/>
  <c r="Q851" i="16"/>
  <c r="P851" i="16"/>
  <c r="R851" i="16"/>
  <c r="L852" i="16"/>
  <c r="C852" i="16"/>
  <c r="K852" i="16" s="1"/>
  <c r="E852" i="16"/>
  <c r="F852" i="16"/>
  <c r="O852" i="16" s="1"/>
  <c r="G852" i="16"/>
  <c r="I852" i="16"/>
  <c r="B853" i="16"/>
  <c r="U796" i="16"/>
  <c r="S796" i="16"/>
  <c r="T796" i="16" s="1"/>
  <c r="D797" i="16"/>
  <c r="J797" i="16"/>
  <c r="P797" i="16"/>
  <c r="Q797" i="16"/>
  <c r="R797" i="16"/>
  <c r="L798" i="16"/>
  <c r="C798" i="16"/>
  <c r="K798" i="16" s="1"/>
  <c r="E798" i="16"/>
  <c r="F798" i="16"/>
  <c r="O798" i="16" s="1"/>
  <c r="G798" i="16"/>
  <c r="I798" i="16"/>
  <c r="B799" i="16"/>
  <c r="M743" i="16"/>
  <c r="D743" i="16"/>
  <c r="J743" i="16"/>
  <c r="N743" i="16" s="1"/>
  <c r="P743" i="16"/>
  <c r="Q743" i="16"/>
  <c r="R743" i="16"/>
  <c r="L744" i="16"/>
  <c r="C744" i="16"/>
  <c r="E744" i="16"/>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M635" i="16"/>
  <c r="D635" i="16"/>
  <c r="J635" i="16"/>
  <c r="N635" i="16" s="1"/>
  <c r="P635" i="16"/>
  <c r="Q635" i="16"/>
  <c r="R635" i="16"/>
  <c r="L636" i="16"/>
  <c r="C636" i="16"/>
  <c r="K636" i="16" s="1"/>
  <c r="E636" i="16"/>
  <c r="F636" i="16"/>
  <c r="O636" i="16" s="1"/>
  <c r="G636" i="16"/>
  <c r="I636" i="16"/>
  <c r="B637" i="16"/>
  <c r="U580" i="16"/>
  <c r="S580" i="16"/>
  <c r="T580" i="16" s="1"/>
  <c r="M581" i="16"/>
  <c r="D581" i="16"/>
  <c r="J581" i="16"/>
  <c r="N581" i="16" s="1"/>
  <c r="Q581" i="16"/>
  <c r="P581" i="16"/>
  <c r="R581" i="16"/>
  <c r="L582" i="16"/>
  <c r="C582" i="16"/>
  <c r="K582" i="16" s="1"/>
  <c r="E582" i="16"/>
  <c r="F582" i="16"/>
  <c r="O582" i="16" s="1"/>
  <c r="G582" i="16"/>
  <c r="I582" i="16"/>
  <c r="B583" i="16"/>
  <c r="D527" i="16"/>
  <c r="J527" i="16"/>
  <c r="Q527" i="16"/>
  <c r="P527" i="16"/>
  <c r="R527" i="16"/>
  <c r="L528" i="16"/>
  <c r="C528" i="16"/>
  <c r="K528" i="16" s="1"/>
  <c r="E528" i="16"/>
  <c r="F528" i="16"/>
  <c r="O528" i="16" s="1"/>
  <c r="G528" i="16"/>
  <c r="I528" i="16"/>
  <c r="B529" i="16"/>
  <c r="U472" i="16"/>
  <c r="S472" i="16"/>
  <c r="T472" i="16" s="1"/>
  <c r="M473" i="16"/>
  <c r="D473" i="16"/>
  <c r="J473" i="16"/>
  <c r="N473" i="16" s="1"/>
  <c r="P473" i="16"/>
  <c r="Q473" i="16"/>
  <c r="R473" i="16"/>
  <c r="L474" i="16"/>
  <c r="C474" i="16"/>
  <c r="E474" i="16"/>
  <c r="G474" i="16"/>
  <c r="I474" i="16"/>
  <c r="B475" i="16"/>
  <c r="U418" i="16"/>
  <c r="S418" i="16"/>
  <c r="T418" i="16" s="1"/>
  <c r="M419" i="16"/>
  <c r="D419" i="16"/>
  <c r="J419" i="16"/>
  <c r="N419" i="16" s="1"/>
  <c r="P419" i="16"/>
  <c r="Q419" i="16"/>
  <c r="R419" i="16"/>
  <c r="L420" i="16"/>
  <c r="C420" i="16"/>
  <c r="E420" i="16"/>
  <c r="G420" i="16"/>
  <c r="I420" i="16"/>
  <c r="B421" i="16"/>
  <c r="U364" i="16"/>
  <c r="S364" i="16"/>
  <c r="T364" i="16" s="1"/>
  <c r="M365" i="16"/>
  <c r="D365" i="16"/>
  <c r="J365" i="16"/>
  <c r="N365" i="16" s="1"/>
  <c r="P365" i="16"/>
  <c r="Q365" i="16"/>
  <c r="R365" i="16"/>
  <c r="L366" i="16"/>
  <c r="C366" i="16"/>
  <c r="K366" i="16" s="1"/>
  <c r="E366" i="16"/>
  <c r="F366" i="16"/>
  <c r="O366" i="16" s="1"/>
  <c r="G366" i="16"/>
  <c r="I366" i="16"/>
  <c r="B367" i="16"/>
  <c r="U310" i="16"/>
  <c r="S310" i="16"/>
  <c r="T310" i="16" s="1"/>
  <c r="D311" i="16"/>
  <c r="M311" i="16" s="1"/>
  <c r="J311" i="16"/>
  <c r="P311" i="16"/>
  <c r="Q311" i="16"/>
  <c r="R311" i="16"/>
  <c r="L312" i="16"/>
  <c r="C312" i="16"/>
  <c r="K312" i="16" s="1"/>
  <c r="E312" i="16"/>
  <c r="F312" i="16"/>
  <c r="O312" i="16" s="1"/>
  <c r="G312" i="16"/>
  <c r="I312" i="16"/>
  <c r="B313" i="16"/>
  <c r="U256" i="16"/>
  <c r="S256" i="16"/>
  <c r="T256" i="16" s="1"/>
  <c r="M257" i="16"/>
  <c r="D257" i="16"/>
  <c r="J257" i="16"/>
  <c r="N257" i="16" s="1"/>
  <c r="P257" i="16"/>
  <c r="Q257" i="16"/>
  <c r="R257" i="16"/>
  <c r="L258" i="16"/>
  <c r="C258" i="16"/>
  <c r="E258" i="16"/>
  <c r="G258" i="16"/>
  <c r="I258" i="16"/>
  <c r="B259" i="16"/>
  <c r="U202" i="16"/>
  <c r="S202" i="16"/>
  <c r="T202" i="16" s="1"/>
  <c r="M203" i="16"/>
  <c r="D203" i="16"/>
  <c r="J203" i="16"/>
  <c r="N203" i="16" s="1"/>
  <c r="P203" i="16"/>
  <c r="Q203" i="16"/>
  <c r="R203" i="16"/>
  <c r="L204" i="16"/>
  <c r="C204" i="16"/>
  <c r="E204" i="16"/>
  <c r="G204" i="16"/>
  <c r="I204" i="16"/>
  <c r="B205" i="16"/>
  <c r="U148" i="16"/>
  <c r="S148" i="16"/>
  <c r="T148" i="16" s="1"/>
  <c r="M149" i="16"/>
  <c r="D149" i="16"/>
  <c r="J149" i="16"/>
  <c r="N149" i="16" s="1"/>
  <c r="P149" i="16"/>
  <c r="Q149" i="16"/>
  <c r="R149" i="16"/>
  <c r="L150" i="16"/>
  <c r="C150" i="16"/>
  <c r="E150" i="16"/>
  <c r="G150" i="16"/>
  <c r="I150" i="16"/>
  <c r="B151" i="16"/>
  <c r="U94" i="16"/>
  <c r="S94" i="16"/>
  <c r="T94" i="16" s="1"/>
  <c r="D95" i="16"/>
  <c r="J95" i="16"/>
  <c r="P95" i="16"/>
  <c r="Q95" i="16"/>
  <c r="R95" i="16"/>
  <c r="L96" i="16"/>
  <c r="C96" i="16"/>
  <c r="K96" i="16" s="1"/>
  <c r="E96" i="16"/>
  <c r="F96" i="16"/>
  <c r="O96" i="16" s="1"/>
  <c r="G96" i="16"/>
  <c r="I96" i="16"/>
  <c r="B97" i="16"/>
  <c r="C66" i="7"/>
  <c r="G66" i="7" s="1"/>
  <c r="U32" i="4"/>
  <c r="S32" i="4"/>
  <c r="T32" i="4" s="1"/>
  <c r="M33" i="4"/>
  <c r="D33" i="4"/>
  <c r="J33" i="4"/>
  <c r="N33" i="4" s="1"/>
  <c r="O33" i="4"/>
  <c r="E68" i="7"/>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AM34" i="4" s="1"/>
  <c r="I34" i="4"/>
  <c r="B35" i="4"/>
  <c r="B34" i="5"/>
  <c r="AO16" i="4"/>
  <c r="B82" i="7"/>
  <c r="I82" i="7" s="1"/>
  <c r="AN15" i="4"/>
  <c r="AM17" i="4"/>
  <c r="AM18" i="4"/>
  <c r="AM19" i="4"/>
  <c r="AM20" i="4"/>
  <c r="AM21" i="4"/>
  <c r="AM22" i="4"/>
  <c r="AM23" i="4"/>
  <c r="AM24" i="4"/>
  <c r="AM25" i="4"/>
  <c r="AM26" i="4"/>
  <c r="AM27" i="4"/>
  <c r="AM28" i="4"/>
  <c r="AM29" i="4"/>
  <c r="AM30" i="4"/>
  <c r="AM31" i="4"/>
  <c r="AM32" i="4"/>
  <c r="AM33" i="4"/>
  <c r="U4227" i="16"/>
  <c r="S4227" i="16"/>
  <c r="T4227" i="16" s="1"/>
  <c r="U4173" i="16"/>
  <c r="S4173" i="16"/>
  <c r="T4173" i="16" s="1"/>
  <c r="U3495" i="16"/>
  <c r="S3495" i="16"/>
  <c r="T3495" i="16" s="1"/>
  <c r="U3225" i="16"/>
  <c r="S3225" i="16"/>
  <c r="T3225" i="16" s="1"/>
  <c r="U3009" i="16"/>
  <c r="S3009" i="16"/>
  <c r="T3009" i="16" s="1"/>
  <c r="U2955" i="16"/>
  <c r="S2955" i="16"/>
  <c r="T2955" i="16" s="1"/>
  <c r="U2901" i="16"/>
  <c r="S2901" i="16"/>
  <c r="T2901" i="16" s="1"/>
  <c r="U2631" i="16"/>
  <c r="S2631" i="16"/>
  <c r="T2631" i="16" s="1"/>
  <c r="U2307" i="16"/>
  <c r="S2307" i="16"/>
  <c r="T2307" i="16" s="1"/>
  <c r="U2091" i="16"/>
  <c r="S2091" i="16"/>
  <c r="T2091" i="16" s="1"/>
  <c r="U1875" i="16"/>
  <c r="S1875" i="16"/>
  <c r="T1875" i="16" s="1"/>
  <c r="U1281" i="16"/>
  <c r="S1281" i="16"/>
  <c r="T1281" i="16" s="1"/>
  <c r="S1228" i="16"/>
  <c r="T1228" i="16" s="1"/>
  <c r="U1228" i="16"/>
  <c r="U1065" i="16"/>
  <c r="S1065" i="16"/>
  <c r="T1065" i="16" s="1"/>
  <c r="U1011" i="16"/>
  <c r="S1011" i="16"/>
  <c r="T1011" i="16" s="1"/>
  <c r="U795" i="16"/>
  <c r="S795" i="16"/>
  <c r="T795" i="16" s="1"/>
  <c r="U579" i="16"/>
  <c r="S579" i="16"/>
  <c r="T579" i="16" s="1"/>
  <c r="U525" i="16"/>
  <c r="S525" i="16"/>
  <c r="T525" i="16" s="1"/>
  <c r="U201" i="16"/>
  <c r="S201" i="16"/>
  <c r="T201" i="16" s="1"/>
  <c r="M4582" i="16"/>
  <c r="N4582" i="16"/>
  <c r="M4528" i="16"/>
  <c r="N4528" i="16"/>
  <c r="N4228" i="16"/>
  <c r="M4228" i="16"/>
  <c r="N4120" i="16"/>
  <c r="M4120" i="16"/>
  <c r="M3766" i="16"/>
  <c r="N3766" i="16"/>
  <c r="M3712" i="16"/>
  <c r="N3712" i="16"/>
  <c r="N3658" i="16"/>
  <c r="M3658" i="16"/>
  <c r="M3496" i="16"/>
  <c r="N3496" i="16"/>
  <c r="M3226" i="16"/>
  <c r="N3226" i="16"/>
  <c r="M3172" i="16"/>
  <c r="N3172" i="16"/>
  <c r="N3118" i="16"/>
  <c r="M3118" i="16"/>
  <c r="M3010" i="16"/>
  <c r="N3010" i="16"/>
  <c r="M2902" i="16"/>
  <c r="N2902" i="16"/>
  <c r="M2578" i="16"/>
  <c r="N2578" i="16"/>
  <c r="M2416" i="16"/>
  <c r="N2416" i="16"/>
  <c r="M2362" i="16"/>
  <c r="N2362" i="16"/>
  <c r="M2092" i="16"/>
  <c r="N2092" i="16"/>
  <c r="M1876" i="16"/>
  <c r="N1876" i="16"/>
  <c r="M1822" i="16"/>
  <c r="N1822" i="16"/>
  <c r="M1606" i="16"/>
  <c r="N1606" i="16"/>
  <c r="M1012" i="16"/>
  <c r="N1012" i="16"/>
  <c r="M742" i="16"/>
  <c r="N742" i="16"/>
  <c r="M526" i="16"/>
  <c r="N526" i="16"/>
  <c r="K4529" i="16"/>
  <c r="F4529" i="16"/>
  <c r="F4229" i="16"/>
  <c r="O4229" i="16" s="1"/>
  <c r="K4229" i="16"/>
  <c r="K3659" i="16"/>
  <c r="F3659" i="16"/>
  <c r="O3659" i="16" s="1"/>
  <c r="F3497" i="16"/>
  <c r="O3497" i="16" s="1"/>
  <c r="K3497" i="16"/>
  <c r="F3389" i="16"/>
  <c r="O3389" i="16" s="1"/>
  <c r="K3389" i="16"/>
  <c r="K3281" i="16"/>
  <c r="F3281" i="16"/>
  <c r="O3281" i="16" s="1"/>
  <c r="K3227" i="16"/>
  <c r="F3227" i="16"/>
  <c r="O3227" i="16" s="1"/>
  <c r="F3173" i="16"/>
  <c r="O3173" i="16" s="1"/>
  <c r="K3173" i="16"/>
  <c r="K3119" i="16"/>
  <c r="F3119" i="16"/>
  <c r="O3119" i="16" s="1"/>
  <c r="K3065" i="16"/>
  <c r="F3065" i="16"/>
  <c r="O3065" i="16" s="1"/>
  <c r="F3011" i="16"/>
  <c r="O3011" i="16" s="1"/>
  <c r="K3011" i="16"/>
  <c r="F2687" i="16"/>
  <c r="O2687" i="16" s="1"/>
  <c r="K2687" i="16"/>
  <c r="K2471" i="16"/>
  <c r="F2471" i="16"/>
  <c r="O2471" i="16" s="1"/>
  <c r="F1823" i="16"/>
  <c r="O1823" i="16" s="1"/>
  <c r="K1823" i="16"/>
  <c r="F1391" i="16"/>
  <c r="O1391" i="16" s="1"/>
  <c r="K1391" i="16"/>
  <c r="F1283" i="16"/>
  <c r="O1283" i="16" s="1"/>
  <c r="K1283" i="16"/>
  <c r="K1121" i="16"/>
  <c r="F1121" i="16"/>
  <c r="O1121" i="16" s="1"/>
  <c r="K1067" i="16"/>
  <c r="F1067" i="16"/>
  <c r="O1067" i="16" s="1"/>
  <c r="F851" i="16"/>
  <c r="O851" i="16" s="1"/>
  <c r="K851" i="16"/>
  <c r="K797" i="16"/>
  <c r="F797" i="16"/>
  <c r="O797" i="16" s="1"/>
  <c r="K527" i="16"/>
  <c r="F527" i="16"/>
  <c r="O527" i="16" s="1"/>
  <c r="K95" i="16"/>
  <c r="F95" i="16"/>
  <c r="O95" i="16" s="1"/>
  <c r="F32" i="5"/>
  <c r="H32" i="5"/>
  <c r="N2903" i="16" l="1"/>
  <c r="N2255" i="16"/>
  <c r="N1607" i="16"/>
  <c r="N959" i="16"/>
  <c r="N311" i="16"/>
  <c r="K4692" i="16"/>
  <c r="F4692" i="16"/>
  <c r="F4122" i="16"/>
  <c r="O4122" i="16" s="1"/>
  <c r="K4122" i="16"/>
  <c r="K3444" i="16"/>
  <c r="F3444" i="16"/>
  <c r="O3444" i="16" s="1"/>
  <c r="K2256" i="16"/>
  <c r="F2256" i="16"/>
  <c r="O2256" i="16" s="1"/>
  <c r="K1770" i="16"/>
  <c r="F1770" i="16"/>
  <c r="O1770" i="16" s="1"/>
  <c r="K1176" i="16"/>
  <c r="F1176" i="16"/>
  <c r="O1176" i="16" s="1"/>
  <c r="K420" i="16"/>
  <c r="F420" i="16"/>
  <c r="O420" i="16" s="1"/>
  <c r="K204" i="16"/>
  <c r="F204" i="16"/>
  <c r="O204" i="16" s="1"/>
  <c r="K150" i="16"/>
  <c r="F150" i="16"/>
  <c r="O150" i="16" s="1"/>
  <c r="T4690" i="16"/>
  <c r="U4691" i="16"/>
  <c r="S4691" i="16"/>
  <c r="T4691" i="16" s="1"/>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D4584" i="16"/>
  <c r="J4584" i="16"/>
  <c r="P4584" i="16"/>
  <c r="Q4584" i="16"/>
  <c r="R4584" i="16"/>
  <c r="L4585" i="16"/>
  <c r="C4585" i="16"/>
  <c r="E4585" i="16"/>
  <c r="G4585" i="16"/>
  <c r="I4585" i="16"/>
  <c r="B4586" i="16"/>
  <c r="D4530" i="16"/>
  <c r="J4530" i="16"/>
  <c r="P4530" i="16"/>
  <c r="Q4530" i="16"/>
  <c r="R4530" i="16"/>
  <c r="L4531" i="16"/>
  <c r="C4531" i="16"/>
  <c r="E4531" i="16"/>
  <c r="G4531" i="16"/>
  <c r="I4531" i="16"/>
  <c r="B4532" i="16"/>
  <c r="P4230" i="16"/>
  <c r="Q4230" i="16"/>
  <c r="R4230" i="16"/>
  <c r="E4231" i="16"/>
  <c r="I4231" i="16"/>
  <c r="C4231" i="16"/>
  <c r="K4231" i="16" s="1"/>
  <c r="F4231" i="16"/>
  <c r="O4231" i="16" s="1"/>
  <c r="G4231" i="16"/>
  <c r="L4231" i="16"/>
  <c r="B4232" i="16"/>
  <c r="D4230" i="16"/>
  <c r="J4230" i="16"/>
  <c r="P4176" i="16"/>
  <c r="Q4176" i="16"/>
  <c r="R4176" i="16"/>
  <c r="L4177" i="16"/>
  <c r="B4178" i="16"/>
  <c r="C4177" i="16"/>
  <c r="F4177" i="16" s="1"/>
  <c r="O4177" i="16" s="1"/>
  <c r="E4177" i="16"/>
  <c r="G4177" i="16"/>
  <c r="I4177" i="16"/>
  <c r="K4177" i="16"/>
  <c r="J4176" i="16"/>
  <c r="N4176" i="16" s="1"/>
  <c r="D4176" i="16"/>
  <c r="M4176" i="16"/>
  <c r="U4175" i="16"/>
  <c r="S4175" i="16"/>
  <c r="T4175" i="16" s="1"/>
  <c r="U4121" i="16"/>
  <c r="S4121" i="16"/>
  <c r="T4121" i="16" s="1"/>
  <c r="C4123" i="16"/>
  <c r="E4123" i="16"/>
  <c r="G4123" i="16"/>
  <c r="I4123" i="16"/>
  <c r="L4123" i="16"/>
  <c r="B4124" i="16"/>
  <c r="D4122" i="16"/>
  <c r="J4122" i="16"/>
  <c r="N4122" i="16" s="1"/>
  <c r="P4122" i="16"/>
  <c r="Q4122" i="16"/>
  <c r="R4122" i="16"/>
  <c r="M4122" i="16"/>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M3768" i="16"/>
  <c r="D3768" i="16"/>
  <c r="J3768" i="16"/>
  <c r="N3768" i="16" s="1"/>
  <c r="P3768" i="16"/>
  <c r="Q3768" i="16"/>
  <c r="R3768" i="16"/>
  <c r="L3769" i="16"/>
  <c r="C3769" i="16"/>
  <c r="E3769" i="16"/>
  <c r="G3769" i="16"/>
  <c r="I3769" i="16"/>
  <c r="B3770" i="16"/>
  <c r="U3713" i="16"/>
  <c r="S3713" i="16"/>
  <c r="T3713" i="16" s="1"/>
  <c r="M3714" i="16"/>
  <c r="L3715" i="16"/>
  <c r="C3715" i="16"/>
  <c r="E3715" i="16"/>
  <c r="G3715" i="16"/>
  <c r="B3716" i="16"/>
  <c r="I3715" i="16"/>
  <c r="D3714" i="16"/>
  <c r="J3714" i="16"/>
  <c r="N3714" i="16" s="1"/>
  <c r="P3714" i="16"/>
  <c r="Q3714" i="16"/>
  <c r="R3714" i="16"/>
  <c r="M3660" i="16"/>
  <c r="D3660" i="16"/>
  <c r="J3660" i="16"/>
  <c r="N3660" i="16" s="1"/>
  <c r="P3660" i="16"/>
  <c r="Q3660" i="16"/>
  <c r="R3660" i="16"/>
  <c r="L3661" i="16"/>
  <c r="C3661" i="16"/>
  <c r="K3661" i="16" s="1"/>
  <c r="E3661" i="16"/>
  <c r="F3661" i="16"/>
  <c r="O3661" i="16" s="1"/>
  <c r="G3661" i="16"/>
  <c r="B3662" i="16"/>
  <c r="I3661" i="16"/>
  <c r="U3605" i="16"/>
  <c r="S3605" i="16"/>
  <c r="T3605" i="16" s="1"/>
  <c r="D3606" i="16"/>
  <c r="J3606" i="16"/>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P3498" i="16"/>
  <c r="Q3498" i="16"/>
  <c r="R3498" i="16"/>
  <c r="J3498" i="16"/>
  <c r="D3498" i="16"/>
  <c r="L3499" i="16"/>
  <c r="G3499" i="16"/>
  <c r="I3499" i="16"/>
  <c r="C3499" i="16"/>
  <c r="E3499" i="16"/>
  <c r="B3500" i="16"/>
  <c r="S3443" i="16"/>
  <c r="T3443" i="16" s="1"/>
  <c r="U3443" i="16"/>
  <c r="M3444" i="16"/>
  <c r="D3444" i="16"/>
  <c r="J3444" i="16"/>
  <c r="N3444" i="16" s="1"/>
  <c r="P3444" i="16"/>
  <c r="Q3444" i="16"/>
  <c r="R3444" i="16"/>
  <c r="L3445" i="16"/>
  <c r="B3446" i="16"/>
  <c r="C3445" i="16"/>
  <c r="E3445" i="16"/>
  <c r="G3445" i="16"/>
  <c r="I3445" i="16"/>
  <c r="M3390" i="16"/>
  <c r="D3390" i="16"/>
  <c r="J3390" i="16"/>
  <c r="N3390" i="16" s="1"/>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M3282" i="16"/>
  <c r="D3282" i="16"/>
  <c r="J3282" i="16"/>
  <c r="N3282" i="16" s="1"/>
  <c r="P3282" i="16"/>
  <c r="Q3282" i="16"/>
  <c r="R3282" i="16"/>
  <c r="L3283" i="16"/>
  <c r="C3283" i="16"/>
  <c r="E3283" i="16"/>
  <c r="G3283" i="16"/>
  <c r="I3283" i="16"/>
  <c r="B3284" i="16"/>
  <c r="M3228" i="16"/>
  <c r="P3228" i="16"/>
  <c r="R3228" i="16"/>
  <c r="Q3228" i="16"/>
  <c r="D3228" i="16"/>
  <c r="J3228" i="16"/>
  <c r="N3228" i="16" s="1"/>
  <c r="L3229" i="16"/>
  <c r="E3229" i="16"/>
  <c r="C3229" i="16"/>
  <c r="K3229" i="16" s="1"/>
  <c r="I3229" i="16"/>
  <c r="B3230" i="16"/>
  <c r="G3229" i="16"/>
  <c r="F3229" i="16"/>
  <c r="O3229" i="16" s="1"/>
  <c r="L3175" i="16"/>
  <c r="G3175" i="16"/>
  <c r="I3175" i="16"/>
  <c r="C3175" i="16"/>
  <c r="E3175" i="16"/>
  <c r="B3176" i="16"/>
  <c r="P3174" i="16"/>
  <c r="Q3174" i="16"/>
  <c r="R3174" i="16"/>
  <c r="D3174" i="16"/>
  <c r="J3174" i="16"/>
  <c r="P3120" i="16"/>
  <c r="Q3120" i="16"/>
  <c r="R3120" i="16"/>
  <c r="D3120" i="16"/>
  <c r="J3120" i="16"/>
  <c r="L3121" i="16"/>
  <c r="E3121" i="16"/>
  <c r="G3121" i="16"/>
  <c r="C3121" i="16"/>
  <c r="K3121" i="16" s="1"/>
  <c r="I3121" i="16"/>
  <c r="B3122" i="16"/>
  <c r="F3121" i="16"/>
  <c r="O3121" i="16" s="1"/>
  <c r="M3066" i="16"/>
  <c r="J3066" i="16"/>
  <c r="N3066" i="16" s="1"/>
  <c r="D3066" i="16"/>
  <c r="L3067" i="16"/>
  <c r="E3067" i="16"/>
  <c r="G3067" i="16"/>
  <c r="C3067" i="16"/>
  <c r="B3068" i="16"/>
  <c r="I3067" i="16"/>
  <c r="P3066" i="16"/>
  <c r="Q3066" i="16"/>
  <c r="R3066" i="16"/>
  <c r="P3012" i="16"/>
  <c r="R3012" i="16"/>
  <c r="Q3012" i="16"/>
  <c r="L3013" i="16"/>
  <c r="C3013" i="16"/>
  <c r="K3013" i="16" s="1"/>
  <c r="F3013" i="16"/>
  <c r="O3013" i="16" s="1"/>
  <c r="I3013" i="16"/>
  <c r="B3014" i="16"/>
  <c r="E3013" i="16"/>
  <c r="G3013" i="16"/>
  <c r="D3012" i="16"/>
  <c r="J3012" i="16"/>
  <c r="U2957" i="16"/>
  <c r="S2957" i="16"/>
  <c r="T2957" i="16" s="1"/>
  <c r="M2958" i="16"/>
  <c r="D2958" i="16"/>
  <c r="J2958" i="16"/>
  <c r="N2958" i="16" s="1"/>
  <c r="P2958" i="16"/>
  <c r="Q2958" i="16"/>
  <c r="R2958" i="16"/>
  <c r="L2959" i="16"/>
  <c r="C2959" i="16"/>
  <c r="K2959" i="16" s="1"/>
  <c r="E2959" i="16"/>
  <c r="F2959" i="16"/>
  <c r="O2959" i="16" s="1"/>
  <c r="G2959" i="16"/>
  <c r="I2959" i="16"/>
  <c r="B2960" i="16"/>
  <c r="U2903" i="16"/>
  <c r="S2903" i="16"/>
  <c r="T2903" i="16" s="1"/>
  <c r="M2904" i="16"/>
  <c r="D2904" i="16"/>
  <c r="J2904" i="16"/>
  <c r="N2904" i="16" s="1"/>
  <c r="P2904" i="16"/>
  <c r="Q2904" i="16"/>
  <c r="R2904" i="16"/>
  <c r="L2905" i="16"/>
  <c r="C2905" i="16"/>
  <c r="K2905" i="16" s="1"/>
  <c r="E2905" i="16"/>
  <c r="F2905" i="16"/>
  <c r="O2905" i="16" s="1"/>
  <c r="G2905" i="16"/>
  <c r="I2905" i="16"/>
  <c r="B2906" i="16"/>
  <c r="U2849" i="16"/>
  <c r="S2849" i="16"/>
  <c r="T2849" i="16" s="1"/>
  <c r="D2850" i="16"/>
  <c r="J2850" i="16"/>
  <c r="P2850" i="16"/>
  <c r="Q2850" i="16"/>
  <c r="R2850" i="16"/>
  <c r="L2851" i="16"/>
  <c r="C2851" i="16"/>
  <c r="K2851" i="16" s="1"/>
  <c r="E2851" i="16"/>
  <c r="F2851" i="16"/>
  <c r="O2851" i="16" s="1"/>
  <c r="G2851" i="16"/>
  <c r="I2851" i="16"/>
  <c r="B2852" i="16"/>
  <c r="D2796" i="16"/>
  <c r="J2796" i="16"/>
  <c r="P2796" i="16"/>
  <c r="Q2796" i="16"/>
  <c r="R2796" i="16"/>
  <c r="L2797" i="16"/>
  <c r="C2797" i="16"/>
  <c r="K2797" i="16" s="1"/>
  <c r="E2797" i="16"/>
  <c r="F2797" i="16"/>
  <c r="O2797" i="16" s="1"/>
  <c r="G2797" i="16"/>
  <c r="I2797" i="16"/>
  <c r="B2798" i="16"/>
  <c r="U2741" i="16"/>
  <c r="S2741" i="16"/>
  <c r="T2741" i="16" s="1"/>
  <c r="M2742" i="16"/>
  <c r="D2742" i="16"/>
  <c r="J2742" i="16"/>
  <c r="N2742" i="16" s="1"/>
  <c r="P2742" i="16"/>
  <c r="Q2742" i="16"/>
  <c r="R2742" i="16"/>
  <c r="L2743" i="16"/>
  <c r="C2743" i="16"/>
  <c r="K2743" i="16" s="1"/>
  <c r="E2743" i="16"/>
  <c r="F2743" i="16"/>
  <c r="O2743" i="16" s="1"/>
  <c r="G2743" i="16"/>
  <c r="I2743" i="16"/>
  <c r="B2744" i="16"/>
  <c r="M2688" i="16"/>
  <c r="D2688" i="16"/>
  <c r="J2688" i="16"/>
  <c r="N2688" i="16" s="1"/>
  <c r="P2688" i="16"/>
  <c r="Q2688" i="16"/>
  <c r="R2688" i="16"/>
  <c r="L2689" i="16"/>
  <c r="C2689" i="16"/>
  <c r="K2689" i="16" s="1"/>
  <c r="E2689" i="16"/>
  <c r="F2689" i="16"/>
  <c r="O2689" i="16" s="1"/>
  <c r="G2689" i="16"/>
  <c r="I2689" i="16"/>
  <c r="B2690" i="16"/>
  <c r="U2633" i="16"/>
  <c r="S2633" i="16"/>
  <c r="T2633" i="16" s="1"/>
  <c r="M2634" i="16"/>
  <c r="D2634" i="16"/>
  <c r="J2634" i="16"/>
  <c r="N2634" i="16" s="1"/>
  <c r="P2634" i="16"/>
  <c r="Q2634" i="16"/>
  <c r="R2634" i="16"/>
  <c r="L2635" i="16"/>
  <c r="C2635" i="16"/>
  <c r="K2635" i="16" s="1"/>
  <c r="E2635" i="16"/>
  <c r="F2635" i="16"/>
  <c r="O2635" i="16" s="1"/>
  <c r="G2635" i="16"/>
  <c r="I2635" i="16"/>
  <c r="B2636" i="16"/>
  <c r="U2579" i="16"/>
  <c r="S2579" i="16"/>
  <c r="T2579" i="16" s="1"/>
  <c r="M2580" i="16"/>
  <c r="D2580" i="16"/>
  <c r="J2580" i="16"/>
  <c r="N2580" i="16" s="1"/>
  <c r="P2580" i="16"/>
  <c r="Q2580" i="16"/>
  <c r="R2580" i="16"/>
  <c r="L2581" i="16"/>
  <c r="C2581" i="16"/>
  <c r="E2581" i="16"/>
  <c r="G2581" i="16"/>
  <c r="I2581" i="16"/>
  <c r="B2582" i="16"/>
  <c r="U2525" i="16"/>
  <c r="S2525" i="16"/>
  <c r="T2525" i="16" s="1"/>
  <c r="M2526" i="16"/>
  <c r="D2526" i="16"/>
  <c r="J2526" i="16"/>
  <c r="N2526" i="16" s="1"/>
  <c r="Q2526" i="16"/>
  <c r="R2526" i="16"/>
  <c r="P2526" i="16"/>
  <c r="L2527" i="16"/>
  <c r="C2527" i="16"/>
  <c r="K2527" i="16" s="1"/>
  <c r="E2527" i="16"/>
  <c r="F2527" i="16"/>
  <c r="O2527" i="16" s="1"/>
  <c r="G2527" i="16"/>
  <c r="I2527" i="16"/>
  <c r="B2528" i="16"/>
  <c r="M2472" i="16"/>
  <c r="D2472" i="16"/>
  <c r="J2472" i="16"/>
  <c r="N2472" i="16" s="1"/>
  <c r="Q2472" i="16"/>
  <c r="P2472" i="16"/>
  <c r="R2472" i="16"/>
  <c r="L2473" i="16"/>
  <c r="C2473" i="16"/>
  <c r="K2473" i="16" s="1"/>
  <c r="E2473" i="16"/>
  <c r="F2473" i="16"/>
  <c r="O2473" i="16" s="1"/>
  <c r="G2473" i="16"/>
  <c r="I2473" i="16"/>
  <c r="B2474" i="16"/>
  <c r="U2417" i="16"/>
  <c r="S2417" i="16"/>
  <c r="T2417" i="16" s="1"/>
  <c r="M2418" i="16"/>
  <c r="D2418" i="16"/>
  <c r="J2418" i="16"/>
  <c r="N2418" i="16" s="1"/>
  <c r="P2418" i="16"/>
  <c r="Q2418" i="16"/>
  <c r="R2418" i="16"/>
  <c r="L2419" i="16"/>
  <c r="C2419" i="16"/>
  <c r="K2419" i="16" s="1"/>
  <c r="E2419" i="16"/>
  <c r="F2419" i="16"/>
  <c r="O2419" i="16" s="1"/>
  <c r="G2419" i="16"/>
  <c r="I2419" i="16"/>
  <c r="B2420" i="16"/>
  <c r="U2363" i="16"/>
  <c r="S2363" i="16"/>
  <c r="T2363" i="16" s="1"/>
  <c r="D2364" i="16"/>
  <c r="J2364" i="16"/>
  <c r="Q2364" i="16"/>
  <c r="P2364" i="16"/>
  <c r="R2364" i="16"/>
  <c r="L2365" i="16"/>
  <c r="C2365" i="16"/>
  <c r="E2365" i="16"/>
  <c r="G2365" i="16"/>
  <c r="I2365" i="16"/>
  <c r="B2366" i="16"/>
  <c r="U2309" i="16"/>
  <c r="S2309" i="16"/>
  <c r="T2309" i="16" s="1"/>
  <c r="M2310" i="16"/>
  <c r="D2310" i="16"/>
  <c r="J2310" i="16"/>
  <c r="N2310" i="16" s="1"/>
  <c r="P2310" i="16"/>
  <c r="Q2310" i="16"/>
  <c r="R2310" i="16"/>
  <c r="L2311" i="16"/>
  <c r="C2311" i="16"/>
  <c r="E2311" i="16"/>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Q2202" i="16"/>
  <c r="P2202" i="16"/>
  <c r="R2202" i="16"/>
  <c r="L2203" i="16"/>
  <c r="C2203" i="16"/>
  <c r="E2203" i="16"/>
  <c r="G2203" i="16"/>
  <c r="I2203" i="16"/>
  <c r="B2204" i="16"/>
  <c r="U2147" i="16"/>
  <c r="S2147" i="16"/>
  <c r="T2147" i="16" s="1"/>
  <c r="M2148" i="16"/>
  <c r="D2148" i="16"/>
  <c r="J2148" i="16"/>
  <c r="N2148" i="16" s="1"/>
  <c r="P2148" i="16"/>
  <c r="Q2148" i="16"/>
  <c r="R2148" i="16"/>
  <c r="L2149" i="16"/>
  <c r="C2149" i="16"/>
  <c r="K2149" i="16" s="1"/>
  <c r="E2149" i="16"/>
  <c r="F2149" i="16"/>
  <c r="O2149" i="16" s="1"/>
  <c r="G2149" i="16"/>
  <c r="I2149" i="16"/>
  <c r="B2150" i="16"/>
  <c r="U2093" i="16"/>
  <c r="S2093" i="16"/>
  <c r="T2093" i="16" s="1"/>
  <c r="D2094" i="16"/>
  <c r="J2094" i="16"/>
  <c r="P2094" i="16"/>
  <c r="Q2094" i="16"/>
  <c r="R2094" i="16"/>
  <c r="L2095" i="16"/>
  <c r="C2095" i="16"/>
  <c r="K2095" i="16" s="1"/>
  <c r="E2095" i="16"/>
  <c r="F2095" i="16"/>
  <c r="O2095" i="16" s="1"/>
  <c r="G2095" i="16"/>
  <c r="I2095" i="16"/>
  <c r="B2096" i="16"/>
  <c r="U2039" i="16"/>
  <c r="S2039" i="16"/>
  <c r="T2039" i="16" s="1"/>
  <c r="D2040" i="16"/>
  <c r="J2040" i="16"/>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E1987" i="16"/>
  <c r="G1987" i="16"/>
  <c r="I1987" i="16"/>
  <c r="B1988" i="16"/>
  <c r="U1931" i="16"/>
  <c r="S1931" i="16"/>
  <c r="T1931" i="16" s="1"/>
  <c r="M1932" i="16"/>
  <c r="D1932" i="16"/>
  <c r="J1932" i="16"/>
  <c r="N1932" i="16" s="1"/>
  <c r="P1932" i="16"/>
  <c r="Q1932" i="16"/>
  <c r="R1932" i="16"/>
  <c r="L1933" i="16"/>
  <c r="C1933" i="16"/>
  <c r="K1933" i="16" s="1"/>
  <c r="E1933" i="16"/>
  <c r="F1933" i="16"/>
  <c r="O1933" i="16" s="1"/>
  <c r="G1933" i="16"/>
  <c r="I1933" i="16"/>
  <c r="B1934" i="16"/>
  <c r="U1877" i="16"/>
  <c r="S1877" i="16"/>
  <c r="T1877" i="16" s="1"/>
  <c r="M1878" i="16"/>
  <c r="D1878" i="16"/>
  <c r="J1878" i="16"/>
  <c r="N1878" i="16" s="1"/>
  <c r="P1878" i="16"/>
  <c r="Q1878" i="16"/>
  <c r="R1878" i="16"/>
  <c r="L1879" i="16"/>
  <c r="C1879" i="16"/>
  <c r="K1879" i="16" s="1"/>
  <c r="E1879" i="16"/>
  <c r="F1879" i="16"/>
  <c r="O1879" i="16" s="1"/>
  <c r="G1879" i="16"/>
  <c r="I1879" i="16"/>
  <c r="B1880" i="16"/>
  <c r="D1824" i="16"/>
  <c r="J1824" i="16"/>
  <c r="P1824" i="16"/>
  <c r="Q1824" i="16"/>
  <c r="R1824" i="16"/>
  <c r="L1825" i="16"/>
  <c r="C1825" i="16"/>
  <c r="E1825" i="16"/>
  <c r="G1825" i="16"/>
  <c r="I1825" i="16"/>
  <c r="B1826" i="16"/>
  <c r="U1769" i="16"/>
  <c r="S1769" i="16"/>
  <c r="T1769" i="16" s="1"/>
  <c r="M1770" i="16"/>
  <c r="D1770" i="16"/>
  <c r="J1770" i="16"/>
  <c r="N1770" i="16" s="1"/>
  <c r="P1770" i="16"/>
  <c r="Q1770" i="16"/>
  <c r="R1770" i="16"/>
  <c r="L1771" i="16"/>
  <c r="C1771" i="16"/>
  <c r="E1771" i="16"/>
  <c r="G1771" i="16"/>
  <c r="I1771" i="16"/>
  <c r="B1772" i="16"/>
  <c r="U1715" i="16"/>
  <c r="S1715" i="16"/>
  <c r="T1715" i="16" s="1"/>
  <c r="M1716" i="16"/>
  <c r="D1716" i="16"/>
  <c r="J1716" i="16"/>
  <c r="N1716" i="16" s="1"/>
  <c r="P1716" i="16"/>
  <c r="Q1716" i="16"/>
  <c r="R1716" i="16"/>
  <c r="L1717" i="16"/>
  <c r="C1717" i="16"/>
  <c r="K1717" i="16" s="1"/>
  <c r="E1717" i="16"/>
  <c r="F1717" i="16"/>
  <c r="O1717" i="16" s="1"/>
  <c r="G1717" i="16"/>
  <c r="I1717" i="16"/>
  <c r="B1718" i="16"/>
  <c r="S1661" i="16"/>
  <c r="T1661" i="16" s="1"/>
  <c r="U1661" i="16"/>
  <c r="M1662" i="16"/>
  <c r="D1662" i="16"/>
  <c r="J1662" i="16"/>
  <c r="N1662" i="16" s="1"/>
  <c r="P1662" i="16"/>
  <c r="Q1662" i="16"/>
  <c r="R1662" i="16"/>
  <c r="L1663" i="16"/>
  <c r="C1663" i="16"/>
  <c r="E1663" i="16"/>
  <c r="G1663" i="16"/>
  <c r="I1663" i="16"/>
  <c r="B1664" i="16"/>
  <c r="U1607" i="16"/>
  <c r="S1607" i="16"/>
  <c r="T1607" i="16" s="1"/>
  <c r="M1608" i="16"/>
  <c r="D1608" i="16"/>
  <c r="J1608" i="16"/>
  <c r="N1608" i="16" s="1"/>
  <c r="P1608" i="16"/>
  <c r="Q1608" i="16"/>
  <c r="R1608" i="16"/>
  <c r="L1609" i="16"/>
  <c r="C1609" i="16"/>
  <c r="E1609" i="16"/>
  <c r="G1609" i="16"/>
  <c r="I1609" i="16"/>
  <c r="B1610" i="16"/>
  <c r="U1553" i="16"/>
  <c r="S1553" i="16"/>
  <c r="T1553" i="16" s="1"/>
  <c r="D1554" i="16"/>
  <c r="J1554" i="16"/>
  <c r="P1554" i="16"/>
  <c r="Q1554" i="16"/>
  <c r="R1554" i="16"/>
  <c r="L1555" i="16"/>
  <c r="C1555" i="16"/>
  <c r="K1555" i="16" s="1"/>
  <c r="E1555" i="16"/>
  <c r="F1555" i="16"/>
  <c r="O1555" i="16" s="1"/>
  <c r="G1555" i="16"/>
  <c r="I1555" i="16"/>
  <c r="B1556" i="16"/>
  <c r="U1499" i="16"/>
  <c r="S1499" i="16"/>
  <c r="T1499" i="16" s="1"/>
  <c r="D1500" i="16"/>
  <c r="J1500" i="16"/>
  <c r="P1500" i="16"/>
  <c r="Q1500" i="16"/>
  <c r="R1500" i="16"/>
  <c r="L1501" i="16"/>
  <c r="C1501" i="16"/>
  <c r="K1501" i="16" s="1"/>
  <c r="E1501" i="16"/>
  <c r="F1501" i="16"/>
  <c r="O1501" i="16" s="1"/>
  <c r="G1501" i="16"/>
  <c r="I1501" i="16"/>
  <c r="B1502" i="16"/>
  <c r="U1445" i="16"/>
  <c r="S1445" i="16"/>
  <c r="T1445" i="16" s="1"/>
  <c r="P1446" i="16"/>
  <c r="Q1446" i="16"/>
  <c r="R1446" i="16"/>
  <c r="L1447" i="16"/>
  <c r="C1447" i="16"/>
  <c r="K1447" i="16" s="1"/>
  <c r="G1447" i="16"/>
  <c r="B1448" i="16"/>
  <c r="F1447" i="16"/>
  <c r="O1447" i="16" s="1"/>
  <c r="E1447" i="16"/>
  <c r="I1447" i="16"/>
  <c r="D1446" i="16"/>
  <c r="J1446" i="16"/>
  <c r="M1392" i="16"/>
  <c r="P1392" i="16"/>
  <c r="Q1392" i="16"/>
  <c r="R1392" i="16"/>
  <c r="L1393" i="16"/>
  <c r="G1393" i="16"/>
  <c r="E1393" i="16"/>
  <c r="C1393" i="16"/>
  <c r="K1393" i="16" s="1"/>
  <c r="F1393" i="16"/>
  <c r="O1393" i="16" s="1"/>
  <c r="I1393" i="16"/>
  <c r="B1394" i="16"/>
  <c r="J1392" i="16"/>
  <c r="N1392" i="16" s="1"/>
  <c r="D1392" i="16"/>
  <c r="U1337" i="16"/>
  <c r="S1337" i="16"/>
  <c r="T1337" i="16" s="1"/>
  <c r="L1339" i="16"/>
  <c r="G1339" i="16"/>
  <c r="I1339" i="16"/>
  <c r="B1340" i="16"/>
  <c r="C1339" i="16"/>
  <c r="K1339" i="16" s="1"/>
  <c r="E1339" i="16"/>
  <c r="F1339" i="16"/>
  <c r="O1339" i="16" s="1"/>
  <c r="D1338" i="16"/>
  <c r="J1338" i="16"/>
  <c r="P1338" i="16"/>
  <c r="Q1338" i="16"/>
  <c r="R1338" i="16"/>
  <c r="P1284" i="16"/>
  <c r="Q1284" i="16"/>
  <c r="R1284" i="16"/>
  <c r="L1285" i="16"/>
  <c r="B1286" i="16"/>
  <c r="E1285" i="16"/>
  <c r="G1285" i="16"/>
  <c r="I1285" i="16"/>
  <c r="C1285" i="16"/>
  <c r="D1284" i="16"/>
  <c r="J1284" i="16"/>
  <c r="U1230" i="16"/>
  <c r="S1230" i="16"/>
  <c r="T1230" i="16" s="1"/>
  <c r="P1231" i="16"/>
  <c r="Q1231" i="16"/>
  <c r="R1231" i="16"/>
  <c r="L1232" i="16"/>
  <c r="C1232" i="16"/>
  <c r="K1232" i="16" s="1"/>
  <c r="E1232" i="16"/>
  <c r="G1232" i="16"/>
  <c r="F1232" i="16"/>
  <c r="O1232" i="16" s="1"/>
  <c r="I1232" i="16"/>
  <c r="B1233" i="16"/>
  <c r="J1231" i="16"/>
  <c r="D1231" i="16"/>
  <c r="U1175" i="16"/>
  <c r="S1175" i="16"/>
  <c r="T1175" i="16" s="1"/>
  <c r="M1176" i="16"/>
  <c r="D1176" i="16"/>
  <c r="J1176" i="16"/>
  <c r="N1176" i="16" s="1"/>
  <c r="P1176" i="16"/>
  <c r="Q1176" i="16"/>
  <c r="R1176" i="16"/>
  <c r="L1177" i="16"/>
  <c r="C1177" i="16"/>
  <c r="E1177" i="16"/>
  <c r="G1177" i="16"/>
  <c r="I1177" i="16"/>
  <c r="B1178" i="16"/>
  <c r="M1122" i="16"/>
  <c r="D1122" i="16"/>
  <c r="J1122" i="16"/>
  <c r="N1122" i="16" s="1"/>
  <c r="P1122" i="16"/>
  <c r="Q1122" i="16"/>
  <c r="R1122" i="16"/>
  <c r="L1123" i="16"/>
  <c r="C1123" i="16"/>
  <c r="K1123" i="16" s="1"/>
  <c r="E1123" i="16"/>
  <c r="F1123" i="16"/>
  <c r="O1123" i="16" s="1"/>
  <c r="G1123" i="16"/>
  <c r="I1123" i="16"/>
  <c r="B1124" i="16"/>
  <c r="M1068" i="16"/>
  <c r="D1068" i="16"/>
  <c r="J1068" i="16"/>
  <c r="N1068" i="16" s="1"/>
  <c r="P1068" i="16"/>
  <c r="Q1068" i="16"/>
  <c r="R1068" i="16"/>
  <c r="L1069" i="16"/>
  <c r="C1069" i="16"/>
  <c r="E1069" i="16"/>
  <c r="G1069" i="16"/>
  <c r="I1069" i="16"/>
  <c r="B1070" i="16"/>
  <c r="U1013" i="16"/>
  <c r="S1013" i="16"/>
  <c r="T1013" i="16" s="1"/>
  <c r="D1014" i="16"/>
  <c r="J1014" i="16"/>
  <c r="P1014" i="16"/>
  <c r="Q1014" i="16"/>
  <c r="R1014" i="16"/>
  <c r="L1015" i="16"/>
  <c r="C1015" i="16"/>
  <c r="K1015" i="16" s="1"/>
  <c r="E1015" i="16"/>
  <c r="F1015" i="16"/>
  <c r="O1015" i="16" s="1"/>
  <c r="G1015" i="16"/>
  <c r="I1015" i="16"/>
  <c r="B1016" i="16"/>
  <c r="U959" i="16"/>
  <c r="S959" i="16"/>
  <c r="T959" i="16" s="1"/>
  <c r="M960" i="16"/>
  <c r="D960" i="16"/>
  <c r="J960" i="16"/>
  <c r="N960" i="16" s="1"/>
  <c r="P960" i="16"/>
  <c r="Q960" i="16"/>
  <c r="R960" i="16"/>
  <c r="L961" i="16"/>
  <c r="C961" i="16"/>
  <c r="E961" i="16"/>
  <c r="G961" i="16"/>
  <c r="I961" i="16"/>
  <c r="B962" i="16"/>
  <c r="U905" i="16"/>
  <c r="S905" i="16"/>
  <c r="T905" i="16" s="1"/>
  <c r="M906" i="16"/>
  <c r="D906" i="16"/>
  <c r="J906" i="16"/>
  <c r="N906" i="16" s="1"/>
  <c r="Q906" i="16"/>
  <c r="P906" i="16"/>
  <c r="R906" i="16"/>
  <c r="L907" i="16"/>
  <c r="C907" i="16"/>
  <c r="K907" i="16" s="1"/>
  <c r="E907" i="16"/>
  <c r="F907" i="16"/>
  <c r="O907" i="16" s="1"/>
  <c r="G907" i="16"/>
  <c r="I907" i="16"/>
  <c r="B908" i="16"/>
  <c r="M852" i="16"/>
  <c r="D852" i="16"/>
  <c r="J852" i="16"/>
  <c r="N852" i="16" s="1"/>
  <c r="P852" i="16"/>
  <c r="Q852" i="16"/>
  <c r="R852" i="16"/>
  <c r="L853" i="16"/>
  <c r="C853" i="16"/>
  <c r="E853" i="16"/>
  <c r="G853" i="16"/>
  <c r="I853" i="16"/>
  <c r="B854" i="16"/>
  <c r="M798" i="16"/>
  <c r="D798" i="16"/>
  <c r="J798" i="16"/>
  <c r="N798" i="16" s="1"/>
  <c r="P798" i="16"/>
  <c r="Q798" i="16"/>
  <c r="R798" i="16"/>
  <c r="L799" i="16"/>
  <c r="C799" i="16"/>
  <c r="E799" i="16"/>
  <c r="G799" i="16"/>
  <c r="I799" i="16"/>
  <c r="B800" i="16"/>
  <c r="U743" i="16"/>
  <c r="S743" i="16"/>
  <c r="T743" i="16" s="1"/>
  <c r="D744" i="16"/>
  <c r="J744" i="16"/>
  <c r="Q744" i="16"/>
  <c r="P744" i="16"/>
  <c r="R744" i="16"/>
  <c r="L745" i="16"/>
  <c r="C745" i="16"/>
  <c r="E745" i="16"/>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K637" i="16" s="1"/>
  <c r="E637" i="16"/>
  <c r="F637" i="16"/>
  <c r="O637" i="16" s="1"/>
  <c r="G637" i="16"/>
  <c r="I637" i="16"/>
  <c r="B638" i="16"/>
  <c r="U581" i="16"/>
  <c r="S581" i="16"/>
  <c r="T581" i="16" s="1"/>
  <c r="M582" i="16"/>
  <c r="D582" i="16"/>
  <c r="J582" i="16"/>
  <c r="N582" i="16" s="1"/>
  <c r="P582" i="16"/>
  <c r="Q582" i="16"/>
  <c r="R582" i="16"/>
  <c r="L583" i="16"/>
  <c r="C583" i="16"/>
  <c r="E583" i="16"/>
  <c r="G583" i="16"/>
  <c r="I583" i="16"/>
  <c r="B584" i="16"/>
  <c r="M528" i="16"/>
  <c r="D528" i="16"/>
  <c r="J528" i="16"/>
  <c r="N528" i="16" s="1"/>
  <c r="Q528" i="16"/>
  <c r="P528" i="16"/>
  <c r="R528" i="16"/>
  <c r="L529" i="16"/>
  <c r="C529" i="16"/>
  <c r="E529" i="16"/>
  <c r="G529" i="16"/>
  <c r="I529" i="16"/>
  <c r="B530" i="16"/>
  <c r="U473" i="16"/>
  <c r="S473" i="16"/>
  <c r="T473" i="16" s="1"/>
  <c r="D474" i="16"/>
  <c r="J474" i="16"/>
  <c r="Q474" i="16"/>
  <c r="P474" i="16"/>
  <c r="R474" i="16"/>
  <c r="L475" i="16"/>
  <c r="C475" i="16"/>
  <c r="K475" i="16" s="1"/>
  <c r="E475" i="16"/>
  <c r="F475" i="16"/>
  <c r="O475" i="16" s="1"/>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U365" i="16"/>
  <c r="S365" i="16"/>
  <c r="T365" i="16" s="1"/>
  <c r="D366" i="16"/>
  <c r="M366" i="16" s="1"/>
  <c r="J366" i="16"/>
  <c r="P366" i="16"/>
  <c r="Q366" i="16"/>
  <c r="R366" i="16"/>
  <c r="L367" i="16"/>
  <c r="C367" i="16"/>
  <c r="K367" i="16" s="1"/>
  <c r="E367" i="16"/>
  <c r="F367" i="16"/>
  <c r="O367" i="16" s="1"/>
  <c r="G367" i="16"/>
  <c r="I367" i="16"/>
  <c r="B368" i="16"/>
  <c r="U311" i="16"/>
  <c r="S311" i="16"/>
  <c r="T311" i="16" s="1"/>
  <c r="M312" i="16"/>
  <c r="D312" i="16"/>
  <c r="J312" i="16"/>
  <c r="N312" i="16" s="1"/>
  <c r="P312" i="16"/>
  <c r="Q312" i="16"/>
  <c r="R312" i="16"/>
  <c r="L313" i="16"/>
  <c r="C313" i="16"/>
  <c r="E313" i="16"/>
  <c r="G313" i="16"/>
  <c r="I313" i="16"/>
  <c r="B314" i="16"/>
  <c r="U257" i="16"/>
  <c r="S257" i="16"/>
  <c r="T257" i="16" s="1"/>
  <c r="D258" i="16"/>
  <c r="J258" i="16"/>
  <c r="P258" i="16"/>
  <c r="Q258" i="16"/>
  <c r="R258" i="16"/>
  <c r="L259" i="16"/>
  <c r="C259" i="16"/>
  <c r="K259" i="16" s="1"/>
  <c r="E259" i="16"/>
  <c r="F259" i="16"/>
  <c r="O259" i="16" s="1"/>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U149" i="16"/>
  <c r="S149" i="16"/>
  <c r="T149" i="16" s="1"/>
  <c r="M150" i="16"/>
  <c r="D150" i="16"/>
  <c r="J150" i="16"/>
  <c r="N150" i="16" s="1"/>
  <c r="P150" i="16"/>
  <c r="Q150" i="16"/>
  <c r="R150" i="16"/>
  <c r="L151" i="16"/>
  <c r="C151" i="16"/>
  <c r="E151" i="16"/>
  <c r="G151" i="16"/>
  <c r="I151" i="16"/>
  <c r="B152" i="16"/>
  <c r="M96" i="16"/>
  <c r="D96" i="16"/>
  <c r="J96" i="16"/>
  <c r="N96" i="16" s="1"/>
  <c r="P96" i="16"/>
  <c r="Q96" i="16"/>
  <c r="R96" i="16"/>
  <c r="L97" i="16"/>
  <c r="C97" i="16"/>
  <c r="K97" i="16" s="1"/>
  <c r="E97" i="16"/>
  <c r="F97" i="16"/>
  <c r="O97" i="16" s="1"/>
  <c r="G97" i="16"/>
  <c r="I97" i="16"/>
  <c r="B98" i="16"/>
  <c r="C67" i="7"/>
  <c r="G67" i="7" s="1"/>
  <c r="U33" i="4"/>
  <c r="S33" i="4"/>
  <c r="T33" i="4" s="1"/>
  <c r="G33" i="5"/>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U4228" i="16"/>
  <c r="S4228" i="16"/>
  <c r="T4228" i="16" s="1"/>
  <c r="U4120" i="16"/>
  <c r="S4120" i="16"/>
  <c r="T4120" i="16" s="1"/>
  <c r="U3766" i="16"/>
  <c r="S3766" i="16"/>
  <c r="T3766" i="16" s="1"/>
  <c r="U3712" i="16"/>
  <c r="S3712" i="16"/>
  <c r="T3712" i="16" s="1"/>
  <c r="S3658" i="16"/>
  <c r="T3658" i="16" s="1"/>
  <c r="U3658" i="16"/>
  <c r="U3496" i="16"/>
  <c r="S3496" i="16"/>
  <c r="T3496" i="16" s="1"/>
  <c r="U3226" i="16"/>
  <c r="S3226" i="16"/>
  <c r="T3226" i="16" s="1"/>
  <c r="U3172" i="16"/>
  <c r="S3172" i="16"/>
  <c r="T3172" i="16" s="1"/>
  <c r="U3118" i="16"/>
  <c r="S3118" i="16"/>
  <c r="T3118" i="16" s="1"/>
  <c r="U3010" i="16"/>
  <c r="S3010" i="16"/>
  <c r="T3010" i="16" s="1"/>
  <c r="U2902" i="16"/>
  <c r="S2902" i="16"/>
  <c r="T2902" i="16" s="1"/>
  <c r="U2578" i="16"/>
  <c r="S2578" i="16"/>
  <c r="T2578" i="16" s="1"/>
  <c r="U2416" i="16"/>
  <c r="S2416" i="16"/>
  <c r="T2416" i="16" s="1"/>
  <c r="U2362" i="16"/>
  <c r="S2362" i="16"/>
  <c r="T2362" i="16" s="1"/>
  <c r="U2092" i="16"/>
  <c r="S2092" i="16"/>
  <c r="T2092" i="16" s="1"/>
  <c r="U1876" i="16"/>
  <c r="S1876" i="16"/>
  <c r="T1876" i="16" s="1"/>
  <c r="U1822" i="16"/>
  <c r="S1822" i="16"/>
  <c r="T1822" i="16" s="1"/>
  <c r="U1606" i="16"/>
  <c r="S1606" i="16"/>
  <c r="T1606" i="16" s="1"/>
  <c r="U1012" i="16"/>
  <c r="S1012" i="16"/>
  <c r="T1012" i="16" s="1"/>
  <c r="U742" i="16"/>
  <c r="S742" i="16"/>
  <c r="T742" i="16" s="1"/>
  <c r="U526" i="16"/>
  <c r="S526" i="16"/>
  <c r="T526" i="16" s="1"/>
  <c r="M4529" i="16"/>
  <c r="N4529" i="16"/>
  <c r="N4229" i="16"/>
  <c r="M4229" i="16"/>
  <c r="N3659" i="16"/>
  <c r="M3659" i="16"/>
  <c r="M3497" i="16"/>
  <c r="N3497" i="16"/>
  <c r="M3389" i="16"/>
  <c r="N3389" i="16"/>
  <c r="M3281" i="16"/>
  <c r="N3281" i="16"/>
  <c r="N3227" i="16"/>
  <c r="M3227" i="16"/>
  <c r="M3173" i="16"/>
  <c r="N3173" i="16"/>
  <c r="M3119" i="16"/>
  <c r="N3119" i="16"/>
  <c r="N3065" i="16"/>
  <c r="M3065" i="16"/>
  <c r="M3011" i="16"/>
  <c r="N3011" i="16"/>
  <c r="M2687" i="16"/>
  <c r="N2687" i="16"/>
  <c r="M2471" i="16"/>
  <c r="N2471" i="16"/>
  <c r="M1823" i="16"/>
  <c r="N1823" i="16"/>
  <c r="N1391" i="16"/>
  <c r="M1391" i="16"/>
  <c r="M1283" i="16"/>
  <c r="N1283" i="16"/>
  <c r="M1121" i="16"/>
  <c r="N1121" i="16"/>
  <c r="M1067" i="16"/>
  <c r="N1067" i="16"/>
  <c r="M851" i="16"/>
  <c r="N851" i="16"/>
  <c r="M797" i="16"/>
  <c r="N797" i="16"/>
  <c r="M527" i="16"/>
  <c r="N527" i="16"/>
  <c r="M95" i="16"/>
  <c r="N95" i="16"/>
  <c r="K4584" i="16"/>
  <c r="F4584" i="16"/>
  <c r="F4530" i="16"/>
  <c r="K4530" i="16"/>
  <c r="K4230" i="16"/>
  <c r="F4230" i="16"/>
  <c r="O4230" i="16" s="1"/>
  <c r="F3606" i="16"/>
  <c r="O3606" i="16" s="1"/>
  <c r="K3606" i="16"/>
  <c r="K3498" i="16"/>
  <c r="F3498" i="16"/>
  <c r="O3498" i="16" s="1"/>
  <c r="F3174" i="16"/>
  <c r="O3174" i="16" s="1"/>
  <c r="K3174" i="16"/>
  <c r="F3120" i="16"/>
  <c r="O3120" i="16" s="1"/>
  <c r="K3120" i="16"/>
  <c r="F3012" i="16"/>
  <c r="O3012" i="16" s="1"/>
  <c r="K3012" i="16"/>
  <c r="F2850" i="16"/>
  <c r="O2850" i="16" s="1"/>
  <c r="K2850" i="16"/>
  <c r="F2796" i="16"/>
  <c r="O2796" i="16" s="1"/>
  <c r="K2796" i="16"/>
  <c r="F2364" i="16"/>
  <c r="O2364" i="16" s="1"/>
  <c r="K2364" i="16"/>
  <c r="F2094" i="16"/>
  <c r="O2094" i="16" s="1"/>
  <c r="K2094" i="16"/>
  <c r="K2040" i="16"/>
  <c r="F2040" i="16"/>
  <c r="O2040" i="16" s="1"/>
  <c r="F1824" i="16"/>
  <c r="O1824" i="16" s="1"/>
  <c r="K1824" i="16"/>
  <c r="F1554" i="16"/>
  <c r="O1554" i="16" s="1"/>
  <c r="K1554" i="16"/>
  <c r="F1500" i="16"/>
  <c r="O1500" i="16" s="1"/>
  <c r="K1500" i="16"/>
  <c r="K1446" i="16"/>
  <c r="F1446" i="16"/>
  <c r="O1446" i="16" s="1"/>
  <c r="F1338" i="16"/>
  <c r="O1338" i="16" s="1"/>
  <c r="K1338" i="16"/>
  <c r="F1284" i="16"/>
  <c r="O1284" i="16" s="1"/>
  <c r="K1284" i="16"/>
  <c r="F1231" i="16"/>
  <c r="O1231" i="16" s="1"/>
  <c r="K1231" i="16"/>
  <c r="K1014" i="16"/>
  <c r="F1014" i="16"/>
  <c r="O1014" i="16" s="1"/>
  <c r="K744" i="16"/>
  <c r="F744" i="16"/>
  <c r="O744" i="16" s="1"/>
  <c r="F474" i="16"/>
  <c r="O474" i="16" s="1"/>
  <c r="K474" i="16"/>
  <c r="F258" i="16"/>
  <c r="O258" i="16" s="1"/>
  <c r="K258" i="16"/>
  <c r="F33" i="5"/>
  <c r="H33" i="5"/>
  <c r="N366" i="16" l="1"/>
  <c r="K2365" i="16"/>
  <c r="F2365" i="16"/>
  <c r="O2365" i="16" s="1"/>
  <c r="K1987" i="16"/>
  <c r="F1987" i="16"/>
  <c r="O1987" i="16" s="1"/>
  <c r="K1771" i="16"/>
  <c r="F1771" i="16"/>
  <c r="O1771" i="16" s="1"/>
  <c r="K1177" i="16"/>
  <c r="F1177" i="16"/>
  <c r="O1177" i="16" s="1"/>
  <c r="K961" i="16"/>
  <c r="F961" i="16"/>
  <c r="O961" i="16" s="1"/>
  <c r="K745" i="16"/>
  <c r="F745" i="16"/>
  <c r="O745" i="16" s="1"/>
  <c r="K313" i="16"/>
  <c r="F313" i="16"/>
  <c r="O313" i="16" s="1"/>
  <c r="K151" i="16"/>
  <c r="F151" i="16"/>
  <c r="O151" i="16" s="1"/>
  <c r="U4692" i="16"/>
  <c r="S4692" i="16"/>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J4585" i="16"/>
  <c r="P4585" i="16"/>
  <c r="Q4585" i="16"/>
  <c r="R4585" i="16"/>
  <c r="L4586" i="16"/>
  <c r="C4586" i="16"/>
  <c r="E4586" i="16"/>
  <c r="G4586" i="16"/>
  <c r="I4586" i="16"/>
  <c r="B4587" i="16"/>
  <c r="D4531" i="16"/>
  <c r="J4531" i="16"/>
  <c r="P4531" i="16"/>
  <c r="Q4531" i="16"/>
  <c r="R4531" i="16"/>
  <c r="L4532" i="16"/>
  <c r="C4532" i="16"/>
  <c r="E4532" i="16"/>
  <c r="G4532" i="16"/>
  <c r="I4532" i="16"/>
  <c r="B4533" i="16"/>
  <c r="J4231" i="16"/>
  <c r="D4231" i="16"/>
  <c r="M4231" i="16" s="1"/>
  <c r="P4231" i="16"/>
  <c r="Q4231" i="16"/>
  <c r="R4231" i="16"/>
  <c r="G4232" i="16"/>
  <c r="I4232" i="16"/>
  <c r="C4232" i="16"/>
  <c r="E4232" i="16"/>
  <c r="L4232" i="16"/>
  <c r="B4233" i="16"/>
  <c r="G4178" i="16"/>
  <c r="I4178" i="16"/>
  <c r="C4178" i="16"/>
  <c r="E4178" i="16"/>
  <c r="L4178" i="16"/>
  <c r="B4179" i="16"/>
  <c r="D4177" i="16"/>
  <c r="J4177" i="16"/>
  <c r="N4177" i="16" s="1"/>
  <c r="P4177" i="16"/>
  <c r="Q4177" i="16"/>
  <c r="R4177" i="16"/>
  <c r="M4177" i="16"/>
  <c r="U4176" i="16"/>
  <c r="S4176" i="16"/>
  <c r="T4176" i="16" s="1"/>
  <c r="D4123" i="16"/>
  <c r="J4123" i="16"/>
  <c r="P4123" i="16"/>
  <c r="Q4123" i="16"/>
  <c r="R4123" i="16"/>
  <c r="C4124" i="16"/>
  <c r="E4124" i="16"/>
  <c r="F4124" i="16"/>
  <c r="O4124" i="16" s="1"/>
  <c r="G4124" i="16"/>
  <c r="L4124" i="16"/>
  <c r="B4125" i="16"/>
  <c r="I4124" i="16"/>
  <c r="K4124" i="16"/>
  <c r="U4122" i="16"/>
  <c r="S4122" i="16"/>
  <c r="T4122" i="16" s="1"/>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D3769" i="16"/>
  <c r="J3769" i="16"/>
  <c r="P3769" i="16"/>
  <c r="Q3769" i="16"/>
  <c r="R3769" i="16"/>
  <c r="L3770" i="16"/>
  <c r="C3770" i="16"/>
  <c r="K3770" i="16" s="1"/>
  <c r="E3770" i="16"/>
  <c r="F3770" i="16"/>
  <c r="O3770" i="16" s="1"/>
  <c r="G3770" i="16"/>
  <c r="I3770" i="16"/>
  <c r="B3771" i="16"/>
  <c r="U3714" i="16"/>
  <c r="S3714" i="16"/>
  <c r="T3714" i="16" s="1"/>
  <c r="D3715" i="16"/>
  <c r="J3715" i="16"/>
  <c r="P3715" i="16"/>
  <c r="Q3715" i="16"/>
  <c r="R3715" i="16"/>
  <c r="L3716" i="16"/>
  <c r="C3716" i="16"/>
  <c r="E3716" i="16"/>
  <c r="G3716" i="16"/>
  <c r="I3716" i="16"/>
  <c r="B3717" i="16"/>
  <c r="S3660" i="16"/>
  <c r="T3660" i="16" s="1"/>
  <c r="U3660" i="16"/>
  <c r="M3661" i="16"/>
  <c r="D3661" i="16"/>
  <c r="J3661" i="16"/>
  <c r="N3661" i="16" s="1"/>
  <c r="P3661" i="16"/>
  <c r="Q3661" i="16"/>
  <c r="R3661" i="16"/>
  <c r="L3662" i="16"/>
  <c r="C3662" i="16"/>
  <c r="K3662" i="16" s="1"/>
  <c r="E3662" i="16"/>
  <c r="F3662" i="16"/>
  <c r="O3662" i="16" s="1"/>
  <c r="G3662" i="16"/>
  <c r="I3662" i="16"/>
  <c r="B3663" i="16"/>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P3499" i="16"/>
  <c r="Q3499" i="16"/>
  <c r="R3499" i="16"/>
  <c r="J3499" i="16"/>
  <c r="D3499" i="16"/>
  <c r="L3500" i="16"/>
  <c r="C3500" i="16"/>
  <c r="K3500" i="16" s="1"/>
  <c r="E3500" i="16"/>
  <c r="F3500" i="16"/>
  <c r="O3500" i="16" s="1"/>
  <c r="G3500" i="16"/>
  <c r="I3500" i="16"/>
  <c r="B3501" i="16"/>
  <c r="S3444" i="16"/>
  <c r="T3444" i="16" s="1"/>
  <c r="U3444" i="16"/>
  <c r="L3446" i="16"/>
  <c r="C3446" i="16"/>
  <c r="E3446" i="16"/>
  <c r="G3446" i="16"/>
  <c r="I3446" i="16"/>
  <c r="B3447" i="16"/>
  <c r="D3445" i="16"/>
  <c r="J3445" i="16"/>
  <c r="P3445" i="16"/>
  <c r="Q3445" i="16"/>
  <c r="R3445" i="16"/>
  <c r="U3390" i="16"/>
  <c r="S3390" i="16"/>
  <c r="T3390" i="16" s="1"/>
  <c r="M3391" i="16"/>
  <c r="D3391" i="16"/>
  <c r="J3391" i="16"/>
  <c r="N3391" i="16" s="1"/>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D3283" i="16"/>
  <c r="J3283" i="16"/>
  <c r="P3283" i="16"/>
  <c r="Q3283" i="16"/>
  <c r="R3283" i="16"/>
  <c r="L3284" i="16"/>
  <c r="C3284" i="16"/>
  <c r="K3284" i="16" s="1"/>
  <c r="E3284" i="16"/>
  <c r="F3284" i="16"/>
  <c r="O3284" i="16" s="1"/>
  <c r="G3284" i="16"/>
  <c r="I3284" i="16"/>
  <c r="B3285" i="16"/>
  <c r="U3228" i="16"/>
  <c r="S3228" i="16"/>
  <c r="T3228" i="16" s="1"/>
  <c r="M3229" i="16"/>
  <c r="D3229" i="16"/>
  <c r="J3229" i="16"/>
  <c r="N3229" i="16" s="1"/>
  <c r="L3230" i="16"/>
  <c r="C3230" i="16"/>
  <c r="B3231" i="16"/>
  <c r="I3230" i="16"/>
  <c r="E3230" i="16"/>
  <c r="G3230" i="16"/>
  <c r="P3229" i="16"/>
  <c r="Q3229" i="16"/>
  <c r="R3229" i="16"/>
  <c r="P3175" i="16"/>
  <c r="Q3175" i="16"/>
  <c r="R3175" i="16"/>
  <c r="J3175" i="16"/>
  <c r="D3175" i="16"/>
  <c r="L3176" i="16"/>
  <c r="E3176" i="16"/>
  <c r="G3176" i="16"/>
  <c r="C3176" i="16"/>
  <c r="I3176" i="16"/>
  <c r="B3177" i="16"/>
  <c r="M3121" i="16"/>
  <c r="P3121" i="16"/>
  <c r="Q3121" i="16"/>
  <c r="R3121" i="16"/>
  <c r="D3121" i="16"/>
  <c r="J3121" i="16"/>
  <c r="N3121" i="16" s="1"/>
  <c r="L3122" i="16"/>
  <c r="E3122" i="16"/>
  <c r="G3122" i="16"/>
  <c r="I3122" i="16"/>
  <c r="C3122" i="16"/>
  <c r="B3123" i="16"/>
  <c r="U3066" i="16"/>
  <c r="S3066" i="16"/>
  <c r="T3066" i="16" s="1"/>
  <c r="P3067" i="16"/>
  <c r="Q3067" i="16"/>
  <c r="R3067" i="16"/>
  <c r="J3067" i="16"/>
  <c r="D3067" i="16"/>
  <c r="L3068" i="16"/>
  <c r="G3068" i="16"/>
  <c r="B3069" i="16"/>
  <c r="I3068" i="16"/>
  <c r="C3068" i="16"/>
  <c r="E3068" i="16"/>
  <c r="J3013" i="16"/>
  <c r="D3013" i="16"/>
  <c r="M3013" i="16" s="1"/>
  <c r="N3013" i="16" s="1"/>
  <c r="L3014" i="16"/>
  <c r="E3014" i="16"/>
  <c r="I3014" i="16"/>
  <c r="G3014" i="16"/>
  <c r="B3015" i="16"/>
  <c r="C3014" i="16"/>
  <c r="P3013" i="16"/>
  <c r="Q3013" i="16"/>
  <c r="R3013" i="16"/>
  <c r="U2958" i="16"/>
  <c r="S2958" i="16"/>
  <c r="T2958" i="16" s="1"/>
  <c r="M2959" i="16"/>
  <c r="D2959" i="16"/>
  <c r="J2959" i="16"/>
  <c r="N2959" i="16" s="1"/>
  <c r="P2959" i="16"/>
  <c r="Q2959" i="16"/>
  <c r="R2959" i="16"/>
  <c r="L2960" i="16"/>
  <c r="C2960" i="16"/>
  <c r="K2960" i="16" s="1"/>
  <c r="E2960" i="16"/>
  <c r="F2960" i="16"/>
  <c r="O2960" i="16" s="1"/>
  <c r="G2960" i="16"/>
  <c r="I2960" i="16"/>
  <c r="B2961" i="16"/>
  <c r="U2904" i="16"/>
  <c r="S2904" i="16"/>
  <c r="T2904" i="16" s="1"/>
  <c r="M2905" i="16"/>
  <c r="D2905" i="16"/>
  <c r="J2905" i="16"/>
  <c r="N2905" i="16" s="1"/>
  <c r="P2905" i="16"/>
  <c r="Q2905" i="16"/>
  <c r="R2905" i="16"/>
  <c r="L2906" i="16"/>
  <c r="C2906" i="16"/>
  <c r="E2906" i="16"/>
  <c r="G2906" i="16"/>
  <c r="I2906" i="16"/>
  <c r="B2907" i="16"/>
  <c r="M2851" i="16"/>
  <c r="D2851" i="16"/>
  <c r="J2851" i="16"/>
  <c r="N2851" i="16" s="1"/>
  <c r="P2851" i="16"/>
  <c r="Q2851" i="16"/>
  <c r="R2851" i="16"/>
  <c r="L2852" i="16"/>
  <c r="C2852" i="16"/>
  <c r="E2852" i="16"/>
  <c r="G2852" i="16"/>
  <c r="I2852" i="16"/>
  <c r="B2853" i="16"/>
  <c r="M2797" i="16"/>
  <c r="D2797" i="16"/>
  <c r="J2797" i="16"/>
  <c r="N2797" i="16" s="1"/>
  <c r="S2797" i="16" s="1"/>
  <c r="T2797" i="16" s="1"/>
  <c r="U2797" i="16" s="1"/>
  <c r="P2797" i="16"/>
  <c r="Q2797" i="16"/>
  <c r="R2797" i="16"/>
  <c r="L2798" i="16"/>
  <c r="C2798" i="16"/>
  <c r="K2798" i="16" s="1"/>
  <c r="E2798" i="16"/>
  <c r="F2798" i="16"/>
  <c r="O2798" i="16" s="1"/>
  <c r="G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M2689" i="16" s="1"/>
  <c r="J2689" i="16"/>
  <c r="P2689" i="16"/>
  <c r="Q2689" i="16"/>
  <c r="R2689" i="16"/>
  <c r="L2690" i="16"/>
  <c r="C2690" i="16"/>
  <c r="K2690" i="16" s="1"/>
  <c r="E2690" i="16"/>
  <c r="F2690" i="16"/>
  <c r="O2690" i="16" s="1"/>
  <c r="G2690" i="16"/>
  <c r="I2690" i="16"/>
  <c r="B2691" i="16"/>
  <c r="U2634" i="16"/>
  <c r="S2634" i="16"/>
  <c r="T2634" i="16" s="1"/>
  <c r="M2635" i="16"/>
  <c r="D2635" i="16"/>
  <c r="J2635" i="16"/>
  <c r="N2635" i="16" s="1"/>
  <c r="P2635" i="16"/>
  <c r="Q2635" i="16"/>
  <c r="R2635" i="16"/>
  <c r="L2636" i="16"/>
  <c r="C2636" i="16"/>
  <c r="K2636" i="16" s="1"/>
  <c r="E2636" i="16"/>
  <c r="F2636" i="16"/>
  <c r="O2636" i="16" s="1"/>
  <c r="G2636" i="16"/>
  <c r="I2636" i="16"/>
  <c r="B2637" i="16"/>
  <c r="U2580" i="16"/>
  <c r="S2580" i="16"/>
  <c r="T2580" i="16" s="1"/>
  <c r="D2581" i="16"/>
  <c r="J2581" i="16"/>
  <c r="P2581" i="16"/>
  <c r="Q2581" i="16"/>
  <c r="R2581" i="16"/>
  <c r="L2582" i="16"/>
  <c r="C2582" i="16"/>
  <c r="E2582" i="16"/>
  <c r="G2582" i="16"/>
  <c r="I2582" i="16"/>
  <c r="B2583" i="16"/>
  <c r="U2526" i="16"/>
  <c r="S2526" i="16"/>
  <c r="T2526" i="16" s="1"/>
  <c r="M2527" i="16"/>
  <c r="D2527" i="16"/>
  <c r="J2527" i="16"/>
  <c r="N2527" i="16" s="1"/>
  <c r="Q2527" i="16"/>
  <c r="P2527" i="16"/>
  <c r="R2527" i="16"/>
  <c r="L2528" i="16"/>
  <c r="C2528" i="16"/>
  <c r="K2528" i="16" s="1"/>
  <c r="E2528" i="16"/>
  <c r="F2528" i="16"/>
  <c r="O2528" i="16" s="1"/>
  <c r="G2528" i="16"/>
  <c r="I2528" i="16"/>
  <c r="B2529" i="16"/>
  <c r="U2472" i="16"/>
  <c r="S2472" i="16"/>
  <c r="T2472" i="16" s="1"/>
  <c r="M2473" i="16"/>
  <c r="D2473" i="16"/>
  <c r="J2473" i="16"/>
  <c r="N2473" i="16" s="1"/>
  <c r="Q2473" i="16"/>
  <c r="R2473" i="16"/>
  <c r="P2473" i="16"/>
  <c r="L2474" i="16"/>
  <c r="C2474" i="16"/>
  <c r="K2474" i="16" s="1"/>
  <c r="E2474" i="16"/>
  <c r="F2474" i="16"/>
  <c r="O2474" i="16" s="1"/>
  <c r="G2474" i="16"/>
  <c r="I2474" i="16"/>
  <c r="B2475" i="16"/>
  <c r="U2418" i="16"/>
  <c r="S2418" i="16"/>
  <c r="T2418" i="16" s="1"/>
  <c r="M2419" i="16"/>
  <c r="D2419" i="16"/>
  <c r="J2419" i="16"/>
  <c r="N2419" i="16" s="1"/>
  <c r="Q2419" i="16"/>
  <c r="P2419" i="16"/>
  <c r="R2419" i="16"/>
  <c r="L2420" i="16"/>
  <c r="C2420" i="16"/>
  <c r="K2420" i="16" s="1"/>
  <c r="E2420" i="16"/>
  <c r="F2420" i="16"/>
  <c r="O2420" i="16" s="1"/>
  <c r="G2420" i="16"/>
  <c r="I2420" i="16"/>
  <c r="B2421" i="16"/>
  <c r="D2365" i="16"/>
  <c r="M2365" i="16" s="1"/>
  <c r="J2365" i="16"/>
  <c r="P2365" i="16"/>
  <c r="Q2365" i="16"/>
  <c r="R2365" i="16"/>
  <c r="L2366" i="16"/>
  <c r="C2366" i="16"/>
  <c r="K2366" i="16" s="1"/>
  <c r="E2366" i="16"/>
  <c r="F2366" i="16"/>
  <c r="O2366" i="16" s="1"/>
  <c r="G2366" i="16"/>
  <c r="I2366" i="16"/>
  <c r="B2367" i="16"/>
  <c r="U2310" i="16"/>
  <c r="S2310" i="16"/>
  <c r="T2310" i="16" s="1"/>
  <c r="D2311" i="16"/>
  <c r="J2311" i="16"/>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D2203" i="16"/>
  <c r="J2203" i="16"/>
  <c r="P2203" i="16"/>
  <c r="Q2203" i="16"/>
  <c r="R2203" i="16"/>
  <c r="L2204" i="16"/>
  <c r="C2204" i="16"/>
  <c r="K2204" i="16" s="1"/>
  <c r="E2204" i="16"/>
  <c r="F2204" i="16"/>
  <c r="O2204" i="16" s="1"/>
  <c r="G2204" i="16"/>
  <c r="I2204" i="16"/>
  <c r="B2205" i="16"/>
  <c r="U2148" i="16"/>
  <c r="S2148" i="16"/>
  <c r="T2148" i="16" s="1"/>
  <c r="M2149" i="16"/>
  <c r="D2149" i="16"/>
  <c r="J2149" i="16"/>
  <c r="N2149" i="16" s="1"/>
  <c r="P2149" i="16"/>
  <c r="Q2149" i="16"/>
  <c r="R2149" i="16"/>
  <c r="L2150" i="16"/>
  <c r="C2150" i="16"/>
  <c r="K2150" i="16" s="1"/>
  <c r="E2150" i="16"/>
  <c r="F2150" i="16"/>
  <c r="O2150" i="16" s="1"/>
  <c r="G2150" i="16"/>
  <c r="I2150" i="16"/>
  <c r="B2151" i="16"/>
  <c r="M2095" i="16"/>
  <c r="D2095" i="16"/>
  <c r="J2095" i="16"/>
  <c r="N2095" i="16" s="1"/>
  <c r="P2095" i="16"/>
  <c r="Q2095" i="16"/>
  <c r="R2095" i="16"/>
  <c r="L2096" i="16"/>
  <c r="C2096" i="16"/>
  <c r="E2096" i="16"/>
  <c r="G2096" i="16"/>
  <c r="I2096" i="16"/>
  <c r="B2097" i="16"/>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U1932" i="16"/>
  <c r="S1932" i="16"/>
  <c r="T1932" i="16" s="1"/>
  <c r="M1933" i="16"/>
  <c r="D1933" i="16"/>
  <c r="J1933" i="16"/>
  <c r="N1933" i="16" s="1"/>
  <c r="P1933" i="16"/>
  <c r="Q1933" i="16"/>
  <c r="R1933" i="16"/>
  <c r="L1934" i="16"/>
  <c r="C1934" i="16"/>
  <c r="K1934" i="16" s="1"/>
  <c r="E1934" i="16"/>
  <c r="F1934" i="16"/>
  <c r="O1934" i="16" s="1"/>
  <c r="G1934" i="16"/>
  <c r="I1934" i="16"/>
  <c r="B1935" i="16"/>
  <c r="S1878" i="16"/>
  <c r="T1878" i="16" s="1"/>
  <c r="U1878" i="16"/>
  <c r="M1879" i="16"/>
  <c r="D1879" i="16"/>
  <c r="J1879" i="16"/>
  <c r="N1879" i="16" s="1"/>
  <c r="P1879" i="16"/>
  <c r="Q1879" i="16"/>
  <c r="R1879" i="16"/>
  <c r="L1880" i="16"/>
  <c r="C1880" i="16"/>
  <c r="K1880" i="16" s="1"/>
  <c r="E1880" i="16"/>
  <c r="F1880" i="16"/>
  <c r="O1880" i="16" s="1"/>
  <c r="G1880" i="16"/>
  <c r="I1880" i="16"/>
  <c r="B1881" i="16"/>
  <c r="D1825" i="16"/>
  <c r="J1825" i="16"/>
  <c r="P1825" i="16"/>
  <c r="Q1825" i="16"/>
  <c r="R1825" i="16"/>
  <c r="L1826" i="16"/>
  <c r="C1826" i="16"/>
  <c r="K1826" i="16" s="1"/>
  <c r="E1826" i="16"/>
  <c r="F1826" i="16"/>
  <c r="O1826" i="16" s="1"/>
  <c r="G1826" i="16"/>
  <c r="I1826" i="16"/>
  <c r="B1827" i="16"/>
  <c r="U1770" i="16"/>
  <c r="S1770" i="16"/>
  <c r="T1770" i="16" s="1"/>
  <c r="M1771" i="16"/>
  <c r="D1771" i="16"/>
  <c r="J1771" i="16"/>
  <c r="N1771" i="16" s="1"/>
  <c r="P1771" i="16"/>
  <c r="Q1771" i="16"/>
  <c r="R1771" i="16"/>
  <c r="L1772" i="16"/>
  <c r="C1772" i="16"/>
  <c r="E1772" i="16"/>
  <c r="G1772" i="16"/>
  <c r="I1772" i="16"/>
  <c r="B1773" i="16"/>
  <c r="U1716" i="16"/>
  <c r="S1716" i="16"/>
  <c r="T1716" i="16" s="1"/>
  <c r="D1717" i="16"/>
  <c r="M1717" i="16" s="1"/>
  <c r="J1717" i="16"/>
  <c r="P1717" i="16"/>
  <c r="Q1717" i="16"/>
  <c r="R1717" i="16"/>
  <c r="L1718" i="16"/>
  <c r="C1718" i="16"/>
  <c r="K1718" i="16" s="1"/>
  <c r="E1718" i="16"/>
  <c r="F1718" i="16"/>
  <c r="O1718" i="16" s="1"/>
  <c r="G1718" i="16"/>
  <c r="I1718" i="16"/>
  <c r="B1719" i="16"/>
  <c r="S1662" i="16"/>
  <c r="T1662" i="16" s="1"/>
  <c r="U1662" i="16"/>
  <c r="D1663" i="16"/>
  <c r="J1663" i="16"/>
  <c r="P1663" i="16"/>
  <c r="Q1663" i="16"/>
  <c r="R1663" i="16"/>
  <c r="L1664" i="16"/>
  <c r="C1664" i="16"/>
  <c r="K1664" i="16" s="1"/>
  <c r="E1664" i="16"/>
  <c r="F1664" i="16"/>
  <c r="O1664" i="16" s="1"/>
  <c r="G1664" i="16"/>
  <c r="I1664" i="16"/>
  <c r="B1665" i="16"/>
  <c r="U1608" i="16"/>
  <c r="S1608" i="16"/>
  <c r="T1608" i="16" s="1"/>
  <c r="D1609" i="16"/>
  <c r="J1609" i="16"/>
  <c r="P1609" i="16"/>
  <c r="Q1609" i="16"/>
  <c r="R1609" i="16"/>
  <c r="L1610" i="16"/>
  <c r="C1610" i="16"/>
  <c r="K1610" i="16" s="1"/>
  <c r="E1610" i="16"/>
  <c r="F1610" i="16"/>
  <c r="O1610" i="16" s="1"/>
  <c r="G1610" i="16"/>
  <c r="I1610" i="16"/>
  <c r="B1611" i="16"/>
  <c r="M1555" i="16"/>
  <c r="D1555" i="16"/>
  <c r="J1555" i="16"/>
  <c r="N1555" i="16" s="1"/>
  <c r="P1555" i="16"/>
  <c r="Q1555" i="16"/>
  <c r="R1555" i="16"/>
  <c r="L1556" i="16"/>
  <c r="C1556" i="16"/>
  <c r="E1556" i="16"/>
  <c r="G1556" i="16"/>
  <c r="I1556" i="16"/>
  <c r="B1557" i="16"/>
  <c r="M1501" i="16"/>
  <c r="D1501" i="16"/>
  <c r="J1501" i="16"/>
  <c r="N1501" i="16" s="1"/>
  <c r="P1501" i="16"/>
  <c r="Q1501" i="16"/>
  <c r="R1501" i="16"/>
  <c r="L1502" i="16"/>
  <c r="C1502" i="16"/>
  <c r="E1502" i="16"/>
  <c r="G1502" i="16"/>
  <c r="B1503" i="16"/>
  <c r="I1502" i="16"/>
  <c r="M1447" i="16"/>
  <c r="D1447" i="16"/>
  <c r="J1447" i="16"/>
  <c r="N1447" i="16" s="1"/>
  <c r="P1447" i="16"/>
  <c r="Q1447" i="16"/>
  <c r="R1447" i="16"/>
  <c r="L1448" i="16"/>
  <c r="E1448" i="16"/>
  <c r="G1448" i="16"/>
  <c r="I1448" i="16"/>
  <c r="B1449" i="16"/>
  <c r="C1448" i="16"/>
  <c r="U1392" i="16"/>
  <c r="S1392" i="16"/>
  <c r="T1392" i="16" s="1"/>
  <c r="M1393" i="16"/>
  <c r="P1393" i="16"/>
  <c r="Q1393" i="16"/>
  <c r="R1393" i="16"/>
  <c r="J1393" i="16"/>
  <c r="N1393" i="16" s="1"/>
  <c r="D1393" i="16"/>
  <c r="L1394" i="16"/>
  <c r="I1394" i="16"/>
  <c r="B1395" i="16"/>
  <c r="E1394" i="16"/>
  <c r="C1394" i="16"/>
  <c r="K1394" i="16" s="1"/>
  <c r="F1394" i="16"/>
  <c r="O1394" i="16" s="1"/>
  <c r="G1394" i="16"/>
  <c r="M1339" i="16"/>
  <c r="P1339" i="16"/>
  <c r="Q1339" i="16"/>
  <c r="R1339" i="16"/>
  <c r="L1340" i="16"/>
  <c r="B1341" i="16"/>
  <c r="I1340" i="16"/>
  <c r="C1340" i="16"/>
  <c r="K1340" i="16" s="1"/>
  <c r="E1340" i="16"/>
  <c r="G1340" i="16"/>
  <c r="F1340" i="16"/>
  <c r="O1340" i="16" s="1"/>
  <c r="J1339" i="16"/>
  <c r="N1339" i="16" s="1"/>
  <c r="D1339" i="16"/>
  <c r="L1286" i="16"/>
  <c r="E1286" i="16"/>
  <c r="B1287" i="16"/>
  <c r="I1286" i="16"/>
  <c r="C1286" i="16"/>
  <c r="G1286" i="16"/>
  <c r="P1285" i="16"/>
  <c r="Q1285" i="16"/>
  <c r="R1285" i="16"/>
  <c r="D1285" i="16"/>
  <c r="J1285" i="16"/>
  <c r="M1232" i="16"/>
  <c r="J1232" i="16"/>
  <c r="N1232" i="16" s="1"/>
  <c r="D1232" i="16"/>
  <c r="P1232" i="16"/>
  <c r="Q1232" i="16"/>
  <c r="R1232" i="16"/>
  <c r="L1233" i="16"/>
  <c r="E1233" i="16"/>
  <c r="I1233" i="16"/>
  <c r="B1234" i="16"/>
  <c r="C1233" i="16"/>
  <c r="G1233" i="16"/>
  <c r="U1176" i="16"/>
  <c r="S1176" i="16"/>
  <c r="T1176" i="16" s="1"/>
  <c r="M1177" i="16"/>
  <c r="D1177" i="16"/>
  <c r="J1177" i="16"/>
  <c r="N1177" i="16" s="1"/>
  <c r="P1177" i="16"/>
  <c r="Q1177" i="16"/>
  <c r="R1177" i="16"/>
  <c r="L1178" i="16"/>
  <c r="C1178" i="16"/>
  <c r="E1178" i="16"/>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U1068" i="16"/>
  <c r="S1068" i="16"/>
  <c r="T1068" i="16" s="1"/>
  <c r="D1069" i="16"/>
  <c r="J1069" i="16"/>
  <c r="P1069" i="16"/>
  <c r="Q1069" i="16"/>
  <c r="R1069" i="16"/>
  <c r="L1070" i="16"/>
  <c r="C1070" i="16"/>
  <c r="K1070" i="16" s="1"/>
  <c r="E1070" i="16"/>
  <c r="F1070" i="16"/>
  <c r="O1070" i="16" s="1"/>
  <c r="G1070" i="16"/>
  <c r="I1070" i="16"/>
  <c r="B1071" i="16"/>
  <c r="M1015" i="16"/>
  <c r="D1015" i="16"/>
  <c r="J1015" i="16"/>
  <c r="N1015" i="16" s="1"/>
  <c r="P1015" i="16"/>
  <c r="Q1015" i="16"/>
  <c r="R1015" i="16"/>
  <c r="L1016" i="16"/>
  <c r="C1016" i="16"/>
  <c r="K1016" i="16" s="1"/>
  <c r="E1016" i="16"/>
  <c r="F1016" i="16"/>
  <c r="O1016" i="16" s="1"/>
  <c r="G1016" i="16"/>
  <c r="I1016" i="16"/>
  <c r="B1017" i="16"/>
  <c r="U960" i="16"/>
  <c r="S960" i="16"/>
  <c r="T960" i="16" s="1"/>
  <c r="M961" i="16"/>
  <c r="D961" i="16"/>
  <c r="J961" i="16"/>
  <c r="N961" i="16" s="1"/>
  <c r="P961" i="16"/>
  <c r="Q961" i="16"/>
  <c r="R961" i="16"/>
  <c r="L962" i="16"/>
  <c r="C962" i="16"/>
  <c r="E962" i="16"/>
  <c r="G962" i="16"/>
  <c r="I962" i="16"/>
  <c r="B963" i="16"/>
  <c r="U906" i="16"/>
  <c r="S906" i="16"/>
  <c r="T906" i="16" s="1"/>
  <c r="M907" i="16"/>
  <c r="D907" i="16"/>
  <c r="J907" i="16"/>
  <c r="N907" i="16" s="1"/>
  <c r="Q907" i="16"/>
  <c r="P907" i="16"/>
  <c r="R907" i="16"/>
  <c r="L908" i="16"/>
  <c r="C908" i="16"/>
  <c r="E908" i="16"/>
  <c r="G908" i="16"/>
  <c r="I908" i="16"/>
  <c r="B909" i="16"/>
  <c r="U852" i="16"/>
  <c r="S852" i="16"/>
  <c r="T852" i="16" s="1"/>
  <c r="D853" i="16"/>
  <c r="J853" i="16"/>
  <c r="P853" i="16"/>
  <c r="Q853" i="16"/>
  <c r="R853" i="16"/>
  <c r="L854" i="16"/>
  <c r="C854" i="16"/>
  <c r="K854" i="16" s="1"/>
  <c r="E854" i="16"/>
  <c r="F854" i="16"/>
  <c r="O854" i="16" s="1"/>
  <c r="G854" i="16"/>
  <c r="I854" i="16"/>
  <c r="B855" i="16"/>
  <c r="U798" i="16"/>
  <c r="S798" i="16"/>
  <c r="T798" i="16" s="1"/>
  <c r="D799" i="16"/>
  <c r="J799" i="16"/>
  <c r="Q799" i="16"/>
  <c r="P799" i="16"/>
  <c r="R799" i="16"/>
  <c r="L800" i="16"/>
  <c r="C800" i="16"/>
  <c r="K800" i="16" s="1"/>
  <c r="E800" i="16"/>
  <c r="F800" i="16"/>
  <c r="O800" i="16" s="1"/>
  <c r="G800" i="16"/>
  <c r="I800" i="16"/>
  <c r="B801" i="16"/>
  <c r="M745" i="16"/>
  <c r="D745" i="16"/>
  <c r="J745" i="16"/>
  <c r="N745" i="16" s="1"/>
  <c r="Q745" i="16"/>
  <c r="P745" i="16"/>
  <c r="R745" i="16"/>
  <c r="L746" i="16"/>
  <c r="C746" i="16"/>
  <c r="E746" i="16"/>
  <c r="G746" i="16"/>
  <c r="I746" i="16"/>
  <c r="B747" i="16"/>
  <c r="U690" i="16"/>
  <c r="S690" i="16"/>
  <c r="T690" i="16" s="1"/>
  <c r="M691" i="16"/>
  <c r="D691" i="16"/>
  <c r="J691" i="16"/>
  <c r="N691" i="16" s="1"/>
  <c r="Q691" i="16"/>
  <c r="P691" i="16"/>
  <c r="R691" i="16"/>
  <c r="L692" i="16"/>
  <c r="C692" i="16"/>
  <c r="K692" i="16" s="1"/>
  <c r="E692" i="16"/>
  <c r="F692" i="16"/>
  <c r="O692" i="16" s="1"/>
  <c r="G692" i="16"/>
  <c r="I692" i="16"/>
  <c r="B693" i="16"/>
  <c r="U636" i="16"/>
  <c r="S636" i="16"/>
  <c r="T636" i="16" s="1"/>
  <c r="M637" i="16"/>
  <c r="D637" i="16"/>
  <c r="J637" i="16"/>
  <c r="N637" i="16" s="1"/>
  <c r="Q637" i="16"/>
  <c r="P637" i="16"/>
  <c r="R637" i="16"/>
  <c r="L638" i="16"/>
  <c r="C638" i="16"/>
  <c r="K638" i="16" s="1"/>
  <c r="E638" i="16"/>
  <c r="F638" i="16"/>
  <c r="O638" i="16" s="1"/>
  <c r="G638" i="16"/>
  <c r="I638" i="16"/>
  <c r="B639" i="16"/>
  <c r="U582" i="16"/>
  <c r="S582" i="16"/>
  <c r="T582" i="16" s="1"/>
  <c r="D583" i="16"/>
  <c r="J583" i="16"/>
  <c r="P583" i="16"/>
  <c r="Q583" i="16"/>
  <c r="R583" i="16"/>
  <c r="L584" i="16"/>
  <c r="C584" i="16"/>
  <c r="K584" i="16" s="1"/>
  <c r="E584" i="16"/>
  <c r="F584" i="16"/>
  <c r="O584" i="16" s="1"/>
  <c r="G584" i="16"/>
  <c r="I584" i="16"/>
  <c r="B585" i="16"/>
  <c r="U528" i="16"/>
  <c r="S528" i="16"/>
  <c r="T528" i="16" s="1"/>
  <c r="D529" i="16"/>
  <c r="J529" i="16"/>
  <c r="P529" i="16"/>
  <c r="Q529" i="16"/>
  <c r="R529" i="16"/>
  <c r="L530" i="16"/>
  <c r="C530" i="16"/>
  <c r="E530" i="16"/>
  <c r="G530" i="16"/>
  <c r="I530" i="16"/>
  <c r="B531" i="16"/>
  <c r="M475" i="16"/>
  <c r="D475" i="16"/>
  <c r="J475" i="16"/>
  <c r="N475" i="16" s="1"/>
  <c r="P475" i="16"/>
  <c r="Q475" i="16"/>
  <c r="R475" i="16"/>
  <c r="L476" i="16"/>
  <c r="C476" i="16"/>
  <c r="E476" i="16"/>
  <c r="G476" i="16"/>
  <c r="I476" i="16"/>
  <c r="B477" i="16"/>
  <c r="U420" i="16"/>
  <c r="S420" i="16"/>
  <c r="T420" i="16" s="1"/>
  <c r="D421" i="16"/>
  <c r="M421" i="16" s="1"/>
  <c r="J421" i="16"/>
  <c r="P421" i="16"/>
  <c r="Q421" i="16"/>
  <c r="R421" i="16"/>
  <c r="L422" i="16"/>
  <c r="C422" i="16"/>
  <c r="K422" i="16" s="1"/>
  <c r="E422" i="16"/>
  <c r="F422" i="16"/>
  <c r="O422" i="16" s="1"/>
  <c r="G422" i="16"/>
  <c r="I422" i="16"/>
  <c r="B423" i="16"/>
  <c r="U366" i="16"/>
  <c r="S366" i="16"/>
  <c r="T366" i="16" s="1"/>
  <c r="M367" i="16"/>
  <c r="D367" i="16"/>
  <c r="J367" i="16"/>
  <c r="N367" i="16" s="1"/>
  <c r="P367" i="16"/>
  <c r="Q367" i="16"/>
  <c r="R367" i="16"/>
  <c r="L368" i="16"/>
  <c r="C368" i="16"/>
  <c r="K368" i="16" s="1"/>
  <c r="E368" i="16"/>
  <c r="F368" i="16"/>
  <c r="O368" i="16" s="1"/>
  <c r="G368" i="16"/>
  <c r="I368" i="16"/>
  <c r="B369" i="16"/>
  <c r="U312" i="16"/>
  <c r="S312" i="16"/>
  <c r="T312" i="16" s="1"/>
  <c r="M313" i="16"/>
  <c r="D313" i="16"/>
  <c r="J313" i="16"/>
  <c r="N313" i="16" s="1"/>
  <c r="P313" i="16"/>
  <c r="Q313" i="16"/>
  <c r="R313" i="16"/>
  <c r="L314" i="16"/>
  <c r="C314" i="16"/>
  <c r="K314" i="16" s="1"/>
  <c r="E314" i="16"/>
  <c r="F314" i="16"/>
  <c r="O314" i="16" s="1"/>
  <c r="G314" i="16"/>
  <c r="I314" i="16"/>
  <c r="B315" i="16"/>
  <c r="M259" i="16"/>
  <c r="D259" i="16"/>
  <c r="J259" i="16"/>
  <c r="N259" i="16" s="1"/>
  <c r="P259" i="16"/>
  <c r="Q259" i="16"/>
  <c r="R259" i="16"/>
  <c r="L260" i="16"/>
  <c r="C260" i="16"/>
  <c r="E260" i="16"/>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U150" i="16"/>
  <c r="S150" i="16"/>
  <c r="T150" i="16" s="1"/>
  <c r="M151" i="16"/>
  <c r="D151" i="16"/>
  <c r="J151" i="16"/>
  <c r="N151" i="16" s="1"/>
  <c r="P151" i="16"/>
  <c r="Q151" i="16"/>
  <c r="R151" i="16"/>
  <c r="L152" i="16"/>
  <c r="C152" i="16"/>
  <c r="K152" i="16" s="1"/>
  <c r="E152" i="16"/>
  <c r="F152" i="16"/>
  <c r="O152" i="16" s="1"/>
  <c r="G152" i="16"/>
  <c r="I152" i="16"/>
  <c r="B153" i="16"/>
  <c r="U96" i="16"/>
  <c r="S96" i="16"/>
  <c r="T96" i="16" s="1"/>
  <c r="D97" i="16"/>
  <c r="M97" i="16" s="1"/>
  <c r="J97" i="16"/>
  <c r="P97" i="16"/>
  <c r="Q97" i="16"/>
  <c r="R97" i="16"/>
  <c r="L98" i="16"/>
  <c r="C98" i="16"/>
  <c r="K98" i="16" s="1"/>
  <c r="E98" i="16"/>
  <c r="F98" i="16"/>
  <c r="O98" i="16" s="1"/>
  <c r="G98" i="16"/>
  <c r="I98" i="16"/>
  <c r="B99" i="16"/>
  <c r="C68" i="7"/>
  <c r="G68" i="7" s="1"/>
  <c r="U34" i="4"/>
  <c r="S34" i="4"/>
  <c r="T34" i="4" s="1"/>
  <c r="D35" i="4"/>
  <c r="M35" i="4" s="1"/>
  <c r="J35" i="4"/>
  <c r="O35" i="4"/>
  <c r="E70" i="7"/>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4229" i="16"/>
  <c r="S4229" i="16"/>
  <c r="T4229" i="16" s="1"/>
  <c r="S3659" i="16"/>
  <c r="T3659" i="16" s="1"/>
  <c r="U3659" i="16"/>
  <c r="U3497" i="16"/>
  <c r="S3497" i="16"/>
  <c r="T3497" i="16" s="1"/>
  <c r="U3389" i="16"/>
  <c r="S3389" i="16"/>
  <c r="T3389" i="16" s="1"/>
  <c r="U3281" i="16"/>
  <c r="S3281" i="16"/>
  <c r="T3281" i="16" s="1"/>
  <c r="U3227" i="16"/>
  <c r="S3227" i="16"/>
  <c r="T3227" i="16" s="1"/>
  <c r="U3173" i="16"/>
  <c r="S3173" i="16"/>
  <c r="T3173" i="16" s="1"/>
  <c r="U3119" i="16"/>
  <c r="S3119" i="16"/>
  <c r="T3119" i="16" s="1"/>
  <c r="U3065" i="16"/>
  <c r="S3065" i="16"/>
  <c r="T3065" i="16" s="1"/>
  <c r="U3011" i="16"/>
  <c r="S3011" i="16"/>
  <c r="T3011" i="16" s="1"/>
  <c r="U2687" i="16"/>
  <c r="S2687" i="16"/>
  <c r="T2687" i="16" s="1"/>
  <c r="U2471" i="16"/>
  <c r="S2471" i="16"/>
  <c r="T2471" i="16" s="1"/>
  <c r="U1823" i="16"/>
  <c r="S1823" i="16"/>
  <c r="T1823" i="16" s="1"/>
  <c r="U1391" i="16"/>
  <c r="S1391" i="16"/>
  <c r="T1391" i="16" s="1"/>
  <c r="U1283" i="16"/>
  <c r="S1283" i="16"/>
  <c r="T1283" i="16" s="1"/>
  <c r="U1121" i="16"/>
  <c r="S1121" i="16"/>
  <c r="T1121" i="16" s="1"/>
  <c r="U1067" i="16"/>
  <c r="S1067" i="16"/>
  <c r="T1067" i="16" s="1"/>
  <c r="U851" i="16"/>
  <c r="S851" i="16"/>
  <c r="T851" i="16" s="1"/>
  <c r="U797" i="16"/>
  <c r="S797" i="16"/>
  <c r="T797" i="16" s="1"/>
  <c r="U527" i="16"/>
  <c r="S527" i="16"/>
  <c r="T527" i="16" s="1"/>
  <c r="U95" i="16"/>
  <c r="S95" i="16"/>
  <c r="T95" i="16" s="1"/>
  <c r="M4584" i="16"/>
  <c r="N4584" i="16"/>
  <c r="M4530" i="16"/>
  <c r="N4530" i="16"/>
  <c r="N4230" i="16"/>
  <c r="M4230" i="16"/>
  <c r="M3606" i="16"/>
  <c r="N3606" i="16"/>
  <c r="N3498" i="16"/>
  <c r="M3498" i="16"/>
  <c r="M3174" i="16"/>
  <c r="N3174" i="16"/>
  <c r="M3120" i="16"/>
  <c r="N3120" i="16"/>
  <c r="M3012" i="16"/>
  <c r="N3012" i="16"/>
  <c r="M2850" i="16"/>
  <c r="N2850" i="16"/>
  <c r="M2796" i="16"/>
  <c r="N2796" i="16"/>
  <c r="S2796" i="16" s="1"/>
  <c r="T2796" i="16" s="1"/>
  <c r="U2796" i="16" s="1"/>
  <c r="M2364" i="16"/>
  <c r="N2364" i="16"/>
  <c r="M2094" i="16"/>
  <c r="N2094" i="16"/>
  <c r="M2040" i="16"/>
  <c r="N2040" i="16"/>
  <c r="M1824" i="16"/>
  <c r="N1824" i="16"/>
  <c r="M1554" i="16"/>
  <c r="N1554" i="16"/>
  <c r="M1500" i="16"/>
  <c r="N1500" i="16"/>
  <c r="N1446" i="16"/>
  <c r="M1446" i="16"/>
  <c r="M1338" i="16"/>
  <c r="N1338" i="16"/>
  <c r="M1284" i="16"/>
  <c r="N1284" i="16"/>
  <c r="N1231" i="16"/>
  <c r="M1231" i="16"/>
  <c r="M1014" i="16"/>
  <c r="N1014" i="16"/>
  <c r="M744" i="16"/>
  <c r="N744" i="16"/>
  <c r="M474" i="16"/>
  <c r="N474" i="16"/>
  <c r="M258" i="16"/>
  <c r="N258" i="16"/>
  <c r="D4639" i="16"/>
  <c r="F4639" i="16"/>
  <c r="O4639" i="16" s="1"/>
  <c r="F4585" i="16"/>
  <c r="K4585" i="16"/>
  <c r="K4531" i="16"/>
  <c r="F4531" i="16"/>
  <c r="K4123" i="16"/>
  <c r="F4123" i="16"/>
  <c r="O4123" i="16" s="1"/>
  <c r="K3769" i="16"/>
  <c r="F3769" i="16"/>
  <c r="O3769" i="16" s="1"/>
  <c r="K3715" i="16"/>
  <c r="F3715" i="16"/>
  <c r="O3715" i="16" s="1"/>
  <c r="F3499" i="16"/>
  <c r="O3499" i="16" s="1"/>
  <c r="K3499" i="16"/>
  <c r="K3445" i="16"/>
  <c r="F3445" i="16"/>
  <c r="O3445" i="16" s="1"/>
  <c r="K3283" i="16"/>
  <c r="F3283" i="16"/>
  <c r="O3283" i="16" s="1"/>
  <c r="K3175" i="16"/>
  <c r="F3175" i="16"/>
  <c r="O3175" i="16" s="1"/>
  <c r="F3067" i="16"/>
  <c r="O3067" i="16" s="1"/>
  <c r="K3067" i="16"/>
  <c r="F2581" i="16"/>
  <c r="O2581" i="16" s="1"/>
  <c r="K2581" i="16"/>
  <c r="F2311" i="16"/>
  <c r="O2311" i="16" s="1"/>
  <c r="K2311" i="16"/>
  <c r="F2203" i="16"/>
  <c r="O2203" i="16" s="1"/>
  <c r="K2203" i="16"/>
  <c r="K1825" i="16"/>
  <c r="F1825" i="16"/>
  <c r="O1825" i="16" s="1"/>
  <c r="K1663" i="16"/>
  <c r="F1663" i="16"/>
  <c r="O1663" i="16" s="1"/>
  <c r="F1609" i="16"/>
  <c r="O1609" i="16" s="1"/>
  <c r="K1609" i="16"/>
  <c r="F1285" i="16"/>
  <c r="O1285" i="16" s="1"/>
  <c r="K1285" i="16"/>
  <c r="K1069" i="16"/>
  <c r="F1069" i="16"/>
  <c r="O1069" i="16" s="1"/>
  <c r="K853" i="16"/>
  <c r="F853" i="16"/>
  <c r="O853" i="16" s="1"/>
  <c r="K799" i="16"/>
  <c r="F799" i="16"/>
  <c r="O799" i="16" s="1"/>
  <c r="K583" i="16"/>
  <c r="F583" i="16"/>
  <c r="O583" i="16" s="1"/>
  <c r="K529" i="16"/>
  <c r="F529" i="16"/>
  <c r="O529" i="16" s="1"/>
  <c r="F34" i="5"/>
  <c r="G34" i="5"/>
  <c r="H34" i="5"/>
  <c r="N4693" i="16" l="1"/>
  <c r="N2689" i="16"/>
  <c r="N1717" i="16"/>
  <c r="N97" i="16"/>
  <c r="N421" i="16"/>
  <c r="N35" i="4"/>
  <c r="N4231" i="16"/>
  <c r="N4069" i="16"/>
  <c r="N2365" i="16"/>
  <c r="K4586" i="16"/>
  <c r="F4586" i="16"/>
  <c r="K3716" i="16"/>
  <c r="F3716" i="16"/>
  <c r="O3716" i="16" s="1"/>
  <c r="K2852" i="16"/>
  <c r="F2852" i="16"/>
  <c r="O2852" i="16" s="1"/>
  <c r="K1286" i="16"/>
  <c r="F1286" i="16"/>
  <c r="O1286" i="16" s="1"/>
  <c r="K1178" i="16"/>
  <c r="F1178" i="16"/>
  <c r="O1178" i="16" s="1"/>
  <c r="K908" i="16"/>
  <c r="F908" i="16"/>
  <c r="O908" i="16" s="1"/>
  <c r="K746" i="16"/>
  <c r="F746" i="16"/>
  <c r="O746" i="16" s="1"/>
  <c r="T4692" i="16"/>
  <c r="U4693" i="16"/>
  <c r="S4693" i="16"/>
  <c r="T4693" i="16" s="1"/>
  <c r="M4694" i="16"/>
  <c r="D4694" i="16"/>
  <c r="J4694" i="16"/>
  <c r="N4694" i="16" s="1"/>
  <c r="P4694" i="16"/>
  <c r="Q4694" i="16"/>
  <c r="R4694" i="16"/>
  <c r="L4695" i="16"/>
  <c r="C4695" i="16"/>
  <c r="K4695" i="16" s="1"/>
  <c r="E4695" i="16"/>
  <c r="F4695" i="16"/>
  <c r="G4695" i="16"/>
  <c r="I4695" i="16"/>
  <c r="B4696" i="16"/>
  <c r="P4640" i="16"/>
  <c r="Q4640" i="16"/>
  <c r="R4640" i="16"/>
  <c r="C4641" i="16"/>
  <c r="E4641" i="16"/>
  <c r="G4641" i="16"/>
  <c r="B4642" i="16"/>
  <c r="M4586" i="16"/>
  <c r="D4586" i="16"/>
  <c r="J4586" i="16"/>
  <c r="N4586" i="16" s="1"/>
  <c r="P4586" i="16"/>
  <c r="Q4586" i="16"/>
  <c r="R4586" i="16"/>
  <c r="L4587" i="16"/>
  <c r="C4587" i="16"/>
  <c r="E4587" i="16"/>
  <c r="G4587" i="16"/>
  <c r="I4587" i="16"/>
  <c r="B4588" i="16"/>
  <c r="D4532" i="16"/>
  <c r="J4532" i="16"/>
  <c r="P4532" i="16"/>
  <c r="Q4532" i="16"/>
  <c r="R4532" i="16"/>
  <c r="L4533" i="16"/>
  <c r="C4533" i="16"/>
  <c r="E4533" i="16"/>
  <c r="G4533" i="16"/>
  <c r="I4533" i="16"/>
  <c r="B4534" i="16"/>
  <c r="U4231" i="16"/>
  <c r="S4231" i="16"/>
  <c r="T4231" i="16" s="1"/>
  <c r="P4232" i="16"/>
  <c r="Q4232" i="16"/>
  <c r="R4232" i="16"/>
  <c r="J4232" i="16"/>
  <c r="D4232" i="16"/>
  <c r="E4233" i="16"/>
  <c r="G4233" i="16"/>
  <c r="L4233" i="16"/>
  <c r="C4233" i="16"/>
  <c r="F4233" i="16"/>
  <c r="O4233" i="16" s="1"/>
  <c r="I4233" i="16"/>
  <c r="K4233" i="16"/>
  <c r="B4234" i="16"/>
  <c r="P4178" i="16"/>
  <c r="Q4178" i="16"/>
  <c r="R4178" i="16"/>
  <c r="J4178" i="16"/>
  <c r="D4178" i="16"/>
  <c r="E4179" i="16"/>
  <c r="G4179" i="16"/>
  <c r="I4179" i="16"/>
  <c r="C4179" i="16"/>
  <c r="K4179" i="16" s="1"/>
  <c r="F4179" i="16"/>
  <c r="O4179" i="16" s="1"/>
  <c r="L4179" i="16"/>
  <c r="B4180" i="16"/>
  <c r="U4177" i="16"/>
  <c r="S4177" i="16"/>
  <c r="T4177" i="16" s="1"/>
  <c r="D4124" i="16"/>
  <c r="J4124" i="16"/>
  <c r="N4124" i="16" s="1"/>
  <c r="P4124" i="16"/>
  <c r="Q4124" i="16"/>
  <c r="R4124" i="16"/>
  <c r="L4125" i="16"/>
  <c r="C4125" i="16"/>
  <c r="F4125" i="16" s="1"/>
  <c r="O4125" i="16" s="1"/>
  <c r="E4125" i="16"/>
  <c r="G4125" i="16"/>
  <c r="I4125" i="16"/>
  <c r="K4125" i="16"/>
  <c r="B4126" i="16"/>
  <c r="M4124" i="16"/>
  <c r="U4069" i="16"/>
  <c r="S4069" i="16"/>
  <c r="T4069" i="16" s="1"/>
  <c r="M4070" i="16"/>
  <c r="D4070" i="16"/>
  <c r="J4070" i="16"/>
  <c r="N4070" i="16" s="1"/>
  <c r="P4070" i="16"/>
  <c r="Q4070" i="16"/>
  <c r="R4070" i="16"/>
  <c r="L4071" i="16"/>
  <c r="C4071" i="16"/>
  <c r="K4071" i="16" s="1"/>
  <c r="E4071" i="16"/>
  <c r="F4071" i="16"/>
  <c r="O4071" i="16" s="1"/>
  <c r="G4071" i="16"/>
  <c r="I4071" i="16"/>
  <c r="B4072" i="16"/>
  <c r="M3770" i="16"/>
  <c r="D3770" i="16"/>
  <c r="J3770" i="16"/>
  <c r="N3770" i="16" s="1"/>
  <c r="P3770" i="16"/>
  <c r="Q3770" i="16"/>
  <c r="R3770" i="16"/>
  <c r="L3771" i="16"/>
  <c r="C3771" i="16"/>
  <c r="K3771" i="16" s="1"/>
  <c r="E3771" i="16"/>
  <c r="F3771" i="16"/>
  <c r="O3771" i="16" s="1"/>
  <c r="G3771" i="16"/>
  <c r="I3771" i="16"/>
  <c r="B3772" i="16"/>
  <c r="M3716" i="16"/>
  <c r="D3716" i="16"/>
  <c r="J3716" i="16"/>
  <c r="N3716" i="16" s="1"/>
  <c r="P3716" i="16"/>
  <c r="Q3716" i="16"/>
  <c r="R3716" i="16"/>
  <c r="L3717" i="16"/>
  <c r="C3717" i="16"/>
  <c r="E3717" i="16"/>
  <c r="G3717" i="16"/>
  <c r="I3717" i="16"/>
  <c r="B3718" i="16"/>
  <c r="S3661" i="16"/>
  <c r="T3661" i="16" s="1"/>
  <c r="U3661" i="16"/>
  <c r="M3662" i="16"/>
  <c r="D3662" i="16"/>
  <c r="J3662" i="16"/>
  <c r="N3662" i="16" s="1"/>
  <c r="P3662" i="16"/>
  <c r="Q3662" i="16"/>
  <c r="R3662" i="16"/>
  <c r="L3663" i="16"/>
  <c r="C3663" i="16"/>
  <c r="E3663" i="16"/>
  <c r="G3663" i="16"/>
  <c r="B3664" i="16"/>
  <c r="I3663"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M3500" i="16"/>
  <c r="D3500" i="16"/>
  <c r="J3500" i="16"/>
  <c r="N3500" i="16" s="1"/>
  <c r="P3500" i="16"/>
  <c r="Q3500" i="16"/>
  <c r="R3500" i="16"/>
  <c r="L3501" i="16"/>
  <c r="C3501" i="16"/>
  <c r="E3501" i="16"/>
  <c r="G3501" i="16"/>
  <c r="I3501" i="16"/>
  <c r="B3502" i="16"/>
  <c r="D3446" i="16"/>
  <c r="J3446" i="16"/>
  <c r="P3446" i="16"/>
  <c r="Q3446" i="16"/>
  <c r="R3446" i="16"/>
  <c r="L3447" i="16"/>
  <c r="C3447" i="16"/>
  <c r="K3447" i="16" s="1"/>
  <c r="E3447" i="16"/>
  <c r="F3447" i="16"/>
  <c r="O3447" i="16" s="1"/>
  <c r="G3447" i="16"/>
  <c r="I3447" i="16"/>
  <c r="B3448" i="16"/>
  <c r="U3391" i="16"/>
  <c r="S3391" i="16"/>
  <c r="T3391" i="16" s="1"/>
  <c r="M3392" i="16"/>
  <c r="D3392" i="16"/>
  <c r="J3392" i="16"/>
  <c r="N3392" i="16" s="1"/>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M3284" i="16"/>
  <c r="D3284" i="16"/>
  <c r="J3284" i="16"/>
  <c r="N3284" i="16" s="1"/>
  <c r="P3284" i="16"/>
  <c r="Q3284" i="16"/>
  <c r="R3284" i="16"/>
  <c r="L3285" i="16"/>
  <c r="C3285" i="16"/>
  <c r="K3285" i="16" s="1"/>
  <c r="E3285" i="16"/>
  <c r="F3285" i="16"/>
  <c r="O3285" i="16" s="1"/>
  <c r="G3285" i="16"/>
  <c r="I3285" i="16"/>
  <c r="B3286" i="16"/>
  <c r="U3229" i="16"/>
  <c r="S3229" i="16"/>
  <c r="T3229" i="16" s="1"/>
  <c r="D3230" i="16"/>
  <c r="J3230" i="16"/>
  <c r="L3231" i="16"/>
  <c r="E3231" i="16"/>
  <c r="B3232" i="16"/>
  <c r="C3231" i="16"/>
  <c r="G3231" i="16"/>
  <c r="I3231" i="16"/>
  <c r="P3230" i="16"/>
  <c r="Q3230" i="16"/>
  <c r="R3230" i="16"/>
  <c r="P3176" i="16"/>
  <c r="Q3176" i="16"/>
  <c r="R3176" i="16"/>
  <c r="J3176" i="16"/>
  <c r="D3176" i="16"/>
  <c r="L3177" i="16"/>
  <c r="C3177" i="16"/>
  <c r="G3177" i="16"/>
  <c r="B3178" i="16"/>
  <c r="E3177" i="16"/>
  <c r="I3177" i="16"/>
  <c r="U3121" i="16"/>
  <c r="S3121" i="16"/>
  <c r="T3121" i="16" s="1"/>
  <c r="P3122" i="16"/>
  <c r="R3122" i="16"/>
  <c r="Q3122" i="16"/>
  <c r="J3122" i="16"/>
  <c r="D3122" i="16"/>
  <c r="L3123" i="16"/>
  <c r="B3124" i="16"/>
  <c r="E3123" i="16"/>
  <c r="C3123" i="16"/>
  <c r="G3123" i="16"/>
  <c r="I3123" i="16"/>
  <c r="P3068" i="16"/>
  <c r="Q3068" i="16"/>
  <c r="R3068" i="16"/>
  <c r="L3069" i="16"/>
  <c r="E3069" i="16"/>
  <c r="G3069" i="16"/>
  <c r="I3069" i="16"/>
  <c r="B3070" i="16"/>
  <c r="C3069" i="16"/>
  <c r="D3068" i="16"/>
  <c r="J3068" i="16"/>
  <c r="U3013" i="16"/>
  <c r="S3013" i="16"/>
  <c r="T3013" i="16" s="1"/>
  <c r="P3014" i="16"/>
  <c r="Q3014" i="16"/>
  <c r="R3014" i="16"/>
  <c r="L3015" i="16"/>
  <c r="I3015" i="16"/>
  <c r="C3015" i="16"/>
  <c r="K3015" i="16" s="1"/>
  <c r="B3016" i="16"/>
  <c r="E3015" i="16"/>
  <c r="G3015" i="16"/>
  <c r="F3015" i="16"/>
  <c r="O3015" i="16" s="1"/>
  <c r="J3014" i="16"/>
  <c r="D3014" i="16"/>
  <c r="U2959" i="16"/>
  <c r="S2959" i="16"/>
  <c r="T2959" i="16" s="1"/>
  <c r="M2960" i="16"/>
  <c r="D2960" i="16"/>
  <c r="J2960" i="16"/>
  <c r="N2960" i="16" s="1"/>
  <c r="P2960" i="16"/>
  <c r="Q2960" i="16"/>
  <c r="R2960" i="16"/>
  <c r="L2961" i="16"/>
  <c r="C2961" i="16"/>
  <c r="K2961" i="16" s="1"/>
  <c r="E2961" i="16"/>
  <c r="F2961" i="16"/>
  <c r="O2961" i="16" s="1"/>
  <c r="G2961" i="16"/>
  <c r="I2961" i="16"/>
  <c r="B2962" i="16"/>
  <c r="U2905" i="16"/>
  <c r="S2905" i="16"/>
  <c r="T2905" i="16" s="1"/>
  <c r="D2906" i="16"/>
  <c r="J2906" i="16"/>
  <c r="P2906" i="16"/>
  <c r="Q2906" i="16"/>
  <c r="R2906" i="16"/>
  <c r="L2907" i="16"/>
  <c r="C2907" i="16"/>
  <c r="K2907" i="16" s="1"/>
  <c r="E2907" i="16"/>
  <c r="F2907" i="16"/>
  <c r="O2907" i="16" s="1"/>
  <c r="G2907" i="16"/>
  <c r="I2907" i="16"/>
  <c r="B2908" i="16"/>
  <c r="U2851" i="16"/>
  <c r="S2851" i="16"/>
  <c r="T2851" i="16" s="1"/>
  <c r="M2852" i="16"/>
  <c r="D2852" i="16"/>
  <c r="J2852" i="16"/>
  <c r="N2852" i="16" s="1"/>
  <c r="P2852" i="16"/>
  <c r="Q2852" i="16"/>
  <c r="R2852" i="16"/>
  <c r="L2853" i="16"/>
  <c r="C2853" i="16"/>
  <c r="E2853" i="16"/>
  <c r="G2853" i="16"/>
  <c r="I2853" i="16"/>
  <c r="B2854" i="16"/>
  <c r="M2798" i="16"/>
  <c r="D2798" i="16"/>
  <c r="J2798" i="16"/>
  <c r="N2798" i="16" s="1"/>
  <c r="S2798" i="16" s="1"/>
  <c r="T2798" i="16" s="1"/>
  <c r="U2798" i="16" s="1"/>
  <c r="P2798" i="16"/>
  <c r="Q2798" i="16"/>
  <c r="R2798" i="16"/>
  <c r="L2799" i="16"/>
  <c r="C2799" i="16"/>
  <c r="E2799" i="16"/>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M2690" i="16"/>
  <c r="D2690" i="16"/>
  <c r="J2690" i="16"/>
  <c r="N2690" i="16" s="1"/>
  <c r="P2690" i="16"/>
  <c r="Q2690" i="16"/>
  <c r="R2690" i="16"/>
  <c r="L2691" i="16"/>
  <c r="C2691" i="16"/>
  <c r="K2691" i="16" s="1"/>
  <c r="E2691" i="16"/>
  <c r="F2691" i="16"/>
  <c r="O2691" i="16" s="1"/>
  <c r="G2691" i="16"/>
  <c r="I2691" i="16"/>
  <c r="B2692" i="16"/>
  <c r="U2635" i="16"/>
  <c r="S2635" i="16"/>
  <c r="T2635" i="16" s="1"/>
  <c r="M2636" i="16"/>
  <c r="D2636" i="16"/>
  <c r="J2636" i="16"/>
  <c r="N2636" i="16" s="1"/>
  <c r="P2636" i="16"/>
  <c r="Q2636" i="16"/>
  <c r="R2636" i="16"/>
  <c r="L2637" i="16"/>
  <c r="C2637" i="16"/>
  <c r="K2637" i="16" s="1"/>
  <c r="E2637" i="16"/>
  <c r="F2637" i="16"/>
  <c r="O2637" i="16" s="1"/>
  <c r="G2637" i="16"/>
  <c r="I2637" i="16"/>
  <c r="B2638" i="16"/>
  <c r="D2582" i="16"/>
  <c r="J2582" i="16"/>
  <c r="P2582" i="16"/>
  <c r="Q2582" i="16"/>
  <c r="R2582" i="16"/>
  <c r="L2583" i="16"/>
  <c r="C2583" i="16"/>
  <c r="K2583" i="16" s="1"/>
  <c r="E2583" i="16"/>
  <c r="F2583" i="16"/>
  <c r="O2583" i="16" s="1"/>
  <c r="G2583" i="16"/>
  <c r="I2583" i="16"/>
  <c r="B2584"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Q2474" i="16"/>
  <c r="P2474" i="16"/>
  <c r="R2474" i="16"/>
  <c r="L2475" i="16"/>
  <c r="C2475" i="16"/>
  <c r="K2475" i="16" s="1"/>
  <c r="E2475" i="16"/>
  <c r="F2475" i="16"/>
  <c r="O2475" i="16" s="1"/>
  <c r="G2475" i="16"/>
  <c r="I2475" i="16"/>
  <c r="B2476" i="16"/>
  <c r="U2419" i="16"/>
  <c r="S2419" i="16"/>
  <c r="T2419" i="16" s="1"/>
  <c r="D2420" i="16"/>
  <c r="M2420" i="16" s="1"/>
  <c r="J2420" i="16"/>
  <c r="Q2420" i="16"/>
  <c r="P2420" i="16"/>
  <c r="R2420" i="16"/>
  <c r="L2421" i="16"/>
  <c r="C2421" i="16"/>
  <c r="K2421" i="16" s="1"/>
  <c r="E2421" i="16"/>
  <c r="F2421" i="16"/>
  <c r="O2421" i="16" s="1"/>
  <c r="G2421" i="16"/>
  <c r="I2421" i="16"/>
  <c r="B2422" i="16"/>
  <c r="U2365" i="16"/>
  <c r="S2365" i="16"/>
  <c r="T2365" i="16" s="1"/>
  <c r="M2366" i="16"/>
  <c r="D2366" i="16"/>
  <c r="J2366" i="16"/>
  <c r="N2366" i="16" s="1"/>
  <c r="Q2366" i="16"/>
  <c r="P2366" i="16"/>
  <c r="R2366" i="16"/>
  <c r="L2367" i="16"/>
  <c r="C2367" i="16"/>
  <c r="E2367" i="16"/>
  <c r="G2367" i="16"/>
  <c r="I2367" i="16"/>
  <c r="B2368" i="16"/>
  <c r="M2312" i="16"/>
  <c r="D2312" i="16"/>
  <c r="J2312" i="16"/>
  <c r="N2312" i="16" s="1"/>
  <c r="P2312" i="16"/>
  <c r="Q2312" i="16"/>
  <c r="R2312" i="16"/>
  <c r="L2313" i="16"/>
  <c r="C2313" i="16"/>
  <c r="E2313" i="16"/>
  <c r="G2313" i="16"/>
  <c r="I2313" i="16"/>
  <c r="B2314" i="16"/>
  <c r="U2257" i="16"/>
  <c r="S2257" i="16"/>
  <c r="T2257" i="16" s="1"/>
  <c r="M2258" i="16"/>
  <c r="D2258" i="16"/>
  <c r="J2258" i="16"/>
  <c r="N2258" i="16" s="1"/>
  <c r="P2258" i="16"/>
  <c r="Q2258" i="16"/>
  <c r="R2258" i="16"/>
  <c r="L2259" i="16"/>
  <c r="C2259" i="16"/>
  <c r="E2259" i="16"/>
  <c r="G2259" i="16"/>
  <c r="I2259" i="16"/>
  <c r="B2260" i="16"/>
  <c r="M2204" i="16"/>
  <c r="D2204" i="16"/>
  <c r="J2204" i="16"/>
  <c r="N2204" i="16" s="1"/>
  <c r="P2204" i="16"/>
  <c r="Q2204" i="16"/>
  <c r="R2204" i="16"/>
  <c r="L2205" i="16"/>
  <c r="C2205" i="16"/>
  <c r="E2205" i="16"/>
  <c r="G2205" i="16"/>
  <c r="I2205" i="16"/>
  <c r="B2206" i="16"/>
  <c r="U2149" i="16"/>
  <c r="S2149" i="16"/>
  <c r="T2149" i="16" s="1"/>
  <c r="M2150" i="16"/>
  <c r="D2150" i="16"/>
  <c r="J2150" i="16"/>
  <c r="N2150" i="16" s="1"/>
  <c r="P2150" i="16"/>
  <c r="Q2150" i="16"/>
  <c r="R2150" i="16"/>
  <c r="L2151" i="16"/>
  <c r="C2151" i="16"/>
  <c r="K2151" i="16" s="1"/>
  <c r="E2151" i="16"/>
  <c r="F2151" i="16"/>
  <c r="O2151" i="16" s="1"/>
  <c r="G2151" i="16"/>
  <c r="B2152" i="16"/>
  <c r="I2151" i="16"/>
  <c r="U2095" i="16"/>
  <c r="S2095" i="16"/>
  <c r="T2095" i="16" s="1"/>
  <c r="D2096" i="16"/>
  <c r="J2096" i="16"/>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U1987" i="16"/>
  <c r="S1987" i="16"/>
  <c r="T1987" i="16" s="1"/>
  <c r="M1988" i="16"/>
  <c r="D1988" i="16"/>
  <c r="J1988" i="16"/>
  <c r="N1988" i="16" s="1"/>
  <c r="P1988" i="16"/>
  <c r="Q1988" i="16"/>
  <c r="R1988" i="16"/>
  <c r="L1989" i="16"/>
  <c r="C1989" i="16"/>
  <c r="E1989" i="16"/>
  <c r="G1989" i="16"/>
  <c r="I1989" i="16"/>
  <c r="B1990" i="16"/>
  <c r="U1933" i="16"/>
  <c r="S1933" i="16"/>
  <c r="T1933" i="16" s="1"/>
  <c r="M1934" i="16"/>
  <c r="D1934" i="16"/>
  <c r="J1934" i="16"/>
  <c r="N1934" i="16" s="1"/>
  <c r="P1934" i="16"/>
  <c r="Q1934" i="16"/>
  <c r="R1934" i="16"/>
  <c r="L1935" i="16"/>
  <c r="C1935" i="16"/>
  <c r="K1935" i="16" s="1"/>
  <c r="E1935" i="16"/>
  <c r="F1935" i="16"/>
  <c r="O1935" i="16" s="1"/>
  <c r="G1935" i="16"/>
  <c r="I1935" i="16"/>
  <c r="B1936" i="16"/>
  <c r="S1879" i="16"/>
  <c r="T1879" i="16" s="1"/>
  <c r="U1879" i="16"/>
  <c r="M1880" i="16"/>
  <c r="D1880" i="16"/>
  <c r="J1880" i="16"/>
  <c r="N1880" i="16" s="1"/>
  <c r="P1880" i="16"/>
  <c r="Q1880" i="16"/>
  <c r="R1880" i="16"/>
  <c r="L1881" i="16"/>
  <c r="C1881" i="16"/>
  <c r="E1881" i="16"/>
  <c r="G1881" i="16"/>
  <c r="I1881" i="16"/>
  <c r="B1882" i="16"/>
  <c r="M1826" i="16"/>
  <c r="D1826" i="16"/>
  <c r="J1826" i="16"/>
  <c r="N1826" i="16" s="1"/>
  <c r="P1826" i="16"/>
  <c r="Q1826" i="16"/>
  <c r="R1826" i="16"/>
  <c r="L1827" i="16"/>
  <c r="C1827" i="16"/>
  <c r="E1827" i="16"/>
  <c r="G1827" i="16"/>
  <c r="I1827" i="16"/>
  <c r="B1828" i="16"/>
  <c r="U1771" i="16"/>
  <c r="S1771" i="16"/>
  <c r="T1771" i="16" s="1"/>
  <c r="D1772" i="16"/>
  <c r="J1772" i="16"/>
  <c r="P1772" i="16"/>
  <c r="Q1772" i="16"/>
  <c r="R1772" i="16"/>
  <c r="L1773" i="16"/>
  <c r="C1773" i="16"/>
  <c r="E1773" i="16"/>
  <c r="G1773" i="16"/>
  <c r="I1773" i="16"/>
  <c r="B1774" i="16"/>
  <c r="U1717" i="16"/>
  <c r="S1717" i="16"/>
  <c r="T1717" i="16" s="1"/>
  <c r="M1718" i="16"/>
  <c r="D1718" i="16"/>
  <c r="J1718" i="16"/>
  <c r="N1718" i="16" s="1"/>
  <c r="P1718" i="16"/>
  <c r="Q1718" i="16"/>
  <c r="R1718" i="16"/>
  <c r="L1719" i="16"/>
  <c r="C1719" i="16"/>
  <c r="K1719" i="16" s="1"/>
  <c r="E1719" i="16"/>
  <c r="F1719" i="16"/>
  <c r="O1719" i="16" s="1"/>
  <c r="G1719" i="16"/>
  <c r="I1719" i="16"/>
  <c r="B1720" i="16"/>
  <c r="M1664" i="16"/>
  <c r="D1664" i="16"/>
  <c r="J1664" i="16"/>
  <c r="N1664" i="16" s="1"/>
  <c r="P1664" i="16"/>
  <c r="Q1664" i="16"/>
  <c r="R1664" i="16"/>
  <c r="L1665" i="16"/>
  <c r="C1665" i="16"/>
  <c r="K1665" i="16" s="1"/>
  <c r="E1665" i="16"/>
  <c r="F1665" i="16"/>
  <c r="O1665" i="16" s="1"/>
  <c r="G1665" i="16"/>
  <c r="I1665" i="16"/>
  <c r="B1666" i="16"/>
  <c r="M1610" i="16"/>
  <c r="D1610" i="16"/>
  <c r="J1610" i="16"/>
  <c r="N1610" i="16" s="1"/>
  <c r="P1610" i="16"/>
  <c r="Q1610" i="16"/>
  <c r="R1610" i="16"/>
  <c r="L1611" i="16"/>
  <c r="C1611" i="16"/>
  <c r="K1611" i="16" s="1"/>
  <c r="E1611" i="16"/>
  <c r="F1611" i="16"/>
  <c r="O1611" i="16" s="1"/>
  <c r="G1611" i="16"/>
  <c r="I1611" i="16"/>
  <c r="B1612" i="16"/>
  <c r="U1555" i="16"/>
  <c r="S1555" i="16"/>
  <c r="T1555" i="16" s="1"/>
  <c r="D1556" i="16"/>
  <c r="J1556" i="16"/>
  <c r="P1556" i="16"/>
  <c r="Q1556" i="16"/>
  <c r="R1556" i="16"/>
  <c r="L1557" i="16"/>
  <c r="C1557" i="16"/>
  <c r="E1557" i="16"/>
  <c r="G1557" i="16"/>
  <c r="I1557" i="16"/>
  <c r="B1558" i="16"/>
  <c r="U1501" i="16"/>
  <c r="S1501" i="16"/>
  <c r="T1501" i="16" s="1"/>
  <c r="D1502" i="16"/>
  <c r="J1502" i="16"/>
  <c r="P1502" i="16"/>
  <c r="Q1502" i="16"/>
  <c r="R1502" i="16"/>
  <c r="L1503" i="16"/>
  <c r="C1503" i="16"/>
  <c r="K1503" i="16" s="1"/>
  <c r="E1503" i="16"/>
  <c r="F1503" i="16"/>
  <c r="O1503" i="16" s="1"/>
  <c r="G1503" i="16"/>
  <c r="I1503" i="16"/>
  <c r="B1504" i="16"/>
  <c r="U1447" i="16"/>
  <c r="S1447" i="16"/>
  <c r="T1447" i="16" s="1"/>
  <c r="P1448" i="16"/>
  <c r="Q1448" i="16"/>
  <c r="R1448" i="16"/>
  <c r="L1449" i="16"/>
  <c r="E1449" i="16"/>
  <c r="I1449" i="16"/>
  <c r="C1449" i="16"/>
  <c r="K1449" i="16" s="1"/>
  <c r="F1449" i="16"/>
  <c r="O1449" i="16" s="1"/>
  <c r="G1449" i="16"/>
  <c r="B1450" i="16"/>
  <c r="J1448" i="16"/>
  <c r="D1448" i="16"/>
  <c r="U1393" i="16"/>
  <c r="S1393" i="16"/>
  <c r="T1393" i="16" s="1"/>
  <c r="M1394" i="16"/>
  <c r="L1395" i="16"/>
  <c r="G1395" i="16"/>
  <c r="C1395" i="16"/>
  <c r="E1395" i="16"/>
  <c r="B1396" i="16"/>
  <c r="I1395" i="16"/>
  <c r="D1394" i="16"/>
  <c r="J1394" i="16"/>
  <c r="N1394" i="16" s="1"/>
  <c r="P1394" i="16"/>
  <c r="Q1394" i="16"/>
  <c r="R1394" i="16"/>
  <c r="U1339" i="16"/>
  <c r="S1339" i="16"/>
  <c r="T1339" i="16" s="1"/>
  <c r="M1340" i="16"/>
  <c r="L1341" i="16"/>
  <c r="E1341" i="16"/>
  <c r="C1341" i="16"/>
  <c r="G1341" i="16"/>
  <c r="B1342" i="16"/>
  <c r="I1341" i="16"/>
  <c r="D1340" i="16"/>
  <c r="J1340" i="16"/>
  <c r="N1340" i="16" s="1"/>
  <c r="P1340" i="16"/>
  <c r="Q1340" i="16"/>
  <c r="R1340" i="16"/>
  <c r="M1286" i="16"/>
  <c r="L1287" i="16"/>
  <c r="E1287" i="16"/>
  <c r="G1287" i="16"/>
  <c r="B1288" i="16"/>
  <c r="C1287" i="16"/>
  <c r="K1287" i="16" s="1"/>
  <c r="F1287" i="16"/>
  <c r="O1287" i="16" s="1"/>
  <c r="I1287" i="16"/>
  <c r="D1286" i="16"/>
  <c r="J1286" i="16"/>
  <c r="N1286" i="16" s="1"/>
  <c r="P1286" i="16"/>
  <c r="Q1286" i="16"/>
  <c r="R1286" i="16"/>
  <c r="S1232" i="16"/>
  <c r="T1232" i="16" s="1"/>
  <c r="U1232" i="16"/>
  <c r="L1234" i="16"/>
  <c r="G1234" i="16"/>
  <c r="B1235" i="16"/>
  <c r="C1234" i="16"/>
  <c r="E1234" i="16"/>
  <c r="I1234" i="16"/>
  <c r="D1233" i="16"/>
  <c r="J1233" i="16"/>
  <c r="P1233" i="16"/>
  <c r="Q1233" i="16"/>
  <c r="R1233" i="16"/>
  <c r="U1177" i="16"/>
  <c r="S1177" i="16"/>
  <c r="T1177" i="16" s="1"/>
  <c r="M1178" i="16"/>
  <c r="D1178" i="16"/>
  <c r="J1178" i="16"/>
  <c r="N1178" i="16" s="1"/>
  <c r="P1178" i="16"/>
  <c r="Q1178" i="16"/>
  <c r="R1178" i="16"/>
  <c r="L1179" i="16"/>
  <c r="C1179" i="16"/>
  <c r="E1179" i="16"/>
  <c r="G1179" i="16"/>
  <c r="I1179" i="16"/>
  <c r="B1180" i="16"/>
  <c r="U1123" i="16"/>
  <c r="S1123" i="16"/>
  <c r="T1123" i="16" s="1"/>
  <c r="D1124" i="16"/>
  <c r="M1124" i="16" s="1"/>
  <c r="J1124" i="16"/>
  <c r="P1124" i="16"/>
  <c r="Q1124" i="16"/>
  <c r="R1124" i="16"/>
  <c r="L1125" i="16"/>
  <c r="C1125" i="16"/>
  <c r="K1125" i="16" s="1"/>
  <c r="E1125" i="16"/>
  <c r="F1125" i="16"/>
  <c r="O1125" i="16" s="1"/>
  <c r="G1125" i="16"/>
  <c r="I1125" i="16"/>
  <c r="B1126" i="16"/>
  <c r="M1070" i="16"/>
  <c r="D1070" i="16"/>
  <c r="J1070" i="16"/>
  <c r="N1070" i="16" s="1"/>
  <c r="P1070" i="16"/>
  <c r="Q1070" i="16"/>
  <c r="R1070" i="16"/>
  <c r="L1071" i="16"/>
  <c r="C1071" i="16"/>
  <c r="E1071" i="16"/>
  <c r="G1071" i="16"/>
  <c r="I1071" i="16"/>
  <c r="B1072" i="16"/>
  <c r="U1015" i="16"/>
  <c r="S1015" i="16"/>
  <c r="T1015" i="16" s="1"/>
  <c r="M1016" i="16"/>
  <c r="D1016" i="16"/>
  <c r="J1016" i="16"/>
  <c r="N1016" i="16" s="1"/>
  <c r="P1016" i="16"/>
  <c r="Q1016" i="16"/>
  <c r="R1016" i="16"/>
  <c r="L1017" i="16"/>
  <c r="C1017" i="16"/>
  <c r="E1017" i="16"/>
  <c r="G1017" i="16"/>
  <c r="I1017" i="16"/>
  <c r="B1018" i="16"/>
  <c r="U961" i="16"/>
  <c r="S961" i="16"/>
  <c r="T961" i="16" s="1"/>
  <c r="D962" i="16"/>
  <c r="J962" i="16"/>
  <c r="P962" i="16"/>
  <c r="Q962" i="16"/>
  <c r="R962" i="16"/>
  <c r="L963" i="16"/>
  <c r="C963" i="16"/>
  <c r="K963" i="16" s="1"/>
  <c r="E963" i="16"/>
  <c r="F963" i="16"/>
  <c r="O963" i="16" s="1"/>
  <c r="G963" i="16"/>
  <c r="I963" i="16"/>
  <c r="B964" i="16"/>
  <c r="U907" i="16"/>
  <c r="S907" i="16"/>
  <c r="T907" i="16" s="1"/>
  <c r="M908" i="16"/>
  <c r="D908" i="16"/>
  <c r="J908" i="16"/>
  <c r="N908" i="16" s="1"/>
  <c r="Q908" i="16"/>
  <c r="P908" i="16"/>
  <c r="R908" i="16"/>
  <c r="L909" i="16"/>
  <c r="C909" i="16"/>
  <c r="K909" i="16" s="1"/>
  <c r="E909" i="16"/>
  <c r="F909" i="16"/>
  <c r="O909" i="16" s="1"/>
  <c r="G909" i="16"/>
  <c r="I909" i="16"/>
  <c r="B910" i="16"/>
  <c r="M854" i="16"/>
  <c r="D854" i="16"/>
  <c r="J854" i="16"/>
  <c r="N854" i="16" s="1"/>
  <c r="Q854" i="16"/>
  <c r="P854" i="16"/>
  <c r="R854" i="16"/>
  <c r="L855" i="16"/>
  <c r="C855" i="16"/>
  <c r="K855" i="16" s="1"/>
  <c r="E855" i="16"/>
  <c r="F855" i="16"/>
  <c r="O855" i="16" s="1"/>
  <c r="G855" i="16"/>
  <c r="I855" i="16"/>
  <c r="B856" i="16"/>
  <c r="M800" i="16"/>
  <c r="D800" i="16"/>
  <c r="J800" i="16"/>
  <c r="N800" i="16" s="1"/>
  <c r="P800" i="16"/>
  <c r="Q800" i="16"/>
  <c r="R800" i="16"/>
  <c r="L801" i="16"/>
  <c r="C801" i="16"/>
  <c r="E801" i="16"/>
  <c r="G801" i="16"/>
  <c r="I801" i="16"/>
  <c r="B802" i="16"/>
  <c r="U745" i="16"/>
  <c r="S745" i="16"/>
  <c r="T745" i="16" s="1"/>
  <c r="M746" i="16"/>
  <c r="D746" i="16"/>
  <c r="J746" i="16"/>
  <c r="N746" i="16" s="1"/>
  <c r="Q746" i="16"/>
  <c r="P746" i="16"/>
  <c r="R746" i="16"/>
  <c r="L747" i="16"/>
  <c r="C747" i="16"/>
  <c r="E747" i="16"/>
  <c r="G747" i="16"/>
  <c r="I747" i="16"/>
  <c r="B748" i="16"/>
  <c r="U691" i="16"/>
  <c r="S691" i="16"/>
  <c r="T691" i="16" s="1"/>
  <c r="M692" i="16"/>
  <c r="D692" i="16"/>
  <c r="J692" i="16"/>
  <c r="N692" i="16" s="1"/>
  <c r="Q692" i="16"/>
  <c r="P692" i="16"/>
  <c r="R692" i="16"/>
  <c r="L693" i="16"/>
  <c r="C693" i="16"/>
  <c r="K693" i="16" s="1"/>
  <c r="E693" i="16"/>
  <c r="F693" i="16"/>
  <c r="O693" i="16" s="1"/>
  <c r="G693" i="16"/>
  <c r="I693" i="16"/>
  <c r="B694" i="16"/>
  <c r="U637" i="16"/>
  <c r="S637" i="16"/>
  <c r="T637" i="16" s="1"/>
  <c r="M638" i="16"/>
  <c r="D638" i="16"/>
  <c r="J638" i="16"/>
  <c r="N638" i="16" s="1"/>
  <c r="Q638" i="16"/>
  <c r="P638" i="16"/>
  <c r="R638" i="16"/>
  <c r="L639" i="16"/>
  <c r="C639" i="16"/>
  <c r="K639" i="16" s="1"/>
  <c r="E639" i="16"/>
  <c r="F639" i="16"/>
  <c r="O639" i="16" s="1"/>
  <c r="G639" i="16"/>
  <c r="I639" i="16"/>
  <c r="B640" i="16"/>
  <c r="M584" i="16"/>
  <c r="D584" i="16"/>
  <c r="J584" i="16"/>
  <c r="N584" i="16" s="1"/>
  <c r="Q584" i="16"/>
  <c r="P584" i="16"/>
  <c r="R584" i="16"/>
  <c r="L585" i="16"/>
  <c r="C585" i="16"/>
  <c r="K585" i="16" s="1"/>
  <c r="E585" i="16"/>
  <c r="F585" i="16"/>
  <c r="O585" i="16" s="1"/>
  <c r="G585" i="16"/>
  <c r="I585" i="16"/>
  <c r="B586" i="16"/>
  <c r="D530" i="16"/>
  <c r="J530" i="16"/>
  <c r="P530" i="16"/>
  <c r="Q530" i="16"/>
  <c r="R530" i="16"/>
  <c r="L531" i="16"/>
  <c r="C531" i="16"/>
  <c r="E531" i="16"/>
  <c r="G531" i="16"/>
  <c r="I531" i="16"/>
  <c r="B532" i="16"/>
  <c r="U475" i="16"/>
  <c r="S475" i="16"/>
  <c r="T475" i="16" s="1"/>
  <c r="D476" i="16"/>
  <c r="J476" i="16"/>
  <c r="Q476" i="16"/>
  <c r="P476" i="16"/>
  <c r="R476" i="16"/>
  <c r="L477" i="16"/>
  <c r="C477" i="16"/>
  <c r="K477" i="16" s="1"/>
  <c r="E477" i="16"/>
  <c r="F477" i="16"/>
  <c r="O477" i="16" s="1"/>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U367" i="16"/>
  <c r="S367" i="16"/>
  <c r="T367" i="16" s="1"/>
  <c r="M368" i="16"/>
  <c r="D368" i="16"/>
  <c r="J368" i="16"/>
  <c r="N368" i="16" s="1"/>
  <c r="P368" i="16"/>
  <c r="Q368" i="16"/>
  <c r="R368" i="16"/>
  <c r="L369" i="16"/>
  <c r="C369" i="16"/>
  <c r="K369" i="16" s="1"/>
  <c r="E369" i="16"/>
  <c r="F369" i="16"/>
  <c r="O369" i="16" s="1"/>
  <c r="G369" i="16"/>
  <c r="I369" i="16"/>
  <c r="B370" i="16"/>
  <c r="U313" i="16"/>
  <c r="S313" i="16"/>
  <c r="T313" i="16" s="1"/>
  <c r="M314" i="16"/>
  <c r="D314" i="16"/>
  <c r="J314" i="16"/>
  <c r="N314" i="16" s="1"/>
  <c r="P314" i="16"/>
  <c r="Q314" i="16"/>
  <c r="R314" i="16"/>
  <c r="L315" i="16"/>
  <c r="C315" i="16"/>
  <c r="K315" i="16" s="1"/>
  <c r="E315" i="16"/>
  <c r="F315" i="16"/>
  <c r="O315" i="16" s="1"/>
  <c r="G315" i="16"/>
  <c r="I315" i="16"/>
  <c r="B316" i="16"/>
  <c r="U259" i="16"/>
  <c r="S259" i="16"/>
  <c r="T259" i="16" s="1"/>
  <c r="D260" i="16"/>
  <c r="J260" i="16"/>
  <c r="P260" i="16"/>
  <c r="Q260" i="16"/>
  <c r="R260" i="16"/>
  <c r="L261" i="16"/>
  <c r="C261" i="16"/>
  <c r="E261" i="16"/>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U151" i="16"/>
  <c r="S151" i="16"/>
  <c r="T151" i="16" s="1"/>
  <c r="M152" i="16"/>
  <c r="D152" i="16"/>
  <c r="J152" i="16"/>
  <c r="N152" i="16" s="1"/>
  <c r="P152" i="16"/>
  <c r="Q152" i="16"/>
  <c r="R152" i="16"/>
  <c r="L153" i="16"/>
  <c r="C153" i="16"/>
  <c r="E153" i="16"/>
  <c r="G153" i="16"/>
  <c r="I153" i="16"/>
  <c r="B154" i="16"/>
  <c r="U97" i="16"/>
  <c r="S97" i="16"/>
  <c r="T97" i="16" s="1"/>
  <c r="M98" i="16"/>
  <c r="D98" i="16"/>
  <c r="J98" i="16"/>
  <c r="N98" i="16" s="1"/>
  <c r="P98" i="16"/>
  <c r="Q98" i="16"/>
  <c r="R98" i="16"/>
  <c r="L99" i="16"/>
  <c r="C99" i="16"/>
  <c r="K99" i="16" s="1"/>
  <c r="E99" i="16"/>
  <c r="F99" i="16"/>
  <c r="O99" i="16" s="1"/>
  <c r="G99" i="16"/>
  <c r="I99" i="16"/>
  <c r="B100" i="16"/>
  <c r="C69" i="7"/>
  <c r="G69" i="7" s="1"/>
  <c r="U35" i="4"/>
  <c r="S35" i="4"/>
  <c r="T35" i="4" s="1"/>
  <c r="M36" i="4"/>
  <c r="D36" i="4"/>
  <c r="J36" i="4"/>
  <c r="N36" i="4" s="1"/>
  <c r="O36" i="4"/>
  <c r="E71" i="7"/>
  <c r="AN36" i="4"/>
  <c r="AM36" i="4"/>
  <c r="AL36" i="4"/>
  <c r="AK36" i="4"/>
  <c r="AJ36" i="4"/>
  <c r="AI36" i="4"/>
  <c r="AH36" i="4"/>
  <c r="AG36" i="4"/>
  <c r="AF36" i="4"/>
  <c r="AE36" i="4"/>
  <c r="AD36" i="4"/>
  <c r="AC36" i="4"/>
  <c r="AB36" i="4"/>
  <c r="AA36" i="4"/>
  <c r="Z36" i="4"/>
  <c r="Y36" i="4"/>
  <c r="X36" i="4"/>
  <c r="W36" i="4"/>
  <c r="P36" i="4"/>
  <c r="F36" i="5" s="1"/>
  <c r="Q36" i="4"/>
  <c r="G36" i="5" s="1"/>
  <c r="R36" i="4"/>
  <c r="H36" i="5" s="1"/>
  <c r="V36" i="4"/>
  <c r="L37" i="4"/>
  <c r="C37" i="4"/>
  <c r="K37" i="4" s="1"/>
  <c r="E37" i="4"/>
  <c r="F37" i="4"/>
  <c r="C37" i="5" s="1"/>
  <c r="E37" i="5" s="1"/>
  <c r="G37" i="4"/>
  <c r="AP37" i="4" s="1"/>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U4230" i="16"/>
  <c r="S4230" i="16"/>
  <c r="T4230" i="16" s="1"/>
  <c r="U3606" i="16"/>
  <c r="S3606" i="16"/>
  <c r="T3606" i="16" s="1"/>
  <c r="U3498" i="16"/>
  <c r="S3498" i="16"/>
  <c r="T3498" i="16" s="1"/>
  <c r="U3174" i="16"/>
  <c r="S3174" i="16"/>
  <c r="T3174" i="16" s="1"/>
  <c r="U3120" i="16"/>
  <c r="S3120" i="16"/>
  <c r="T3120" i="16" s="1"/>
  <c r="U3012" i="16"/>
  <c r="S3012" i="16"/>
  <c r="T3012" i="16" s="1"/>
  <c r="U2850" i="16"/>
  <c r="S2850" i="16"/>
  <c r="T2850" i="16" s="1"/>
  <c r="U2364" i="16"/>
  <c r="S2364" i="16"/>
  <c r="T2364" i="16" s="1"/>
  <c r="U2094" i="16"/>
  <c r="S2094" i="16"/>
  <c r="T2094" i="16" s="1"/>
  <c r="U2040" i="16"/>
  <c r="S2040" i="16"/>
  <c r="T2040" i="16" s="1"/>
  <c r="U1824" i="16"/>
  <c r="S1824" i="16"/>
  <c r="T1824" i="16" s="1"/>
  <c r="U1554" i="16"/>
  <c r="S1554" i="16"/>
  <c r="T1554" i="16" s="1"/>
  <c r="U1500" i="16"/>
  <c r="S1500" i="16"/>
  <c r="T1500" i="16" s="1"/>
  <c r="U1446" i="16"/>
  <c r="S1446" i="16"/>
  <c r="T1446" i="16" s="1"/>
  <c r="U1338" i="16"/>
  <c r="S1338" i="16"/>
  <c r="T1338" i="16" s="1"/>
  <c r="U1284" i="16"/>
  <c r="S1284" i="16"/>
  <c r="T1284" i="16" s="1"/>
  <c r="S1231" i="16"/>
  <c r="T1231" i="16" s="1"/>
  <c r="U1231" i="16"/>
  <c r="U1014" i="16"/>
  <c r="S1014" i="16"/>
  <c r="T1014" i="16" s="1"/>
  <c r="U744" i="16"/>
  <c r="S744" i="16"/>
  <c r="T744" i="16" s="1"/>
  <c r="U474" i="16"/>
  <c r="S474" i="16"/>
  <c r="T474" i="16" s="1"/>
  <c r="U258" i="16"/>
  <c r="S258" i="16"/>
  <c r="T258" i="16" s="1"/>
  <c r="M4585" i="16"/>
  <c r="N4585" i="16"/>
  <c r="M4531" i="16"/>
  <c r="N4531" i="16"/>
  <c r="M4123" i="16"/>
  <c r="N4123" i="16" s="1"/>
  <c r="M3769" i="16"/>
  <c r="N3769" i="16"/>
  <c r="M3715" i="16"/>
  <c r="N3715" i="16"/>
  <c r="N3499" i="16"/>
  <c r="M3499" i="16"/>
  <c r="M3445" i="16"/>
  <c r="N3445" i="16"/>
  <c r="M3283" i="16"/>
  <c r="N3283" i="16"/>
  <c r="N3175" i="16"/>
  <c r="M3175" i="16"/>
  <c r="N3067" i="16"/>
  <c r="M3067" i="16"/>
  <c r="M2581" i="16"/>
  <c r="N2581" i="16"/>
  <c r="M2311" i="16"/>
  <c r="N2311" i="16"/>
  <c r="N2203" i="16"/>
  <c r="M2203" i="16"/>
  <c r="M1825" i="16"/>
  <c r="N1825" i="16"/>
  <c r="M1663" i="16"/>
  <c r="N1663" i="16"/>
  <c r="M1609" i="16"/>
  <c r="N1609" i="16"/>
  <c r="M1285" i="16"/>
  <c r="N1285" i="16"/>
  <c r="M1069" i="16"/>
  <c r="N1069" i="16"/>
  <c r="M853" i="16"/>
  <c r="N853" i="16"/>
  <c r="M799" i="16"/>
  <c r="N799" i="16"/>
  <c r="M583" i="16"/>
  <c r="N583" i="16"/>
  <c r="M529" i="16"/>
  <c r="N529" i="16"/>
  <c r="K4532" i="16"/>
  <c r="F4532" i="16"/>
  <c r="F4232" i="16"/>
  <c r="O4232" i="16" s="1"/>
  <c r="K4232" i="16"/>
  <c r="K4178" i="16"/>
  <c r="F4178" i="16"/>
  <c r="O4178" i="16" s="1"/>
  <c r="K3446" i="16"/>
  <c r="F3446" i="16"/>
  <c r="O3446" i="16" s="1"/>
  <c r="K3230" i="16"/>
  <c r="F3230" i="16"/>
  <c r="O3230" i="16" s="1"/>
  <c r="F3176" i="16"/>
  <c r="O3176" i="16" s="1"/>
  <c r="K3176" i="16"/>
  <c r="F3122" i="16"/>
  <c r="O3122" i="16" s="1"/>
  <c r="K3122" i="16"/>
  <c r="F3068" i="16"/>
  <c r="O3068" i="16" s="1"/>
  <c r="K3068" i="16"/>
  <c r="K3014" i="16"/>
  <c r="F3014" i="16"/>
  <c r="O3014" i="16" s="1"/>
  <c r="K2906" i="16"/>
  <c r="F2906" i="16"/>
  <c r="O2906" i="16" s="1"/>
  <c r="F2582" i="16"/>
  <c r="O2582" i="16" s="1"/>
  <c r="K2582" i="16"/>
  <c r="K2096" i="16"/>
  <c r="F2096" i="16"/>
  <c r="O2096" i="16" s="1"/>
  <c r="F1772" i="16"/>
  <c r="O1772" i="16" s="1"/>
  <c r="K1772" i="16"/>
  <c r="K1556" i="16"/>
  <c r="F1556" i="16"/>
  <c r="O1556" i="16" s="1"/>
  <c r="K1502" i="16"/>
  <c r="F1502" i="16"/>
  <c r="O1502" i="16" s="1"/>
  <c r="K1448" i="16"/>
  <c r="F1448" i="16"/>
  <c r="O1448" i="16" s="1"/>
  <c r="F1233" i="16"/>
  <c r="O1233" i="16" s="1"/>
  <c r="K1233" i="16"/>
  <c r="F962" i="16"/>
  <c r="O962" i="16" s="1"/>
  <c r="K962" i="16"/>
  <c r="K530" i="16"/>
  <c r="F530" i="16"/>
  <c r="O530" i="16" s="1"/>
  <c r="F476" i="16"/>
  <c r="O476" i="16" s="1"/>
  <c r="K476" i="16"/>
  <c r="F260" i="16"/>
  <c r="O260" i="16" s="1"/>
  <c r="K260" i="16"/>
  <c r="F35" i="5"/>
  <c r="G35" i="5"/>
  <c r="H35" i="5"/>
  <c r="N2420" i="16" l="1"/>
  <c r="N1124" i="16"/>
  <c r="K3501" i="16"/>
  <c r="F3501" i="16"/>
  <c r="O3501" i="16" s="1"/>
  <c r="K3231" i="16"/>
  <c r="F3231" i="16"/>
  <c r="O3231" i="16" s="1"/>
  <c r="K2367" i="16"/>
  <c r="F2367" i="16"/>
  <c r="O2367" i="16" s="1"/>
  <c r="K2259" i="16"/>
  <c r="F2259" i="16"/>
  <c r="O2259" i="16" s="1"/>
  <c r="K2205" i="16"/>
  <c r="F2205" i="16"/>
  <c r="O2205" i="16" s="1"/>
  <c r="K1989" i="16"/>
  <c r="F1989" i="16"/>
  <c r="O1989" i="16" s="1"/>
  <c r="K1773" i="16"/>
  <c r="F1773" i="16"/>
  <c r="O1773" i="16" s="1"/>
  <c r="K1395" i="16"/>
  <c r="F1395" i="16"/>
  <c r="O1395" i="16" s="1"/>
  <c r="K1341" i="16"/>
  <c r="F1341" i="16"/>
  <c r="O1341" i="16" s="1"/>
  <c r="K1234" i="16"/>
  <c r="F1234" i="16"/>
  <c r="O1234" i="16" s="1"/>
  <c r="K1179" i="16"/>
  <c r="F1179" i="16"/>
  <c r="O1179" i="16" s="1"/>
  <c r="K801" i="16"/>
  <c r="F801" i="16"/>
  <c r="O801" i="16" s="1"/>
  <c r="K747" i="16"/>
  <c r="F747" i="16"/>
  <c r="O747" i="16" s="1"/>
  <c r="K153" i="16"/>
  <c r="F153" i="16"/>
  <c r="O153" i="16" s="1"/>
  <c r="U4694" i="16"/>
  <c r="S4694" i="16"/>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D4587" i="16"/>
  <c r="J4587" i="16"/>
  <c r="P4587" i="16"/>
  <c r="Q4587" i="16"/>
  <c r="R4587" i="16"/>
  <c r="L4588" i="16"/>
  <c r="C4588" i="16"/>
  <c r="K4588" i="16" s="1"/>
  <c r="E4588" i="16"/>
  <c r="F4588" i="16"/>
  <c r="G4588" i="16"/>
  <c r="I4588" i="16"/>
  <c r="B4589" i="16"/>
  <c r="D4533" i="16"/>
  <c r="J4533" i="16"/>
  <c r="P4533" i="16"/>
  <c r="Q4533" i="16"/>
  <c r="R4533" i="16"/>
  <c r="L4534" i="16"/>
  <c r="C4534" i="16"/>
  <c r="K4534" i="16" s="1"/>
  <c r="E4534" i="16"/>
  <c r="F4534" i="16"/>
  <c r="G4534" i="16"/>
  <c r="I4534" i="16"/>
  <c r="B4535" i="16"/>
  <c r="P4233" i="16"/>
  <c r="Q4233" i="16"/>
  <c r="R4233" i="16"/>
  <c r="D4233" i="16"/>
  <c r="J4233" i="16"/>
  <c r="N4233" i="16" s="1"/>
  <c r="M4233" i="16"/>
  <c r="G4234" i="16"/>
  <c r="L4234" i="16"/>
  <c r="B4235" i="16"/>
  <c r="C4234" i="16"/>
  <c r="F4234" i="16" s="1"/>
  <c r="O4234" i="16" s="1"/>
  <c r="E4234" i="16"/>
  <c r="I4234" i="16"/>
  <c r="K4234" i="16"/>
  <c r="P4179" i="16"/>
  <c r="Q4179" i="16"/>
  <c r="R4179" i="16"/>
  <c r="M4179" i="16"/>
  <c r="J4179" i="16"/>
  <c r="N4179" i="16" s="1"/>
  <c r="D4179" i="16"/>
  <c r="E4180" i="16"/>
  <c r="G4180" i="16"/>
  <c r="I4180" i="16"/>
  <c r="B4181" i="16"/>
  <c r="C4180" i="16"/>
  <c r="K4180" i="16" s="1"/>
  <c r="F4180" i="16"/>
  <c r="O4180" i="16" s="1"/>
  <c r="L4180" i="16"/>
  <c r="D4125" i="16"/>
  <c r="J4125" i="16"/>
  <c r="N4125" i="16" s="1"/>
  <c r="P4125" i="16"/>
  <c r="Q4125" i="16"/>
  <c r="R4125" i="16"/>
  <c r="M4125" i="16"/>
  <c r="E4126" i="16"/>
  <c r="L4126" i="16"/>
  <c r="B4127" i="16"/>
  <c r="C4126" i="16"/>
  <c r="F4126" i="16"/>
  <c r="O4126" i="16" s="1"/>
  <c r="G4126" i="16"/>
  <c r="I4126" i="16"/>
  <c r="K4126" i="16"/>
  <c r="U4124" i="16"/>
  <c r="S4124" i="16"/>
  <c r="T4124" i="16" s="1"/>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M3771" i="16"/>
  <c r="D3771" i="16"/>
  <c r="J3771" i="16"/>
  <c r="N3771" i="16" s="1"/>
  <c r="P3771" i="16"/>
  <c r="Q3771" i="16"/>
  <c r="R3771" i="16"/>
  <c r="L3772" i="16"/>
  <c r="C3772" i="16"/>
  <c r="K3772" i="16" s="1"/>
  <c r="E3772" i="16"/>
  <c r="F3772" i="16"/>
  <c r="O3772" i="16" s="1"/>
  <c r="G3772" i="16"/>
  <c r="I3772" i="16"/>
  <c r="B3773" i="16"/>
  <c r="U3716" i="16"/>
  <c r="S3716" i="16"/>
  <c r="T3716" i="16" s="1"/>
  <c r="D3717" i="16"/>
  <c r="J3717" i="16"/>
  <c r="P3717" i="16"/>
  <c r="Q3717" i="16"/>
  <c r="R3717" i="16"/>
  <c r="L3718" i="16"/>
  <c r="C3718" i="16"/>
  <c r="K3718" i="16" s="1"/>
  <c r="E3718" i="16"/>
  <c r="F3718" i="16"/>
  <c r="O3718" i="16" s="1"/>
  <c r="G3718" i="16"/>
  <c r="I3718" i="16"/>
  <c r="B3719" i="16"/>
  <c r="S3662" i="16"/>
  <c r="T3662" i="16" s="1"/>
  <c r="U3662" i="16"/>
  <c r="D3663" i="16"/>
  <c r="J3663" i="16"/>
  <c r="P3663" i="16"/>
  <c r="Q3663" i="16"/>
  <c r="R3663" i="16"/>
  <c r="L3664" i="16"/>
  <c r="C3664" i="16"/>
  <c r="K3664" i="16" s="1"/>
  <c r="E3664" i="16"/>
  <c r="F3664" i="16"/>
  <c r="O3664" i="16" s="1"/>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E3556" i="16"/>
  <c r="G3556" i="16"/>
  <c r="I3556" i="16"/>
  <c r="B3557" i="16"/>
  <c r="U3500" i="16"/>
  <c r="S3500" i="16"/>
  <c r="T3500" i="16" s="1"/>
  <c r="M3501" i="16"/>
  <c r="D3501" i="16"/>
  <c r="J3501" i="16"/>
  <c r="N3501" i="16" s="1"/>
  <c r="P3501" i="16"/>
  <c r="Q3501" i="16"/>
  <c r="R3501" i="16"/>
  <c r="L3502" i="16"/>
  <c r="C3502" i="16"/>
  <c r="K3502" i="16" s="1"/>
  <c r="E3502" i="16"/>
  <c r="F3502" i="16"/>
  <c r="O3502" i="16" s="1"/>
  <c r="G3502" i="16"/>
  <c r="I3502" i="16"/>
  <c r="B3503" i="16"/>
  <c r="M3447" i="16"/>
  <c r="D3447" i="16"/>
  <c r="J3447" i="16"/>
  <c r="N3447" i="16" s="1"/>
  <c r="P3447" i="16"/>
  <c r="Q3447" i="16"/>
  <c r="R3447" i="16"/>
  <c r="L3448" i="16"/>
  <c r="C3448" i="16"/>
  <c r="E3448" i="16"/>
  <c r="G3448" i="16"/>
  <c r="B3449" i="16"/>
  <c r="I3448" i="16"/>
  <c r="U3392" i="16"/>
  <c r="S3392" i="16"/>
  <c r="T3392" i="16" s="1"/>
  <c r="M3393" i="16"/>
  <c r="D3393" i="16"/>
  <c r="J3393" i="16"/>
  <c r="N3393" i="16" s="1"/>
  <c r="P3393" i="16"/>
  <c r="Q3393" i="16"/>
  <c r="R3393" i="16"/>
  <c r="L3394" i="16"/>
  <c r="C3394" i="16"/>
  <c r="E3394" i="16"/>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M3231" i="16"/>
  <c r="L3232" i="16"/>
  <c r="E3232" i="16"/>
  <c r="C3232" i="16"/>
  <c r="K3232" i="16" s="1"/>
  <c r="I3232" i="16"/>
  <c r="F3232" i="16"/>
  <c r="O3232" i="16" s="1"/>
  <c r="B3233" i="16"/>
  <c r="G3232" i="16"/>
  <c r="D3231" i="16"/>
  <c r="J3231" i="16"/>
  <c r="N3231" i="16" s="1"/>
  <c r="P3231" i="16"/>
  <c r="Q3231" i="16"/>
  <c r="R3231" i="16"/>
  <c r="D3177" i="16"/>
  <c r="J3177" i="16"/>
  <c r="P3177" i="16"/>
  <c r="Q3177" i="16"/>
  <c r="R3177" i="16"/>
  <c r="L3178" i="16"/>
  <c r="E3178" i="16"/>
  <c r="G3178" i="16"/>
  <c r="I3178" i="16"/>
  <c r="C3178" i="16"/>
  <c r="B3179" i="16"/>
  <c r="L3124" i="16"/>
  <c r="G3124" i="16"/>
  <c r="C3124" i="16"/>
  <c r="B3125" i="16"/>
  <c r="I3124" i="16"/>
  <c r="E3124" i="16"/>
  <c r="J3123" i="16"/>
  <c r="D3123" i="16"/>
  <c r="P3123" i="16"/>
  <c r="Q3123" i="16"/>
  <c r="R3123" i="16"/>
  <c r="P3069" i="16"/>
  <c r="Q3069" i="16"/>
  <c r="R3069" i="16"/>
  <c r="L3070" i="16"/>
  <c r="E3070" i="16"/>
  <c r="G3070" i="16"/>
  <c r="I3070" i="16"/>
  <c r="B3071" i="16"/>
  <c r="C3070" i="16"/>
  <c r="K3070" i="16" s="1"/>
  <c r="F3070" i="16"/>
  <c r="O3070" i="16" s="1"/>
  <c r="D3069" i="16"/>
  <c r="J3069" i="16"/>
  <c r="M3015" i="16"/>
  <c r="J3015" i="16"/>
  <c r="N3015" i="16" s="1"/>
  <c r="D3015" i="16"/>
  <c r="L3016" i="16"/>
  <c r="C3016" i="16"/>
  <c r="K3016" i="16" s="1"/>
  <c r="B3017" i="16"/>
  <c r="G3016" i="16"/>
  <c r="I3016" i="16"/>
  <c r="E3016" i="16"/>
  <c r="F3016" i="16"/>
  <c r="O3016" i="16" s="1"/>
  <c r="P3015" i="16"/>
  <c r="Q3015" i="16"/>
  <c r="R3015" i="16"/>
  <c r="U2960" i="16"/>
  <c r="S2960" i="16"/>
  <c r="T2960" i="16" s="1"/>
  <c r="M2961" i="16"/>
  <c r="D2961" i="16"/>
  <c r="J2961" i="16"/>
  <c r="N2961" i="16" s="1"/>
  <c r="P2961" i="16"/>
  <c r="Q2961" i="16"/>
  <c r="R2961" i="16"/>
  <c r="L2962" i="16"/>
  <c r="C2962" i="16"/>
  <c r="K2962" i="16" s="1"/>
  <c r="E2962" i="16"/>
  <c r="F2962" i="16"/>
  <c r="O2962" i="16" s="1"/>
  <c r="G2962" i="16"/>
  <c r="I2962" i="16"/>
  <c r="B2963" i="16"/>
  <c r="M2907" i="16"/>
  <c r="D2907" i="16"/>
  <c r="J2907" i="16"/>
  <c r="N2907" i="16" s="1"/>
  <c r="P2907" i="16"/>
  <c r="Q2907" i="16"/>
  <c r="R2907" i="16"/>
  <c r="L2908" i="16"/>
  <c r="C2908" i="16"/>
  <c r="K2908" i="16" s="1"/>
  <c r="E2908" i="16"/>
  <c r="F2908" i="16"/>
  <c r="O2908" i="16" s="1"/>
  <c r="G2908" i="16"/>
  <c r="I2908" i="16"/>
  <c r="B2909" i="16"/>
  <c r="U2852" i="16"/>
  <c r="S2852" i="16"/>
  <c r="T2852" i="16" s="1"/>
  <c r="D2853" i="16"/>
  <c r="J2853" i="16"/>
  <c r="P2853" i="16"/>
  <c r="Q2853" i="16"/>
  <c r="R2853" i="16"/>
  <c r="L2854" i="16"/>
  <c r="C2854" i="16"/>
  <c r="K2854" i="16" s="1"/>
  <c r="E2854" i="16"/>
  <c r="F2854" i="16"/>
  <c r="O2854" i="16" s="1"/>
  <c r="G2854" i="16"/>
  <c r="I2854" i="16"/>
  <c r="B2855" i="16"/>
  <c r="D2799" i="16"/>
  <c r="J2799" i="16"/>
  <c r="P2799" i="16"/>
  <c r="Q2799" i="16"/>
  <c r="R2799" i="16"/>
  <c r="L2800" i="16"/>
  <c r="C2800" i="16"/>
  <c r="K2800" i="16" s="1"/>
  <c r="E2800" i="16"/>
  <c r="F2800" i="16"/>
  <c r="O2800" i="16" s="1"/>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K2692" i="16" s="1"/>
  <c r="E2692" i="16"/>
  <c r="F2692" i="16"/>
  <c r="O2692" i="16" s="1"/>
  <c r="G2692" i="16"/>
  <c r="I2692" i="16"/>
  <c r="B2693" i="16"/>
  <c r="U2636" i="16"/>
  <c r="S2636" i="16"/>
  <c r="T2636" i="16" s="1"/>
  <c r="M2637" i="16"/>
  <c r="D2637" i="16"/>
  <c r="J2637" i="16"/>
  <c r="N2637" i="16" s="1"/>
  <c r="P2637" i="16"/>
  <c r="Q2637" i="16"/>
  <c r="R2637" i="16"/>
  <c r="L2638" i="16"/>
  <c r="C2638" i="16"/>
  <c r="E2638" i="16"/>
  <c r="G2638" i="16"/>
  <c r="I2638" i="16"/>
  <c r="B2639" i="16"/>
  <c r="M2583" i="16"/>
  <c r="D2583" i="16"/>
  <c r="J2583" i="16"/>
  <c r="N2583" i="16" s="1"/>
  <c r="P2583" i="16"/>
  <c r="Q2583" i="16"/>
  <c r="R2583" i="16"/>
  <c r="L2584" i="16"/>
  <c r="C2584" i="16"/>
  <c r="E2584" i="16"/>
  <c r="G2584" i="16"/>
  <c r="I2584" i="16"/>
  <c r="B2585" i="16"/>
  <c r="U2528" i="16"/>
  <c r="S2528" i="16"/>
  <c r="T2528" i="16" s="1"/>
  <c r="M2529" i="16"/>
  <c r="D2529" i="16"/>
  <c r="J2529" i="16"/>
  <c r="N2529" i="16" s="1"/>
  <c r="Q2529" i="16"/>
  <c r="P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M2421" i="16"/>
  <c r="D2421" i="16"/>
  <c r="J2421" i="16"/>
  <c r="N2421" i="16" s="1"/>
  <c r="Q2421" i="16"/>
  <c r="R2421" i="16"/>
  <c r="P2421" i="16"/>
  <c r="L2422" i="16"/>
  <c r="C2422" i="16"/>
  <c r="E2422" i="16"/>
  <c r="G2422" i="16"/>
  <c r="I2422" i="16"/>
  <c r="B2423" i="16"/>
  <c r="U2366" i="16"/>
  <c r="S2366" i="16"/>
  <c r="T2366" i="16" s="1"/>
  <c r="M2367" i="16"/>
  <c r="D2367" i="16"/>
  <c r="J2367" i="16"/>
  <c r="N2367" i="16" s="1"/>
  <c r="Q2367" i="16"/>
  <c r="R2367" i="16"/>
  <c r="P2367" i="16"/>
  <c r="L2368" i="16"/>
  <c r="C2368" i="16"/>
  <c r="E2368" i="16"/>
  <c r="G2368" i="16"/>
  <c r="I2368" i="16"/>
  <c r="B2369" i="16"/>
  <c r="U2312" i="16"/>
  <c r="S2312" i="16"/>
  <c r="T2312" i="16" s="1"/>
  <c r="D2313" i="16"/>
  <c r="J2313" i="16"/>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U2150" i="16"/>
  <c r="S2150" i="16"/>
  <c r="T2150" i="16" s="1"/>
  <c r="M2151" i="16"/>
  <c r="D2151" i="16"/>
  <c r="J2151" i="16"/>
  <c r="N2151" i="16" s="1"/>
  <c r="P2151" i="16"/>
  <c r="Q2151" i="16"/>
  <c r="R2151" i="16"/>
  <c r="L2152" i="16"/>
  <c r="C2152" i="16"/>
  <c r="K2152" i="16" s="1"/>
  <c r="E2152" i="16"/>
  <c r="F2152" i="16"/>
  <c r="O2152" i="16" s="1"/>
  <c r="G2152" i="16"/>
  <c r="B2153" i="16"/>
  <c r="I2152" i="16"/>
  <c r="M2097" i="16"/>
  <c r="D2097" i="16"/>
  <c r="J2097" i="16"/>
  <c r="N2097" i="16" s="1"/>
  <c r="P2097" i="16"/>
  <c r="Q2097" i="16"/>
  <c r="R2097" i="16"/>
  <c r="L2098" i="16"/>
  <c r="C2098" i="16"/>
  <c r="E2098" i="16"/>
  <c r="G2098" i="16"/>
  <c r="I2098" i="16"/>
  <c r="B2099" i="16"/>
  <c r="U2042" i="16"/>
  <c r="S2042" i="16"/>
  <c r="T2042" i="16" s="1"/>
  <c r="M2043" i="16"/>
  <c r="D2043" i="16"/>
  <c r="J2043" i="16"/>
  <c r="N2043" i="16" s="1"/>
  <c r="P2043" i="16"/>
  <c r="Q2043" i="16"/>
  <c r="R2043" i="16"/>
  <c r="L2044" i="16"/>
  <c r="C2044" i="16"/>
  <c r="K2044" i="16" s="1"/>
  <c r="E2044" i="16"/>
  <c r="F2044" i="16"/>
  <c r="O2044" i="16" s="1"/>
  <c r="G2044" i="16"/>
  <c r="I2044" i="16"/>
  <c r="B2045" i="16"/>
  <c r="U1988" i="16"/>
  <c r="S1988" i="16"/>
  <c r="T1988" i="16" s="1"/>
  <c r="M1989" i="16"/>
  <c r="D1989" i="16"/>
  <c r="J1989" i="16"/>
  <c r="N1989" i="16" s="1"/>
  <c r="P1989" i="16"/>
  <c r="Q1989" i="16"/>
  <c r="R1989" i="16"/>
  <c r="L1990" i="16"/>
  <c r="C1990" i="16"/>
  <c r="K1990" i="16" s="1"/>
  <c r="E1990" i="16"/>
  <c r="F1990" i="16"/>
  <c r="O1990" i="16" s="1"/>
  <c r="G1990" i="16"/>
  <c r="I1990" i="16"/>
  <c r="B1991" i="16"/>
  <c r="U1934" i="16"/>
  <c r="S1934" i="16"/>
  <c r="T1934" i="16" s="1"/>
  <c r="M1935" i="16"/>
  <c r="D1935" i="16"/>
  <c r="J1935" i="16"/>
  <c r="N1935" i="16" s="1"/>
  <c r="P1935" i="16"/>
  <c r="Q1935" i="16"/>
  <c r="R1935" i="16"/>
  <c r="L1936" i="16"/>
  <c r="C1936" i="16"/>
  <c r="K1936" i="16" s="1"/>
  <c r="E1936" i="16"/>
  <c r="F1936" i="16"/>
  <c r="O1936" i="16" s="1"/>
  <c r="G1936" i="16"/>
  <c r="I1936" i="16"/>
  <c r="B1937" i="16"/>
  <c r="S1880" i="16"/>
  <c r="T1880" i="16" s="1"/>
  <c r="U1880" i="16"/>
  <c r="D1881" i="16"/>
  <c r="J1881" i="16"/>
  <c r="P1881" i="16"/>
  <c r="Q1881" i="16"/>
  <c r="R1881" i="16"/>
  <c r="L1882" i="16"/>
  <c r="C1882" i="16"/>
  <c r="E1882" i="16"/>
  <c r="G1882" i="16"/>
  <c r="I1882" i="16"/>
  <c r="B1883" i="16"/>
  <c r="U1826" i="16"/>
  <c r="S1826" i="16"/>
  <c r="T1826" i="16" s="1"/>
  <c r="D1827" i="16"/>
  <c r="J1827" i="16"/>
  <c r="P1827" i="16"/>
  <c r="Q1827" i="16"/>
  <c r="R1827" i="16"/>
  <c r="L1828" i="16"/>
  <c r="C1828" i="16"/>
  <c r="E1828" i="16"/>
  <c r="G1828" i="16"/>
  <c r="I1828" i="16"/>
  <c r="B1829" i="16"/>
  <c r="M1773" i="16"/>
  <c r="D1773" i="16"/>
  <c r="J1773" i="16"/>
  <c r="N1773" i="16" s="1"/>
  <c r="P1773" i="16"/>
  <c r="Q1773" i="16"/>
  <c r="R1773" i="16"/>
  <c r="L1774" i="16"/>
  <c r="C1774" i="16"/>
  <c r="K1774" i="16" s="1"/>
  <c r="E1774" i="16"/>
  <c r="F1774" i="16"/>
  <c r="O1774" i="16" s="1"/>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S1664" i="16"/>
  <c r="T1664" i="16" s="1"/>
  <c r="U1664" i="16"/>
  <c r="M1665" i="16"/>
  <c r="D1665" i="16"/>
  <c r="J1665" i="16"/>
  <c r="N1665" i="16" s="1"/>
  <c r="P1665" i="16"/>
  <c r="Q1665" i="16"/>
  <c r="R1665" i="16"/>
  <c r="L1666" i="16"/>
  <c r="C1666" i="16"/>
  <c r="K1666" i="16" s="1"/>
  <c r="E1666" i="16"/>
  <c r="F1666" i="16"/>
  <c r="O1666" i="16" s="1"/>
  <c r="G1666" i="16"/>
  <c r="I1666" i="16"/>
  <c r="B1667" i="16"/>
  <c r="U1610" i="16"/>
  <c r="S1610" i="16"/>
  <c r="T1610" i="16" s="1"/>
  <c r="M1611" i="16"/>
  <c r="D1611" i="16"/>
  <c r="J1611" i="16"/>
  <c r="N1611" i="16" s="1"/>
  <c r="P1611" i="16"/>
  <c r="Q1611" i="16"/>
  <c r="R1611" i="16"/>
  <c r="L1612" i="16"/>
  <c r="C1612" i="16"/>
  <c r="E1612" i="16"/>
  <c r="G1612" i="16"/>
  <c r="I1612" i="16"/>
  <c r="B1613" i="16"/>
  <c r="D1557" i="16"/>
  <c r="J1557" i="16"/>
  <c r="P1557" i="16"/>
  <c r="Q1557" i="16"/>
  <c r="R1557" i="16"/>
  <c r="L1558" i="16"/>
  <c r="C1558" i="16"/>
  <c r="K1558" i="16" s="1"/>
  <c r="E1558" i="16"/>
  <c r="F1558" i="16"/>
  <c r="O1558" i="16" s="1"/>
  <c r="G1558" i="16"/>
  <c r="I1558" i="16"/>
  <c r="B1559" i="16"/>
  <c r="M1503" i="16"/>
  <c r="D1503" i="16"/>
  <c r="J1503" i="16"/>
  <c r="N1503" i="16" s="1"/>
  <c r="P1503" i="16"/>
  <c r="Q1503" i="16"/>
  <c r="R1503" i="16"/>
  <c r="L1504" i="16"/>
  <c r="C1504" i="16"/>
  <c r="K1504" i="16" s="1"/>
  <c r="E1504" i="16"/>
  <c r="F1504" i="16"/>
  <c r="O1504" i="16" s="1"/>
  <c r="G1504" i="16"/>
  <c r="I1504" i="16"/>
  <c r="B1505" i="16"/>
  <c r="M1449" i="16"/>
  <c r="D1449" i="16"/>
  <c r="J1449" i="16"/>
  <c r="N1449" i="16" s="1"/>
  <c r="P1449" i="16"/>
  <c r="Q1449" i="16"/>
  <c r="R1449" i="16"/>
  <c r="L1450" i="16"/>
  <c r="G1450" i="16"/>
  <c r="I1450" i="16"/>
  <c r="B1451" i="16"/>
  <c r="C1450" i="16"/>
  <c r="E1450" i="16"/>
  <c r="U1394" i="16"/>
  <c r="S1394" i="16"/>
  <c r="T1394" i="16" s="1"/>
  <c r="M1395" i="16"/>
  <c r="P1395" i="16"/>
  <c r="Q1395" i="16"/>
  <c r="R1395" i="16"/>
  <c r="J1395" i="16"/>
  <c r="N1395" i="16" s="1"/>
  <c r="D1395" i="16"/>
  <c r="L1396" i="16"/>
  <c r="B1397" i="16"/>
  <c r="G1396" i="16"/>
  <c r="C1396" i="16"/>
  <c r="E1396" i="16"/>
  <c r="I1396" i="16"/>
  <c r="U1340" i="16"/>
  <c r="S1340" i="16"/>
  <c r="T1340" i="16" s="1"/>
  <c r="M1341" i="16"/>
  <c r="D1341" i="16"/>
  <c r="J1341" i="16"/>
  <c r="N1341" i="16" s="1"/>
  <c r="P1341" i="16"/>
  <c r="Q1341" i="16"/>
  <c r="R1341" i="16"/>
  <c r="L1342" i="16"/>
  <c r="G1342" i="16"/>
  <c r="C1342" i="16"/>
  <c r="K1342" i="16" s="1"/>
  <c r="F1342" i="16"/>
  <c r="O1342" i="16" s="1"/>
  <c r="B1343" i="16"/>
  <c r="E1342" i="16"/>
  <c r="I1342" i="16"/>
  <c r="U1286" i="16"/>
  <c r="S1286" i="16"/>
  <c r="T1286" i="16" s="1"/>
  <c r="M1287" i="16"/>
  <c r="P1287" i="16"/>
  <c r="Q1287" i="16"/>
  <c r="R1287" i="16"/>
  <c r="L1288" i="16"/>
  <c r="I1288" i="16"/>
  <c r="B1289" i="16"/>
  <c r="C1288" i="16"/>
  <c r="E1288" i="16"/>
  <c r="G1288" i="16"/>
  <c r="D1287" i="16"/>
  <c r="J1287" i="16"/>
  <c r="N1287" i="16" s="1"/>
  <c r="P1234" i="16"/>
  <c r="Q1234" i="16"/>
  <c r="R1234" i="16"/>
  <c r="L1235" i="16"/>
  <c r="E1235" i="16"/>
  <c r="C1235" i="16"/>
  <c r="I1235" i="16"/>
  <c r="B1236" i="16"/>
  <c r="G1235" i="16"/>
  <c r="J1234" i="16"/>
  <c r="D1234" i="16"/>
  <c r="M1234" i="16" s="1"/>
  <c r="U1178" i="16"/>
  <c r="S1178" i="16"/>
  <c r="T1178" i="16" s="1"/>
  <c r="M1179" i="16"/>
  <c r="D1179" i="16"/>
  <c r="J1179" i="16"/>
  <c r="N1179" i="16" s="1"/>
  <c r="P1179" i="16"/>
  <c r="Q1179" i="16"/>
  <c r="R1179" i="16"/>
  <c r="L1180" i="16"/>
  <c r="C1180" i="16"/>
  <c r="K1180" i="16" s="1"/>
  <c r="E1180" i="16"/>
  <c r="F1180" i="16"/>
  <c r="O1180" i="16" s="1"/>
  <c r="G1180" i="16"/>
  <c r="I1180" i="16"/>
  <c r="B1181" i="16"/>
  <c r="U1124" i="16"/>
  <c r="S1124" i="16"/>
  <c r="T1124" i="16" s="1"/>
  <c r="M1125" i="16"/>
  <c r="D1125" i="16"/>
  <c r="J1125" i="16"/>
  <c r="N1125" i="16" s="1"/>
  <c r="P1125" i="16"/>
  <c r="Q1125" i="16"/>
  <c r="R1125" i="16"/>
  <c r="L1126" i="16"/>
  <c r="C1126" i="16"/>
  <c r="E1126" i="16"/>
  <c r="G1126" i="16"/>
  <c r="I1126" i="16"/>
  <c r="B1127" i="16"/>
  <c r="U1070" i="16"/>
  <c r="S1070" i="16"/>
  <c r="T1070" i="16" s="1"/>
  <c r="D1071" i="16"/>
  <c r="J1071" i="16"/>
  <c r="P1071" i="16"/>
  <c r="Q1071" i="16"/>
  <c r="R1071" i="16"/>
  <c r="L1072" i="16"/>
  <c r="C1072" i="16"/>
  <c r="K1072" i="16" s="1"/>
  <c r="E1072" i="16"/>
  <c r="F1072" i="16"/>
  <c r="O1072" i="16" s="1"/>
  <c r="G1072" i="16"/>
  <c r="I1072" i="16"/>
  <c r="B1073" i="16"/>
  <c r="U1016" i="16"/>
  <c r="S1016" i="16"/>
  <c r="T1016" i="16" s="1"/>
  <c r="D1017" i="16"/>
  <c r="J1017" i="16"/>
  <c r="P1017" i="16"/>
  <c r="Q1017" i="16"/>
  <c r="R1017" i="16"/>
  <c r="L1018" i="16"/>
  <c r="C1018" i="16"/>
  <c r="E1018" i="16"/>
  <c r="G1018" i="16"/>
  <c r="I1018" i="16"/>
  <c r="B1019" i="16"/>
  <c r="M963" i="16"/>
  <c r="D963" i="16"/>
  <c r="J963" i="16"/>
  <c r="N963" i="16" s="1"/>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M855" i="16"/>
  <c r="D855" i="16"/>
  <c r="J855" i="16"/>
  <c r="N855" i="16" s="1"/>
  <c r="P855" i="16"/>
  <c r="Q855" i="16"/>
  <c r="R855" i="16"/>
  <c r="L856" i="16"/>
  <c r="C856" i="16"/>
  <c r="E856" i="16"/>
  <c r="G856" i="16"/>
  <c r="I856" i="16"/>
  <c r="B857" i="16"/>
  <c r="U800" i="16"/>
  <c r="S800" i="16"/>
  <c r="T800" i="16" s="1"/>
  <c r="M801" i="16"/>
  <c r="D801" i="16"/>
  <c r="J801" i="16"/>
  <c r="N801" i="16" s="1"/>
  <c r="Q801" i="16"/>
  <c r="P801" i="16"/>
  <c r="R801" i="16"/>
  <c r="L802" i="16"/>
  <c r="C802" i="16"/>
  <c r="K802" i="16" s="1"/>
  <c r="E802" i="16"/>
  <c r="F802" i="16"/>
  <c r="O802" i="16" s="1"/>
  <c r="G802" i="16"/>
  <c r="I802" i="16"/>
  <c r="B803" i="16"/>
  <c r="U746" i="16"/>
  <c r="S746" i="16"/>
  <c r="T746" i="16" s="1"/>
  <c r="M747" i="16"/>
  <c r="D747" i="16"/>
  <c r="J747" i="16"/>
  <c r="N747" i="16" s="1"/>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E640" i="16"/>
  <c r="G640" i="16"/>
  <c r="I640" i="16"/>
  <c r="B641" i="16"/>
  <c r="U584" i="16"/>
  <c r="S584" i="16"/>
  <c r="T584" i="16" s="1"/>
  <c r="M585" i="16"/>
  <c r="D585" i="16"/>
  <c r="J585" i="16"/>
  <c r="N585" i="16" s="1"/>
  <c r="Q585" i="16"/>
  <c r="P585" i="16"/>
  <c r="R585" i="16"/>
  <c r="L586" i="16"/>
  <c r="C586" i="16"/>
  <c r="E586" i="16"/>
  <c r="G586" i="16"/>
  <c r="I586" i="16"/>
  <c r="B587" i="16"/>
  <c r="D531" i="16"/>
  <c r="J531" i="16"/>
  <c r="Q531" i="16"/>
  <c r="P531" i="16"/>
  <c r="R531" i="16"/>
  <c r="L532" i="16"/>
  <c r="C532" i="16"/>
  <c r="K532" i="16" s="1"/>
  <c r="E532" i="16"/>
  <c r="F532" i="16"/>
  <c r="O532" i="16" s="1"/>
  <c r="G532" i="16"/>
  <c r="I532" i="16"/>
  <c r="B533" i="16"/>
  <c r="M477" i="16"/>
  <c r="D477" i="16"/>
  <c r="J477" i="16"/>
  <c r="N477" i="16" s="1"/>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U368" i="16"/>
  <c r="S368" i="16"/>
  <c r="T368" i="16" s="1"/>
  <c r="M369" i="16"/>
  <c r="D369" i="16"/>
  <c r="J369" i="16"/>
  <c r="N369" i="16" s="1"/>
  <c r="P369" i="16"/>
  <c r="Q369" i="16"/>
  <c r="R369" i="16"/>
  <c r="L370" i="16"/>
  <c r="C370" i="16"/>
  <c r="E370" i="16"/>
  <c r="G370" i="16"/>
  <c r="I370" i="16"/>
  <c r="B371" i="16"/>
  <c r="U314" i="16"/>
  <c r="S314" i="16"/>
  <c r="T314" i="16" s="1"/>
  <c r="M315" i="16"/>
  <c r="D315" i="16"/>
  <c r="J315" i="16"/>
  <c r="N315" i="16" s="1"/>
  <c r="P315" i="16"/>
  <c r="Q315" i="16"/>
  <c r="R315" i="16"/>
  <c r="L316" i="16"/>
  <c r="C316" i="16"/>
  <c r="K316" i="16" s="1"/>
  <c r="E316" i="16"/>
  <c r="F316" i="16"/>
  <c r="O316" i="16" s="1"/>
  <c r="G316" i="16"/>
  <c r="I316" i="16"/>
  <c r="B317" i="16"/>
  <c r="D261" i="16"/>
  <c r="J261" i="16"/>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E208" i="16"/>
  <c r="G208" i="16"/>
  <c r="I208" i="16"/>
  <c r="B209" i="16"/>
  <c r="U152" i="16"/>
  <c r="S152" i="16"/>
  <c r="T152" i="16" s="1"/>
  <c r="M153" i="16"/>
  <c r="D153" i="16"/>
  <c r="J153" i="16"/>
  <c r="N153" i="16" s="1"/>
  <c r="P153" i="16"/>
  <c r="Q153" i="16"/>
  <c r="R153" i="16"/>
  <c r="L154" i="16"/>
  <c r="C154" i="16"/>
  <c r="K154" i="16" s="1"/>
  <c r="E154" i="16"/>
  <c r="F154" i="16"/>
  <c r="O154" i="16" s="1"/>
  <c r="G154" i="16"/>
  <c r="I154" i="16"/>
  <c r="B155" i="16"/>
  <c r="U98" i="16"/>
  <c r="S98" i="16"/>
  <c r="T98" i="16" s="1"/>
  <c r="M99" i="16"/>
  <c r="D99" i="16"/>
  <c r="J99" i="16"/>
  <c r="N99" i="16" s="1"/>
  <c r="P99" i="16"/>
  <c r="Q99" i="16"/>
  <c r="R99" i="16"/>
  <c r="L100" i="16"/>
  <c r="C100" i="16"/>
  <c r="E100" i="16"/>
  <c r="G100" i="16"/>
  <c r="I100" i="16"/>
  <c r="B101" i="16"/>
  <c r="C70" i="7"/>
  <c r="G70" i="7" s="1"/>
  <c r="U36" i="4"/>
  <c r="S36" i="4"/>
  <c r="T36" i="4" s="1"/>
  <c r="M37" i="4"/>
  <c r="D37" i="4"/>
  <c r="J37" i="4"/>
  <c r="N37" i="4" s="1"/>
  <c r="O37" i="4"/>
  <c r="E72" i="7"/>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AQ38" i="4"/>
  <c r="U4123" i="16"/>
  <c r="S4123" i="16"/>
  <c r="T4123" i="16" s="1"/>
  <c r="U3769" i="16"/>
  <c r="S3769" i="16"/>
  <c r="T3769" i="16" s="1"/>
  <c r="U3715" i="16"/>
  <c r="S3715" i="16"/>
  <c r="T3715" i="16" s="1"/>
  <c r="U3499" i="16"/>
  <c r="S3499" i="16"/>
  <c r="T3499" i="16" s="1"/>
  <c r="S3445" i="16"/>
  <c r="T3445" i="16" s="1"/>
  <c r="U3445" i="16"/>
  <c r="U3283" i="16"/>
  <c r="S3283" i="16"/>
  <c r="T3283" i="16" s="1"/>
  <c r="U3175" i="16"/>
  <c r="S3175" i="16"/>
  <c r="T3175" i="16" s="1"/>
  <c r="U3067" i="16"/>
  <c r="S3067" i="16"/>
  <c r="T3067" i="16" s="1"/>
  <c r="U2581" i="16"/>
  <c r="S2581" i="16"/>
  <c r="T2581" i="16" s="1"/>
  <c r="U2311" i="16"/>
  <c r="S2311" i="16"/>
  <c r="T2311" i="16" s="1"/>
  <c r="U2203" i="16"/>
  <c r="S2203" i="16"/>
  <c r="T2203" i="16" s="1"/>
  <c r="U1825" i="16"/>
  <c r="S1825" i="16"/>
  <c r="T1825" i="16" s="1"/>
  <c r="S1663" i="16"/>
  <c r="T1663" i="16" s="1"/>
  <c r="U1663" i="16"/>
  <c r="U1609" i="16"/>
  <c r="S1609" i="16"/>
  <c r="T1609" i="16" s="1"/>
  <c r="U1285" i="16"/>
  <c r="S1285" i="16"/>
  <c r="T1285" i="16" s="1"/>
  <c r="U1069" i="16"/>
  <c r="S1069" i="16"/>
  <c r="T1069" i="16" s="1"/>
  <c r="U853" i="16"/>
  <c r="S853" i="16"/>
  <c r="T853" i="16" s="1"/>
  <c r="U799" i="16"/>
  <c r="S799" i="16"/>
  <c r="T799" i="16" s="1"/>
  <c r="U583" i="16"/>
  <c r="S583" i="16"/>
  <c r="T583" i="16" s="1"/>
  <c r="U529" i="16"/>
  <c r="S529" i="16"/>
  <c r="T529" i="16" s="1"/>
  <c r="M4532" i="16"/>
  <c r="N4532" i="16"/>
  <c r="N4232" i="16"/>
  <c r="M4232" i="16"/>
  <c r="N4178" i="16"/>
  <c r="M4178" i="16"/>
  <c r="N3446" i="16"/>
  <c r="M3446" i="16"/>
  <c r="N3230" i="16"/>
  <c r="M3230" i="16"/>
  <c r="N3176" i="16"/>
  <c r="M3176" i="16"/>
  <c r="N3122" i="16"/>
  <c r="M3122" i="16"/>
  <c r="M3068" i="16"/>
  <c r="N3068" i="16" s="1"/>
  <c r="M3014" i="16"/>
  <c r="N3014" i="16"/>
  <c r="M2906" i="16"/>
  <c r="N2906" i="16"/>
  <c r="M2582" i="16"/>
  <c r="N2582" i="16"/>
  <c r="M2096" i="16"/>
  <c r="N2096" i="16"/>
  <c r="M1772" i="16"/>
  <c r="N1772" i="16"/>
  <c r="M1556" i="16"/>
  <c r="N1556" i="16"/>
  <c r="N1502" i="16"/>
  <c r="M1502" i="16"/>
  <c r="M1448" i="16"/>
  <c r="N1448" i="16"/>
  <c r="N1233" i="16"/>
  <c r="M1233" i="16"/>
  <c r="M962" i="16"/>
  <c r="N962" i="16"/>
  <c r="M530" i="16"/>
  <c r="N530" i="16"/>
  <c r="M476" i="16"/>
  <c r="N476" i="16"/>
  <c r="M260" i="16"/>
  <c r="N260" i="16"/>
  <c r="D4641" i="16"/>
  <c r="F4641" i="16"/>
  <c r="O4641" i="16" s="1"/>
  <c r="F4587" i="16"/>
  <c r="K4587" i="16"/>
  <c r="K4533" i="16"/>
  <c r="F4533" i="16"/>
  <c r="F3717" i="16"/>
  <c r="O3717" i="16" s="1"/>
  <c r="K3717" i="16"/>
  <c r="K3663" i="16"/>
  <c r="F3663" i="16"/>
  <c r="O3663" i="16" s="1"/>
  <c r="K3177" i="16"/>
  <c r="F3177" i="16"/>
  <c r="O3177" i="16" s="1"/>
  <c r="K3123" i="16"/>
  <c r="F3123" i="16"/>
  <c r="O3123" i="16" s="1"/>
  <c r="F3069" i="16"/>
  <c r="O3069" i="16" s="1"/>
  <c r="K3069" i="16"/>
  <c r="K2853" i="16"/>
  <c r="F2853" i="16"/>
  <c r="O2853" i="16" s="1"/>
  <c r="K2799" i="16"/>
  <c r="F2799" i="16"/>
  <c r="O2799" i="16" s="1"/>
  <c r="F2313" i="16"/>
  <c r="O2313" i="16" s="1"/>
  <c r="K2313" i="16"/>
  <c r="F1881" i="16"/>
  <c r="O1881" i="16" s="1"/>
  <c r="K1881" i="16"/>
  <c r="K1827" i="16"/>
  <c r="F1827" i="16"/>
  <c r="O1827" i="16" s="1"/>
  <c r="F1557" i="16"/>
  <c r="O1557" i="16" s="1"/>
  <c r="K1557" i="16"/>
  <c r="K1071" i="16"/>
  <c r="F1071" i="16"/>
  <c r="O1071" i="16" s="1"/>
  <c r="F1017" i="16"/>
  <c r="O1017" i="16" s="1"/>
  <c r="K1017" i="16"/>
  <c r="K531" i="16"/>
  <c r="F531" i="16"/>
  <c r="O531" i="16" s="1"/>
  <c r="K261" i="16"/>
  <c r="F261" i="16"/>
  <c r="O261" i="16" s="1"/>
  <c r="N1234" i="16" l="1"/>
  <c r="U2420" i="16"/>
  <c r="S2420" i="16"/>
  <c r="T2420" i="16" s="1"/>
  <c r="K3556" i="16"/>
  <c r="F3556" i="16"/>
  <c r="O3556" i="16" s="1"/>
  <c r="K1235" i="16"/>
  <c r="F1235" i="16"/>
  <c r="O1235" i="16" s="1"/>
  <c r="K1018" i="16"/>
  <c r="F1018" i="16"/>
  <c r="O1018" i="16" s="1"/>
  <c r="K640" i="16"/>
  <c r="F640" i="16"/>
  <c r="O640" i="16" s="1"/>
  <c r="K208" i="16"/>
  <c r="F208" i="16"/>
  <c r="O208" i="16" s="1"/>
  <c r="T4694" i="16"/>
  <c r="U4695" i="16"/>
  <c r="S4695" i="16"/>
  <c r="T4695" i="16" s="1"/>
  <c r="M4696" i="16"/>
  <c r="D4696" i="16"/>
  <c r="J4696" i="16"/>
  <c r="N4696" i="16" s="1"/>
  <c r="P4696" i="16"/>
  <c r="Q4696" i="16"/>
  <c r="R4696" i="16"/>
  <c r="L4697" i="16"/>
  <c r="C4697" i="16"/>
  <c r="K4697" i="16" s="1"/>
  <c r="E4697" i="16"/>
  <c r="F4697" i="16"/>
  <c r="G4697" i="16"/>
  <c r="I4697" i="16"/>
  <c r="B4698" i="16"/>
  <c r="P4642" i="16"/>
  <c r="Q4642" i="16"/>
  <c r="R4642" i="16"/>
  <c r="C4643" i="16"/>
  <c r="E4643" i="16"/>
  <c r="G4643" i="16"/>
  <c r="B4644" i="16"/>
  <c r="M4588" i="16"/>
  <c r="D4588" i="16"/>
  <c r="J4588" i="16"/>
  <c r="N4588" i="16" s="1"/>
  <c r="P4588" i="16"/>
  <c r="Q4588" i="16"/>
  <c r="R4588" i="16"/>
  <c r="L4589" i="16"/>
  <c r="C4589" i="16"/>
  <c r="E4589" i="16"/>
  <c r="G4589" i="16"/>
  <c r="I4589" i="16"/>
  <c r="B4590" i="16"/>
  <c r="M4534" i="16"/>
  <c r="D4534" i="16"/>
  <c r="J4534" i="16"/>
  <c r="N4534" i="16" s="1"/>
  <c r="P4534" i="16"/>
  <c r="Q4534" i="16"/>
  <c r="R4534" i="16"/>
  <c r="L4535" i="16"/>
  <c r="C4535" i="16"/>
  <c r="E4535" i="16"/>
  <c r="G4535" i="16"/>
  <c r="I4535" i="16"/>
  <c r="B4536" i="16"/>
  <c r="U4233" i="16"/>
  <c r="S4233" i="16"/>
  <c r="T4233" i="16" s="1"/>
  <c r="P4234" i="16"/>
  <c r="Q4234" i="16"/>
  <c r="R4234" i="16"/>
  <c r="L4235" i="16"/>
  <c r="B4236" i="16"/>
  <c r="C4235" i="16"/>
  <c r="F4235" i="16" s="1"/>
  <c r="O4235" i="16" s="1"/>
  <c r="E4235" i="16"/>
  <c r="G4235" i="16"/>
  <c r="I4235" i="16"/>
  <c r="K4235" i="16"/>
  <c r="D4234" i="16"/>
  <c r="J4234" i="16"/>
  <c r="N4234" i="16" s="1"/>
  <c r="M4234" i="16"/>
  <c r="U4179" i="16"/>
  <c r="S4179" i="16"/>
  <c r="T4179" i="16" s="1"/>
  <c r="P4180" i="16"/>
  <c r="Q4180" i="16"/>
  <c r="R4180" i="16"/>
  <c r="M4180" i="16"/>
  <c r="L4181" i="16"/>
  <c r="B4182" i="16"/>
  <c r="C4181" i="16"/>
  <c r="E4181" i="16"/>
  <c r="G4181" i="16"/>
  <c r="I4181" i="16"/>
  <c r="D4180" i="16"/>
  <c r="J4180" i="16"/>
  <c r="N4180" i="16" s="1"/>
  <c r="U4125" i="16"/>
  <c r="S4125" i="16"/>
  <c r="T4125" i="16" s="1"/>
  <c r="G4127" i="16"/>
  <c r="L4127" i="16"/>
  <c r="B4128" i="16"/>
  <c r="C4127" i="16"/>
  <c r="F4127" i="16" s="1"/>
  <c r="O4127" i="16" s="1"/>
  <c r="E4127" i="16"/>
  <c r="I4127" i="16"/>
  <c r="K4127" i="16"/>
  <c r="D4126" i="16"/>
  <c r="J4126" i="16"/>
  <c r="N4126" i="16" s="1"/>
  <c r="P4126" i="16"/>
  <c r="Q4126" i="16"/>
  <c r="R4126" i="16"/>
  <c r="M4126"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K3773" i="16" s="1"/>
  <c r="E3773" i="16"/>
  <c r="F3773" i="16"/>
  <c r="O3773" i="16" s="1"/>
  <c r="G3773" i="16"/>
  <c r="I3773" i="16"/>
  <c r="B3774" i="16"/>
  <c r="M3718" i="16"/>
  <c r="D3718" i="16"/>
  <c r="J3718" i="16"/>
  <c r="N3718" i="16" s="1"/>
  <c r="P3718" i="16"/>
  <c r="Q3718" i="16"/>
  <c r="R3718" i="16"/>
  <c r="L3719" i="16"/>
  <c r="C3719" i="16"/>
  <c r="K3719" i="16" s="1"/>
  <c r="E3719" i="16"/>
  <c r="F3719" i="16"/>
  <c r="O3719" i="16" s="1"/>
  <c r="G3719" i="16"/>
  <c r="I3719" i="16"/>
  <c r="B3720" i="16"/>
  <c r="M3664" i="16"/>
  <c r="D3664" i="16"/>
  <c r="J3664" i="16"/>
  <c r="N3664" i="16" s="1"/>
  <c r="P3664" i="16"/>
  <c r="Q3664" i="16"/>
  <c r="R3664" i="16"/>
  <c r="L3665" i="16"/>
  <c r="C3665" i="16"/>
  <c r="E3665" i="16"/>
  <c r="G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M3502" i="16"/>
  <c r="D3502" i="16"/>
  <c r="J3502" i="16"/>
  <c r="N3502" i="16" s="1"/>
  <c r="P3502" i="16"/>
  <c r="Q3502" i="16"/>
  <c r="R3502" i="16"/>
  <c r="L3503" i="16"/>
  <c r="C3503" i="16"/>
  <c r="E3503" i="16"/>
  <c r="G3503" i="16"/>
  <c r="I3503" i="16"/>
  <c r="B3504" i="16"/>
  <c r="S3447" i="16"/>
  <c r="T3447" i="16" s="1"/>
  <c r="U3447" i="16"/>
  <c r="D3448" i="16"/>
  <c r="J3448" i="16"/>
  <c r="P3448" i="16"/>
  <c r="Q3448" i="16"/>
  <c r="R3448" i="16"/>
  <c r="L3449" i="16"/>
  <c r="C3449" i="16"/>
  <c r="K3449" i="16" s="1"/>
  <c r="E3449" i="16"/>
  <c r="F3449" i="16"/>
  <c r="O3449" i="16" s="1"/>
  <c r="G3449" i="16"/>
  <c r="B3450" i="16"/>
  <c r="I3449" i="16"/>
  <c r="U3393" i="16"/>
  <c r="S3393" i="16"/>
  <c r="T3393" i="16" s="1"/>
  <c r="D3394" i="16"/>
  <c r="J3394" i="16"/>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U3231" i="16"/>
  <c r="S3231" i="16"/>
  <c r="T3231" i="16" s="1"/>
  <c r="M3232" i="16"/>
  <c r="J3232" i="16"/>
  <c r="N3232" i="16" s="1"/>
  <c r="D3232" i="16"/>
  <c r="L3233" i="16"/>
  <c r="C3233" i="16"/>
  <c r="G3233" i="16"/>
  <c r="I3233" i="16"/>
  <c r="B3234" i="16"/>
  <c r="E3233" i="16"/>
  <c r="P3232" i="16"/>
  <c r="R3232" i="16"/>
  <c r="Q3232" i="16"/>
  <c r="P3178" i="16"/>
  <c r="Q3178" i="16"/>
  <c r="R3178" i="16"/>
  <c r="J3178" i="16"/>
  <c r="D3178" i="16"/>
  <c r="L3179" i="16"/>
  <c r="E3179" i="16"/>
  <c r="I3179" i="16"/>
  <c r="C3179" i="16"/>
  <c r="K3179" i="16" s="1"/>
  <c r="G3179" i="16"/>
  <c r="B3180" i="16"/>
  <c r="F3179" i="16"/>
  <c r="O3179" i="16" s="1"/>
  <c r="P3124" i="16"/>
  <c r="Q3124" i="16"/>
  <c r="R3124" i="16"/>
  <c r="J3124" i="16"/>
  <c r="D3124" i="16"/>
  <c r="L3125" i="16"/>
  <c r="G3125" i="16"/>
  <c r="E3125" i="16"/>
  <c r="I3125" i="16"/>
  <c r="C3125" i="16"/>
  <c r="B3126" i="16"/>
  <c r="M3070" i="16"/>
  <c r="P3070" i="16"/>
  <c r="Q3070" i="16"/>
  <c r="R3070" i="16"/>
  <c r="L3071" i="16"/>
  <c r="I3071" i="16"/>
  <c r="C3071" i="16"/>
  <c r="G3071" i="16"/>
  <c r="E3071" i="16"/>
  <c r="B3072" i="16"/>
  <c r="D3070" i="16"/>
  <c r="J3070" i="16"/>
  <c r="N3070" i="16" s="1"/>
  <c r="U3015" i="16"/>
  <c r="S3015" i="16"/>
  <c r="T3015" i="16" s="1"/>
  <c r="M3016" i="16"/>
  <c r="D3016" i="16"/>
  <c r="J3016" i="16"/>
  <c r="N3016" i="16" s="1"/>
  <c r="L3017" i="16"/>
  <c r="I3017" i="16"/>
  <c r="E3017" i="16"/>
  <c r="C3017" i="16"/>
  <c r="K3017" i="16" s="1"/>
  <c r="G3017" i="16"/>
  <c r="F3017" i="16"/>
  <c r="O3017" i="16" s="1"/>
  <c r="B3018" i="16"/>
  <c r="P3016" i="16"/>
  <c r="Q3016" i="16"/>
  <c r="R3016" i="16"/>
  <c r="U2961" i="16"/>
  <c r="S2961" i="16"/>
  <c r="T2961" i="16" s="1"/>
  <c r="M2962" i="16"/>
  <c r="D2962" i="16"/>
  <c r="J2962" i="16"/>
  <c r="N2962" i="16" s="1"/>
  <c r="P2962" i="16"/>
  <c r="Q2962" i="16"/>
  <c r="R2962" i="16"/>
  <c r="L2963" i="16"/>
  <c r="C2963" i="16"/>
  <c r="E2963" i="16"/>
  <c r="G2963" i="16"/>
  <c r="I2963" i="16"/>
  <c r="B2964" i="16"/>
  <c r="U2907" i="16"/>
  <c r="S2907" i="16"/>
  <c r="T2907" i="16" s="1"/>
  <c r="M2908" i="16"/>
  <c r="D2908" i="16"/>
  <c r="J2908" i="16"/>
  <c r="N2908" i="16" s="1"/>
  <c r="P2908" i="16"/>
  <c r="Q2908" i="16"/>
  <c r="R2908" i="16"/>
  <c r="L2909" i="16"/>
  <c r="C2909" i="16"/>
  <c r="K2909" i="16" s="1"/>
  <c r="E2909" i="16"/>
  <c r="F2909" i="16"/>
  <c r="O2909" i="16" s="1"/>
  <c r="G2909" i="16"/>
  <c r="I2909" i="16"/>
  <c r="B2910" i="16"/>
  <c r="M2854" i="16"/>
  <c r="D2854" i="16"/>
  <c r="J2854" i="16"/>
  <c r="N2854" i="16" s="1"/>
  <c r="P2854" i="16"/>
  <c r="Q2854" i="16"/>
  <c r="R2854" i="16"/>
  <c r="L2855" i="16"/>
  <c r="C2855" i="16"/>
  <c r="E2855" i="16"/>
  <c r="G2855" i="16"/>
  <c r="I2855" i="16"/>
  <c r="B2856" i="16"/>
  <c r="D2800" i="16"/>
  <c r="M2800" i="16" s="1"/>
  <c r="N2800" i="16" s="1"/>
  <c r="S2800" i="16" s="1"/>
  <c r="T2800" i="16" s="1"/>
  <c r="U2800" i="16" s="1"/>
  <c r="J2800" i="16"/>
  <c r="P2800" i="16"/>
  <c r="Q2800" i="16"/>
  <c r="R2800" i="16"/>
  <c r="L2801" i="16"/>
  <c r="C2801" i="16"/>
  <c r="K2801" i="16" s="1"/>
  <c r="E2801" i="16"/>
  <c r="F2801" i="16"/>
  <c r="O2801" i="16" s="1"/>
  <c r="G2801" i="16"/>
  <c r="I2801" i="16"/>
  <c r="B2802" i="16"/>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M2692" i="16"/>
  <c r="D2692" i="16"/>
  <c r="J2692" i="16"/>
  <c r="N2692" i="16" s="1"/>
  <c r="P2692" i="16"/>
  <c r="Q2692" i="16"/>
  <c r="R2692" i="16"/>
  <c r="L2693" i="16"/>
  <c r="C2693" i="16"/>
  <c r="E2693" i="16"/>
  <c r="G2693" i="16"/>
  <c r="I2693" i="16"/>
  <c r="B2694" i="16"/>
  <c r="U2637" i="16"/>
  <c r="S2637" i="16"/>
  <c r="T2637" i="16" s="1"/>
  <c r="D2638" i="16"/>
  <c r="J2638" i="16"/>
  <c r="P2638" i="16"/>
  <c r="Q2638" i="16"/>
  <c r="R2638" i="16"/>
  <c r="L2639" i="16"/>
  <c r="C2639" i="16"/>
  <c r="E2639" i="16"/>
  <c r="G2639" i="16"/>
  <c r="I2639" i="16"/>
  <c r="B2640" i="16"/>
  <c r="U2583" i="16"/>
  <c r="S2583" i="16"/>
  <c r="T2583" i="16" s="1"/>
  <c r="D2584" i="16"/>
  <c r="J2584" i="16"/>
  <c r="P2584" i="16"/>
  <c r="Q2584" i="16"/>
  <c r="R2584" i="16"/>
  <c r="L2585" i="16"/>
  <c r="C2585" i="16"/>
  <c r="K2585" i="16" s="1"/>
  <c r="E2585" i="16"/>
  <c r="F2585" i="16"/>
  <c r="O2585" i="16" s="1"/>
  <c r="G2585" i="16"/>
  <c r="I2585" i="16"/>
  <c r="B2586"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D2422" i="16"/>
  <c r="J2422" i="16"/>
  <c r="P2422" i="16"/>
  <c r="Q2422" i="16"/>
  <c r="R2422" i="16"/>
  <c r="L2423" i="16"/>
  <c r="C2423" i="16"/>
  <c r="E2423" i="16"/>
  <c r="G2423" i="16"/>
  <c r="I2423" i="16"/>
  <c r="B2424" i="16"/>
  <c r="U2367" i="16"/>
  <c r="S2367" i="16"/>
  <c r="T2367" i="16" s="1"/>
  <c r="D2368" i="16"/>
  <c r="J2368" i="16"/>
  <c r="Q2368" i="16"/>
  <c r="P2368" i="16"/>
  <c r="R2368" i="16"/>
  <c r="L2369" i="16"/>
  <c r="C2369" i="16"/>
  <c r="E2369" i="16"/>
  <c r="G2369" i="16"/>
  <c r="I2369" i="16"/>
  <c r="B2370" i="16"/>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E2261" i="16"/>
  <c r="G2261" i="16"/>
  <c r="I2261" i="16"/>
  <c r="B2262" i="16"/>
  <c r="U2205" i="16"/>
  <c r="S2205" i="16"/>
  <c r="T2205" i="16" s="1"/>
  <c r="M2206" i="16"/>
  <c r="D2206" i="16"/>
  <c r="J2206" i="16"/>
  <c r="N2206" i="16" s="1"/>
  <c r="Q2206" i="16"/>
  <c r="P2206" i="16"/>
  <c r="R2206" i="16"/>
  <c r="L2207" i="16"/>
  <c r="I2207" i="16"/>
  <c r="C2207" i="16"/>
  <c r="E2207" i="16"/>
  <c r="G2207" i="16"/>
  <c r="B2208" i="16"/>
  <c r="U2151" i="16"/>
  <c r="S2151" i="16"/>
  <c r="T2151" i="16" s="1"/>
  <c r="M2152" i="16"/>
  <c r="D2152" i="16"/>
  <c r="J2152" i="16"/>
  <c r="N2152" i="16" s="1"/>
  <c r="P2152" i="16"/>
  <c r="Q2152" i="16"/>
  <c r="R2152" i="16"/>
  <c r="L2153" i="16"/>
  <c r="C2153" i="16"/>
  <c r="G2153" i="16"/>
  <c r="B2154" i="16"/>
  <c r="E2153" i="16"/>
  <c r="I2153" i="16"/>
  <c r="U2097" i="16"/>
  <c r="S2097" i="16"/>
  <c r="T2097" i="16" s="1"/>
  <c r="D2098" i="16"/>
  <c r="J2098" i="16"/>
  <c r="P2098" i="16"/>
  <c r="Q2098" i="16"/>
  <c r="R2098" i="16"/>
  <c r="L2099" i="16"/>
  <c r="C2099" i="16"/>
  <c r="K2099" i="16" s="1"/>
  <c r="E2099" i="16"/>
  <c r="F2099" i="16"/>
  <c r="O2099" i="16" s="1"/>
  <c r="G2099" i="16"/>
  <c r="I2099" i="16"/>
  <c r="B2100" i="16"/>
  <c r="U2043" i="16"/>
  <c r="S2043" i="16"/>
  <c r="T2043" i="16" s="1"/>
  <c r="M2044" i="16"/>
  <c r="D2044" i="16"/>
  <c r="J2044" i="16"/>
  <c r="N2044" i="16" s="1"/>
  <c r="P2044" i="16"/>
  <c r="Q2044" i="16"/>
  <c r="R2044" i="16"/>
  <c r="L2045" i="16"/>
  <c r="C2045" i="16"/>
  <c r="K2045" i="16" s="1"/>
  <c r="E2045" i="16"/>
  <c r="F2045" i="16"/>
  <c r="O2045" i="16" s="1"/>
  <c r="G2045" i="16"/>
  <c r="I2045" i="16"/>
  <c r="B2046" i="16"/>
  <c r="U1989" i="16"/>
  <c r="S1989" i="16"/>
  <c r="T1989" i="16" s="1"/>
  <c r="M1990" i="16"/>
  <c r="D1990" i="16"/>
  <c r="J1990" i="16"/>
  <c r="N1990" i="16" s="1"/>
  <c r="P1990" i="16"/>
  <c r="Q1990" i="16"/>
  <c r="R1990" i="16"/>
  <c r="L1991" i="16"/>
  <c r="C1991" i="16"/>
  <c r="E1991" i="16"/>
  <c r="G1991" i="16"/>
  <c r="I1991" i="16"/>
  <c r="B1992" i="16"/>
  <c r="U1935" i="16"/>
  <c r="S1935" i="16"/>
  <c r="T1935" i="16" s="1"/>
  <c r="M1936" i="16"/>
  <c r="D1936" i="16"/>
  <c r="J1936" i="16"/>
  <c r="N1936" i="16" s="1"/>
  <c r="P1936" i="16"/>
  <c r="Q1936" i="16"/>
  <c r="R1936" i="16"/>
  <c r="L1937" i="16"/>
  <c r="C1937" i="16"/>
  <c r="K1937" i="16" s="1"/>
  <c r="E1937" i="16"/>
  <c r="F1937" i="16"/>
  <c r="O1937" i="16" s="1"/>
  <c r="G1937" i="16"/>
  <c r="I1937" i="16"/>
  <c r="B1938" i="16"/>
  <c r="D1882" i="16"/>
  <c r="J1882" i="16"/>
  <c r="P1882" i="16"/>
  <c r="Q1882" i="16"/>
  <c r="R1882" i="16"/>
  <c r="L1883" i="16"/>
  <c r="C1883" i="16"/>
  <c r="K1883" i="16" s="1"/>
  <c r="E1883" i="16"/>
  <c r="F1883" i="16"/>
  <c r="O1883" i="16" s="1"/>
  <c r="G1883" i="16"/>
  <c r="I1883" i="16"/>
  <c r="B1884" i="16"/>
  <c r="D1828" i="16"/>
  <c r="J1828" i="16"/>
  <c r="P1828" i="16"/>
  <c r="Q1828" i="16"/>
  <c r="R1828" i="16"/>
  <c r="L1829" i="16"/>
  <c r="C1829" i="16"/>
  <c r="K1829" i="16" s="1"/>
  <c r="E1829" i="16"/>
  <c r="F1829" i="16"/>
  <c r="O1829" i="16" s="1"/>
  <c r="G1829" i="16"/>
  <c r="I1829" i="16"/>
  <c r="B1830" i="16"/>
  <c r="U1773" i="16"/>
  <c r="S1773" i="16"/>
  <c r="T1773" i="16" s="1"/>
  <c r="M1774" i="16"/>
  <c r="D1774" i="16"/>
  <c r="J1774" i="16"/>
  <c r="N1774" i="16" s="1"/>
  <c r="P1774" i="16"/>
  <c r="Q1774" i="16"/>
  <c r="R1774" i="16"/>
  <c r="L1775" i="16"/>
  <c r="C1775" i="16"/>
  <c r="K1775" i="16" s="1"/>
  <c r="E1775" i="16"/>
  <c r="F1775" i="16"/>
  <c r="O1775" i="16" s="1"/>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S1665" i="16"/>
  <c r="T1665" i="16" s="1"/>
  <c r="U1665" i="16"/>
  <c r="M1666" i="16"/>
  <c r="D1666" i="16"/>
  <c r="J1666" i="16"/>
  <c r="N1666" i="16" s="1"/>
  <c r="P1666" i="16"/>
  <c r="Q1666" i="16"/>
  <c r="R1666" i="16"/>
  <c r="L1667" i="16"/>
  <c r="C1667" i="16"/>
  <c r="K1667" i="16" s="1"/>
  <c r="E1667" i="16"/>
  <c r="F1667" i="16"/>
  <c r="O1667" i="16" s="1"/>
  <c r="G1667" i="16"/>
  <c r="I1667" i="16"/>
  <c r="B1668" i="16"/>
  <c r="U1611" i="16"/>
  <c r="S1611" i="16"/>
  <c r="T1611" i="16" s="1"/>
  <c r="D1612" i="16"/>
  <c r="J1612" i="16"/>
  <c r="P1612" i="16"/>
  <c r="Q1612" i="16"/>
  <c r="R1612" i="16"/>
  <c r="L1613" i="16"/>
  <c r="C1613" i="16"/>
  <c r="E1613" i="16"/>
  <c r="G1613" i="16"/>
  <c r="I1613" i="16"/>
  <c r="B1614" i="16"/>
  <c r="M1558" i="16"/>
  <c r="D1558" i="16"/>
  <c r="J1558" i="16"/>
  <c r="N1558" i="16" s="1"/>
  <c r="P1558" i="16"/>
  <c r="Q1558" i="16"/>
  <c r="R1558" i="16"/>
  <c r="L1559" i="16"/>
  <c r="C1559" i="16"/>
  <c r="K1559" i="16" s="1"/>
  <c r="E1559" i="16"/>
  <c r="F1559" i="16"/>
  <c r="O1559" i="16" s="1"/>
  <c r="G1559" i="16"/>
  <c r="I1559" i="16"/>
  <c r="B1560" i="16"/>
  <c r="U1503" i="16"/>
  <c r="S1503" i="16"/>
  <c r="T1503" i="16" s="1"/>
  <c r="M1504" i="16"/>
  <c r="D1504" i="16"/>
  <c r="J1504" i="16"/>
  <c r="N1504" i="16" s="1"/>
  <c r="P1504" i="16"/>
  <c r="Q1504" i="16"/>
  <c r="R1504" i="16"/>
  <c r="L1505" i="16"/>
  <c r="E1505" i="16"/>
  <c r="I1505" i="16"/>
  <c r="C1505" i="16"/>
  <c r="K1505" i="16" s="1"/>
  <c r="F1505" i="16"/>
  <c r="O1505" i="16" s="1"/>
  <c r="G1505" i="16"/>
  <c r="B1506" i="16"/>
  <c r="U1449" i="16"/>
  <c r="S1449" i="16"/>
  <c r="T1449" i="16" s="1"/>
  <c r="P1450" i="16"/>
  <c r="Q1450" i="16"/>
  <c r="R1450" i="16"/>
  <c r="L1451" i="16"/>
  <c r="B1452" i="16"/>
  <c r="I1451" i="16"/>
  <c r="C1451" i="16"/>
  <c r="E1451" i="16"/>
  <c r="G1451" i="16"/>
  <c r="D1450" i="16"/>
  <c r="J1450" i="16"/>
  <c r="U1395" i="16"/>
  <c r="S1395" i="16"/>
  <c r="T1395" i="16" s="1"/>
  <c r="L1397" i="16"/>
  <c r="G1397" i="16"/>
  <c r="C1397" i="16"/>
  <c r="K1397" i="16" s="1"/>
  <c r="E1397" i="16"/>
  <c r="B1398" i="16"/>
  <c r="F1397" i="16"/>
  <c r="O1397" i="16" s="1"/>
  <c r="I1397" i="16"/>
  <c r="P1396" i="16"/>
  <c r="Q1396" i="16"/>
  <c r="R1396" i="16"/>
  <c r="J1396" i="16"/>
  <c r="D1396" i="16"/>
  <c r="U1341" i="16"/>
  <c r="S1341" i="16"/>
  <c r="T1341" i="16" s="1"/>
  <c r="M1342" i="16"/>
  <c r="P1342" i="16"/>
  <c r="Q1342" i="16"/>
  <c r="R1342" i="16"/>
  <c r="J1342" i="16"/>
  <c r="N1342" i="16" s="1"/>
  <c r="D1342" i="16"/>
  <c r="L1343" i="16"/>
  <c r="E1343" i="16"/>
  <c r="B1344" i="16"/>
  <c r="I1343" i="16"/>
  <c r="C1343" i="16"/>
  <c r="G1343" i="16"/>
  <c r="U1287" i="16"/>
  <c r="S1287" i="16"/>
  <c r="T1287" i="16" s="1"/>
  <c r="L1289" i="16"/>
  <c r="E1289" i="16"/>
  <c r="C1289" i="16"/>
  <c r="G1289" i="16"/>
  <c r="B1290" i="16"/>
  <c r="I1289" i="16"/>
  <c r="J1288" i="16"/>
  <c r="D1288" i="16"/>
  <c r="P1288" i="16"/>
  <c r="Q1288" i="16"/>
  <c r="R1288" i="16"/>
  <c r="S1234" i="16"/>
  <c r="T1234" i="16" s="1"/>
  <c r="U1234" i="16"/>
  <c r="M1235" i="16"/>
  <c r="J1235" i="16"/>
  <c r="N1235" i="16" s="1"/>
  <c r="D1235" i="16"/>
  <c r="L1236" i="16"/>
  <c r="E1236" i="16"/>
  <c r="G1236" i="16"/>
  <c r="I1236" i="16"/>
  <c r="B1237" i="16"/>
  <c r="C1236" i="16"/>
  <c r="K1236" i="16" s="1"/>
  <c r="F1236" i="16"/>
  <c r="O1236" i="16" s="1"/>
  <c r="P1235" i="16"/>
  <c r="Q1235" i="16"/>
  <c r="R1235" i="16"/>
  <c r="U1179" i="16"/>
  <c r="S1179" i="16"/>
  <c r="T1179" i="16" s="1"/>
  <c r="M1180" i="16"/>
  <c r="D1180" i="16"/>
  <c r="J1180" i="16"/>
  <c r="N1180" i="16" s="1"/>
  <c r="P1180" i="16"/>
  <c r="Q1180" i="16"/>
  <c r="R1180" i="16"/>
  <c r="L1181" i="16"/>
  <c r="C1181" i="16"/>
  <c r="E1181" i="16"/>
  <c r="G1181" i="16"/>
  <c r="I1181" i="16"/>
  <c r="B1182" i="16"/>
  <c r="U1125" i="16"/>
  <c r="S1125" i="16"/>
  <c r="T1125" i="16" s="1"/>
  <c r="D1126" i="16"/>
  <c r="J1126" i="16"/>
  <c r="P1126" i="16"/>
  <c r="Q1126" i="16"/>
  <c r="R1126" i="16"/>
  <c r="L1127" i="16"/>
  <c r="C1127" i="16"/>
  <c r="K1127" i="16" s="1"/>
  <c r="E1127" i="16"/>
  <c r="F1127" i="16"/>
  <c r="O1127" i="16" s="1"/>
  <c r="G1127" i="16"/>
  <c r="I1127" i="16"/>
  <c r="B1128" i="16"/>
  <c r="M1072" i="16"/>
  <c r="D1072" i="16"/>
  <c r="J1072" i="16"/>
  <c r="N1072" i="16" s="1"/>
  <c r="P1072" i="16"/>
  <c r="Q1072" i="16"/>
  <c r="R1072" i="16"/>
  <c r="L1073" i="16"/>
  <c r="C1073" i="16"/>
  <c r="K1073" i="16" s="1"/>
  <c r="E1073" i="16"/>
  <c r="F1073" i="16"/>
  <c r="O1073" i="16" s="1"/>
  <c r="G1073" i="16"/>
  <c r="I1073" i="16"/>
  <c r="B1074" i="16"/>
  <c r="M1018" i="16"/>
  <c r="D1018" i="16"/>
  <c r="J1018" i="16"/>
  <c r="N1018" i="16" s="1"/>
  <c r="P1018" i="16"/>
  <c r="Q1018" i="16"/>
  <c r="R1018" i="16"/>
  <c r="L1019" i="16"/>
  <c r="C1019" i="16"/>
  <c r="K1019" i="16" s="1"/>
  <c r="E1019" i="16"/>
  <c r="F1019" i="16"/>
  <c r="O1019" i="16" s="1"/>
  <c r="G1019" i="16"/>
  <c r="I1019" i="16"/>
  <c r="B1020"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U855" i="16"/>
  <c r="S855" i="16"/>
  <c r="T855" i="16" s="1"/>
  <c r="D856" i="16"/>
  <c r="J856" i="16"/>
  <c r="Q856" i="16"/>
  <c r="P856" i="16"/>
  <c r="R856" i="16"/>
  <c r="L857" i="16"/>
  <c r="C857" i="16"/>
  <c r="K857" i="16" s="1"/>
  <c r="E857" i="16"/>
  <c r="F857" i="16"/>
  <c r="O857" i="16" s="1"/>
  <c r="G857" i="16"/>
  <c r="I857" i="16"/>
  <c r="B858" i="16"/>
  <c r="U801" i="16"/>
  <c r="S801" i="16"/>
  <c r="T801" i="16" s="1"/>
  <c r="M802" i="16"/>
  <c r="D802" i="16"/>
  <c r="J802" i="16"/>
  <c r="N802" i="16" s="1"/>
  <c r="P802" i="16"/>
  <c r="Q802" i="16"/>
  <c r="R802" i="16"/>
  <c r="L803" i="16"/>
  <c r="C803" i="16"/>
  <c r="E803" i="16"/>
  <c r="G803" i="16"/>
  <c r="I803" i="16"/>
  <c r="B804" i="16"/>
  <c r="U747" i="16"/>
  <c r="S747" i="16"/>
  <c r="T747" i="16" s="1"/>
  <c r="M748" i="16"/>
  <c r="D748" i="16"/>
  <c r="J748" i="16"/>
  <c r="N748" i="16" s="1"/>
  <c r="P748" i="16"/>
  <c r="Q748" i="16"/>
  <c r="R748" i="16"/>
  <c r="L749" i="16"/>
  <c r="C749" i="16"/>
  <c r="K749" i="16" s="1"/>
  <c r="E749" i="16"/>
  <c r="F749" i="16"/>
  <c r="O749" i="16" s="1"/>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U585" i="16"/>
  <c r="S585" i="16"/>
  <c r="T585" i="16" s="1"/>
  <c r="D586" i="16"/>
  <c r="J586" i="16"/>
  <c r="P586" i="16"/>
  <c r="Q586" i="16"/>
  <c r="R586" i="16"/>
  <c r="L587" i="16"/>
  <c r="C587" i="16"/>
  <c r="E587" i="16"/>
  <c r="G587" i="16"/>
  <c r="I587" i="16"/>
  <c r="B588" i="16"/>
  <c r="M532" i="16"/>
  <c r="D532" i="16"/>
  <c r="J532" i="16"/>
  <c r="N532" i="16" s="1"/>
  <c r="Q532" i="16"/>
  <c r="P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U369" i="16"/>
  <c r="S369" i="16"/>
  <c r="T369" i="16" s="1"/>
  <c r="D370" i="16"/>
  <c r="J370" i="16"/>
  <c r="P370" i="16"/>
  <c r="Q370" i="16"/>
  <c r="R370" i="16"/>
  <c r="L371" i="16"/>
  <c r="C371" i="16"/>
  <c r="E371" i="16"/>
  <c r="G371" i="16"/>
  <c r="I371" i="16"/>
  <c r="B372" i="16"/>
  <c r="U315" i="16"/>
  <c r="S315" i="16"/>
  <c r="T315" i="16" s="1"/>
  <c r="M316" i="16"/>
  <c r="D316" i="16"/>
  <c r="J316" i="16"/>
  <c r="N316" i="16" s="1"/>
  <c r="P316" i="16"/>
  <c r="Q316" i="16"/>
  <c r="R316" i="16"/>
  <c r="L317" i="16"/>
  <c r="C317" i="16"/>
  <c r="E317" i="16"/>
  <c r="G317" i="16"/>
  <c r="I317" i="16"/>
  <c r="B318" i="16"/>
  <c r="M262" i="16"/>
  <c r="D262" i="16"/>
  <c r="J262" i="16"/>
  <c r="N262" i="16" s="1"/>
  <c r="P262" i="16"/>
  <c r="Q262" i="16"/>
  <c r="R262" i="16"/>
  <c r="L263" i="16"/>
  <c r="C263" i="16"/>
  <c r="E263" i="16"/>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U153" i="16"/>
  <c r="S153" i="16"/>
  <c r="T153" i="16" s="1"/>
  <c r="M154" i="16"/>
  <c r="D154" i="16"/>
  <c r="J154" i="16"/>
  <c r="N154" i="16" s="1"/>
  <c r="P154" i="16"/>
  <c r="Q154" i="16"/>
  <c r="R154" i="16"/>
  <c r="L155" i="16"/>
  <c r="C155" i="16"/>
  <c r="E155" i="16"/>
  <c r="G155" i="16"/>
  <c r="I155" i="16"/>
  <c r="B156" i="16"/>
  <c r="U99" i="16"/>
  <c r="S99" i="16"/>
  <c r="T99" i="16" s="1"/>
  <c r="D100" i="16"/>
  <c r="J100" i="16"/>
  <c r="P100" i="16"/>
  <c r="Q100" i="16"/>
  <c r="R100" i="16"/>
  <c r="L101" i="16"/>
  <c r="C101" i="16"/>
  <c r="K101" i="16" s="1"/>
  <c r="E101" i="16"/>
  <c r="F101" i="16"/>
  <c r="O101" i="16" s="1"/>
  <c r="G101" i="16"/>
  <c r="I101" i="16"/>
  <c r="B102" i="16"/>
  <c r="C71" i="7"/>
  <c r="G71" i="7" s="1"/>
  <c r="U37" i="4"/>
  <c r="S37" i="4"/>
  <c r="T37" i="4" s="1"/>
  <c r="F37" i="5"/>
  <c r="G37" i="5"/>
  <c r="H37" i="5"/>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F38" i="5" s="1"/>
  <c r="Q38" i="4"/>
  <c r="G38" i="5" s="1"/>
  <c r="R38" i="4"/>
  <c r="H38" i="5" s="1"/>
  <c r="V38" i="4"/>
  <c r="L39" i="4"/>
  <c r="C39" i="4"/>
  <c r="K39" i="4" s="1"/>
  <c r="E39" i="4"/>
  <c r="F39" i="4"/>
  <c r="C39" i="5" s="1"/>
  <c r="E39" i="5" s="1"/>
  <c r="G39" i="4"/>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AR39" i="4"/>
  <c r="U4232" i="16"/>
  <c r="S4232" i="16"/>
  <c r="T4232" i="16" s="1"/>
  <c r="U4178" i="16"/>
  <c r="S4178" i="16"/>
  <c r="T4178" i="16" s="1"/>
  <c r="S3446" i="16"/>
  <c r="T3446" i="16" s="1"/>
  <c r="U3446" i="16"/>
  <c r="U3230" i="16"/>
  <c r="S3230" i="16"/>
  <c r="T3230" i="16" s="1"/>
  <c r="U3176" i="16"/>
  <c r="S3176" i="16"/>
  <c r="T3176" i="16" s="1"/>
  <c r="U3122" i="16"/>
  <c r="S3122" i="16"/>
  <c r="T3122" i="16" s="1"/>
  <c r="U3068" i="16"/>
  <c r="S3068" i="16"/>
  <c r="T3068" i="16" s="1"/>
  <c r="U3014" i="16"/>
  <c r="S3014" i="16"/>
  <c r="T3014" i="16" s="1"/>
  <c r="U2906" i="16"/>
  <c r="S2906" i="16"/>
  <c r="T2906" i="16" s="1"/>
  <c r="U2582" i="16"/>
  <c r="S2582" i="16"/>
  <c r="T2582" i="16" s="1"/>
  <c r="U2096" i="16"/>
  <c r="S2096" i="16"/>
  <c r="T2096" i="16" s="1"/>
  <c r="U1772" i="16"/>
  <c r="S1772" i="16"/>
  <c r="T1772" i="16" s="1"/>
  <c r="U1556" i="16"/>
  <c r="S1556" i="16"/>
  <c r="T1556" i="16" s="1"/>
  <c r="U1502" i="16"/>
  <c r="S1502" i="16"/>
  <c r="T1502" i="16" s="1"/>
  <c r="U1448" i="16"/>
  <c r="S1448" i="16"/>
  <c r="T1448" i="16" s="1"/>
  <c r="S1233" i="16"/>
  <c r="T1233" i="16" s="1"/>
  <c r="U1233" i="16"/>
  <c r="U962" i="16"/>
  <c r="S962" i="16"/>
  <c r="T962" i="16" s="1"/>
  <c r="U530" i="16"/>
  <c r="S530" i="16"/>
  <c r="T530" i="16" s="1"/>
  <c r="U476" i="16"/>
  <c r="S476" i="16"/>
  <c r="T476" i="16" s="1"/>
  <c r="U260" i="16"/>
  <c r="S260" i="16"/>
  <c r="T260" i="16" s="1"/>
  <c r="M4587" i="16"/>
  <c r="N4587" i="16"/>
  <c r="M4533" i="16"/>
  <c r="N4533" i="16"/>
  <c r="M3717" i="16"/>
  <c r="N3717" i="16"/>
  <c r="M3663" i="16"/>
  <c r="N3663" i="16"/>
  <c r="M3177" i="16"/>
  <c r="N3177" i="16"/>
  <c r="M3123" i="16"/>
  <c r="N3123" i="16"/>
  <c r="N3069" i="16"/>
  <c r="M3069" i="16"/>
  <c r="M2853" i="16"/>
  <c r="N2853" i="16"/>
  <c r="M2799" i="16"/>
  <c r="N2799" i="16"/>
  <c r="S2799" i="16" s="1"/>
  <c r="T2799" i="16" s="1"/>
  <c r="U2799" i="16" s="1"/>
  <c r="M2313" i="16"/>
  <c r="N2313" i="16"/>
  <c r="M1881" i="16"/>
  <c r="N1881" i="16"/>
  <c r="M1827" i="16"/>
  <c r="N1827" i="16"/>
  <c r="M1557" i="16"/>
  <c r="N1557" i="16"/>
  <c r="M1071" i="16"/>
  <c r="N1071" i="16"/>
  <c r="M1017" i="16"/>
  <c r="N1017" i="16"/>
  <c r="M531" i="16"/>
  <c r="N531" i="16"/>
  <c r="M261" i="16"/>
  <c r="N261" i="16"/>
  <c r="F3448" i="16"/>
  <c r="O3448" i="16" s="1"/>
  <c r="K3448" i="16"/>
  <c r="F3394" i="16"/>
  <c r="O3394" i="16" s="1"/>
  <c r="K3394" i="16"/>
  <c r="F3178" i="16"/>
  <c r="O3178" i="16" s="1"/>
  <c r="K3178" i="16"/>
  <c r="F3124" i="16"/>
  <c r="O3124" i="16" s="1"/>
  <c r="K3124" i="16"/>
  <c r="K2638" i="16"/>
  <c r="F2638" i="16"/>
  <c r="O2638" i="16" s="1"/>
  <c r="F2584" i="16"/>
  <c r="O2584" i="16" s="1"/>
  <c r="K2584" i="16"/>
  <c r="K2422" i="16"/>
  <c r="F2422" i="16"/>
  <c r="O2422" i="16" s="1"/>
  <c r="K2368" i="16"/>
  <c r="F2368" i="16"/>
  <c r="O2368" i="16" s="1"/>
  <c r="K2098" i="16"/>
  <c r="F2098" i="16"/>
  <c r="O2098" i="16" s="1"/>
  <c r="K1882" i="16"/>
  <c r="F1882" i="16"/>
  <c r="O1882" i="16" s="1"/>
  <c r="F1828" i="16"/>
  <c r="O1828" i="16" s="1"/>
  <c r="K1828" i="16"/>
  <c r="F1612" i="16"/>
  <c r="O1612" i="16" s="1"/>
  <c r="K1612" i="16"/>
  <c r="K1450" i="16"/>
  <c r="F1450" i="16"/>
  <c r="O1450" i="16" s="1"/>
  <c r="F1396" i="16"/>
  <c r="O1396" i="16" s="1"/>
  <c r="K1396" i="16"/>
  <c r="K1288" i="16"/>
  <c r="F1288" i="16"/>
  <c r="O1288" i="16" s="1"/>
  <c r="F1126" i="16"/>
  <c r="O1126" i="16" s="1"/>
  <c r="K1126" i="16"/>
  <c r="K856" i="16"/>
  <c r="F856" i="16"/>
  <c r="O856" i="16" s="1"/>
  <c r="F586" i="16"/>
  <c r="O586" i="16" s="1"/>
  <c r="K586" i="16"/>
  <c r="K370" i="16"/>
  <c r="F370" i="16"/>
  <c r="O370" i="16" s="1"/>
  <c r="K100" i="16"/>
  <c r="F100" i="16"/>
  <c r="O100" i="16" s="1"/>
  <c r="N2530" i="16" l="1"/>
  <c r="D4643" i="16"/>
  <c r="F4643" i="16"/>
  <c r="O4643" i="16" s="1"/>
  <c r="K3503" i="16"/>
  <c r="F3503" i="16"/>
  <c r="O3503" i="16" s="1"/>
  <c r="K3125" i="16"/>
  <c r="F3125" i="16"/>
  <c r="O3125" i="16" s="1"/>
  <c r="K2261" i="16"/>
  <c r="F2261" i="16"/>
  <c r="O2261" i="16" s="1"/>
  <c r="K1991" i="16"/>
  <c r="F1991" i="16"/>
  <c r="O1991" i="16" s="1"/>
  <c r="K1181" i="16"/>
  <c r="F1181" i="16"/>
  <c r="O1181" i="16" s="1"/>
  <c r="K587" i="16"/>
  <c r="F587" i="16"/>
  <c r="O587" i="16" s="1"/>
  <c r="K371" i="16"/>
  <c r="F371" i="16"/>
  <c r="O371" i="16" s="1"/>
  <c r="K155" i="16"/>
  <c r="F155" i="16"/>
  <c r="O155" i="16" s="1"/>
  <c r="U4696" i="16"/>
  <c r="S4696" i="16"/>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D4589" i="16"/>
  <c r="J4589" i="16"/>
  <c r="P4589" i="16"/>
  <c r="Q4589" i="16"/>
  <c r="R4589" i="16"/>
  <c r="L4590" i="16"/>
  <c r="C4590" i="16"/>
  <c r="E4590" i="16"/>
  <c r="G4590" i="16"/>
  <c r="I4590" i="16"/>
  <c r="B4591" i="16"/>
  <c r="D4535" i="16"/>
  <c r="J4535" i="16"/>
  <c r="P4535" i="16"/>
  <c r="Q4535" i="16"/>
  <c r="R4535" i="16"/>
  <c r="L4536" i="16"/>
  <c r="C4536" i="16"/>
  <c r="E4536" i="16"/>
  <c r="G4536" i="16"/>
  <c r="I4536" i="16"/>
  <c r="B4537" i="16"/>
  <c r="C4236" i="16"/>
  <c r="I4236" i="16"/>
  <c r="L4236" i="16"/>
  <c r="E4236" i="16"/>
  <c r="F4236" i="16"/>
  <c r="O4236" i="16" s="1"/>
  <c r="G4236" i="16"/>
  <c r="K4236" i="16"/>
  <c r="B4237" i="16"/>
  <c r="D4235" i="16"/>
  <c r="J4235" i="16"/>
  <c r="N4235" i="16" s="1"/>
  <c r="P4235" i="16"/>
  <c r="Q4235" i="16"/>
  <c r="R4235" i="16"/>
  <c r="M4235" i="16"/>
  <c r="U4234" i="16"/>
  <c r="S4234" i="16"/>
  <c r="T4234" i="16" s="1"/>
  <c r="U4180" i="16"/>
  <c r="S4180" i="16"/>
  <c r="T4180" i="16" s="1"/>
  <c r="E4182" i="16"/>
  <c r="G4182" i="16"/>
  <c r="L4182" i="16"/>
  <c r="B4183" i="16"/>
  <c r="C4182" i="16"/>
  <c r="F4182" i="16" s="1"/>
  <c r="O4182" i="16" s="1"/>
  <c r="I4182" i="16"/>
  <c r="K4182" i="16"/>
  <c r="D4181" i="16"/>
  <c r="J4181" i="16"/>
  <c r="P4181" i="16"/>
  <c r="Q4181" i="16"/>
  <c r="R4181" i="16"/>
  <c r="P4127" i="16"/>
  <c r="Q4127" i="16"/>
  <c r="R4127" i="16"/>
  <c r="I4128" i="16"/>
  <c r="B4129" i="16"/>
  <c r="C4128" i="16"/>
  <c r="E4128" i="16"/>
  <c r="F4128" i="16"/>
  <c r="O4128" i="16" s="1"/>
  <c r="G4128" i="16"/>
  <c r="K4128" i="16"/>
  <c r="L4128" i="16"/>
  <c r="D4127" i="16"/>
  <c r="J4127" i="16"/>
  <c r="N4127" i="16" s="1"/>
  <c r="M4127" i="16"/>
  <c r="U4126" i="16"/>
  <c r="S4126" i="16"/>
  <c r="T4126" i="16" s="1"/>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M3773" i="16"/>
  <c r="D3773" i="16"/>
  <c r="J3773" i="16"/>
  <c r="N3773" i="16" s="1"/>
  <c r="P3773" i="16"/>
  <c r="Q3773" i="16"/>
  <c r="R3773" i="16"/>
  <c r="L3774" i="16"/>
  <c r="C3774" i="16"/>
  <c r="E3774" i="16"/>
  <c r="G3774" i="16"/>
  <c r="I3774" i="16"/>
  <c r="B3775" i="16"/>
  <c r="U3718" i="16"/>
  <c r="S3718" i="16"/>
  <c r="T3718" i="16" s="1"/>
  <c r="M3719" i="16"/>
  <c r="D3719" i="16"/>
  <c r="J3719" i="16"/>
  <c r="N3719" i="16" s="1"/>
  <c r="P3719" i="16"/>
  <c r="Q3719" i="16"/>
  <c r="R3719" i="16"/>
  <c r="L3720" i="16"/>
  <c r="I3720" i="16"/>
  <c r="B3721" i="16"/>
  <c r="C3720" i="16"/>
  <c r="K3720" i="16" s="1"/>
  <c r="E3720" i="16"/>
  <c r="F3720" i="16"/>
  <c r="O3720" i="16" s="1"/>
  <c r="G3720" i="16"/>
  <c r="S3664" i="16"/>
  <c r="T3664" i="16" s="1"/>
  <c r="U3664" i="16"/>
  <c r="D3665" i="16"/>
  <c r="J3665" i="16"/>
  <c r="P3665" i="16"/>
  <c r="Q3665" i="16"/>
  <c r="R3665" i="16"/>
  <c r="L3666" i="16"/>
  <c r="C3666" i="16"/>
  <c r="K3666" i="16" s="1"/>
  <c r="E3666" i="16"/>
  <c r="F3666" i="16"/>
  <c r="O3666" i="16" s="1"/>
  <c r="G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M3503" i="16"/>
  <c r="D3503" i="16"/>
  <c r="J3503" i="16"/>
  <c r="N3503" i="16" s="1"/>
  <c r="P3503" i="16"/>
  <c r="Q3503" i="16"/>
  <c r="R3503" i="16"/>
  <c r="L3504" i="16"/>
  <c r="C3504" i="16"/>
  <c r="E3504" i="16"/>
  <c r="G3504" i="16"/>
  <c r="I3504" i="16"/>
  <c r="B3505" i="16"/>
  <c r="M3449" i="16"/>
  <c r="D3449" i="16"/>
  <c r="J3449" i="16"/>
  <c r="N3449" i="16" s="1"/>
  <c r="P3449" i="16"/>
  <c r="Q3449" i="16"/>
  <c r="R3449" i="16"/>
  <c r="L3450" i="16"/>
  <c r="C3450" i="16"/>
  <c r="E3450" i="16"/>
  <c r="G3450" i="16"/>
  <c r="I3450" i="16"/>
  <c r="B3451" i="16"/>
  <c r="M3395" i="16"/>
  <c r="D3395" i="16"/>
  <c r="J3395" i="16"/>
  <c r="N3395" i="16" s="1"/>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E3342" i="16"/>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U3232" i="16"/>
  <c r="S3232" i="16"/>
  <c r="T3232" i="16" s="1"/>
  <c r="D3233" i="16"/>
  <c r="J3233" i="16"/>
  <c r="P3233" i="16"/>
  <c r="Q3233" i="16"/>
  <c r="R3233" i="16"/>
  <c r="L3234" i="16"/>
  <c r="B3235" i="16"/>
  <c r="I3234" i="16"/>
  <c r="C3234" i="16"/>
  <c r="K3234" i="16" s="1"/>
  <c r="E3234" i="16"/>
  <c r="G3234" i="16"/>
  <c r="F3234" i="16"/>
  <c r="O3234" i="16" s="1"/>
  <c r="M3179" i="16"/>
  <c r="D3179" i="16"/>
  <c r="J3179" i="16"/>
  <c r="N3179" i="16" s="1"/>
  <c r="P3179" i="16"/>
  <c r="Q3179" i="16"/>
  <c r="R3179" i="16"/>
  <c r="L3180" i="16"/>
  <c r="E3180" i="16"/>
  <c r="I3180" i="16"/>
  <c r="G3180" i="16"/>
  <c r="C3180" i="16"/>
  <c r="B3181" i="16"/>
  <c r="M3125" i="16"/>
  <c r="P3125" i="16"/>
  <c r="Q3125" i="16"/>
  <c r="R3125" i="16"/>
  <c r="D3125" i="16"/>
  <c r="J3125" i="16"/>
  <c r="N3125" i="16" s="1"/>
  <c r="L3126" i="16"/>
  <c r="E3126" i="16"/>
  <c r="G3126" i="16"/>
  <c r="C3126" i="16"/>
  <c r="B3127" i="16"/>
  <c r="I3126" i="16"/>
  <c r="U3070" i="16"/>
  <c r="S3070" i="16"/>
  <c r="T3070" i="16" s="1"/>
  <c r="J3071" i="16"/>
  <c r="D3071" i="16"/>
  <c r="P3071" i="16"/>
  <c r="Q3071" i="16"/>
  <c r="R3071" i="16"/>
  <c r="L3072" i="16"/>
  <c r="G3072" i="16"/>
  <c r="I3072" i="16"/>
  <c r="B3073" i="16"/>
  <c r="E3072" i="16"/>
  <c r="C3072" i="16"/>
  <c r="K3072" i="16" s="1"/>
  <c r="F3072" i="16"/>
  <c r="O3072" i="16" s="1"/>
  <c r="U3016" i="16"/>
  <c r="S3016" i="16"/>
  <c r="T3016" i="16" s="1"/>
  <c r="M3017" i="16"/>
  <c r="D3017" i="16"/>
  <c r="J3017" i="16"/>
  <c r="N3017" i="16" s="1"/>
  <c r="P3017" i="16"/>
  <c r="Q3017" i="16"/>
  <c r="R3017" i="16"/>
  <c r="L3018" i="16"/>
  <c r="E3018" i="16"/>
  <c r="B3019" i="16"/>
  <c r="I3018" i="16"/>
  <c r="C3018" i="16"/>
  <c r="G3018" i="16"/>
  <c r="U2962" i="16"/>
  <c r="S2962" i="16"/>
  <c r="T2962" i="16" s="1"/>
  <c r="D2963" i="16"/>
  <c r="J2963" i="16"/>
  <c r="P2963" i="16"/>
  <c r="Q2963" i="16"/>
  <c r="R2963" i="16"/>
  <c r="L2964" i="16"/>
  <c r="C2964" i="16"/>
  <c r="K2964" i="16" s="1"/>
  <c r="E2964" i="16"/>
  <c r="F2964" i="16"/>
  <c r="O2964" i="16" s="1"/>
  <c r="G2964" i="16"/>
  <c r="I2964" i="16"/>
  <c r="B2965" i="16"/>
  <c r="U2908" i="16"/>
  <c r="S2908" i="16"/>
  <c r="T2908" i="16" s="1"/>
  <c r="M2909" i="16"/>
  <c r="D2909" i="16"/>
  <c r="J2909" i="16"/>
  <c r="N2909" i="16" s="1"/>
  <c r="P2909" i="16"/>
  <c r="Q2909" i="16"/>
  <c r="R2909" i="16"/>
  <c r="L2910" i="16"/>
  <c r="C2910" i="16"/>
  <c r="E2910" i="16"/>
  <c r="G2910" i="16"/>
  <c r="I2910" i="16"/>
  <c r="B2911" i="16"/>
  <c r="U2854" i="16"/>
  <c r="S2854" i="16"/>
  <c r="T2854" i="16" s="1"/>
  <c r="D2855" i="16"/>
  <c r="J2855" i="16"/>
  <c r="P2855" i="16"/>
  <c r="Q2855" i="16"/>
  <c r="R2855" i="16"/>
  <c r="L2856" i="16"/>
  <c r="C2856" i="16"/>
  <c r="K2856" i="16" s="1"/>
  <c r="E2856" i="16"/>
  <c r="F2856" i="16"/>
  <c r="O2856" i="16" s="1"/>
  <c r="G2856" i="16"/>
  <c r="I2856" i="16"/>
  <c r="B2857" i="16"/>
  <c r="M2801" i="16"/>
  <c r="D2801" i="16"/>
  <c r="J2801" i="16"/>
  <c r="N2801" i="16" s="1"/>
  <c r="S2801" i="16" s="1"/>
  <c r="T2801" i="16" s="1"/>
  <c r="U2801" i="16" s="1"/>
  <c r="P2801" i="16"/>
  <c r="Q2801" i="16"/>
  <c r="R2801" i="16"/>
  <c r="L2802" i="16"/>
  <c r="C2802" i="16"/>
  <c r="K2802" i="16" s="1"/>
  <c r="E2802" i="16"/>
  <c r="F2802" i="16"/>
  <c r="O2802" i="16" s="1"/>
  <c r="G2802" i="16"/>
  <c r="I2802" i="16"/>
  <c r="B2803" i="16"/>
  <c r="U2746" i="16"/>
  <c r="S2746" i="16"/>
  <c r="T2746" i="16" s="1"/>
  <c r="M2747" i="16"/>
  <c r="D2747" i="16"/>
  <c r="J2747" i="16"/>
  <c r="N2747" i="16" s="1"/>
  <c r="P2747" i="16"/>
  <c r="Q2747" i="16"/>
  <c r="R2747" i="16"/>
  <c r="L2748" i="16"/>
  <c r="C2748" i="16"/>
  <c r="E2748" i="16"/>
  <c r="G2748" i="16"/>
  <c r="I2748" i="16"/>
  <c r="B2749" i="16"/>
  <c r="U2692" i="16"/>
  <c r="S2692" i="16"/>
  <c r="T2692" i="16" s="1"/>
  <c r="D2693" i="16"/>
  <c r="J2693" i="16"/>
  <c r="P2693" i="16"/>
  <c r="Q2693" i="16"/>
  <c r="R2693" i="16"/>
  <c r="L2694" i="16"/>
  <c r="C2694" i="16"/>
  <c r="E2694" i="16"/>
  <c r="G2694" i="16"/>
  <c r="I2694" i="16"/>
  <c r="B2695" i="16"/>
  <c r="D2639" i="16"/>
  <c r="J2639" i="16"/>
  <c r="P2639" i="16"/>
  <c r="Q2639" i="16"/>
  <c r="R2639" i="16"/>
  <c r="L2640" i="16"/>
  <c r="C2640" i="16"/>
  <c r="K2640" i="16" s="1"/>
  <c r="E2640" i="16"/>
  <c r="F2640" i="16"/>
  <c r="O2640" i="16" s="1"/>
  <c r="G2640" i="16"/>
  <c r="I2640" i="16"/>
  <c r="B2641" i="16"/>
  <c r="M2585" i="16"/>
  <c r="D2585" i="16"/>
  <c r="J2585" i="16"/>
  <c r="N2585" i="16" s="1"/>
  <c r="P2585" i="16"/>
  <c r="Q2585" i="16"/>
  <c r="R2585" i="16"/>
  <c r="L2586" i="16"/>
  <c r="C2586" i="16"/>
  <c r="K2586" i="16" s="1"/>
  <c r="E2586" i="16"/>
  <c r="F2586" i="16"/>
  <c r="O2586" i="16" s="1"/>
  <c r="G2586" i="16"/>
  <c r="I2586" i="16"/>
  <c r="B2587"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E2478" i="16"/>
  <c r="G2478" i="16"/>
  <c r="I2478" i="16"/>
  <c r="B2479" i="16"/>
  <c r="D2423" i="16"/>
  <c r="J2423" i="16"/>
  <c r="P2423" i="16"/>
  <c r="Q2423" i="16"/>
  <c r="R2423" i="16"/>
  <c r="L2424" i="16"/>
  <c r="C2424" i="16"/>
  <c r="K2424" i="16" s="1"/>
  <c r="E2424" i="16"/>
  <c r="F2424" i="16"/>
  <c r="O2424" i="16" s="1"/>
  <c r="G2424" i="16"/>
  <c r="I2424" i="16"/>
  <c r="B2425" i="16"/>
  <c r="D2369" i="16"/>
  <c r="J2369" i="16"/>
  <c r="P2369" i="16"/>
  <c r="Q2369" i="16"/>
  <c r="R2369" i="16"/>
  <c r="L2370" i="16"/>
  <c r="C2370" i="16"/>
  <c r="K2370" i="16" s="1"/>
  <c r="E2370" i="16"/>
  <c r="F2370" i="16"/>
  <c r="O2370" i="16" s="1"/>
  <c r="G2370" i="16"/>
  <c r="I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J2207" i="16"/>
  <c r="D2207" i="16"/>
  <c r="P2207" i="16"/>
  <c r="Q2207" i="16"/>
  <c r="R2207" i="16"/>
  <c r="L2208" i="16"/>
  <c r="G2208" i="16"/>
  <c r="I2208" i="16"/>
  <c r="C2208" i="16"/>
  <c r="K2208" i="16" s="1"/>
  <c r="E2208" i="16"/>
  <c r="F2208" i="16"/>
  <c r="O2208" i="16" s="1"/>
  <c r="B2209" i="16"/>
  <c r="U2152" i="16"/>
  <c r="S2152" i="16"/>
  <c r="T2152" i="16" s="1"/>
  <c r="D2153" i="16"/>
  <c r="J2153" i="16"/>
  <c r="P2153" i="16"/>
  <c r="Q2153" i="16"/>
  <c r="R2153" i="16"/>
  <c r="L2154" i="16"/>
  <c r="C2154" i="16"/>
  <c r="E2154" i="16"/>
  <c r="G2154" i="16"/>
  <c r="I2154" i="16"/>
  <c r="B2155" i="16"/>
  <c r="M2099" i="16"/>
  <c r="D2099" i="16"/>
  <c r="J2099" i="16"/>
  <c r="N2099" i="16" s="1"/>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E2046" i="16"/>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D1937" i="16"/>
  <c r="M1937" i="16" s="1"/>
  <c r="J1937" i="16"/>
  <c r="P1937" i="16"/>
  <c r="Q1937" i="16"/>
  <c r="R1937" i="16"/>
  <c r="L1938" i="16"/>
  <c r="C1938" i="16"/>
  <c r="K1938" i="16" s="1"/>
  <c r="E1938" i="16"/>
  <c r="F1938" i="16"/>
  <c r="O1938" i="16" s="1"/>
  <c r="G1938" i="16"/>
  <c r="I1938" i="16"/>
  <c r="B1939" i="16"/>
  <c r="M1883" i="16"/>
  <c r="D1883" i="16"/>
  <c r="J1883" i="16"/>
  <c r="N1883" i="16" s="1"/>
  <c r="P1883" i="16"/>
  <c r="Q1883" i="16"/>
  <c r="R1883" i="16"/>
  <c r="L1884" i="16"/>
  <c r="C1884" i="16"/>
  <c r="E1884" i="16"/>
  <c r="G1884" i="16"/>
  <c r="I1884" i="16"/>
  <c r="B1885" i="16"/>
  <c r="M1829" i="16"/>
  <c r="D1829" i="16"/>
  <c r="J1829" i="16"/>
  <c r="N1829" i="16" s="1"/>
  <c r="P1829" i="16"/>
  <c r="Q1829" i="16"/>
  <c r="R1829" i="16"/>
  <c r="L1830" i="16"/>
  <c r="C1830" i="16"/>
  <c r="E1830" i="16"/>
  <c r="G1830" i="16"/>
  <c r="I1830" i="16"/>
  <c r="B1831" i="16"/>
  <c r="U1774" i="16"/>
  <c r="S1774" i="16"/>
  <c r="T1774" i="16" s="1"/>
  <c r="M1775" i="16"/>
  <c r="D1775" i="16"/>
  <c r="J1775" i="16"/>
  <c r="N1775" i="16" s="1"/>
  <c r="P1775" i="16"/>
  <c r="Q1775" i="16"/>
  <c r="R1775" i="16"/>
  <c r="L1776" i="16"/>
  <c r="C1776" i="16"/>
  <c r="K1776" i="16" s="1"/>
  <c r="E1776" i="16"/>
  <c r="F1776" i="16"/>
  <c r="O1776" i="16" s="1"/>
  <c r="G1776" i="16"/>
  <c r="I1776" i="16"/>
  <c r="B1777" i="16"/>
  <c r="U1720" i="16"/>
  <c r="S1720" i="16"/>
  <c r="T1720" i="16" s="1"/>
  <c r="M1721" i="16"/>
  <c r="D1721" i="16"/>
  <c r="J1721" i="16"/>
  <c r="N1721" i="16" s="1"/>
  <c r="P1721" i="16"/>
  <c r="Q1721" i="16"/>
  <c r="R1721" i="16"/>
  <c r="L1722" i="16"/>
  <c r="C1722" i="16"/>
  <c r="K1722" i="16" s="1"/>
  <c r="E1722" i="16"/>
  <c r="F1722" i="16"/>
  <c r="O1722" i="16" s="1"/>
  <c r="G1722" i="16"/>
  <c r="I1722" i="16"/>
  <c r="B1723" i="16"/>
  <c r="S1666" i="16"/>
  <c r="T1666" i="16" s="1"/>
  <c r="U1666" i="16"/>
  <c r="M1667" i="16"/>
  <c r="D1667" i="16"/>
  <c r="J1667" i="16"/>
  <c r="N1667" i="16" s="1"/>
  <c r="P1667" i="16"/>
  <c r="Q1667" i="16"/>
  <c r="R1667" i="16"/>
  <c r="L1668" i="16"/>
  <c r="C1668" i="16"/>
  <c r="E1668" i="16"/>
  <c r="G1668" i="16"/>
  <c r="I1668" i="16"/>
  <c r="B1669" i="16"/>
  <c r="D1613" i="16"/>
  <c r="J1613" i="16"/>
  <c r="P1613" i="16"/>
  <c r="Q1613" i="16"/>
  <c r="R1613" i="16"/>
  <c r="L1614" i="16"/>
  <c r="C1614" i="16"/>
  <c r="K1614" i="16" s="1"/>
  <c r="E1614" i="16"/>
  <c r="F1614" i="16"/>
  <c r="O1614" i="16" s="1"/>
  <c r="G1614" i="16"/>
  <c r="I1614" i="16"/>
  <c r="B1615" i="16"/>
  <c r="U1558" i="16"/>
  <c r="S1558" i="16"/>
  <c r="T1558" i="16" s="1"/>
  <c r="M1559" i="16"/>
  <c r="D1559" i="16"/>
  <c r="J1559" i="16"/>
  <c r="N1559" i="16" s="1"/>
  <c r="P1559" i="16"/>
  <c r="Q1559" i="16"/>
  <c r="R1559" i="16"/>
  <c r="L1560" i="16"/>
  <c r="C1560" i="16"/>
  <c r="K1560" i="16" s="1"/>
  <c r="E1560" i="16"/>
  <c r="F1560" i="16"/>
  <c r="O1560" i="16" s="1"/>
  <c r="G1560" i="16"/>
  <c r="I1560" i="16"/>
  <c r="B1561" i="16"/>
  <c r="U1504" i="16"/>
  <c r="S1504" i="16"/>
  <c r="T1504" i="16" s="1"/>
  <c r="M1505" i="16"/>
  <c r="D1505" i="16"/>
  <c r="J1505" i="16"/>
  <c r="N1505" i="16" s="1"/>
  <c r="P1505" i="16"/>
  <c r="Q1505" i="16"/>
  <c r="R1505" i="16"/>
  <c r="L1506" i="16"/>
  <c r="G1506" i="16"/>
  <c r="B1507" i="16"/>
  <c r="C1506" i="16"/>
  <c r="E1506" i="16"/>
  <c r="I1506" i="16"/>
  <c r="L1452" i="16"/>
  <c r="C1452" i="16"/>
  <c r="K1452" i="16" s="1"/>
  <c r="E1452" i="16"/>
  <c r="F1452" i="16"/>
  <c r="O1452" i="16" s="1"/>
  <c r="G1452" i="16"/>
  <c r="I1452" i="16"/>
  <c r="B1453" i="16"/>
  <c r="D1451" i="16"/>
  <c r="J1451" i="16"/>
  <c r="P1451" i="16"/>
  <c r="Q1451" i="16"/>
  <c r="R1451" i="16"/>
  <c r="M1397" i="16"/>
  <c r="Q1397" i="16"/>
  <c r="P1397" i="16"/>
  <c r="R1397" i="16"/>
  <c r="J1397" i="16"/>
  <c r="N1397" i="16" s="1"/>
  <c r="D1397" i="16"/>
  <c r="L1398" i="16"/>
  <c r="G1398" i="16"/>
  <c r="I1398" i="16"/>
  <c r="C1398" i="16"/>
  <c r="K1398" i="16" s="1"/>
  <c r="F1398" i="16"/>
  <c r="O1398" i="16" s="1"/>
  <c r="E1398" i="16"/>
  <c r="B1399" i="16"/>
  <c r="U1342" i="16"/>
  <c r="S1342" i="16"/>
  <c r="T1342" i="16" s="1"/>
  <c r="L1344" i="16"/>
  <c r="G1344" i="16"/>
  <c r="E1344" i="16"/>
  <c r="C1344" i="16"/>
  <c r="I1344" i="16"/>
  <c r="B1345" i="16"/>
  <c r="D1343" i="16"/>
  <c r="J1343" i="16"/>
  <c r="P1343" i="16"/>
  <c r="Q1343" i="16"/>
  <c r="R1343" i="16"/>
  <c r="D1289" i="16"/>
  <c r="J1289" i="16"/>
  <c r="P1289" i="16"/>
  <c r="Q1289" i="16"/>
  <c r="R1289" i="16"/>
  <c r="L1290" i="16"/>
  <c r="G1290" i="16"/>
  <c r="C1290" i="16"/>
  <c r="K1290" i="16" s="1"/>
  <c r="F1290" i="16"/>
  <c r="O1290" i="16" s="1"/>
  <c r="E1290" i="16"/>
  <c r="I1290" i="16"/>
  <c r="B1291" i="16"/>
  <c r="S1235" i="16"/>
  <c r="T1235" i="16" s="1"/>
  <c r="U1235" i="16"/>
  <c r="M1236" i="16"/>
  <c r="P1236" i="16"/>
  <c r="Q1236" i="16"/>
  <c r="R1236" i="16"/>
  <c r="L1237" i="16"/>
  <c r="E1237" i="16"/>
  <c r="B1238" i="16"/>
  <c r="C1237" i="16"/>
  <c r="G1237" i="16"/>
  <c r="I1237" i="16"/>
  <c r="D1236" i="16"/>
  <c r="J1236" i="16"/>
  <c r="N1236" i="16" s="1"/>
  <c r="U1180" i="16"/>
  <c r="S1180" i="16"/>
  <c r="T1180" i="16" s="1"/>
  <c r="M1181" i="16"/>
  <c r="D1181" i="16"/>
  <c r="J1181" i="16"/>
  <c r="N1181" i="16" s="1"/>
  <c r="P1181" i="16"/>
  <c r="Q1181" i="16"/>
  <c r="R1181" i="16"/>
  <c r="L1182" i="16"/>
  <c r="C1182" i="16"/>
  <c r="K1182" i="16" s="1"/>
  <c r="E1182" i="16"/>
  <c r="F1182" i="16"/>
  <c r="O1182" i="16" s="1"/>
  <c r="G1182" i="16"/>
  <c r="I1182" i="16"/>
  <c r="B1183" i="16"/>
  <c r="M1127" i="16"/>
  <c r="D1127" i="16"/>
  <c r="J1127" i="16"/>
  <c r="N1127" i="16" s="1"/>
  <c r="P1127" i="16"/>
  <c r="Q1127" i="16"/>
  <c r="R1127" i="16"/>
  <c r="L1128" i="16"/>
  <c r="C1128" i="16"/>
  <c r="K1128" i="16" s="1"/>
  <c r="E1128" i="16"/>
  <c r="F1128" i="16"/>
  <c r="O1128" i="16" s="1"/>
  <c r="G1128" i="16"/>
  <c r="I1128" i="16"/>
  <c r="B1129" i="16"/>
  <c r="U1072" i="16"/>
  <c r="S1072" i="16"/>
  <c r="T1072" i="16" s="1"/>
  <c r="M1073" i="16"/>
  <c r="D1073" i="16"/>
  <c r="J1073" i="16"/>
  <c r="N1073" i="16" s="1"/>
  <c r="P1073" i="16"/>
  <c r="Q1073" i="16"/>
  <c r="R1073" i="16"/>
  <c r="L1074" i="16"/>
  <c r="C1074" i="16"/>
  <c r="E1074" i="16"/>
  <c r="G1074" i="16"/>
  <c r="I1074" i="16"/>
  <c r="B1075" i="16"/>
  <c r="U1018" i="16"/>
  <c r="S1018" i="16"/>
  <c r="T1018" i="16" s="1"/>
  <c r="M1019" i="16"/>
  <c r="D1019" i="16"/>
  <c r="J1019" i="16"/>
  <c r="N1019" i="16" s="1"/>
  <c r="P1019" i="16"/>
  <c r="Q1019" i="16"/>
  <c r="R1019" i="16"/>
  <c r="L1020" i="16"/>
  <c r="C1020" i="16"/>
  <c r="K1020" i="16" s="1"/>
  <c r="E1020" i="16"/>
  <c r="F1020" i="16"/>
  <c r="O1020" i="16" s="1"/>
  <c r="G1020" i="16"/>
  <c r="I1020" i="16"/>
  <c r="B1021"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Q911" i="16"/>
  <c r="P911" i="16"/>
  <c r="R911" i="16"/>
  <c r="L912" i="16"/>
  <c r="C912" i="16"/>
  <c r="K912" i="16" s="1"/>
  <c r="E912" i="16"/>
  <c r="F912" i="16"/>
  <c r="O912" i="16" s="1"/>
  <c r="G912" i="16"/>
  <c r="I912" i="16"/>
  <c r="B913" i="16"/>
  <c r="M857" i="16"/>
  <c r="D857" i="16"/>
  <c r="J857" i="16"/>
  <c r="N857" i="16" s="1"/>
  <c r="P857" i="16"/>
  <c r="Q857" i="16"/>
  <c r="R857" i="16"/>
  <c r="L858" i="16"/>
  <c r="C858" i="16"/>
  <c r="E858" i="16"/>
  <c r="G858" i="16"/>
  <c r="I858" i="16"/>
  <c r="B859" i="16"/>
  <c r="U802" i="16"/>
  <c r="S802" i="16"/>
  <c r="T802" i="16" s="1"/>
  <c r="D803" i="16"/>
  <c r="J803" i="16"/>
  <c r="P803" i="16"/>
  <c r="Q803" i="16"/>
  <c r="R803" i="16"/>
  <c r="L804" i="16"/>
  <c r="C804" i="16"/>
  <c r="K804" i="16" s="1"/>
  <c r="E804" i="16"/>
  <c r="F804" i="16"/>
  <c r="O804" i="16" s="1"/>
  <c r="G804" i="16"/>
  <c r="I804" i="16"/>
  <c r="B805" i="16"/>
  <c r="U748" i="16"/>
  <c r="S748" i="16"/>
  <c r="T748" i="16" s="1"/>
  <c r="M749" i="16"/>
  <c r="D749" i="16"/>
  <c r="J749" i="16"/>
  <c r="N749" i="16" s="1"/>
  <c r="Q749" i="16"/>
  <c r="P749" i="16"/>
  <c r="R749" i="16"/>
  <c r="L750" i="16"/>
  <c r="C750" i="16"/>
  <c r="K750" i="16" s="1"/>
  <c r="E750" i="16"/>
  <c r="F750" i="16"/>
  <c r="O750" i="16" s="1"/>
  <c r="G750" i="16"/>
  <c r="I750" i="16"/>
  <c r="B751" i="16"/>
  <c r="U694" i="16"/>
  <c r="S694" i="16"/>
  <c r="T694" i="16" s="1"/>
  <c r="M695" i="16"/>
  <c r="D695" i="16"/>
  <c r="J695" i="16"/>
  <c r="N695" i="16" s="1"/>
  <c r="Q695" i="16"/>
  <c r="P695" i="16"/>
  <c r="R695" i="16"/>
  <c r="L696" i="16"/>
  <c r="C696" i="16"/>
  <c r="K696" i="16" s="1"/>
  <c r="E696" i="16"/>
  <c r="F696" i="16"/>
  <c r="O696" i="16" s="1"/>
  <c r="G696" i="16"/>
  <c r="I696" i="16"/>
  <c r="B697" i="16"/>
  <c r="U640" i="16"/>
  <c r="S640" i="16"/>
  <c r="T640" i="16" s="1"/>
  <c r="D641" i="16"/>
  <c r="M641" i="16" s="1"/>
  <c r="J641" i="16"/>
  <c r="Q641" i="16"/>
  <c r="P641" i="16"/>
  <c r="R641" i="16"/>
  <c r="L642" i="16"/>
  <c r="C642" i="16"/>
  <c r="E642" i="16"/>
  <c r="G642" i="16"/>
  <c r="I642" i="16"/>
  <c r="B643" i="16"/>
  <c r="M587" i="16"/>
  <c r="D587" i="16"/>
  <c r="J587" i="16"/>
  <c r="N587" i="16" s="1"/>
  <c r="P587" i="16"/>
  <c r="Q587" i="16"/>
  <c r="R587" i="16"/>
  <c r="L588" i="16"/>
  <c r="C588" i="16"/>
  <c r="K588" i="16" s="1"/>
  <c r="E588" i="16"/>
  <c r="F588" i="16"/>
  <c r="O588" i="16" s="1"/>
  <c r="G588" i="16"/>
  <c r="I588" i="16"/>
  <c r="B589" i="16"/>
  <c r="U532" i="16"/>
  <c r="S532" i="16"/>
  <c r="T532" i="16" s="1"/>
  <c r="M533" i="16"/>
  <c r="D533" i="16"/>
  <c r="J533" i="16"/>
  <c r="N533" i="16" s="1"/>
  <c r="P533" i="16"/>
  <c r="Q533" i="16"/>
  <c r="R533" i="16"/>
  <c r="L534" i="16"/>
  <c r="C534" i="16"/>
  <c r="K534" i="16" s="1"/>
  <c r="E534" i="16"/>
  <c r="F534" i="16"/>
  <c r="O534" i="16" s="1"/>
  <c r="G534" i="16"/>
  <c r="I534" i="16"/>
  <c r="B535" i="16"/>
  <c r="U478" i="16"/>
  <c r="S478" i="16"/>
  <c r="T478" i="16" s="1"/>
  <c r="M479" i="16"/>
  <c r="D479" i="16"/>
  <c r="J479" i="16"/>
  <c r="N479" i="16" s="1"/>
  <c r="P479" i="16"/>
  <c r="Q479" i="16"/>
  <c r="R479" i="16"/>
  <c r="L480" i="16"/>
  <c r="C480" i="16"/>
  <c r="K480" i="16" s="1"/>
  <c r="E480" i="16"/>
  <c r="F480" i="16"/>
  <c r="O480" i="16" s="1"/>
  <c r="G480" i="16"/>
  <c r="I480" i="16"/>
  <c r="B481" i="16"/>
  <c r="U424" i="16"/>
  <c r="S424" i="16"/>
  <c r="T424" i="16" s="1"/>
  <c r="M425" i="16"/>
  <c r="D425" i="16"/>
  <c r="J425" i="16"/>
  <c r="N425" i="16" s="1"/>
  <c r="P425" i="16"/>
  <c r="Q425" i="16"/>
  <c r="R425" i="16"/>
  <c r="L426" i="16"/>
  <c r="C426" i="16"/>
  <c r="E426" i="16"/>
  <c r="G426" i="16"/>
  <c r="I426" i="16"/>
  <c r="B427" i="16"/>
  <c r="M371" i="16"/>
  <c r="D371" i="16"/>
  <c r="J371" i="16"/>
  <c r="N371" i="16" s="1"/>
  <c r="P371" i="16"/>
  <c r="Q371" i="16"/>
  <c r="R371" i="16"/>
  <c r="L372" i="16"/>
  <c r="C372" i="16"/>
  <c r="K372" i="16" s="1"/>
  <c r="E372" i="16"/>
  <c r="F372" i="16"/>
  <c r="O372" i="16" s="1"/>
  <c r="G372" i="16"/>
  <c r="I372" i="16"/>
  <c r="B373" i="16"/>
  <c r="U316" i="16"/>
  <c r="S316" i="16"/>
  <c r="T316" i="16" s="1"/>
  <c r="D317" i="16"/>
  <c r="J317" i="16"/>
  <c r="P317" i="16"/>
  <c r="Q317" i="16"/>
  <c r="R317" i="16"/>
  <c r="L318" i="16"/>
  <c r="C318" i="16"/>
  <c r="K318" i="16" s="1"/>
  <c r="E318" i="16"/>
  <c r="F318" i="16"/>
  <c r="O318" i="16" s="1"/>
  <c r="G318" i="16"/>
  <c r="I318" i="16"/>
  <c r="B319" i="16"/>
  <c r="U262" i="16"/>
  <c r="S262" i="16"/>
  <c r="T262" i="16" s="1"/>
  <c r="D263" i="16"/>
  <c r="J263" i="16"/>
  <c r="P263" i="16"/>
  <c r="Q263" i="16"/>
  <c r="R263" i="16"/>
  <c r="L264" i="16"/>
  <c r="C264" i="16"/>
  <c r="K264" i="16" s="1"/>
  <c r="E264" i="16"/>
  <c r="F264" i="16"/>
  <c r="O264" i="16" s="1"/>
  <c r="G264" i="16"/>
  <c r="I264" i="16"/>
  <c r="B265" i="16"/>
  <c r="U208" i="16"/>
  <c r="S208" i="16"/>
  <c r="T208" i="16" s="1"/>
  <c r="M209" i="16"/>
  <c r="D209" i="16"/>
  <c r="J209" i="16"/>
  <c r="N209" i="16" s="1"/>
  <c r="P209" i="16"/>
  <c r="Q209" i="16"/>
  <c r="R209" i="16"/>
  <c r="L210" i="16"/>
  <c r="C210" i="16"/>
  <c r="E210" i="16"/>
  <c r="G210" i="16"/>
  <c r="I210" i="16"/>
  <c r="B211" i="16"/>
  <c r="U154" i="16"/>
  <c r="S154" i="16"/>
  <c r="T154" i="16" s="1"/>
  <c r="M155" i="16"/>
  <c r="D155" i="16"/>
  <c r="J155" i="16"/>
  <c r="N155" i="16" s="1"/>
  <c r="P155" i="16"/>
  <c r="Q155" i="16"/>
  <c r="R155" i="16"/>
  <c r="L156" i="16"/>
  <c r="C156" i="16"/>
  <c r="E156" i="16"/>
  <c r="G156" i="16"/>
  <c r="I156" i="16"/>
  <c r="B157" i="16"/>
  <c r="M101" i="16"/>
  <c r="D101" i="16"/>
  <c r="J101" i="16"/>
  <c r="N101" i="16" s="1"/>
  <c r="P101" i="16"/>
  <c r="Q101" i="16"/>
  <c r="R101" i="16"/>
  <c r="L102" i="16"/>
  <c r="C102" i="16"/>
  <c r="E102" i="16"/>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3717" i="16"/>
  <c r="S3717" i="16"/>
  <c r="T3717" i="16" s="1"/>
  <c r="S3663" i="16"/>
  <c r="T3663" i="16" s="1"/>
  <c r="U3663" i="16"/>
  <c r="U3177" i="16"/>
  <c r="S3177" i="16"/>
  <c r="T3177" i="16" s="1"/>
  <c r="U3123" i="16"/>
  <c r="S3123" i="16"/>
  <c r="T3123" i="16" s="1"/>
  <c r="U3069" i="16"/>
  <c r="S3069" i="16"/>
  <c r="T3069" i="16" s="1"/>
  <c r="U2853" i="16"/>
  <c r="S2853" i="16"/>
  <c r="T2853" i="16" s="1"/>
  <c r="U2313" i="16"/>
  <c r="S2313" i="16"/>
  <c r="T2313" i="16" s="1"/>
  <c r="S1881" i="16"/>
  <c r="T1881" i="16" s="1"/>
  <c r="U1881" i="16"/>
  <c r="U1827" i="16"/>
  <c r="S1827" i="16"/>
  <c r="T1827" i="16" s="1"/>
  <c r="U1557" i="16"/>
  <c r="S1557" i="16"/>
  <c r="T1557" i="16" s="1"/>
  <c r="U1071" i="16"/>
  <c r="S1071" i="16"/>
  <c r="T1071" i="16" s="1"/>
  <c r="U1017" i="16"/>
  <c r="S1017" i="16"/>
  <c r="T1017" i="16" s="1"/>
  <c r="U531" i="16"/>
  <c r="S531" i="16"/>
  <c r="T531" i="16" s="1"/>
  <c r="U261" i="16"/>
  <c r="S261" i="16"/>
  <c r="T261" i="16" s="1"/>
  <c r="N3448" i="16"/>
  <c r="M3448" i="16"/>
  <c r="M3394" i="16"/>
  <c r="N3394" i="16"/>
  <c r="M3178" i="16"/>
  <c r="N3178" i="16"/>
  <c r="N3124" i="16"/>
  <c r="M3124" i="16"/>
  <c r="M2638" i="16"/>
  <c r="N2638" i="16"/>
  <c r="M2584" i="16"/>
  <c r="N2584" i="16"/>
  <c r="M2422" i="16"/>
  <c r="N2422" i="16"/>
  <c r="M2368" i="16"/>
  <c r="N2368" i="16"/>
  <c r="M2098" i="16"/>
  <c r="N2098" i="16"/>
  <c r="M1882" i="16"/>
  <c r="N1882" i="16"/>
  <c r="M1828" i="16"/>
  <c r="N1828" i="16"/>
  <c r="M1612" i="16"/>
  <c r="N1612" i="16"/>
  <c r="N1450" i="16"/>
  <c r="M1450" i="16"/>
  <c r="M1396" i="16"/>
  <c r="N1396" i="16"/>
  <c r="N1288" i="16"/>
  <c r="M1288" i="16"/>
  <c r="M1126" i="16"/>
  <c r="N1126" i="16"/>
  <c r="M856" i="16"/>
  <c r="N856" i="16"/>
  <c r="M586" i="16"/>
  <c r="N586" i="16"/>
  <c r="M370" i="16"/>
  <c r="N370" i="16"/>
  <c r="M100" i="16"/>
  <c r="N100" i="16"/>
  <c r="K4589" i="16"/>
  <c r="F4589" i="16"/>
  <c r="K4535" i="16"/>
  <c r="F4535" i="16"/>
  <c r="K4181" i="16"/>
  <c r="F4181" i="16"/>
  <c r="O4181" i="16" s="1"/>
  <c r="F3665" i="16"/>
  <c r="O3665" i="16" s="1"/>
  <c r="K3665" i="16"/>
  <c r="F3233" i="16"/>
  <c r="O3233" i="16" s="1"/>
  <c r="K3233" i="16"/>
  <c r="K3071" i="16"/>
  <c r="F3071" i="16"/>
  <c r="O3071" i="16" s="1"/>
  <c r="K2963" i="16"/>
  <c r="F2963" i="16"/>
  <c r="O2963" i="16" s="1"/>
  <c r="K2855" i="16"/>
  <c r="F2855" i="16"/>
  <c r="O2855" i="16" s="1"/>
  <c r="K2693" i="16"/>
  <c r="F2693" i="16"/>
  <c r="O2693" i="16" s="1"/>
  <c r="F2639" i="16"/>
  <c r="O2639" i="16" s="1"/>
  <c r="K2639" i="16"/>
  <c r="K2423" i="16"/>
  <c r="F2423" i="16"/>
  <c r="O2423" i="16" s="1"/>
  <c r="K2369" i="16"/>
  <c r="F2369" i="16"/>
  <c r="O2369" i="16" s="1"/>
  <c r="F2207" i="16"/>
  <c r="O2207" i="16" s="1"/>
  <c r="K2207" i="16"/>
  <c r="K2153" i="16"/>
  <c r="F2153" i="16"/>
  <c r="O2153" i="16" s="1"/>
  <c r="K1613" i="16"/>
  <c r="F1613" i="16"/>
  <c r="O1613" i="16" s="1"/>
  <c r="K1451" i="16"/>
  <c r="F1451" i="16"/>
  <c r="O1451" i="16" s="1"/>
  <c r="F1343" i="16"/>
  <c r="O1343" i="16" s="1"/>
  <c r="K1343" i="16"/>
  <c r="F1289" i="16"/>
  <c r="O1289" i="16" s="1"/>
  <c r="K1289" i="16"/>
  <c r="F803" i="16"/>
  <c r="O803" i="16" s="1"/>
  <c r="K803" i="16"/>
  <c r="K317" i="16"/>
  <c r="F317" i="16"/>
  <c r="O317" i="16" s="1"/>
  <c r="K263" i="16"/>
  <c r="F263" i="16"/>
  <c r="O263" i="16" s="1"/>
  <c r="N1937" i="16" l="1"/>
  <c r="N641" i="16"/>
  <c r="K3504" i="16"/>
  <c r="F3504" i="16"/>
  <c r="O3504" i="16" s="1"/>
  <c r="K3342" i="16"/>
  <c r="F3342" i="16"/>
  <c r="O3342" i="16" s="1"/>
  <c r="K3126" i="16"/>
  <c r="F3126" i="16"/>
  <c r="O3126" i="16" s="1"/>
  <c r="K2046" i="16"/>
  <c r="F2046" i="16"/>
  <c r="O2046" i="16" s="1"/>
  <c r="K426" i="16"/>
  <c r="F426" i="16"/>
  <c r="O426" i="16" s="1"/>
  <c r="K210" i="16"/>
  <c r="F210" i="16"/>
  <c r="O210" i="16" s="1"/>
  <c r="T4696" i="16"/>
  <c r="U4697" i="16"/>
  <c r="S4697" i="16"/>
  <c r="T4697" i="16" s="1"/>
  <c r="M4698" i="16"/>
  <c r="D4698" i="16"/>
  <c r="J4698" i="16"/>
  <c r="N4698" i="16" s="1"/>
  <c r="P4698" i="16"/>
  <c r="Q4698" i="16"/>
  <c r="R4698" i="16"/>
  <c r="L4699" i="16"/>
  <c r="C4699" i="16"/>
  <c r="K4699" i="16" s="1"/>
  <c r="E4699" i="16"/>
  <c r="F4699" i="16"/>
  <c r="G4699" i="16"/>
  <c r="I4699" i="16"/>
  <c r="B4700" i="16"/>
  <c r="P4644" i="16"/>
  <c r="Q4644" i="16"/>
  <c r="R4644" i="16"/>
  <c r="C4645" i="16"/>
  <c r="D4645" i="16" s="1"/>
  <c r="E4645" i="16"/>
  <c r="F4645" i="16"/>
  <c r="O4645" i="16" s="1"/>
  <c r="G4645" i="16"/>
  <c r="B4646" i="16"/>
  <c r="D4590" i="16"/>
  <c r="J4590" i="16"/>
  <c r="P4590" i="16"/>
  <c r="Q4590" i="16"/>
  <c r="R4590" i="16"/>
  <c r="L4591" i="16"/>
  <c r="C4591" i="16"/>
  <c r="E4591" i="16"/>
  <c r="G4591" i="16"/>
  <c r="I4591" i="16"/>
  <c r="B4592" i="16"/>
  <c r="D4536" i="16"/>
  <c r="J4536" i="16"/>
  <c r="P4536" i="16"/>
  <c r="Q4536" i="16"/>
  <c r="R4536" i="16"/>
  <c r="L4537" i="16"/>
  <c r="C4537" i="16"/>
  <c r="E4537" i="16"/>
  <c r="G4537" i="16"/>
  <c r="I4537" i="16"/>
  <c r="B4538" i="16"/>
  <c r="D4236" i="16"/>
  <c r="J4236" i="16"/>
  <c r="N4236" i="16" s="1"/>
  <c r="P4236" i="16"/>
  <c r="Q4236" i="16"/>
  <c r="R4236" i="16"/>
  <c r="M4236" i="16"/>
  <c r="L4237" i="16"/>
  <c r="B4238" i="16"/>
  <c r="C4237" i="16"/>
  <c r="E4237" i="16"/>
  <c r="G4237" i="16"/>
  <c r="I4237" i="16"/>
  <c r="U4235" i="16"/>
  <c r="S4235" i="16"/>
  <c r="T4235" i="16" s="1"/>
  <c r="P4182" i="16"/>
  <c r="Q4182" i="16"/>
  <c r="R4182" i="16"/>
  <c r="L4183" i="16"/>
  <c r="B4184" i="16"/>
  <c r="C4183" i="16"/>
  <c r="F4183" i="16" s="1"/>
  <c r="O4183" i="16" s="1"/>
  <c r="E4183" i="16"/>
  <c r="G4183" i="16"/>
  <c r="I4183" i="16"/>
  <c r="K4183" i="16"/>
  <c r="D4182" i="16"/>
  <c r="J4182" i="16"/>
  <c r="N4182" i="16" s="1"/>
  <c r="M4182" i="16"/>
  <c r="G4129" i="16"/>
  <c r="I4129" i="16"/>
  <c r="L4129" i="16"/>
  <c r="B4130" i="16"/>
  <c r="C4129" i="16"/>
  <c r="F4129" i="16" s="1"/>
  <c r="O4129" i="16" s="1"/>
  <c r="E4129" i="16"/>
  <c r="K4129" i="16"/>
  <c r="D4128" i="16"/>
  <c r="J4128" i="16"/>
  <c r="N4128" i="16" s="1"/>
  <c r="P4128" i="16"/>
  <c r="Q4128" i="16"/>
  <c r="R4128" i="16"/>
  <c r="M4128" i="16"/>
  <c r="U4127" i="16"/>
  <c r="S4127" i="16"/>
  <c r="T4127" i="16" s="1"/>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D3774" i="16"/>
  <c r="J3774" i="16"/>
  <c r="P3774" i="16"/>
  <c r="Q3774" i="16"/>
  <c r="R3774" i="16"/>
  <c r="L3775" i="16"/>
  <c r="C3775" i="16"/>
  <c r="K3775" i="16" s="1"/>
  <c r="E3775" i="16"/>
  <c r="F3775" i="16"/>
  <c r="O3775" i="16" s="1"/>
  <c r="G3775" i="16"/>
  <c r="I3775" i="16"/>
  <c r="B3776" i="16"/>
  <c r="U3719" i="16"/>
  <c r="S3719" i="16"/>
  <c r="T3719" i="16" s="1"/>
  <c r="M3720" i="16"/>
  <c r="L3721" i="16"/>
  <c r="C3721" i="16"/>
  <c r="E3721" i="16"/>
  <c r="G3721" i="16"/>
  <c r="B3722" i="16"/>
  <c r="I3721" i="16"/>
  <c r="D3720" i="16"/>
  <c r="J3720" i="16"/>
  <c r="N3720" i="16" s="1"/>
  <c r="P3720" i="16"/>
  <c r="Q3720" i="16"/>
  <c r="R3720" i="16"/>
  <c r="M3666" i="16"/>
  <c r="D3666" i="16"/>
  <c r="J3666" i="16"/>
  <c r="N3666" i="16" s="1"/>
  <c r="P3666" i="16"/>
  <c r="Q3666" i="16"/>
  <c r="R3666" i="16"/>
  <c r="L3667" i="16"/>
  <c r="C3667" i="16"/>
  <c r="K3667" i="16" s="1"/>
  <c r="E3667" i="16"/>
  <c r="F3667" i="16"/>
  <c r="O3667" i="16" s="1"/>
  <c r="G3667" i="16"/>
  <c r="B3668" i="16"/>
  <c r="I3667"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M3504" i="16"/>
  <c r="D3504" i="16"/>
  <c r="J3504" i="16"/>
  <c r="N3504" i="16" s="1"/>
  <c r="P3504" i="16"/>
  <c r="Q3504" i="16"/>
  <c r="R3504" i="16"/>
  <c r="L3505" i="16"/>
  <c r="C3505" i="16"/>
  <c r="K3505" i="16" s="1"/>
  <c r="E3505" i="16"/>
  <c r="F3505" i="16"/>
  <c r="O3505" i="16" s="1"/>
  <c r="G3505" i="16"/>
  <c r="I3505" i="16"/>
  <c r="B3506" i="16"/>
  <c r="S3449" i="16"/>
  <c r="T3449" i="16" s="1"/>
  <c r="U3449" i="16"/>
  <c r="D3450" i="16"/>
  <c r="J3450" i="16"/>
  <c r="P3450" i="16"/>
  <c r="Q3450" i="16"/>
  <c r="R3450" i="16"/>
  <c r="L3451" i="16"/>
  <c r="C3451" i="16"/>
  <c r="E3451" i="16"/>
  <c r="G3451" i="16"/>
  <c r="B3452" i="16"/>
  <c r="I3451" i="16"/>
  <c r="U3395" i="16"/>
  <c r="S3395" i="16"/>
  <c r="T3395" i="16" s="1"/>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M3234" i="16"/>
  <c r="L3235" i="16"/>
  <c r="C3235" i="16"/>
  <c r="B3236" i="16"/>
  <c r="E3235" i="16"/>
  <c r="I3235" i="16"/>
  <c r="G3235" i="16"/>
  <c r="J3234" i="16"/>
  <c r="N3234" i="16" s="1"/>
  <c r="D3234" i="16"/>
  <c r="P3234" i="16"/>
  <c r="Q3234" i="16"/>
  <c r="R3234" i="16"/>
  <c r="U3179" i="16"/>
  <c r="S3179" i="16"/>
  <c r="T3179" i="16" s="1"/>
  <c r="P3180" i="16"/>
  <c r="Q3180" i="16"/>
  <c r="R3180" i="16"/>
  <c r="J3180" i="16"/>
  <c r="D3180" i="16"/>
  <c r="L3181" i="16"/>
  <c r="B3182" i="16"/>
  <c r="C3181" i="16"/>
  <c r="K3181" i="16" s="1"/>
  <c r="F3181" i="16"/>
  <c r="O3181" i="16" s="1"/>
  <c r="E3181" i="16"/>
  <c r="G3181" i="16"/>
  <c r="I3181" i="16"/>
  <c r="U3125" i="16"/>
  <c r="S3125" i="16"/>
  <c r="T3125" i="16" s="1"/>
  <c r="M3126" i="16"/>
  <c r="P3126" i="16"/>
  <c r="Q3126" i="16"/>
  <c r="R3126" i="16"/>
  <c r="J3126" i="16"/>
  <c r="N3126" i="16" s="1"/>
  <c r="D3126" i="16"/>
  <c r="L3127" i="16"/>
  <c r="E3127" i="16"/>
  <c r="C3127" i="16"/>
  <c r="K3127" i="16" s="1"/>
  <c r="G3127" i="16"/>
  <c r="I3127" i="16"/>
  <c r="F3127" i="16"/>
  <c r="O3127" i="16" s="1"/>
  <c r="B3128" i="16"/>
  <c r="M3072" i="16"/>
  <c r="P3072" i="16"/>
  <c r="Q3072" i="16"/>
  <c r="R3072" i="16"/>
  <c r="L3073" i="16"/>
  <c r="B3074" i="16"/>
  <c r="G3073" i="16"/>
  <c r="C3073" i="16"/>
  <c r="K3073" i="16" s="1"/>
  <c r="I3073" i="16"/>
  <c r="F3073" i="16"/>
  <c r="O3073" i="16" s="1"/>
  <c r="E3073" i="16"/>
  <c r="D3072" i="16"/>
  <c r="J3072" i="16"/>
  <c r="N3072" i="16" s="1"/>
  <c r="U3017" i="16"/>
  <c r="S3017" i="16"/>
  <c r="T3017" i="16" s="1"/>
  <c r="L3019" i="16"/>
  <c r="E3019" i="16"/>
  <c r="C3019" i="16"/>
  <c r="I3019" i="16"/>
  <c r="B3020" i="16"/>
  <c r="G3019" i="16"/>
  <c r="D3018" i="16"/>
  <c r="J3018" i="16"/>
  <c r="P3018" i="16"/>
  <c r="Q3018" i="16"/>
  <c r="R3018" i="16"/>
  <c r="M2964" i="16"/>
  <c r="D2964" i="16"/>
  <c r="J2964" i="16"/>
  <c r="N2964" i="16" s="1"/>
  <c r="P2964" i="16"/>
  <c r="Q2964" i="16"/>
  <c r="R2964" i="16"/>
  <c r="L2965" i="16"/>
  <c r="C2965" i="16"/>
  <c r="E2965" i="16"/>
  <c r="G2965" i="16"/>
  <c r="I2965" i="16"/>
  <c r="B2966" i="16"/>
  <c r="U2909" i="16"/>
  <c r="S2909" i="16"/>
  <c r="T2909" i="16" s="1"/>
  <c r="D2910" i="16"/>
  <c r="J2910" i="16"/>
  <c r="P2910" i="16"/>
  <c r="Q2910" i="16"/>
  <c r="R2910" i="16"/>
  <c r="L2911" i="16"/>
  <c r="C2911" i="16"/>
  <c r="K2911" i="16" s="1"/>
  <c r="E2911" i="16"/>
  <c r="F2911" i="16"/>
  <c r="O2911" i="16" s="1"/>
  <c r="G2911" i="16"/>
  <c r="I2911" i="16"/>
  <c r="B2912" i="16"/>
  <c r="M2856" i="16"/>
  <c r="D2856" i="16"/>
  <c r="J2856" i="16"/>
  <c r="N2856" i="16" s="1"/>
  <c r="P2856" i="16"/>
  <c r="Q2856" i="16"/>
  <c r="R2856" i="16"/>
  <c r="L2857" i="16"/>
  <c r="C2857" i="16"/>
  <c r="K2857" i="16" s="1"/>
  <c r="E2857" i="16"/>
  <c r="F2857" i="16"/>
  <c r="O2857" i="16" s="1"/>
  <c r="G2857" i="16"/>
  <c r="I2857" i="16"/>
  <c r="B2858" i="16"/>
  <c r="M2802" i="16"/>
  <c r="D2802" i="16"/>
  <c r="J2802" i="16"/>
  <c r="N2802" i="16" s="1"/>
  <c r="S2802" i="16" s="1"/>
  <c r="T2802" i="16" s="1"/>
  <c r="U2802" i="16" s="1"/>
  <c r="P2802" i="16"/>
  <c r="Q2802" i="16"/>
  <c r="R2802" i="16"/>
  <c r="L2803" i="16"/>
  <c r="C2803" i="16"/>
  <c r="E2803" i="16"/>
  <c r="G2803" i="16"/>
  <c r="I2803" i="16"/>
  <c r="B2804" i="16"/>
  <c r="U2747" i="16"/>
  <c r="S2747" i="16"/>
  <c r="T2747" i="16" s="1"/>
  <c r="D2748" i="16"/>
  <c r="J2748" i="16"/>
  <c r="P2748" i="16"/>
  <c r="Q2748" i="16"/>
  <c r="R2748" i="16"/>
  <c r="L2749" i="16"/>
  <c r="C2749" i="16"/>
  <c r="K2749" i="16" s="1"/>
  <c r="E2749" i="16"/>
  <c r="F2749" i="16"/>
  <c r="O2749" i="16" s="1"/>
  <c r="G2749" i="16"/>
  <c r="I2749" i="16"/>
  <c r="B2750" i="16"/>
  <c r="D2694" i="16"/>
  <c r="J2694" i="16"/>
  <c r="P2694" i="16"/>
  <c r="Q2694" i="16"/>
  <c r="R2694" i="16"/>
  <c r="L2695" i="16"/>
  <c r="C2695" i="16"/>
  <c r="K2695" i="16" s="1"/>
  <c r="E2695" i="16"/>
  <c r="F2695" i="16"/>
  <c r="O2695" i="16" s="1"/>
  <c r="G2695" i="16"/>
  <c r="I2695" i="16"/>
  <c r="B2696" i="16"/>
  <c r="M2640" i="16"/>
  <c r="D2640" i="16"/>
  <c r="J2640" i="16"/>
  <c r="N2640" i="16" s="1"/>
  <c r="P2640" i="16"/>
  <c r="Q2640" i="16"/>
  <c r="R2640" i="16"/>
  <c r="L2641" i="16"/>
  <c r="C2641" i="16"/>
  <c r="E2641" i="16"/>
  <c r="G2641" i="16"/>
  <c r="I2641" i="16"/>
  <c r="B2642" i="16"/>
  <c r="U2585" i="16"/>
  <c r="S2585" i="16"/>
  <c r="T2585" i="16" s="1"/>
  <c r="M2586" i="16"/>
  <c r="D2586" i="16"/>
  <c r="J2586" i="16"/>
  <c r="N2586" i="16" s="1"/>
  <c r="P2586" i="16"/>
  <c r="Q2586" i="16"/>
  <c r="R2586" i="16"/>
  <c r="L2587" i="16"/>
  <c r="C2587" i="16"/>
  <c r="E2587" i="16"/>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D2478" i="16"/>
  <c r="J2478" i="16"/>
  <c r="Q2478" i="16"/>
  <c r="R2478" i="16"/>
  <c r="P2478" i="16"/>
  <c r="L2479" i="16"/>
  <c r="C2479" i="16"/>
  <c r="K2479" i="16" s="1"/>
  <c r="E2479" i="16"/>
  <c r="F2479" i="16"/>
  <c r="O2479" i="16" s="1"/>
  <c r="G2479" i="16"/>
  <c r="I2479" i="16"/>
  <c r="B2480" i="16"/>
  <c r="M2424" i="16"/>
  <c r="D2424" i="16"/>
  <c r="J2424" i="16"/>
  <c r="N2424" i="16" s="1"/>
  <c r="Q2424" i="16"/>
  <c r="P2424" i="16"/>
  <c r="R2424" i="16"/>
  <c r="L2425" i="16"/>
  <c r="C2425" i="16"/>
  <c r="E2425" i="16"/>
  <c r="G2425" i="16"/>
  <c r="I2425" i="16"/>
  <c r="B2426" i="16"/>
  <c r="M2370" i="16"/>
  <c r="D2370" i="16"/>
  <c r="J2370" i="16"/>
  <c r="N2370" i="16" s="1"/>
  <c r="Q2370" i="16"/>
  <c r="P2370" i="16"/>
  <c r="R2370" i="16"/>
  <c r="L2371" i="16"/>
  <c r="C2371" i="16"/>
  <c r="E2371" i="16"/>
  <c r="G2371" i="16"/>
  <c r="I2371" i="16"/>
  <c r="B2372" i="16"/>
  <c r="U2315" i="16"/>
  <c r="S2315" i="16"/>
  <c r="T2315" i="16" s="1"/>
  <c r="M2316" i="16"/>
  <c r="D2316" i="16"/>
  <c r="J2316" i="16"/>
  <c r="N2316" i="16" s="1"/>
  <c r="P2316" i="16"/>
  <c r="Q2316" i="16"/>
  <c r="R2316" i="16"/>
  <c r="L2317" i="16"/>
  <c r="C2317" i="16"/>
  <c r="E2317" i="16"/>
  <c r="G2317" i="16"/>
  <c r="I2317" i="16"/>
  <c r="B2318" i="16"/>
  <c r="U2261" i="16"/>
  <c r="S2261" i="16"/>
  <c r="T2261" i="16" s="1"/>
  <c r="M2262" i="16"/>
  <c r="D2262" i="16"/>
  <c r="J2262" i="16"/>
  <c r="N2262" i="16" s="1"/>
  <c r="P2262" i="16"/>
  <c r="Q2262" i="16"/>
  <c r="R2262" i="16"/>
  <c r="L2263" i="16"/>
  <c r="C2263" i="16"/>
  <c r="E2263" i="16"/>
  <c r="G2263" i="16"/>
  <c r="I2263" i="16"/>
  <c r="B2264" i="16"/>
  <c r="M2208" i="16"/>
  <c r="P2208" i="16"/>
  <c r="Q2208" i="16"/>
  <c r="R2208" i="16"/>
  <c r="J2208" i="16"/>
  <c r="N2208" i="16" s="1"/>
  <c r="D2208" i="16"/>
  <c r="L2209" i="16"/>
  <c r="E2209" i="16"/>
  <c r="B2210" i="16"/>
  <c r="C2209" i="16"/>
  <c r="G2209" i="16"/>
  <c r="I2209" i="16"/>
  <c r="D2154" i="16"/>
  <c r="J2154" i="16"/>
  <c r="P2154" i="16"/>
  <c r="Q2154" i="16"/>
  <c r="R2154" i="16"/>
  <c r="L2155" i="16"/>
  <c r="G2155" i="16"/>
  <c r="I2155" i="16"/>
  <c r="C2155" i="16"/>
  <c r="E2155" i="16"/>
  <c r="B2156" i="16"/>
  <c r="U2099" i="16"/>
  <c r="S2099" i="16"/>
  <c r="T2099" i="16" s="1"/>
  <c r="M2100" i="16"/>
  <c r="D2100" i="16"/>
  <c r="J2100" i="16"/>
  <c r="N2100" i="16" s="1"/>
  <c r="P2100" i="16"/>
  <c r="Q2100" i="16"/>
  <c r="R2100" i="16"/>
  <c r="L2101" i="16"/>
  <c r="C2101" i="16"/>
  <c r="K2101" i="16" s="1"/>
  <c r="E2101" i="16"/>
  <c r="F2101" i="16"/>
  <c r="O2101" i="16" s="1"/>
  <c r="G2101" i="16"/>
  <c r="I2101" i="16"/>
  <c r="B2102" i="16"/>
  <c r="U2045" i="16"/>
  <c r="S2045" i="16"/>
  <c r="T2045" i="16" s="1"/>
  <c r="M2046" i="16"/>
  <c r="D2046" i="16"/>
  <c r="J2046" i="16"/>
  <c r="N2046" i="16" s="1"/>
  <c r="P2046" i="16"/>
  <c r="Q2046" i="16"/>
  <c r="R2046" i="16"/>
  <c r="L2047" i="16"/>
  <c r="C2047" i="16"/>
  <c r="E2047" i="16"/>
  <c r="G2047" i="16"/>
  <c r="I2047" i="16"/>
  <c r="B2048" i="16"/>
  <c r="U1991" i="16"/>
  <c r="S1991" i="16"/>
  <c r="T1991" i="16" s="1"/>
  <c r="M1992" i="16"/>
  <c r="D1992" i="16"/>
  <c r="J1992" i="16"/>
  <c r="N1992" i="16" s="1"/>
  <c r="P1992" i="16"/>
  <c r="Q1992" i="16"/>
  <c r="R1992" i="16"/>
  <c r="L1993" i="16"/>
  <c r="C1993" i="16"/>
  <c r="E1993" i="16"/>
  <c r="G1993" i="16"/>
  <c r="I1993" i="16"/>
  <c r="B1994" i="16"/>
  <c r="U1937" i="16"/>
  <c r="S1937" i="16"/>
  <c r="T1937" i="16" s="1"/>
  <c r="M1938" i="16"/>
  <c r="D1938" i="16"/>
  <c r="J1938" i="16"/>
  <c r="N1938" i="16" s="1"/>
  <c r="P1938" i="16"/>
  <c r="Q1938" i="16"/>
  <c r="R1938" i="16"/>
  <c r="L1939" i="16"/>
  <c r="C1939" i="16"/>
  <c r="K1939" i="16" s="1"/>
  <c r="E1939" i="16"/>
  <c r="F1939" i="16"/>
  <c r="O1939" i="16" s="1"/>
  <c r="G1939" i="16"/>
  <c r="I1939" i="16"/>
  <c r="B1940" i="16"/>
  <c r="S1883" i="16"/>
  <c r="T1883" i="16" s="1"/>
  <c r="U1883" i="16"/>
  <c r="D1884" i="16"/>
  <c r="J1884" i="16"/>
  <c r="P1884" i="16"/>
  <c r="Q1884" i="16"/>
  <c r="R1884" i="16"/>
  <c r="L1885" i="16"/>
  <c r="C1885" i="16"/>
  <c r="K1885" i="16" s="1"/>
  <c r="E1885" i="16"/>
  <c r="F1885" i="16"/>
  <c r="O1885" i="16" s="1"/>
  <c r="G1885" i="16"/>
  <c r="I1885" i="16"/>
  <c r="B1886" i="16"/>
  <c r="U1829" i="16"/>
  <c r="S1829" i="16"/>
  <c r="T1829" i="16" s="1"/>
  <c r="D1830" i="16"/>
  <c r="J1830" i="16"/>
  <c r="P1830" i="16"/>
  <c r="Q1830" i="16"/>
  <c r="R1830" i="16"/>
  <c r="L1831" i="16"/>
  <c r="C1831" i="16"/>
  <c r="E1831" i="16"/>
  <c r="G1831" i="16"/>
  <c r="I1831" i="16"/>
  <c r="B1832" i="16"/>
  <c r="U1775" i="16"/>
  <c r="S1775" i="16"/>
  <c r="T1775" i="16" s="1"/>
  <c r="M1776" i="16"/>
  <c r="D1776" i="16"/>
  <c r="J1776" i="16"/>
  <c r="N1776" i="16" s="1"/>
  <c r="P1776" i="16"/>
  <c r="Q1776" i="16"/>
  <c r="R1776" i="16"/>
  <c r="L1777" i="16"/>
  <c r="C1777" i="16"/>
  <c r="E1777" i="16"/>
  <c r="G1777" i="16"/>
  <c r="I1777" i="16"/>
  <c r="B1778" i="16"/>
  <c r="U1721" i="16"/>
  <c r="S1721" i="16"/>
  <c r="T1721" i="16" s="1"/>
  <c r="M1722" i="16"/>
  <c r="D1722" i="16"/>
  <c r="J1722" i="16"/>
  <c r="N1722" i="16" s="1"/>
  <c r="P1722" i="16"/>
  <c r="Q1722" i="16"/>
  <c r="R1722" i="16"/>
  <c r="L1723" i="16"/>
  <c r="C1723" i="16"/>
  <c r="K1723" i="16" s="1"/>
  <c r="E1723" i="16"/>
  <c r="F1723" i="16"/>
  <c r="O1723" i="16" s="1"/>
  <c r="G1723" i="16"/>
  <c r="I1723" i="16"/>
  <c r="B1724" i="16"/>
  <c r="S1667" i="16"/>
  <c r="T1667" i="16" s="1"/>
  <c r="U1667" i="16"/>
  <c r="D1668" i="16"/>
  <c r="J1668" i="16"/>
  <c r="P1668" i="16"/>
  <c r="Q1668" i="16"/>
  <c r="R1668" i="16"/>
  <c r="L1669" i="16"/>
  <c r="C1669" i="16"/>
  <c r="K1669" i="16" s="1"/>
  <c r="E1669" i="16"/>
  <c r="F1669" i="16"/>
  <c r="O1669" i="16" s="1"/>
  <c r="G1669" i="16"/>
  <c r="I1669" i="16"/>
  <c r="B1670" i="16"/>
  <c r="M1614" i="16"/>
  <c r="D1614" i="16"/>
  <c r="J1614" i="16"/>
  <c r="N1614" i="16" s="1"/>
  <c r="P1614" i="16"/>
  <c r="Q1614" i="16"/>
  <c r="R1614" i="16"/>
  <c r="L1615" i="16"/>
  <c r="C1615" i="16"/>
  <c r="K1615" i="16" s="1"/>
  <c r="E1615" i="16"/>
  <c r="F1615" i="16"/>
  <c r="O1615" i="16" s="1"/>
  <c r="G1615" i="16"/>
  <c r="I1615" i="16"/>
  <c r="B1616" i="16"/>
  <c r="U1559" i="16"/>
  <c r="S1559" i="16"/>
  <c r="T1559" i="16" s="1"/>
  <c r="M1560" i="16"/>
  <c r="D1560" i="16"/>
  <c r="J1560" i="16"/>
  <c r="N1560" i="16" s="1"/>
  <c r="P1560" i="16"/>
  <c r="Q1560" i="16"/>
  <c r="R1560" i="16"/>
  <c r="L1561" i="16"/>
  <c r="C1561" i="16"/>
  <c r="K1561" i="16" s="1"/>
  <c r="E1561" i="16"/>
  <c r="F1561" i="16"/>
  <c r="O1561" i="16" s="1"/>
  <c r="G1561" i="16"/>
  <c r="I1561" i="16"/>
  <c r="B1562" i="16"/>
  <c r="U1505" i="16"/>
  <c r="S1505" i="16"/>
  <c r="T1505" i="16" s="1"/>
  <c r="P1506" i="16"/>
  <c r="Q1506" i="16"/>
  <c r="R1506" i="16"/>
  <c r="L1507" i="16"/>
  <c r="E1507" i="16"/>
  <c r="G1507" i="16"/>
  <c r="I1507" i="16"/>
  <c r="C1507" i="16"/>
  <c r="B1508" i="16"/>
  <c r="D1506" i="16"/>
  <c r="J1506" i="16"/>
  <c r="M1452" i="16"/>
  <c r="D1452" i="16"/>
  <c r="J1452" i="16"/>
  <c r="N1452" i="16" s="1"/>
  <c r="P1452" i="16"/>
  <c r="Q1452" i="16"/>
  <c r="R1452" i="16"/>
  <c r="L1453" i="16"/>
  <c r="C1453" i="16"/>
  <c r="K1453" i="16" s="1"/>
  <c r="E1453" i="16"/>
  <c r="F1453" i="16"/>
  <c r="O1453" i="16" s="1"/>
  <c r="G1453" i="16"/>
  <c r="B1454" i="16"/>
  <c r="I1453" i="16"/>
  <c r="U1397" i="16"/>
  <c r="S1397" i="16"/>
  <c r="T1397" i="16" s="1"/>
  <c r="M1398" i="16"/>
  <c r="P1398" i="16"/>
  <c r="Q1398" i="16"/>
  <c r="R1398" i="16"/>
  <c r="J1398" i="16"/>
  <c r="N1398" i="16" s="1"/>
  <c r="D1398" i="16"/>
  <c r="L1399" i="16"/>
  <c r="C1399" i="16"/>
  <c r="G1399" i="16"/>
  <c r="B1400" i="16"/>
  <c r="E1399" i="16"/>
  <c r="I1399" i="16"/>
  <c r="P1344" i="16"/>
  <c r="Q1344" i="16"/>
  <c r="R1344" i="16"/>
  <c r="D1344" i="16"/>
  <c r="J1344" i="16"/>
  <c r="L1345" i="16"/>
  <c r="C1345" i="16"/>
  <c r="K1345" i="16" s="1"/>
  <c r="G1345" i="16"/>
  <c r="B1346" i="16"/>
  <c r="F1345" i="16"/>
  <c r="O1345" i="16" s="1"/>
  <c r="I1345" i="16"/>
  <c r="E1345" i="16"/>
  <c r="M1290" i="16"/>
  <c r="P1290" i="16"/>
  <c r="Q1290" i="16"/>
  <c r="R1290" i="16"/>
  <c r="J1290" i="16"/>
  <c r="N1290" i="16" s="1"/>
  <c r="D1290" i="16"/>
  <c r="L1291" i="16"/>
  <c r="E1291" i="16"/>
  <c r="B1292" i="16"/>
  <c r="C1291" i="16"/>
  <c r="K1291" i="16" s="1"/>
  <c r="F1291" i="16"/>
  <c r="O1291" i="16" s="1"/>
  <c r="G1291" i="16"/>
  <c r="I1291" i="16"/>
  <c r="U1236" i="16"/>
  <c r="S1236" i="16"/>
  <c r="T1236" i="16" s="1"/>
  <c r="L1238" i="16"/>
  <c r="G1238" i="16"/>
  <c r="I1238" i="16"/>
  <c r="C1238" i="16"/>
  <c r="E1238" i="16"/>
  <c r="B1239" i="16"/>
  <c r="J1237" i="16"/>
  <c r="D1237" i="16"/>
  <c r="P1237" i="16"/>
  <c r="Q1237" i="16"/>
  <c r="R1237" i="16"/>
  <c r="T1237" i="16"/>
  <c r="U1181" i="16"/>
  <c r="S1181" i="16"/>
  <c r="T1181" i="16" s="1"/>
  <c r="M1182" i="16"/>
  <c r="D1182" i="16"/>
  <c r="J1182" i="16"/>
  <c r="N1182" i="16" s="1"/>
  <c r="P1182" i="16"/>
  <c r="Q1182" i="16"/>
  <c r="R1182" i="16"/>
  <c r="L1183" i="16"/>
  <c r="C1183" i="16"/>
  <c r="K1183" i="16" s="1"/>
  <c r="E1183" i="16"/>
  <c r="F1183" i="16"/>
  <c r="O1183" i="16" s="1"/>
  <c r="G1183" i="16"/>
  <c r="I1183" i="16"/>
  <c r="B1184" i="16"/>
  <c r="U1127" i="16"/>
  <c r="S1127" i="16"/>
  <c r="T1127" i="16" s="1"/>
  <c r="M1128" i="16"/>
  <c r="D1128" i="16"/>
  <c r="J1128" i="16"/>
  <c r="N1128" i="16" s="1"/>
  <c r="P1128" i="16"/>
  <c r="Q1128" i="16"/>
  <c r="R1128" i="16"/>
  <c r="L1129" i="16"/>
  <c r="C1129" i="16"/>
  <c r="E1129" i="16"/>
  <c r="G1129" i="16"/>
  <c r="I1129" i="16"/>
  <c r="B1130" i="16"/>
  <c r="U1073" i="16"/>
  <c r="S1073" i="16"/>
  <c r="T1073" i="16" s="1"/>
  <c r="D1074" i="16"/>
  <c r="J1074" i="16"/>
  <c r="P1074" i="16"/>
  <c r="Q1074" i="16"/>
  <c r="R1074" i="16"/>
  <c r="L1075" i="16"/>
  <c r="C1075" i="16"/>
  <c r="K1075" i="16" s="1"/>
  <c r="E1075" i="16"/>
  <c r="F1075" i="16"/>
  <c r="O1075" i="16" s="1"/>
  <c r="G1075" i="16"/>
  <c r="I1075" i="16"/>
  <c r="B1076" i="16"/>
  <c r="U1019" i="16"/>
  <c r="S1019" i="16"/>
  <c r="T1019" i="16" s="1"/>
  <c r="M1020" i="16"/>
  <c r="D1020" i="16"/>
  <c r="J1020" i="16"/>
  <c r="N1020" i="16" s="1"/>
  <c r="P1020" i="16"/>
  <c r="Q1020" i="16"/>
  <c r="R1020" i="16"/>
  <c r="L1021" i="16"/>
  <c r="C1021" i="16"/>
  <c r="K1021" i="16" s="1"/>
  <c r="E1021" i="16"/>
  <c r="F1021" i="16"/>
  <c r="O1021" i="16" s="1"/>
  <c r="G1021" i="16"/>
  <c r="I1021" i="16"/>
  <c r="B1022" i="16"/>
  <c r="U965" i="16"/>
  <c r="S965" i="16"/>
  <c r="T965" i="16" s="1"/>
  <c r="M966" i="16"/>
  <c r="D966" i="16"/>
  <c r="J966" i="16"/>
  <c r="N966" i="16" s="1"/>
  <c r="P966" i="16"/>
  <c r="Q966" i="16"/>
  <c r="R966" i="16"/>
  <c r="L967" i="16"/>
  <c r="C967" i="16"/>
  <c r="E967" i="16"/>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U857" i="16"/>
  <c r="S857" i="16"/>
  <c r="T857" i="16" s="1"/>
  <c r="D858" i="16"/>
  <c r="J858" i="16"/>
  <c r="Q858" i="16"/>
  <c r="P858" i="16"/>
  <c r="R858" i="16"/>
  <c r="L859" i="16"/>
  <c r="C859" i="16"/>
  <c r="K859" i="16" s="1"/>
  <c r="E859" i="16"/>
  <c r="F859" i="16"/>
  <c r="O859" i="16" s="1"/>
  <c r="G859" i="16"/>
  <c r="I859" i="16"/>
  <c r="B860" i="16"/>
  <c r="M804" i="16"/>
  <c r="D804" i="16"/>
  <c r="J804" i="16"/>
  <c r="N804" i="16" s="1"/>
  <c r="Q804" i="16"/>
  <c r="P804" i="16"/>
  <c r="R804" i="16"/>
  <c r="L805" i="16"/>
  <c r="C805" i="16"/>
  <c r="E805" i="16"/>
  <c r="G805" i="16"/>
  <c r="I805" i="16"/>
  <c r="B806" i="16"/>
  <c r="U749" i="16"/>
  <c r="S749" i="16"/>
  <c r="T749" i="16" s="1"/>
  <c r="M750" i="16"/>
  <c r="D750" i="16"/>
  <c r="J750" i="16"/>
  <c r="N750" i="16" s="1"/>
  <c r="P750" i="16"/>
  <c r="Q750" i="16"/>
  <c r="R750" i="16"/>
  <c r="L751" i="16"/>
  <c r="C751" i="16"/>
  <c r="E751" i="16"/>
  <c r="G751" i="16"/>
  <c r="I751" i="16"/>
  <c r="B752" i="16"/>
  <c r="U695" i="16"/>
  <c r="S695" i="16"/>
  <c r="T695" i="16" s="1"/>
  <c r="M696" i="16"/>
  <c r="D696" i="16"/>
  <c r="J696" i="16"/>
  <c r="N696" i="16" s="1"/>
  <c r="Q696" i="16"/>
  <c r="P696" i="16"/>
  <c r="R696" i="16"/>
  <c r="L697" i="16"/>
  <c r="C697" i="16"/>
  <c r="K697" i="16" s="1"/>
  <c r="E697" i="16"/>
  <c r="F697" i="16"/>
  <c r="O697" i="16" s="1"/>
  <c r="G697" i="16"/>
  <c r="I697" i="16"/>
  <c r="B698" i="16"/>
  <c r="U641" i="16"/>
  <c r="S641" i="16"/>
  <c r="T641" i="16" s="1"/>
  <c r="D642" i="16"/>
  <c r="J642" i="16"/>
  <c r="Q642" i="16"/>
  <c r="P642" i="16"/>
  <c r="R642" i="16"/>
  <c r="L643" i="16"/>
  <c r="C643" i="16"/>
  <c r="K643" i="16" s="1"/>
  <c r="E643" i="16"/>
  <c r="F643" i="16"/>
  <c r="O643" i="16" s="1"/>
  <c r="G643" i="16"/>
  <c r="I643" i="16"/>
  <c r="B644" i="16"/>
  <c r="U587" i="16"/>
  <c r="S587" i="16"/>
  <c r="T587" i="16" s="1"/>
  <c r="M588" i="16"/>
  <c r="D588" i="16"/>
  <c r="J588" i="16"/>
  <c r="N588" i="16" s="1"/>
  <c r="P588" i="16"/>
  <c r="Q588" i="16"/>
  <c r="R588" i="16"/>
  <c r="L589" i="16"/>
  <c r="C589" i="16"/>
  <c r="K589" i="16" s="1"/>
  <c r="E589" i="16"/>
  <c r="F589" i="16"/>
  <c r="O589" i="16" s="1"/>
  <c r="G589" i="16"/>
  <c r="I589" i="16"/>
  <c r="B590" i="16"/>
  <c r="U533" i="16"/>
  <c r="S533" i="16"/>
  <c r="T533" i="16" s="1"/>
  <c r="M534" i="16"/>
  <c r="D534" i="16"/>
  <c r="J534" i="16"/>
  <c r="N534" i="16" s="1"/>
  <c r="P534" i="16"/>
  <c r="Q534" i="16"/>
  <c r="R534" i="16"/>
  <c r="L535" i="16"/>
  <c r="C535" i="16"/>
  <c r="E535" i="16"/>
  <c r="G535" i="16"/>
  <c r="I535" i="16"/>
  <c r="B536" i="16"/>
  <c r="U479" i="16"/>
  <c r="S479" i="16"/>
  <c r="T479" i="16" s="1"/>
  <c r="M480" i="16"/>
  <c r="D480" i="16"/>
  <c r="J480" i="16"/>
  <c r="N480" i="16" s="1"/>
  <c r="Q480" i="16"/>
  <c r="P480" i="16"/>
  <c r="R480" i="16"/>
  <c r="L481" i="16"/>
  <c r="C481" i="16"/>
  <c r="E481" i="16"/>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U371" i="16"/>
  <c r="S371" i="16"/>
  <c r="T371" i="16" s="1"/>
  <c r="M372" i="16"/>
  <c r="D372" i="16"/>
  <c r="J372" i="16"/>
  <c r="N372" i="16" s="1"/>
  <c r="P372" i="16"/>
  <c r="Q372" i="16"/>
  <c r="R372" i="16"/>
  <c r="L373" i="16"/>
  <c r="C373" i="16"/>
  <c r="K373" i="16" s="1"/>
  <c r="E373" i="16"/>
  <c r="F373" i="16"/>
  <c r="O373" i="16" s="1"/>
  <c r="G373" i="16"/>
  <c r="I373" i="16"/>
  <c r="B374" i="16"/>
  <c r="M318" i="16"/>
  <c r="D318" i="16"/>
  <c r="J318" i="16"/>
  <c r="N318" i="16" s="1"/>
  <c r="P318" i="16"/>
  <c r="Q318" i="16"/>
  <c r="R318" i="16"/>
  <c r="L319" i="16"/>
  <c r="C319" i="16"/>
  <c r="K319" i="16" s="1"/>
  <c r="E319" i="16"/>
  <c r="F319" i="16"/>
  <c r="O319" i="16" s="1"/>
  <c r="G319" i="16"/>
  <c r="I319" i="16"/>
  <c r="B320" i="16"/>
  <c r="M264" i="16"/>
  <c r="D264" i="16"/>
  <c r="J264" i="16"/>
  <c r="N264" i="16" s="1"/>
  <c r="P264" i="16"/>
  <c r="Q264" i="16"/>
  <c r="R264" i="16"/>
  <c r="L265" i="16"/>
  <c r="C265" i="16"/>
  <c r="K265" i="16" s="1"/>
  <c r="E265" i="16"/>
  <c r="F265" i="16"/>
  <c r="O265" i="16" s="1"/>
  <c r="G265" i="16"/>
  <c r="I265" i="16"/>
  <c r="B266" i="16"/>
  <c r="U209" i="16"/>
  <c r="S209" i="16"/>
  <c r="T209" i="16" s="1"/>
  <c r="M210" i="16"/>
  <c r="D210" i="16"/>
  <c r="J210" i="16"/>
  <c r="N210" i="16" s="1"/>
  <c r="P210" i="16"/>
  <c r="Q210" i="16"/>
  <c r="R210" i="16"/>
  <c r="L211" i="16"/>
  <c r="C211" i="16"/>
  <c r="E211" i="16"/>
  <c r="G211" i="16"/>
  <c r="I211" i="16"/>
  <c r="B212" i="16"/>
  <c r="U155" i="16"/>
  <c r="S155" i="16"/>
  <c r="T155" i="16" s="1"/>
  <c r="D156" i="16"/>
  <c r="J156" i="16"/>
  <c r="P156" i="16"/>
  <c r="Q156" i="16"/>
  <c r="R156" i="16"/>
  <c r="L157" i="16"/>
  <c r="C157" i="16"/>
  <c r="K157" i="16" s="1"/>
  <c r="E157" i="16"/>
  <c r="F157" i="16"/>
  <c r="O157" i="16" s="1"/>
  <c r="G157" i="16"/>
  <c r="I157" i="16"/>
  <c r="B158" i="16"/>
  <c r="S101" i="16"/>
  <c r="T101" i="16" s="1"/>
  <c r="U101" i="16"/>
  <c r="D102" i="16"/>
  <c r="J102" i="16"/>
  <c r="P102" i="16"/>
  <c r="Q102" i="16"/>
  <c r="R102" i="16"/>
  <c r="L103" i="16"/>
  <c r="C103" i="16"/>
  <c r="K103" i="16" s="1"/>
  <c r="E103" i="16"/>
  <c r="F103" i="16"/>
  <c r="O103" i="16" s="1"/>
  <c r="G103" i="16"/>
  <c r="I103" i="16"/>
  <c r="B104" i="16"/>
  <c r="C73" i="7"/>
  <c r="G73" i="7" s="1"/>
  <c r="U39" i="4"/>
  <c r="S39" i="4"/>
  <c r="T39" i="4" s="1"/>
  <c r="F39" i="5"/>
  <c r="G39" i="5"/>
  <c r="H39" i="5"/>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G40" i="5" s="1"/>
  <c r="R40" i="4"/>
  <c r="H40" i="5" s="1"/>
  <c r="V40" i="4"/>
  <c r="L41" i="4"/>
  <c r="C41" i="4"/>
  <c r="K41" i="4" s="1"/>
  <c r="E41" i="4"/>
  <c r="F41" i="4"/>
  <c r="C41" i="5" s="1"/>
  <c r="E41" i="5" s="1"/>
  <c r="G41" i="4"/>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AT41" i="4"/>
  <c r="S3448" i="16"/>
  <c r="T3448" i="16" s="1"/>
  <c r="U3448" i="16"/>
  <c r="U3394" i="16"/>
  <c r="S3394" i="16"/>
  <c r="T3394" i="16" s="1"/>
  <c r="U3178" i="16"/>
  <c r="S3178" i="16"/>
  <c r="T3178" i="16" s="1"/>
  <c r="U3124" i="16"/>
  <c r="S3124" i="16"/>
  <c r="T3124" i="16" s="1"/>
  <c r="U2638" i="16"/>
  <c r="S2638" i="16"/>
  <c r="T2638" i="16" s="1"/>
  <c r="U2584" i="16"/>
  <c r="S2584" i="16"/>
  <c r="T2584" i="16" s="1"/>
  <c r="U2422" i="16"/>
  <c r="S2422" i="16"/>
  <c r="T2422" i="16" s="1"/>
  <c r="U2368" i="16"/>
  <c r="S2368" i="16"/>
  <c r="T2368" i="16" s="1"/>
  <c r="U2098" i="16"/>
  <c r="S2098" i="16"/>
  <c r="T2098" i="16" s="1"/>
  <c r="S1882" i="16"/>
  <c r="T1882" i="16" s="1"/>
  <c r="U1882" i="16"/>
  <c r="U1828" i="16"/>
  <c r="S1828" i="16"/>
  <c r="T1828" i="16" s="1"/>
  <c r="U1612" i="16"/>
  <c r="S1612" i="16"/>
  <c r="T1612" i="16" s="1"/>
  <c r="U1450" i="16"/>
  <c r="S1450" i="16"/>
  <c r="T1450" i="16" s="1"/>
  <c r="U1396" i="16"/>
  <c r="S1396" i="16"/>
  <c r="T1396" i="16" s="1"/>
  <c r="U1288" i="16"/>
  <c r="S1288" i="16"/>
  <c r="T1288" i="16" s="1"/>
  <c r="U1126" i="16"/>
  <c r="S1126" i="16"/>
  <c r="T1126" i="16" s="1"/>
  <c r="U856" i="16"/>
  <c r="S856" i="16"/>
  <c r="T856" i="16" s="1"/>
  <c r="U586" i="16"/>
  <c r="S586" i="16"/>
  <c r="T586" i="16" s="1"/>
  <c r="U370" i="16"/>
  <c r="S370" i="16"/>
  <c r="T370" i="16" s="1"/>
  <c r="S100" i="16"/>
  <c r="T100" i="16" s="1"/>
  <c r="U100" i="16"/>
  <c r="M4589" i="16"/>
  <c r="N4589" i="16"/>
  <c r="M4535" i="16"/>
  <c r="N4535" i="16"/>
  <c r="M4181" i="16"/>
  <c r="N4181" i="16"/>
  <c r="M3665" i="16"/>
  <c r="N3665" i="16"/>
  <c r="M3233" i="16"/>
  <c r="N3233" i="16" s="1"/>
  <c r="N3071" i="16"/>
  <c r="M3071" i="16"/>
  <c r="M2963" i="16"/>
  <c r="N2963" i="16"/>
  <c r="M2855" i="16"/>
  <c r="N2855" i="16"/>
  <c r="M2693" i="16"/>
  <c r="N2693" i="16"/>
  <c r="M2639" i="16"/>
  <c r="N2639" i="16"/>
  <c r="M2423" i="16"/>
  <c r="N2423" i="16"/>
  <c r="M2369" i="16"/>
  <c r="N2369" i="16"/>
  <c r="N2207" i="16"/>
  <c r="M2207" i="16"/>
  <c r="M2153" i="16"/>
  <c r="N2153" i="16"/>
  <c r="M1613" i="16"/>
  <c r="N1613" i="16"/>
  <c r="N1451" i="16"/>
  <c r="M1451" i="16"/>
  <c r="M1343" i="16"/>
  <c r="N1343" i="16"/>
  <c r="M1289" i="16"/>
  <c r="N1289" i="16"/>
  <c r="M803" i="16"/>
  <c r="N803" i="16"/>
  <c r="M317" i="16"/>
  <c r="N317" i="16"/>
  <c r="M263" i="16"/>
  <c r="N263" i="16"/>
  <c r="F4590" i="16"/>
  <c r="K4590" i="16"/>
  <c r="K4536" i="16"/>
  <c r="F4536" i="16"/>
  <c r="F3774" i="16"/>
  <c r="O3774" i="16" s="1"/>
  <c r="K3774" i="16"/>
  <c r="K3450" i="16"/>
  <c r="F3450" i="16"/>
  <c r="O3450" i="16" s="1"/>
  <c r="F3180" i="16"/>
  <c r="O3180" i="16" s="1"/>
  <c r="K3180" i="16"/>
  <c r="F3018" i="16"/>
  <c r="O3018" i="16" s="1"/>
  <c r="K3018" i="16"/>
  <c r="K2910" i="16"/>
  <c r="F2910" i="16"/>
  <c r="O2910" i="16" s="1"/>
  <c r="F2748" i="16"/>
  <c r="O2748" i="16" s="1"/>
  <c r="K2748" i="16"/>
  <c r="K2694" i="16"/>
  <c r="F2694" i="16"/>
  <c r="O2694" i="16" s="1"/>
  <c r="K2478" i="16"/>
  <c r="F2478" i="16"/>
  <c r="O2478" i="16" s="1"/>
  <c r="K2154" i="16"/>
  <c r="F2154" i="16"/>
  <c r="O2154" i="16" s="1"/>
  <c r="F1884" i="16"/>
  <c r="O1884" i="16" s="1"/>
  <c r="K1884" i="16"/>
  <c r="F1830" i="16"/>
  <c r="O1830" i="16" s="1"/>
  <c r="K1830" i="16"/>
  <c r="F1668" i="16"/>
  <c r="O1668" i="16" s="1"/>
  <c r="K1668" i="16"/>
  <c r="F1506" i="16"/>
  <c r="O1506" i="16" s="1"/>
  <c r="K1506" i="16"/>
  <c r="F1344" i="16"/>
  <c r="O1344" i="16" s="1"/>
  <c r="K1344" i="16"/>
  <c r="K1237" i="16"/>
  <c r="F1237" i="16"/>
  <c r="O1237" i="16" s="1"/>
  <c r="K1074" i="16"/>
  <c r="F1074" i="16"/>
  <c r="O1074" i="16" s="1"/>
  <c r="K858" i="16"/>
  <c r="F858" i="16"/>
  <c r="O858" i="16" s="1"/>
  <c r="K642" i="16"/>
  <c r="F642" i="16"/>
  <c r="O642" i="16" s="1"/>
  <c r="F156" i="16"/>
  <c r="O156" i="16" s="1"/>
  <c r="K156" i="16"/>
  <c r="F102" i="16"/>
  <c r="O102" i="16" s="1"/>
  <c r="K102" i="16"/>
  <c r="K3451" i="16" l="1"/>
  <c r="F3451" i="16"/>
  <c r="O3451" i="16" s="1"/>
  <c r="K3235" i="16"/>
  <c r="F3235" i="16"/>
  <c r="O3235" i="16" s="1"/>
  <c r="K2965" i="16"/>
  <c r="F2965" i="16"/>
  <c r="O2965" i="16" s="1"/>
  <c r="K2641" i="16"/>
  <c r="F2641" i="16"/>
  <c r="O2641" i="16" s="1"/>
  <c r="K2425" i="16"/>
  <c r="F2425" i="16"/>
  <c r="O2425" i="16" s="1"/>
  <c r="K2263" i="16"/>
  <c r="F2263" i="16"/>
  <c r="O2263" i="16" s="1"/>
  <c r="K2209" i="16"/>
  <c r="F2209" i="16"/>
  <c r="O2209" i="16" s="1"/>
  <c r="K1993" i="16"/>
  <c r="F1993" i="16"/>
  <c r="O1993" i="16" s="1"/>
  <c r="K1129" i="16"/>
  <c r="F1129" i="16"/>
  <c r="O1129" i="16" s="1"/>
  <c r="K967" i="16"/>
  <c r="M967" i="16" s="1"/>
  <c r="F967" i="16"/>
  <c r="O967" i="16" s="1"/>
  <c r="K805" i="16"/>
  <c r="F805" i="16"/>
  <c r="O805" i="16" s="1"/>
  <c r="K751" i="16"/>
  <c r="F751" i="16"/>
  <c r="O751" i="16" s="1"/>
  <c r="K535" i="16"/>
  <c r="F535" i="16"/>
  <c r="O535" i="16" s="1"/>
  <c r="U4698" i="16"/>
  <c r="S4698" i="16"/>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D4591" i="16"/>
  <c r="J4591" i="16"/>
  <c r="P4591" i="16"/>
  <c r="Q4591" i="16"/>
  <c r="R4591" i="16"/>
  <c r="L4592" i="16"/>
  <c r="C4592" i="16"/>
  <c r="E4592" i="16"/>
  <c r="G4592" i="16"/>
  <c r="I4592" i="16"/>
  <c r="B4593" i="16"/>
  <c r="D4537" i="16"/>
  <c r="J4537" i="16"/>
  <c r="P4537" i="16"/>
  <c r="Q4537" i="16"/>
  <c r="R4537" i="16"/>
  <c r="L4538" i="16"/>
  <c r="C4538" i="16"/>
  <c r="K4538" i="16" s="1"/>
  <c r="E4538" i="16"/>
  <c r="F4538" i="16"/>
  <c r="G4538" i="16"/>
  <c r="I4538" i="16"/>
  <c r="B4539" i="16"/>
  <c r="U4236" i="16"/>
  <c r="S4236" i="16"/>
  <c r="T4236" i="16" s="1"/>
  <c r="G4238" i="16"/>
  <c r="B4239" i="16"/>
  <c r="C4238" i="16"/>
  <c r="E4238" i="16"/>
  <c r="I4238" i="16"/>
  <c r="L4238" i="16"/>
  <c r="D4237" i="16"/>
  <c r="J4237" i="16"/>
  <c r="P4237" i="16"/>
  <c r="Q4237" i="16"/>
  <c r="R4237" i="16"/>
  <c r="T4237" i="16"/>
  <c r="G4184" i="16"/>
  <c r="L4184" i="16"/>
  <c r="C4184" i="16"/>
  <c r="F4184" i="16" s="1"/>
  <c r="O4184" i="16" s="1"/>
  <c r="E4184" i="16"/>
  <c r="I4184" i="16"/>
  <c r="K4184" i="16"/>
  <c r="B4185" i="16"/>
  <c r="D4183" i="16"/>
  <c r="J4183" i="16"/>
  <c r="N4183" i="16" s="1"/>
  <c r="P4183" i="16"/>
  <c r="Q4183" i="16"/>
  <c r="R4183" i="16"/>
  <c r="T4183" i="16"/>
  <c r="M4183" i="16"/>
  <c r="U4182" i="16"/>
  <c r="S4182" i="16"/>
  <c r="T4182" i="16" s="1"/>
  <c r="P4129" i="16"/>
  <c r="Q4129" i="16"/>
  <c r="R4129" i="16"/>
  <c r="T4129" i="16"/>
  <c r="I4130" i="16"/>
  <c r="L4130" i="16"/>
  <c r="B4131" i="16"/>
  <c r="C4130" i="16"/>
  <c r="E4130" i="16"/>
  <c r="F4130" i="16"/>
  <c r="O4130" i="16" s="1"/>
  <c r="G4130" i="16"/>
  <c r="K4130" i="16"/>
  <c r="J4129" i="16"/>
  <c r="D4129" i="16"/>
  <c r="M4129" i="16"/>
  <c r="N4129" i="16"/>
  <c r="U4128" i="16"/>
  <c r="S4128" i="16"/>
  <c r="T4128" i="16" s="1"/>
  <c r="U4074" i="16"/>
  <c r="S4074" i="16"/>
  <c r="T4074" i="16" s="1"/>
  <c r="M4075" i="16"/>
  <c r="D4075" i="16"/>
  <c r="J4075" i="16"/>
  <c r="N4075" i="16" s="1"/>
  <c r="P4075" i="16"/>
  <c r="Q4075" i="16"/>
  <c r="R4075" i="16"/>
  <c r="T4075" i="16"/>
  <c r="L4076" i="16"/>
  <c r="C4076" i="16"/>
  <c r="K4076" i="16" s="1"/>
  <c r="E4076" i="16"/>
  <c r="F4076" i="16"/>
  <c r="O4076" i="16" s="1"/>
  <c r="G4076" i="16"/>
  <c r="I4076" i="16"/>
  <c r="B4077" i="16"/>
  <c r="M3775" i="16"/>
  <c r="D3775" i="16"/>
  <c r="J3775" i="16"/>
  <c r="N3775" i="16" s="1"/>
  <c r="P3775" i="16"/>
  <c r="Q3775" i="16"/>
  <c r="R3775" i="16"/>
  <c r="T3775" i="16"/>
  <c r="L3776" i="16"/>
  <c r="C3776" i="16"/>
  <c r="E3776" i="16"/>
  <c r="G3776" i="16"/>
  <c r="I3776" i="16"/>
  <c r="B3777" i="16"/>
  <c r="U3720" i="16"/>
  <c r="S3720" i="16"/>
  <c r="T3720" i="16" s="1"/>
  <c r="D3721" i="16"/>
  <c r="J3721" i="16"/>
  <c r="P3721" i="16"/>
  <c r="Q3721" i="16"/>
  <c r="R3721" i="16"/>
  <c r="T3721" i="16"/>
  <c r="L3722" i="16"/>
  <c r="C3722" i="16"/>
  <c r="E3722" i="16"/>
  <c r="G3722" i="16"/>
  <c r="B3723" i="16"/>
  <c r="I3722" i="16"/>
  <c r="U3666" i="16"/>
  <c r="S3666" i="16"/>
  <c r="T3666" i="16" s="1"/>
  <c r="M3667" i="16"/>
  <c r="D3667" i="16"/>
  <c r="J3667" i="16"/>
  <c r="N3667" i="16" s="1"/>
  <c r="P3667" i="16"/>
  <c r="Q3667" i="16"/>
  <c r="R3667" i="16"/>
  <c r="T3667" i="16"/>
  <c r="L3668" i="16"/>
  <c r="C3668" i="16"/>
  <c r="K3668" i="16" s="1"/>
  <c r="E3668" i="16"/>
  <c r="F3668" i="16"/>
  <c r="O3668" i="16" s="1"/>
  <c r="G3668" i="16"/>
  <c r="B3669" i="16"/>
  <c r="I3668"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M3505" i="16"/>
  <c r="D3505" i="16"/>
  <c r="J3505" i="16"/>
  <c r="N3505" i="16" s="1"/>
  <c r="P3505" i="16"/>
  <c r="Q3505" i="16"/>
  <c r="R3505" i="16"/>
  <c r="T3505" i="16"/>
  <c r="L3506" i="16"/>
  <c r="C3506" i="16"/>
  <c r="K3506" i="16" s="1"/>
  <c r="E3506" i="16"/>
  <c r="F3506" i="16"/>
  <c r="O3506" i="16" s="1"/>
  <c r="G3506" i="16"/>
  <c r="I3506" i="16"/>
  <c r="B3507" i="16"/>
  <c r="M3451" i="16"/>
  <c r="D3451" i="16"/>
  <c r="J3451" i="16"/>
  <c r="N3451" i="16" s="1"/>
  <c r="P3451" i="16"/>
  <c r="Q3451" i="16"/>
  <c r="R3451" i="16"/>
  <c r="T3451" i="16"/>
  <c r="L3452" i="16"/>
  <c r="E3452" i="16"/>
  <c r="G3452" i="16"/>
  <c r="B3453" i="16"/>
  <c r="I3452" i="16"/>
  <c r="C3452" i="16"/>
  <c r="U3396" i="16"/>
  <c r="S3396" i="16"/>
  <c r="T3396" i="16" s="1"/>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E3290" i="16"/>
  <c r="G3290" i="16"/>
  <c r="I3290" i="16"/>
  <c r="B3291" i="16"/>
  <c r="U3234" i="16"/>
  <c r="S3234" i="16"/>
  <c r="T3234" i="16" s="1"/>
  <c r="M3235" i="16"/>
  <c r="D3235" i="16"/>
  <c r="J3235" i="16"/>
  <c r="N3235" i="16" s="1"/>
  <c r="L3236" i="16"/>
  <c r="G3236" i="16"/>
  <c r="C3236" i="16"/>
  <c r="I3236" i="16"/>
  <c r="B3237" i="16"/>
  <c r="E3236" i="16"/>
  <c r="P3235" i="16"/>
  <c r="Q3235" i="16"/>
  <c r="R3235" i="16"/>
  <c r="T3235" i="16"/>
  <c r="M3181" i="16"/>
  <c r="L3182" i="16"/>
  <c r="E3182" i="16"/>
  <c r="C3182" i="16"/>
  <c r="K3182" i="16" s="1"/>
  <c r="G3182" i="16"/>
  <c r="F3182" i="16"/>
  <c r="O3182" i="16" s="1"/>
  <c r="B3183" i="16"/>
  <c r="I3182" i="16"/>
  <c r="J3181" i="16"/>
  <c r="N3181" i="16" s="1"/>
  <c r="D3181" i="16"/>
  <c r="P3181" i="16"/>
  <c r="Q3181" i="16"/>
  <c r="R3181" i="16"/>
  <c r="T3181" i="16"/>
  <c r="U3126" i="16"/>
  <c r="S3126" i="16"/>
  <c r="T3126" i="16" s="1"/>
  <c r="M3127" i="16"/>
  <c r="J3127" i="16"/>
  <c r="N3127" i="16" s="1"/>
  <c r="D3127" i="16"/>
  <c r="P3127" i="16"/>
  <c r="Q3127" i="16"/>
  <c r="R3127" i="16"/>
  <c r="T3127" i="16"/>
  <c r="L3128" i="16"/>
  <c r="C3128" i="16"/>
  <c r="K3128" i="16" s="1"/>
  <c r="F3128" i="16"/>
  <c r="O3128" i="16" s="1"/>
  <c r="B3129" i="16"/>
  <c r="E3128" i="16"/>
  <c r="G3128" i="16"/>
  <c r="I3128" i="16"/>
  <c r="U3072" i="16"/>
  <c r="S3072" i="16"/>
  <c r="T3072" i="16" s="1"/>
  <c r="M3073" i="16"/>
  <c r="L3074" i="16"/>
  <c r="E3074" i="16"/>
  <c r="C3074" i="16"/>
  <c r="K3074" i="16" s="1"/>
  <c r="G3074" i="16"/>
  <c r="F3074" i="16"/>
  <c r="O3074" i="16" s="1"/>
  <c r="I3074" i="16"/>
  <c r="B3075" i="16"/>
  <c r="P3073" i="16"/>
  <c r="Q3073" i="16"/>
  <c r="R3073" i="16"/>
  <c r="T3073" i="16"/>
  <c r="J3073" i="16"/>
  <c r="N3073" i="16" s="1"/>
  <c r="D3073" i="16"/>
  <c r="J3019" i="16"/>
  <c r="D3019" i="16"/>
  <c r="L3020" i="16"/>
  <c r="C3020" i="16"/>
  <c r="K3020" i="16" s="1"/>
  <c r="G3020" i="16"/>
  <c r="F3020" i="16"/>
  <c r="O3020" i="16" s="1"/>
  <c r="E3020" i="16"/>
  <c r="B3021" i="16"/>
  <c r="I3020" i="16"/>
  <c r="P3019" i="16"/>
  <c r="Q3019" i="16"/>
  <c r="R3019" i="16"/>
  <c r="T3019" i="16"/>
  <c r="U2964" i="16"/>
  <c r="S2964" i="16"/>
  <c r="T2964" i="16" s="1"/>
  <c r="M2965" i="16"/>
  <c r="D2965" i="16"/>
  <c r="J2965" i="16"/>
  <c r="N2965" i="16" s="1"/>
  <c r="P2965" i="16"/>
  <c r="Q2965" i="16"/>
  <c r="R2965" i="16"/>
  <c r="T2965" i="16"/>
  <c r="L2966" i="16"/>
  <c r="C2966" i="16"/>
  <c r="E2966" i="16"/>
  <c r="G2966" i="16"/>
  <c r="I2966" i="16"/>
  <c r="B2967" i="16"/>
  <c r="M2911" i="16"/>
  <c r="D2911" i="16"/>
  <c r="J2911" i="16"/>
  <c r="N2911" i="16" s="1"/>
  <c r="P2911" i="16"/>
  <c r="Q2911" i="16"/>
  <c r="R2911" i="16"/>
  <c r="T2911" i="16"/>
  <c r="L2912" i="16"/>
  <c r="C2912" i="16"/>
  <c r="E2912" i="16"/>
  <c r="G2912" i="16"/>
  <c r="I2912" i="16"/>
  <c r="B2913" i="16"/>
  <c r="U2856" i="16"/>
  <c r="S2856" i="16"/>
  <c r="T2856" i="16" s="1"/>
  <c r="M2857" i="16"/>
  <c r="D2857" i="16"/>
  <c r="J2857" i="16"/>
  <c r="N2857" i="16" s="1"/>
  <c r="P2857" i="16"/>
  <c r="Q2857" i="16"/>
  <c r="R2857" i="16"/>
  <c r="T2857" i="16"/>
  <c r="L2858" i="16"/>
  <c r="C2858" i="16"/>
  <c r="K2858" i="16" s="1"/>
  <c r="E2858" i="16"/>
  <c r="F2858" i="16"/>
  <c r="O2858" i="16" s="1"/>
  <c r="G2858" i="16"/>
  <c r="I2858" i="16"/>
  <c r="B2859" i="16"/>
  <c r="D2803" i="16"/>
  <c r="J2803" i="16"/>
  <c r="P2803" i="16"/>
  <c r="Q2803" i="16"/>
  <c r="R2803" i="16"/>
  <c r="T2803" i="16"/>
  <c r="U2803" i="16" s="1"/>
  <c r="L2804" i="16"/>
  <c r="C2804" i="16"/>
  <c r="K2804" i="16" s="1"/>
  <c r="E2804" i="16"/>
  <c r="F2804" i="16"/>
  <c r="O2804" i="16" s="1"/>
  <c r="G2804" i="16"/>
  <c r="I2804" i="16"/>
  <c r="B2805" i="16"/>
  <c r="M2749" i="16"/>
  <c r="D2749" i="16"/>
  <c r="J2749" i="16"/>
  <c r="N2749" i="16" s="1"/>
  <c r="P2749" i="16"/>
  <c r="Q2749" i="16"/>
  <c r="R2749" i="16"/>
  <c r="T2749" i="16"/>
  <c r="L2750" i="16"/>
  <c r="C2750" i="16"/>
  <c r="K2750" i="16" s="1"/>
  <c r="E2750" i="16"/>
  <c r="F2750" i="16"/>
  <c r="O2750" i="16" s="1"/>
  <c r="G2750" i="16"/>
  <c r="I2750" i="16"/>
  <c r="B2751" i="16"/>
  <c r="M2695" i="16"/>
  <c r="D2695" i="16"/>
  <c r="J2695" i="16"/>
  <c r="N2695" i="16" s="1"/>
  <c r="P2695" i="16"/>
  <c r="Q2695" i="16"/>
  <c r="R2695" i="16"/>
  <c r="T2695" i="16"/>
  <c r="L2696" i="16"/>
  <c r="C2696" i="16"/>
  <c r="K2696" i="16" s="1"/>
  <c r="E2696" i="16"/>
  <c r="F2696" i="16"/>
  <c r="O2696" i="16" s="1"/>
  <c r="G2696" i="16"/>
  <c r="I2696" i="16"/>
  <c r="B2697" i="16"/>
  <c r="U2640" i="16"/>
  <c r="S2640" i="16"/>
  <c r="T2640" i="16" s="1"/>
  <c r="M2641" i="16"/>
  <c r="D2641" i="16"/>
  <c r="J2641" i="16"/>
  <c r="N2641" i="16" s="1"/>
  <c r="P2641" i="16"/>
  <c r="Q2641" i="16"/>
  <c r="R2641" i="16"/>
  <c r="T2641" i="16"/>
  <c r="L2642" i="16"/>
  <c r="C2642" i="16"/>
  <c r="E2642" i="16"/>
  <c r="G2642" i="16"/>
  <c r="I2642" i="16"/>
  <c r="B2643" i="16"/>
  <c r="U2586" i="16"/>
  <c r="S2586" i="16"/>
  <c r="T2586" i="16" s="1"/>
  <c r="D2587" i="16"/>
  <c r="J2587" i="16"/>
  <c r="P2587" i="16"/>
  <c r="Q2587" i="16"/>
  <c r="R2587" i="16"/>
  <c r="T2587" i="16"/>
  <c r="L2588" i="16"/>
  <c r="C2588" i="16"/>
  <c r="K2588" i="16" s="1"/>
  <c r="E2588" i="16"/>
  <c r="F2588" i="16"/>
  <c r="O2588" i="16" s="1"/>
  <c r="G2588" i="16"/>
  <c r="I2588" i="16"/>
  <c r="B2589" i="16"/>
  <c r="U2532" i="16"/>
  <c r="S2532" i="16"/>
  <c r="T2532" i="16" s="1"/>
  <c r="M2533" i="16"/>
  <c r="D2533" i="16"/>
  <c r="J2533" i="16"/>
  <c r="N2533" i="16" s="1"/>
  <c r="Q2533" i="16"/>
  <c r="P2533" i="16"/>
  <c r="R2533" i="16"/>
  <c r="T2533" i="16"/>
  <c r="L2534" i="16"/>
  <c r="C2534" i="16"/>
  <c r="K2534" i="16" s="1"/>
  <c r="E2534" i="16"/>
  <c r="F2534" i="16"/>
  <c r="O2534" i="16" s="1"/>
  <c r="G2534" i="16"/>
  <c r="I2534" i="16"/>
  <c r="B2535" i="16"/>
  <c r="M2479" i="16"/>
  <c r="D2479" i="16"/>
  <c r="J2479" i="16"/>
  <c r="N2479" i="16" s="1"/>
  <c r="P2479" i="16"/>
  <c r="Q2479" i="16"/>
  <c r="R2479" i="16"/>
  <c r="T2479" i="16"/>
  <c r="L2480" i="16"/>
  <c r="C2480" i="16"/>
  <c r="K2480" i="16" s="1"/>
  <c r="E2480" i="16"/>
  <c r="F2480" i="16"/>
  <c r="O2480" i="16" s="1"/>
  <c r="G2480" i="16"/>
  <c r="I2480" i="16"/>
  <c r="B2481" i="16"/>
  <c r="U2424" i="16"/>
  <c r="S2424" i="16"/>
  <c r="T2424" i="16" s="1"/>
  <c r="M2425" i="16"/>
  <c r="D2425" i="16"/>
  <c r="J2425" i="16"/>
  <c r="N2425" i="16" s="1"/>
  <c r="Q2425" i="16"/>
  <c r="P2425" i="16"/>
  <c r="R2425" i="16"/>
  <c r="T2425" i="16"/>
  <c r="L2426" i="16"/>
  <c r="C2426" i="16"/>
  <c r="K2426" i="16" s="1"/>
  <c r="E2426" i="16"/>
  <c r="F2426" i="16"/>
  <c r="O2426" i="16" s="1"/>
  <c r="G2426" i="16"/>
  <c r="I2426" i="16"/>
  <c r="B2427" i="16"/>
  <c r="U2370" i="16"/>
  <c r="S2370" i="16"/>
  <c r="T2370" i="16" s="1"/>
  <c r="D2371" i="16"/>
  <c r="J2371" i="16"/>
  <c r="P2371" i="16"/>
  <c r="Q2371" i="16"/>
  <c r="R2371" i="16"/>
  <c r="T2371" i="16"/>
  <c r="L2372" i="16"/>
  <c r="C2372" i="16"/>
  <c r="E2372" i="16"/>
  <c r="G2372" i="16"/>
  <c r="I2372" i="16"/>
  <c r="B2373" i="16"/>
  <c r="U2316" i="16"/>
  <c r="S2316" i="16"/>
  <c r="T2316" i="16" s="1"/>
  <c r="D2317" i="16"/>
  <c r="J2317" i="16"/>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L2210" i="16"/>
  <c r="C2210" i="16"/>
  <c r="K2210" i="16" s="1"/>
  <c r="E2210" i="16"/>
  <c r="F2210" i="16"/>
  <c r="O2210" i="16" s="1"/>
  <c r="G2210" i="16"/>
  <c r="I2210" i="16"/>
  <c r="B2211" i="16"/>
  <c r="J2209" i="16"/>
  <c r="N2209" i="16" s="1"/>
  <c r="D2209" i="16"/>
  <c r="P2209" i="16"/>
  <c r="Q2209" i="16"/>
  <c r="R2209" i="16"/>
  <c r="T2209" i="16"/>
  <c r="Q2155" i="16"/>
  <c r="R2155" i="16"/>
  <c r="P2155" i="16"/>
  <c r="T2155" i="16"/>
  <c r="J2155" i="16"/>
  <c r="D2155" i="16"/>
  <c r="L2156" i="16"/>
  <c r="E2156" i="16"/>
  <c r="B2157" i="16"/>
  <c r="I2156" i="16"/>
  <c r="C2156" i="16"/>
  <c r="G2156" i="16"/>
  <c r="S2100" i="16"/>
  <c r="T2100" i="16" s="1"/>
  <c r="U2100" i="16"/>
  <c r="M2101" i="16"/>
  <c r="D2101" i="16"/>
  <c r="J2101" i="16"/>
  <c r="N2101" i="16" s="1"/>
  <c r="P2101" i="16"/>
  <c r="Q2101" i="16"/>
  <c r="R2101" i="16"/>
  <c r="T2101" i="16"/>
  <c r="L2102" i="16"/>
  <c r="C2102" i="16"/>
  <c r="E2102" i="16"/>
  <c r="G2102" i="16"/>
  <c r="B2103" i="16"/>
  <c r="I2102" i="16"/>
  <c r="U2046" i="16"/>
  <c r="S2046" i="16"/>
  <c r="T2046" i="16" s="1"/>
  <c r="D2047" i="16"/>
  <c r="J2047" i="16"/>
  <c r="P2047" i="16"/>
  <c r="Q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M1885" i="16"/>
  <c r="D1885" i="16"/>
  <c r="J1885" i="16"/>
  <c r="N1885" i="16" s="1"/>
  <c r="P1885" i="16"/>
  <c r="Q1885" i="16"/>
  <c r="R1885" i="16"/>
  <c r="T1885" i="16"/>
  <c r="L1886" i="16"/>
  <c r="C1886" i="16"/>
  <c r="K1886" i="16" s="1"/>
  <c r="E1886" i="16"/>
  <c r="F1886" i="16"/>
  <c r="O1886" i="16" s="1"/>
  <c r="G1886" i="16"/>
  <c r="I1886" i="16"/>
  <c r="B1887" i="16"/>
  <c r="D1831" i="16"/>
  <c r="J1831" i="16"/>
  <c r="P1831" i="16"/>
  <c r="Q1831" i="16"/>
  <c r="R1831" i="16"/>
  <c r="T1831" i="16"/>
  <c r="L1832" i="16"/>
  <c r="C1832" i="16"/>
  <c r="K1832" i="16" s="1"/>
  <c r="E1832" i="16"/>
  <c r="F1832" i="16"/>
  <c r="O1832" i="16" s="1"/>
  <c r="G1832" i="16"/>
  <c r="I1832" i="16"/>
  <c r="B1833" i="16"/>
  <c r="U1776" i="16"/>
  <c r="S1776" i="16"/>
  <c r="T1776" i="16" s="1"/>
  <c r="D1777" i="16"/>
  <c r="J1777" i="16"/>
  <c r="P1777" i="16"/>
  <c r="Q1777" i="16"/>
  <c r="R1777" i="16"/>
  <c r="T1777" i="16"/>
  <c r="L1778" i="16"/>
  <c r="C1778" i="16"/>
  <c r="K1778" i="16" s="1"/>
  <c r="E1778" i="16"/>
  <c r="F1778" i="16"/>
  <c r="O1778" i="16" s="1"/>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I1724" i="16"/>
  <c r="B1725" i="16"/>
  <c r="M1669" i="16"/>
  <c r="D1669" i="16"/>
  <c r="J1669" i="16"/>
  <c r="N1669" i="16" s="1"/>
  <c r="P1669" i="16"/>
  <c r="Q1669" i="16"/>
  <c r="R1669" i="16"/>
  <c r="T1669" i="16"/>
  <c r="L1670" i="16"/>
  <c r="C1670" i="16"/>
  <c r="E1670" i="16"/>
  <c r="G1670" i="16"/>
  <c r="I1670" i="16"/>
  <c r="B1671" i="16"/>
  <c r="U1614" i="16"/>
  <c r="S1614" i="16"/>
  <c r="T1614" i="16" s="1"/>
  <c r="M1615" i="16"/>
  <c r="D1615" i="16"/>
  <c r="J1615" i="16"/>
  <c r="N1615" i="16" s="1"/>
  <c r="P1615" i="16"/>
  <c r="Q1615" i="16"/>
  <c r="R1615" i="16"/>
  <c r="T1615" i="16"/>
  <c r="L1616" i="16"/>
  <c r="C1616" i="16"/>
  <c r="E1616" i="16"/>
  <c r="G1616" i="16"/>
  <c r="I1616" i="16"/>
  <c r="B1617" i="16"/>
  <c r="U1560" i="16"/>
  <c r="S1560" i="16"/>
  <c r="T1560" i="16" s="1"/>
  <c r="M1561" i="16"/>
  <c r="D1561" i="16"/>
  <c r="J1561" i="16"/>
  <c r="N1561" i="16" s="1"/>
  <c r="P1561" i="16"/>
  <c r="Q1561" i="16"/>
  <c r="R1561" i="16"/>
  <c r="T1561" i="16"/>
  <c r="L1562" i="16"/>
  <c r="C1562" i="16"/>
  <c r="E1562" i="16"/>
  <c r="G1562" i="16"/>
  <c r="I1562" i="16"/>
  <c r="B1563" i="16"/>
  <c r="P1507" i="16"/>
  <c r="Q1507" i="16"/>
  <c r="R1507" i="16"/>
  <c r="T1507" i="16"/>
  <c r="J1507" i="16"/>
  <c r="D1507" i="16"/>
  <c r="L1508" i="16"/>
  <c r="E1508" i="16"/>
  <c r="B1509" i="16"/>
  <c r="C1508" i="16"/>
  <c r="K1508" i="16" s="1"/>
  <c r="F1508" i="16"/>
  <c r="O1508" i="16" s="1"/>
  <c r="G1508" i="16"/>
  <c r="I1508" i="16"/>
  <c r="U1452" i="16"/>
  <c r="S1452" i="16"/>
  <c r="T1452" i="16" s="1"/>
  <c r="M1453" i="16"/>
  <c r="D1453" i="16"/>
  <c r="J1453" i="16"/>
  <c r="N1453" i="16" s="1"/>
  <c r="P1453" i="16"/>
  <c r="Q1453" i="16"/>
  <c r="R1453" i="16"/>
  <c r="T1453" i="16"/>
  <c r="L1454" i="16"/>
  <c r="C1454" i="16"/>
  <c r="E1454" i="16"/>
  <c r="G1454" i="16"/>
  <c r="B1455" i="16"/>
  <c r="I1454" i="16"/>
  <c r="U1398" i="16"/>
  <c r="S1398" i="16"/>
  <c r="T1398" i="16" s="1"/>
  <c r="J1399" i="16"/>
  <c r="D1399" i="16"/>
  <c r="P1399" i="16"/>
  <c r="Q1399" i="16"/>
  <c r="R1399" i="16"/>
  <c r="T1399" i="16"/>
  <c r="L1400" i="16"/>
  <c r="E1400" i="16"/>
  <c r="I1400" i="16"/>
  <c r="G1400" i="16"/>
  <c r="C1400" i="16"/>
  <c r="B1401" i="16"/>
  <c r="M1345" i="16"/>
  <c r="J1345" i="16"/>
  <c r="N1345" i="16" s="1"/>
  <c r="D1345" i="16"/>
  <c r="P1345" i="16"/>
  <c r="Q1345" i="16"/>
  <c r="R1345" i="16"/>
  <c r="T1345" i="16"/>
  <c r="L1346" i="16"/>
  <c r="E1346" i="16"/>
  <c r="I1346" i="16"/>
  <c r="B1347" i="16"/>
  <c r="C1346" i="16"/>
  <c r="G1346" i="16"/>
  <c r="U1290" i="16"/>
  <c r="S1290" i="16"/>
  <c r="T1290" i="16" s="1"/>
  <c r="M1291" i="16"/>
  <c r="L1292" i="16"/>
  <c r="E1292" i="16"/>
  <c r="I1292" i="16"/>
  <c r="B1293" i="16"/>
  <c r="C1292" i="16"/>
  <c r="K1292" i="16" s="1"/>
  <c r="F1292" i="16"/>
  <c r="O1292" i="16" s="1"/>
  <c r="G1292" i="16"/>
  <c r="D1291" i="16"/>
  <c r="J1291" i="16"/>
  <c r="N1291" i="16" s="1"/>
  <c r="P1291" i="16"/>
  <c r="Q1291" i="16"/>
  <c r="R1291" i="16"/>
  <c r="T1291" i="16"/>
  <c r="P1238" i="16"/>
  <c r="Q1238" i="16"/>
  <c r="R1238" i="16"/>
  <c r="T1238" i="16"/>
  <c r="J1238" i="16"/>
  <c r="D1238" i="16"/>
  <c r="L1239" i="16"/>
  <c r="G1239" i="16"/>
  <c r="B1240" i="16"/>
  <c r="C1239" i="16"/>
  <c r="K1239" i="16" s="1"/>
  <c r="F1239" i="16"/>
  <c r="O1239" i="16" s="1"/>
  <c r="I1239" i="16"/>
  <c r="E1239"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M1075" i="16"/>
  <c r="D1075" i="16"/>
  <c r="J1075" i="16"/>
  <c r="N1075" i="16" s="1"/>
  <c r="P1075" i="16"/>
  <c r="Q1075" i="16"/>
  <c r="R1075" i="16"/>
  <c r="T1075" i="16"/>
  <c r="L1076" i="16"/>
  <c r="C1076" i="16"/>
  <c r="E1076" i="16"/>
  <c r="G1076" i="16"/>
  <c r="I1076" i="16"/>
  <c r="B1077" i="16"/>
  <c r="U1020" i="16"/>
  <c r="S1020" i="16"/>
  <c r="T1020" i="16" s="1"/>
  <c r="M1021" i="16"/>
  <c r="D1021" i="16"/>
  <c r="J1021" i="16"/>
  <c r="N1021" i="16" s="1"/>
  <c r="P1021" i="16"/>
  <c r="Q1021" i="16"/>
  <c r="R1021" i="16"/>
  <c r="T1021" i="16"/>
  <c r="L1022" i="16"/>
  <c r="C1022" i="16"/>
  <c r="E1022" i="16"/>
  <c r="G1022" i="16"/>
  <c r="I1022" i="16"/>
  <c r="B1023" i="16"/>
  <c r="U966" i="16"/>
  <c r="S966" i="16"/>
  <c r="T966" i="16" s="1"/>
  <c r="D967" i="16"/>
  <c r="J967" i="16"/>
  <c r="P967" i="16"/>
  <c r="Q967" i="16"/>
  <c r="R967" i="16"/>
  <c r="T967" i="16"/>
  <c r="L968" i="16"/>
  <c r="C968" i="16"/>
  <c r="K968" i="16" s="1"/>
  <c r="E968" i="16"/>
  <c r="F968" i="16"/>
  <c r="O968" i="16" s="1"/>
  <c r="G968" i="16"/>
  <c r="I968" i="16"/>
  <c r="B969" i="16"/>
  <c r="U912" i="16"/>
  <c r="S912" i="16"/>
  <c r="T912" i="16" s="1"/>
  <c r="M913" i="16"/>
  <c r="D913" i="16"/>
  <c r="J913" i="16"/>
  <c r="N913" i="16" s="1"/>
  <c r="Q913" i="16"/>
  <c r="P913" i="16"/>
  <c r="R913" i="16"/>
  <c r="T913" i="16"/>
  <c r="L914" i="16"/>
  <c r="C914" i="16"/>
  <c r="K914" i="16" s="1"/>
  <c r="E914" i="16"/>
  <c r="F914" i="16"/>
  <c r="O914" i="16" s="1"/>
  <c r="G914" i="16"/>
  <c r="I914" i="16"/>
  <c r="B915" i="16"/>
  <c r="M859" i="16"/>
  <c r="D859" i="16"/>
  <c r="J859" i="16"/>
  <c r="N859" i="16" s="1"/>
  <c r="P859" i="16"/>
  <c r="Q859" i="16"/>
  <c r="R859" i="16"/>
  <c r="T859" i="16"/>
  <c r="L860" i="16"/>
  <c r="C860" i="16"/>
  <c r="E860" i="16"/>
  <c r="G860" i="16"/>
  <c r="I860" i="16"/>
  <c r="B861" i="16"/>
  <c r="U804" i="16"/>
  <c r="S804" i="16"/>
  <c r="T804" i="16" s="1"/>
  <c r="M805" i="16"/>
  <c r="D805" i="16"/>
  <c r="J805" i="16"/>
  <c r="N805" i="16" s="1"/>
  <c r="Q805" i="16"/>
  <c r="P805" i="16"/>
  <c r="R805" i="16"/>
  <c r="T805" i="16"/>
  <c r="L806" i="16"/>
  <c r="C806" i="16"/>
  <c r="E806" i="16"/>
  <c r="G806" i="16"/>
  <c r="I806" i="16"/>
  <c r="B807" i="16"/>
  <c r="U750" i="16"/>
  <c r="S750" i="16"/>
  <c r="T750" i="16" s="1"/>
  <c r="M751" i="16"/>
  <c r="D751" i="16"/>
  <c r="J751" i="16"/>
  <c r="N751" i="16" s="1"/>
  <c r="Q751" i="16"/>
  <c r="P751" i="16"/>
  <c r="R751" i="16"/>
  <c r="T751" i="16"/>
  <c r="L752" i="16"/>
  <c r="C752" i="16"/>
  <c r="K752" i="16" s="1"/>
  <c r="E752" i="16"/>
  <c r="F752" i="16"/>
  <c r="O752" i="16" s="1"/>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M643" i="16"/>
  <c r="D643" i="16"/>
  <c r="J643" i="16"/>
  <c r="N643" i="16" s="1"/>
  <c r="P643" i="16"/>
  <c r="Q643" i="16"/>
  <c r="R643" i="16"/>
  <c r="T643" i="16"/>
  <c r="L644" i="16"/>
  <c r="C644" i="16"/>
  <c r="K644" i="16" s="1"/>
  <c r="E644" i="16"/>
  <c r="F644" i="16"/>
  <c r="O644" i="16" s="1"/>
  <c r="G644" i="16"/>
  <c r="I644" i="16"/>
  <c r="B645" i="16"/>
  <c r="U588" i="16"/>
  <c r="S588" i="16"/>
  <c r="T588" i="16" s="1"/>
  <c r="M589" i="16"/>
  <c r="D589" i="16"/>
  <c r="J589" i="16"/>
  <c r="N589" i="16" s="1"/>
  <c r="Q589" i="16"/>
  <c r="P589" i="16"/>
  <c r="R589" i="16"/>
  <c r="T589" i="16"/>
  <c r="L590" i="16"/>
  <c r="C590" i="16"/>
  <c r="E590" i="16"/>
  <c r="G590" i="16"/>
  <c r="I590" i="16"/>
  <c r="B591" i="16"/>
  <c r="U534" i="16"/>
  <c r="S534" i="16"/>
  <c r="T534" i="16" s="1"/>
  <c r="M535" i="16"/>
  <c r="D535" i="16"/>
  <c r="J535" i="16"/>
  <c r="N535" i="16" s="1"/>
  <c r="Q535" i="16"/>
  <c r="P535" i="16"/>
  <c r="R535" i="16"/>
  <c r="T535" i="16"/>
  <c r="L536" i="16"/>
  <c r="C536" i="16"/>
  <c r="K536" i="16" s="1"/>
  <c r="E536" i="16"/>
  <c r="F536" i="16"/>
  <c r="O536" i="16" s="1"/>
  <c r="G536" i="16"/>
  <c r="I536" i="16"/>
  <c r="B537" i="16"/>
  <c r="U480" i="16"/>
  <c r="S480" i="16"/>
  <c r="T480" i="16" s="1"/>
  <c r="D481" i="16"/>
  <c r="J481" i="16"/>
  <c r="Q481" i="16"/>
  <c r="P481" i="16"/>
  <c r="R481" i="16"/>
  <c r="T481" i="16"/>
  <c r="L482" i="16"/>
  <c r="C482" i="16"/>
  <c r="K482" i="16" s="1"/>
  <c r="E482" i="16"/>
  <c r="F482" i="16"/>
  <c r="O482" i="16" s="1"/>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U372" i="16"/>
  <c r="S372" i="16"/>
  <c r="T372" i="16" s="1"/>
  <c r="M373" i="16"/>
  <c r="D373" i="16"/>
  <c r="J373" i="16"/>
  <c r="N373" i="16" s="1"/>
  <c r="P373" i="16"/>
  <c r="Q373" i="16"/>
  <c r="R373" i="16"/>
  <c r="T373" i="16"/>
  <c r="L374" i="16"/>
  <c r="C374" i="16"/>
  <c r="E374" i="16"/>
  <c r="G374" i="16"/>
  <c r="I374" i="16"/>
  <c r="B375" i="16"/>
  <c r="U318" i="16"/>
  <c r="S318" i="16"/>
  <c r="T318" i="16" s="1"/>
  <c r="M319" i="16"/>
  <c r="D319" i="16"/>
  <c r="J319" i="16"/>
  <c r="N319" i="16" s="1"/>
  <c r="P319" i="16"/>
  <c r="Q319" i="16"/>
  <c r="R319" i="16"/>
  <c r="T319" i="16"/>
  <c r="L320" i="16"/>
  <c r="C320" i="16"/>
  <c r="E320" i="16"/>
  <c r="G320" i="16"/>
  <c r="I320" i="16"/>
  <c r="B321" i="16"/>
  <c r="U264" i="16"/>
  <c r="S264" i="16"/>
  <c r="T264" i="16" s="1"/>
  <c r="M265" i="16"/>
  <c r="D265" i="16"/>
  <c r="J265" i="16"/>
  <c r="N265" i="16" s="1"/>
  <c r="P265" i="16"/>
  <c r="Q265" i="16"/>
  <c r="R265" i="16"/>
  <c r="T265" i="16"/>
  <c r="L266" i="16"/>
  <c r="C266" i="16"/>
  <c r="K266" i="16" s="1"/>
  <c r="E266" i="16"/>
  <c r="F266" i="16"/>
  <c r="O266" i="16" s="1"/>
  <c r="G266" i="16"/>
  <c r="I266" i="16"/>
  <c r="B267" i="16"/>
  <c r="U210" i="16"/>
  <c r="S210" i="16"/>
  <c r="T210" i="16" s="1"/>
  <c r="D211" i="16"/>
  <c r="J211" i="16"/>
  <c r="P211" i="16"/>
  <c r="Q211" i="16"/>
  <c r="R211" i="16"/>
  <c r="T211" i="16"/>
  <c r="L212" i="16"/>
  <c r="C212" i="16"/>
  <c r="E212" i="16"/>
  <c r="G212" i="16"/>
  <c r="I212" i="16"/>
  <c r="B213" i="16"/>
  <c r="M157" i="16"/>
  <c r="D157" i="16"/>
  <c r="J157" i="16"/>
  <c r="N157" i="16" s="1"/>
  <c r="P157" i="16"/>
  <c r="Q157" i="16"/>
  <c r="R157" i="16"/>
  <c r="T157" i="16"/>
  <c r="L158" i="16"/>
  <c r="C158" i="16"/>
  <c r="K158" i="16" s="1"/>
  <c r="E158" i="16"/>
  <c r="F158" i="16"/>
  <c r="O158" i="16" s="1"/>
  <c r="G158" i="16"/>
  <c r="I158" i="16"/>
  <c r="B159" i="16"/>
  <c r="M103" i="16"/>
  <c r="D103" i="16"/>
  <c r="J103" i="16"/>
  <c r="N103" i="16" s="1"/>
  <c r="P103" i="16"/>
  <c r="Q103" i="16"/>
  <c r="R103" i="16"/>
  <c r="T103" i="16"/>
  <c r="L104" i="16"/>
  <c r="C104" i="16"/>
  <c r="E104" i="16"/>
  <c r="G104" i="16"/>
  <c r="I104" i="16"/>
  <c r="B105" i="16"/>
  <c r="C74" i="7"/>
  <c r="G74" i="7" s="1"/>
  <c r="U40" i="4"/>
  <c r="S40" i="4"/>
  <c r="T40" i="4" s="1"/>
  <c r="M41" i="4"/>
  <c r="D41" i="4"/>
  <c r="J41" i="4"/>
  <c r="N41" i="4" s="1"/>
  <c r="O41" i="4"/>
  <c r="E76" i="7"/>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I42" i="4"/>
  <c r="B42" i="5"/>
  <c r="B43" i="4"/>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AU42" i="4"/>
  <c r="U4181" i="16"/>
  <c r="S4181" i="16"/>
  <c r="T4181" i="16" s="1"/>
  <c r="U3665" i="16"/>
  <c r="S3665" i="16"/>
  <c r="T3665" i="16" s="1"/>
  <c r="U3233" i="16"/>
  <c r="S3233" i="16"/>
  <c r="T3233" i="16" s="1"/>
  <c r="U3071" i="16"/>
  <c r="S3071" i="16"/>
  <c r="T3071" i="16" s="1"/>
  <c r="U2963" i="16"/>
  <c r="S2963" i="16"/>
  <c r="T2963" i="16" s="1"/>
  <c r="U2855" i="16"/>
  <c r="S2855" i="16"/>
  <c r="T2855" i="16" s="1"/>
  <c r="U2693" i="16"/>
  <c r="S2693" i="16"/>
  <c r="T2693" i="16" s="1"/>
  <c r="U2639" i="16"/>
  <c r="S2639" i="16"/>
  <c r="T2639" i="16" s="1"/>
  <c r="U2423" i="16"/>
  <c r="S2423" i="16"/>
  <c r="T2423" i="16" s="1"/>
  <c r="U2369" i="16"/>
  <c r="S2369" i="16"/>
  <c r="T2369" i="16" s="1"/>
  <c r="U2207" i="16"/>
  <c r="S2207" i="16"/>
  <c r="T2207" i="16" s="1"/>
  <c r="U2153" i="16"/>
  <c r="S2153" i="16"/>
  <c r="T2153" i="16" s="1"/>
  <c r="U1613" i="16"/>
  <c r="S1613" i="16"/>
  <c r="T1613" i="16" s="1"/>
  <c r="U1451" i="16"/>
  <c r="S1451" i="16"/>
  <c r="T1451" i="16" s="1"/>
  <c r="U1343" i="16"/>
  <c r="S1343" i="16"/>
  <c r="T1343" i="16" s="1"/>
  <c r="U1289" i="16"/>
  <c r="S1289" i="16"/>
  <c r="T1289" i="16" s="1"/>
  <c r="U803" i="16"/>
  <c r="S803" i="16"/>
  <c r="T803" i="16" s="1"/>
  <c r="U317" i="16"/>
  <c r="S317" i="16"/>
  <c r="T317" i="16" s="1"/>
  <c r="U263" i="16"/>
  <c r="S263" i="16"/>
  <c r="T263" i="16" s="1"/>
  <c r="M4590" i="16"/>
  <c r="N4590" i="16"/>
  <c r="M4536" i="16"/>
  <c r="N4536" i="16"/>
  <c r="M3774" i="16"/>
  <c r="N3774" i="16"/>
  <c r="M3450" i="16"/>
  <c r="N3450" i="16"/>
  <c r="M3180" i="16"/>
  <c r="N3180" i="16"/>
  <c r="N3018" i="16"/>
  <c r="M3018" i="16"/>
  <c r="M2910" i="16"/>
  <c r="N2910" i="16"/>
  <c r="M2748" i="16"/>
  <c r="N2748" i="16"/>
  <c r="M2694" i="16"/>
  <c r="N2694" i="16"/>
  <c r="M2478" i="16"/>
  <c r="N2478" i="16"/>
  <c r="M2154" i="16"/>
  <c r="N2154" i="16"/>
  <c r="M1884" i="16"/>
  <c r="N1884" i="16"/>
  <c r="M1830" i="16"/>
  <c r="N1830" i="16"/>
  <c r="M1668" i="16"/>
  <c r="N1668" i="16"/>
  <c r="M1506" i="16"/>
  <c r="N1506" i="16"/>
  <c r="M1344" i="16"/>
  <c r="N1344" i="16"/>
  <c r="M1237" i="16"/>
  <c r="N1237" i="16"/>
  <c r="M1074" i="16"/>
  <c r="N1074" i="16"/>
  <c r="M858" i="16"/>
  <c r="N858" i="16"/>
  <c r="M642" i="16"/>
  <c r="N642" i="16"/>
  <c r="M156" i="16"/>
  <c r="N156" i="16"/>
  <c r="M102" i="16"/>
  <c r="N102" i="16"/>
  <c r="K4591" i="16"/>
  <c r="F4591" i="16"/>
  <c r="K4537" i="16"/>
  <c r="F4537" i="16"/>
  <c r="K4237" i="16"/>
  <c r="F4237" i="16"/>
  <c r="O4237" i="16" s="1"/>
  <c r="F3721" i="16"/>
  <c r="O3721" i="16" s="1"/>
  <c r="K3721" i="16"/>
  <c r="F3019" i="16"/>
  <c r="O3019" i="16" s="1"/>
  <c r="K3019" i="16"/>
  <c r="F2803" i="16"/>
  <c r="O2803" i="16" s="1"/>
  <c r="K2803" i="16"/>
  <c r="K2587" i="16"/>
  <c r="F2587" i="16"/>
  <c r="O2587" i="16" s="1"/>
  <c r="F2371" i="16"/>
  <c r="O2371" i="16" s="1"/>
  <c r="K2371" i="16"/>
  <c r="K2317" i="16"/>
  <c r="F2317" i="16"/>
  <c r="O2317" i="16" s="1"/>
  <c r="K2155" i="16"/>
  <c r="F2155" i="16"/>
  <c r="O2155" i="16" s="1"/>
  <c r="K2047" i="16"/>
  <c r="F2047" i="16"/>
  <c r="O2047" i="16" s="1"/>
  <c r="K1831" i="16"/>
  <c r="F1831" i="16"/>
  <c r="O1831" i="16" s="1"/>
  <c r="F1777" i="16"/>
  <c r="O1777" i="16" s="1"/>
  <c r="K1777" i="16"/>
  <c r="K1507" i="16"/>
  <c r="F1507" i="16"/>
  <c r="O1507" i="16" s="1"/>
  <c r="F1399" i="16"/>
  <c r="O1399" i="16" s="1"/>
  <c r="K1399" i="16"/>
  <c r="K1238" i="16"/>
  <c r="F1238" i="16"/>
  <c r="O1238" i="16" s="1"/>
  <c r="K481" i="16"/>
  <c r="F481" i="16"/>
  <c r="O481" i="16" s="1"/>
  <c r="F211" i="16"/>
  <c r="O211" i="16" s="1"/>
  <c r="K211" i="16"/>
  <c r="N967" i="16" l="1"/>
  <c r="K3290" i="16"/>
  <c r="F3290" i="16"/>
  <c r="O3290" i="16" s="1"/>
  <c r="K2048" i="16"/>
  <c r="F2048" i="16"/>
  <c r="O2048" i="16" s="1"/>
  <c r="K1454" i="16"/>
  <c r="F1454" i="16"/>
  <c r="O1454" i="16" s="1"/>
  <c r="K1076" i="16"/>
  <c r="F1076" i="16"/>
  <c r="O1076" i="16" s="1"/>
  <c r="K1022" i="16"/>
  <c r="F1022" i="16"/>
  <c r="O1022" i="16" s="1"/>
  <c r="K806" i="16"/>
  <c r="F806" i="16"/>
  <c r="O806" i="16" s="1"/>
  <c r="K212" i="16"/>
  <c r="F212" i="16"/>
  <c r="O212" i="16" s="1"/>
  <c r="T4698" i="16"/>
  <c r="D29" i="11" s="1"/>
  <c r="U4699" i="16"/>
  <c r="S4699" i="16"/>
  <c r="T4699" i="16" s="1"/>
  <c r="D30" i="11" s="1"/>
  <c r="M4700" i="16"/>
  <c r="D4700" i="16"/>
  <c r="J4700" i="16"/>
  <c r="N4700" i="16" s="1"/>
  <c r="P4700" i="16"/>
  <c r="Q4700" i="16"/>
  <c r="R4700" i="16"/>
  <c r="L4701" i="16"/>
  <c r="C4701" i="16"/>
  <c r="K4701" i="16" s="1"/>
  <c r="E4701" i="16"/>
  <c r="F4701" i="16"/>
  <c r="G4701" i="16"/>
  <c r="I4701" i="16"/>
  <c r="B4702" i="16"/>
  <c r="P4646" i="16"/>
  <c r="Q4646" i="16"/>
  <c r="R4646" i="16"/>
  <c r="C4647" i="16"/>
  <c r="D4647" i="16" s="1"/>
  <c r="E4647" i="16"/>
  <c r="F4647" i="16"/>
  <c r="O4647" i="16" s="1"/>
  <c r="G4647" i="16"/>
  <c r="B4648" i="16"/>
  <c r="D4592" i="16"/>
  <c r="J4592" i="16"/>
  <c r="P4592" i="16"/>
  <c r="Q4592" i="16"/>
  <c r="R4592" i="16"/>
  <c r="L4593" i="16"/>
  <c r="C4593" i="16"/>
  <c r="K4593" i="16" s="1"/>
  <c r="E4593" i="16"/>
  <c r="F4593" i="16"/>
  <c r="G4593" i="16"/>
  <c r="I4593" i="16"/>
  <c r="B4594" i="16"/>
  <c r="M4538" i="16"/>
  <c r="D4538" i="16"/>
  <c r="J4538" i="16"/>
  <c r="N4538" i="16" s="1"/>
  <c r="P4538" i="16"/>
  <c r="Q4538" i="16"/>
  <c r="R4538" i="16"/>
  <c r="L4539" i="16"/>
  <c r="C4539" i="16"/>
  <c r="K4539" i="16" s="1"/>
  <c r="E4539" i="16"/>
  <c r="F4539" i="16"/>
  <c r="G4539" i="16"/>
  <c r="I4539" i="16"/>
  <c r="B4540" i="16"/>
  <c r="P4238" i="16"/>
  <c r="Q4238" i="16"/>
  <c r="R4238" i="16"/>
  <c r="T4238" i="16"/>
  <c r="G4239" i="16"/>
  <c r="I4239" i="16"/>
  <c r="C4239" i="16"/>
  <c r="E4239" i="16"/>
  <c r="L4239" i="16"/>
  <c r="B4240" i="16"/>
  <c r="D4238" i="16"/>
  <c r="J4238" i="16"/>
  <c r="P4184" i="16"/>
  <c r="Q4184" i="16"/>
  <c r="R4184" i="16"/>
  <c r="T4184" i="16"/>
  <c r="D4184" i="16"/>
  <c r="J4184" i="16"/>
  <c r="N4184" i="16" s="1"/>
  <c r="M4184" i="16"/>
  <c r="E4185" i="16"/>
  <c r="G4185" i="16"/>
  <c r="I4185" i="16"/>
  <c r="L4185" i="16"/>
  <c r="B4186" i="16"/>
  <c r="C4185" i="16"/>
  <c r="F4185" i="16" s="1"/>
  <c r="O4185" i="16" s="1"/>
  <c r="K4185" i="16"/>
  <c r="U4183" i="16"/>
  <c r="S4183" i="16"/>
  <c r="I4131" i="16"/>
  <c r="L4131" i="16"/>
  <c r="B4132" i="16"/>
  <c r="C4131" i="16"/>
  <c r="E4131" i="16"/>
  <c r="F4131" i="16"/>
  <c r="O4131" i="16" s="1"/>
  <c r="G4131" i="16"/>
  <c r="K4131" i="16"/>
  <c r="D4130" i="16"/>
  <c r="J4130" i="16"/>
  <c r="N4130" i="16" s="1"/>
  <c r="P4130" i="16"/>
  <c r="Q4130" i="16"/>
  <c r="R4130" i="16"/>
  <c r="T4130" i="16"/>
  <c r="M4130" i="16"/>
  <c r="U4129" i="16"/>
  <c r="S4129" i="16"/>
  <c r="U4075" i="16"/>
  <c r="S4075" i="16"/>
  <c r="M4076" i="16"/>
  <c r="D4076" i="16"/>
  <c r="J4076" i="16"/>
  <c r="N4076" i="16" s="1"/>
  <c r="P4076" i="16"/>
  <c r="Q4076" i="16"/>
  <c r="R4076" i="16"/>
  <c r="T4076" i="16"/>
  <c r="L4077" i="16"/>
  <c r="C4077" i="16"/>
  <c r="E4077" i="16"/>
  <c r="G4077" i="16"/>
  <c r="I4077" i="16"/>
  <c r="B4078" i="16"/>
  <c r="U3775" i="16"/>
  <c r="S3775" i="16"/>
  <c r="D3776" i="16"/>
  <c r="J3776" i="16"/>
  <c r="P3776" i="16"/>
  <c r="Q3776" i="16"/>
  <c r="R3776" i="16"/>
  <c r="T3776" i="16"/>
  <c r="L3777" i="16"/>
  <c r="C3777" i="16"/>
  <c r="E3777" i="16"/>
  <c r="G3777" i="16"/>
  <c r="I3777" i="16"/>
  <c r="B3778" i="16"/>
  <c r="D3722" i="16"/>
  <c r="J3722" i="16"/>
  <c r="P3722" i="16"/>
  <c r="Q3722" i="16"/>
  <c r="R3722" i="16"/>
  <c r="T3722" i="16"/>
  <c r="L3723" i="16"/>
  <c r="C3723" i="16"/>
  <c r="K3723" i="16" s="1"/>
  <c r="E3723" i="16"/>
  <c r="F3723" i="16"/>
  <c r="O3723" i="16" s="1"/>
  <c r="G3723" i="16"/>
  <c r="B3724" i="16"/>
  <c r="I3723" i="16"/>
  <c r="S3667" i="16"/>
  <c r="U3667" i="16"/>
  <c r="M3668" i="16"/>
  <c r="D3668" i="16"/>
  <c r="J3668" i="16"/>
  <c r="N3668" i="16" s="1"/>
  <c r="P3668" i="16"/>
  <c r="Q3668" i="16"/>
  <c r="R3668" i="16"/>
  <c r="T3668" i="16"/>
  <c r="L3669" i="16"/>
  <c r="C3669" i="16"/>
  <c r="K3669" i="16" s="1"/>
  <c r="E3669" i="16"/>
  <c r="F3669" i="16"/>
  <c r="O3669" i="16" s="1"/>
  <c r="G3669" i="16"/>
  <c r="I3669" i="16"/>
  <c r="B3670"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U3505" i="16"/>
  <c r="S3505" i="16"/>
  <c r="M3506" i="16"/>
  <c r="D3506" i="16"/>
  <c r="J3506" i="16"/>
  <c r="N3506" i="16" s="1"/>
  <c r="P3506" i="16"/>
  <c r="Q3506" i="16"/>
  <c r="R3506" i="16"/>
  <c r="T3506" i="16"/>
  <c r="L3507" i="16"/>
  <c r="C3507" i="16"/>
  <c r="E3507" i="16"/>
  <c r="G3507" i="16"/>
  <c r="I3507" i="16"/>
  <c r="B3508" i="16"/>
  <c r="S3451" i="16"/>
  <c r="U3451" i="16"/>
  <c r="P3452" i="16"/>
  <c r="Q3452" i="16"/>
  <c r="R3452" i="16"/>
  <c r="T3452" i="16"/>
  <c r="L3453" i="16"/>
  <c r="G3453" i="16"/>
  <c r="I3453" i="16"/>
  <c r="B3454" i="16"/>
  <c r="C3453" i="16"/>
  <c r="E3453" i="16"/>
  <c r="J3452" i="16"/>
  <c r="D3452" i="16"/>
  <c r="U3397" i="16"/>
  <c r="S3397"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E3291" i="16"/>
  <c r="G3291" i="16"/>
  <c r="I3291" i="16"/>
  <c r="B3292" i="16"/>
  <c r="U3235" i="16"/>
  <c r="S3235" i="16"/>
  <c r="P3236" i="16"/>
  <c r="Q3236" i="16"/>
  <c r="R3236" i="16"/>
  <c r="T3236" i="16"/>
  <c r="J3236" i="16"/>
  <c r="D3236" i="16"/>
  <c r="L3237" i="16"/>
  <c r="B3238" i="16"/>
  <c r="G3237" i="16"/>
  <c r="E3237" i="16"/>
  <c r="C3237" i="16"/>
  <c r="I3237" i="16"/>
  <c r="U3181" i="16"/>
  <c r="S3181" i="16"/>
  <c r="M3182" i="16"/>
  <c r="J3182" i="16"/>
  <c r="N3182" i="16" s="1"/>
  <c r="D3182" i="16"/>
  <c r="P3182" i="16"/>
  <c r="Q3182" i="16"/>
  <c r="R3182" i="16"/>
  <c r="T3182" i="16"/>
  <c r="L3183" i="16"/>
  <c r="I3183" i="16"/>
  <c r="C3183" i="16"/>
  <c r="K3183" i="16" s="1"/>
  <c r="E3183" i="16"/>
  <c r="G3183" i="16"/>
  <c r="F3183" i="16"/>
  <c r="O3183" i="16" s="1"/>
  <c r="B3184" i="16"/>
  <c r="U3127" i="16"/>
  <c r="S3127" i="16"/>
  <c r="M3128" i="16"/>
  <c r="J3128" i="16"/>
  <c r="N3128" i="16" s="1"/>
  <c r="D3128" i="16"/>
  <c r="L3129" i="16"/>
  <c r="G3129" i="16"/>
  <c r="E3129" i="16"/>
  <c r="B3130" i="16"/>
  <c r="I3129" i="16"/>
  <c r="C3129" i="16"/>
  <c r="K3129" i="16" s="1"/>
  <c r="F3129" i="16"/>
  <c r="O3129" i="16" s="1"/>
  <c r="P3128" i="16"/>
  <c r="Q3128" i="16"/>
  <c r="R3128" i="16"/>
  <c r="T3128" i="16"/>
  <c r="U3073" i="16"/>
  <c r="S3073" i="16"/>
  <c r="M3074" i="16"/>
  <c r="J3074" i="16"/>
  <c r="N3074" i="16" s="1"/>
  <c r="D3074" i="16"/>
  <c r="P3074" i="16"/>
  <c r="Q3074" i="16"/>
  <c r="R3074" i="16"/>
  <c r="T3074" i="16"/>
  <c r="L3075" i="16"/>
  <c r="I3075" i="16"/>
  <c r="C3075" i="16"/>
  <c r="G3075" i="16"/>
  <c r="B3076" i="16"/>
  <c r="E3075" i="16"/>
  <c r="M3020" i="16"/>
  <c r="J3020" i="16"/>
  <c r="N3020" i="16" s="1"/>
  <c r="D3020" i="16"/>
  <c r="P3020" i="16"/>
  <c r="Q3020" i="16"/>
  <c r="R3020" i="16"/>
  <c r="T3020" i="16"/>
  <c r="L3021" i="16"/>
  <c r="E3021" i="16"/>
  <c r="C3021" i="16"/>
  <c r="K3021" i="16" s="1"/>
  <c r="G3021" i="16"/>
  <c r="F3021" i="16"/>
  <c r="O3021" i="16" s="1"/>
  <c r="B3022" i="16"/>
  <c r="I3021" i="16"/>
  <c r="U2965" i="16"/>
  <c r="S2965" i="16"/>
  <c r="D2966" i="16"/>
  <c r="J2966" i="16"/>
  <c r="P2966" i="16"/>
  <c r="Q2966" i="16"/>
  <c r="R2966" i="16"/>
  <c r="T2966" i="16"/>
  <c r="L2967" i="16"/>
  <c r="C2967" i="16"/>
  <c r="K2967" i="16" s="1"/>
  <c r="E2967" i="16"/>
  <c r="F2967" i="16"/>
  <c r="O2967" i="16" s="1"/>
  <c r="G2967" i="16"/>
  <c r="I2967" i="16"/>
  <c r="B2968" i="16"/>
  <c r="U2911" i="16"/>
  <c r="S2911" i="16"/>
  <c r="D2912" i="16"/>
  <c r="J2912" i="16"/>
  <c r="P2912" i="16"/>
  <c r="Q2912" i="16"/>
  <c r="R2912" i="16"/>
  <c r="T2912" i="16"/>
  <c r="L2913" i="16"/>
  <c r="C2913" i="16"/>
  <c r="K2913" i="16" s="1"/>
  <c r="E2913" i="16"/>
  <c r="F2913" i="16"/>
  <c r="O2913" i="16" s="1"/>
  <c r="G2913" i="16"/>
  <c r="I2913" i="16"/>
  <c r="B2914" i="16"/>
  <c r="U2857" i="16"/>
  <c r="S2857" i="16"/>
  <c r="M2858" i="16"/>
  <c r="D2858" i="16"/>
  <c r="J2858" i="16"/>
  <c r="N2858" i="16" s="1"/>
  <c r="P2858" i="16"/>
  <c r="Q2858" i="16"/>
  <c r="R2858" i="16"/>
  <c r="T2858" i="16"/>
  <c r="L2859" i="16"/>
  <c r="C2859" i="16"/>
  <c r="K2859" i="16" s="1"/>
  <c r="E2859" i="16"/>
  <c r="F2859" i="16"/>
  <c r="O2859" i="16" s="1"/>
  <c r="G2859" i="16"/>
  <c r="I2859" i="16"/>
  <c r="B2860" i="16"/>
  <c r="M2804" i="16"/>
  <c r="D2804" i="16"/>
  <c r="J2804" i="16"/>
  <c r="N2804" i="16" s="1"/>
  <c r="S2804" i="16" s="1"/>
  <c r="P2804" i="16"/>
  <c r="Q2804" i="16"/>
  <c r="R2804" i="16"/>
  <c r="T2804" i="16"/>
  <c r="U2804" i="16" s="1"/>
  <c r="L2805" i="16"/>
  <c r="C2805" i="16"/>
  <c r="K2805" i="16" s="1"/>
  <c r="E2805" i="16"/>
  <c r="F2805" i="16"/>
  <c r="O2805" i="16" s="1"/>
  <c r="G2805" i="16"/>
  <c r="I2805" i="16"/>
  <c r="B2806" i="16"/>
  <c r="U2749" i="16"/>
  <c r="S2749" i="16"/>
  <c r="M2750" i="16"/>
  <c r="D2750" i="16"/>
  <c r="J2750" i="16"/>
  <c r="N2750" i="16" s="1"/>
  <c r="P2750" i="16"/>
  <c r="Q2750" i="16"/>
  <c r="R2750" i="16"/>
  <c r="T2750" i="16"/>
  <c r="L2751" i="16"/>
  <c r="C2751" i="16"/>
  <c r="K2751" i="16" s="1"/>
  <c r="E2751" i="16"/>
  <c r="F2751" i="16"/>
  <c r="O2751" i="16" s="1"/>
  <c r="G2751" i="16"/>
  <c r="I2751" i="16"/>
  <c r="B2752" i="16"/>
  <c r="U2695" i="16"/>
  <c r="S2695" i="16"/>
  <c r="M2696" i="16"/>
  <c r="D2696" i="16"/>
  <c r="J2696" i="16"/>
  <c r="N2696" i="16" s="1"/>
  <c r="P2696" i="16"/>
  <c r="Q2696" i="16"/>
  <c r="R2696" i="16"/>
  <c r="T2696" i="16"/>
  <c r="L2697" i="16"/>
  <c r="C2697" i="16"/>
  <c r="K2697" i="16" s="1"/>
  <c r="E2697" i="16"/>
  <c r="F2697" i="16"/>
  <c r="O2697" i="16" s="1"/>
  <c r="G2697" i="16"/>
  <c r="I2697" i="16"/>
  <c r="B2698" i="16"/>
  <c r="U2641" i="16"/>
  <c r="S2641" i="16"/>
  <c r="D2642" i="16"/>
  <c r="J2642" i="16"/>
  <c r="P2642" i="16"/>
  <c r="Q2642" i="16"/>
  <c r="R2642" i="16"/>
  <c r="T2642" i="16"/>
  <c r="L2643" i="16"/>
  <c r="C2643" i="16"/>
  <c r="E2643" i="16"/>
  <c r="G2643" i="16"/>
  <c r="I2643" i="16"/>
  <c r="B2644" i="16"/>
  <c r="M2588" i="16"/>
  <c r="D2588" i="16"/>
  <c r="J2588" i="16"/>
  <c r="N2588" i="16" s="1"/>
  <c r="P2588" i="16"/>
  <c r="Q2588" i="16"/>
  <c r="R2588" i="16"/>
  <c r="T2588" i="16"/>
  <c r="L2589" i="16"/>
  <c r="C2589" i="16"/>
  <c r="K2589" i="16" s="1"/>
  <c r="E2589" i="16"/>
  <c r="F2589" i="16"/>
  <c r="O2589" i="16" s="1"/>
  <c r="G2589" i="16"/>
  <c r="I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K2427" i="16" s="1"/>
  <c r="E2427" i="16"/>
  <c r="F2427" i="16"/>
  <c r="O2427" i="16" s="1"/>
  <c r="G2427" i="16"/>
  <c r="I2427" i="16"/>
  <c r="B2428" i="16"/>
  <c r="D2372" i="16"/>
  <c r="J2372" i="16"/>
  <c r="Q2372" i="16"/>
  <c r="P2372" i="16"/>
  <c r="R2372" i="16"/>
  <c r="T2372" i="16"/>
  <c r="L2373" i="16"/>
  <c r="C2373" i="16"/>
  <c r="K2373" i="16" s="1"/>
  <c r="E2373" i="16"/>
  <c r="F2373" i="16"/>
  <c r="O2373" i="16" s="1"/>
  <c r="G2373" i="16"/>
  <c r="I2373" i="16"/>
  <c r="B2374" i="16"/>
  <c r="D2318" i="16"/>
  <c r="M2318" i="16" s="1"/>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K2211" i="16" s="1"/>
  <c r="E2211" i="16"/>
  <c r="F2211" i="16"/>
  <c r="O2211" i="16" s="1"/>
  <c r="G2211" i="16"/>
  <c r="I2211" i="16"/>
  <c r="B2212" i="16"/>
  <c r="L2157" i="16"/>
  <c r="G2157" i="16"/>
  <c r="I2157" i="16"/>
  <c r="B2158" i="16"/>
  <c r="C2157" i="16"/>
  <c r="E2157" i="16"/>
  <c r="D2156" i="16"/>
  <c r="J2156" i="16"/>
  <c r="P2156" i="16"/>
  <c r="Q2156" i="16"/>
  <c r="R2156" i="16"/>
  <c r="T2156" i="16"/>
  <c r="S2101" i="16"/>
  <c r="U2101" i="16"/>
  <c r="D2102" i="16"/>
  <c r="J2102" i="16"/>
  <c r="P2102" i="16"/>
  <c r="Q2102" i="16"/>
  <c r="R2102" i="16"/>
  <c r="T2102" i="16"/>
  <c r="L2103" i="16"/>
  <c r="C2103" i="16"/>
  <c r="E2103" i="16"/>
  <c r="G2103" i="16"/>
  <c r="B2104" i="16"/>
  <c r="I2103" i="16"/>
  <c r="M2048" i="16"/>
  <c r="D2048" i="16"/>
  <c r="J2048" i="16"/>
  <c r="N2048" i="16" s="1"/>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U1939" i="16"/>
  <c r="S1939" i="16"/>
  <c r="M1940" i="16"/>
  <c r="D1940" i="16"/>
  <c r="J1940" i="16"/>
  <c r="N1940" i="16" s="1"/>
  <c r="P1940" i="16"/>
  <c r="Q1940" i="16"/>
  <c r="R1940" i="16"/>
  <c r="T1940" i="16"/>
  <c r="L1941" i="16"/>
  <c r="C1941" i="16"/>
  <c r="E1941" i="16"/>
  <c r="G1941" i="16"/>
  <c r="I1941" i="16"/>
  <c r="B1942" i="16"/>
  <c r="S1885" i="16"/>
  <c r="U1885" i="16"/>
  <c r="M1886" i="16"/>
  <c r="D1886" i="16"/>
  <c r="J1886" i="16"/>
  <c r="N1886" i="16" s="1"/>
  <c r="P1886" i="16"/>
  <c r="Q1886" i="16"/>
  <c r="R1886" i="16"/>
  <c r="T1886" i="16"/>
  <c r="L1887" i="16"/>
  <c r="C1887" i="16"/>
  <c r="E1887" i="16"/>
  <c r="G1887" i="16"/>
  <c r="I1887" i="16"/>
  <c r="B1888" i="16"/>
  <c r="M1832" i="16"/>
  <c r="D1832" i="16"/>
  <c r="J1832" i="16"/>
  <c r="N1832" i="16" s="1"/>
  <c r="P1832" i="16"/>
  <c r="Q1832" i="16"/>
  <c r="R1832" i="16"/>
  <c r="T1832" i="16"/>
  <c r="L1833" i="16"/>
  <c r="C1833" i="16"/>
  <c r="E1833" i="16"/>
  <c r="G1833" i="16"/>
  <c r="I1833" i="16"/>
  <c r="B1834" i="16"/>
  <c r="N1778" i="16"/>
  <c r="M1778" i="16"/>
  <c r="D1778" i="16"/>
  <c r="J1778" i="16"/>
  <c r="P1778" i="16"/>
  <c r="Q1778" i="16"/>
  <c r="R1778" i="16"/>
  <c r="T1778" i="16"/>
  <c r="L1779" i="16"/>
  <c r="C1779" i="16"/>
  <c r="K1779" i="16" s="1"/>
  <c r="E1779" i="16"/>
  <c r="F1779" i="16"/>
  <c r="O1779" i="16" s="1"/>
  <c r="G1779" i="16"/>
  <c r="I1779" i="16"/>
  <c r="B1780" i="16"/>
  <c r="U1723" i="16"/>
  <c r="S1723" i="16"/>
  <c r="M1724" i="16"/>
  <c r="D1724" i="16"/>
  <c r="J1724" i="16"/>
  <c r="N1724" i="16" s="1"/>
  <c r="P1724" i="16"/>
  <c r="Q1724" i="16"/>
  <c r="R1724" i="16"/>
  <c r="T1724" i="16"/>
  <c r="L1725" i="16"/>
  <c r="C1725" i="16"/>
  <c r="K1725" i="16" s="1"/>
  <c r="E1725" i="16"/>
  <c r="F1725" i="16"/>
  <c r="O1725" i="16" s="1"/>
  <c r="G1725" i="16"/>
  <c r="I1725" i="16"/>
  <c r="B1726" i="16"/>
  <c r="S1669" i="16"/>
  <c r="U1669" i="16"/>
  <c r="D1670" i="16"/>
  <c r="J1670" i="16"/>
  <c r="P1670" i="16"/>
  <c r="Q1670" i="16"/>
  <c r="R1670" i="16"/>
  <c r="T1670" i="16"/>
  <c r="L1671" i="16"/>
  <c r="C1671" i="16"/>
  <c r="K1671" i="16" s="1"/>
  <c r="E1671" i="16"/>
  <c r="F1671" i="16"/>
  <c r="O1671" i="16" s="1"/>
  <c r="G1671" i="16"/>
  <c r="I1671" i="16"/>
  <c r="B1672" i="16"/>
  <c r="U1615" i="16"/>
  <c r="S1615" i="16"/>
  <c r="D1616" i="16"/>
  <c r="J1616" i="16"/>
  <c r="P1616" i="16"/>
  <c r="Q1616" i="16"/>
  <c r="R1616" i="16"/>
  <c r="T1616" i="16"/>
  <c r="L1617" i="16"/>
  <c r="C1617" i="16"/>
  <c r="K1617" i="16" s="1"/>
  <c r="E1617" i="16"/>
  <c r="F1617" i="16"/>
  <c r="O1617" i="16" s="1"/>
  <c r="G1617" i="16"/>
  <c r="I1617" i="16"/>
  <c r="B1618" i="16"/>
  <c r="U1561" i="16"/>
  <c r="S1561" i="16"/>
  <c r="D1562" i="16"/>
  <c r="J1562" i="16"/>
  <c r="P1562" i="16"/>
  <c r="Q1562" i="16"/>
  <c r="R1562" i="16"/>
  <c r="T1562" i="16"/>
  <c r="L1563" i="16"/>
  <c r="C1563" i="16"/>
  <c r="E1563" i="16"/>
  <c r="G1563" i="16"/>
  <c r="I1563" i="16"/>
  <c r="B1564" i="16"/>
  <c r="M1508" i="16"/>
  <c r="L1509" i="16"/>
  <c r="I1509" i="16"/>
  <c r="C1509" i="16"/>
  <c r="K1509" i="16" s="1"/>
  <c r="E1509" i="16"/>
  <c r="F1509" i="16"/>
  <c r="O1509" i="16" s="1"/>
  <c r="G1509" i="16"/>
  <c r="B1510" i="16"/>
  <c r="D1508" i="16"/>
  <c r="J1508" i="16"/>
  <c r="N1508" i="16" s="1"/>
  <c r="P1508" i="16"/>
  <c r="Q1508" i="16"/>
  <c r="R1508" i="16"/>
  <c r="T1508" i="16"/>
  <c r="U1453" i="16"/>
  <c r="S1453" i="16"/>
  <c r="M1454" i="16"/>
  <c r="D1454" i="16"/>
  <c r="J1454" i="16"/>
  <c r="N1454" i="16" s="1"/>
  <c r="P1454" i="16"/>
  <c r="Q1454" i="16"/>
  <c r="R1454" i="16"/>
  <c r="T1454" i="16"/>
  <c r="L1455" i="16"/>
  <c r="C1455" i="16"/>
  <c r="K1455" i="16" s="1"/>
  <c r="E1455" i="16"/>
  <c r="F1455" i="16"/>
  <c r="O1455" i="16" s="1"/>
  <c r="G1455" i="16"/>
  <c r="B1456" i="16"/>
  <c r="I1455" i="16"/>
  <c r="P1400" i="16"/>
  <c r="Q1400" i="16"/>
  <c r="R1400" i="16"/>
  <c r="T1400" i="16"/>
  <c r="J1400" i="16"/>
  <c r="D1400" i="16"/>
  <c r="L1401" i="16"/>
  <c r="E1401" i="16"/>
  <c r="I1401" i="16"/>
  <c r="B1402" i="16"/>
  <c r="C1401" i="16"/>
  <c r="G1401" i="16"/>
  <c r="U1345" i="16"/>
  <c r="S1345" i="16"/>
  <c r="L1347" i="16"/>
  <c r="I1347" i="16"/>
  <c r="B1348" i="16"/>
  <c r="C1347" i="16"/>
  <c r="E1347" i="16"/>
  <c r="G1347" i="16"/>
  <c r="D1346" i="16"/>
  <c r="J1346" i="16"/>
  <c r="P1346" i="16"/>
  <c r="Q1346" i="16"/>
  <c r="R1346" i="16"/>
  <c r="T1346" i="16"/>
  <c r="U1291" i="16"/>
  <c r="S1291" i="16"/>
  <c r="M1292" i="16"/>
  <c r="L1293" i="16"/>
  <c r="B1294" i="16"/>
  <c r="E1293" i="16"/>
  <c r="C1293" i="16"/>
  <c r="G1293" i="16"/>
  <c r="I1293" i="16"/>
  <c r="D1292" i="16"/>
  <c r="J1292" i="16"/>
  <c r="N1292" i="16" s="1"/>
  <c r="P1292" i="16"/>
  <c r="Q1292" i="16"/>
  <c r="R1292" i="16"/>
  <c r="T1292" i="16"/>
  <c r="M1239" i="16"/>
  <c r="P1239" i="16"/>
  <c r="Q1239" i="16"/>
  <c r="R1239" i="16"/>
  <c r="T1239" i="16"/>
  <c r="L1240" i="16"/>
  <c r="C1240" i="16"/>
  <c r="K1240" i="16" s="1"/>
  <c r="F1240" i="16"/>
  <c r="O1240" i="16" s="1"/>
  <c r="B1241" i="16"/>
  <c r="E1240" i="16"/>
  <c r="G1240" i="16"/>
  <c r="I1240" i="16"/>
  <c r="D1239" i="16"/>
  <c r="J1239" i="16"/>
  <c r="N1239" i="16" s="1"/>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U1075" i="16"/>
  <c r="S1075" i="16"/>
  <c r="M1076" i="16"/>
  <c r="D1076" i="16"/>
  <c r="J1076" i="16"/>
  <c r="N1076" i="16" s="1"/>
  <c r="P1076" i="16"/>
  <c r="Q1076" i="16"/>
  <c r="R1076" i="16"/>
  <c r="T1076" i="16"/>
  <c r="L1077" i="16"/>
  <c r="C1077" i="16"/>
  <c r="E1077" i="16"/>
  <c r="G1077" i="16"/>
  <c r="I1077" i="16"/>
  <c r="B1078" i="16"/>
  <c r="U1021" i="16"/>
  <c r="S1021" i="16"/>
  <c r="M1022" i="16"/>
  <c r="D1022" i="16"/>
  <c r="J1022" i="16"/>
  <c r="N1022" i="16" s="1"/>
  <c r="P1022" i="16"/>
  <c r="Q1022" i="16"/>
  <c r="R1022" i="16"/>
  <c r="T1022" i="16"/>
  <c r="L1023" i="16"/>
  <c r="C1023" i="16"/>
  <c r="K1023" i="16" s="1"/>
  <c r="E1023" i="16"/>
  <c r="F1023" i="16"/>
  <c r="O1023" i="16" s="1"/>
  <c r="G1023" i="16"/>
  <c r="I1023" i="16"/>
  <c r="B1024" i="16"/>
  <c r="U967" i="16"/>
  <c r="S967" i="16"/>
  <c r="M968" i="16"/>
  <c r="D968" i="16"/>
  <c r="J968" i="16"/>
  <c r="N968" i="16" s="1"/>
  <c r="P968" i="16"/>
  <c r="Q968" i="16"/>
  <c r="R968" i="16"/>
  <c r="T968" i="16"/>
  <c r="L969" i="16"/>
  <c r="C969" i="16"/>
  <c r="E969" i="16"/>
  <c r="G969" i="16"/>
  <c r="I969" i="16"/>
  <c r="B970" i="16"/>
  <c r="U913" i="16"/>
  <c r="S913" i="16"/>
  <c r="M914" i="16"/>
  <c r="D914" i="16"/>
  <c r="J914" i="16"/>
  <c r="N914" i="16" s="1"/>
  <c r="Q914" i="16"/>
  <c r="P914" i="16"/>
  <c r="R914" i="16"/>
  <c r="T914" i="16"/>
  <c r="L915" i="16"/>
  <c r="C915" i="16"/>
  <c r="K915" i="16" s="1"/>
  <c r="E915" i="16"/>
  <c r="F915" i="16"/>
  <c r="O915" i="16" s="1"/>
  <c r="G915" i="16"/>
  <c r="I915" i="16"/>
  <c r="B916" i="16"/>
  <c r="U859" i="16"/>
  <c r="S859" i="16"/>
  <c r="D860" i="16"/>
  <c r="J860" i="16"/>
  <c r="P860" i="16"/>
  <c r="Q860" i="16"/>
  <c r="R860" i="16"/>
  <c r="T860" i="16"/>
  <c r="L861" i="16"/>
  <c r="C861" i="16"/>
  <c r="K861" i="16" s="1"/>
  <c r="E861" i="16"/>
  <c r="F861" i="16"/>
  <c r="O861" i="16" s="1"/>
  <c r="G861" i="16"/>
  <c r="I861" i="16"/>
  <c r="B862" i="16"/>
  <c r="U805" i="16"/>
  <c r="S805" i="16"/>
  <c r="M806" i="16"/>
  <c r="D806" i="16"/>
  <c r="J806" i="16"/>
  <c r="N806" i="16" s="1"/>
  <c r="P806" i="16"/>
  <c r="Q806" i="16"/>
  <c r="R806" i="16"/>
  <c r="T806" i="16"/>
  <c r="L807" i="16"/>
  <c r="C807" i="16"/>
  <c r="E807" i="16"/>
  <c r="G807" i="16"/>
  <c r="I807" i="16"/>
  <c r="B808" i="16"/>
  <c r="U751" i="16"/>
  <c r="S751" i="16"/>
  <c r="M752" i="16"/>
  <c r="D752" i="16"/>
  <c r="J752" i="16"/>
  <c r="N752" i="16" s="1"/>
  <c r="P752" i="16"/>
  <c r="Q752" i="16"/>
  <c r="R752" i="16"/>
  <c r="T752" i="16"/>
  <c r="L753" i="16"/>
  <c r="C753" i="16"/>
  <c r="K753" i="16" s="1"/>
  <c r="E753" i="16"/>
  <c r="F753" i="16"/>
  <c r="O753" i="16" s="1"/>
  <c r="G753" i="16"/>
  <c r="I753" i="16"/>
  <c r="B754" i="16"/>
  <c r="U697" i="16"/>
  <c r="S697" i="16"/>
  <c r="M698" i="16"/>
  <c r="D698" i="16"/>
  <c r="J698" i="16"/>
  <c r="N698" i="16" s="1"/>
  <c r="Q698" i="16"/>
  <c r="P698" i="16"/>
  <c r="R698" i="16"/>
  <c r="T698" i="16"/>
  <c r="L699" i="16"/>
  <c r="C699" i="16"/>
  <c r="K699" i="16" s="1"/>
  <c r="E699" i="16"/>
  <c r="F699" i="16"/>
  <c r="O699" i="16" s="1"/>
  <c r="G699" i="16"/>
  <c r="I699" i="16"/>
  <c r="B700" i="16"/>
  <c r="U643" i="16"/>
  <c r="S643" i="16"/>
  <c r="M644" i="16"/>
  <c r="D644" i="16"/>
  <c r="J644" i="16"/>
  <c r="N644" i="16" s="1"/>
  <c r="P644" i="16"/>
  <c r="Q644" i="16"/>
  <c r="R644" i="16"/>
  <c r="T644" i="16"/>
  <c r="L645" i="16"/>
  <c r="C645" i="16"/>
  <c r="E645" i="16"/>
  <c r="G645" i="16"/>
  <c r="I645" i="16"/>
  <c r="B646" i="16"/>
  <c r="U589" i="16"/>
  <c r="S589" i="16"/>
  <c r="D590" i="16"/>
  <c r="J590" i="16"/>
  <c r="Q590" i="16"/>
  <c r="P590" i="16"/>
  <c r="R590" i="16"/>
  <c r="T590" i="16"/>
  <c r="L591" i="16"/>
  <c r="C591" i="16"/>
  <c r="E591" i="16"/>
  <c r="G591" i="16"/>
  <c r="I591" i="16"/>
  <c r="B592" i="16"/>
  <c r="U535" i="16"/>
  <c r="S535" i="16"/>
  <c r="M536" i="16"/>
  <c r="D536" i="16"/>
  <c r="J536" i="16"/>
  <c r="N536" i="16" s="1"/>
  <c r="Q536" i="16"/>
  <c r="P536" i="16"/>
  <c r="R536" i="16"/>
  <c r="T536" i="16"/>
  <c r="L537" i="16"/>
  <c r="C537" i="16"/>
  <c r="K537" i="16" s="1"/>
  <c r="E537" i="16"/>
  <c r="F537" i="16"/>
  <c r="O537" i="16" s="1"/>
  <c r="G537" i="16"/>
  <c r="I537" i="16"/>
  <c r="B538" i="16"/>
  <c r="M482" i="16"/>
  <c r="D482" i="16"/>
  <c r="J482" i="16"/>
  <c r="N482" i="16" s="1"/>
  <c r="P482" i="16"/>
  <c r="Q482" i="16"/>
  <c r="R482" i="16"/>
  <c r="T482" i="16"/>
  <c r="L483" i="16"/>
  <c r="C483" i="16"/>
  <c r="K483" i="16" s="1"/>
  <c r="E483" i="16"/>
  <c r="F483" i="16"/>
  <c r="O483" i="16" s="1"/>
  <c r="G483" i="16"/>
  <c r="I483" i="16"/>
  <c r="B484" i="16"/>
  <c r="U427" i="16"/>
  <c r="S427" i="16"/>
  <c r="M428" i="16"/>
  <c r="D428" i="16"/>
  <c r="J428" i="16"/>
  <c r="N428" i="16" s="1"/>
  <c r="P428" i="16"/>
  <c r="Q428" i="16"/>
  <c r="R428" i="16"/>
  <c r="T428" i="16"/>
  <c r="L429" i="16"/>
  <c r="C429" i="16"/>
  <c r="E429" i="16"/>
  <c r="G429" i="16"/>
  <c r="I429" i="16"/>
  <c r="B430" i="16"/>
  <c r="U373" i="16"/>
  <c r="S373" i="16"/>
  <c r="D374" i="16"/>
  <c r="J374" i="16"/>
  <c r="P374" i="16"/>
  <c r="Q374" i="16"/>
  <c r="R374" i="16"/>
  <c r="T374" i="16"/>
  <c r="L375" i="16"/>
  <c r="C375" i="16"/>
  <c r="E375" i="16"/>
  <c r="G375" i="16"/>
  <c r="I375" i="16"/>
  <c r="B376" i="16"/>
  <c r="U319" i="16"/>
  <c r="S319" i="16"/>
  <c r="D320" i="16"/>
  <c r="J320" i="16"/>
  <c r="P320" i="16"/>
  <c r="Q320" i="16"/>
  <c r="R320" i="16"/>
  <c r="T320" i="16"/>
  <c r="L321" i="16"/>
  <c r="C321" i="16"/>
  <c r="E321" i="16"/>
  <c r="G321" i="16"/>
  <c r="I321" i="16"/>
  <c r="B322" i="16"/>
  <c r="U265" i="16"/>
  <c r="S265" i="16"/>
  <c r="M266" i="16"/>
  <c r="D266" i="16"/>
  <c r="J266" i="16"/>
  <c r="N266" i="16" s="1"/>
  <c r="P266" i="16"/>
  <c r="Q266" i="16"/>
  <c r="R266" i="16"/>
  <c r="T266" i="16"/>
  <c r="L267" i="16"/>
  <c r="C267" i="16"/>
  <c r="K267" i="16" s="1"/>
  <c r="E267" i="16"/>
  <c r="F267" i="16"/>
  <c r="O267" i="16" s="1"/>
  <c r="G267" i="16"/>
  <c r="I267" i="16"/>
  <c r="B268" i="16"/>
  <c r="M212" i="16"/>
  <c r="D212" i="16"/>
  <c r="J212" i="16"/>
  <c r="N212" i="16" s="1"/>
  <c r="P212" i="16"/>
  <c r="Q212" i="16"/>
  <c r="R212" i="16"/>
  <c r="T212" i="16"/>
  <c r="L213" i="16"/>
  <c r="C213" i="16"/>
  <c r="K213" i="16" s="1"/>
  <c r="E213" i="16"/>
  <c r="F213" i="16"/>
  <c r="O213" i="16" s="1"/>
  <c r="G213" i="16"/>
  <c r="I213" i="16"/>
  <c r="B214" i="16"/>
  <c r="U157" i="16"/>
  <c r="S157" i="16"/>
  <c r="D158" i="16"/>
  <c r="M158" i="16" s="1"/>
  <c r="J158" i="16"/>
  <c r="P158" i="16"/>
  <c r="Q158" i="16"/>
  <c r="R158" i="16"/>
  <c r="T158" i="16"/>
  <c r="L159" i="16"/>
  <c r="C159" i="16"/>
  <c r="E159" i="16"/>
  <c r="G159" i="16"/>
  <c r="I159" i="16"/>
  <c r="B160" i="16"/>
  <c r="S103" i="16"/>
  <c r="U103" i="16"/>
  <c r="D104" i="16"/>
  <c r="J104" i="16"/>
  <c r="P104" i="16"/>
  <c r="Q104" i="16"/>
  <c r="R104" i="16"/>
  <c r="T104" i="16"/>
  <c r="L105" i="16"/>
  <c r="C105" i="16"/>
  <c r="E105" i="16"/>
  <c r="G105" i="16"/>
  <c r="I105" i="16"/>
  <c r="B106" i="16"/>
  <c r="C75" i="7"/>
  <c r="G75" i="7" s="1"/>
  <c r="U41" i="4"/>
  <c r="S41" i="4"/>
  <c r="F41" i="5"/>
  <c r="G41" i="5"/>
  <c r="H41" i="5"/>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T42" i="4"/>
  <c r="V42" i="4"/>
  <c r="C43" i="4"/>
  <c r="E43" i="4"/>
  <c r="F43" i="4"/>
  <c r="C43" i="5" s="1"/>
  <c r="E43" i="5" s="1"/>
  <c r="G43" i="4"/>
  <c r="AV43" i="4" s="1"/>
  <c r="K43" i="4"/>
  <c r="I43" i="4"/>
  <c r="L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3774" i="16"/>
  <c r="S3774" i="16"/>
  <c r="T3774" i="16" s="1"/>
  <c r="U3450" i="16"/>
  <c r="S3450" i="16"/>
  <c r="T3450" i="16" s="1"/>
  <c r="U3180" i="16"/>
  <c r="S3180" i="16"/>
  <c r="T3180" i="16" s="1"/>
  <c r="U3018" i="16"/>
  <c r="S3018" i="16"/>
  <c r="T3018" i="16" s="1"/>
  <c r="U2910" i="16"/>
  <c r="S2910" i="16"/>
  <c r="T2910" i="16" s="1"/>
  <c r="U2748" i="16"/>
  <c r="S2748" i="16"/>
  <c r="T2748" i="16" s="1"/>
  <c r="U2694" i="16"/>
  <c r="S2694" i="16"/>
  <c r="T2694" i="16" s="1"/>
  <c r="U2478" i="16"/>
  <c r="S2478" i="16"/>
  <c r="T2478" i="16" s="1"/>
  <c r="U2154" i="16"/>
  <c r="S2154" i="16"/>
  <c r="T2154" i="16" s="1"/>
  <c r="S1884" i="16"/>
  <c r="T1884" i="16" s="1"/>
  <c r="U1884" i="16"/>
  <c r="U1830" i="16"/>
  <c r="S1830" i="16"/>
  <c r="T1830" i="16" s="1"/>
  <c r="S1668" i="16"/>
  <c r="T1668" i="16" s="1"/>
  <c r="U1668" i="16"/>
  <c r="U1506" i="16"/>
  <c r="S1506" i="16"/>
  <c r="T1506" i="16" s="1"/>
  <c r="U1344" i="16"/>
  <c r="S1344" i="16"/>
  <c r="T1344" i="16" s="1"/>
  <c r="U1237" i="16"/>
  <c r="S1237" i="16"/>
  <c r="U1074" i="16"/>
  <c r="S1074" i="16"/>
  <c r="T1074" i="16" s="1"/>
  <c r="U858" i="16"/>
  <c r="S858" i="16"/>
  <c r="T858" i="16" s="1"/>
  <c r="U642" i="16"/>
  <c r="S642" i="16"/>
  <c r="T642" i="16" s="1"/>
  <c r="U156" i="16"/>
  <c r="S156" i="16"/>
  <c r="T156" i="16" s="1"/>
  <c r="S102" i="16"/>
  <c r="T102" i="16" s="1"/>
  <c r="U102" i="16"/>
  <c r="M4591" i="16"/>
  <c r="N4591" i="16"/>
  <c r="M4537" i="16"/>
  <c r="N4537" i="16"/>
  <c r="N4237" i="16"/>
  <c r="M4237" i="16"/>
  <c r="M3721" i="16"/>
  <c r="N3721" i="16"/>
  <c r="N3019" i="16"/>
  <c r="M3019" i="16"/>
  <c r="M2803" i="16"/>
  <c r="N2803" i="16"/>
  <c r="S2803" i="16" s="1"/>
  <c r="M2587" i="16"/>
  <c r="N2587" i="16"/>
  <c r="M2371" i="16"/>
  <c r="N2371" i="16"/>
  <c r="M2317" i="16"/>
  <c r="N2317" i="16"/>
  <c r="M2155" i="16"/>
  <c r="N2155" i="16"/>
  <c r="M2047" i="16"/>
  <c r="N2047" i="16"/>
  <c r="M1831" i="16"/>
  <c r="N1831" i="16"/>
  <c r="M1777" i="16"/>
  <c r="N1777" i="16"/>
  <c r="N1507" i="16"/>
  <c r="M1507" i="16"/>
  <c r="M1399" i="16"/>
  <c r="N1399" i="16"/>
  <c r="M1238" i="16"/>
  <c r="N1238" i="16"/>
  <c r="M481" i="16"/>
  <c r="N481" i="16"/>
  <c r="M211" i="16"/>
  <c r="N211" i="16"/>
  <c r="D4646" i="16"/>
  <c r="F4646" i="16"/>
  <c r="O4646" i="16" s="1"/>
  <c r="F4592" i="16"/>
  <c r="K4592" i="16"/>
  <c r="F4238" i="16"/>
  <c r="O4238" i="16" s="1"/>
  <c r="K4238" i="16"/>
  <c r="K3776" i="16"/>
  <c r="F3776" i="16"/>
  <c r="O3776" i="16" s="1"/>
  <c r="F3722" i="16"/>
  <c r="O3722" i="16" s="1"/>
  <c r="K3722" i="16"/>
  <c r="K3452" i="16"/>
  <c r="F3452" i="16"/>
  <c r="O3452" i="16" s="1"/>
  <c r="K3236" i="16"/>
  <c r="F3236" i="16"/>
  <c r="O3236" i="16" s="1"/>
  <c r="F2966" i="16"/>
  <c r="O2966" i="16" s="1"/>
  <c r="K2966" i="16"/>
  <c r="K2912" i="16"/>
  <c r="F2912" i="16"/>
  <c r="O2912" i="16" s="1"/>
  <c r="F2642" i="16"/>
  <c r="O2642" i="16" s="1"/>
  <c r="K2642" i="16"/>
  <c r="F2372" i="16"/>
  <c r="O2372" i="16" s="1"/>
  <c r="K2372" i="16"/>
  <c r="F2156" i="16"/>
  <c r="O2156" i="16" s="1"/>
  <c r="K2156" i="16"/>
  <c r="K2102" i="16"/>
  <c r="F2102" i="16"/>
  <c r="O2102" i="16" s="1"/>
  <c r="F1670" i="16"/>
  <c r="O1670" i="16" s="1"/>
  <c r="K1670" i="16"/>
  <c r="F1616" i="16"/>
  <c r="O1616" i="16" s="1"/>
  <c r="K1616" i="16"/>
  <c r="F1562" i="16"/>
  <c r="O1562" i="16" s="1"/>
  <c r="K1562" i="16"/>
  <c r="F1400" i="16"/>
  <c r="O1400" i="16" s="1"/>
  <c r="K1400" i="16"/>
  <c r="K1346" i="16"/>
  <c r="F1346" i="16"/>
  <c r="O1346" i="16" s="1"/>
  <c r="K860" i="16"/>
  <c r="F860" i="16"/>
  <c r="O860" i="16" s="1"/>
  <c r="K590" i="16"/>
  <c r="F590" i="16"/>
  <c r="O590" i="16" s="1"/>
  <c r="K374" i="16"/>
  <c r="F374" i="16"/>
  <c r="O374" i="16" s="1"/>
  <c r="K320" i="16"/>
  <c r="F320" i="16"/>
  <c r="O320" i="16" s="1"/>
  <c r="K104" i="16"/>
  <c r="F104" i="16"/>
  <c r="O104" i="16" s="1"/>
  <c r="N3398" i="16" l="1"/>
  <c r="N2318" i="16"/>
  <c r="N158" i="16"/>
  <c r="K3453" i="16"/>
  <c r="F3453" i="16"/>
  <c r="O3453" i="16" s="1"/>
  <c r="K2103" i="16"/>
  <c r="F2103" i="16"/>
  <c r="O2103" i="16" s="1"/>
  <c r="K2049" i="16"/>
  <c r="F2049" i="16"/>
  <c r="O2049" i="16" s="1"/>
  <c r="K969" i="16"/>
  <c r="F969" i="16"/>
  <c r="O969" i="16" s="1"/>
  <c r="K591" i="16"/>
  <c r="F591" i="16"/>
  <c r="O591" i="16" s="1"/>
  <c r="K429" i="16"/>
  <c r="F429" i="16"/>
  <c r="O429" i="16" s="1"/>
  <c r="U4700" i="16"/>
  <c r="S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D4648" i="16" s="1"/>
  <c r="E4648" i="16"/>
  <c r="F4648" i="16"/>
  <c r="O4648" i="16" s="1"/>
  <c r="G4648" i="16"/>
  <c r="B4649" i="16"/>
  <c r="M4593" i="16"/>
  <c r="D4593" i="16"/>
  <c r="J4593" i="16"/>
  <c r="N4593" i="16" s="1"/>
  <c r="P4593" i="16"/>
  <c r="Q4593" i="16"/>
  <c r="R4593" i="16"/>
  <c r="L4594" i="16"/>
  <c r="C4594" i="16"/>
  <c r="K4594" i="16" s="1"/>
  <c r="E4594" i="16"/>
  <c r="F4594" i="16"/>
  <c r="G4594" i="16"/>
  <c r="I4594" i="16"/>
  <c r="B4595" i="16"/>
  <c r="M4539" i="16"/>
  <c r="D4539" i="16"/>
  <c r="J4539" i="16"/>
  <c r="N4539" i="16" s="1"/>
  <c r="P4539" i="16"/>
  <c r="Q4539" i="16"/>
  <c r="R4539" i="16"/>
  <c r="L4540" i="16"/>
  <c r="C4540" i="16"/>
  <c r="K4540" i="16" s="1"/>
  <c r="E4540" i="16"/>
  <c r="F4540" i="16"/>
  <c r="G4540" i="16"/>
  <c r="I4540" i="16"/>
  <c r="B4541" i="16"/>
  <c r="P4239" i="16"/>
  <c r="Q4239" i="16"/>
  <c r="R4239" i="16"/>
  <c r="T4239" i="16"/>
  <c r="J4239" i="16"/>
  <c r="D4239" i="16"/>
  <c r="C4240" i="16"/>
  <c r="K4240" i="16" s="1"/>
  <c r="I4240" i="16"/>
  <c r="B4241" i="16"/>
  <c r="E4240" i="16"/>
  <c r="F4240" i="16"/>
  <c r="O4240" i="16" s="1"/>
  <c r="G4240" i="16"/>
  <c r="L4240" i="16"/>
  <c r="U4184" i="16"/>
  <c r="S4184" i="16"/>
  <c r="P4185" i="16"/>
  <c r="Q4185" i="16"/>
  <c r="R4185" i="16"/>
  <c r="T4185" i="16"/>
  <c r="I4186" i="16"/>
  <c r="L4186" i="16"/>
  <c r="B4187" i="16"/>
  <c r="C4186" i="16"/>
  <c r="F4186" i="16" s="1"/>
  <c r="O4186" i="16" s="1"/>
  <c r="E4186" i="16"/>
  <c r="G4186" i="16"/>
  <c r="K4186" i="16"/>
  <c r="D4185" i="16"/>
  <c r="J4185" i="16"/>
  <c r="N4185" i="16" s="1"/>
  <c r="M4185" i="16"/>
  <c r="L4132" i="16"/>
  <c r="B4133" i="16"/>
  <c r="C4132" i="16"/>
  <c r="K4132" i="16" s="1"/>
  <c r="E4132" i="16"/>
  <c r="F4132" i="16"/>
  <c r="O4132" i="16" s="1"/>
  <c r="G4132" i="16"/>
  <c r="I4132" i="16"/>
  <c r="J4131" i="16"/>
  <c r="N4131" i="16" s="1"/>
  <c r="D4131" i="16"/>
  <c r="P4131" i="16"/>
  <c r="Q4131" i="16"/>
  <c r="R4131" i="16"/>
  <c r="T4131" i="16"/>
  <c r="M4131" i="16"/>
  <c r="U4130" i="16"/>
  <c r="S4130" i="16"/>
  <c r="U4076" i="16"/>
  <c r="S4076" i="16"/>
  <c r="D4077" i="16"/>
  <c r="J4077" i="16"/>
  <c r="P4077" i="16"/>
  <c r="Q4077" i="16"/>
  <c r="R4077" i="16"/>
  <c r="T4077" i="16"/>
  <c r="L4078" i="16"/>
  <c r="C4078" i="16"/>
  <c r="K4078" i="16" s="1"/>
  <c r="E4078" i="16"/>
  <c r="F4078" i="16"/>
  <c r="O4078" i="16" s="1"/>
  <c r="G4078" i="16"/>
  <c r="I4078" i="16"/>
  <c r="B4079" i="16"/>
  <c r="D3777" i="16"/>
  <c r="J3777" i="16"/>
  <c r="P3777" i="16"/>
  <c r="Q3777" i="16"/>
  <c r="R3777" i="16"/>
  <c r="T3777" i="16"/>
  <c r="L3778" i="16"/>
  <c r="C3778" i="16"/>
  <c r="K3778" i="16" s="1"/>
  <c r="E3778" i="16"/>
  <c r="F3778" i="16"/>
  <c r="O3778" i="16" s="1"/>
  <c r="G3778" i="16"/>
  <c r="I3778" i="16"/>
  <c r="B3779" i="16"/>
  <c r="M3723" i="16"/>
  <c r="D3723" i="16"/>
  <c r="J3723" i="16"/>
  <c r="N3723" i="16" s="1"/>
  <c r="P3723" i="16"/>
  <c r="Q3723" i="16"/>
  <c r="R3723" i="16"/>
  <c r="T3723" i="16"/>
  <c r="L3724" i="16"/>
  <c r="C3724" i="16"/>
  <c r="E3724" i="16"/>
  <c r="G3724" i="16"/>
  <c r="B3725" i="16"/>
  <c r="I3724" i="16"/>
  <c r="S3668" i="16"/>
  <c r="U3668" i="16"/>
  <c r="M3669" i="16"/>
  <c r="D3669" i="16"/>
  <c r="J3669" i="16"/>
  <c r="N3669" i="16" s="1"/>
  <c r="P3669" i="16"/>
  <c r="Q3669" i="16"/>
  <c r="R3669" i="16"/>
  <c r="T3669" i="16"/>
  <c r="L3670" i="16"/>
  <c r="C3670" i="16"/>
  <c r="E3670" i="16"/>
  <c r="G3670" i="16"/>
  <c r="B3671" i="16"/>
  <c r="I3670"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U3506" i="16"/>
  <c r="S3506" i="16"/>
  <c r="D3507" i="16"/>
  <c r="J3507" i="16"/>
  <c r="P3507" i="16"/>
  <c r="Q3507" i="16"/>
  <c r="R3507" i="16"/>
  <c r="T3507" i="16"/>
  <c r="L3508" i="16"/>
  <c r="C3508" i="16"/>
  <c r="K3508" i="16" s="1"/>
  <c r="E3508" i="16"/>
  <c r="F3508" i="16"/>
  <c r="O3508" i="16" s="1"/>
  <c r="G3508" i="16"/>
  <c r="I3508" i="16"/>
  <c r="B3509" i="16"/>
  <c r="M3453" i="16"/>
  <c r="P3453" i="16"/>
  <c r="Q3453" i="16"/>
  <c r="R3453" i="16"/>
  <c r="T3453" i="16"/>
  <c r="L3454" i="16"/>
  <c r="G3454" i="16"/>
  <c r="B3455" i="16"/>
  <c r="C3454" i="16"/>
  <c r="E3454" i="16"/>
  <c r="I3454" i="16"/>
  <c r="J3453" i="16"/>
  <c r="N3453" i="16" s="1"/>
  <c r="D3453" i="16"/>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D3291" i="16"/>
  <c r="J3291" i="16"/>
  <c r="P3291" i="16"/>
  <c r="Q3291" i="16"/>
  <c r="R3291" i="16"/>
  <c r="T3291" i="16"/>
  <c r="L3292" i="16"/>
  <c r="C3292" i="16"/>
  <c r="K3292" i="16" s="1"/>
  <c r="E3292" i="16"/>
  <c r="F3292" i="16"/>
  <c r="O3292" i="16" s="1"/>
  <c r="G3292" i="16"/>
  <c r="I3292" i="16"/>
  <c r="B3293" i="16"/>
  <c r="L3238" i="16"/>
  <c r="G3238" i="16"/>
  <c r="B3239" i="16"/>
  <c r="E3238" i="16"/>
  <c r="I3238" i="16"/>
  <c r="C3238" i="16"/>
  <c r="P3237" i="16"/>
  <c r="Q3237" i="16"/>
  <c r="R3237" i="16"/>
  <c r="T3237" i="16"/>
  <c r="D3237" i="16"/>
  <c r="J3237" i="16"/>
  <c r="U3182" i="16"/>
  <c r="S3182" i="16"/>
  <c r="M3183" i="16"/>
  <c r="D3183" i="16"/>
  <c r="J3183" i="16"/>
  <c r="N3183" i="16" s="1"/>
  <c r="P3183" i="16"/>
  <c r="Q3183" i="16"/>
  <c r="R3183" i="16"/>
  <c r="T3183" i="16"/>
  <c r="L3184" i="16"/>
  <c r="I3184" i="16"/>
  <c r="C3184" i="16"/>
  <c r="K3184" i="16" s="1"/>
  <c r="G3184" i="16"/>
  <c r="F3184" i="16"/>
  <c r="O3184" i="16" s="1"/>
  <c r="B3185" i="16"/>
  <c r="E3184" i="16"/>
  <c r="U3128" i="16"/>
  <c r="S3128" i="16"/>
  <c r="M3129" i="16"/>
  <c r="P3129" i="16"/>
  <c r="Q3129" i="16"/>
  <c r="R3129" i="16"/>
  <c r="T3129" i="16"/>
  <c r="L3130" i="16"/>
  <c r="G3130" i="16"/>
  <c r="B3131" i="16"/>
  <c r="E3130" i="16"/>
  <c r="I3130" i="16"/>
  <c r="C3130" i="16"/>
  <c r="D3129" i="16"/>
  <c r="J3129" i="16"/>
  <c r="N3129" i="16" s="1"/>
  <c r="U3074" i="16"/>
  <c r="S3074" i="16"/>
  <c r="D3075" i="16"/>
  <c r="J3075" i="16"/>
  <c r="P3075" i="16"/>
  <c r="Q3075" i="16"/>
  <c r="R3075" i="16"/>
  <c r="T3075" i="16"/>
  <c r="L3076" i="16"/>
  <c r="G3076" i="16"/>
  <c r="E3076" i="16"/>
  <c r="B3077" i="16"/>
  <c r="I3076" i="16"/>
  <c r="C3076" i="16"/>
  <c r="U3020" i="16"/>
  <c r="S3020" i="16"/>
  <c r="M3021" i="16"/>
  <c r="D3021" i="16"/>
  <c r="J3021" i="16"/>
  <c r="N3021" i="16" s="1"/>
  <c r="P3021" i="16"/>
  <c r="Q3021" i="16"/>
  <c r="R3021" i="16"/>
  <c r="T3021" i="16"/>
  <c r="L3022" i="16"/>
  <c r="G3022" i="16"/>
  <c r="I3022" i="16"/>
  <c r="C3022" i="16"/>
  <c r="E3022" i="16"/>
  <c r="B3023" i="16"/>
  <c r="M2967" i="16"/>
  <c r="D2967" i="16"/>
  <c r="J2967" i="16"/>
  <c r="N2967" i="16" s="1"/>
  <c r="P2967" i="16"/>
  <c r="Q2967" i="16"/>
  <c r="R2967" i="16"/>
  <c r="T2967" i="16"/>
  <c r="L2968" i="16"/>
  <c r="C2968" i="16"/>
  <c r="K2968" i="16" s="1"/>
  <c r="E2968" i="16"/>
  <c r="F2968" i="16"/>
  <c r="O2968" i="16" s="1"/>
  <c r="G2968" i="16"/>
  <c r="I2968" i="16"/>
  <c r="B2969" i="16"/>
  <c r="M2913" i="16"/>
  <c r="D2913" i="16"/>
  <c r="J2913" i="16"/>
  <c r="N2913" i="16" s="1"/>
  <c r="P2913" i="16"/>
  <c r="Q2913" i="16"/>
  <c r="R2913" i="16"/>
  <c r="T2913" i="16"/>
  <c r="L2914" i="16"/>
  <c r="C2914" i="16"/>
  <c r="E2914" i="16"/>
  <c r="G2914" i="16"/>
  <c r="I2914" i="16"/>
  <c r="B2915" i="16"/>
  <c r="U2858" i="16"/>
  <c r="S2858" i="16"/>
  <c r="M2859" i="16"/>
  <c r="D2859" i="16"/>
  <c r="J2859" i="16"/>
  <c r="N2859" i="16" s="1"/>
  <c r="P2859" i="16"/>
  <c r="Q2859" i="16"/>
  <c r="R2859" i="16"/>
  <c r="T2859" i="16"/>
  <c r="L2860" i="16"/>
  <c r="C2860" i="16"/>
  <c r="K2860" i="16" s="1"/>
  <c r="E2860" i="16"/>
  <c r="F2860" i="16"/>
  <c r="O2860" i="16" s="1"/>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K2698" i="16" s="1"/>
  <c r="E2698" i="16"/>
  <c r="F2698" i="16"/>
  <c r="O2698" i="16" s="1"/>
  <c r="G2698" i="16"/>
  <c r="I2698" i="16"/>
  <c r="B2699" i="16"/>
  <c r="D2643" i="16"/>
  <c r="J2643" i="16"/>
  <c r="P2643" i="16"/>
  <c r="Q2643" i="16"/>
  <c r="R2643" i="16"/>
  <c r="T2643" i="16"/>
  <c r="L2644" i="16"/>
  <c r="C2644" i="16"/>
  <c r="E2644" i="16"/>
  <c r="G2644" i="16"/>
  <c r="I2644" i="16"/>
  <c r="B2645" i="16"/>
  <c r="U2588" i="16"/>
  <c r="S2588" i="16"/>
  <c r="M2589" i="16"/>
  <c r="D2589" i="16"/>
  <c r="J2589" i="16"/>
  <c r="N2589" i="16" s="1"/>
  <c r="P2589" i="16"/>
  <c r="Q2589" i="16"/>
  <c r="R2589" i="16"/>
  <c r="T2589" i="16"/>
  <c r="L2590" i="16"/>
  <c r="C2590" i="16"/>
  <c r="K2590" i="16" s="1"/>
  <c r="E2590" i="16"/>
  <c r="F2590" i="16"/>
  <c r="O2590" i="16" s="1"/>
  <c r="G2590" i="16"/>
  <c r="I2590" i="16"/>
  <c r="B2591"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Q2481" i="16"/>
  <c r="P2481" i="16"/>
  <c r="R2481" i="16"/>
  <c r="T2481" i="16"/>
  <c r="L2482" i="16"/>
  <c r="C2482" i="16"/>
  <c r="K2482" i="16" s="1"/>
  <c r="E2482" i="16"/>
  <c r="F2482" i="16"/>
  <c r="O2482" i="16" s="1"/>
  <c r="G2482" i="16"/>
  <c r="I2482" i="16"/>
  <c r="B2483" i="16"/>
  <c r="U2426" i="16"/>
  <c r="S2426" i="16"/>
  <c r="M2427" i="16"/>
  <c r="D2427" i="16"/>
  <c r="J2427" i="16"/>
  <c r="N2427" i="16" s="1"/>
  <c r="Q2427" i="16"/>
  <c r="R2427" i="16"/>
  <c r="P2427" i="16"/>
  <c r="T2427" i="16"/>
  <c r="L2428" i="16"/>
  <c r="C2428" i="16"/>
  <c r="K2428" i="16" s="1"/>
  <c r="E2428" i="16"/>
  <c r="F2428" i="16"/>
  <c r="O2428" i="16" s="1"/>
  <c r="G2428" i="16"/>
  <c r="I2428" i="16"/>
  <c r="B2429" i="16"/>
  <c r="M2373" i="16"/>
  <c r="D2373" i="16"/>
  <c r="J2373" i="16"/>
  <c r="N2373" i="16" s="1"/>
  <c r="Q2373" i="16"/>
  <c r="P2373" i="16"/>
  <c r="R2373" i="16"/>
  <c r="T2373" i="16"/>
  <c r="L2374" i="16"/>
  <c r="C2374" i="16"/>
  <c r="K2374" i="16" s="1"/>
  <c r="E2374" i="16"/>
  <c r="F2374" i="16"/>
  <c r="O2374" i="16" s="1"/>
  <c r="G2374" i="16"/>
  <c r="I2374" i="16"/>
  <c r="B2375" i="16"/>
  <c r="U2318" i="16"/>
  <c r="S2318" i="16"/>
  <c r="M2319" i="16"/>
  <c r="D2319" i="16"/>
  <c r="J2319" i="16"/>
  <c r="N2319" i="16" s="1"/>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K2212" i="16" s="1"/>
  <c r="E2212" i="16"/>
  <c r="F2212" i="16"/>
  <c r="O2212" i="16" s="1"/>
  <c r="G2212" i="16"/>
  <c r="I2212" i="16"/>
  <c r="B2213" i="16"/>
  <c r="P2157" i="16"/>
  <c r="Q2157" i="16"/>
  <c r="R2157" i="16"/>
  <c r="T2157" i="16"/>
  <c r="L2158" i="16"/>
  <c r="C2158" i="16"/>
  <c r="K2158" i="16" s="1"/>
  <c r="E2158" i="16"/>
  <c r="F2158" i="16"/>
  <c r="O2158" i="16" s="1"/>
  <c r="G2158" i="16"/>
  <c r="B2159" i="16"/>
  <c r="I2158" i="16"/>
  <c r="D2157" i="16"/>
  <c r="J2157" i="16"/>
  <c r="M2103" i="16"/>
  <c r="D2103" i="16"/>
  <c r="J2103" i="16"/>
  <c r="N2103" i="16" s="1"/>
  <c r="Q2103" i="16"/>
  <c r="P2103" i="16"/>
  <c r="R2103" i="16"/>
  <c r="T2103" i="16"/>
  <c r="L2104" i="16"/>
  <c r="I2104" i="16"/>
  <c r="C2104" i="16"/>
  <c r="K2104" i="16" s="1"/>
  <c r="E2104" i="16"/>
  <c r="F2104" i="16"/>
  <c r="O2104" i="16" s="1"/>
  <c r="G2104" i="16"/>
  <c r="B2105" i="16"/>
  <c r="U2048" i="16"/>
  <c r="S2048" i="16"/>
  <c r="M2049" i="16"/>
  <c r="D2049" i="16"/>
  <c r="J2049" i="16"/>
  <c r="N2049" i="16" s="1"/>
  <c r="P2049" i="16"/>
  <c r="Q2049" i="16"/>
  <c r="R2049" i="16"/>
  <c r="T2049" i="16"/>
  <c r="L2050" i="16"/>
  <c r="C2050" i="16"/>
  <c r="E2050" i="16"/>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D1941" i="16"/>
  <c r="J1941" i="16"/>
  <c r="P1941" i="16"/>
  <c r="Q1941" i="16"/>
  <c r="R1941" i="16"/>
  <c r="T1941" i="16"/>
  <c r="L1942" i="16"/>
  <c r="C1942" i="16"/>
  <c r="K1942" i="16" s="1"/>
  <c r="E1942" i="16"/>
  <c r="F1942" i="16"/>
  <c r="O1942" i="16" s="1"/>
  <c r="G1942" i="16"/>
  <c r="I1942" i="16"/>
  <c r="B1943" i="16"/>
  <c r="S1886" i="16"/>
  <c r="U1886" i="16"/>
  <c r="D1887" i="16"/>
  <c r="J1887" i="16"/>
  <c r="P1887" i="16"/>
  <c r="Q1887" i="16"/>
  <c r="R1887" i="16"/>
  <c r="T1887" i="16"/>
  <c r="L1888" i="16"/>
  <c r="C1888" i="16"/>
  <c r="K1888" i="16" s="1"/>
  <c r="E1888" i="16"/>
  <c r="F1888" i="16"/>
  <c r="O1888" i="16" s="1"/>
  <c r="G1888" i="16"/>
  <c r="I1888" i="16"/>
  <c r="B1889" i="16"/>
  <c r="U1832" i="16"/>
  <c r="S1832" i="16"/>
  <c r="D1833" i="16"/>
  <c r="J1833" i="16"/>
  <c r="P1833" i="16"/>
  <c r="Q1833" i="16"/>
  <c r="R1833" i="16"/>
  <c r="T1833" i="16"/>
  <c r="L1834" i="16"/>
  <c r="C1834" i="16"/>
  <c r="K1834" i="16" s="1"/>
  <c r="E1834" i="16"/>
  <c r="F1834" i="16"/>
  <c r="O1834" i="16" s="1"/>
  <c r="G1834" i="16"/>
  <c r="I1834" i="16"/>
  <c r="B1835" i="16"/>
  <c r="U1778" i="16"/>
  <c r="S1778" i="16"/>
  <c r="M1779" i="16"/>
  <c r="D1779" i="16"/>
  <c r="J1779" i="16"/>
  <c r="N1779" i="16" s="1"/>
  <c r="P1779" i="16"/>
  <c r="Q1779" i="16"/>
  <c r="R1779" i="16"/>
  <c r="T1779" i="16"/>
  <c r="L1780" i="16"/>
  <c r="C1780" i="16"/>
  <c r="E1780" i="16"/>
  <c r="G1780" i="16"/>
  <c r="I1780" i="16"/>
  <c r="B1781" i="16"/>
  <c r="U1724" i="16"/>
  <c r="S1724" i="16"/>
  <c r="M1725" i="16"/>
  <c r="D1725" i="16"/>
  <c r="J1725" i="16"/>
  <c r="N1725" i="16" s="1"/>
  <c r="P1725" i="16"/>
  <c r="Q1725" i="16"/>
  <c r="R1725" i="16"/>
  <c r="T1725" i="16"/>
  <c r="L1726" i="16"/>
  <c r="C1726" i="16"/>
  <c r="K1726" i="16" s="1"/>
  <c r="E1726" i="16"/>
  <c r="F1726" i="16"/>
  <c r="O1726" i="16" s="1"/>
  <c r="G1726" i="16"/>
  <c r="I1726" i="16"/>
  <c r="B1727" i="16"/>
  <c r="M1671" i="16"/>
  <c r="D1671" i="16"/>
  <c r="J1671" i="16"/>
  <c r="N1671" i="16" s="1"/>
  <c r="P1671" i="16"/>
  <c r="Q1671" i="16"/>
  <c r="R1671" i="16"/>
  <c r="T1671" i="16"/>
  <c r="L1672" i="16"/>
  <c r="C1672" i="16"/>
  <c r="K1672" i="16" s="1"/>
  <c r="E1672" i="16"/>
  <c r="F1672" i="16"/>
  <c r="O1672" i="16" s="1"/>
  <c r="G1672" i="16"/>
  <c r="I1672" i="16"/>
  <c r="B1673" i="16"/>
  <c r="M1617" i="16"/>
  <c r="D1617" i="16"/>
  <c r="J1617" i="16"/>
  <c r="N1617" i="16" s="1"/>
  <c r="P1617" i="16"/>
  <c r="Q1617" i="16"/>
  <c r="R1617" i="16"/>
  <c r="T1617" i="16"/>
  <c r="L1618" i="16"/>
  <c r="C1618" i="16"/>
  <c r="K1618" i="16" s="1"/>
  <c r="E1618" i="16"/>
  <c r="F1618" i="16"/>
  <c r="O1618" i="16" s="1"/>
  <c r="G1618" i="16"/>
  <c r="I1618" i="16"/>
  <c r="B1619" i="16"/>
  <c r="D1563" i="16"/>
  <c r="J1563" i="16"/>
  <c r="P1563" i="16"/>
  <c r="Q1563" i="16"/>
  <c r="R1563" i="16"/>
  <c r="T1563" i="16"/>
  <c r="L1564" i="16"/>
  <c r="C1564" i="16"/>
  <c r="K1564" i="16" s="1"/>
  <c r="E1564" i="16"/>
  <c r="F1564" i="16"/>
  <c r="O1564" i="16" s="1"/>
  <c r="G1564" i="16"/>
  <c r="I1564" i="16"/>
  <c r="B1565" i="16"/>
  <c r="U1508" i="16"/>
  <c r="S1508" i="16"/>
  <c r="M1509" i="16"/>
  <c r="D1509" i="16"/>
  <c r="J1509" i="16"/>
  <c r="N1509" i="16" s="1"/>
  <c r="P1509" i="16"/>
  <c r="Q1509" i="16"/>
  <c r="R1509" i="16"/>
  <c r="T1509" i="16"/>
  <c r="L1510" i="16"/>
  <c r="G1510" i="16"/>
  <c r="I1510" i="16"/>
  <c r="B1511" i="16"/>
  <c r="C1510" i="16"/>
  <c r="E1510" i="16"/>
  <c r="U1454" i="16"/>
  <c r="S1454" i="16"/>
  <c r="M1455" i="16"/>
  <c r="D1455" i="16"/>
  <c r="J1455" i="16"/>
  <c r="N1455" i="16" s="1"/>
  <c r="P1455" i="16"/>
  <c r="Q1455" i="16"/>
  <c r="R1455" i="16"/>
  <c r="T1455" i="16"/>
  <c r="L1456" i="16"/>
  <c r="C1456" i="16"/>
  <c r="K1456" i="16" s="1"/>
  <c r="E1456" i="16"/>
  <c r="F1456" i="16"/>
  <c r="O1456" i="16" s="1"/>
  <c r="G1456" i="16"/>
  <c r="B1457" i="16"/>
  <c r="I1456" i="16"/>
  <c r="L1402" i="16"/>
  <c r="C1402" i="16"/>
  <c r="E1402" i="16"/>
  <c r="G1402" i="16"/>
  <c r="I1402" i="16"/>
  <c r="B1403" i="16"/>
  <c r="J1401" i="16"/>
  <c r="D1401" i="16"/>
  <c r="P1401" i="16"/>
  <c r="Q1401" i="16"/>
  <c r="R1401" i="16"/>
  <c r="T1401" i="16"/>
  <c r="L1348" i="16"/>
  <c r="G1348" i="16"/>
  <c r="I1348" i="16"/>
  <c r="E1348" i="16"/>
  <c r="C1348" i="16"/>
  <c r="B1349" i="16"/>
  <c r="D1347" i="16"/>
  <c r="J1347" i="16"/>
  <c r="P1347" i="16"/>
  <c r="Q1347" i="16"/>
  <c r="R1347" i="16"/>
  <c r="T1347" i="16"/>
  <c r="U1292" i="16"/>
  <c r="S1292" i="16"/>
  <c r="L1294" i="16"/>
  <c r="E1294" i="16"/>
  <c r="C1294" i="16"/>
  <c r="K1294" i="16" s="1"/>
  <c r="F1294" i="16"/>
  <c r="O1294" i="16" s="1"/>
  <c r="G1294" i="16"/>
  <c r="I1294" i="16"/>
  <c r="B1295" i="16"/>
  <c r="J1293" i="16"/>
  <c r="D1293" i="16"/>
  <c r="P1293" i="16"/>
  <c r="Q1293" i="16"/>
  <c r="R1293" i="16"/>
  <c r="T1293" i="16"/>
  <c r="S1239" i="16"/>
  <c r="U1239" i="16"/>
  <c r="M1240" i="16"/>
  <c r="D1240" i="16"/>
  <c r="J1240" i="16"/>
  <c r="N1240" i="16" s="1"/>
  <c r="L1241" i="16"/>
  <c r="B1242" i="16"/>
  <c r="C1241" i="16"/>
  <c r="E1241" i="16"/>
  <c r="G1241" i="16"/>
  <c r="I1241" i="16"/>
  <c r="P1240" i="16"/>
  <c r="Q1240" i="16"/>
  <c r="R1240" i="16"/>
  <c r="T1240"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K1132" i="16" s="1"/>
  <c r="E1132" i="16"/>
  <c r="F1132" i="16"/>
  <c r="O1132" i="16" s="1"/>
  <c r="G1132" i="16"/>
  <c r="I1132" i="16"/>
  <c r="B1133" i="16"/>
  <c r="U1076" i="16"/>
  <c r="S1076" i="16"/>
  <c r="D1077" i="16"/>
  <c r="J1077" i="16"/>
  <c r="P1077" i="16"/>
  <c r="Q1077" i="16"/>
  <c r="R1077" i="16"/>
  <c r="T1077" i="16"/>
  <c r="L1078" i="16"/>
  <c r="C1078" i="16"/>
  <c r="K1078" i="16" s="1"/>
  <c r="E1078" i="16"/>
  <c r="F1078" i="16"/>
  <c r="O1078" i="16" s="1"/>
  <c r="G1078" i="16"/>
  <c r="I1078" i="16"/>
  <c r="B1079" i="16"/>
  <c r="U1022" i="16"/>
  <c r="S1022" i="16"/>
  <c r="M1023" i="16"/>
  <c r="D1023" i="16"/>
  <c r="J1023" i="16"/>
  <c r="N1023" i="16" s="1"/>
  <c r="P1023" i="16"/>
  <c r="Q1023" i="16"/>
  <c r="R1023" i="16"/>
  <c r="T1023" i="16"/>
  <c r="L1024" i="16"/>
  <c r="C1024" i="16"/>
  <c r="E1024" i="16"/>
  <c r="G1024" i="16"/>
  <c r="I1024" i="16"/>
  <c r="B1025" i="16"/>
  <c r="U968" i="16"/>
  <c r="S968" i="16"/>
  <c r="M969" i="16"/>
  <c r="D969" i="16"/>
  <c r="J969" i="16"/>
  <c r="N969" i="16" s="1"/>
  <c r="P969" i="16"/>
  <c r="Q969" i="16"/>
  <c r="R969" i="16"/>
  <c r="T969" i="16"/>
  <c r="L970" i="16"/>
  <c r="C970" i="16"/>
  <c r="E970" i="16"/>
  <c r="G970" i="16"/>
  <c r="I970" i="16"/>
  <c r="B971" i="16"/>
  <c r="U914" i="16"/>
  <c r="S914" i="16"/>
  <c r="M915" i="16"/>
  <c r="D915" i="16"/>
  <c r="J915" i="16"/>
  <c r="N915" i="16" s="1"/>
  <c r="P915" i="16"/>
  <c r="Q915" i="16"/>
  <c r="R915" i="16"/>
  <c r="T915" i="16"/>
  <c r="L916" i="16"/>
  <c r="C916" i="16"/>
  <c r="K916" i="16" s="1"/>
  <c r="E916" i="16"/>
  <c r="F916" i="16"/>
  <c r="O916" i="16" s="1"/>
  <c r="G916" i="16"/>
  <c r="I916" i="16"/>
  <c r="B917" i="16"/>
  <c r="M861" i="16"/>
  <c r="D861" i="16"/>
  <c r="J861" i="16"/>
  <c r="N861" i="16" s="1"/>
  <c r="P861" i="16"/>
  <c r="Q861" i="16"/>
  <c r="R861" i="16"/>
  <c r="T861" i="16"/>
  <c r="L862" i="16"/>
  <c r="C862" i="16"/>
  <c r="K862" i="16" s="1"/>
  <c r="E862" i="16"/>
  <c r="F862" i="16"/>
  <c r="O862" i="16" s="1"/>
  <c r="G862" i="16"/>
  <c r="I862" i="16"/>
  <c r="B863" i="16"/>
  <c r="U806" i="16"/>
  <c r="S806" i="16"/>
  <c r="D807" i="16"/>
  <c r="J807" i="16"/>
  <c r="P807" i="16"/>
  <c r="Q807" i="16"/>
  <c r="R807" i="16"/>
  <c r="T807" i="16"/>
  <c r="L808" i="16"/>
  <c r="C808" i="16"/>
  <c r="K808" i="16" s="1"/>
  <c r="E808" i="16"/>
  <c r="F808" i="16"/>
  <c r="O808" i="16" s="1"/>
  <c r="G808" i="16"/>
  <c r="I808" i="16"/>
  <c r="B809" i="16"/>
  <c r="U752" i="16"/>
  <c r="S752" i="16"/>
  <c r="M753" i="16"/>
  <c r="D753" i="16"/>
  <c r="J753" i="16"/>
  <c r="N753" i="16" s="1"/>
  <c r="Q753" i="16"/>
  <c r="P753" i="16"/>
  <c r="R753" i="16"/>
  <c r="T753" i="16"/>
  <c r="L754" i="16"/>
  <c r="C754" i="16"/>
  <c r="E754" i="16"/>
  <c r="G754" i="16"/>
  <c r="I754" i="16"/>
  <c r="B755" i="16"/>
  <c r="U698" i="16"/>
  <c r="S698" i="16"/>
  <c r="M699" i="16"/>
  <c r="D699" i="16"/>
  <c r="J699" i="16"/>
  <c r="N699" i="16" s="1"/>
  <c r="Q699" i="16"/>
  <c r="P699" i="16"/>
  <c r="R699" i="16"/>
  <c r="T699" i="16"/>
  <c r="L700" i="16"/>
  <c r="C700" i="16"/>
  <c r="K700" i="16" s="1"/>
  <c r="E700" i="16"/>
  <c r="F700" i="16"/>
  <c r="O700" i="16" s="1"/>
  <c r="G700" i="16"/>
  <c r="I700" i="16"/>
  <c r="B701" i="16"/>
  <c r="U644" i="16"/>
  <c r="S644" i="16"/>
  <c r="D645" i="16"/>
  <c r="J645" i="16"/>
  <c r="Q645" i="16"/>
  <c r="P645" i="16"/>
  <c r="R645" i="16"/>
  <c r="T645" i="16"/>
  <c r="L646" i="16"/>
  <c r="C646" i="16"/>
  <c r="K646" i="16" s="1"/>
  <c r="E646" i="16"/>
  <c r="F646" i="16"/>
  <c r="O646" i="16" s="1"/>
  <c r="G646" i="16"/>
  <c r="I646" i="16"/>
  <c r="B647" i="16"/>
  <c r="M591" i="16"/>
  <c r="D591" i="16"/>
  <c r="J591" i="16"/>
  <c r="N591" i="16" s="1"/>
  <c r="P591" i="16"/>
  <c r="Q591" i="16"/>
  <c r="R591" i="16"/>
  <c r="T591" i="16"/>
  <c r="L592" i="16"/>
  <c r="C592" i="16"/>
  <c r="E592" i="16"/>
  <c r="G592" i="16"/>
  <c r="I592" i="16"/>
  <c r="B593" i="16"/>
  <c r="U536" i="16"/>
  <c r="S536" i="16"/>
  <c r="M537" i="16"/>
  <c r="D537" i="16"/>
  <c r="J537" i="16"/>
  <c r="N537" i="16" s="1"/>
  <c r="Q537" i="16"/>
  <c r="P537" i="16"/>
  <c r="R537" i="16"/>
  <c r="T537" i="16"/>
  <c r="L538" i="16"/>
  <c r="C538" i="16"/>
  <c r="K538" i="16" s="1"/>
  <c r="E538" i="16"/>
  <c r="F538" i="16"/>
  <c r="O538" i="16" s="1"/>
  <c r="G538" i="16"/>
  <c r="I538" i="16"/>
  <c r="B539" i="16"/>
  <c r="U482" i="16"/>
  <c r="S482" i="16"/>
  <c r="M483" i="16"/>
  <c r="D483" i="16"/>
  <c r="J483" i="16"/>
  <c r="N483" i="16" s="1"/>
  <c r="P483" i="16"/>
  <c r="Q483" i="16"/>
  <c r="R483" i="16"/>
  <c r="T483" i="16"/>
  <c r="L484" i="16"/>
  <c r="C484" i="16"/>
  <c r="E484" i="16"/>
  <c r="G484" i="16"/>
  <c r="I484" i="16"/>
  <c r="B485" i="16"/>
  <c r="U428" i="16"/>
  <c r="S428" i="16"/>
  <c r="M429" i="16"/>
  <c r="D429" i="16"/>
  <c r="J429" i="16"/>
  <c r="N429" i="16" s="1"/>
  <c r="Q429" i="16"/>
  <c r="P429" i="16"/>
  <c r="R429" i="16"/>
  <c r="T429" i="16"/>
  <c r="L430" i="16"/>
  <c r="C430" i="16"/>
  <c r="K430" i="16" s="1"/>
  <c r="E430" i="16"/>
  <c r="F430" i="16"/>
  <c r="O430" i="16" s="1"/>
  <c r="G430" i="16"/>
  <c r="I430" i="16"/>
  <c r="B431" i="16"/>
  <c r="D375" i="16"/>
  <c r="J375" i="16"/>
  <c r="P375" i="16"/>
  <c r="Q375" i="16"/>
  <c r="R375" i="16"/>
  <c r="T375" i="16"/>
  <c r="L376" i="16"/>
  <c r="C376" i="16"/>
  <c r="K376" i="16" s="1"/>
  <c r="E376" i="16"/>
  <c r="F376" i="16"/>
  <c r="O376" i="16" s="1"/>
  <c r="G376" i="16"/>
  <c r="I376" i="16"/>
  <c r="B377" i="16"/>
  <c r="D321" i="16"/>
  <c r="J321" i="16"/>
  <c r="P321" i="16"/>
  <c r="Q321" i="16"/>
  <c r="R321" i="16"/>
  <c r="T321" i="16"/>
  <c r="L322" i="16"/>
  <c r="C322" i="16"/>
  <c r="K322" i="16" s="1"/>
  <c r="E322" i="16"/>
  <c r="F322" i="16"/>
  <c r="O322" i="16" s="1"/>
  <c r="G322" i="16"/>
  <c r="I322" i="16"/>
  <c r="B323" i="16"/>
  <c r="U266" i="16"/>
  <c r="S266" i="16"/>
  <c r="M267" i="16"/>
  <c r="D267" i="16"/>
  <c r="J267" i="16"/>
  <c r="N267" i="16" s="1"/>
  <c r="P267" i="16"/>
  <c r="Q267" i="16"/>
  <c r="R267" i="16"/>
  <c r="T267" i="16"/>
  <c r="L268" i="16"/>
  <c r="C268" i="16"/>
  <c r="K268" i="16" s="1"/>
  <c r="E268" i="16"/>
  <c r="F268" i="16"/>
  <c r="O268" i="16" s="1"/>
  <c r="G268" i="16"/>
  <c r="I268" i="16"/>
  <c r="B269" i="16"/>
  <c r="U212" i="16"/>
  <c r="S212" i="16"/>
  <c r="M213" i="16"/>
  <c r="D213" i="16"/>
  <c r="J213" i="16"/>
  <c r="N213" i="16" s="1"/>
  <c r="P213" i="16"/>
  <c r="Q213" i="16"/>
  <c r="R213" i="16"/>
  <c r="T213" i="16"/>
  <c r="L214" i="16"/>
  <c r="C214" i="16"/>
  <c r="E214" i="16"/>
  <c r="G214" i="16"/>
  <c r="I214" i="16"/>
  <c r="B215" i="16"/>
  <c r="U158" i="16"/>
  <c r="S158" i="16"/>
  <c r="D159" i="16"/>
  <c r="J159" i="16"/>
  <c r="P159" i="16"/>
  <c r="Q159" i="16"/>
  <c r="R159" i="16"/>
  <c r="T159" i="16"/>
  <c r="L160" i="16"/>
  <c r="C160" i="16"/>
  <c r="K160" i="16" s="1"/>
  <c r="E160" i="16"/>
  <c r="F160" i="16"/>
  <c r="O160" i="16" s="1"/>
  <c r="G160" i="16"/>
  <c r="I160" i="16"/>
  <c r="B161" i="16"/>
  <c r="D105" i="16"/>
  <c r="J105" i="16"/>
  <c r="P105" i="16"/>
  <c r="Q105" i="16"/>
  <c r="R105" i="16"/>
  <c r="T105" i="16"/>
  <c r="L106" i="16"/>
  <c r="C106" i="16"/>
  <c r="K106" i="16" s="1"/>
  <c r="E106" i="16"/>
  <c r="F106" i="16"/>
  <c r="O106" i="16" s="1"/>
  <c r="G106" i="16"/>
  <c r="I106" i="16"/>
  <c r="B107" i="16"/>
  <c r="C76" i="7"/>
  <c r="G76" i="7" s="1"/>
  <c r="U42" i="4"/>
  <c r="S42" i="4"/>
  <c r="D43" i="4"/>
  <c r="J43" i="4"/>
  <c r="N43" i="4" s="1"/>
  <c r="O43" i="4"/>
  <c r="E78" i="7"/>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F43" i="5" s="1"/>
  <c r="Q43" i="4"/>
  <c r="G43" i="5" s="1"/>
  <c r="R43" i="4"/>
  <c r="H43" i="5" s="1"/>
  <c r="V43" i="4"/>
  <c r="T43" i="4"/>
  <c r="M43" i="4"/>
  <c r="C44" i="4"/>
  <c r="E44" i="4"/>
  <c r="F44" i="4"/>
  <c r="C44" i="5" s="1"/>
  <c r="E44" i="5" s="1"/>
  <c r="G44" i="4"/>
  <c r="L44" i="4"/>
  <c r="B45" i="4"/>
  <c r="B44" i="5"/>
  <c r="I44" i="4"/>
  <c r="K44" i="4"/>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4" i="4"/>
  <c r="AW43" i="4"/>
  <c r="U4237" i="16"/>
  <c r="S4237" i="16"/>
  <c r="U3721" i="16"/>
  <c r="S3721" i="16"/>
  <c r="U3019" i="16"/>
  <c r="S3019" i="16"/>
  <c r="U2587" i="16"/>
  <c r="S2587" i="16"/>
  <c r="U2371" i="16"/>
  <c r="S2371" i="16"/>
  <c r="U2317" i="16"/>
  <c r="S2317" i="16"/>
  <c r="U2155" i="16"/>
  <c r="S2155" i="16"/>
  <c r="U2047" i="16"/>
  <c r="S2047" i="16"/>
  <c r="U1831" i="16"/>
  <c r="S1831" i="16"/>
  <c r="U1777" i="16"/>
  <c r="S1777" i="16"/>
  <c r="U1507" i="16"/>
  <c r="S1507" i="16"/>
  <c r="U1399" i="16"/>
  <c r="S1399" i="16"/>
  <c r="U1238" i="16"/>
  <c r="S1238" i="16"/>
  <c r="U481" i="16"/>
  <c r="S481" i="16"/>
  <c r="U211" i="16"/>
  <c r="S211" i="16"/>
  <c r="M4592" i="16"/>
  <c r="N4592" i="16"/>
  <c r="N4238" i="16"/>
  <c r="M4238" i="16"/>
  <c r="M3776" i="16"/>
  <c r="N3776" i="16"/>
  <c r="M3722" i="16"/>
  <c r="N3722" i="16"/>
  <c r="M3452" i="16"/>
  <c r="N3452" i="16"/>
  <c r="M3236" i="16"/>
  <c r="N3236" i="16"/>
  <c r="M2966" i="16"/>
  <c r="N2966" i="16"/>
  <c r="M2912" i="16"/>
  <c r="N2912" i="16"/>
  <c r="M2642" i="16"/>
  <c r="N2642" i="16"/>
  <c r="M2372" i="16"/>
  <c r="N2372" i="16"/>
  <c r="N2156" i="16"/>
  <c r="M2156" i="16"/>
  <c r="N2102" i="16"/>
  <c r="M2102" i="16"/>
  <c r="M1670" i="16"/>
  <c r="N1670" i="16"/>
  <c r="M1616" i="16"/>
  <c r="N1616" i="16"/>
  <c r="M1562" i="16"/>
  <c r="N1562" i="16"/>
  <c r="N1400" i="16"/>
  <c r="M1400" i="16"/>
  <c r="N1346" i="16"/>
  <c r="M1346" i="16"/>
  <c r="M860" i="16"/>
  <c r="N860" i="16"/>
  <c r="M590" i="16"/>
  <c r="N590" i="16"/>
  <c r="M374" i="16"/>
  <c r="N374" i="16"/>
  <c r="M320" i="16"/>
  <c r="N320" i="16"/>
  <c r="M104" i="16"/>
  <c r="N104" i="16"/>
  <c r="F4239" i="16"/>
  <c r="O4239" i="16" s="1"/>
  <c r="K4239" i="16"/>
  <c r="K4077" i="16"/>
  <c r="F4077" i="16"/>
  <c r="O4077" i="16" s="1"/>
  <c r="F3777" i="16"/>
  <c r="O3777" i="16" s="1"/>
  <c r="K3777" i="16"/>
  <c r="K3507" i="16"/>
  <c r="F3507" i="16"/>
  <c r="O3507" i="16" s="1"/>
  <c r="K3291" i="16"/>
  <c r="F3291" i="16"/>
  <c r="O3291" i="16" s="1"/>
  <c r="F3237" i="16"/>
  <c r="O3237" i="16" s="1"/>
  <c r="K3237" i="16"/>
  <c r="K3075" i="16"/>
  <c r="F3075" i="16"/>
  <c r="O3075" i="16" s="1"/>
  <c r="F2643" i="16"/>
  <c r="O2643" i="16" s="1"/>
  <c r="K2643" i="16"/>
  <c r="K2157" i="16"/>
  <c r="F2157" i="16"/>
  <c r="O2157" i="16" s="1"/>
  <c r="K1941" i="16"/>
  <c r="F1941" i="16"/>
  <c r="O1941" i="16" s="1"/>
  <c r="K1887" i="16"/>
  <c r="F1887" i="16"/>
  <c r="O1887" i="16" s="1"/>
  <c r="K1833" i="16"/>
  <c r="F1833" i="16"/>
  <c r="O1833" i="16" s="1"/>
  <c r="F1563" i="16"/>
  <c r="O1563" i="16" s="1"/>
  <c r="K1563" i="16"/>
  <c r="K1401" i="16"/>
  <c r="F1401" i="16"/>
  <c r="O1401" i="16" s="1"/>
  <c r="F1347" i="16"/>
  <c r="O1347" i="16" s="1"/>
  <c r="K1347" i="16"/>
  <c r="F1293" i="16"/>
  <c r="O1293" i="16" s="1"/>
  <c r="K1293" i="16"/>
  <c r="K1077" i="16"/>
  <c r="F1077" i="16"/>
  <c r="O1077" i="16" s="1"/>
  <c r="K807" i="16"/>
  <c r="F807" i="16"/>
  <c r="O807" i="16" s="1"/>
  <c r="K645" i="16"/>
  <c r="F645" i="16"/>
  <c r="O645" i="16" s="1"/>
  <c r="K375" i="16"/>
  <c r="F375" i="16"/>
  <c r="O375" i="16" s="1"/>
  <c r="F321" i="16"/>
  <c r="O321" i="16" s="1"/>
  <c r="K321" i="16"/>
  <c r="K159" i="16"/>
  <c r="F159" i="16"/>
  <c r="O159" i="16" s="1"/>
  <c r="K105" i="16"/>
  <c r="F105" i="16"/>
  <c r="O105" i="16" s="1"/>
  <c r="F42" i="5"/>
  <c r="G42" i="5"/>
  <c r="H42" i="5"/>
  <c r="U3398" i="16" l="1"/>
  <c r="S3398" i="16"/>
  <c r="K2644" i="16"/>
  <c r="F2644" i="16"/>
  <c r="O2644" i="16" s="1"/>
  <c r="K1024" i="16"/>
  <c r="F1024" i="16"/>
  <c r="O1024" i="16" s="1"/>
  <c r="K592" i="16"/>
  <c r="F592" i="16"/>
  <c r="O592" i="16" s="1"/>
  <c r="T4700" i="16"/>
  <c r="D31" i="11" s="1"/>
  <c r="U4701" i="16"/>
  <c r="S4701" i="16"/>
  <c r="T4701" i="16" s="1"/>
  <c r="D32" i="11" s="1"/>
  <c r="M4702" i="16"/>
  <c r="D4702" i="16"/>
  <c r="J4702" i="16"/>
  <c r="P4702" i="16"/>
  <c r="Q4702" i="16"/>
  <c r="R4702" i="16"/>
  <c r="L4703" i="16"/>
  <c r="C4703" i="16"/>
  <c r="E4703" i="16"/>
  <c r="G4703" i="16"/>
  <c r="I4703" i="16"/>
  <c r="B4704" i="16"/>
  <c r="P4648" i="16"/>
  <c r="Q4648" i="16"/>
  <c r="R4648" i="16"/>
  <c r="C4649" i="16"/>
  <c r="E4649" i="16"/>
  <c r="G4649" i="16"/>
  <c r="B4650" i="16"/>
  <c r="D4594" i="16"/>
  <c r="M4594" i="16" s="1"/>
  <c r="J4594" i="16"/>
  <c r="P4594" i="16"/>
  <c r="Q4594" i="16"/>
  <c r="R4594" i="16"/>
  <c r="L4595" i="16"/>
  <c r="C4595" i="16"/>
  <c r="E4595" i="16"/>
  <c r="G4595" i="16"/>
  <c r="I4595" i="16"/>
  <c r="B4596" i="16"/>
  <c r="D4540" i="16"/>
  <c r="M4540" i="16" s="1"/>
  <c r="J4540" i="16"/>
  <c r="P4540" i="16"/>
  <c r="Q4540" i="16"/>
  <c r="R4540" i="16"/>
  <c r="L4541" i="16"/>
  <c r="C4541" i="16"/>
  <c r="E4541" i="16"/>
  <c r="G4541" i="16"/>
  <c r="I4541" i="16"/>
  <c r="B4542" i="16"/>
  <c r="D4240" i="16"/>
  <c r="J4240" i="16"/>
  <c r="M4240" i="16"/>
  <c r="N4240" i="16" s="1"/>
  <c r="I4241" i="16"/>
  <c r="C4241" i="16"/>
  <c r="E4241" i="16"/>
  <c r="G4241" i="16"/>
  <c r="L4241" i="16"/>
  <c r="B4242" i="16"/>
  <c r="P4240" i="16"/>
  <c r="Q4240" i="16"/>
  <c r="R4240" i="16"/>
  <c r="T4240" i="16"/>
  <c r="I4187" i="16"/>
  <c r="B4188" i="16"/>
  <c r="C4187" i="16"/>
  <c r="K4187" i="16" s="1"/>
  <c r="E4187" i="16"/>
  <c r="F4187" i="16"/>
  <c r="O4187" i="16" s="1"/>
  <c r="G4187" i="16"/>
  <c r="L4187" i="16"/>
  <c r="J4186" i="16"/>
  <c r="N4186" i="16" s="1"/>
  <c r="D4186" i="16"/>
  <c r="P4186" i="16"/>
  <c r="Q4186" i="16"/>
  <c r="R4186" i="16"/>
  <c r="T4186" i="16"/>
  <c r="M4186" i="16"/>
  <c r="U4185" i="16"/>
  <c r="S4185" i="16"/>
  <c r="I4133" i="16"/>
  <c r="C4133" i="16"/>
  <c r="K4133" i="16" s="1"/>
  <c r="E4133" i="16"/>
  <c r="F4133" i="16"/>
  <c r="O4133" i="16" s="1"/>
  <c r="G4133" i="16"/>
  <c r="L4133" i="16"/>
  <c r="B4134" i="16"/>
  <c r="D4132" i="16"/>
  <c r="M4132" i="16" s="1"/>
  <c r="J4132" i="16"/>
  <c r="P4132" i="16"/>
  <c r="Q4132" i="16"/>
  <c r="R4132" i="16"/>
  <c r="T4132" i="16"/>
  <c r="U4131" i="16"/>
  <c r="S4131" i="16"/>
  <c r="D4078" i="16"/>
  <c r="M4078" i="16" s="1"/>
  <c r="J4078" i="16"/>
  <c r="P4078" i="16"/>
  <c r="Q4078" i="16"/>
  <c r="R4078" i="16"/>
  <c r="T4078" i="16"/>
  <c r="L4079" i="16"/>
  <c r="C4079" i="16"/>
  <c r="E4079" i="16"/>
  <c r="G4079" i="16"/>
  <c r="I4079" i="16"/>
  <c r="B4080" i="16"/>
  <c r="M3778" i="16"/>
  <c r="D3778" i="16"/>
  <c r="J3778" i="16"/>
  <c r="N3778" i="16" s="1"/>
  <c r="P3778" i="16"/>
  <c r="Q3778" i="16"/>
  <c r="R3778" i="16"/>
  <c r="T3778" i="16"/>
  <c r="L3779" i="16"/>
  <c r="C3779" i="16"/>
  <c r="K3779" i="16" s="1"/>
  <c r="E3779" i="16"/>
  <c r="F3779" i="16"/>
  <c r="O3779" i="16" s="1"/>
  <c r="G3779" i="16"/>
  <c r="I3779" i="16"/>
  <c r="B3780" i="16"/>
  <c r="U3723" i="16"/>
  <c r="S3723" i="16"/>
  <c r="D3724" i="16"/>
  <c r="J3724" i="16"/>
  <c r="P3724" i="16"/>
  <c r="Q3724" i="16"/>
  <c r="R3724" i="16"/>
  <c r="T3724" i="16"/>
  <c r="L3725" i="16"/>
  <c r="C3725" i="16"/>
  <c r="E3725" i="16"/>
  <c r="G3725" i="16"/>
  <c r="B3726" i="16"/>
  <c r="I3725" i="16"/>
  <c r="S3669" i="16"/>
  <c r="U3669" i="16"/>
  <c r="D3670" i="16"/>
  <c r="J3670" i="16"/>
  <c r="P3670" i="16"/>
  <c r="Q3670" i="16"/>
  <c r="R3670" i="16"/>
  <c r="T3670" i="16"/>
  <c r="L3671" i="16"/>
  <c r="C3671" i="16"/>
  <c r="E3671" i="16"/>
  <c r="G3671" i="16"/>
  <c r="B3672" i="16"/>
  <c r="I3671"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M3508" i="16"/>
  <c r="D3508" i="16"/>
  <c r="J3508" i="16"/>
  <c r="N3508" i="16" s="1"/>
  <c r="P3508" i="16"/>
  <c r="Q3508" i="16"/>
  <c r="R3508" i="16"/>
  <c r="T3508" i="16"/>
  <c r="L3509" i="16"/>
  <c r="C3509" i="16"/>
  <c r="E3509" i="16"/>
  <c r="G3509" i="16"/>
  <c r="I3509" i="16"/>
  <c r="B3510" i="16"/>
  <c r="S3453" i="16"/>
  <c r="U3453" i="16"/>
  <c r="P3454" i="16"/>
  <c r="Q3454" i="16"/>
  <c r="R3454" i="16"/>
  <c r="T3454" i="16"/>
  <c r="L3455" i="16"/>
  <c r="I3455" i="16"/>
  <c r="B3456" i="16"/>
  <c r="C3455" i="16"/>
  <c r="E3455" i="16"/>
  <c r="G3455" i="16"/>
  <c r="D3454" i="16"/>
  <c r="J3454" i="16"/>
  <c r="U3399" i="16"/>
  <c r="S3399" i="16"/>
  <c r="M3400" i="16"/>
  <c r="D3400" i="16"/>
  <c r="J3400" i="16"/>
  <c r="N3400" i="16" s="1"/>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M3292" i="16"/>
  <c r="D3292" i="16"/>
  <c r="J3292" i="16"/>
  <c r="N3292" i="16" s="1"/>
  <c r="P3292" i="16"/>
  <c r="Q3292" i="16"/>
  <c r="R3292" i="16"/>
  <c r="T3292" i="16"/>
  <c r="L3293" i="16"/>
  <c r="C3293" i="16"/>
  <c r="K3293" i="16" s="1"/>
  <c r="E3293" i="16"/>
  <c r="F3293" i="16"/>
  <c r="O3293" i="16" s="1"/>
  <c r="G3293" i="16"/>
  <c r="I3293" i="16"/>
  <c r="B3294" i="16"/>
  <c r="P3238" i="16"/>
  <c r="Q3238" i="16"/>
  <c r="R3238" i="16"/>
  <c r="T3238" i="16"/>
  <c r="L3239" i="16"/>
  <c r="C3239" i="16"/>
  <c r="K3239" i="16" s="1"/>
  <c r="I3239" i="16"/>
  <c r="B3240" i="16"/>
  <c r="F3239" i="16"/>
  <c r="O3239" i="16" s="1"/>
  <c r="E3239" i="16"/>
  <c r="G3239" i="16"/>
  <c r="D3238" i="16"/>
  <c r="J3238" i="16"/>
  <c r="U3183" i="16"/>
  <c r="S3183" i="16"/>
  <c r="M3184" i="16"/>
  <c r="D3184" i="16"/>
  <c r="J3184" i="16"/>
  <c r="N3184" i="16" s="1"/>
  <c r="P3184" i="16"/>
  <c r="Q3184" i="16"/>
  <c r="R3184" i="16"/>
  <c r="T3184" i="16"/>
  <c r="L3185" i="16"/>
  <c r="G3185" i="16"/>
  <c r="B3186" i="16"/>
  <c r="C3185" i="16"/>
  <c r="I3185" i="16"/>
  <c r="E3185" i="16"/>
  <c r="U3129" i="16"/>
  <c r="S3129" i="16"/>
  <c r="P3130" i="16"/>
  <c r="Q3130" i="16"/>
  <c r="R3130" i="16"/>
  <c r="T3130" i="16"/>
  <c r="L3131" i="16"/>
  <c r="E3131" i="16"/>
  <c r="G3131" i="16"/>
  <c r="I3131" i="16"/>
  <c r="C3131" i="16"/>
  <c r="K3131" i="16" s="1"/>
  <c r="F3131" i="16"/>
  <c r="O3131" i="16" s="1"/>
  <c r="B3132" i="16"/>
  <c r="D3130" i="16"/>
  <c r="J3130" i="16"/>
  <c r="P3076" i="16"/>
  <c r="R3076" i="16"/>
  <c r="Q3076" i="16"/>
  <c r="T3076" i="16"/>
  <c r="L3077" i="16"/>
  <c r="G3077" i="16"/>
  <c r="B3078" i="16"/>
  <c r="I3077" i="16"/>
  <c r="C3077" i="16"/>
  <c r="E3077" i="16"/>
  <c r="D3076" i="16"/>
  <c r="J3076" i="16"/>
  <c r="U3021" i="16"/>
  <c r="S3021" i="16"/>
  <c r="P3022" i="16"/>
  <c r="Q3022" i="16"/>
  <c r="R3022" i="16"/>
  <c r="T3022" i="16"/>
  <c r="D3022" i="16"/>
  <c r="J3022" i="16"/>
  <c r="L3023" i="16"/>
  <c r="E3023" i="16"/>
  <c r="G3023" i="16"/>
  <c r="C3023" i="16"/>
  <c r="B3024" i="16"/>
  <c r="I3023" i="16"/>
  <c r="U2967" i="16"/>
  <c r="S2967" i="16"/>
  <c r="D2968" i="16"/>
  <c r="M2968" i="16" s="1"/>
  <c r="N2968" i="16" s="1"/>
  <c r="J2968" i="16"/>
  <c r="P2968" i="16"/>
  <c r="Q2968" i="16"/>
  <c r="R2968" i="16"/>
  <c r="T2968" i="16"/>
  <c r="L2969" i="16"/>
  <c r="C2969" i="16"/>
  <c r="E2969" i="16"/>
  <c r="G2969" i="16"/>
  <c r="I2969" i="16"/>
  <c r="B2970" i="16"/>
  <c r="U2913" i="16"/>
  <c r="S2913" i="16"/>
  <c r="D2914" i="16"/>
  <c r="J2914" i="16"/>
  <c r="P2914" i="16"/>
  <c r="Q2914" i="16"/>
  <c r="R2914" i="16"/>
  <c r="T2914" i="16"/>
  <c r="L2915" i="16"/>
  <c r="C2915" i="16"/>
  <c r="E2915" i="16"/>
  <c r="G2915" i="16"/>
  <c r="I2915" i="16"/>
  <c r="B2916" i="16"/>
  <c r="U2859" i="16"/>
  <c r="S2859" i="16"/>
  <c r="M2860" i="16"/>
  <c r="D2860" i="16"/>
  <c r="J2860" i="16"/>
  <c r="N2860" i="16" s="1"/>
  <c r="P2860" i="16"/>
  <c r="Q2860" i="16"/>
  <c r="R2860" i="16"/>
  <c r="T2860" i="16"/>
  <c r="L2861" i="16"/>
  <c r="C2861" i="16"/>
  <c r="K2861" i="16" s="1"/>
  <c r="E2861" i="16"/>
  <c r="F2861" i="16"/>
  <c r="O2861" i="16" s="1"/>
  <c r="G2861" i="16"/>
  <c r="I2861" i="16"/>
  <c r="B2862" i="16"/>
  <c r="M2806" i="16"/>
  <c r="D2806" i="16"/>
  <c r="J2806" i="16"/>
  <c r="N2806" i="16" s="1"/>
  <c r="S2806" i="16" s="1"/>
  <c r="P2806" i="16"/>
  <c r="Q2806" i="16"/>
  <c r="R2806" i="16"/>
  <c r="T2806" i="16"/>
  <c r="U2806" i="16" s="1"/>
  <c r="L2807" i="16"/>
  <c r="C2807" i="16"/>
  <c r="K2807" i="16" s="1"/>
  <c r="E2807" i="16"/>
  <c r="F2807" i="16"/>
  <c r="O2807" i="16" s="1"/>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K2699" i="16" s="1"/>
  <c r="E2699" i="16"/>
  <c r="F2699" i="16"/>
  <c r="O2699" i="16" s="1"/>
  <c r="G2699" i="16"/>
  <c r="I2699" i="16"/>
  <c r="B2700" i="16"/>
  <c r="M2644" i="16"/>
  <c r="D2644" i="16"/>
  <c r="J2644" i="16"/>
  <c r="N2644" i="16" s="1"/>
  <c r="P2644" i="16"/>
  <c r="Q2644" i="16"/>
  <c r="R2644" i="16"/>
  <c r="T2644" i="16"/>
  <c r="L2645" i="16"/>
  <c r="C2645" i="16"/>
  <c r="E2645" i="16"/>
  <c r="G2645" i="16"/>
  <c r="I2645" i="16"/>
  <c r="B2646" i="16"/>
  <c r="U2589" i="16"/>
  <c r="S2589" i="16"/>
  <c r="M2590" i="16"/>
  <c r="D2590" i="16"/>
  <c r="J2590" i="16"/>
  <c r="N2590" i="16" s="1"/>
  <c r="P2590" i="16"/>
  <c r="Q2590" i="16"/>
  <c r="R2590" i="16"/>
  <c r="T2590" i="16"/>
  <c r="L2591" i="16"/>
  <c r="C2591" i="16"/>
  <c r="K2591" i="16" s="1"/>
  <c r="E2591" i="16"/>
  <c r="F2591" i="16"/>
  <c r="O2591" i="16" s="1"/>
  <c r="G2591" i="16"/>
  <c r="I2591" i="16"/>
  <c r="B2592" i="16"/>
  <c r="U2535" i="16"/>
  <c r="S2535" i="16"/>
  <c r="M2536" i="16"/>
  <c r="D2536" i="16"/>
  <c r="J2536" i="16"/>
  <c r="N2536" i="16" s="1"/>
  <c r="Q2536" i="16"/>
  <c r="P2536" i="16"/>
  <c r="R2536" i="16"/>
  <c r="T2536" i="16"/>
  <c r="L2537" i="16"/>
  <c r="C2537" i="16"/>
  <c r="K2537" i="16" s="1"/>
  <c r="E2537" i="16"/>
  <c r="F2537" i="16"/>
  <c r="O2537" i="16" s="1"/>
  <c r="G2537" i="16"/>
  <c r="I2537" i="16"/>
  <c r="B2538" i="16"/>
  <c r="U2481" i="16"/>
  <c r="S2481" i="16"/>
  <c r="M2482" i="16"/>
  <c r="D2482" i="16"/>
  <c r="J2482" i="16"/>
  <c r="N2482" i="16" s="1"/>
  <c r="Q2482" i="16"/>
  <c r="R2482" i="16"/>
  <c r="P2482" i="16"/>
  <c r="T2482" i="16"/>
  <c r="L2483" i="16"/>
  <c r="C2483" i="16"/>
  <c r="K2483" i="16" s="1"/>
  <c r="E2483" i="16"/>
  <c r="F2483" i="16"/>
  <c r="O2483" i="16" s="1"/>
  <c r="G2483" i="16"/>
  <c r="I2483" i="16"/>
  <c r="B2484" i="16"/>
  <c r="U2427" i="16"/>
  <c r="S2427" i="16"/>
  <c r="M2428" i="16"/>
  <c r="D2428" i="16"/>
  <c r="J2428" i="16"/>
  <c r="N2428" i="16" s="1"/>
  <c r="Q2428" i="16"/>
  <c r="P2428" i="16"/>
  <c r="R2428" i="16"/>
  <c r="T2428" i="16"/>
  <c r="L2429" i="16"/>
  <c r="C2429" i="16"/>
  <c r="E2429" i="16"/>
  <c r="G2429" i="16"/>
  <c r="I2429" i="16"/>
  <c r="B2430" i="16"/>
  <c r="U2373" i="16"/>
  <c r="S2373" i="16"/>
  <c r="M2374" i="16"/>
  <c r="D2374" i="16"/>
  <c r="J2374" i="16"/>
  <c r="N2374" i="16" s="1"/>
  <c r="Q2374" i="16"/>
  <c r="P2374" i="16"/>
  <c r="R2374" i="16"/>
  <c r="T2374" i="16"/>
  <c r="L2375" i="16"/>
  <c r="C2375" i="16"/>
  <c r="E2375" i="16"/>
  <c r="G2375" i="16"/>
  <c r="I2375" i="16"/>
  <c r="B2376" i="16"/>
  <c r="U2319" i="16"/>
  <c r="S2319" i="16"/>
  <c r="M2320" i="16"/>
  <c r="D2320" i="16"/>
  <c r="J2320" i="16"/>
  <c r="N2320" i="16" s="1"/>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E2267" i="16"/>
  <c r="G2267" i="16"/>
  <c r="I2267" i="16"/>
  <c r="B2268" i="16"/>
  <c r="U2211" i="16"/>
  <c r="S2211" i="16"/>
  <c r="M2212" i="16"/>
  <c r="D2212" i="16"/>
  <c r="J2212" i="16"/>
  <c r="N2212" i="16" s="1"/>
  <c r="P2212" i="16"/>
  <c r="Q2212" i="16"/>
  <c r="R2212" i="16"/>
  <c r="T2212" i="16"/>
  <c r="L2213" i="16"/>
  <c r="C2213" i="16"/>
  <c r="E2213" i="16"/>
  <c r="G2213" i="16"/>
  <c r="B2214" i="16"/>
  <c r="I2213" i="16"/>
  <c r="M2158" i="16"/>
  <c r="D2158" i="16"/>
  <c r="J2158" i="16"/>
  <c r="N2158" i="16" s="1"/>
  <c r="Q2158" i="16"/>
  <c r="P2158" i="16"/>
  <c r="R2158" i="16"/>
  <c r="T2158" i="16"/>
  <c r="L2159" i="16"/>
  <c r="C2159" i="16"/>
  <c r="K2159" i="16" s="1"/>
  <c r="E2159" i="16"/>
  <c r="F2159" i="16"/>
  <c r="O2159" i="16" s="1"/>
  <c r="G2159" i="16"/>
  <c r="B2160" i="16"/>
  <c r="I2159" i="16"/>
  <c r="S2103" i="16"/>
  <c r="U2103" i="16"/>
  <c r="M2104" i="16"/>
  <c r="D2104" i="16"/>
  <c r="J2104" i="16"/>
  <c r="N2104" i="16" s="1"/>
  <c r="P2104" i="16"/>
  <c r="Q2104" i="16"/>
  <c r="R2104" i="16"/>
  <c r="T2104" i="16"/>
  <c r="L2105" i="16"/>
  <c r="E2105" i="16"/>
  <c r="G2105" i="16"/>
  <c r="C2105" i="16"/>
  <c r="I2105" i="16"/>
  <c r="B2106" i="16"/>
  <c r="U2049" i="16"/>
  <c r="S2049" i="16"/>
  <c r="D2050" i="16"/>
  <c r="J2050" i="16"/>
  <c r="P2050" i="16"/>
  <c r="Q2050" i="16"/>
  <c r="R2050" i="16"/>
  <c r="T2050" i="16"/>
  <c r="L2051" i="16"/>
  <c r="C2051" i="16"/>
  <c r="E2051" i="16"/>
  <c r="G2051" i="16"/>
  <c r="I2051" i="16"/>
  <c r="B2052" i="16"/>
  <c r="U1995" i="16"/>
  <c r="S1995" i="16"/>
  <c r="M1996" i="16"/>
  <c r="D1996" i="16"/>
  <c r="J1996" i="16"/>
  <c r="N1996" i="16" s="1"/>
  <c r="P1996" i="16"/>
  <c r="Q1996" i="16"/>
  <c r="R1996" i="16"/>
  <c r="T1996" i="16"/>
  <c r="L1997" i="16"/>
  <c r="C1997" i="16"/>
  <c r="E1997" i="16"/>
  <c r="G1997" i="16"/>
  <c r="I1997" i="16"/>
  <c r="B1998" i="16"/>
  <c r="M1942" i="16"/>
  <c r="D1942" i="16"/>
  <c r="J1942" i="16"/>
  <c r="N1942" i="16" s="1"/>
  <c r="P1942" i="16"/>
  <c r="Q1942" i="16"/>
  <c r="R1942" i="16"/>
  <c r="T1942" i="16"/>
  <c r="L1943" i="16"/>
  <c r="C1943" i="16"/>
  <c r="K1943" i="16" s="1"/>
  <c r="E1943" i="16"/>
  <c r="F1943" i="16"/>
  <c r="O1943" i="16" s="1"/>
  <c r="G1943" i="16"/>
  <c r="I1943" i="16"/>
  <c r="B1944" i="16"/>
  <c r="D1888" i="16"/>
  <c r="M1888" i="16" s="1"/>
  <c r="J1888" i="16"/>
  <c r="P1888" i="16"/>
  <c r="Q1888" i="16"/>
  <c r="R1888" i="16"/>
  <c r="T1888" i="16"/>
  <c r="L1889" i="16"/>
  <c r="C1889" i="16"/>
  <c r="K1889" i="16" s="1"/>
  <c r="E1889" i="16"/>
  <c r="F1889" i="16"/>
  <c r="O1889" i="16" s="1"/>
  <c r="G1889" i="16"/>
  <c r="I1889" i="16"/>
  <c r="B1890" i="16"/>
  <c r="M1834" i="16"/>
  <c r="D1834" i="16"/>
  <c r="J1834" i="16"/>
  <c r="N1834" i="16" s="1"/>
  <c r="P1834" i="16"/>
  <c r="Q1834" i="16"/>
  <c r="R1834" i="16"/>
  <c r="T1834" i="16"/>
  <c r="L1835" i="16"/>
  <c r="C1835" i="16"/>
  <c r="K1835" i="16" s="1"/>
  <c r="E1835" i="16"/>
  <c r="F1835" i="16"/>
  <c r="O1835" i="16" s="1"/>
  <c r="G1835" i="16"/>
  <c r="I1835" i="16"/>
  <c r="B1836" i="16"/>
  <c r="U1779" i="16"/>
  <c r="S1779" i="16"/>
  <c r="D1780" i="16"/>
  <c r="J1780" i="16"/>
  <c r="P1780" i="16"/>
  <c r="Q1780" i="16"/>
  <c r="R1780" i="16"/>
  <c r="T1780" i="16"/>
  <c r="L1781" i="16"/>
  <c r="C1781" i="16"/>
  <c r="K1781" i="16" s="1"/>
  <c r="E1781" i="16"/>
  <c r="F1781" i="16"/>
  <c r="O1781" i="16" s="1"/>
  <c r="G1781" i="16"/>
  <c r="I1781" i="16"/>
  <c r="B1782" i="16"/>
  <c r="U1725" i="16"/>
  <c r="S1725" i="16"/>
  <c r="M1726" i="16"/>
  <c r="D1726" i="16"/>
  <c r="J1726" i="16"/>
  <c r="N1726" i="16" s="1"/>
  <c r="P1726" i="16"/>
  <c r="Q1726" i="16"/>
  <c r="R1726" i="16"/>
  <c r="T1726" i="16"/>
  <c r="L1727" i="16"/>
  <c r="C1727" i="16"/>
  <c r="E1727" i="16"/>
  <c r="G1727" i="16"/>
  <c r="I1727" i="16"/>
  <c r="B1728" i="16"/>
  <c r="S1671" i="16"/>
  <c r="U1671" i="16"/>
  <c r="M1672" i="16"/>
  <c r="D1672" i="16"/>
  <c r="J1672" i="16"/>
  <c r="N1672" i="16" s="1"/>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E1619" i="16"/>
  <c r="G1619" i="16"/>
  <c r="I1619" i="16"/>
  <c r="B1620" i="16"/>
  <c r="M1564" i="16"/>
  <c r="D1564" i="16"/>
  <c r="J1564" i="16"/>
  <c r="N1564" i="16" s="1"/>
  <c r="P1564" i="16"/>
  <c r="Q1564" i="16"/>
  <c r="R1564" i="16"/>
  <c r="T1564" i="16"/>
  <c r="L1565" i="16"/>
  <c r="C1565" i="16"/>
  <c r="K1565" i="16" s="1"/>
  <c r="E1565" i="16"/>
  <c r="F1565" i="16"/>
  <c r="O1565" i="16" s="1"/>
  <c r="G1565" i="16"/>
  <c r="I1565" i="16"/>
  <c r="B1566" i="16"/>
  <c r="U1509" i="16"/>
  <c r="S1509" i="16"/>
  <c r="P1510" i="16"/>
  <c r="Q1510" i="16"/>
  <c r="R1510" i="16"/>
  <c r="T1510" i="16"/>
  <c r="L1511" i="16"/>
  <c r="G1511" i="16"/>
  <c r="I1511" i="16"/>
  <c r="B1512" i="16"/>
  <c r="C1511" i="16"/>
  <c r="E1511" i="16"/>
  <c r="J1510" i="16"/>
  <c r="D1510" i="16"/>
  <c r="U1455" i="16"/>
  <c r="S1455" i="16"/>
  <c r="M1456" i="16"/>
  <c r="D1456" i="16"/>
  <c r="J1456" i="16"/>
  <c r="N1456" i="16" s="1"/>
  <c r="P1456" i="16"/>
  <c r="Q1456" i="16"/>
  <c r="R1456" i="16"/>
  <c r="T1456" i="16"/>
  <c r="L1457" i="16"/>
  <c r="C1457" i="16"/>
  <c r="E1457" i="16"/>
  <c r="G1457" i="16"/>
  <c r="B1458" i="16"/>
  <c r="I1457" i="16"/>
  <c r="D1402" i="16"/>
  <c r="J1402" i="16"/>
  <c r="Q1402" i="16"/>
  <c r="R1402" i="16"/>
  <c r="P1402" i="16"/>
  <c r="T1402" i="16"/>
  <c r="L1403" i="16"/>
  <c r="E1403" i="16"/>
  <c r="G1403" i="16"/>
  <c r="C1403" i="16"/>
  <c r="K1403" i="16" s="1"/>
  <c r="I1403" i="16"/>
  <c r="F1403" i="16"/>
  <c r="O1403" i="16" s="1"/>
  <c r="B1404" i="16"/>
  <c r="P1348" i="16"/>
  <c r="Q1348" i="16"/>
  <c r="R1348" i="16"/>
  <c r="T1348" i="16"/>
  <c r="D1348" i="16"/>
  <c r="J1348" i="16"/>
  <c r="L1349" i="16"/>
  <c r="E1349" i="16"/>
  <c r="C1349" i="16"/>
  <c r="K1349" i="16" s="1"/>
  <c r="G1349" i="16"/>
  <c r="I1349" i="16"/>
  <c r="F1349" i="16"/>
  <c r="O1349" i="16" s="1"/>
  <c r="B1350" i="16"/>
  <c r="M1294" i="16"/>
  <c r="J1294" i="16"/>
  <c r="N1294" i="16" s="1"/>
  <c r="D1294" i="16"/>
  <c r="P1294" i="16"/>
  <c r="Q1294" i="16"/>
  <c r="R1294" i="16"/>
  <c r="T1294" i="16"/>
  <c r="L1295" i="16"/>
  <c r="G1295" i="16"/>
  <c r="I1295" i="16"/>
  <c r="C1295" i="16"/>
  <c r="K1295" i="16" s="1"/>
  <c r="E1295" i="16"/>
  <c r="F1295" i="16"/>
  <c r="O1295" i="16" s="1"/>
  <c r="B1296" i="16"/>
  <c r="U1240" i="16"/>
  <c r="S1240" i="16"/>
  <c r="L1242" i="16"/>
  <c r="E1242" i="16"/>
  <c r="G1242" i="16"/>
  <c r="C1242" i="16"/>
  <c r="K1242" i="16" s="1"/>
  <c r="F1242" i="16"/>
  <c r="O1242" i="16" s="1"/>
  <c r="B1243" i="16"/>
  <c r="I1242" i="16"/>
  <c r="J1241" i="16"/>
  <c r="D1241" i="16"/>
  <c r="P1241" i="16"/>
  <c r="Q1241" i="16"/>
  <c r="R1241" i="16"/>
  <c r="T1241" i="16"/>
  <c r="U1185" i="16"/>
  <c r="S1185" i="16"/>
  <c r="M1186" i="16"/>
  <c r="D1186" i="16"/>
  <c r="J1186" i="16"/>
  <c r="N1186" i="16" s="1"/>
  <c r="P1186" i="16"/>
  <c r="Q1186" i="16"/>
  <c r="R1186" i="16"/>
  <c r="T1186" i="16"/>
  <c r="L1187" i="16"/>
  <c r="C1187" i="16"/>
  <c r="E1187" i="16"/>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M1078" i="16"/>
  <c r="D1078" i="16"/>
  <c r="J1078" i="16"/>
  <c r="N1078" i="16" s="1"/>
  <c r="P1078" i="16"/>
  <c r="Q1078" i="16"/>
  <c r="R1078" i="16"/>
  <c r="T1078" i="16"/>
  <c r="L1079" i="16"/>
  <c r="C1079" i="16"/>
  <c r="K1079" i="16" s="1"/>
  <c r="E1079" i="16"/>
  <c r="F1079" i="16"/>
  <c r="O1079" i="16" s="1"/>
  <c r="G1079" i="16"/>
  <c r="I1079" i="16"/>
  <c r="B1080" i="16"/>
  <c r="U1023" i="16"/>
  <c r="S1023" i="16"/>
  <c r="M1024" i="16"/>
  <c r="D1024" i="16"/>
  <c r="J1024" i="16"/>
  <c r="N1024" i="16" s="1"/>
  <c r="P1024" i="16"/>
  <c r="Q1024" i="16"/>
  <c r="R1024" i="16"/>
  <c r="T1024" i="16"/>
  <c r="L1025" i="16"/>
  <c r="C1025" i="16"/>
  <c r="K1025" i="16" s="1"/>
  <c r="E1025" i="16"/>
  <c r="F1025" i="16"/>
  <c r="O1025" i="16" s="1"/>
  <c r="G1025" i="16"/>
  <c r="I1025" i="16"/>
  <c r="B1026" i="16"/>
  <c r="U969" i="16"/>
  <c r="S969" i="16"/>
  <c r="D970" i="16"/>
  <c r="J970" i="16"/>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E917" i="16"/>
  <c r="G917" i="16"/>
  <c r="I917" i="16"/>
  <c r="B918" i="16"/>
  <c r="U861" i="16"/>
  <c r="S861" i="16"/>
  <c r="M862" i="16"/>
  <c r="D862" i="16"/>
  <c r="J862" i="16"/>
  <c r="N862" i="16" s="1"/>
  <c r="Q862" i="16"/>
  <c r="P862" i="16"/>
  <c r="R862" i="16"/>
  <c r="T862" i="16"/>
  <c r="L863" i="16"/>
  <c r="C863" i="16"/>
  <c r="E863" i="16"/>
  <c r="G863" i="16"/>
  <c r="I863" i="16"/>
  <c r="B864" i="16"/>
  <c r="D808" i="16"/>
  <c r="M808" i="16" s="1"/>
  <c r="J808" i="16"/>
  <c r="P808" i="16"/>
  <c r="Q808" i="16"/>
  <c r="R808" i="16"/>
  <c r="T808" i="16"/>
  <c r="L809" i="16"/>
  <c r="C809" i="16"/>
  <c r="K809" i="16" s="1"/>
  <c r="E809" i="16"/>
  <c r="F809" i="16"/>
  <c r="O809" i="16" s="1"/>
  <c r="G809" i="16"/>
  <c r="I809" i="16"/>
  <c r="B810" i="16"/>
  <c r="U753" i="16"/>
  <c r="S753" i="16"/>
  <c r="D754" i="16"/>
  <c r="J754" i="16"/>
  <c r="P754" i="16"/>
  <c r="Q754" i="16"/>
  <c r="R754" i="16"/>
  <c r="T754" i="16"/>
  <c r="L755" i="16"/>
  <c r="C755" i="16"/>
  <c r="K755" i="16" s="1"/>
  <c r="E755" i="16"/>
  <c r="F755" i="16"/>
  <c r="O755" i="16" s="1"/>
  <c r="G755" i="16"/>
  <c r="I755" i="16"/>
  <c r="B756" i="16"/>
  <c r="U699" i="16"/>
  <c r="S699" i="16"/>
  <c r="M700" i="16"/>
  <c r="D700" i="16"/>
  <c r="J700" i="16"/>
  <c r="N700" i="16" s="1"/>
  <c r="P700" i="16"/>
  <c r="Q700" i="16"/>
  <c r="R700" i="16"/>
  <c r="T700" i="16"/>
  <c r="L701" i="16"/>
  <c r="C701" i="16"/>
  <c r="K701" i="16" s="1"/>
  <c r="E701" i="16"/>
  <c r="F701" i="16"/>
  <c r="O701" i="16" s="1"/>
  <c r="G701" i="16"/>
  <c r="I701" i="16"/>
  <c r="B702" i="16"/>
  <c r="M646" i="16"/>
  <c r="D646" i="16"/>
  <c r="J646" i="16"/>
  <c r="N646" i="16" s="1"/>
  <c r="P646" i="16"/>
  <c r="Q646" i="16"/>
  <c r="R646" i="16"/>
  <c r="T646" i="16"/>
  <c r="L647" i="16"/>
  <c r="C647" i="16"/>
  <c r="K647" i="16" s="1"/>
  <c r="E647" i="16"/>
  <c r="F647" i="16"/>
  <c r="O647" i="16" s="1"/>
  <c r="G647" i="16"/>
  <c r="I647" i="16"/>
  <c r="B648" i="16"/>
  <c r="U591" i="16"/>
  <c r="S591" i="16"/>
  <c r="M592" i="16"/>
  <c r="D592" i="16"/>
  <c r="J592" i="16"/>
  <c r="N592" i="16" s="1"/>
  <c r="P592" i="16"/>
  <c r="Q592" i="16"/>
  <c r="R592" i="16"/>
  <c r="T592" i="16"/>
  <c r="L593" i="16"/>
  <c r="C593" i="16"/>
  <c r="E593" i="16"/>
  <c r="G593" i="16"/>
  <c r="I593" i="16"/>
  <c r="B594" i="16"/>
  <c r="U537" i="16"/>
  <c r="S537" i="16"/>
  <c r="M538" i="16"/>
  <c r="D538" i="16"/>
  <c r="J538" i="16"/>
  <c r="N538" i="16" s="1"/>
  <c r="P538" i="16"/>
  <c r="Q538" i="16"/>
  <c r="R538" i="16"/>
  <c r="T538" i="16"/>
  <c r="L539" i="16"/>
  <c r="C539" i="16"/>
  <c r="K539" i="16" s="1"/>
  <c r="E539" i="16"/>
  <c r="F539" i="16"/>
  <c r="O539" i="16" s="1"/>
  <c r="G539" i="16"/>
  <c r="I539" i="16"/>
  <c r="B540" i="16"/>
  <c r="U483" i="16"/>
  <c r="S483" i="16"/>
  <c r="D484" i="16"/>
  <c r="J484" i="16"/>
  <c r="P484" i="16"/>
  <c r="Q484" i="16"/>
  <c r="R484" i="16"/>
  <c r="T484" i="16"/>
  <c r="L485" i="16"/>
  <c r="C485" i="16"/>
  <c r="K485" i="16" s="1"/>
  <c r="E485" i="16"/>
  <c r="F485" i="16"/>
  <c r="O485" i="16" s="1"/>
  <c r="G485" i="16"/>
  <c r="I485" i="16"/>
  <c r="B486" i="16"/>
  <c r="U429" i="16"/>
  <c r="S429" i="16"/>
  <c r="M430" i="16"/>
  <c r="D430" i="16"/>
  <c r="J430" i="16"/>
  <c r="N430" i="16" s="1"/>
  <c r="P430" i="16"/>
  <c r="Q430" i="16"/>
  <c r="R430" i="16"/>
  <c r="T430" i="16"/>
  <c r="L431" i="16"/>
  <c r="C431" i="16"/>
  <c r="K431" i="16" s="1"/>
  <c r="E431" i="16"/>
  <c r="F431" i="16"/>
  <c r="O431" i="16" s="1"/>
  <c r="G431" i="16"/>
  <c r="I431" i="16"/>
  <c r="B432" i="16"/>
  <c r="M376" i="16"/>
  <c r="D376" i="16"/>
  <c r="J376" i="16"/>
  <c r="N376" i="16" s="1"/>
  <c r="P376" i="16"/>
  <c r="Q376" i="16"/>
  <c r="R376" i="16"/>
  <c r="T376" i="16"/>
  <c r="L377" i="16"/>
  <c r="C377" i="16"/>
  <c r="K377" i="16" s="1"/>
  <c r="E377" i="16"/>
  <c r="F377" i="16"/>
  <c r="O377" i="16" s="1"/>
  <c r="G377" i="16"/>
  <c r="I377" i="16"/>
  <c r="B378" i="16"/>
  <c r="M322" i="16"/>
  <c r="D322" i="16"/>
  <c r="J322" i="16"/>
  <c r="N322" i="16" s="1"/>
  <c r="P322" i="16"/>
  <c r="Q322" i="16"/>
  <c r="R322" i="16"/>
  <c r="T322" i="16"/>
  <c r="L323" i="16"/>
  <c r="E323" i="16"/>
  <c r="G323" i="16"/>
  <c r="C323" i="16"/>
  <c r="B324" i="16"/>
  <c r="I323" i="16"/>
  <c r="U267" i="16"/>
  <c r="S267" i="16"/>
  <c r="M268" i="16"/>
  <c r="D268" i="16"/>
  <c r="J268" i="16"/>
  <c r="N268" i="16" s="1"/>
  <c r="P268" i="16"/>
  <c r="Q268" i="16"/>
  <c r="R268" i="16"/>
  <c r="T268" i="16"/>
  <c r="L269" i="16"/>
  <c r="C269" i="16"/>
  <c r="K269" i="16" s="1"/>
  <c r="E269" i="16"/>
  <c r="F269" i="16"/>
  <c r="O269" i="16" s="1"/>
  <c r="G269" i="16"/>
  <c r="I269" i="16"/>
  <c r="B270" i="16"/>
  <c r="U213" i="16"/>
  <c r="S213" i="16"/>
  <c r="D214" i="16"/>
  <c r="J214" i="16"/>
  <c r="P214" i="16"/>
  <c r="Q214" i="16"/>
  <c r="R214" i="16"/>
  <c r="T214" i="16"/>
  <c r="L215" i="16"/>
  <c r="C215" i="16"/>
  <c r="E215" i="16"/>
  <c r="G215" i="16"/>
  <c r="I215" i="16"/>
  <c r="B216" i="16"/>
  <c r="M160" i="16"/>
  <c r="D160" i="16"/>
  <c r="J160" i="16"/>
  <c r="N160" i="16" s="1"/>
  <c r="P160" i="16"/>
  <c r="Q160" i="16"/>
  <c r="R160" i="16"/>
  <c r="T160" i="16"/>
  <c r="L161" i="16"/>
  <c r="C161" i="16"/>
  <c r="K161" i="16" s="1"/>
  <c r="E161" i="16"/>
  <c r="F161" i="16"/>
  <c r="O161" i="16" s="1"/>
  <c r="G161" i="16"/>
  <c r="I161" i="16"/>
  <c r="B162" i="16"/>
  <c r="D106" i="16"/>
  <c r="M106" i="16" s="1"/>
  <c r="J106" i="16"/>
  <c r="P106" i="16"/>
  <c r="Q106" i="16"/>
  <c r="R106" i="16"/>
  <c r="T106" i="16"/>
  <c r="L107" i="16"/>
  <c r="C107" i="16"/>
  <c r="K107" i="16" s="1"/>
  <c r="E107" i="16"/>
  <c r="F107" i="16"/>
  <c r="O107" i="16" s="1"/>
  <c r="G107" i="16"/>
  <c r="I107" i="16"/>
  <c r="B108" i="16"/>
  <c r="C77" i="7"/>
  <c r="G77" i="7" s="1"/>
  <c r="U43" i="4"/>
  <c r="S43" i="4"/>
  <c r="F49" i="7"/>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C45" i="4"/>
  <c r="E45" i="4"/>
  <c r="F45" i="4"/>
  <c r="C45" i="5" s="1"/>
  <c r="E45" i="5" s="1"/>
  <c r="G45" i="4"/>
  <c r="L45" i="4"/>
  <c r="B45" i="5"/>
  <c r="I45" i="4"/>
  <c r="K45" i="4"/>
  <c r="B46" i="4"/>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3" i="4"/>
  <c r="AX45" i="4"/>
  <c r="AX42" i="4"/>
  <c r="AX44" i="4"/>
  <c r="U4238" i="16"/>
  <c r="S4238" i="16"/>
  <c r="U3776" i="16"/>
  <c r="S3776" i="16"/>
  <c r="U3722" i="16"/>
  <c r="S3722" i="16"/>
  <c r="S3452" i="16"/>
  <c r="U3452" i="16"/>
  <c r="U3236" i="16"/>
  <c r="S3236" i="16"/>
  <c r="U2966" i="16"/>
  <c r="S2966" i="16"/>
  <c r="U2912" i="16"/>
  <c r="S2912" i="16"/>
  <c r="U2642" i="16"/>
  <c r="S2642" i="16"/>
  <c r="U2372" i="16"/>
  <c r="S2372" i="16"/>
  <c r="U2156" i="16"/>
  <c r="S2156" i="16"/>
  <c r="S2102" i="16"/>
  <c r="U2102" i="16"/>
  <c r="S1670" i="16"/>
  <c r="U1670" i="16"/>
  <c r="U1616" i="16"/>
  <c r="S1616" i="16"/>
  <c r="U1562" i="16"/>
  <c r="S1562" i="16"/>
  <c r="U1400" i="16"/>
  <c r="S1400" i="16"/>
  <c r="U1346" i="16"/>
  <c r="S1346" i="16"/>
  <c r="U860" i="16"/>
  <c r="S860" i="16"/>
  <c r="U590" i="16"/>
  <c r="S590" i="16"/>
  <c r="U374" i="16"/>
  <c r="S374" i="16"/>
  <c r="U320" i="16"/>
  <c r="S320" i="16"/>
  <c r="S104" i="16"/>
  <c r="U104" i="16"/>
  <c r="N4239" i="16"/>
  <c r="M4239" i="16"/>
  <c r="M4077" i="16"/>
  <c r="N4077" i="16"/>
  <c r="M3777" i="16"/>
  <c r="N3777" i="16"/>
  <c r="M3507" i="16"/>
  <c r="N3507" i="16"/>
  <c r="M3291" i="16"/>
  <c r="N3291" i="16"/>
  <c r="N3237" i="16"/>
  <c r="M3237" i="16"/>
  <c r="M3075" i="16"/>
  <c r="N3075" i="16"/>
  <c r="M2643" i="16"/>
  <c r="N2643" i="16"/>
  <c r="N2157" i="16"/>
  <c r="M2157" i="16"/>
  <c r="M1941" i="16"/>
  <c r="N1941" i="16"/>
  <c r="M1887" i="16"/>
  <c r="N1887" i="16"/>
  <c r="M1833" i="16"/>
  <c r="N1833" i="16"/>
  <c r="M1563" i="16"/>
  <c r="N1563" i="16"/>
  <c r="M1401" i="16"/>
  <c r="N1401" i="16" s="1"/>
  <c r="N1347" i="16"/>
  <c r="M1347" i="16"/>
  <c r="N1293" i="16"/>
  <c r="M1293" i="16"/>
  <c r="M1077" i="16"/>
  <c r="N1077" i="16"/>
  <c r="M807" i="16"/>
  <c r="N807" i="16"/>
  <c r="M645" i="16"/>
  <c r="N645" i="16"/>
  <c r="M375" i="16"/>
  <c r="N375" i="16"/>
  <c r="M321" i="16"/>
  <c r="N321" i="16"/>
  <c r="M159" i="16"/>
  <c r="N159" i="16"/>
  <c r="M105" i="16"/>
  <c r="N105" i="16"/>
  <c r="K3724" i="16"/>
  <c r="F3724" i="16"/>
  <c r="O3724" i="16" s="1"/>
  <c r="K3670" i="16"/>
  <c r="F3670" i="16"/>
  <c r="O3670" i="16" s="1"/>
  <c r="K3454" i="16"/>
  <c r="F3454" i="16"/>
  <c r="O3454" i="16" s="1"/>
  <c r="F3238" i="16"/>
  <c r="O3238" i="16" s="1"/>
  <c r="K3238" i="16"/>
  <c r="F3130" i="16"/>
  <c r="O3130" i="16" s="1"/>
  <c r="K3130" i="16"/>
  <c r="K3076" i="16"/>
  <c r="F3076" i="16"/>
  <c r="O3076" i="16" s="1"/>
  <c r="K3022" i="16"/>
  <c r="F3022" i="16"/>
  <c r="O3022" i="16" s="1"/>
  <c r="F2914" i="16"/>
  <c r="O2914" i="16" s="1"/>
  <c r="K2914" i="16"/>
  <c r="K2050" i="16"/>
  <c r="F2050" i="16"/>
  <c r="O2050" i="16" s="1"/>
  <c r="F1780" i="16"/>
  <c r="O1780" i="16" s="1"/>
  <c r="K1780" i="16"/>
  <c r="F1510" i="16"/>
  <c r="O1510" i="16" s="1"/>
  <c r="K1510" i="16"/>
  <c r="K1402" i="16"/>
  <c r="F1402" i="16"/>
  <c r="O1402" i="16" s="1"/>
  <c r="K1348" i="16"/>
  <c r="F1348" i="16"/>
  <c r="O1348" i="16" s="1"/>
  <c r="K1241" i="16"/>
  <c r="F1241" i="16"/>
  <c r="O1241" i="16" s="1"/>
  <c r="F970" i="16"/>
  <c r="O970" i="16" s="1"/>
  <c r="K970" i="16"/>
  <c r="K754" i="16"/>
  <c r="F754" i="16"/>
  <c r="O754" i="16" s="1"/>
  <c r="F484" i="16"/>
  <c r="O484" i="16" s="1"/>
  <c r="K484" i="16"/>
  <c r="F214" i="16"/>
  <c r="O214" i="16" s="1"/>
  <c r="K214" i="16"/>
  <c r="N1888" i="16" l="1"/>
  <c r="N808" i="16"/>
  <c r="N106" i="16"/>
  <c r="N44" i="4"/>
  <c r="N4132" i="16"/>
  <c r="N4078" i="16"/>
  <c r="N4594" i="16"/>
  <c r="N4540" i="16"/>
  <c r="K4703" i="16"/>
  <c r="F4703" i="16"/>
  <c r="K4079" i="16"/>
  <c r="F4079" i="16"/>
  <c r="O4079" i="16" s="1"/>
  <c r="K3671" i="16"/>
  <c r="F3671" i="16"/>
  <c r="O3671" i="16" s="1"/>
  <c r="K3023" i="16"/>
  <c r="F3023" i="16"/>
  <c r="O3023" i="16" s="1"/>
  <c r="F2915" i="16"/>
  <c r="O2915" i="16" s="1"/>
  <c r="K2915" i="16"/>
  <c r="K2375" i="16"/>
  <c r="F2375" i="16"/>
  <c r="O2375" i="16" s="1"/>
  <c r="K2267" i="16"/>
  <c r="F2267" i="16"/>
  <c r="O2267" i="16" s="1"/>
  <c r="K1619" i="16"/>
  <c r="F1619" i="16"/>
  <c r="O1619" i="16" s="1"/>
  <c r="K1187" i="16"/>
  <c r="F1187" i="16"/>
  <c r="O1187" i="16" s="1"/>
  <c r="K215" i="16"/>
  <c r="F215" i="16"/>
  <c r="O215" i="16" s="1"/>
  <c r="G18" i="11"/>
  <c r="U4702" i="16"/>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D4595" i="16"/>
  <c r="J4595" i="16"/>
  <c r="P4595" i="16"/>
  <c r="Q4595" i="16"/>
  <c r="R4595" i="16"/>
  <c r="L4596" i="16"/>
  <c r="C4596" i="16"/>
  <c r="E4596" i="16"/>
  <c r="G4596" i="16"/>
  <c r="I4596" i="16"/>
  <c r="B4597" i="16"/>
  <c r="D4541" i="16"/>
  <c r="J4541" i="16"/>
  <c r="P4541" i="16"/>
  <c r="Q4541" i="16"/>
  <c r="R4541" i="16"/>
  <c r="L4542" i="16"/>
  <c r="C4542" i="16"/>
  <c r="E4542" i="16"/>
  <c r="G4542" i="16"/>
  <c r="I4542" i="16"/>
  <c r="B4543" i="16"/>
  <c r="U4240" i="16"/>
  <c r="S4240" i="16"/>
  <c r="J4241" i="16"/>
  <c r="D4241" i="16"/>
  <c r="P4241" i="16"/>
  <c r="Q4241" i="16"/>
  <c r="R4241" i="16"/>
  <c r="T4241" i="16"/>
  <c r="C4242" i="16"/>
  <c r="F4242" i="16" s="1"/>
  <c r="O4242" i="16" s="1"/>
  <c r="E4242" i="16"/>
  <c r="G4242" i="16"/>
  <c r="I4242" i="16"/>
  <c r="K4242" i="16"/>
  <c r="L4242" i="16"/>
  <c r="B4243" i="16"/>
  <c r="M4187" i="16"/>
  <c r="L4188" i="16"/>
  <c r="B4189" i="16"/>
  <c r="C4188" i="16"/>
  <c r="E4188" i="16"/>
  <c r="F4188" i="16"/>
  <c r="O4188" i="16" s="1"/>
  <c r="G4188" i="16"/>
  <c r="I4188" i="16"/>
  <c r="K4188" i="16"/>
  <c r="J4187" i="16"/>
  <c r="N4187" i="16" s="1"/>
  <c r="D4187" i="16"/>
  <c r="P4187" i="16"/>
  <c r="Q4187" i="16"/>
  <c r="R4187" i="16"/>
  <c r="T4187" i="16"/>
  <c r="U4186" i="16"/>
  <c r="S4186" i="16"/>
  <c r="U4132" i="16"/>
  <c r="S4132" i="16"/>
  <c r="M4133" i="16"/>
  <c r="J4133" i="16"/>
  <c r="N4133" i="16" s="1"/>
  <c r="D4133" i="16"/>
  <c r="P4133" i="16"/>
  <c r="Q4133" i="16"/>
  <c r="R4133" i="16"/>
  <c r="T4133" i="16"/>
  <c r="E4134" i="16"/>
  <c r="G4134" i="16"/>
  <c r="I4134" i="16"/>
  <c r="B4135" i="16"/>
  <c r="C4134" i="16"/>
  <c r="K4134" i="16" s="1"/>
  <c r="F4134" i="16"/>
  <c r="O4134" i="16" s="1"/>
  <c r="L4134" i="16"/>
  <c r="U4078" i="16"/>
  <c r="S4078" i="16"/>
  <c r="M4079" i="16"/>
  <c r="D4079" i="16"/>
  <c r="J4079" i="16"/>
  <c r="N4079" i="16" s="1"/>
  <c r="P4079" i="16"/>
  <c r="Q4079" i="16"/>
  <c r="R4079" i="16"/>
  <c r="T4079" i="16"/>
  <c r="L4080" i="16"/>
  <c r="C4080" i="16"/>
  <c r="K4080" i="16" s="1"/>
  <c r="E4080" i="16"/>
  <c r="F4080" i="16"/>
  <c r="O4080" i="16" s="1"/>
  <c r="G4080" i="16"/>
  <c r="I4080" i="16"/>
  <c r="B4081" i="16"/>
  <c r="U3778" i="16"/>
  <c r="S3778" i="16"/>
  <c r="M3779" i="16"/>
  <c r="D3779" i="16"/>
  <c r="J3779" i="16"/>
  <c r="N3779" i="16" s="1"/>
  <c r="P3779" i="16"/>
  <c r="Q3779" i="16"/>
  <c r="R3779" i="16"/>
  <c r="T3779" i="16"/>
  <c r="L3780" i="16"/>
  <c r="C3780" i="16"/>
  <c r="K3780" i="16" s="1"/>
  <c r="E3780" i="16"/>
  <c r="F3780" i="16"/>
  <c r="O3780" i="16" s="1"/>
  <c r="G3780" i="16"/>
  <c r="I3780" i="16"/>
  <c r="B3781" i="16"/>
  <c r="D3725" i="16"/>
  <c r="J3725" i="16"/>
  <c r="P3725" i="16"/>
  <c r="Q3725" i="16"/>
  <c r="R3725" i="16"/>
  <c r="T3725" i="16"/>
  <c r="L3726" i="16"/>
  <c r="C3726" i="16"/>
  <c r="E3726" i="16"/>
  <c r="G3726" i="16"/>
  <c r="I3726" i="16"/>
  <c r="B3727" i="16"/>
  <c r="M3671" i="16"/>
  <c r="D3671" i="16"/>
  <c r="J3671" i="16"/>
  <c r="N3671" i="16" s="1"/>
  <c r="P3671" i="16"/>
  <c r="Q3671" i="16"/>
  <c r="R3671" i="16"/>
  <c r="T3671" i="16"/>
  <c r="L3672" i="16"/>
  <c r="C3672" i="16"/>
  <c r="E3672" i="16"/>
  <c r="G3672" i="16"/>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U3508" i="16"/>
  <c r="S3508" i="16"/>
  <c r="D3509" i="16"/>
  <c r="J3509" i="16"/>
  <c r="P3509" i="16"/>
  <c r="Q3509" i="16"/>
  <c r="R3509" i="16"/>
  <c r="T3509" i="16"/>
  <c r="L3510" i="16"/>
  <c r="C3510" i="16"/>
  <c r="K3510" i="16" s="1"/>
  <c r="E3510" i="16"/>
  <c r="F3510" i="16"/>
  <c r="O3510" i="16" s="1"/>
  <c r="G3510" i="16"/>
  <c r="I3510" i="16"/>
  <c r="B3511" i="16"/>
  <c r="L3456" i="16"/>
  <c r="C3456" i="16"/>
  <c r="K3456" i="16" s="1"/>
  <c r="E3456" i="16"/>
  <c r="F3456" i="16"/>
  <c r="O3456" i="16" s="1"/>
  <c r="G3456" i="16"/>
  <c r="B3457" i="16"/>
  <c r="I3456" i="16"/>
  <c r="J3455" i="16"/>
  <c r="D3455" i="16"/>
  <c r="P3455" i="16"/>
  <c r="Q3455" i="16"/>
  <c r="R3455" i="16"/>
  <c r="T3455" i="16"/>
  <c r="U3400" i="16"/>
  <c r="S3400" i="16"/>
  <c r="M3401" i="16"/>
  <c r="D3401" i="16"/>
  <c r="J3401" i="16"/>
  <c r="N3401" i="16" s="1"/>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E3348" i="16"/>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M3239" i="16"/>
  <c r="D3239" i="16"/>
  <c r="J3239" i="16"/>
  <c r="N3239" i="16" s="1"/>
  <c r="L3240" i="16"/>
  <c r="C3240" i="16"/>
  <c r="G3240" i="16"/>
  <c r="I3240" i="16"/>
  <c r="B3241" i="16"/>
  <c r="E3240" i="16"/>
  <c r="P3239" i="16"/>
  <c r="Q3239" i="16"/>
  <c r="R3239" i="16"/>
  <c r="T3239" i="16"/>
  <c r="U3184" i="16"/>
  <c r="S3184" i="16"/>
  <c r="P3185" i="16"/>
  <c r="Q3185" i="16"/>
  <c r="R3185" i="16"/>
  <c r="T3185" i="16"/>
  <c r="L3186" i="16"/>
  <c r="E3186" i="16"/>
  <c r="G3186" i="16"/>
  <c r="I3186" i="16"/>
  <c r="B3187" i="16"/>
  <c r="C3186" i="16"/>
  <c r="J3185" i="16"/>
  <c r="D3185" i="16"/>
  <c r="M3131" i="16"/>
  <c r="P3131" i="16"/>
  <c r="Q3131" i="16"/>
  <c r="R3131" i="16"/>
  <c r="T3131" i="16"/>
  <c r="D3131" i="16"/>
  <c r="J3131" i="16"/>
  <c r="N3131" i="16" s="1"/>
  <c r="L3132" i="16"/>
  <c r="I3132" i="16"/>
  <c r="G3132" i="16"/>
  <c r="E3132" i="16"/>
  <c r="C3132" i="16"/>
  <c r="B3133" i="16"/>
  <c r="P3077" i="16"/>
  <c r="R3077" i="16"/>
  <c r="Q3077" i="16"/>
  <c r="T3077" i="16"/>
  <c r="L3078" i="16"/>
  <c r="E3078" i="16"/>
  <c r="G3078" i="16"/>
  <c r="I3078" i="16"/>
  <c r="C3078" i="16"/>
  <c r="B3079" i="16"/>
  <c r="J3077" i="16"/>
  <c r="D3077" i="16"/>
  <c r="M3023" i="16"/>
  <c r="P3023" i="16"/>
  <c r="Q3023" i="16"/>
  <c r="R3023" i="16"/>
  <c r="T3023" i="16"/>
  <c r="J3023" i="16"/>
  <c r="N3023" i="16" s="1"/>
  <c r="D3023" i="16"/>
  <c r="L3024" i="16"/>
  <c r="G3024" i="16"/>
  <c r="B3025" i="16"/>
  <c r="E3024" i="16"/>
  <c r="I3024" i="16"/>
  <c r="C3024" i="16"/>
  <c r="U2968" i="16"/>
  <c r="S2968" i="16"/>
  <c r="D2969" i="16"/>
  <c r="J2969" i="16"/>
  <c r="P2969" i="16"/>
  <c r="Q2969" i="16"/>
  <c r="R2969" i="16"/>
  <c r="T2969" i="16"/>
  <c r="L2970" i="16"/>
  <c r="C2970" i="16"/>
  <c r="K2970" i="16" s="1"/>
  <c r="E2970" i="16"/>
  <c r="F2970" i="16"/>
  <c r="O2970" i="16" s="1"/>
  <c r="G2970" i="16"/>
  <c r="I2970" i="16"/>
  <c r="B2971" i="16"/>
  <c r="M2915" i="16"/>
  <c r="D2915" i="16"/>
  <c r="J2915" i="16"/>
  <c r="N2915" i="16" s="1"/>
  <c r="P2915" i="16"/>
  <c r="Q2915" i="16"/>
  <c r="R2915" i="16"/>
  <c r="T2915" i="16"/>
  <c r="L2916" i="16"/>
  <c r="C2916" i="16"/>
  <c r="E2916" i="16"/>
  <c r="G2916" i="16"/>
  <c r="I2916" i="16"/>
  <c r="B2917" i="16"/>
  <c r="U2860" i="16"/>
  <c r="S2860" i="16"/>
  <c r="M2861" i="16"/>
  <c r="D2861" i="16"/>
  <c r="J2861" i="16"/>
  <c r="N2861" i="16" s="1"/>
  <c r="P2861" i="16"/>
  <c r="Q2861" i="16"/>
  <c r="R2861" i="16"/>
  <c r="T2861" i="16"/>
  <c r="L2862" i="16"/>
  <c r="C2862" i="16"/>
  <c r="E2862" i="16"/>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E2700" i="16"/>
  <c r="G2700" i="16"/>
  <c r="I2700" i="16"/>
  <c r="B2701" i="16"/>
  <c r="U2644" i="16"/>
  <c r="S2644" i="16"/>
  <c r="D2645" i="16"/>
  <c r="J2645" i="16"/>
  <c r="P2645" i="16"/>
  <c r="Q2645" i="16"/>
  <c r="R2645" i="16"/>
  <c r="T2645" i="16"/>
  <c r="L2646" i="16"/>
  <c r="C2646" i="16"/>
  <c r="E2646" i="16"/>
  <c r="G2646" i="16"/>
  <c r="I2646" i="16"/>
  <c r="B2647" i="16"/>
  <c r="U2590" i="16"/>
  <c r="S2590" i="16"/>
  <c r="M2591" i="16"/>
  <c r="D2591" i="16"/>
  <c r="J2591" i="16"/>
  <c r="N2591" i="16" s="1"/>
  <c r="P2591" i="16"/>
  <c r="Q2591" i="16"/>
  <c r="R2591" i="16"/>
  <c r="T2591" i="16"/>
  <c r="L2592" i="16"/>
  <c r="C2592" i="16"/>
  <c r="K2592" i="16" s="1"/>
  <c r="E2592" i="16"/>
  <c r="F2592" i="16"/>
  <c r="O2592" i="16" s="1"/>
  <c r="G2592" i="16"/>
  <c r="I2592" i="16"/>
  <c r="B2593" i="16"/>
  <c r="U2536" i="16"/>
  <c r="S2536" i="16"/>
  <c r="M2537" i="16"/>
  <c r="D2537" i="16"/>
  <c r="J2537" i="16"/>
  <c r="N2537" i="16" s="1"/>
  <c r="Q2537" i="16"/>
  <c r="R2537" i="16"/>
  <c r="P2537" i="16"/>
  <c r="T2537" i="16"/>
  <c r="L2538" i="16"/>
  <c r="C2538" i="16"/>
  <c r="K2538" i="16" s="1"/>
  <c r="E2538" i="16"/>
  <c r="F2538" i="16"/>
  <c r="O2538" i="16" s="1"/>
  <c r="G2538" i="16"/>
  <c r="I2538" i="16"/>
  <c r="B2539" i="16"/>
  <c r="U2482" i="16"/>
  <c r="S2482" i="16"/>
  <c r="M2483" i="16"/>
  <c r="D2483" i="16"/>
  <c r="J2483" i="16"/>
  <c r="N2483" i="16" s="1"/>
  <c r="Q2483" i="16"/>
  <c r="P2483" i="16"/>
  <c r="R2483" i="16"/>
  <c r="T2483" i="16"/>
  <c r="L2484" i="16"/>
  <c r="C2484" i="16"/>
  <c r="K2484" i="16" s="1"/>
  <c r="E2484" i="16"/>
  <c r="F2484" i="16"/>
  <c r="O2484" i="16" s="1"/>
  <c r="G2484" i="16"/>
  <c r="I2484" i="16"/>
  <c r="B2485" i="16"/>
  <c r="U2428" i="16"/>
  <c r="S2428" i="16"/>
  <c r="D2429" i="16"/>
  <c r="J2429" i="16"/>
  <c r="P2429" i="16"/>
  <c r="Q2429" i="16"/>
  <c r="R2429" i="16"/>
  <c r="T2429" i="16"/>
  <c r="L2430" i="16"/>
  <c r="C2430" i="16"/>
  <c r="E2430" i="16"/>
  <c r="G2430" i="16"/>
  <c r="I2430" i="16"/>
  <c r="B2431" i="16"/>
  <c r="U2374" i="16"/>
  <c r="S2374" i="16"/>
  <c r="M2375" i="16"/>
  <c r="D2375" i="16"/>
  <c r="J2375" i="16"/>
  <c r="N2375" i="16" s="1"/>
  <c r="Q2375" i="16"/>
  <c r="R2375" i="16"/>
  <c r="P2375" i="16"/>
  <c r="T2375" i="16"/>
  <c r="L2376" i="16"/>
  <c r="C2376" i="16"/>
  <c r="E2376" i="16"/>
  <c r="G2376" i="16"/>
  <c r="I2376" i="16"/>
  <c r="B2377" i="16"/>
  <c r="U2320" i="16"/>
  <c r="S2320" i="16"/>
  <c r="M2321" i="16"/>
  <c r="D2321" i="16"/>
  <c r="J2321" i="16"/>
  <c r="N2321" i="16" s="1"/>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D2213" i="16"/>
  <c r="J2213" i="16"/>
  <c r="P2213" i="16"/>
  <c r="Q2213" i="16"/>
  <c r="R2213" i="16"/>
  <c r="T2213" i="16"/>
  <c r="L2214" i="16"/>
  <c r="C2214" i="16"/>
  <c r="K2214" i="16" s="1"/>
  <c r="E2214" i="16"/>
  <c r="F2214" i="16"/>
  <c r="O2214" i="16" s="1"/>
  <c r="G2214" i="16"/>
  <c r="I2214" i="16"/>
  <c r="B2215" i="16"/>
  <c r="U2158" i="16"/>
  <c r="S2158" i="16"/>
  <c r="M2159" i="16"/>
  <c r="D2159" i="16"/>
  <c r="J2159" i="16"/>
  <c r="N2159" i="16" s="1"/>
  <c r="P2159" i="16"/>
  <c r="Q2159" i="16"/>
  <c r="R2159" i="16"/>
  <c r="T2159" i="16"/>
  <c r="L2160" i="16"/>
  <c r="C2160" i="16"/>
  <c r="E2160" i="16"/>
  <c r="G2160" i="16"/>
  <c r="I2160" i="16"/>
  <c r="B2161" i="16"/>
  <c r="S2104" i="16"/>
  <c r="U2104" i="16"/>
  <c r="P2105" i="16"/>
  <c r="Q2105" i="16"/>
  <c r="R2105" i="16"/>
  <c r="T2105" i="16"/>
  <c r="J2105" i="16"/>
  <c r="D2105" i="16"/>
  <c r="L2106" i="16"/>
  <c r="G2106" i="16"/>
  <c r="C2106" i="16"/>
  <c r="E2106" i="16"/>
  <c r="I2106" i="16"/>
  <c r="B2107" i="16"/>
  <c r="D2051" i="16"/>
  <c r="J2051" i="16"/>
  <c r="P2051" i="16"/>
  <c r="Q2051" i="16"/>
  <c r="R2051" i="16"/>
  <c r="T2051" i="16"/>
  <c r="L2052" i="16"/>
  <c r="C2052" i="16"/>
  <c r="E2052" i="16"/>
  <c r="G2052" i="16"/>
  <c r="I2052" i="16"/>
  <c r="B2053" i="16"/>
  <c r="U1996" i="16"/>
  <c r="S1996" i="16"/>
  <c r="D1997" i="16"/>
  <c r="J1997" i="16"/>
  <c r="P1997" i="16"/>
  <c r="Q1997" i="16"/>
  <c r="R1997" i="16"/>
  <c r="T1997" i="16"/>
  <c r="L1998" i="16"/>
  <c r="C1998" i="16"/>
  <c r="K1998" i="16" s="1"/>
  <c r="E1998" i="16"/>
  <c r="F1998" i="16"/>
  <c r="O1998" i="16" s="1"/>
  <c r="G1998" i="16"/>
  <c r="I1998" i="16"/>
  <c r="B1999" i="16"/>
  <c r="U1942" i="16"/>
  <c r="S1942" i="16"/>
  <c r="M1943" i="16"/>
  <c r="D1943" i="16"/>
  <c r="J1943" i="16"/>
  <c r="N1943" i="16" s="1"/>
  <c r="P1943" i="16"/>
  <c r="Q1943" i="16"/>
  <c r="R1943" i="16"/>
  <c r="T1943" i="16"/>
  <c r="L1944" i="16"/>
  <c r="C1944" i="16"/>
  <c r="K1944" i="16" s="1"/>
  <c r="E1944" i="16"/>
  <c r="F1944" i="16"/>
  <c r="O1944" i="16" s="1"/>
  <c r="G1944" i="16"/>
  <c r="I1944" i="16"/>
  <c r="B1945" i="16"/>
  <c r="S1888" i="16"/>
  <c r="U1888" i="16"/>
  <c r="M1889" i="16"/>
  <c r="D1889" i="16"/>
  <c r="J1889" i="16"/>
  <c r="N1889" i="16" s="1"/>
  <c r="P1889" i="16"/>
  <c r="Q1889" i="16"/>
  <c r="R1889" i="16"/>
  <c r="T1889" i="16"/>
  <c r="L1890" i="16"/>
  <c r="C1890" i="16"/>
  <c r="E1890" i="16"/>
  <c r="G1890" i="16"/>
  <c r="I1890" i="16"/>
  <c r="B1891" i="16"/>
  <c r="U1834" i="16"/>
  <c r="S1834" i="16"/>
  <c r="M1835" i="16"/>
  <c r="D1835" i="16"/>
  <c r="J1835" i="16"/>
  <c r="N1835" i="16" s="1"/>
  <c r="P1835" i="16"/>
  <c r="Q1835" i="16"/>
  <c r="R1835" i="16"/>
  <c r="T1835" i="16"/>
  <c r="L1836" i="16"/>
  <c r="C1836" i="16"/>
  <c r="E1836" i="16"/>
  <c r="G1836" i="16"/>
  <c r="I1836" i="16"/>
  <c r="B1837" i="16"/>
  <c r="M1781" i="16"/>
  <c r="D1781" i="16"/>
  <c r="J1781" i="16"/>
  <c r="N1781" i="16" s="1"/>
  <c r="P1781" i="16"/>
  <c r="Q1781" i="16"/>
  <c r="R1781" i="16"/>
  <c r="T1781" i="16"/>
  <c r="L1782" i="16"/>
  <c r="C1782" i="16"/>
  <c r="K1782" i="16" s="1"/>
  <c r="E1782" i="16"/>
  <c r="F1782" i="16"/>
  <c r="O1782" i="16" s="1"/>
  <c r="G1782" i="16"/>
  <c r="I1782" i="16"/>
  <c r="B1783" i="16"/>
  <c r="U1726" i="16"/>
  <c r="S1726" i="16"/>
  <c r="D1727" i="16"/>
  <c r="J1727" i="16"/>
  <c r="P1727" i="16"/>
  <c r="Q1727" i="16"/>
  <c r="R1727" i="16"/>
  <c r="T1727" i="16"/>
  <c r="L1728" i="16"/>
  <c r="C1728" i="16"/>
  <c r="K1728" i="16" s="1"/>
  <c r="E1728" i="16"/>
  <c r="F1728" i="16"/>
  <c r="O1728" i="16" s="1"/>
  <c r="G1728" i="16"/>
  <c r="I1728" i="16"/>
  <c r="B1729" i="16"/>
  <c r="S1672" i="16"/>
  <c r="U1672" i="16"/>
  <c r="M1673" i="16"/>
  <c r="D1673" i="16"/>
  <c r="J1673" i="16"/>
  <c r="N1673" i="16" s="1"/>
  <c r="P1673" i="16"/>
  <c r="Q1673" i="16"/>
  <c r="R1673" i="16"/>
  <c r="T1673" i="16"/>
  <c r="L1674" i="16"/>
  <c r="C1674" i="16"/>
  <c r="K1674" i="16" s="1"/>
  <c r="E1674" i="16"/>
  <c r="F1674" i="16"/>
  <c r="O1674" i="16" s="1"/>
  <c r="G1674" i="16"/>
  <c r="I1674" i="16"/>
  <c r="B1675" i="16"/>
  <c r="U1618" i="16"/>
  <c r="S1618" i="16"/>
  <c r="M1619" i="16"/>
  <c r="D1619" i="16"/>
  <c r="J1619" i="16"/>
  <c r="N1619" i="16" s="1"/>
  <c r="P1619" i="16"/>
  <c r="Q1619" i="16"/>
  <c r="R1619" i="16"/>
  <c r="T1619" i="16"/>
  <c r="L1620" i="16"/>
  <c r="C1620" i="16"/>
  <c r="E1620" i="16"/>
  <c r="G1620" i="16"/>
  <c r="I1620" i="16"/>
  <c r="B1621" i="16"/>
  <c r="U1564" i="16"/>
  <c r="S1564" i="16"/>
  <c r="M1565" i="16"/>
  <c r="D1565" i="16"/>
  <c r="J1565" i="16"/>
  <c r="N1565" i="16" s="1"/>
  <c r="P1565" i="16"/>
  <c r="Q1565" i="16"/>
  <c r="R1565" i="16"/>
  <c r="T1565" i="16"/>
  <c r="L1566" i="16"/>
  <c r="C1566" i="16"/>
  <c r="E1566" i="16"/>
  <c r="G1566" i="16"/>
  <c r="I1566" i="16"/>
  <c r="B1567" i="16"/>
  <c r="P1511" i="16"/>
  <c r="Q1511" i="16"/>
  <c r="R1511" i="16"/>
  <c r="T1511" i="16"/>
  <c r="L1512" i="16"/>
  <c r="C1512" i="16"/>
  <c r="K1512" i="16" s="1"/>
  <c r="E1512" i="16"/>
  <c r="F1512" i="16"/>
  <c r="O1512" i="16" s="1"/>
  <c r="G1512" i="16"/>
  <c r="B1513" i="16"/>
  <c r="I1512" i="16"/>
  <c r="J1511" i="16"/>
  <c r="D1511" i="16"/>
  <c r="U1456" i="16"/>
  <c r="S1456" i="16"/>
  <c r="D1457" i="16"/>
  <c r="J1457" i="16"/>
  <c r="P1457" i="16"/>
  <c r="Q1457" i="16"/>
  <c r="R1457" i="16"/>
  <c r="T1457" i="16"/>
  <c r="L1458" i="16"/>
  <c r="C1458" i="16"/>
  <c r="E1458" i="16"/>
  <c r="G1458" i="16"/>
  <c r="I1458" i="16"/>
  <c r="B1459" i="16"/>
  <c r="M1403" i="16"/>
  <c r="P1403" i="16"/>
  <c r="Q1403" i="16"/>
  <c r="R1403" i="16"/>
  <c r="T1403" i="16"/>
  <c r="J1403" i="16"/>
  <c r="N1403" i="16" s="1"/>
  <c r="D1403" i="16"/>
  <c r="L1404" i="16"/>
  <c r="E1404" i="16"/>
  <c r="G1404" i="16"/>
  <c r="I1404" i="16"/>
  <c r="B1405" i="16"/>
  <c r="C1404" i="16"/>
  <c r="D1349" i="16"/>
  <c r="M1349" i="16" s="1"/>
  <c r="J1349" i="16"/>
  <c r="P1349" i="16"/>
  <c r="Q1349" i="16"/>
  <c r="R1349" i="16"/>
  <c r="T1349" i="16"/>
  <c r="L1350" i="16"/>
  <c r="E1350" i="16"/>
  <c r="C1350" i="16"/>
  <c r="I1350" i="16"/>
  <c r="G1350" i="16"/>
  <c r="B1351" i="16"/>
  <c r="U1294" i="16"/>
  <c r="S1294" i="16"/>
  <c r="M1295" i="16"/>
  <c r="P1295" i="16"/>
  <c r="Q1295" i="16"/>
  <c r="R1295" i="16"/>
  <c r="T1295" i="16"/>
  <c r="D1295" i="16"/>
  <c r="J1295" i="16"/>
  <c r="N1295" i="16" s="1"/>
  <c r="L1296" i="16"/>
  <c r="E1296" i="16"/>
  <c r="G1296" i="16"/>
  <c r="B1297" i="16"/>
  <c r="C1296" i="16"/>
  <c r="I1296" i="16"/>
  <c r="M1242" i="16"/>
  <c r="P1242" i="16"/>
  <c r="Q1242" i="16"/>
  <c r="R1242" i="16"/>
  <c r="T1242" i="16"/>
  <c r="J1242" i="16"/>
  <c r="N1242" i="16" s="1"/>
  <c r="D1242" i="16"/>
  <c r="L1243" i="16"/>
  <c r="B1244" i="16"/>
  <c r="C1243" i="16"/>
  <c r="K1243" i="16" s="1"/>
  <c r="E1243" i="16"/>
  <c r="G1243" i="16"/>
  <c r="I1243" i="16"/>
  <c r="F1243" i="16"/>
  <c r="O1243" i="16" s="1"/>
  <c r="U1186" i="16"/>
  <c r="S1186" i="16"/>
  <c r="M1187" i="16"/>
  <c r="D1187" i="16"/>
  <c r="J1187" i="16"/>
  <c r="N1187" i="16" s="1"/>
  <c r="P1187" i="16"/>
  <c r="Q1187" i="16"/>
  <c r="R1187" i="16"/>
  <c r="T1187" i="16"/>
  <c r="L1188" i="16"/>
  <c r="C1188" i="16"/>
  <c r="E1188" i="16"/>
  <c r="G1188" i="16"/>
  <c r="I1188" i="16"/>
  <c r="B1189" i="16"/>
  <c r="U1132" i="16"/>
  <c r="S1132" i="16"/>
  <c r="M1133" i="16"/>
  <c r="D1133" i="16"/>
  <c r="J1133" i="16"/>
  <c r="N1133" i="16" s="1"/>
  <c r="P1133" i="16"/>
  <c r="Q1133" i="16"/>
  <c r="R1133" i="16"/>
  <c r="T1133" i="16"/>
  <c r="L1134" i="16"/>
  <c r="C1134" i="16"/>
  <c r="E1134" i="16"/>
  <c r="G1134" i="16"/>
  <c r="I1134" i="16"/>
  <c r="B1135" i="16"/>
  <c r="U1078" i="16"/>
  <c r="S1078" i="16"/>
  <c r="M1079" i="16"/>
  <c r="D1079" i="16"/>
  <c r="J1079" i="16"/>
  <c r="N1079" i="16" s="1"/>
  <c r="P1079" i="16"/>
  <c r="Q1079" i="16"/>
  <c r="R1079" i="16"/>
  <c r="T1079" i="16"/>
  <c r="L1080" i="16"/>
  <c r="C1080" i="16"/>
  <c r="E1080" i="16"/>
  <c r="G1080" i="16"/>
  <c r="I1080" i="16"/>
  <c r="B1081" i="16"/>
  <c r="U1024" i="16"/>
  <c r="S1024" i="16"/>
  <c r="M1025" i="16"/>
  <c r="D1025" i="16"/>
  <c r="J1025" i="16"/>
  <c r="N1025" i="16" s="1"/>
  <c r="P1025" i="16"/>
  <c r="Q1025" i="16"/>
  <c r="R1025" i="16"/>
  <c r="T1025" i="16"/>
  <c r="L1026" i="16"/>
  <c r="C1026" i="16"/>
  <c r="K1026" i="16" s="1"/>
  <c r="E1026" i="16"/>
  <c r="F1026" i="16"/>
  <c r="O1026" i="16" s="1"/>
  <c r="G1026" i="16"/>
  <c r="I1026" i="16"/>
  <c r="B1027" i="16"/>
  <c r="M971" i="16"/>
  <c r="D971" i="16"/>
  <c r="J971" i="16"/>
  <c r="N971" i="16" s="1"/>
  <c r="P971" i="16"/>
  <c r="Q971" i="16"/>
  <c r="R971" i="16"/>
  <c r="T971" i="16"/>
  <c r="L972" i="16"/>
  <c r="C972" i="16"/>
  <c r="K972" i="16" s="1"/>
  <c r="E972" i="16"/>
  <c r="F972" i="16"/>
  <c r="O972" i="16" s="1"/>
  <c r="G972" i="16"/>
  <c r="I972" i="16"/>
  <c r="B973" i="16"/>
  <c r="U916" i="16"/>
  <c r="S916" i="16"/>
  <c r="D917" i="16"/>
  <c r="J917" i="16"/>
  <c r="P917" i="16"/>
  <c r="Q917" i="16"/>
  <c r="R917" i="16"/>
  <c r="T917" i="16"/>
  <c r="L918" i="16"/>
  <c r="C918" i="16"/>
  <c r="K918" i="16" s="1"/>
  <c r="E918" i="16"/>
  <c r="F918" i="16"/>
  <c r="O918" i="16" s="1"/>
  <c r="G918" i="16"/>
  <c r="I918" i="16"/>
  <c r="B919" i="16"/>
  <c r="U862" i="16"/>
  <c r="S862" i="16"/>
  <c r="D863" i="16"/>
  <c r="J863" i="16"/>
  <c r="Q863" i="16"/>
  <c r="P863" i="16"/>
  <c r="R863" i="16"/>
  <c r="T863" i="16"/>
  <c r="L864" i="16"/>
  <c r="C864" i="16"/>
  <c r="E864" i="16"/>
  <c r="G864" i="16"/>
  <c r="I864" i="16"/>
  <c r="B865" i="16"/>
  <c r="U808" i="16"/>
  <c r="S808" i="16"/>
  <c r="M809" i="16"/>
  <c r="D809" i="16"/>
  <c r="J809" i="16"/>
  <c r="N809" i="16" s="1"/>
  <c r="Q809" i="16"/>
  <c r="P809" i="16"/>
  <c r="R809" i="16"/>
  <c r="T809" i="16"/>
  <c r="L810" i="16"/>
  <c r="C810" i="16"/>
  <c r="E810" i="16"/>
  <c r="G810" i="16"/>
  <c r="I810" i="16"/>
  <c r="B811" i="16"/>
  <c r="M755" i="16"/>
  <c r="D755" i="16"/>
  <c r="J755" i="16"/>
  <c r="N755" i="16" s="1"/>
  <c r="P755" i="16"/>
  <c r="Q755" i="16"/>
  <c r="R755" i="16"/>
  <c r="T755" i="16"/>
  <c r="L756" i="16"/>
  <c r="C756" i="16"/>
  <c r="K756" i="16" s="1"/>
  <c r="E756" i="16"/>
  <c r="F756" i="16"/>
  <c r="O756" i="16" s="1"/>
  <c r="G756" i="16"/>
  <c r="I756" i="16"/>
  <c r="B757" i="16"/>
  <c r="U700" i="16"/>
  <c r="S700" i="16"/>
  <c r="M701" i="16"/>
  <c r="D701" i="16"/>
  <c r="J701" i="16"/>
  <c r="N701" i="16" s="1"/>
  <c r="P701" i="16"/>
  <c r="Q701" i="16"/>
  <c r="R701" i="16"/>
  <c r="T701" i="16"/>
  <c r="L702" i="16"/>
  <c r="C702" i="16"/>
  <c r="K702" i="16" s="1"/>
  <c r="E702" i="16"/>
  <c r="F702" i="16"/>
  <c r="O702" i="16" s="1"/>
  <c r="G702" i="16"/>
  <c r="I702" i="16"/>
  <c r="B703" i="16"/>
  <c r="U646" i="16"/>
  <c r="S646" i="16"/>
  <c r="M647" i="16"/>
  <c r="D647" i="16"/>
  <c r="J647" i="16"/>
  <c r="N647" i="16" s="1"/>
  <c r="Q647" i="16"/>
  <c r="P647" i="16"/>
  <c r="R647" i="16"/>
  <c r="T647" i="16"/>
  <c r="L648" i="16"/>
  <c r="C648" i="16"/>
  <c r="K648" i="16" s="1"/>
  <c r="E648" i="16"/>
  <c r="F648" i="16"/>
  <c r="O648" i="16" s="1"/>
  <c r="G648" i="16"/>
  <c r="I648" i="16"/>
  <c r="B649" i="16"/>
  <c r="U592" i="16"/>
  <c r="S592" i="16"/>
  <c r="D593" i="16"/>
  <c r="J593" i="16"/>
  <c r="Q593" i="16"/>
  <c r="P593" i="16"/>
  <c r="R593" i="16"/>
  <c r="T593" i="16"/>
  <c r="L594" i="16"/>
  <c r="C594" i="16"/>
  <c r="K594" i="16" s="1"/>
  <c r="E594" i="16"/>
  <c r="F594" i="16"/>
  <c r="O594" i="16" s="1"/>
  <c r="G594" i="16"/>
  <c r="I594" i="16"/>
  <c r="B595" i="16"/>
  <c r="U538" i="16"/>
  <c r="S538" i="16"/>
  <c r="M539" i="16"/>
  <c r="D539" i="16"/>
  <c r="J539" i="16"/>
  <c r="N539" i="16" s="1"/>
  <c r="P539" i="16"/>
  <c r="Q539" i="16"/>
  <c r="R539" i="16"/>
  <c r="T539" i="16"/>
  <c r="L540" i="16"/>
  <c r="C540" i="16"/>
  <c r="E540" i="16"/>
  <c r="G540" i="16"/>
  <c r="I540" i="16"/>
  <c r="B541" i="16"/>
  <c r="M485" i="16"/>
  <c r="D485" i="16"/>
  <c r="J485" i="16"/>
  <c r="N485" i="16" s="1"/>
  <c r="P485" i="16"/>
  <c r="Q485" i="16"/>
  <c r="R485" i="16"/>
  <c r="T485" i="16"/>
  <c r="L486" i="16"/>
  <c r="C486" i="16"/>
  <c r="K486" i="16" s="1"/>
  <c r="E486" i="16"/>
  <c r="F486" i="16"/>
  <c r="O486" i="16" s="1"/>
  <c r="G486" i="16"/>
  <c r="I486" i="16"/>
  <c r="B487" i="16"/>
  <c r="U430" i="16"/>
  <c r="S430" i="16"/>
  <c r="M431" i="16"/>
  <c r="D431" i="16"/>
  <c r="J431" i="16"/>
  <c r="N431" i="16" s="1"/>
  <c r="P431" i="16"/>
  <c r="Q431" i="16"/>
  <c r="R431" i="16"/>
  <c r="T431" i="16"/>
  <c r="L432" i="16"/>
  <c r="C432" i="16"/>
  <c r="K432" i="16" s="1"/>
  <c r="E432" i="16"/>
  <c r="F432" i="16"/>
  <c r="O432" i="16" s="1"/>
  <c r="G432" i="16"/>
  <c r="I432" i="16"/>
  <c r="B433" i="16"/>
  <c r="U376" i="16"/>
  <c r="S376" i="16"/>
  <c r="M377" i="16"/>
  <c r="D377" i="16"/>
  <c r="J377" i="16"/>
  <c r="N377" i="16" s="1"/>
  <c r="P377" i="16"/>
  <c r="Q377" i="16"/>
  <c r="R377" i="16"/>
  <c r="T377" i="16"/>
  <c r="L378" i="16"/>
  <c r="C378" i="16"/>
  <c r="E378" i="16"/>
  <c r="G378" i="16"/>
  <c r="I378" i="16"/>
  <c r="B379" i="16"/>
  <c r="S322" i="16"/>
  <c r="U322" i="16"/>
  <c r="P323" i="16"/>
  <c r="Q323" i="16"/>
  <c r="R323" i="16"/>
  <c r="T323" i="16"/>
  <c r="J323" i="16"/>
  <c r="D323" i="16"/>
  <c r="L324" i="16"/>
  <c r="I324" i="16"/>
  <c r="C324" i="16"/>
  <c r="G324" i="16"/>
  <c r="E324" i="16"/>
  <c r="B325" i="16"/>
  <c r="U268" i="16"/>
  <c r="S268" i="16"/>
  <c r="M269" i="16"/>
  <c r="D269" i="16"/>
  <c r="J269" i="16"/>
  <c r="N269" i="16" s="1"/>
  <c r="P269" i="16"/>
  <c r="Q269" i="16"/>
  <c r="R269" i="16"/>
  <c r="T269" i="16"/>
  <c r="L270" i="16"/>
  <c r="C270" i="16"/>
  <c r="E270" i="16"/>
  <c r="G270" i="16"/>
  <c r="I270" i="16"/>
  <c r="B271" i="16"/>
  <c r="M215" i="16"/>
  <c r="D215" i="16"/>
  <c r="J215" i="16"/>
  <c r="N215" i="16" s="1"/>
  <c r="P215" i="16"/>
  <c r="Q215" i="16"/>
  <c r="R215" i="16"/>
  <c r="T215" i="16"/>
  <c r="L216" i="16"/>
  <c r="C216" i="16"/>
  <c r="E216" i="16"/>
  <c r="G216" i="16"/>
  <c r="I216" i="16"/>
  <c r="B217" i="16"/>
  <c r="U160" i="16"/>
  <c r="S160" i="16"/>
  <c r="M161" i="16"/>
  <c r="D161" i="16"/>
  <c r="J161" i="16"/>
  <c r="N161" i="16" s="1"/>
  <c r="P161" i="16"/>
  <c r="Q161" i="16"/>
  <c r="R161" i="16"/>
  <c r="T161" i="16"/>
  <c r="L162" i="16"/>
  <c r="C162" i="16"/>
  <c r="E162" i="16"/>
  <c r="G162" i="16"/>
  <c r="I162" i="16"/>
  <c r="B163" i="16"/>
  <c r="M107" i="16"/>
  <c r="D107" i="16"/>
  <c r="J107" i="16"/>
  <c r="N107" i="16" s="1"/>
  <c r="P107" i="16"/>
  <c r="Q107" i="16"/>
  <c r="R107" i="16"/>
  <c r="T107" i="16"/>
  <c r="L108" i="16"/>
  <c r="C108" i="16"/>
  <c r="E108" i="16"/>
  <c r="G108" i="16"/>
  <c r="I108" i="16"/>
  <c r="B109" i="16"/>
  <c r="C78" i="7"/>
  <c r="G78" i="7" s="1"/>
  <c r="F44" i="5"/>
  <c r="G44" i="5"/>
  <c r="H44" i="5"/>
  <c r="D45" i="4"/>
  <c r="J45" i="4"/>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M45" i="4"/>
  <c r="N45" i="4"/>
  <c r="C46" i="4"/>
  <c r="K46" i="4" s="1"/>
  <c r="E46" i="4"/>
  <c r="F46" i="4"/>
  <c r="C46" i="5" s="1"/>
  <c r="E46" i="5" s="1"/>
  <c r="G46" i="4"/>
  <c r="AY46" i="4" s="1"/>
  <c r="I46" i="4"/>
  <c r="L46" i="4"/>
  <c r="B47" i="4"/>
  <c r="B46" i="5"/>
  <c r="U44" i="4"/>
  <c r="S44" i="4"/>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5" i="4"/>
  <c r="AY43" i="4"/>
  <c r="AY44" i="4"/>
  <c r="AY42" i="4"/>
  <c r="U4239" i="16"/>
  <c r="S4239" i="16"/>
  <c r="U4077" i="16"/>
  <c r="S4077" i="16"/>
  <c r="U3777" i="16"/>
  <c r="S3777" i="16"/>
  <c r="U3507" i="16"/>
  <c r="S3507" i="16"/>
  <c r="U3291" i="16"/>
  <c r="S3291" i="16"/>
  <c r="U3237" i="16"/>
  <c r="S3237" i="16"/>
  <c r="U3075" i="16"/>
  <c r="S3075" i="16"/>
  <c r="U2643" i="16"/>
  <c r="S2643" i="16"/>
  <c r="U2157" i="16"/>
  <c r="S2157" i="16"/>
  <c r="U1941" i="16"/>
  <c r="S1941" i="16"/>
  <c r="S1887" i="16"/>
  <c r="U1887" i="16"/>
  <c r="U1833" i="16"/>
  <c r="S1833" i="16"/>
  <c r="U1563" i="16"/>
  <c r="S1563" i="16"/>
  <c r="U1401" i="16"/>
  <c r="S1401" i="16"/>
  <c r="U1347" i="16"/>
  <c r="S1347" i="16"/>
  <c r="U1293" i="16"/>
  <c r="S1293" i="16"/>
  <c r="U1077" i="16"/>
  <c r="S1077" i="16"/>
  <c r="U807" i="16"/>
  <c r="S807" i="16"/>
  <c r="U645" i="16"/>
  <c r="S645" i="16"/>
  <c r="U375" i="16"/>
  <c r="S375" i="16"/>
  <c r="U321" i="16"/>
  <c r="S321" i="16"/>
  <c r="U159" i="16"/>
  <c r="S159" i="16"/>
  <c r="S105" i="16"/>
  <c r="U105" i="16"/>
  <c r="M3724" i="16"/>
  <c r="N3724" i="16"/>
  <c r="N3670" i="16"/>
  <c r="M3670" i="16"/>
  <c r="M3454" i="16"/>
  <c r="N3454" i="16"/>
  <c r="M3238" i="16"/>
  <c r="N3238" i="16"/>
  <c r="N3130" i="16"/>
  <c r="M3130" i="16"/>
  <c r="N3076" i="16"/>
  <c r="M3076" i="16"/>
  <c r="N3022" i="16"/>
  <c r="M3022" i="16"/>
  <c r="M2914" i="16"/>
  <c r="N2914" i="16"/>
  <c r="M2050" i="16"/>
  <c r="N2050" i="16"/>
  <c r="M1780" i="16"/>
  <c r="N1780" i="16"/>
  <c r="M1510" i="16"/>
  <c r="N1510" i="16"/>
  <c r="N1402" i="16"/>
  <c r="M1402" i="16"/>
  <c r="N1348" i="16"/>
  <c r="M1348" i="16"/>
  <c r="M1241" i="16"/>
  <c r="N1241" i="16"/>
  <c r="M970" i="16"/>
  <c r="N970" i="16"/>
  <c r="M754" i="16"/>
  <c r="N754" i="16"/>
  <c r="M484" i="16"/>
  <c r="N484" i="16"/>
  <c r="M214" i="16"/>
  <c r="N214" i="16"/>
  <c r="G17" i="11"/>
  <c r="N4702" i="16"/>
  <c r="S4702" i="16" s="1"/>
  <c r="D4649" i="16"/>
  <c r="F4649" i="16"/>
  <c r="O4649" i="16" s="1"/>
  <c r="F4595" i="16"/>
  <c r="K4595" i="16"/>
  <c r="K4541" i="16"/>
  <c r="F4541" i="16"/>
  <c r="K4241" i="16"/>
  <c r="F4241" i="16"/>
  <c r="O4241" i="16" s="1"/>
  <c r="F3725" i="16"/>
  <c r="O3725" i="16" s="1"/>
  <c r="K3725" i="16"/>
  <c r="K3509" i="16"/>
  <c r="F3509" i="16"/>
  <c r="O3509" i="16" s="1"/>
  <c r="K3455" i="16"/>
  <c r="F3455" i="16"/>
  <c r="O3455" i="16" s="1"/>
  <c r="K3185" i="16"/>
  <c r="F3185" i="16"/>
  <c r="O3185" i="16" s="1"/>
  <c r="F3077" i="16"/>
  <c r="O3077" i="16" s="1"/>
  <c r="K3077" i="16"/>
  <c r="F2969" i="16"/>
  <c r="O2969" i="16" s="1"/>
  <c r="K2969" i="16"/>
  <c r="K2645" i="16"/>
  <c r="F2645" i="16"/>
  <c r="O2645" i="16" s="1"/>
  <c r="K2429" i="16"/>
  <c r="F2429" i="16"/>
  <c r="O2429" i="16" s="1"/>
  <c r="F2213" i="16"/>
  <c r="O2213" i="16" s="1"/>
  <c r="K2213" i="16"/>
  <c r="K2105" i="16"/>
  <c r="F2105" i="16"/>
  <c r="O2105" i="16" s="1"/>
  <c r="K2051" i="16"/>
  <c r="F2051" i="16"/>
  <c r="O2051" i="16" s="1"/>
  <c r="K1997" i="16"/>
  <c r="F1997" i="16"/>
  <c r="O1997" i="16" s="1"/>
  <c r="K1727" i="16"/>
  <c r="F1727" i="16"/>
  <c r="O1727" i="16" s="1"/>
  <c r="K1511" i="16"/>
  <c r="F1511" i="16"/>
  <c r="O1511" i="16" s="1"/>
  <c r="K1457" i="16"/>
  <c r="F1457" i="16"/>
  <c r="O1457" i="16" s="1"/>
  <c r="F917" i="16"/>
  <c r="O917" i="16" s="1"/>
  <c r="K917" i="16"/>
  <c r="F863" i="16"/>
  <c r="O863" i="16" s="1"/>
  <c r="K863" i="16"/>
  <c r="K593" i="16"/>
  <c r="F593" i="16"/>
  <c r="O593" i="16" s="1"/>
  <c r="F323" i="16"/>
  <c r="O323" i="16" s="1"/>
  <c r="K323" i="16"/>
  <c r="N1349" i="16" l="1"/>
  <c r="S106" i="16"/>
  <c r="U106" i="16"/>
  <c r="D4650" i="16"/>
  <c r="F4650" i="16"/>
  <c r="O4650" i="16" s="1"/>
  <c r="F3132" i="16"/>
  <c r="O3132" i="16" s="1"/>
  <c r="K3132" i="16"/>
  <c r="K2862" i="16"/>
  <c r="F2862" i="16"/>
  <c r="O2862" i="16" s="1"/>
  <c r="K2052" i="16"/>
  <c r="F2052" i="16"/>
  <c r="O2052" i="16" s="1"/>
  <c r="K1458" i="16"/>
  <c r="F1458" i="16"/>
  <c r="O1458" i="16" s="1"/>
  <c r="K1188" i="16"/>
  <c r="F1188" i="16"/>
  <c r="O1188" i="16" s="1"/>
  <c r="K378" i="16"/>
  <c r="F378" i="16"/>
  <c r="O378" i="16" s="1"/>
  <c r="T4702" i="16"/>
  <c r="D33" i="11" s="1"/>
  <c r="S4703" i="16"/>
  <c r="T4703" i="16" s="1"/>
  <c r="D34" i="11" s="1"/>
  <c r="U4703" i="16"/>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D4596" i="16"/>
  <c r="J4596" i="16"/>
  <c r="P4596" i="16"/>
  <c r="Q4596" i="16"/>
  <c r="R4596" i="16"/>
  <c r="L4597" i="16"/>
  <c r="C4597" i="16"/>
  <c r="E4597" i="16"/>
  <c r="G4597" i="16"/>
  <c r="I4597" i="16"/>
  <c r="B4598" i="16"/>
  <c r="D4542" i="16"/>
  <c r="J4542" i="16"/>
  <c r="P4542" i="16"/>
  <c r="Q4542" i="16"/>
  <c r="R4542" i="16"/>
  <c r="L4543" i="16"/>
  <c r="C4543" i="16"/>
  <c r="E4543" i="16"/>
  <c r="G4543" i="16"/>
  <c r="I4543" i="16"/>
  <c r="B4544" i="16"/>
  <c r="D4242" i="16"/>
  <c r="J4242" i="16"/>
  <c r="N4242" i="16" s="1"/>
  <c r="P4242" i="16"/>
  <c r="Q4242" i="16"/>
  <c r="R4242" i="16"/>
  <c r="T4242" i="16"/>
  <c r="M4242" i="16"/>
  <c r="L4243" i="16"/>
  <c r="C4243" i="16"/>
  <c r="E4243" i="16"/>
  <c r="G4243" i="16"/>
  <c r="I4243" i="16"/>
  <c r="B4244" i="16"/>
  <c r="U4187" i="16"/>
  <c r="S4187" i="16"/>
  <c r="L4189" i="16"/>
  <c r="B4190" i="16"/>
  <c r="C4189" i="16"/>
  <c r="E4189" i="16"/>
  <c r="F4189" i="16"/>
  <c r="O4189" i="16" s="1"/>
  <c r="G4189" i="16"/>
  <c r="I4189" i="16"/>
  <c r="K4189" i="16"/>
  <c r="D4188" i="16"/>
  <c r="J4188" i="16"/>
  <c r="N4188" i="16" s="1"/>
  <c r="P4188" i="16"/>
  <c r="Q4188" i="16"/>
  <c r="R4188" i="16"/>
  <c r="T4188" i="16"/>
  <c r="M4188" i="16"/>
  <c r="U4133" i="16"/>
  <c r="S4133" i="16"/>
  <c r="P4134" i="16"/>
  <c r="Q4134" i="16"/>
  <c r="R4134" i="16"/>
  <c r="T4134" i="16"/>
  <c r="M4134" i="16"/>
  <c r="C4135" i="16"/>
  <c r="E4135" i="16"/>
  <c r="F4135" i="16"/>
  <c r="O4135" i="16" s="1"/>
  <c r="G4135" i="16"/>
  <c r="L4135" i="16"/>
  <c r="I4135" i="16"/>
  <c r="K4135" i="16"/>
  <c r="B4136" i="16"/>
  <c r="J4134" i="16"/>
  <c r="N4134" i="16" s="1"/>
  <c r="D4134" i="16"/>
  <c r="U4079" i="16"/>
  <c r="S4079" i="16"/>
  <c r="M4080" i="16"/>
  <c r="D4080" i="16"/>
  <c r="J4080" i="16"/>
  <c r="N4080" i="16" s="1"/>
  <c r="P4080" i="16"/>
  <c r="Q4080" i="16"/>
  <c r="R4080" i="16"/>
  <c r="T4080" i="16"/>
  <c r="L4081" i="16"/>
  <c r="C4081" i="16"/>
  <c r="E4081" i="16"/>
  <c r="G4081" i="16"/>
  <c r="I4081" i="16"/>
  <c r="B4082" i="16"/>
  <c r="U3779" i="16"/>
  <c r="S3779" i="16"/>
  <c r="M3780" i="16"/>
  <c r="D3780" i="16"/>
  <c r="J3780" i="16"/>
  <c r="N3780" i="16" s="1"/>
  <c r="P3780" i="16"/>
  <c r="Q3780" i="16"/>
  <c r="R3780" i="16"/>
  <c r="T3780" i="16"/>
  <c r="L3781" i="16"/>
  <c r="C3781" i="16"/>
  <c r="K3781" i="16" s="1"/>
  <c r="E3781" i="16"/>
  <c r="F3781" i="16"/>
  <c r="O3781" i="16" s="1"/>
  <c r="G3781" i="16"/>
  <c r="I3781" i="16"/>
  <c r="B3782" i="16"/>
  <c r="D3726" i="16"/>
  <c r="J3726" i="16"/>
  <c r="P3726" i="16"/>
  <c r="Q3726" i="16"/>
  <c r="R3726" i="16"/>
  <c r="T3726" i="16"/>
  <c r="L3727" i="16"/>
  <c r="C3727" i="16"/>
  <c r="K3727" i="16" s="1"/>
  <c r="E3727" i="16"/>
  <c r="F3727" i="16"/>
  <c r="O3727" i="16" s="1"/>
  <c r="G3727" i="16"/>
  <c r="I3727" i="16"/>
  <c r="B3728" i="16"/>
  <c r="S3671" i="16"/>
  <c r="U3671" i="16"/>
  <c r="D3672" i="16"/>
  <c r="J3672" i="16"/>
  <c r="P3672" i="16"/>
  <c r="Q3672" i="16"/>
  <c r="R3672" i="16"/>
  <c r="T3672" i="16"/>
  <c r="L3673" i="16"/>
  <c r="C3673" i="16"/>
  <c r="E3673" i="16"/>
  <c r="G3673" i="16"/>
  <c r="I3673" i="16"/>
  <c r="B3674"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M3510" i="16"/>
  <c r="D3510" i="16"/>
  <c r="J3510" i="16"/>
  <c r="N3510" i="16" s="1"/>
  <c r="P3510" i="16"/>
  <c r="Q3510" i="16"/>
  <c r="R3510" i="16"/>
  <c r="T3510" i="16"/>
  <c r="L3511" i="16"/>
  <c r="C3511" i="16"/>
  <c r="E3511" i="16"/>
  <c r="G3511" i="16"/>
  <c r="I3511" i="16"/>
  <c r="B3512" i="16"/>
  <c r="M3456" i="16"/>
  <c r="D3456" i="16"/>
  <c r="J3456" i="16"/>
  <c r="N3456" i="16" s="1"/>
  <c r="P3456" i="16"/>
  <c r="Q3456" i="16"/>
  <c r="R3456" i="16"/>
  <c r="T3456" i="16"/>
  <c r="L3457" i="16"/>
  <c r="E3457" i="16"/>
  <c r="G3457" i="16"/>
  <c r="I3457" i="16"/>
  <c r="B3458" i="16"/>
  <c r="C3457" i="16"/>
  <c r="U3401" i="16"/>
  <c r="S3401" i="16"/>
  <c r="M3402" i="16"/>
  <c r="D3402" i="16"/>
  <c r="J3402" i="16"/>
  <c r="N3402" i="16" s="1"/>
  <c r="P3402" i="16"/>
  <c r="Q3402" i="16"/>
  <c r="R3402" i="16"/>
  <c r="T3402" i="16"/>
  <c r="L3403" i="16"/>
  <c r="C3403" i="16"/>
  <c r="K3403" i="16" s="1"/>
  <c r="E3403" i="16"/>
  <c r="F3403" i="16"/>
  <c r="O3403" i="16" s="1"/>
  <c r="G3403" i="16"/>
  <c r="I3403" i="16"/>
  <c r="B3404" i="16"/>
  <c r="U3347" i="16"/>
  <c r="S3347" i="16"/>
  <c r="D3348" i="16"/>
  <c r="J3348" i="16"/>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U3239" i="16"/>
  <c r="S3239" i="16"/>
  <c r="D3240" i="16"/>
  <c r="J3240" i="16"/>
  <c r="P3240" i="16"/>
  <c r="Q3240" i="16"/>
  <c r="R3240" i="16"/>
  <c r="T3240" i="16"/>
  <c r="L3241" i="16"/>
  <c r="B3242" i="16"/>
  <c r="C3241" i="16"/>
  <c r="K3241" i="16" s="1"/>
  <c r="E3241" i="16"/>
  <c r="G3241" i="16"/>
  <c r="I3241" i="16"/>
  <c r="F3241" i="16"/>
  <c r="O3241" i="16" s="1"/>
  <c r="P3186" i="16"/>
  <c r="Q3186" i="16"/>
  <c r="R3186" i="16"/>
  <c r="T3186" i="16"/>
  <c r="L3187" i="16"/>
  <c r="C3187" i="16"/>
  <c r="B3188" i="16"/>
  <c r="I3187" i="16"/>
  <c r="E3187" i="16"/>
  <c r="G3187" i="16"/>
  <c r="J3186" i="16"/>
  <c r="D3186" i="16"/>
  <c r="U3131" i="16"/>
  <c r="S3131" i="16"/>
  <c r="M3132" i="16"/>
  <c r="P3132" i="16"/>
  <c r="Q3132" i="16"/>
  <c r="R3132" i="16"/>
  <c r="T3132" i="16"/>
  <c r="J3132" i="16"/>
  <c r="N3132" i="16" s="1"/>
  <c r="D3132" i="16"/>
  <c r="L3133" i="16"/>
  <c r="E3133" i="16"/>
  <c r="C3133" i="16"/>
  <c r="K3133" i="16" s="1"/>
  <c r="F3133" i="16"/>
  <c r="O3133" i="16" s="1"/>
  <c r="G3133" i="16"/>
  <c r="I3133" i="16"/>
  <c r="B3134" i="16"/>
  <c r="P3078" i="16"/>
  <c r="Q3078" i="16"/>
  <c r="R3078" i="16"/>
  <c r="T3078" i="16"/>
  <c r="J3078" i="16"/>
  <c r="D3078" i="16"/>
  <c r="L3079" i="16"/>
  <c r="I3079" i="16"/>
  <c r="B3080" i="16"/>
  <c r="E3079" i="16"/>
  <c r="C3079" i="16"/>
  <c r="G3079" i="16"/>
  <c r="U3023" i="16"/>
  <c r="S3023" i="16"/>
  <c r="P3024" i="16"/>
  <c r="Q3024" i="16"/>
  <c r="R3024" i="16"/>
  <c r="T3024" i="16"/>
  <c r="L3025" i="16"/>
  <c r="G3025" i="16"/>
  <c r="C3025" i="16"/>
  <c r="E3025" i="16"/>
  <c r="I3025" i="16"/>
  <c r="B3026" i="16"/>
  <c r="J3024" i="16"/>
  <c r="D3024" i="16"/>
  <c r="M2970" i="16"/>
  <c r="D2970" i="16"/>
  <c r="J2970" i="16"/>
  <c r="N2970" i="16" s="1"/>
  <c r="P2970" i="16"/>
  <c r="Q2970" i="16"/>
  <c r="R2970" i="16"/>
  <c r="T2970" i="16"/>
  <c r="L2971" i="16"/>
  <c r="C2971" i="16"/>
  <c r="K2971" i="16" s="1"/>
  <c r="E2971" i="16"/>
  <c r="F2971" i="16"/>
  <c r="O2971" i="16" s="1"/>
  <c r="G2971" i="16"/>
  <c r="I2971" i="16"/>
  <c r="B2972" i="16"/>
  <c r="U2915" i="16"/>
  <c r="S2915" i="16"/>
  <c r="D2916" i="16"/>
  <c r="J2916" i="16"/>
  <c r="P2916" i="16"/>
  <c r="Q2916" i="16"/>
  <c r="R2916" i="16"/>
  <c r="T2916" i="16"/>
  <c r="L2917" i="16"/>
  <c r="C2917" i="16"/>
  <c r="E2917" i="16"/>
  <c r="G2917" i="16"/>
  <c r="I2917" i="16"/>
  <c r="B2918" i="16"/>
  <c r="U2861" i="16"/>
  <c r="S2861" i="16"/>
  <c r="M2862" i="16"/>
  <c r="D2862" i="16"/>
  <c r="J2862" i="16"/>
  <c r="N2862" i="16" s="1"/>
  <c r="P2862" i="16"/>
  <c r="Q2862" i="16"/>
  <c r="R2862" i="16"/>
  <c r="T2862" i="16"/>
  <c r="L2863" i="16"/>
  <c r="C2863" i="16"/>
  <c r="E2863" i="16"/>
  <c r="G2863" i="16"/>
  <c r="I2863" i="16"/>
  <c r="B2864" i="16"/>
  <c r="M2808" i="16"/>
  <c r="D2808" i="16"/>
  <c r="J2808" i="16"/>
  <c r="N2808" i="16" s="1"/>
  <c r="S2808" i="16" s="1"/>
  <c r="P2808" i="16"/>
  <c r="Q2808" i="16"/>
  <c r="R2808" i="16"/>
  <c r="T2808" i="16"/>
  <c r="U2808" i="16" s="1"/>
  <c r="L2809" i="16"/>
  <c r="C2809" i="16"/>
  <c r="E2809" i="16"/>
  <c r="G2809" i="16"/>
  <c r="I2809" i="16"/>
  <c r="B2810" i="16"/>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D2700" i="16"/>
  <c r="J2700" i="16"/>
  <c r="P2700" i="16"/>
  <c r="Q2700" i="16"/>
  <c r="R2700" i="16"/>
  <c r="T2700" i="16"/>
  <c r="L2701" i="16"/>
  <c r="C2701" i="16"/>
  <c r="K2701" i="16" s="1"/>
  <c r="E2701" i="16"/>
  <c r="F2701" i="16"/>
  <c r="O2701" i="16" s="1"/>
  <c r="G2701" i="16"/>
  <c r="I2701" i="16"/>
  <c r="B2702" i="16"/>
  <c r="D2646" i="16"/>
  <c r="J2646" i="16"/>
  <c r="P2646" i="16"/>
  <c r="Q2646" i="16"/>
  <c r="R2646" i="16"/>
  <c r="T2646" i="16"/>
  <c r="L2647" i="16"/>
  <c r="C2647" i="16"/>
  <c r="E2647" i="16"/>
  <c r="G2647" i="16"/>
  <c r="I2647" i="16"/>
  <c r="B2648" i="16"/>
  <c r="U2591" i="16"/>
  <c r="S2591" i="16"/>
  <c r="M2592" i="16"/>
  <c r="D2592" i="16"/>
  <c r="J2592" i="16"/>
  <c r="N2592" i="16" s="1"/>
  <c r="P2592" i="16"/>
  <c r="Q2592" i="16"/>
  <c r="R2592" i="16"/>
  <c r="T2592" i="16"/>
  <c r="L2593" i="16"/>
  <c r="C2593" i="16"/>
  <c r="E2593" i="16"/>
  <c r="G2593" i="16"/>
  <c r="I2593" i="16"/>
  <c r="B2594" i="16"/>
  <c r="U2537" i="16"/>
  <c r="S2537" i="16"/>
  <c r="D2538" i="16"/>
  <c r="M2538" i="16" s="1"/>
  <c r="J2538" i="16"/>
  <c r="P2538" i="16"/>
  <c r="Q2538" i="16"/>
  <c r="R2538" i="16"/>
  <c r="T2538" i="16"/>
  <c r="L2539" i="16"/>
  <c r="C2539" i="16"/>
  <c r="E2539" i="16"/>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D2430" i="16"/>
  <c r="J2430" i="16"/>
  <c r="Q2430" i="16"/>
  <c r="R2430" i="16"/>
  <c r="P2430" i="16"/>
  <c r="T2430" i="16"/>
  <c r="L2431" i="16"/>
  <c r="C2431" i="16"/>
  <c r="E2431" i="16"/>
  <c r="G2431" i="16"/>
  <c r="I2431" i="16"/>
  <c r="B2432" i="16"/>
  <c r="U2375" i="16"/>
  <c r="S2375" i="16"/>
  <c r="D2376" i="16"/>
  <c r="J2376" i="16"/>
  <c r="Q2376" i="16"/>
  <c r="P2376" i="16"/>
  <c r="R2376" i="16"/>
  <c r="T2376" i="16"/>
  <c r="L2377" i="16"/>
  <c r="C2377" i="16"/>
  <c r="E2377" i="16"/>
  <c r="G2377" i="16"/>
  <c r="I2377" i="16"/>
  <c r="B2378" i="16"/>
  <c r="U2321" i="16"/>
  <c r="S2321" i="16"/>
  <c r="M2322" i="16"/>
  <c r="D2322" i="16"/>
  <c r="J2322" i="16"/>
  <c r="N2322" i="16" s="1"/>
  <c r="P2322" i="16"/>
  <c r="Q2322" i="16"/>
  <c r="R2322" i="16"/>
  <c r="T2322" i="16"/>
  <c r="L2323" i="16"/>
  <c r="C2323" i="16"/>
  <c r="E2323" i="16"/>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M2214" i="16"/>
  <c r="D2214" i="16"/>
  <c r="J2214" i="16"/>
  <c r="N2214" i="16" s="1"/>
  <c r="P2214" i="16"/>
  <c r="Q2214" i="16"/>
  <c r="R2214" i="16"/>
  <c r="T2214" i="16"/>
  <c r="L2215" i="16"/>
  <c r="C2215" i="16"/>
  <c r="E2215" i="16"/>
  <c r="G2215" i="16"/>
  <c r="I2215" i="16"/>
  <c r="B2216" i="16"/>
  <c r="U2159" i="16"/>
  <c r="S2159" i="16"/>
  <c r="D2160" i="16"/>
  <c r="J2160" i="16"/>
  <c r="P2160" i="16"/>
  <c r="Q2160" i="16"/>
  <c r="R2160" i="16"/>
  <c r="T2160" i="16"/>
  <c r="L2161" i="16"/>
  <c r="C2161" i="16"/>
  <c r="K2161" i="16" s="1"/>
  <c r="E2161" i="16"/>
  <c r="F2161" i="16"/>
  <c r="O2161" i="16" s="1"/>
  <c r="G2161" i="16"/>
  <c r="B2162" i="16"/>
  <c r="I2161" i="16"/>
  <c r="P2106" i="16"/>
  <c r="Q2106" i="16"/>
  <c r="R2106" i="16"/>
  <c r="T2106" i="16"/>
  <c r="J2106" i="16"/>
  <c r="D2106" i="16"/>
  <c r="L2107" i="16"/>
  <c r="I2107" i="16"/>
  <c r="B2108" i="16"/>
  <c r="C2107" i="16"/>
  <c r="K2107" i="16" s="1"/>
  <c r="E2107" i="16"/>
  <c r="F2107" i="16"/>
  <c r="O2107" i="16" s="1"/>
  <c r="G2107" i="16"/>
  <c r="M2052" i="16"/>
  <c r="D2052" i="16"/>
  <c r="J2052" i="16"/>
  <c r="N2052" i="16" s="1"/>
  <c r="P2052" i="16"/>
  <c r="Q2052" i="16"/>
  <c r="R2052" i="16"/>
  <c r="T2052" i="16"/>
  <c r="L2053" i="16"/>
  <c r="C2053" i="16"/>
  <c r="E2053" i="16"/>
  <c r="G2053" i="16"/>
  <c r="I2053" i="16"/>
  <c r="B2054" i="16"/>
  <c r="M1998" i="16"/>
  <c r="D1998" i="16"/>
  <c r="J1998" i="16"/>
  <c r="N1998" i="16" s="1"/>
  <c r="P1998" i="16"/>
  <c r="Q1998" i="16"/>
  <c r="R1998" i="16"/>
  <c r="T1998" i="16"/>
  <c r="L1999" i="16"/>
  <c r="C1999" i="16"/>
  <c r="E1999" i="16"/>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S1889" i="16"/>
  <c r="U1889" i="16"/>
  <c r="D1890" i="16"/>
  <c r="J1890" i="16"/>
  <c r="P1890" i="16"/>
  <c r="Q1890" i="16"/>
  <c r="R1890" i="16"/>
  <c r="T1890" i="16"/>
  <c r="L1891" i="16"/>
  <c r="C1891" i="16"/>
  <c r="K1891" i="16" s="1"/>
  <c r="E1891" i="16"/>
  <c r="F1891" i="16"/>
  <c r="O1891" i="16" s="1"/>
  <c r="G1891" i="16"/>
  <c r="I1891" i="16"/>
  <c r="B1892" i="16"/>
  <c r="U1835" i="16"/>
  <c r="S1835" i="16"/>
  <c r="D1836" i="16"/>
  <c r="J1836" i="16"/>
  <c r="P1836" i="16"/>
  <c r="Q1836" i="16"/>
  <c r="R1836" i="16"/>
  <c r="T1836" i="16"/>
  <c r="L1837" i="16"/>
  <c r="C1837" i="16"/>
  <c r="K1837" i="16" s="1"/>
  <c r="E1837" i="16"/>
  <c r="F1837" i="16"/>
  <c r="O1837" i="16" s="1"/>
  <c r="G1837" i="16"/>
  <c r="I1837" i="16"/>
  <c r="B1838" i="16"/>
  <c r="U1781" i="16"/>
  <c r="S1781" i="16"/>
  <c r="M1782" i="16"/>
  <c r="D1782" i="16"/>
  <c r="J1782" i="16"/>
  <c r="N1782" i="16" s="1"/>
  <c r="P1782" i="16"/>
  <c r="Q1782" i="16"/>
  <c r="R1782" i="16"/>
  <c r="T1782" i="16"/>
  <c r="L1783" i="16"/>
  <c r="C1783" i="16"/>
  <c r="E1783" i="16"/>
  <c r="G1783" i="16"/>
  <c r="I1783" i="16"/>
  <c r="B1784" i="16"/>
  <c r="M1728" i="16"/>
  <c r="D1728" i="16"/>
  <c r="J1728" i="16"/>
  <c r="N1728" i="16" s="1"/>
  <c r="P1728" i="16"/>
  <c r="Q1728" i="16"/>
  <c r="R1728" i="16"/>
  <c r="T1728" i="16"/>
  <c r="L1729" i="16"/>
  <c r="C1729" i="16"/>
  <c r="E1729" i="16"/>
  <c r="G1729" i="16"/>
  <c r="I1729" i="16"/>
  <c r="B1730" i="16"/>
  <c r="S1673" i="16"/>
  <c r="U1673" i="16"/>
  <c r="M1674" i="16"/>
  <c r="D1674" i="16"/>
  <c r="J1674" i="16"/>
  <c r="N1674" i="16" s="1"/>
  <c r="P1674" i="16"/>
  <c r="Q1674" i="16"/>
  <c r="R1674" i="16"/>
  <c r="T1674" i="16"/>
  <c r="L1675" i="16"/>
  <c r="C1675" i="16"/>
  <c r="K1675" i="16" s="1"/>
  <c r="E1675" i="16"/>
  <c r="F1675" i="16"/>
  <c r="O1675" i="16" s="1"/>
  <c r="G1675" i="16"/>
  <c r="I1675" i="16"/>
  <c r="B1676" i="16"/>
  <c r="U1619" i="16"/>
  <c r="S1619" i="16"/>
  <c r="D1620" i="16"/>
  <c r="J1620" i="16"/>
  <c r="P1620" i="16"/>
  <c r="Q1620" i="16"/>
  <c r="R1620" i="16"/>
  <c r="T1620" i="16"/>
  <c r="L1621" i="16"/>
  <c r="C1621" i="16"/>
  <c r="K1621" i="16" s="1"/>
  <c r="E1621" i="16"/>
  <c r="F1621" i="16"/>
  <c r="O1621" i="16" s="1"/>
  <c r="G1621" i="16"/>
  <c r="I1621" i="16"/>
  <c r="B1622" i="16"/>
  <c r="U1565" i="16"/>
  <c r="S1565" i="16"/>
  <c r="D1566" i="16"/>
  <c r="J1566" i="16"/>
  <c r="P1566" i="16"/>
  <c r="Q1566" i="16"/>
  <c r="R1566" i="16"/>
  <c r="T1566" i="16"/>
  <c r="L1567" i="16"/>
  <c r="C1567" i="16"/>
  <c r="E1567" i="16"/>
  <c r="G1567" i="16"/>
  <c r="I1567" i="16"/>
  <c r="B1568" i="16"/>
  <c r="M1512" i="16"/>
  <c r="D1512" i="16"/>
  <c r="J1512" i="16"/>
  <c r="N1512" i="16" s="1"/>
  <c r="P1512" i="16"/>
  <c r="Q1512" i="16"/>
  <c r="R1512" i="16"/>
  <c r="T1512" i="16"/>
  <c r="L1513" i="16"/>
  <c r="G1513" i="16"/>
  <c r="I1513" i="16"/>
  <c r="B1514" i="16"/>
  <c r="C1513" i="16"/>
  <c r="E1513" i="16"/>
  <c r="D1458" i="16"/>
  <c r="M1458" i="16" s="1"/>
  <c r="J1458" i="16"/>
  <c r="P1458" i="16"/>
  <c r="Q1458" i="16"/>
  <c r="R1458" i="16"/>
  <c r="T1458" i="16"/>
  <c r="L1459" i="16"/>
  <c r="C1459" i="16"/>
  <c r="E1459" i="16"/>
  <c r="G1459" i="16"/>
  <c r="B1460" i="16"/>
  <c r="I1459" i="16"/>
  <c r="U1403" i="16"/>
  <c r="S1403" i="16"/>
  <c r="P1404" i="16"/>
  <c r="Q1404" i="16"/>
  <c r="R1404" i="16"/>
  <c r="T1404" i="16"/>
  <c r="L1405" i="16"/>
  <c r="C1405" i="16"/>
  <c r="K1405" i="16" s="1"/>
  <c r="F1405" i="16"/>
  <c r="O1405" i="16" s="1"/>
  <c r="G1405" i="16"/>
  <c r="I1405" i="16"/>
  <c r="E1405" i="16"/>
  <c r="B1406" i="16"/>
  <c r="D1404" i="16"/>
  <c r="J1404" i="16"/>
  <c r="U1349" i="16"/>
  <c r="S1349" i="16"/>
  <c r="D1350" i="16"/>
  <c r="J1350" i="16"/>
  <c r="P1350" i="16"/>
  <c r="Q1350" i="16"/>
  <c r="R1350" i="16"/>
  <c r="T1350" i="16"/>
  <c r="L1351" i="16"/>
  <c r="E1351" i="16"/>
  <c r="B1352" i="16"/>
  <c r="I1351" i="16"/>
  <c r="G1351" i="16"/>
  <c r="C1351" i="16"/>
  <c r="U1295" i="16"/>
  <c r="S1295" i="16"/>
  <c r="P1296" i="16"/>
  <c r="Q1296" i="16"/>
  <c r="R1296" i="16"/>
  <c r="T1296" i="16"/>
  <c r="L1297" i="16"/>
  <c r="E1297" i="16"/>
  <c r="C1297" i="16"/>
  <c r="K1297" i="16" s="1"/>
  <c r="G1297" i="16"/>
  <c r="B1298" i="16"/>
  <c r="I1297" i="16"/>
  <c r="F1297" i="16"/>
  <c r="O1297" i="16" s="1"/>
  <c r="D1296" i="16"/>
  <c r="J1296" i="16"/>
  <c r="U1242" i="16"/>
  <c r="S1242" i="16"/>
  <c r="M1243" i="16"/>
  <c r="L1244" i="16"/>
  <c r="E1244" i="16"/>
  <c r="I1244" i="16"/>
  <c r="C1244" i="16"/>
  <c r="K1244" i="16" s="1"/>
  <c r="G1244" i="16"/>
  <c r="F1244" i="16"/>
  <c r="O1244" i="16" s="1"/>
  <c r="B1245" i="16"/>
  <c r="J1243" i="16"/>
  <c r="N1243" i="16" s="1"/>
  <c r="D1243" i="16"/>
  <c r="P1243" i="16"/>
  <c r="Q1243" i="16"/>
  <c r="R1243" i="16"/>
  <c r="T1243" i="16"/>
  <c r="U1187" i="16"/>
  <c r="S1187" i="16"/>
  <c r="M1188" i="16"/>
  <c r="D1188" i="16"/>
  <c r="J1188" i="16"/>
  <c r="N1188" i="16" s="1"/>
  <c r="P1188" i="16"/>
  <c r="Q1188" i="16"/>
  <c r="R1188" i="16"/>
  <c r="T1188" i="16"/>
  <c r="L1189" i="16"/>
  <c r="C1189" i="16"/>
  <c r="E1189" i="16"/>
  <c r="G1189" i="16"/>
  <c r="I1189" i="16"/>
  <c r="B1190" i="16"/>
  <c r="U1133" i="16"/>
  <c r="S1133" i="16"/>
  <c r="D1134" i="16"/>
  <c r="J1134" i="16"/>
  <c r="P1134" i="16"/>
  <c r="Q1134" i="16"/>
  <c r="R1134" i="16"/>
  <c r="T1134" i="16"/>
  <c r="L1135" i="16"/>
  <c r="C1135" i="16"/>
  <c r="E1135" i="16"/>
  <c r="G1135" i="16"/>
  <c r="I1135" i="16"/>
  <c r="B1136" i="16"/>
  <c r="U1079" i="16"/>
  <c r="S1079" i="16"/>
  <c r="D1080" i="16"/>
  <c r="J1080" i="16"/>
  <c r="P1080" i="16"/>
  <c r="Q1080" i="16"/>
  <c r="R1080" i="16"/>
  <c r="T1080" i="16"/>
  <c r="L1081" i="16"/>
  <c r="C1081" i="16"/>
  <c r="K1081" i="16" s="1"/>
  <c r="E1081" i="16"/>
  <c r="F1081" i="16"/>
  <c r="O1081" i="16" s="1"/>
  <c r="G1081" i="16"/>
  <c r="I1081" i="16"/>
  <c r="B1082" i="16"/>
  <c r="U1025" i="16"/>
  <c r="S1025" i="16"/>
  <c r="M1026" i="16"/>
  <c r="D1026" i="16"/>
  <c r="J1026" i="16"/>
  <c r="N1026" i="16" s="1"/>
  <c r="P1026" i="16"/>
  <c r="Q1026" i="16"/>
  <c r="R1026" i="16"/>
  <c r="T1026" i="16"/>
  <c r="L1027" i="16"/>
  <c r="C1027" i="16"/>
  <c r="K1027" i="16" s="1"/>
  <c r="E1027" i="16"/>
  <c r="F1027" i="16"/>
  <c r="O1027" i="16" s="1"/>
  <c r="G1027" i="16"/>
  <c r="I1027" i="16"/>
  <c r="B1028" i="16"/>
  <c r="U971" i="16"/>
  <c r="S971" i="16"/>
  <c r="M972" i="16"/>
  <c r="D972" i="16"/>
  <c r="J972" i="16"/>
  <c r="N972" i="16" s="1"/>
  <c r="P972" i="16"/>
  <c r="Q972" i="16"/>
  <c r="R972" i="16"/>
  <c r="T972" i="16"/>
  <c r="L973" i="16"/>
  <c r="C973" i="16"/>
  <c r="E973" i="16"/>
  <c r="G973" i="16"/>
  <c r="I973" i="16"/>
  <c r="B974" i="16"/>
  <c r="M918" i="16"/>
  <c r="D918" i="16"/>
  <c r="J918" i="16"/>
  <c r="N918" i="16" s="1"/>
  <c r="P918" i="16"/>
  <c r="Q918" i="16"/>
  <c r="R918" i="16"/>
  <c r="T918" i="16"/>
  <c r="L919" i="16"/>
  <c r="C919" i="16"/>
  <c r="E919" i="16"/>
  <c r="G919" i="16"/>
  <c r="I919" i="16"/>
  <c r="B920" i="16"/>
  <c r="D864" i="16"/>
  <c r="J864" i="16"/>
  <c r="P864" i="16"/>
  <c r="Q864" i="16"/>
  <c r="R864" i="16"/>
  <c r="T864" i="16"/>
  <c r="L865" i="16"/>
  <c r="C865" i="16"/>
  <c r="K865" i="16" s="1"/>
  <c r="E865" i="16"/>
  <c r="F865" i="16"/>
  <c r="O865" i="16" s="1"/>
  <c r="G865" i="16"/>
  <c r="I865" i="16"/>
  <c r="B866" i="16"/>
  <c r="U809" i="16"/>
  <c r="S809" i="16"/>
  <c r="D810" i="16"/>
  <c r="J810" i="16"/>
  <c r="P810" i="16"/>
  <c r="Q810" i="16"/>
  <c r="R810" i="16"/>
  <c r="T810" i="16"/>
  <c r="L811" i="16"/>
  <c r="C811" i="16"/>
  <c r="K811" i="16" s="1"/>
  <c r="E811" i="16"/>
  <c r="F811" i="16"/>
  <c r="O811" i="16" s="1"/>
  <c r="G811" i="16"/>
  <c r="I811" i="16"/>
  <c r="B812" i="16"/>
  <c r="U755" i="16"/>
  <c r="S755" i="16"/>
  <c r="M756" i="16"/>
  <c r="D756" i="16"/>
  <c r="J756" i="16"/>
  <c r="N756" i="16" s="1"/>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E649" i="16"/>
  <c r="G649" i="16"/>
  <c r="I649" i="16"/>
  <c r="B650" i="16"/>
  <c r="M594" i="16"/>
  <c r="D594" i="16"/>
  <c r="J594" i="16"/>
  <c r="N594" i="16" s="1"/>
  <c r="P594" i="16"/>
  <c r="Q594" i="16"/>
  <c r="R594" i="16"/>
  <c r="T594" i="16"/>
  <c r="L595" i="16"/>
  <c r="C595" i="16"/>
  <c r="E595" i="16"/>
  <c r="G595" i="16"/>
  <c r="I595" i="16"/>
  <c r="B596" i="16"/>
  <c r="U539" i="16"/>
  <c r="S539" i="16"/>
  <c r="D540" i="16"/>
  <c r="J540" i="16"/>
  <c r="Q540" i="16"/>
  <c r="P540" i="16"/>
  <c r="R540" i="16"/>
  <c r="T540" i="16"/>
  <c r="L541" i="16"/>
  <c r="C541" i="16"/>
  <c r="E541" i="16"/>
  <c r="G541" i="16"/>
  <c r="I541" i="16"/>
  <c r="B542" i="16"/>
  <c r="U485" i="16"/>
  <c r="S485" i="16"/>
  <c r="M486" i="16"/>
  <c r="D486" i="16"/>
  <c r="J486" i="16"/>
  <c r="N486" i="16" s="1"/>
  <c r="Q486" i="16"/>
  <c r="P486" i="16"/>
  <c r="R486" i="16"/>
  <c r="T486" i="16"/>
  <c r="L487" i="16"/>
  <c r="C487" i="16"/>
  <c r="K487" i="16" s="1"/>
  <c r="E487" i="16"/>
  <c r="F487" i="16"/>
  <c r="O487" i="16" s="1"/>
  <c r="G487" i="16"/>
  <c r="I487" i="16"/>
  <c r="B488" i="16"/>
  <c r="U431" i="16"/>
  <c r="S431" i="16"/>
  <c r="M432" i="16"/>
  <c r="D432" i="16"/>
  <c r="J432" i="16"/>
  <c r="N432" i="16" s="1"/>
  <c r="P432" i="16"/>
  <c r="Q432" i="16"/>
  <c r="R432" i="16"/>
  <c r="T432" i="16"/>
  <c r="L433" i="16"/>
  <c r="C433" i="16"/>
  <c r="E433" i="16"/>
  <c r="G433" i="16"/>
  <c r="I433" i="16"/>
  <c r="B434" i="16"/>
  <c r="U377" i="16"/>
  <c r="S377" i="16"/>
  <c r="D378" i="16"/>
  <c r="M378" i="16" s="1"/>
  <c r="J378" i="16"/>
  <c r="P378" i="16"/>
  <c r="Q378" i="16"/>
  <c r="R378" i="16"/>
  <c r="T378" i="16"/>
  <c r="L379" i="16"/>
  <c r="C379" i="16"/>
  <c r="K379" i="16" s="1"/>
  <c r="E379" i="16"/>
  <c r="F379" i="16"/>
  <c r="O379" i="16" s="1"/>
  <c r="G379" i="16"/>
  <c r="I379" i="16"/>
  <c r="B380" i="16"/>
  <c r="D324" i="16"/>
  <c r="J324" i="16"/>
  <c r="P324" i="16"/>
  <c r="Q324" i="16"/>
  <c r="R324" i="16"/>
  <c r="T324" i="16"/>
  <c r="L325" i="16"/>
  <c r="E325" i="16"/>
  <c r="G325" i="16"/>
  <c r="I325" i="16"/>
  <c r="B326" i="16"/>
  <c r="C325" i="16"/>
  <c r="U269" i="16"/>
  <c r="S269" i="16"/>
  <c r="D270" i="16"/>
  <c r="J270" i="16"/>
  <c r="P270" i="16"/>
  <c r="Q270" i="16"/>
  <c r="R270" i="16"/>
  <c r="T270" i="16"/>
  <c r="L271" i="16"/>
  <c r="C271" i="16"/>
  <c r="K271" i="16" s="1"/>
  <c r="E271" i="16"/>
  <c r="F271" i="16"/>
  <c r="O271" i="16" s="1"/>
  <c r="G271" i="16"/>
  <c r="I271" i="16"/>
  <c r="B272" i="16"/>
  <c r="U215" i="16"/>
  <c r="S215" i="16"/>
  <c r="D216" i="16"/>
  <c r="J216" i="16"/>
  <c r="P216" i="16"/>
  <c r="Q216" i="16"/>
  <c r="R216" i="16"/>
  <c r="T216" i="16"/>
  <c r="L217" i="16"/>
  <c r="C217" i="16"/>
  <c r="K217" i="16" s="1"/>
  <c r="E217" i="16"/>
  <c r="F217" i="16"/>
  <c r="O217" i="16" s="1"/>
  <c r="G217" i="16"/>
  <c r="I217" i="16"/>
  <c r="B218" i="16"/>
  <c r="U161" i="16"/>
  <c r="S161" i="16"/>
  <c r="D162" i="16"/>
  <c r="J162" i="16"/>
  <c r="P162" i="16"/>
  <c r="Q162" i="16"/>
  <c r="R162" i="16"/>
  <c r="T162" i="16"/>
  <c r="L163" i="16"/>
  <c r="C163" i="16"/>
  <c r="E163" i="16"/>
  <c r="G163" i="16"/>
  <c r="I163" i="16"/>
  <c r="B164" i="16"/>
  <c r="S107" i="16"/>
  <c r="U107" i="16"/>
  <c r="D108" i="16"/>
  <c r="J108" i="16"/>
  <c r="P108" i="16"/>
  <c r="Q108" i="16"/>
  <c r="R108" i="16"/>
  <c r="T108" i="16"/>
  <c r="L109" i="16"/>
  <c r="C109" i="16"/>
  <c r="K109" i="16" s="1"/>
  <c r="E109" i="16"/>
  <c r="F109" i="16"/>
  <c r="O109" i="16" s="1"/>
  <c r="G109" i="16"/>
  <c r="I109" i="16"/>
  <c r="B110" i="16"/>
  <c r="U45" i="4"/>
  <c r="S45"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M46" i="4"/>
  <c r="L47" i="4"/>
  <c r="C47" i="4"/>
  <c r="E47" i="4"/>
  <c r="F47" i="4"/>
  <c r="C47" i="5" s="1"/>
  <c r="E47" i="5" s="1"/>
  <c r="G47" i="4"/>
  <c r="AZ47" i="4" s="1"/>
  <c r="B48" i="4"/>
  <c r="I47" i="4"/>
  <c r="K47" i="4"/>
  <c r="B47" i="5"/>
  <c r="C79" i="7"/>
  <c r="G79" i="7" s="1"/>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5" i="4"/>
  <c r="AZ46" i="4"/>
  <c r="AZ44" i="4"/>
  <c r="U3724" i="16"/>
  <c r="S3724" i="16"/>
  <c r="U3670" i="16"/>
  <c r="S3670" i="16"/>
  <c r="U3454" i="16"/>
  <c r="S3454" i="16"/>
  <c r="U3238" i="16"/>
  <c r="S3238" i="16"/>
  <c r="U3130" i="16"/>
  <c r="S3130" i="16"/>
  <c r="U3076" i="16"/>
  <c r="S3076" i="16"/>
  <c r="U3022" i="16"/>
  <c r="S3022" i="16"/>
  <c r="U2914" i="16"/>
  <c r="S2914" i="16"/>
  <c r="U2050" i="16"/>
  <c r="S2050" i="16"/>
  <c r="U1780" i="16"/>
  <c r="S1780" i="16"/>
  <c r="U1510" i="16"/>
  <c r="S1510" i="16"/>
  <c r="U1402" i="16"/>
  <c r="S1402" i="16"/>
  <c r="U1348" i="16"/>
  <c r="S1348" i="16"/>
  <c r="U1241" i="16"/>
  <c r="S1241" i="16"/>
  <c r="U970" i="16"/>
  <c r="S970" i="16"/>
  <c r="U754" i="16"/>
  <c r="S754" i="16"/>
  <c r="U484" i="16"/>
  <c r="S484" i="16"/>
  <c r="U214" i="16"/>
  <c r="S214" i="16"/>
  <c r="M4595" i="16"/>
  <c r="N4595" i="16"/>
  <c r="M4541" i="16"/>
  <c r="N4541" i="16"/>
  <c r="N4241" i="16"/>
  <c r="M4241" i="16"/>
  <c r="M3725" i="16"/>
  <c r="N3725" i="16"/>
  <c r="M3509" i="16"/>
  <c r="N3509" i="16"/>
  <c r="N3455" i="16"/>
  <c r="M3455" i="16"/>
  <c r="N3185" i="16"/>
  <c r="M3185" i="16"/>
  <c r="N3077" i="16"/>
  <c r="M3077" i="16"/>
  <c r="M2969" i="16"/>
  <c r="N2969" i="16"/>
  <c r="M2645" i="16"/>
  <c r="N2645" i="16"/>
  <c r="M2429" i="16"/>
  <c r="N2429" i="16"/>
  <c r="M2213" i="16"/>
  <c r="N2213" i="16"/>
  <c r="M2105" i="16"/>
  <c r="N2105" i="16"/>
  <c r="M2051" i="16"/>
  <c r="N2051" i="16"/>
  <c r="M1997" i="16"/>
  <c r="N1997" i="16"/>
  <c r="M1727" i="16"/>
  <c r="N1727" i="16"/>
  <c r="M1511" i="16"/>
  <c r="N1511" i="16"/>
  <c r="N1457" i="16"/>
  <c r="M1457" i="16"/>
  <c r="M917" i="16"/>
  <c r="N917" i="16"/>
  <c r="M863" i="16"/>
  <c r="N863" i="16"/>
  <c r="M593" i="16"/>
  <c r="N593" i="16"/>
  <c r="M323" i="16"/>
  <c r="N323" i="16"/>
  <c r="F4596" i="16"/>
  <c r="K4596" i="16"/>
  <c r="K4542" i="16"/>
  <c r="F4542" i="16"/>
  <c r="F3726" i="16"/>
  <c r="O3726" i="16" s="1"/>
  <c r="K3726" i="16"/>
  <c r="F3672" i="16"/>
  <c r="O3672" i="16" s="1"/>
  <c r="K3672" i="16"/>
  <c r="F3348" i="16"/>
  <c r="O3348" i="16" s="1"/>
  <c r="K3348" i="16"/>
  <c r="K3240" i="16"/>
  <c r="F3240" i="16"/>
  <c r="O3240" i="16" s="1"/>
  <c r="F3186" i="16"/>
  <c r="O3186" i="16" s="1"/>
  <c r="K3186" i="16"/>
  <c r="F3078" i="16"/>
  <c r="O3078" i="16" s="1"/>
  <c r="K3078" i="16"/>
  <c r="F3024" i="16"/>
  <c r="O3024" i="16" s="1"/>
  <c r="K3024" i="16"/>
  <c r="K2916" i="16"/>
  <c r="F2916" i="16"/>
  <c r="O2916" i="16" s="1"/>
  <c r="K2700" i="16"/>
  <c r="F2700" i="16"/>
  <c r="O2700" i="16" s="1"/>
  <c r="K2646" i="16"/>
  <c r="F2646" i="16"/>
  <c r="O2646" i="16" s="1"/>
  <c r="K2430" i="16"/>
  <c r="F2430" i="16"/>
  <c r="O2430" i="16" s="1"/>
  <c r="K2376" i="16"/>
  <c r="F2376" i="16"/>
  <c r="O2376" i="16" s="1"/>
  <c r="F2160" i="16"/>
  <c r="O2160" i="16" s="1"/>
  <c r="K2160" i="16"/>
  <c r="K2106" i="16"/>
  <c r="F2106" i="16"/>
  <c r="O2106" i="16" s="1"/>
  <c r="F1890" i="16"/>
  <c r="O1890" i="16" s="1"/>
  <c r="K1890" i="16"/>
  <c r="K1836" i="16"/>
  <c r="F1836" i="16"/>
  <c r="O1836" i="16" s="1"/>
  <c r="K1620" i="16"/>
  <c r="F1620" i="16"/>
  <c r="O1620" i="16" s="1"/>
  <c r="F1566" i="16"/>
  <c r="O1566" i="16" s="1"/>
  <c r="K1566" i="16"/>
  <c r="K1404" i="16"/>
  <c r="F1404" i="16"/>
  <c r="O1404" i="16" s="1"/>
  <c r="F1350" i="16"/>
  <c r="O1350" i="16" s="1"/>
  <c r="K1350" i="16"/>
  <c r="F1296" i="16"/>
  <c r="O1296" i="16" s="1"/>
  <c r="K1296" i="16"/>
  <c r="F1134" i="16"/>
  <c r="O1134" i="16" s="1"/>
  <c r="K1134" i="16"/>
  <c r="F1080" i="16"/>
  <c r="O1080" i="16" s="1"/>
  <c r="K1080" i="16"/>
  <c r="F864" i="16"/>
  <c r="O864" i="16" s="1"/>
  <c r="K864" i="16"/>
  <c r="F810" i="16"/>
  <c r="O810" i="16" s="1"/>
  <c r="K810" i="16"/>
  <c r="F540" i="16"/>
  <c r="O540" i="16" s="1"/>
  <c r="K540" i="16"/>
  <c r="F324" i="16"/>
  <c r="O324" i="16" s="1"/>
  <c r="K324" i="16"/>
  <c r="K270" i="16"/>
  <c r="F270" i="16"/>
  <c r="O270" i="16" s="1"/>
  <c r="F216" i="16"/>
  <c r="O216" i="16" s="1"/>
  <c r="K216" i="16"/>
  <c r="K162" i="16"/>
  <c r="F162" i="16"/>
  <c r="O162" i="16" s="1"/>
  <c r="F108" i="16"/>
  <c r="O108" i="16" s="1"/>
  <c r="K108" i="16"/>
  <c r="F45" i="5"/>
  <c r="G45" i="5"/>
  <c r="H45" i="5"/>
  <c r="N2538" i="16" l="1"/>
  <c r="N1458" i="16"/>
  <c r="N378" i="16"/>
  <c r="D4651" i="16"/>
  <c r="F4651" i="16"/>
  <c r="O4651" i="16" s="1"/>
  <c r="K4597" i="16"/>
  <c r="F4597" i="16"/>
  <c r="K4243" i="16"/>
  <c r="F4243" i="16"/>
  <c r="O4243" i="16" s="1"/>
  <c r="F3673" i="16"/>
  <c r="O3673" i="16" s="1"/>
  <c r="K3673" i="16"/>
  <c r="K2863" i="16"/>
  <c r="F2863" i="16"/>
  <c r="O2863" i="16" s="1"/>
  <c r="K2647" i="16"/>
  <c r="F2647" i="16"/>
  <c r="O2647" i="16" s="1"/>
  <c r="K2431" i="16"/>
  <c r="F2431" i="16"/>
  <c r="O2431" i="16" s="1"/>
  <c r="K2215" i="16"/>
  <c r="F2215" i="16"/>
  <c r="O2215" i="16" s="1"/>
  <c r="K1783" i="16"/>
  <c r="F1783" i="16"/>
  <c r="O1783" i="16" s="1"/>
  <c r="K1567" i="16"/>
  <c r="F1567" i="16"/>
  <c r="O1567" i="16" s="1"/>
  <c r="K1351" i="16"/>
  <c r="F1351" i="16"/>
  <c r="O1351" i="16" s="1"/>
  <c r="K1135" i="16"/>
  <c r="F1135" i="16"/>
  <c r="O1135" i="16" s="1"/>
  <c r="K973" i="16"/>
  <c r="F973" i="16"/>
  <c r="O973" i="16" s="1"/>
  <c r="K595" i="16"/>
  <c r="F595" i="16"/>
  <c r="O595" i="16" s="1"/>
  <c r="K541" i="16"/>
  <c r="F541" i="16"/>
  <c r="O541" i="16" s="1"/>
  <c r="S4704" i="16"/>
  <c r="U4704" i="16"/>
  <c r="M4705" i="16"/>
  <c r="D4705" i="16"/>
  <c r="J4705" i="16"/>
  <c r="N4705" i="16" s="1"/>
  <c r="P4705" i="16"/>
  <c r="Q4705" i="16"/>
  <c r="R4705" i="16"/>
  <c r="L4706" i="16"/>
  <c r="C4706" i="16"/>
  <c r="K4706" i="16" s="1"/>
  <c r="E4706" i="16"/>
  <c r="F4706" i="16"/>
  <c r="G4706" i="16"/>
  <c r="I4706" i="16"/>
  <c r="B4707" i="16"/>
  <c r="P4651" i="16"/>
  <c r="Q4651" i="16"/>
  <c r="R4651" i="16"/>
  <c r="C4652" i="16"/>
  <c r="D4652" i="16" s="1"/>
  <c r="E4652" i="16"/>
  <c r="F4652" i="16"/>
  <c r="O4652" i="16" s="1"/>
  <c r="G4652" i="16"/>
  <c r="B4653" i="16"/>
  <c r="M4597" i="16"/>
  <c r="D4597" i="16"/>
  <c r="J4597" i="16"/>
  <c r="N4597" i="16" s="1"/>
  <c r="P4597" i="16"/>
  <c r="Q4597" i="16"/>
  <c r="R4597" i="16"/>
  <c r="L4598" i="16"/>
  <c r="C4598" i="16"/>
  <c r="K4598" i="16" s="1"/>
  <c r="E4598" i="16"/>
  <c r="F4598" i="16"/>
  <c r="G4598" i="16"/>
  <c r="I4598" i="16"/>
  <c r="B4599" i="16"/>
  <c r="D4543" i="16"/>
  <c r="J4543" i="16"/>
  <c r="P4543" i="16"/>
  <c r="Q4543" i="16"/>
  <c r="R4543" i="16"/>
  <c r="L4544" i="16"/>
  <c r="C4544" i="16"/>
  <c r="E4544" i="16"/>
  <c r="G4544" i="16"/>
  <c r="I4544" i="16"/>
  <c r="B4545" i="16"/>
  <c r="U4242" i="16"/>
  <c r="S4242" i="16"/>
  <c r="M4243" i="16"/>
  <c r="D4243" i="16"/>
  <c r="J4243" i="16"/>
  <c r="N4243" i="16" s="1"/>
  <c r="P4243" i="16"/>
  <c r="Q4243" i="16"/>
  <c r="R4243" i="16"/>
  <c r="T4243" i="16"/>
  <c r="L4244" i="16"/>
  <c r="C4244" i="16"/>
  <c r="E4244" i="16"/>
  <c r="G4244" i="16"/>
  <c r="I4244" i="16"/>
  <c r="B4245" i="16"/>
  <c r="G4190" i="16"/>
  <c r="C4190" i="16"/>
  <c r="F4190" i="16" s="1"/>
  <c r="O4190" i="16" s="1"/>
  <c r="E4190" i="16"/>
  <c r="I4190" i="16"/>
  <c r="K4190" i="16"/>
  <c r="L4190" i="16"/>
  <c r="B4191" i="16"/>
  <c r="D4189" i="16"/>
  <c r="J4189" i="16"/>
  <c r="N4189" i="16" s="1"/>
  <c r="P4189" i="16"/>
  <c r="Q4189" i="16"/>
  <c r="R4189" i="16"/>
  <c r="T4189" i="16"/>
  <c r="M4189" i="16"/>
  <c r="U4188" i="16"/>
  <c r="S4188" i="16"/>
  <c r="U4134" i="16"/>
  <c r="S4134" i="16"/>
  <c r="D4135" i="16"/>
  <c r="J4135" i="16"/>
  <c r="P4135" i="16"/>
  <c r="Q4135" i="16"/>
  <c r="R4135" i="16"/>
  <c r="T4135" i="16"/>
  <c r="M4135" i="16"/>
  <c r="N4135" i="16"/>
  <c r="I4136" i="16"/>
  <c r="C4136" i="16"/>
  <c r="K4136" i="16" s="1"/>
  <c r="E4136" i="16"/>
  <c r="F4136" i="16"/>
  <c r="O4136" i="16" s="1"/>
  <c r="G4136" i="16"/>
  <c r="L4136" i="16"/>
  <c r="B4137" i="16"/>
  <c r="U4080" i="16"/>
  <c r="S4080" i="16"/>
  <c r="D4081" i="16"/>
  <c r="J4081" i="16"/>
  <c r="P4081" i="16"/>
  <c r="Q4081" i="16"/>
  <c r="R4081" i="16"/>
  <c r="T4081" i="16"/>
  <c r="L4082" i="16"/>
  <c r="C4082" i="16"/>
  <c r="K4082" i="16" s="1"/>
  <c r="E4082" i="16"/>
  <c r="F4082" i="16"/>
  <c r="O4082" i="16" s="1"/>
  <c r="G4082" i="16"/>
  <c r="I4082" i="16"/>
  <c r="B4083" i="16"/>
  <c r="U3780" i="16"/>
  <c r="S3780" i="16"/>
  <c r="M3781" i="16"/>
  <c r="D3781" i="16"/>
  <c r="J3781" i="16"/>
  <c r="N3781" i="16" s="1"/>
  <c r="P3781" i="16"/>
  <c r="Q3781" i="16"/>
  <c r="R3781" i="16"/>
  <c r="T3781" i="16"/>
  <c r="L3782" i="16"/>
  <c r="C3782" i="16"/>
  <c r="E3782" i="16"/>
  <c r="G3782" i="16"/>
  <c r="I3782" i="16"/>
  <c r="B3783" i="16"/>
  <c r="M3727" i="16"/>
  <c r="D3727" i="16"/>
  <c r="J3727" i="16"/>
  <c r="N3727" i="16" s="1"/>
  <c r="P3727" i="16"/>
  <c r="Q3727" i="16"/>
  <c r="R3727" i="16"/>
  <c r="T3727" i="16"/>
  <c r="L3728" i="16"/>
  <c r="C3728" i="16"/>
  <c r="K3728" i="16" s="1"/>
  <c r="E3728" i="16"/>
  <c r="F3728" i="16"/>
  <c r="O3728" i="16" s="1"/>
  <c r="G3728" i="16"/>
  <c r="I3728" i="16"/>
  <c r="B3729" i="16"/>
  <c r="M3673" i="16"/>
  <c r="D3673" i="16"/>
  <c r="J3673" i="16"/>
  <c r="N3673" i="16" s="1"/>
  <c r="P3673" i="16"/>
  <c r="Q3673" i="16"/>
  <c r="R3673" i="16"/>
  <c r="T3673" i="16"/>
  <c r="L3674" i="16"/>
  <c r="C3674" i="16"/>
  <c r="K3674" i="16" s="1"/>
  <c r="E3674" i="16"/>
  <c r="F3674" i="16"/>
  <c r="O3674" i="16" s="1"/>
  <c r="G3674" i="16"/>
  <c r="B3675" i="16"/>
  <c r="I3674"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U3510" i="16"/>
  <c r="S3510" i="16"/>
  <c r="D3511" i="16"/>
  <c r="J3511" i="16"/>
  <c r="P3511" i="16"/>
  <c r="Q3511" i="16"/>
  <c r="R3511" i="16"/>
  <c r="T3511" i="16"/>
  <c r="L3512" i="16"/>
  <c r="C3512" i="16"/>
  <c r="E3512" i="16"/>
  <c r="G3512" i="16"/>
  <c r="I3512" i="16"/>
  <c r="B3513" i="16"/>
  <c r="S3456" i="16"/>
  <c r="U3456" i="16"/>
  <c r="P3457" i="16"/>
  <c r="Q3457" i="16"/>
  <c r="R3457" i="16"/>
  <c r="T3457" i="16"/>
  <c r="L3458" i="16"/>
  <c r="G3458" i="16"/>
  <c r="B3459" i="16"/>
  <c r="C3458" i="16"/>
  <c r="E3458" i="16"/>
  <c r="I3458" i="16"/>
  <c r="J3457" i="16"/>
  <c r="D3457" i="16"/>
  <c r="U3402" i="16"/>
  <c r="S3402" i="16"/>
  <c r="M3403" i="16"/>
  <c r="D3403" i="16"/>
  <c r="J3403" i="16"/>
  <c r="N3403" i="16" s="1"/>
  <c r="P3403" i="16"/>
  <c r="Q3403" i="16"/>
  <c r="R3403" i="16"/>
  <c r="T3403" i="16"/>
  <c r="L3404" i="16"/>
  <c r="C3404" i="16"/>
  <c r="E3404" i="16"/>
  <c r="G3404" i="16"/>
  <c r="I3404" i="16"/>
  <c r="B3405"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K3296" i="16" s="1"/>
  <c r="E3296" i="16"/>
  <c r="F3296" i="16"/>
  <c r="O3296" i="16" s="1"/>
  <c r="G3296" i="16"/>
  <c r="I3296" i="16"/>
  <c r="B3297" i="16"/>
  <c r="M3241" i="16"/>
  <c r="L3242" i="16"/>
  <c r="E3242" i="16"/>
  <c r="I3242" i="16"/>
  <c r="B3243" i="16"/>
  <c r="G3242" i="16"/>
  <c r="C3242" i="16"/>
  <c r="J3241" i="16"/>
  <c r="N3241" i="16" s="1"/>
  <c r="D3241" i="16"/>
  <c r="P3241" i="16"/>
  <c r="Q3241" i="16"/>
  <c r="R3241" i="16"/>
  <c r="T3241" i="16"/>
  <c r="D3187" i="16"/>
  <c r="J3187" i="16"/>
  <c r="L3188" i="16"/>
  <c r="E3188" i="16"/>
  <c r="I3188" i="16"/>
  <c r="C3188" i="16"/>
  <c r="B3189" i="16"/>
  <c r="G3188" i="16"/>
  <c r="P3187" i="16"/>
  <c r="Q3187" i="16"/>
  <c r="R3187" i="16"/>
  <c r="T3187" i="16"/>
  <c r="U3132" i="16"/>
  <c r="S3132" i="16"/>
  <c r="M3133" i="16"/>
  <c r="D3133" i="16"/>
  <c r="J3133" i="16"/>
  <c r="N3133" i="16" s="1"/>
  <c r="P3133" i="16"/>
  <c r="Q3133" i="16"/>
  <c r="R3133" i="16"/>
  <c r="T3133" i="16"/>
  <c r="L3134" i="16"/>
  <c r="E3134" i="16"/>
  <c r="C3134" i="16"/>
  <c r="G3134" i="16"/>
  <c r="I3134" i="16"/>
  <c r="B3135" i="16"/>
  <c r="L3080" i="16"/>
  <c r="I3080" i="16"/>
  <c r="E3080" i="16"/>
  <c r="C3080" i="16"/>
  <c r="G3080" i="16"/>
  <c r="B3081" i="16"/>
  <c r="D3079" i="16"/>
  <c r="J3079" i="16"/>
  <c r="P3079" i="16"/>
  <c r="Q3079" i="16"/>
  <c r="R3079" i="16"/>
  <c r="T3079" i="16"/>
  <c r="P3025" i="16"/>
  <c r="Q3025" i="16"/>
  <c r="R3025" i="16"/>
  <c r="T3025" i="16"/>
  <c r="D3025" i="16"/>
  <c r="J3025" i="16"/>
  <c r="L3026" i="16"/>
  <c r="E3026" i="16"/>
  <c r="G3026" i="16"/>
  <c r="I3026" i="16"/>
  <c r="B3027" i="16"/>
  <c r="C3026" i="16"/>
  <c r="U2970" i="16"/>
  <c r="S2970" i="16"/>
  <c r="M2971" i="16"/>
  <c r="D2971" i="16"/>
  <c r="J2971" i="16"/>
  <c r="N2971" i="16" s="1"/>
  <c r="P2971" i="16"/>
  <c r="Q2971" i="16"/>
  <c r="R2971" i="16"/>
  <c r="T2971" i="16"/>
  <c r="L2972" i="16"/>
  <c r="C2972" i="16"/>
  <c r="K2972" i="16" s="1"/>
  <c r="E2972" i="16"/>
  <c r="F2972" i="16"/>
  <c r="O2972" i="16" s="1"/>
  <c r="G2972" i="16"/>
  <c r="I2972" i="16"/>
  <c r="B2973" i="16"/>
  <c r="D2917" i="16"/>
  <c r="J2917" i="16"/>
  <c r="P2917" i="16"/>
  <c r="Q2917" i="16"/>
  <c r="R2917" i="16"/>
  <c r="T2917" i="16"/>
  <c r="L2918" i="16"/>
  <c r="C2918" i="16"/>
  <c r="E2918" i="16"/>
  <c r="G2918" i="16"/>
  <c r="I2918" i="16"/>
  <c r="B2919" i="16"/>
  <c r="U2862" i="16"/>
  <c r="S2862" i="16"/>
  <c r="M2863" i="16"/>
  <c r="D2863" i="16"/>
  <c r="J2863" i="16"/>
  <c r="N2863" i="16" s="1"/>
  <c r="P2863" i="16"/>
  <c r="Q2863" i="16"/>
  <c r="R2863" i="16"/>
  <c r="T2863" i="16"/>
  <c r="L2864" i="16"/>
  <c r="C2864" i="16"/>
  <c r="E2864" i="16"/>
  <c r="G2864" i="16"/>
  <c r="I2864" i="16"/>
  <c r="B2865" i="16"/>
  <c r="D2809" i="16"/>
  <c r="J2809" i="16"/>
  <c r="P2809" i="16"/>
  <c r="Q2809" i="16"/>
  <c r="R2809" i="16"/>
  <c r="T2809" i="16"/>
  <c r="U2809" i="16" s="1"/>
  <c r="L2810" i="16"/>
  <c r="C2810" i="16"/>
  <c r="K2810" i="16" s="1"/>
  <c r="E2810" i="16"/>
  <c r="F2810" i="16"/>
  <c r="O2810" i="16" s="1"/>
  <c r="G2810" i="16"/>
  <c r="I2810" i="16"/>
  <c r="B2811" i="16"/>
  <c r="U2754" i="16"/>
  <c r="S2754" i="16"/>
  <c r="M2755" i="16"/>
  <c r="D2755" i="16"/>
  <c r="J2755" i="16"/>
  <c r="N2755" i="16" s="1"/>
  <c r="P2755" i="16"/>
  <c r="Q2755" i="16"/>
  <c r="R2755" i="16"/>
  <c r="T2755" i="16"/>
  <c r="L2756" i="16"/>
  <c r="C2756" i="16"/>
  <c r="K2756" i="16" s="1"/>
  <c r="E2756" i="16"/>
  <c r="F2756" i="16"/>
  <c r="O2756" i="16" s="1"/>
  <c r="G2756" i="16"/>
  <c r="I2756" i="16"/>
  <c r="B2757" i="16"/>
  <c r="M2701" i="16"/>
  <c r="D2701" i="16"/>
  <c r="J2701" i="16"/>
  <c r="N2701" i="16" s="1"/>
  <c r="P2701" i="16"/>
  <c r="Q2701" i="16"/>
  <c r="R2701" i="16"/>
  <c r="T2701" i="16"/>
  <c r="L2702" i="16"/>
  <c r="C2702" i="16"/>
  <c r="K2702" i="16" s="1"/>
  <c r="E2702" i="16"/>
  <c r="F2702" i="16"/>
  <c r="O2702" i="16" s="1"/>
  <c r="G2702" i="16"/>
  <c r="I2702" i="16"/>
  <c r="B2703" i="16"/>
  <c r="M2647" i="16"/>
  <c r="D2647" i="16"/>
  <c r="J2647" i="16"/>
  <c r="N2647" i="16" s="1"/>
  <c r="P2647" i="16"/>
  <c r="Q2647" i="16"/>
  <c r="R2647" i="16"/>
  <c r="T2647" i="16"/>
  <c r="L2648" i="16"/>
  <c r="C2648" i="16"/>
  <c r="E2648" i="16"/>
  <c r="G2648" i="16"/>
  <c r="I2648" i="16"/>
  <c r="B2649" i="16"/>
  <c r="U2592" i="16"/>
  <c r="S2592" i="16"/>
  <c r="D2593" i="16"/>
  <c r="J2593" i="16"/>
  <c r="P2593" i="16"/>
  <c r="Q2593" i="16"/>
  <c r="R2593" i="16"/>
  <c r="T2593" i="16"/>
  <c r="L2594" i="16"/>
  <c r="C2594" i="16"/>
  <c r="E2594" i="16"/>
  <c r="G2594" i="16"/>
  <c r="I2594" i="16"/>
  <c r="B2595" i="16"/>
  <c r="U2538" i="16"/>
  <c r="S2538" i="16"/>
  <c r="D2539" i="16"/>
  <c r="J2539" i="16"/>
  <c r="Q2539" i="16"/>
  <c r="P2539" i="16"/>
  <c r="R2539" i="16"/>
  <c r="T2539" i="16"/>
  <c r="L2540" i="16"/>
  <c r="C2540" i="16"/>
  <c r="E2540" i="16"/>
  <c r="G2540" i="16"/>
  <c r="I2540" i="16"/>
  <c r="B2541" i="16"/>
  <c r="U2484" i="16"/>
  <c r="S2484" i="16"/>
  <c r="M2485" i="16"/>
  <c r="D2485" i="16"/>
  <c r="J2485" i="16"/>
  <c r="N2485" i="16" s="1"/>
  <c r="P2485" i="16"/>
  <c r="Q2485" i="16"/>
  <c r="R2485" i="16"/>
  <c r="T2485" i="16"/>
  <c r="L2486" i="16"/>
  <c r="C2486" i="16"/>
  <c r="E2486" i="16"/>
  <c r="G2486" i="16"/>
  <c r="I2486" i="16"/>
  <c r="B2487" i="16"/>
  <c r="M2431" i="16"/>
  <c r="D2431" i="16"/>
  <c r="J2431" i="16"/>
  <c r="N2431" i="16" s="1"/>
  <c r="Q2431" i="16"/>
  <c r="P2431" i="16"/>
  <c r="R2431" i="16"/>
  <c r="T2431" i="16"/>
  <c r="L2432" i="16"/>
  <c r="C2432" i="16"/>
  <c r="E2432" i="16"/>
  <c r="G2432" i="16"/>
  <c r="I2432" i="16"/>
  <c r="B2433" i="16"/>
  <c r="D2377" i="16"/>
  <c r="J2377" i="16"/>
  <c r="Q2377" i="16"/>
  <c r="P2377" i="16"/>
  <c r="R2377" i="16"/>
  <c r="T2377" i="16"/>
  <c r="L2378" i="16"/>
  <c r="C2378" i="16"/>
  <c r="K2378" i="16" s="1"/>
  <c r="E2378" i="16"/>
  <c r="F2378" i="16"/>
  <c r="O2378" i="16" s="1"/>
  <c r="G2378" i="16"/>
  <c r="I2378" i="16"/>
  <c r="B2379" i="16"/>
  <c r="S2322" i="16"/>
  <c r="U2322" i="16"/>
  <c r="D2323" i="16"/>
  <c r="J2323" i="16"/>
  <c r="Q2323" i="16"/>
  <c r="P2323" i="16"/>
  <c r="R2323" i="16"/>
  <c r="T2323" i="16"/>
  <c r="L2324" i="16"/>
  <c r="C2324" i="16"/>
  <c r="E2324" i="16"/>
  <c r="G2324" i="16"/>
  <c r="I2324" i="16"/>
  <c r="B2325"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E2216" i="16"/>
  <c r="G2216" i="16"/>
  <c r="B2217" i="16"/>
  <c r="I2216" i="16"/>
  <c r="M2161" i="16"/>
  <c r="D2161" i="16"/>
  <c r="J2161" i="16"/>
  <c r="N2161" i="16" s="1"/>
  <c r="Q2161" i="16"/>
  <c r="P2161" i="16"/>
  <c r="R2161" i="16"/>
  <c r="T2161" i="16"/>
  <c r="L2162" i="16"/>
  <c r="C2162" i="16"/>
  <c r="K2162" i="16" s="1"/>
  <c r="E2162" i="16"/>
  <c r="F2162" i="16"/>
  <c r="O2162" i="16" s="1"/>
  <c r="G2162" i="16"/>
  <c r="I2162" i="16"/>
  <c r="B2163" i="16"/>
  <c r="M2107" i="16"/>
  <c r="L2108" i="16"/>
  <c r="C2108" i="16"/>
  <c r="K2108" i="16" s="1"/>
  <c r="E2108" i="16"/>
  <c r="F2108" i="16"/>
  <c r="O2108" i="16" s="1"/>
  <c r="G2108" i="16"/>
  <c r="I2108" i="16"/>
  <c r="B2109" i="16"/>
  <c r="D2107" i="16"/>
  <c r="J2107" i="16"/>
  <c r="N2107" i="16" s="1"/>
  <c r="P2107" i="16"/>
  <c r="Q2107" i="16"/>
  <c r="R2107" i="16"/>
  <c r="T2107" i="16"/>
  <c r="U2052" i="16"/>
  <c r="S2052" i="16"/>
  <c r="D2053" i="16"/>
  <c r="J2053" i="16"/>
  <c r="P2053" i="16"/>
  <c r="Q2053" i="16"/>
  <c r="R2053" i="16"/>
  <c r="T2053" i="16"/>
  <c r="L2054" i="16"/>
  <c r="C2054" i="16"/>
  <c r="E2054" i="16"/>
  <c r="G2054" i="16"/>
  <c r="I2054" i="16"/>
  <c r="B2055" i="16"/>
  <c r="U1998" i="16"/>
  <c r="S1998" i="16"/>
  <c r="D1999" i="16"/>
  <c r="J1999" i="16"/>
  <c r="P1999" i="16"/>
  <c r="Q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M1891" i="16"/>
  <c r="D1891" i="16"/>
  <c r="J1891" i="16"/>
  <c r="N1891" i="16" s="1"/>
  <c r="P1891" i="16"/>
  <c r="Q1891" i="16"/>
  <c r="R1891" i="16"/>
  <c r="T1891" i="16"/>
  <c r="L1892" i="16"/>
  <c r="C1892" i="16"/>
  <c r="K1892" i="16" s="1"/>
  <c r="E1892" i="16"/>
  <c r="F1892" i="16"/>
  <c r="O1892" i="16" s="1"/>
  <c r="G1892" i="16"/>
  <c r="I1892" i="16"/>
  <c r="B1893" i="16"/>
  <c r="M1837" i="16"/>
  <c r="D1837" i="16"/>
  <c r="J1837" i="16"/>
  <c r="N1837" i="16" s="1"/>
  <c r="P1837" i="16"/>
  <c r="Q1837" i="16"/>
  <c r="R1837" i="16"/>
  <c r="T1837" i="16"/>
  <c r="L1838" i="16"/>
  <c r="C1838" i="16"/>
  <c r="K1838" i="16" s="1"/>
  <c r="E1838" i="16"/>
  <c r="F1838" i="16"/>
  <c r="O1838" i="16" s="1"/>
  <c r="G1838" i="16"/>
  <c r="I1838" i="16"/>
  <c r="B1839" i="16"/>
  <c r="U1782" i="16"/>
  <c r="S1782" i="16"/>
  <c r="M1783" i="16"/>
  <c r="D1783" i="16"/>
  <c r="J1783" i="16"/>
  <c r="N1783" i="16" s="1"/>
  <c r="P1783" i="16"/>
  <c r="Q1783" i="16"/>
  <c r="R1783" i="16"/>
  <c r="T1783" i="16"/>
  <c r="L1784" i="16"/>
  <c r="C1784" i="16"/>
  <c r="E1784" i="16"/>
  <c r="G1784" i="16"/>
  <c r="I1784" i="16"/>
  <c r="B1785" i="16"/>
  <c r="U1728" i="16"/>
  <c r="S1728" i="16"/>
  <c r="D1729" i="16"/>
  <c r="J1729" i="16"/>
  <c r="P1729" i="16"/>
  <c r="Q1729" i="16"/>
  <c r="R1729" i="16"/>
  <c r="T1729" i="16"/>
  <c r="L1730" i="16"/>
  <c r="C1730" i="16"/>
  <c r="E1730" i="16"/>
  <c r="G1730" i="16"/>
  <c r="I1730" i="16"/>
  <c r="B1731" i="16"/>
  <c r="S1674" i="16"/>
  <c r="U1674" i="16"/>
  <c r="M1675" i="16"/>
  <c r="D1675" i="16"/>
  <c r="J1675" i="16"/>
  <c r="N1675" i="16" s="1"/>
  <c r="P1675" i="16"/>
  <c r="Q1675" i="16"/>
  <c r="R1675" i="16"/>
  <c r="T1675" i="16"/>
  <c r="L1676" i="16"/>
  <c r="C1676" i="16"/>
  <c r="K1676" i="16" s="1"/>
  <c r="E1676" i="16"/>
  <c r="F1676" i="16"/>
  <c r="O1676" i="16" s="1"/>
  <c r="G1676" i="16"/>
  <c r="I1676" i="16"/>
  <c r="B1677" i="16"/>
  <c r="M1621" i="16"/>
  <c r="D1621" i="16"/>
  <c r="J1621" i="16"/>
  <c r="N1621" i="16" s="1"/>
  <c r="P1621" i="16"/>
  <c r="Q1621" i="16"/>
  <c r="R1621" i="16"/>
  <c r="T1621" i="16"/>
  <c r="L1622" i="16"/>
  <c r="C1622" i="16"/>
  <c r="E1622" i="16"/>
  <c r="G1622" i="16"/>
  <c r="I1622" i="16"/>
  <c r="B1623" i="16"/>
  <c r="M1567" i="16"/>
  <c r="D1567" i="16"/>
  <c r="J1567" i="16"/>
  <c r="N1567" i="16" s="1"/>
  <c r="P1567" i="16"/>
  <c r="Q1567" i="16"/>
  <c r="R1567" i="16"/>
  <c r="T1567" i="16"/>
  <c r="L1568" i="16"/>
  <c r="C1568" i="16"/>
  <c r="E1568" i="16"/>
  <c r="G1568" i="16"/>
  <c r="I1568" i="16"/>
  <c r="B1569" i="16"/>
  <c r="U1512" i="16"/>
  <c r="S1512" i="16"/>
  <c r="P1513" i="16"/>
  <c r="Q1513" i="16"/>
  <c r="R1513" i="16"/>
  <c r="T1513" i="16"/>
  <c r="L1514" i="16"/>
  <c r="I1514" i="16"/>
  <c r="C1514" i="16"/>
  <c r="E1514" i="16"/>
  <c r="G1514" i="16"/>
  <c r="B1515" i="16"/>
  <c r="J1513" i="16"/>
  <c r="D1513" i="16"/>
  <c r="U1458" i="16"/>
  <c r="S1458" i="16"/>
  <c r="D1459" i="16"/>
  <c r="J1459" i="16"/>
  <c r="P1459" i="16"/>
  <c r="Q1459" i="16"/>
  <c r="R1459" i="16"/>
  <c r="T1459" i="16"/>
  <c r="L1460" i="16"/>
  <c r="I1460" i="16"/>
  <c r="B1461" i="16"/>
  <c r="C1460" i="16"/>
  <c r="E1460" i="16"/>
  <c r="G1460" i="16"/>
  <c r="M1405" i="16"/>
  <c r="J1405" i="16"/>
  <c r="N1405" i="16" s="1"/>
  <c r="D1405" i="16"/>
  <c r="P1405" i="16"/>
  <c r="Q1405" i="16"/>
  <c r="R1405" i="16"/>
  <c r="T1405" i="16"/>
  <c r="L1406" i="16"/>
  <c r="E1406" i="16"/>
  <c r="B1407" i="16"/>
  <c r="C1406" i="16"/>
  <c r="K1406" i="16" s="1"/>
  <c r="F1406" i="16"/>
  <c r="O1406" i="16" s="1"/>
  <c r="G1406" i="16"/>
  <c r="I1406" i="16"/>
  <c r="M1351" i="16"/>
  <c r="L1352" i="16"/>
  <c r="C1352" i="16"/>
  <c r="K1352" i="16" s="1"/>
  <c r="G1352" i="16"/>
  <c r="B1353" i="16"/>
  <c r="E1352" i="16"/>
  <c r="F1352" i="16"/>
  <c r="O1352" i="16" s="1"/>
  <c r="I1352" i="16"/>
  <c r="P1351" i="16"/>
  <c r="Q1351" i="16"/>
  <c r="R1351" i="16"/>
  <c r="T1351" i="16"/>
  <c r="J1351" i="16"/>
  <c r="N1351" i="16" s="1"/>
  <c r="D1351" i="16"/>
  <c r="M1297" i="16"/>
  <c r="J1297" i="16"/>
  <c r="N1297" i="16" s="1"/>
  <c r="D1297" i="16"/>
  <c r="P1297" i="16"/>
  <c r="Q1297" i="16"/>
  <c r="R1297" i="16"/>
  <c r="T1297" i="16"/>
  <c r="L1298" i="16"/>
  <c r="I1298" i="16"/>
  <c r="B1299" i="16"/>
  <c r="C1298" i="16"/>
  <c r="K1298" i="16" s="1"/>
  <c r="E1298" i="16"/>
  <c r="F1298" i="16"/>
  <c r="O1298" i="16" s="1"/>
  <c r="G1298" i="16"/>
  <c r="S1243" i="16"/>
  <c r="U1243" i="16"/>
  <c r="M1244" i="16"/>
  <c r="D1244" i="16"/>
  <c r="J1244" i="16"/>
  <c r="N1244" i="16" s="1"/>
  <c r="P1244" i="16"/>
  <c r="Q1244" i="16"/>
  <c r="R1244" i="16"/>
  <c r="T1244" i="16"/>
  <c r="L1245" i="16"/>
  <c r="B1246" i="16"/>
  <c r="G1245" i="16"/>
  <c r="C1245" i="16"/>
  <c r="E1245" i="16"/>
  <c r="I1245" i="16"/>
  <c r="U1188" i="16"/>
  <c r="S1188" i="16"/>
  <c r="D1189" i="16"/>
  <c r="J1189" i="16"/>
  <c r="P1189" i="16"/>
  <c r="Q1189" i="16"/>
  <c r="R1189" i="16"/>
  <c r="T1189" i="16"/>
  <c r="L1190" i="16"/>
  <c r="C1190" i="16"/>
  <c r="E1190" i="16"/>
  <c r="G1190" i="16"/>
  <c r="I1190" i="16"/>
  <c r="B1191" i="16"/>
  <c r="M1135" i="16"/>
  <c r="D1135" i="16"/>
  <c r="J1135" i="16"/>
  <c r="N1135" i="16" s="1"/>
  <c r="P1135" i="16"/>
  <c r="Q1135" i="16"/>
  <c r="R1135" i="16"/>
  <c r="T1135" i="16"/>
  <c r="L1136" i="16"/>
  <c r="C1136" i="16"/>
  <c r="E1136" i="16"/>
  <c r="G1136" i="16"/>
  <c r="I1136" i="16"/>
  <c r="B1137" i="16"/>
  <c r="M1081" i="16"/>
  <c r="D1081" i="16"/>
  <c r="J1081" i="16"/>
  <c r="N1081" i="16" s="1"/>
  <c r="P1081" i="16"/>
  <c r="Q1081" i="16"/>
  <c r="R1081" i="16"/>
  <c r="T1081" i="16"/>
  <c r="L1082" i="16"/>
  <c r="C1082" i="16"/>
  <c r="K1082" i="16" s="1"/>
  <c r="E1082" i="16"/>
  <c r="F1082" i="16"/>
  <c r="O1082" i="16" s="1"/>
  <c r="G1082" i="16"/>
  <c r="I1082" i="16"/>
  <c r="B1083" i="16"/>
  <c r="U1026" i="16"/>
  <c r="S1026" i="16"/>
  <c r="M1027" i="16"/>
  <c r="D1027" i="16"/>
  <c r="J1027" i="16"/>
  <c r="N1027" i="16" s="1"/>
  <c r="P1027" i="16"/>
  <c r="Q1027" i="16"/>
  <c r="R1027" i="16"/>
  <c r="T1027" i="16"/>
  <c r="L1028" i="16"/>
  <c r="C1028" i="16"/>
  <c r="K1028" i="16" s="1"/>
  <c r="E1028" i="16"/>
  <c r="F1028" i="16"/>
  <c r="O1028" i="16" s="1"/>
  <c r="G1028" i="16"/>
  <c r="I1028" i="16"/>
  <c r="B1029" i="16"/>
  <c r="U972" i="16"/>
  <c r="S972" i="16"/>
  <c r="M973" i="16"/>
  <c r="D973" i="16"/>
  <c r="J973" i="16"/>
  <c r="N973" i="16" s="1"/>
  <c r="P973" i="16"/>
  <c r="Q973" i="16"/>
  <c r="R973" i="16"/>
  <c r="T973" i="16"/>
  <c r="L974" i="16"/>
  <c r="C974" i="16"/>
  <c r="K974" i="16" s="1"/>
  <c r="E974" i="16"/>
  <c r="F974" i="16"/>
  <c r="O974" i="16" s="1"/>
  <c r="G974" i="16"/>
  <c r="I974" i="16"/>
  <c r="B975" i="16"/>
  <c r="U918" i="16"/>
  <c r="S918" i="16"/>
  <c r="D919" i="16"/>
  <c r="J919" i="16"/>
  <c r="P919" i="16"/>
  <c r="Q919" i="16"/>
  <c r="R919" i="16"/>
  <c r="T919" i="16"/>
  <c r="L920" i="16"/>
  <c r="C920" i="16"/>
  <c r="E920" i="16"/>
  <c r="G920" i="16"/>
  <c r="I920" i="16"/>
  <c r="B921" i="16"/>
  <c r="M865" i="16"/>
  <c r="D865" i="16"/>
  <c r="J865" i="16"/>
  <c r="N865" i="16" s="1"/>
  <c r="Q865" i="16"/>
  <c r="P865" i="16"/>
  <c r="R865" i="16"/>
  <c r="T865" i="16"/>
  <c r="L866" i="16"/>
  <c r="C866" i="16"/>
  <c r="K866" i="16" s="1"/>
  <c r="E866" i="16"/>
  <c r="F866" i="16"/>
  <c r="O866" i="16" s="1"/>
  <c r="G866" i="16"/>
  <c r="I866" i="16"/>
  <c r="B867" i="16"/>
  <c r="M811" i="16"/>
  <c r="D811" i="16"/>
  <c r="J811" i="16"/>
  <c r="N811" i="16" s="1"/>
  <c r="Q811" i="16"/>
  <c r="P811" i="16"/>
  <c r="R811" i="16"/>
  <c r="T811" i="16"/>
  <c r="L812" i="16"/>
  <c r="C812" i="16"/>
  <c r="K812" i="16" s="1"/>
  <c r="E812" i="16"/>
  <c r="F812" i="16"/>
  <c r="O812" i="16" s="1"/>
  <c r="G812" i="16"/>
  <c r="I812" i="16"/>
  <c r="B813" i="16"/>
  <c r="U756" i="16"/>
  <c r="S756" i="16"/>
  <c r="M757" i="16"/>
  <c r="D757" i="16"/>
  <c r="J757" i="16"/>
  <c r="N757" i="16" s="1"/>
  <c r="Q757" i="16"/>
  <c r="P757" i="16"/>
  <c r="R757" i="16"/>
  <c r="T757" i="16"/>
  <c r="L758" i="16"/>
  <c r="C758" i="16"/>
  <c r="K758" i="16" s="1"/>
  <c r="E758" i="16"/>
  <c r="F758" i="16"/>
  <c r="O758" i="16" s="1"/>
  <c r="G758" i="16"/>
  <c r="I758" i="16"/>
  <c r="B759" i="16"/>
  <c r="U702" i="16"/>
  <c r="S702" i="16"/>
  <c r="M703" i="16"/>
  <c r="D703" i="16"/>
  <c r="J703" i="16"/>
  <c r="N703" i="16" s="1"/>
  <c r="P703" i="16"/>
  <c r="Q703" i="16"/>
  <c r="R703" i="16"/>
  <c r="T703" i="16"/>
  <c r="L704" i="16"/>
  <c r="C704" i="16"/>
  <c r="E704" i="16"/>
  <c r="G704" i="16"/>
  <c r="I704" i="16"/>
  <c r="B705" i="16"/>
  <c r="U648" i="16"/>
  <c r="S648" i="16"/>
  <c r="D649" i="16"/>
  <c r="J649" i="16"/>
  <c r="P649" i="16"/>
  <c r="Q649" i="16"/>
  <c r="R649" i="16"/>
  <c r="T649" i="16"/>
  <c r="L650" i="16"/>
  <c r="C650" i="16"/>
  <c r="E650" i="16"/>
  <c r="G650" i="16"/>
  <c r="I650" i="16"/>
  <c r="B651" i="16"/>
  <c r="U594" i="16"/>
  <c r="S594" i="16"/>
  <c r="M595" i="16"/>
  <c r="D595" i="16"/>
  <c r="J595" i="16"/>
  <c r="N595" i="16" s="1"/>
  <c r="Q595" i="16"/>
  <c r="P595" i="16"/>
  <c r="R595" i="16"/>
  <c r="T595" i="16"/>
  <c r="L596" i="16"/>
  <c r="C596" i="16"/>
  <c r="E596" i="16"/>
  <c r="G596" i="16"/>
  <c r="I596" i="16"/>
  <c r="B597" i="16"/>
  <c r="M541" i="16"/>
  <c r="D541" i="16"/>
  <c r="J541" i="16"/>
  <c r="N541" i="16" s="1"/>
  <c r="Q541" i="16"/>
  <c r="P541" i="16"/>
  <c r="R541" i="16"/>
  <c r="T541" i="16"/>
  <c r="L542" i="16"/>
  <c r="C542" i="16"/>
  <c r="E542" i="16"/>
  <c r="G542" i="16"/>
  <c r="I542" i="16"/>
  <c r="B543" i="16"/>
  <c r="U486" i="16"/>
  <c r="S486" i="16"/>
  <c r="M487" i="16"/>
  <c r="D487" i="16"/>
  <c r="J487" i="16"/>
  <c r="N487" i="16" s="1"/>
  <c r="Q487" i="16"/>
  <c r="P487" i="16"/>
  <c r="R487" i="16"/>
  <c r="T487" i="16"/>
  <c r="L488" i="16"/>
  <c r="C488" i="16"/>
  <c r="K488" i="16" s="1"/>
  <c r="E488" i="16"/>
  <c r="F488" i="16"/>
  <c r="O488" i="16" s="1"/>
  <c r="G488" i="16"/>
  <c r="I488" i="16"/>
  <c r="B489" i="16"/>
  <c r="U432" i="16"/>
  <c r="S432" i="16"/>
  <c r="D433" i="16"/>
  <c r="J433" i="16"/>
  <c r="P433" i="16"/>
  <c r="Q433" i="16"/>
  <c r="R433" i="16"/>
  <c r="T433" i="16"/>
  <c r="L434" i="16"/>
  <c r="C434" i="16"/>
  <c r="K434" i="16" s="1"/>
  <c r="E434" i="16"/>
  <c r="F434" i="16"/>
  <c r="O434" i="16" s="1"/>
  <c r="G434" i="16"/>
  <c r="I434" i="16"/>
  <c r="B435" i="16"/>
  <c r="U378" i="16"/>
  <c r="S378" i="16"/>
  <c r="M379" i="16"/>
  <c r="D379" i="16"/>
  <c r="J379" i="16"/>
  <c r="N379" i="16" s="1"/>
  <c r="P379" i="16"/>
  <c r="Q379" i="16"/>
  <c r="R379" i="16"/>
  <c r="T379" i="16"/>
  <c r="L380" i="16"/>
  <c r="C380" i="16"/>
  <c r="E380" i="16"/>
  <c r="G380" i="16"/>
  <c r="I380" i="16"/>
  <c r="B381" i="16"/>
  <c r="P325" i="16"/>
  <c r="Q325" i="16"/>
  <c r="R325" i="16"/>
  <c r="T325" i="16"/>
  <c r="L326" i="16"/>
  <c r="I326" i="16"/>
  <c r="C326" i="16"/>
  <c r="B327" i="16"/>
  <c r="E326" i="16"/>
  <c r="G326" i="16"/>
  <c r="D325" i="16"/>
  <c r="J325" i="16"/>
  <c r="M271" i="16"/>
  <c r="D271" i="16"/>
  <c r="J271" i="16"/>
  <c r="N271" i="16" s="1"/>
  <c r="P271" i="16"/>
  <c r="Q271" i="16"/>
  <c r="R271" i="16"/>
  <c r="T271" i="16"/>
  <c r="L272" i="16"/>
  <c r="C272" i="16"/>
  <c r="K272" i="16" s="1"/>
  <c r="E272" i="16"/>
  <c r="F272" i="16"/>
  <c r="O272" i="16" s="1"/>
  <c r="G272" i="16"/>
  <c r="I272" i="16"/>
  <c r="B273" i="16"/>
  <c r="M217" i="16"/>
  <c r="D217" i="16"/>
  <c r="J217" i="16"/>
  <c r="N217" i="16" s="1"/>
  <c r="P217" i="16"/>
  <c r="Q217" i="16"/>
  <c r="R217" i="16"/>
  <c r="T217" i="16"/>
  <c r="L218" i="16"/>
  <c r="C218" i="16"/>
  <c r="K218" i="16" s="1"/>
  <c r="E218" i="16"/>
  <c r="F218" i="16"/>
  <c r="O218" i="16" s="1"/>
  <c r="G218" i="16"/>
  <c r="I218" i="16"/>
  <c r="B219" i="16"/>
  <c r="D163" i="16"/>
  <c r="J163" i="16"/>
  <c r="P163" i="16"/>
  <c r="Q163" i="16"/>
  <c r="R163" i="16"/>
  <c r="T163" i="16"/>
  <c r="L164" i="16"/>
  <c r="C164" i="16"/>
  <c r="E164" i="16"/>
  <c r="G164" i="16"/>
  <c r="I164" i="16"/>
  <c r="B165" i="16"/>
  <c r="M109" i="16"/>
  <c r="D109" i="16"/>
  <c r="J109" i="16"/>
  <c r="N109" i="16" s="1"/>
  <c r="P109" i="16"/>
  <c r="Q109" i="16"/>
  <c r="R109" i="16"/>
  <c r="T109" i="16"/>
  <c r="L110" i="16"/>
  <c r="C110" i="16"/>
  <c r="E110" i="16"/>
  <c r="G110" i="16"/>
  <c r="I110" i="16"/>
  <c r="B111" i="16"/>
  <c r="C80" i="7"/>
  <c r="G80" i="7" s="1"/>
  <c r="U46" i="4"/>
  <c r="S46" i="4"/>
  <c r="F50" i="7"/>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F47" i="5" s="1"/>
  <c r="Q47" i="4"/>
  <c r="G47" i="5" s="1"/>
  <c r="R47" i="4"/>
  <c r="H47" i="5" s="1"/>
  <c r="V47" i="4"/>
  <c r="T47" i="4"/>
  <c r="C48" i="4"/>
  <c r="E48" i="4"/>
  <c r="F48" i="4"/>
  <c r="C48" i="5" s="1"/>
  <c r="E48" i="5" s="1"/>
  <c r="G48" i="4"/>
  <c r="BA48" i="4" s="1"/>
  <c r="K48" i="4"/>
  <c r="I48" i="4"/>
  <c r="L48" i="4"/>
  <c r="B49" i="4"/>
  <c r="B48" i="5"/>
  <c r="M47" i="4"/>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5" i="4"/>
  <c r="BA43" i="4"/>
  <c r="BA44" i="4"/>
  <c r="BA42" i="4"/>
  <c r="BA46" i="4"/>
  <c r="BA47" i="4"/>
  <c r="U4241" i="16"/>
  <c r="S4241" i="16"/>
  <c r="U3725" i="16"/>
  <c r="S3725" i="16"/>
  <c r="U3509" i="16"/>
  <c r="S3509" i="16"/>
  <c r="S3455" i="16"/>
  <c r="U3455" i="16"/>
  <c r="U3185" i="16"/>
  <c r="S3185" i="16"/>
  <c r="U3077" i="16"/>
  <c r="S3077" i="16"/>
  <c r="U2969" i="16"/>
  <c r="S2969" i="16"/>
  <c r="U2645" i="16"/>
  <c r="S2645" i="16"/>
  <c r="U2429" i="16"/>
  <c r="S2429" i="16"/>
  <c r="U2213" i="16"/>
  <c r="S2213" i="16"/>
  <c r="S2105" i="16"/>
  <c r="U2105" i="16"/>
  <c r="U2051" i="16"/>
  <c r="S2051" i="16"/>
  <c r="U1997" i="16"/>
  <c r="S1997" i="16"/>
  <c r="U1727" i="16"/>
  <c r="S1727" i="16"/>
  <c r="U1511" i="16"/>
  <c r="S1511" i="16"/>
  <c r="U1457" i="16"/>
  <c r="S1457" i="16"/>
  <c r="U917" i="16"/>
  <c r="S917" i="16"/>
  <c r="U863" i="16"/>
  <c r="S863" i="16"/>
  <c r="U593" i="16"/>
  <c r="S593" i="16"/>
  <c r="U323" i="16"/>
  <c r="S323" i="16"/>
  <c r="M4596" i="16"/>
  <c r="N4596" i="16"/>
  <c r="M4542" i="16"/>
  <c r="N4542" i="16"/>
  <c r="M3726" i="16"/>
  <c r="N3726" i="16"/>
  <c r="N3672" i="16"/>
  <c r="M3672" i="16"/>
  <c r="M3348" i="16"/>
  <c r="N3348" i="16"/>
  <c r="N3240" i="16"/>
  <c r="M3240" i="16"/>
  <c r="M3186" i="16"/>
  <c r="N3186" i="16"/>
  <c r="N3078" i="16"/>
  <c r="M3078" i="16"/>
  <c r="N3024" i="16"/>
  <c r="M3024" i="16"/>
  <c r="M2916" i="16"/>
  <c r="N2916" i="16"/>
  <c r="M2700" i="16"/>
  <c r="N2700" i="16"/>
  <c r="M2646" i="16"/>
  <c r="N2646" i="16"/>
  <c r="M2430" i="16"/>
  <c r="N2430" i="16"/>
  <c r="M2376" i="16"/>
  <c r="N2376" i="16"/>
  <c r="N2160" i="16"/>
  <c r="M2160" i="16"/>
  <c r="N2106" i="16"/>
  <c r="M2106" i="16"/>
  <c r="M1890" i="16"/>
  <c r="N1890" i="16"/>
  <c r="M1836" i="16"/>
  <c r="N1836" i="16"/>
  <c r="M1620" i="16"/>
  <c r="N1620" i="16"/>
  <c r="M1566" i="16"/>
  <c r="N1566" i="16"/>
  <c r="M1404" i="16"/>
  <c r="N1404" i="16"/>
  <c r="N1350" i="16"/>
  <c r="M1350" i="16"/>
  <c r="N1296" i="16"/>
  <c r="M1296" i="16"/>
  <c r="M1134" i="16"/>
  <c r="N1134" i="16"/>
  <c r="M1080" i="16"/>
  <c r="N1080" i="16"/>
  <c r="M864" i="16"/>
  <c r="N864" i="16"/>
  <c r="M810" i="16"/>
  <c r="N810" i="16"/>
  <c r="M540" i="16"/>
  <c r="N540" i="16"/>
  <c r="N324" i="16"/>
  <c r="M324" i="16"/>
  <c r="M270" i="16"/>
  <c r="N270" i="16"/>
  <c r="M216" i="16"/>
  <c r="N216" i="16"/>
  <c r="M162" i="16"/>
  <c r="N162" i="16"/>
  <c r="M108" i="16"/>
  <c r="N108" i="16"/>
  <c r="F4543" i="16"/>
  <c r="K4543" i="16"/>
  <c r="F4081" i="16"/>
  <c r="O4081" i="16" s="1"/>
  <c r="K4081" i="16"/>
  <c r="F3511" i="16"/>
  <c r="O3511" i="16" s="1"/>
  <c r="K3511" i="16"/>
  <c r="K3457" i="16"/>
  <c r="F3457" i="16"/>
  <c r="O3457" i="16" s="1"/>
  <c r="K3187" i="16"/>
  <c r="F3187" i="16"/>
  <c r="O3187" i="16" s="1"/>
  <c r="F3079" i="16"/>
  <c r="O3079" i="16" s="1"/>
  <c r="K3079" i="16"/>
  <c r="F3025" i="16"/>
  <c r="O3025" i="16" s="1"/>
  <c r="K3025" i="16"/>
  <c r="K2917" i="16"/>
  <c r="F2917" i="16"/>
  <c r="O2917" i="16" s="1"/>
  <c r="F2809" i="16"/>
  <c r="O2809" i="16" s="1"/>
  <c r="K2809" i="16"/>
  <c r="K2593" i="16"/>
  <c r="F2593" i="16"/>
  <c r="O2593" i="16" s="1"/>
  <c r="F2539" i="16"/>
  <c r="O2539" i="16" s="1"/>
  <c r="K2539" i="16"/>
  <c r="F2377" i="16"/>
  <c r="O2377" i="16" s="1"/>
  <c r="K2377" i="16"/>
  <c r="F2323" i="16"/>
  <c r="O2323" i="16" s="1"/>
  <c r="K2323" i="16"/>
  <c r="F2053" i="16"/>
  <c r="O2053" i="16" s="1"/>
  <c r="K2053" i="16"/>
  <c r="F1999" i="16"/>
  <c r="O1999" i="16" s="1"/>
  <c r="K1999" i="16"/>
  <c r="K1729" i="16"/>
  <c r="F1729" i="16"/>
  <c r="O1729" i="16" s="1"/>
  <c r="F1513" i="16"/>
  <c r="O1513" i="16" s="1"/>
  <c r="K1513" i="16"/>
  <c r="K1459" i="16"/>
  <c r="F1459" i="16"/>
  <c r="O1459" i="16" s="1"/>
  <c r="K1189" i="16"/>
  <c r="F1189" i="16"/>
  <c r="O1189" i="16" s="1"/>
  <c r="F919" i="16"/>
  <c r="O919" i="16" s="1"/>
  <c r="K919" i="16"/>
  <c r="F649" i="16"/>
  <c r="O649" i="16" s="1"/>
  <c r="K649" i="16"/>
  <c r="F433" i="16"/>
  <c r="O433" i="16" s="1"/>
  <c r="K433" i="16"/>
  <c r="K325" i="16"/>
  <c r="F325" i="16"/>
  <c r="O325" i="16" s="1"/>
  <c r="K163" i="16"/>
  <c r="F163" i="16"/>
  <c r="O163" i="16" s="1"/>
  <c r="F46" i="5"/>
  <c r="G46" i="5"/>
  <c r="H46" i="5"/>
  <c r="K4544" i="16" l="1"/>
  <c r="F4544" i="16"/>
  <c r="K3782" i="16"/>
  <c r="F3782" i="16"/>
  <c r="O3782" i="16" s="1"/>
  <c r="K2648" i="16"/>
  <c r="F2648" i="16"/>
  <c r="O2648" i="16" s="1"/>
  <c r="K2486" i="16"/>
  <c r="F2486" i="16"/>
  <c r="O2486" i="16" s="1"/>
  <c r="K2432" i="16"/>
  <c r="F2432" i="16"/>
  <c r="O2432" i="16" s="1"/>
  <c r="K2216" i="16"/>
  <c r="F2216" i="16"/>
  <c r="O2216" i="16" s="1"/>
  <c r="K1784" i="16"/>
  <c r="F1784" i="16"/>
  <c r="O1784" i="16" s="1"/>
  <c r="K1622" i="16"/>
  <c r="F1622" i="16"/>
  <c r="O1622" i="16" s="1"/>
  <c r="K1568" i="16"/>
  <c r="F1568" i="16"/>
  <c r="O1568" i="16" s="1"/>
  <c r="K1136" i="16"/>
  <c r="F1136" i="16"/>
  <c r="O1136" i="16" s="1"/>
  <c r="K920" i="16"/>
  <c r="F920" i="16"/>
  <c r="O920" i="16" s="1"/>
  <c r="K704" i="16"/>
  <c r="F704" i="16"/>
  <c r="O704" i="16" s="1"/>
  <c r="K596" i="16"/>
  <c r="F596" i="16"/>
  <c r="O596" i="16" s="1"/>
  <c r="K542" i="16"/>
  <c r="F542" i="16"/>
  <c r="O542" i="16" s="1"/>
  <c r="T4704" i="16"/>
  <c r="D35" i="11" s="1"/>
  <c r="U4705" i="16"/>
  <c r="S4705" i="16"/>
  <c r="T4705" i="16" s="1"/>
  <c r="D36" i="11" s="1"/>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M4598" i="16"/>
  <c r="D4598" i="16"/>
  <c r="J4598" i="16"/>
  <c r="N4598" i="16" s="1"/>
  <c r="P4598" i="16"/>
  <c r="Q4598" i="16"/>
  <c r="R4598" i="16"/>
  <c r="L4599" i="16"/>
  <c r="C4599" i="16"/>
  <c r="E4599" i="16"/>
  <c r="G4599" i="16"/>
  <c r="I4599" i="16"/>
  <c r="B4600" i="16"/>
  <c r="M4544" i="16"/>
  <c r="D4544" i="16"/>
  <c r="J4544" i="16"/>
  <c r="N4544" i="16" s="1"/>
  <c r="P4544" i="16"/>
  <c r="Q4544" i="16"/>
  <c r="R4544" i="16"/>
  <c r="L4545" i="16"/>
  <c r="C4545" i="16"/>
  <c r="E4545" i="16"/>
  <c r="G4545" i="16"/>
  <c r="I4545" i="16"/>
  <c r="B4546" i="16"/>
  <c r="U4243" i="16"/>
  <c r="S4243" i="16"/>
  <c r="D4244" i="16"/>
  <c r="J4244" i="16"/>
  <c r="P4244" i="16"/>
  <c r="Q4244" i="16"/>
  <c r="R4244" i="16"/>
  <c r="T4244" i="16"/>
  <c r="L4245" i="16"/>
  <c r="C4245" i="16"/>
  <c r="K4245" i="16" s="1"/>
  <c r="E4245" i="16"/>
  <c r="F4245" i="16"/>
  <c r="O4245" i="16" s="1"/>
  <c r="G4245" i="16"/>
  <c r="I4245" i="16"/>
  <c r="B4246" i="16"/>
  <c r="P4190" i="16"/>
  <c r="Q4190" i="16"/>
  <c r="R4190" i="16"/>
  <c r="T4190" i="16"/>
  <c r="D4190" i="16"/>
  <c r="J4190" i="16"/>
  <c r="N4190" i="16" s="1"/>
  <c r="M4190" i="16"/>
  <c r="C4191" i="16"/>
  <c r="E4191" i="16"/>
  <c r="F4191" i="16"/>
  <c r="O4191" i="16" s="1"/>
  <c r="G4191" i="16"/>
  <c r="I4191" i="16"/>
  <c r="K4191" i="16"/>
  <c r="L4191" i="16"/>
  <c r="B4192" i="16"/>
  <c r="U4189" i="16"/>
  <c r="S4189" i="16"/>
  <c r="U4135" i="16"/>
  <c r="S4135" i="16"/>
  <c r="M4136" i="16"/>
  <c r="J4136" i="16"/>
  <c r="N4136" i="16" s="1"/>
  <c r="D4136" i="16"/>
  <c r="P4136" i="16"/>
  <c r="Q4136" i="16"/>
  <c r="R4136" i="16"/>
  <c r="T4136" i="16"/>
  <c r="E4137" i="16"/>
  <c r="G4137" i="16"/>
  <c r="C4137" i="16"/>
  <c r="I4137" i="16"/>
  <c r="L4137" i="16"/>
  <c r="B4138" i="16"/>
  <c r="M4082" i="16"/>
  <c r="D4082" i="16"/>
  <c r="J4082" i="16"/>
  <c r="N4082" i="16" s="1"/>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E3783" i="16"/>
  <c r="G3783" i="16"/>
  <c r="I3783" i="16"/>
  <c r="B3784" i="16"/>
  <c r="U3727" i="16"/>
  <c r="S3727" i="16"/>
  <c r="M3728" i="16"/>
  <c r="D3728" i="16"/>
  <c r="J3728" i="16"/>
  <c r="N3728" i="16" s="1"/>
  <c r="P3728" i="16"/>
  <c r="Q3728" i="16"/>
  <c r="R3728" i="16"/>
  <c r="T3728" i="16"/>
  <c r="L3729" i="16"/>
  <c r="C3729" i="16"/>
  <c r="E3729" i="16"/>
  <c r="G3729" i="16"/>
  <c r="B3730" i="16"/>
  <c r="I3729" i="16"/>
  <c r="U3673" i="16"/>
  <c r="S3673" i="16"/>
  <c r="M3674" i="16"/>
  <c r="D3674" i="16"/>
  <c r="J3674" i="16"/>
  <c r="N3674" i="16" s="1"/>
  <c r="P3674" i="16"/>
  <c r="Q3674" i="16"/>
  <c r="R3674" i="16"/>
  <c r="T3674" i="16"/>
  <c r="L3675" i="16"/>
  <c r="C3675" i="16"/>
  <c r="K3675" i="16" s="1"/>
  <c r="E3675" i="16"/>
  <c r="F3675" i="16"/>
  <c r="O3675" i="16" s="1"/>
  <c r="G3675" i="16"/>
  <c r="B3676" i="16"/>
  <c r="I3675"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E3567" i="16"/>
  <c r="G3567" i="16"/>
  <c r="I3567" i="16"/>
  <c r="B3568" i="16"/>
  <c r="D3512" i="16"/>
  <c r="J3512" i="16"/>
  <c r="P3512" i="16"/>
  <c r="Q3512" i="16"/>
  <c r="R3512" i="16"/>
  <c r="T3512" i="16"/>
  <c r="L3513" i="16"/>
  <c r="C3513" i="16"/>
  <c r="E3513" i="16"/>
  <c r="G3513" i="16"/>
  <c r="I3513" i="16"/>
  <c r="B3514" i="16"/>
  <c r="P3458" i="16"/>
  <c r="Q3458" i="16"/>
  <c r="R3458" i="16"/>
  <c r="T3458" i="16"/>
  <c r="L3459" i="16"/>
  <c r="C3459" i="16"/>
  <c r="K3459" i="16" s="1"/>
  <c r="E3459" i="16"/>
  <c r="F3459" i="16"/>
  <c r="O3459" i="16" s="1"/>
  <c r="G3459" i="16"/>
  <c r="B3460" i="16"/>
  <c r="I3459" i="16"/>
  <c r="D3458" i="16"/>
  <c r="J3458" i="16"/>
  <c r="U3403" i="16"/>
  <c r="S3403" i="16"/>
  <c r="D3404" i="16"/>
  <c r="J3404" i="16"/>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E3351" i="16"/>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U3241" i="16"/>
  <c r="S3241" i="16"/>
  <c r="L3243" i="16"/>
  <c r="G3243" i="16"/>
  <c r="I3243" i="16"/>
  <c r="B3244" i="16"/>
  <c r="C3243" i="16"/>
  <c r="E3243" i="16"/>
  <c r="P3242" i="16"/>
  <c r="Q3242" i="16"/>
  <c r="R3242" i="16"/>
  <c r="T3242" i="16"/>
  <c r="D3242" i="16"/>
  <c r="J3242" i="16"/>
  <c r="J3188" i="16"/>
  <c r="D3188" i="16"/>
  <c r="L3189" i="16"/>
  <c r="E3189" i="16"/>
  <c r="G3189" i="16"/>
  <c r="C3189" i="16"/>
  <c r="K3189" i="16" s="1"/>
  <c r="B3190" i="16"/>
  <c r="I3189" i="16"/>
  <c r="F3189" i="16"/>
  <c r="O3189" i="16" s="1"/>
  <c r="P3188" i="16"/>
  <c r="Q3188" i="16"/>
  <c r="R3188" i="16"/>
  <c r="T3188" i="16"/>
  <c r="U3133" i="16"/>
  <c r="S3133" i="16"/>
  <c r="J3134" i="16"/>
  <c r="D3134" i="16"/>
  <c r="P3134" i="16"/>
  <c r="Q3134" i="16"/>
  <c r="R3134" i="16"/>
  <c r="T3134" i="16"/>
  <c r="L3135" i="16"/>
  <c r="G3135" i="16"/>
  <c r="B3136" i="16"/>
  <c r="I3135" i="16"/>
  <c r="C3135" i="16"/>
  <c r="E3135" i="16"/>
  <c r="D3080" i="16"/>
  <c r="J3080" i="16"/>
  <c r="P3080" i="16"/>
  <c r="Q3080" i="16"/>
  <c r="R3080" i="16"/>
  <c r="T3080" i="16"/>
  <c r="L3081" i="16"/>
  <c r="C3081" i="16"/>
  <c r="B3082" i="16"/>
  <c r="E3081" i="16"/>
  <c r="G3081" i="16"/>
  <c r="I3081" i="16"/>
  <c r="P3026" i="16"/>
  <c r="Q3026" i="16"/>
  <c r="R3026" i="16"/>
  <c r="T3026" i="16"/>
  <c r="L3027" i="16"/>
  <c r="G3027" i="16"/>
  <c r="C3027" i="16"/>
  <c r="K3027" i="16" s="1"/>
  <c r="B3028" i="16"/>
  <c r="E3027" i="16"/>
  <c r="F3027" i="16"/>
  <c r="O3027" i="16" s="1"/>
  <c r="I3027" i="16"/>
  <c r="D3026" i="16"/>
  <c r="J3026" i="16"/>
  <c r="U2971" i="16"/>
  <c r="S2971" i="16"/>
  <c r="M2972" i="16"/>
  <c r="D2972" i="16"/>
  <c r="J2972" i="16"/>
  <c r="N2972" i="16" s="1"/>
  <c r="P2972" i="16"/>
  <c r="Q2972" i="16"/>
  <c r="R2972" i="16"/>
  <c r="T2972" i="16"/>
  <c r="L2973" i="16"/>
  <c r="C2973" i="16"/>
  <c r="E2973" i="16"/>
  <c r="G2973" i="16"/>
  <c r="I2973" i="16"/>
  <c r="B2974" i="16"/>
  <c r="D2918" i="16"/>
  <c r="J2918" i="16"/>
  <c r="P2918" i="16"/>
  <c r="Q2918" i="16"/>
  <c r="R2918" i="16"/>
  <c r="T2918" i="16"/>
  <c r="L2919" i="16"/>
  <c r="C2919" i="16"/>
  <c r="E2919" i="16"/>
  <c r="G2919" i="16"/>
  <c r="I2919" i="16"/>
  <c r="B2920" i="16"/>
  <c r="U2863" i="16"/>
  <c r="S2863" i="16"/>
  <c r="D2864" i="16"/>
  <c r="J2864" i="16"/>
  <c r="P2864" i="16"/>
  <c r="Q2864" i="16"/>
  <c r="R2864" i="16"/>
  <c r="T2864" i="16"/>
  <c r="L2865" i="16"/>
  <c r="C2865" i="16"/>
  <c r="E2865" i="16"/>
  <c r="G2865" i="16"/>
  <c r="I2865" i="16"/>
  <c r="B2866" i="16"/>
  <c r="N2810" i="16"/>
  <c r="S2810" i="16" s="1"/>
  <c r="M2810" i="16"/>
  <c r="D2810" i="16"/>
  <c r="J2810" i="16"/>
  <c r="P2810" i="16"/>
  <c r="Q2810" i="16"/>
  <c r="R2810" i="16"/>
  <c r="T2810" i="16"/>
  <c r="U2810" i="16" s="1"/>
  <c r="L2811" i="16"/>
  <c r="C2811" i="16"/>
  <c r="K2811" i="16" s="1"/>
  <c r="E2811" i="16"/>
  <c r="F2811" i="16"/>
  <c r="O2811" i="16" s="1"/>
  <c r="G2811" i="16"/>
  <c r="I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U2647" i="16"/>
  <c r="S2647" i="16"/>
  <c r="M2648" i="16"/>
  <c r="D2648" i="16"/>
  <c r="J2648" i="16"/>
  <c r="N2648" i="16" s="1"/>
  <c r="P2648" i="16"/>
  <c r="Q2648" i="16"/>
  <c r="R2648" i="16"/>
  <c r="T2648" i="16"/>
  <c r="L2649" i="16"/>
  <c r="C2649" i="16"/>
  <c r="E2649" i="16"/>
  <c r="G2649" i="16"/>
  <c r="I2649" i="16"/>
  <c r="B2650" i="16"/>
  <c r="D2594" i="16"/>
  <c r="J2594" i="16"/>
  <c r="P2594" i="16"/>
  <c r="Q2594" i="16"/>
  <c r="R2594" i="16"/>
  <c r="T2594" i="16"/>
  <c r="L2595" i="16"/>
  <c r="C2595" i="16"/>
  <c r="E2595" i="16"/>
  <c r="G2595" i="16"/>
  <c r="I2595" i="16"/>
  <c r="B2596" i="16"/>
  <c r="D2540" i="16"/>
  <c r="J2540" i="16"/>
  <c r="Q2540" i="16"/>
  <c r="P2540" i="16"/>
  <c r="R2540" i="16"/>
  <c r="T2540" i="16"/>
  <c r="L2541" i="16"/>
  <c r="C2541" i="16"/>
  <c r="K2541" i="16" s="1"/>
  <c r="E2541" i="16"/>
  <c r="F2541" i="16"/>
  <c r="O2541" i="16" s="1"/>
  <c r="G2541" i="16"/>
  <c r="I2541" i="16"/>
  <c r="B2542" i="16"/>
  <c r="U2485" i="16"/>
  <c r="S2485" i="16"/>
  <c r="M2486" i="16"/>
  <c r="D2486" i="16"/>
  <c r="J2486" i="16"/>
  <c r="N2486" i="16" s="1"/>
  <c r="Q2486" i="16"/>
  <c r="R2486" i="16"/>
  <c r="P2486" i="16"/>
  <c r="T2486" i="16"/>
  <c r="L2487" i="16"/>
  <c r="C2487" i="16"/>
  <c r="E2487" i="16"/>
  <c r="G2487" i="16"/>
  <c r="I2487" i="16"/>
  <c r="B2488" i="16"/>
  <c r="U2431" i="16"/>
  <c r="S2431" i="16"/>
  <c r="M2432" i="16"/>
  <c r="D2432" i="16"/>
  <c r="J2432" i="16"/>
  <c r="N2432" i="16" s="1"/>
  <c r="Q2432" i="16"/>
  <c r="P2432" i="16"/>
  <c r="R2432" i="16"/>
  <c r="T2432" i="16"/>
  <c r="L2433" i="16"/>
  <c r="C2433" i="16"/>
  <c r="E2433" i="16"/>
  <c r="G2433" i="16"/>
  <c r="I2433" i="16"/>
  <c r="B2434" i="16"/>
  <c r="M2378" i="16"/>
  <c r="D2378" i="16"/>
  <c r="J2378" i="16"/>
  <c r="N2378" i="16" s="1"/>
  <c r="P2378" i="16"/>
  <c r="Q2378" i="16"/>
  <c r="R2378" i="16"/>
  <c r="T2378" i="16"/>
  <c r="L2379" i="16"/>
  <c r="C2379" i="16"/>
  <c r="K2379" i="16" s="1"/>
  <c r="E2379" i="16"/>
  <c r="F2379" i="16"/>
  <c r="O2379" i="16" s="1"/>
  <c r="G2379" i="16"/>
  <c r="I2379" i="16"/>
  <c r="B2380" i="16"/>
  <c r="D2324" i="16"/>
  <c r="J2324" i="16"/>
  <c r="P2324" i="16"/>
  <c r="Q2324" i="16"/>
  <c r="R2324" i="16"/>
  <c r="T2324" i="16"/>
  <c r="L2325" i="16"/>
  <c r="C2325" i="16"/>
  <c r="E2325" i="16"/>
  <c r="G2325" i="16"/>
  <c r="I2325" i="16"/>
  <c r="B2326"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K2217" i="16" s="1"/>
  <c r="E2217" i="16"/>
  <c r="F2217" i="16"/>
  <c r="O2217" i="16" s="1"/>
  <c r="G2217" i="16"/>
  <c r="B2218" i="16"/>
  <c r="I2217" i="16"/>
  <c r="U2161" i="16"/>
  <c r="S2161" i="16"/>
  <c r="M2162" i="16"/>
  <c r="D2162" i="16"/>
  <c r="J2162" i="16"/>
  <c r="N2162" i="16" s="1"/>
  <c r="P2162" i="16"/>
  <c r="Q2162" i="16"/>
  <c r="R2162" i="16"/>
  <c r="T2162" i="16"/>
  <c r="L2163" i="16"/>
  <c r="C2163" i="16"/>
  <c r="K2163" i="16" s="1"/>
  <c r="E2163" i="16"/>
  <c r="F2163" i="16"/>
  <c r="O2163" i="16" s="1"/>
  <c r="G2163" i="16"/>
  <c r="I2163" i="16"/>
  <c r="B2164" i="16"/>
  <c r="S2107" i="16"/>
  <c r="U2107" i="16"/>
  <c r="D2108" i="16"/>
  <c r="M2108" i="16" s="1"/>
  <c r="J2108" i="16"/>
  <c r="P2108" i="16"/>
  <c r="Q2108" i="16"/>
  <c r="R2108" i="16"/>
  <c r="T2108" i="16"/>
  <c r="L2109" i="16"/>
  <c r="C2109" i="16"/>
  <c r="E2109" i="16"/>
  <c r="G2109" i="16"/>
  <c r="I2109" i="16"/>
  <c r="B2110" i="16"/>
  <c r="D2054" i="16"/>
  <c r="J2054" i="16"/>
  <c r="P2054" i="16"/>
  <c r="Q2054" i="16"/>
  <c r="R2054" i="16"/>
  <c r="T2054" i="16"/>
  <c r="L2055" i="16"/>
  <c r="C2055" i="16"/>
  <c r="K2055" i="16" s="1"/>
  <c r="E2055" i="16"/>
  <c r="F2055" i="16"/>
  <c r="O2055" i="16" s="1"/>
  <c r="G2055" i="16"/>
  <c r="I2055" i="16"/>
  <c r="B2056" i="16"/>
  <c r="M2000" i="16"/>
  <c r="D2000" i="16"/>
  <c r="J2000" i="16"/>
  <c r="N2000" i="16" s="1"/>
  <c r="P2000" i="16"/>
  <c r="Q2000" i="16"/>
  <c r="R2000" i="16"/>
  <c r="T2000" i="16"/>
  <c r="L2001" i="16"/>
  <c r="C2001" i="16"/>
  <c r="E2001" i="16"/>
  <c r="G2001" i="16"/>
  <c r="I2001" i="16"/>
  <c r="B2002" i="16"/>
  <c r="U1945" i="16"/>
  <c r="S1945" i="16"/>
  <c r="M1946" i="16"/>
  <c r="D1946" i="16"/>
  <c r="J1946" i="16"/>
  <c r="N1946" i="16" s="1"/>
  <c r="P1946" i="16"/>
  <c r="Q1946" i="16"/>
  <c r="R1946" i="16"/>
  <c r="T1946" i="16"/>
  <c r="L1947" i="16"/>
  <c r="C1947" i="16"/>
  <c r="K1947" i="16" s="1"/>
  <c r="E1947" i="16"/>
  <c r="F1947" i="16"/>
  <c r="O1947" i="16" s="1"/>
  <c r="G1947" i="16"/>
  <c r="I1947" i="16"/>
  <c r="B1948" i="16"/>
  <c r="S1891" i="16"/>
  <c r="U1891" i="16"/>
  <c r="M1892" i="16"/>
  <c r="D1892" i="16"/>
  <c r="J1892" i="16"/>
  <c r="N1892" i="16" s="1"/>
  <c r="P1892" i="16"/>
  <c r="Q1892" i="16"/>
  <c r="R1892" i="16"/>
  <c r="T1892" i="16"/>
  <c r="L1893" i="16"/>
  <c r="C1893" i="16"/>
  <c r="K1893" i="16" s="1"/>
  <c r="E1893" i="16"/>
  <c r="F1893" i="16"/>
  <c r="O1893" i="16" s="1"/>
  <c r="G1893" i="16"/>
  <c r="I1893" i="16"/>
  <c r="B1894" i="16"/>
  <c r="U1837" i="16"/>
  <c r="S1837" i="16"/>
  <c r="M1838" i="16"/>
  <c r="D1838" i="16"/>
  <c r="J1838" i="16"/>
  <c r="N1838" i="16" s="1"/>
  <c r="P1838" i="16"/>
  <c r="Q1838" i="16"/>
  <c r="R1838" i="16"/>
  <c r="T1838" i="16"/>
  <c r="L1839" i="16"/>
  <c r="C1839" i="16"/>
  <c r="K1839" i="16" s="1"/>
  <c r="E1839" i="16"/>
  <c r="F1839" i="16"/>
  <c r="O1839" i="16" s="1"/>
  <c r="G1839" i="16"/>
  <c r="I1839" i="16"/>
  <c r="B1840" i="16"/>
  <c r="U1783" i="16"/>
  <c r="S1783" i="16"/>
  <c r="M1784" i="16"/>
  <c r="D1784" i="16"/>
  <c r="J1784" i="16"/>
  <c r="N1784" i="16" s="1"/>
  <c r="P1784" i="16"/>
  <c r="Q1784" i="16"/>
  <c r="R1784" i="16"/>
  <c r="T1784" i="16"/>
  <c r="L1785" i="16"/>
  <c r="C1785" i="16"/>
  <c r="E1785" i="16"/>
  <c r="G1785" i="16"/>
  <c r="I1785" i="16"/>
  <c r="B1786" i="16"/>
  <c r="D1730" i="16"/>
  <c r="J1730" i="16"/>
  <c r="P1730" i="16"/>
  <c r="Q1730" i="16"/>
  <c r="R1730" i="16"/>
  <c r="T1730" i="16"/>
  <c r="L1731" i="16"/>
  <c r="C1731" i="16"/>
  <c r="K1731" i="16" s="1"/>
  <c r="E1731" i="16"/>
  <c r="F1731" i="16"/>
  <c r="O1731" i="16" s="1"/>
  <c r="G1731" i="16"/>
  <c r="I1731" i="16"/>
  <c r="B1732" i="16"/>
  <c r="S1675" i="16"/>
  <c r="U1675" i="16"/>
  <c r="M1676" i="16"/>
  <c r="D1676" i="16"/>
  <c r="J1676" i="16"/>
  <c r="N1676" i="16" s="1"/>
  <c r="P1676" i="16"/>
  <c r="Q1676" i="16"/>
  <c r="R1676" i="16"/>
  <c r="T1676" i="16"/>
  <c r="L1677" i="16"/>
  <c r="C1677" i="16"/>
  <c r="K1677" i="16" s="1"/>
  <c r="E1677" i="16"/>
  <c r="F1677" i="16"/>
  <c r="O1677" i="16" s="1"/>
  <c r="G1677" i="16"/>
  <c r="I1677" i="16"/>
  <c r="B1678" i="16"/>
  <c r="U1621" i="16"/>
  <c r="S1621" i="16"/>
  <c r="M1622" i="16"/>
  <c r="D1622" i="16"/>
  <c r="J1622" i="16"/>
  <c r="N1622" i="16" s="1"/>
  <c r="P1622" i="16"/>
  <c r="Q1622" i="16"/>
  <c r="R1622" i="16"/>
  <c r="T1622" i="16"/>
  <c r="L1623" i="16"/>
  <c r="C1623" i="16"/>
  <c r="K1623" i="16" s="1"/>
  <c r="E1623" i="16"/>
  <c r="F1623" i="16"/>
  <c r="O1623" i="16" s="1"/>
  <c r="G1623" i="16"/>
  <c r="I1623" i="16"/>
  <c r="B1624" i="16"/>
  <c r="U1567" i="16"/>
  <c r="S1567" i="16"/>
  <c r="M1568" i="16"/>
  <c r="D1568" i="16"/>
  <c r="J1568" i="16"/>
  <c r="N1568" i="16" s="1"/>
  <c r="P1568" i="16"/>
  <c r="Q1568" i="16"/>
  <c r="R1568" i="16"/>
  <c r="T1568" i="16"/>
  <c r="L1569" i="16"/>
  <c r="C1569" i="16"/>
  <c r="E1569" i="16"/>
  <c r="G1569" i="16"/>
  <c r="I1569" i="16"/>
  <c r="B1570" i="16"/>
  <c r="J1514" i="16"/>
  <c r="D1514" i="16"/>
  <c r="P1514" i="16"/>
  <c r="Q1514" i="16"/>
  <c r="R1514" i="16"/>
  <c r="T1514" i="16"/>
  <c r="L1515" i="16"/>
  <c r="I1515" i="16"/>
  <c r="C1515" i="16"/>
  <c r="E1515" i="16"/>
  <c r="G1515" i="16"/>
  <c r="B1516" i="16"/>
  <c r="L1461" i="16"/>
  <c r="C1461" i="16"/>
  <c r="E1461" i="16"/>
  <c r="G1461" i="16"/>
  <c r="I1461" i="16"/>
  <c r="B1462" i="16"/>
  <c r="J1460" i="16"/>
  <c r="D1460" i="16"/>
  <c r="P1460" i="16"/>
  <c r="Q1460" i="16"/>
  <c r="R1460" i="16"/>
  <c r="T1460" i="16"/>
  <c r="U1405" i="16"/>
  <c r="S1405" i="16"/>
  <c r="M1406" i="16"/>
  <c r="L1407" i="16"/>
  <c r="B1408" i="16"/>
  <c r="C1407" i="16"/>
  <c r="G1407" i="16"/>
  <c r="I1407" i="16"/>
  <c r="E1407" i="16"/>
  <c r="J1406" i="16"/>
  <c r="N1406" i="16" s="1"/>
  <c r="D1406" i="16"/>
  <c r="P1406" i="16"/>
  <c r="Q1406" i="16"/>
  <c r="R1406" i="16"/>
  <c r="T1406" i="16"/>
  <c r="U1351" i="16"/>
  <c r="S1351" i="16"/>
  <c r="M1352" i="16"/>
  <c r="J1352" i="16"/>
  <c r="N1352" i="16" s="1"/>
  <c r="D1352" i="16"/>
  <c r="P1352" i="16"/>
  <c r="Q1352" i="16"/>
  <c r="R1352" i="16"/>
  <c r="T1352" i="16"/>
  <c r="L1353" i="16"/>
  <c r="E1353" i="16"/>
  <c r="G1353" i="16"/>
  <c r="B1354" i="16"/>
  <c r="I1353" i="16"/>
  <c r="C1353" i="16"/>
  <c r="U1297" i="16"/>
  <c r="S1297" i="16"/>
  <c r="M1298" i="16"/>
  <c r="L1299" i="16"/>
  <c r="E1299" i="16"/>
  <c r="B1300" i="16"/>
  <c r="I1299" i="16"/>
  <c r="C1299" i="16"/>
  <c r="K1299" i="16" s="1"/>
  <c r="G1299" i="16"/>
  <c r="F1299" i="16"/>
  <c r="O1299" i="16" s="1"/>
  <c r="J1298" i="16"/>
  <c r="N1298" i="16" s="1"/>
  <c r="D1298" i="16"/>
  <c r="P1298" i="16"/>
  <c r="Q1298" i="16"/>
  <c r="R1298" i="16"/>
  <c r="T1298" i="16"/>
  <c r="S1244" i="16"/>
  <c r="U1244" i="16"/>
  <c r="L1246" i="16"/>
  <c r="C1246" i="16"/>
  <c r="E1246" i="16"/>
  <c r="G1246" i="16"/>
  <c r="B1247" i="16"/>
  <c r="I1246" i="16"/>
  <c r="P1245" i="16"/>
  <c r="Q1245" i="16"/>
  <c r="R1245" i="16"/>
  <c r="T1245" i="16"/>
  <c r="D1245" i="16"/>
  <c r="J1245" i="16"/>
  <c r="D1190" i="16"/>
  <c r="J1190" i="16"/>
  <c r="P1190" i="16"/>
  <c r="Q1190" i="16"/>
  <c r="R1190" i="16"/>
  <c r="T1190" i="16"/>
  <c r="L1191" i="16"/>
  <c r="C1191" i="16"/>
  <c r="E1191" i="16"/>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U1081" i="16"/>
  <c r="S1081" i="16"/>
  <c r="M1082" i="16"/>
  <c r="D1082" i="16"/>
  <c r="J1082" i="16"/>
  <c r="N1082" i="16" s="1"/>
  <c r="P1082" i="16"/>
  <c r="Q1082" i="16"/>
  <c r="R1082" i="16"/>
  <c r="T1082" i="16"/>
  <c r="L1083" i="16"/>
  <c r="C1083" i="16"/>
  <c r="K1083" i="16" s="1"/>
  <c r="E1083" i="16"/>
  <c r="F1083" i="16"/>
  <c r="O1083" i="16" s="1"/>
  <c r="G1083" i="16"/>
  <c r="I1083" i="16"/>
  <c r="B1084" i="16"/>
  <c r="U1027" i="16"/>
  <c r="S1027" i="16"/>
  <c r="D1028" i="16"/>
  <c r="M1028" i="16" s="1"/>
  <c r="J1028" i="16"/>
  <c r="P1028" i="16"/>
  <c r="Q1028" i="16"/>
  <c r="R1028" i="16"/>
  <c r="T1028" i="16"/>
  <c r="L1029" i="16"/>
  <c r="C1029" i="16"/>
  <c r="K1029" i="16" s="1"/>
  <c r="E1029" i="16"/>
  <c r="F1029" i="16"/>
  <c r="O1029" i="16" s="1"/>
  <c r="G1029" i="16"/>
  <c r="I1029" i="16"/>
  <c r="B1030" i="16"/>
  <c r="U973" i="16"/>
  <c r="S973" i="16"/>
  <c r="M974" i="16"/>
  <c r="D974" i="16"/>
  <c r="J974" i="16"/>
  <c r="N974" i="16" s="1"/>
  <c r="P974" i="16"/>
  <c r="Q974" i="16"/>
  <c r="R974" i="16"/>
  <c r="T974" i="16"/>
  <c r="L975" i="16"/>
  <c r="C975" i="16"/>
  <c r="E975" i="16"/>
  <c r="G975" i="16"/>
  <c r="I975" i="16"/>
  <c r="B976" i="16"/>
  <c r="M920" i="16"/>
  <c r="D920" i="16"/>
  <c r="J920" i="16"/>
  <c r="N920" i="16" s="1"/>
  <c r="P920" i="16"/>
  <c r="Q920" i="16"/>
  <c r="R920" i="16"/>
  <c r="T920" i="16"/>
  <c r="L921" i="16"/>
  <c r="C921" i="16"/>
  <c r="E921" i="16"/>
  <c r="G921" i="16"/>
  <c r="I921" i="16"/>
  <c r="B922" i="16"/>
  <c r="U865" i="16"/>
  <c r="S865" i="16"/>
  <c r="M866" i="16"/>
  <c r="D866" i="16"/>
  <c r="J866" i="16"/>
  <c r="N866" i="16" s="1"/>
  <c r="P866" i="16"/>
  <c r="Q866" i="16"/>
  <c r="R866" i="16"/>
  <c r="T866" i="16"/>
  <c r="L867" i="16"/>
  <c r="C867" i="16"/>
  <c r="K867" i="16" s="1"/>
  <c r="E867" i="16"/>
  <c r="F867" i="16"/>
  <c r="O867" i="16" s="1"/>
  <c r="G867" i="16"/>
  <c r="I867" i="16"/>
  <c r="B868" i="16"/>
  <c r="U811" i="16"/>
  <c r="S811" i="16"/>
  <c r="M812" i="16"/>
  <c r="D812" i="16"/>
  <c r="J812" i="16"/>
  <c r="N812" i="16" s="1"/>
  <c r="P812" i="16"/>
  <c r="Q812" i="16"/>
  <c r="R812" i="16"/>
  <c r="T812" i="16"/>
  <c r="L813" i="16"/>
  <c r="C813" i="16"/>
  <c r="K813" i="16" s="1"/>
  <c r="E813" i="16"/>
  <c r="F813" i="16"/>
  <c r="O813" i="16" s="1"/>
  <c r="G813" i="16"/>
  <c r="I813" i="16"/>
  <c r="B814" i="16"/>
  <c r="U757" i="16"/>
  <c r="S757" i="16"/>
  <c r="M758" i="16"/>
  <c r="D758" i="16"/>
  <c r="J758" i="16"/>
  <c r="N758" i="16" s="1"/>
  <c r="Q758" i="16"/>
  <c r="P758" i="16"/>
  <c r="R758" i="16"/>
  <c r="T758" i="16"/>
  <c r="L759" i="16"/>
  <c r="C759" i="16"/>
  <c r="K759" i="16" s="1"/>
  <c r="E759" i="16"/>
  <c r="F759" i="16"/>
  <c r="O759" i="16" s="1"/>
  <c r="G759" i="16"/>
  <c r="I759" i="16"/>
  <c r="B760" i="16"/>
  <c r="U703" i="16"/>
  <c r="S703" i="16"/>
  <c r="M704" i="16"/>
  <c r="D704" i="16"/>
  <c r="J704" i="16"/>
  <c r="N704" i="16" s="1"/>
  <c r="P704" i="16"/>
  <c r="Q704" i="16"/>
  <c r="R704" i="16"/>
  <c r="T704" i="16"/>
  <c r="L705" i="16"/>
  <c r="C705" i="16"/>
  <c r="E705" i="16"/>
  <c r="G705" i="16"/>
  <c r="I705" i="16"/>
  <c r="B706" i="16"/>
  <c r="D650" i="16"/>
  <c r="J650" i="16"/>
  <c r="Q650" i="16"/>
  <c r="P650" i="16"/>
  <c r="R650" i="16"/>
  <c r="T650" i="16"/>
  <c r="L651" i="16"/>
  <c r="C651" i="16"/>
  <c r="K651" i="16" s="1"/>
  <c r="E651" i="16"/>
  <c r="F651" i="16"/>
  <c r="O651" i="16" s="1"/>
  <c r="G651" i="16"/>
  <c r="I651" i="16"/>
  <c r="B652" i="16"/>
  <c r="U595" i="16"/>
  <c r="S595" i="16"/>
  <c r="M596" i="16"/>
  <c r="D596" i="16"/>
  <c r="J596" i="16"/>
  <c r="N596" i="16" s="1"/>
  <c r="P596" i="16"/>
  <c r="Q596" i="16"/>
  <c r="R596" i="16"/>
  <c r="T596" i="16"/>
  <c r="L597" i="16"/>
  <c r="C597" i="16"/>
  <c r="K597" i="16" s="1"/>
  <c r="E597" i="16"/>
  <c r="F597" i="16"/>
  <c r="O597" i="16" s="1"/>
  <c r="G597" i="16"/>
  <c r="I597" i="16"/>
  <c r="B598" i="16"/>
  <c r="U541" i="16"/>
  <c r="S541" i="16"/>
  <c r="M542" i="16"/>
  <c r="D542" i="16"/>
  <c r="J542" i="16"/>
  <c r="N542" i="16" s="1"/>
  <c r="Q542" i="16"/>
  <c r="P542" i="16"/>
  <c r="R542" i="16"/>
  <c r="T542" i="16"/>
  <c r="L543" i="16"/>
  <c r="C543" i="16"/>
  <c r="K543" i="16" s="1"/>
  <c r="E543" i="16"/>
  <c r="F543" i="16"/>
  <c r="O543" i="16" s="1"/>
  <c r="G543" i="16"/>
  <c r="I543" i="16"/>
  <c r="B544" i="16"/>
  <c r="U487" i="16"/>
  <c r="S487" i="16"/>
  <c r="M488" i="16"/>
  <c r="D488" i="16"/>
  <c r="J488" i="16"/>
  <c r="N488" i="16" s="1"/>
  <c r="Q488" i="16"/>
  <c r="P488" i="16"/>
  <c r="R488" i="16"/>
  <c r="T488" i="16"/>
  <c r="L489" i="16"/>
  <c r="C489" i="16"/>
  <c r="K489" i="16" s="1"/>
  <c r="E489" i="16"/>
  <c r="F489" i="16"/>
  <c r="O489" i="16" s="1"/>
  <c r="G489" i="16"/>
  <c r="I489" i="16"/>
  <c r="B490" i="16"/>
  <c r="M434" i="16"/>
  <c r="D434" i="16"/>
  <c r="J434" i="16"/>
  <c r="N434" i="16" s="1"/>
  <c r="P434" i="16"/>
  <c r="Q434" i="16"/>
  <c r="R434" i="16"/>
  <c r="T434" i="16"/>
  <c r="L435" i="16"/>
  <c r="C435" i="16"/>
  <c r="E435" i="16"/>
  <c r="G435" i="16"/>
  <c r="I435" i="16"/>
  <c r="B436" i="16"/>
  <c r="U379" i="16"/>
  <c r="S379" i="16"/>
  <c r="D380" i="16"/>
  <c r="J380" i="16"/>
  <c r="P380" i="16"/>
  <c r="Q380" i="16"/>
  <c r="R380" i="16"/>
  <c r="T380" i="16"/>
  <c r="L381" i="16"/>
  <c r="C381" i="16"/>
  <c r="E381" i="16"/>
  <c r="G381" i="16"/>
  <c r="I381" i="16"/>
  <c r="B382" i="16"/>
  <c r="J326" i="16"/>
  <c r="D326" i="16"/>
  <c r="L327" i="16"/>
  <c r="E327" i="16"/>
  <c r="B328" i="16"/>
  <c r="I327" i="16"/>
  <c r="C327" i="16"/>
  <c r="G327" i="16"/>
  <c r="P326" i="16"/>
  <c r="Q326" i="16"/>
  <c r="R326" i="16"/>
  <c r="T326" i="16"/>
  <c r="U271" i="16"/>
  <c r="S271" i="16"/>
  <c r="M272" i="16"/>
  <c r="D272" i="16"/>
  <c r="J272" i="16"/>
  <c r="N272" i="16" s="1"/>
  <c r="P272" i="16"/>
  <c r="Q272" i="16"/>
  <c r="R272" i="16"/>
  <c r="T272" i="16"/>
  <c r="L273" i="16"/>
  <c r="C273" i="16"/>
  <c r="E273" i="16"/>
  <c r="G273" i="16"/>
  <c r="I273" i="16"/>
  <c r="B274" i="16"/>
  <c r="U217" i="16"/>
  <c r="S217" i="16"/>
  <c r="M218" i="16"/>
  <c r="D218" i="16"/>
  <c r="J218" i="16"/>
  <c r="N218" i="16" s="1"/>
  <c r="P218" i="16"/>
  <c r="Q218" i="16"/>
  <c r="R218" i="16"/>
  <c r="T218" i="16"/>
  <c r="L219" i="16"/>
  <c r="C219" i="16"/>
  <c r="E219" i="16"/>
  <c r="G219" i="16"/>
  <c r="I219" i="16"/>
  <c r="B220" i="16"/>
  <c r="D164" i="16"/>
  <c r="J164" i="16"/>
  <c r="P164" i="16"/>
  <c r="Q164" i="16"/>
  <c r="R164" i="16"/>
  <c r="T164" i="16"/>
  <c r="L165" i="16"/>
  <c r="C165" i="16"/>
  <c r="E165" i="16"/>
  <c r="G165" i="16"/>
  <c r="I165" i="16"/>
  <c r="B166" i="16"/>
  <c r="S109" i="16"/>
  <c r="U109" i="16"/>
  <c r="D110" i="16"/>
  <c r="J110" i="16"/>
  <c r="P110" i="16"/>
  <c r="Q110" i="16"/>
  <c r="R110" i="16"/>
  <c r="T110" i="16"/>
  <c r="L111" i="16"/>
  <c r="C111" i="16"/>
  <c r="E111" i="16"/>
  <c r="G111" i="16"/>
  <c r="I111" i="16"/>
  <c r="B112" i="16"/>
  <c r="C81" i="7"/>
  <c r="G81" i="7" s="1"/>
  <c r="D48" i="4"/>
  <c r="J48" i="4"/>
  <c r="N48" i="4" s="1"/>
  <c r="O48" i="4"/>
  <c r="E83" i="7"/>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V48" i="4"/>
  <c r="T48" i="4"/>
  <c r="M48" i="4"/>
  <c r="C49" i="4"/>
  <c r="E49" i="4"/>
  <c r="F49" i="4"/>
  <c r="C49" i="5" s="1"/>
  <c r="E49" i="5" s="1"/>
  <c r="G49" i="4"/>
  <c r="BB49" i="4" s="1"/>
  <c r="L49" i="4"/>
  <c r="I49" i="4"/>
  <c r="K49" i="4"/>
  <c r="B50" i="4"/>
  <c r="B49" i="5"/>
  <c r="U47" i="4"/>
  <c r="S47" i="4"/>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7" i="4"/>
  <c r="BB48" i="4"/>
  <c r="BB45" i="4"/>
  <c r="BB46" i="4"/>
  <c r="U3726" i="16"/>
  <c r="S3726" i="16"/>
  <c r="S3672" i="16"/>
  <c r="U3672" i="16"/>
  <c r="U3348" i="16"/>
  <c r="S3348" i="16"/>
  <c r="U3240" i="16"/>
  <c r="S3240" i="16"/>
  <c r="U3186" i="16"/>
  <c r="S3186" i="16"/>
  <c r="U3078" i="16"/>
  <c r="S3078" i="16"/>
  <c r="U3024" i="16"/>
  <c r="S3024" i="16"/>
  <c r="U2916" i="16"/>
  <c r="S2916" i="16"/>
  <c r="U2700" i="16"/>
  <c r="S2700" i="16"/>
  <c r="U2646" i="16"/>
  <c r="S2646" i="16"/>
  <c r="U2430" i="16"/>
  <c r="S2430" i="16"/>
  <c r="U2376" i="16"/>
  <c r="S2376" i="16"/>
  <c r="U2160" i="16"/>
  <c r="S2160" i="16"/>
  <c r="S2106" i="16"/>
  <c r="U2106" i="16"/>
  <c r="S1890" i="16"/>
  <c r="U1890" i="16"/>
  <c r="U1836" i="16"/>
  <c r="S1836" i="16"/>
  <c r="U1620" i="16"/>
  <c r="S1620" i="16"/>
  <c r="U1566" i="16"/>
  <c r="S1566" i="16"/>
  <c r="U1404" i="16"/>
  <c r="S1404" i="16"/>
  <c r="U1350" i="16"/>
  <c r="S1350" i="16"/>
  <c r="U1296" i="16"/>
  <c r="S1296" i="16"/>
  <c r="U1134" i="16"/>
  <c r="S1134" i="16"/>
  <c r="U1080" i="16"/>
  <c r="S1080" i="16"/>
  <c r="U864" i="16"/>
  <c r="S864" i="16"/>
  <c r="U810" i="16"/>
  <c r="S810" i="16"/>
  <c r="U540" i="16"/>
  <c r="S540" i="16"/>
  <c r="S324" i="16"/>
  <c r="U324" i="16"/>
  <c r="U270" i="16"/>
  <c r="S270" i="16"/>
  <c r="U216" i="16"/>
  <c r="S216" i="16"/>
  <c r="U162" i="16"/>
  <c r="S162" i="16"/>
  <c r="S108" i="16"/>
  <c r="U108" i="16"/>
  <c r="M4543" i="16"/>
  <c r="N4543" i="16"/>
  <c r="M4081" i="16"/>
  <c r="N4081" i="16"/>
  <c r="M3511" i="16"/>
  <c r="N3511" i="16"/>
  <c r="M3457" i="16"/>
  <c r="N3457" i="16"/>
  <c r="N3187" i="16"/>
  <c r="M3187" i="16"/>
  <c r="M3079" i="16"/>
  <c r="N3079" i="16"/>
  <c r="M3025" i="16"/>
  <c r="N3025" i="16"/>
  <c r="M2917" i="16"/>
  <c r="N2917" i="16"/>
  <c r="M2809" i="16"/>
  <c r="N2809" i="16"/>
  <c r="S2809" i="16" s="1"/>
  <c r="M2593" i="16"/>
  <c r="N2593" i="16"/>
  <c r="M2539" i="16"/>
  <c r="N2539" i="16"/>
  <c r="M2377" i="16"/>
  <c r="N2377" i="16"/>
  <c r="M2323" i="16"/>
  <c r="N2323" i="16"/>
  <c r="M2053" i="16"/>
  <c r="N2053" i="16"/>
  <c r="M1999" i="16"/>
  <c r="N1999" i="16"/>
  <c r="M1729" i="16"/>
  <c r="N1729" i="16"/>
  <c r="M1513" i="16"/>
  <c r="N1513" i="16"/>
  <c r="N1459" i="16"/>
  <c r="M1459" i="16"/>
  <c r="M1189" i="16"/>
  <c r="N1189" i="16"/>
  <c r="M919" i="16"/>
  <c r="N919" i="16"/>
  <c r="M649" i="16"/>
  <c r="N649" i="16"/>
  <c r="M433" i="16"/>
  <c r="N433" i="16"/>
  <c r="M325" i="16"/>
  <c r="N325" i="16"/>
  <c r="M163" i="16"/>
  <c r="N163" i="16"/>
  <c r="K4244" i="16"/>
  <c r="F4244" i="16"/>
  <c r="O4244" i="16" s="1"/>
  <c r="K3512" i="16"/>
  <c r="F3512" i="16"/>
  <c r="O3512" i="16" s="1"/>
  <c r="F3458" i="16"/>
  <c r="O3458" i="16" s="1"/>
  <c r="K3458" i="16"/>
  <c r="K3404" i="16"/>
  <c r="F3404" i="16"/>
  <c r="O3404" i="16" s="1"/>
  <c r="K3242" i="16"/>
  <c r="F3242" i="16"/>
  <c r="O3242" i="16" s="1"/>
  <c r="K3188" i="16"/>
  <c r="F3188" i="16"/>
  <c r="O3188" i="16" s="1"/>
  <c r="K3134" i="16"/>
  <c r="F3134" i="16"/>
  <c r="O3134" i="16" s="1"/>
  <c r="K3080" i="16"/>
  <c r="F3080" i="16"/>
  <c r="O3080" i="16" s="1"/>
  <c r="K3026" i="16"/>
  <c r="F3026" i="16"/>
  <c r="O3026" i="16" s="1"/>
  <c r="F2918" i="16"/>
  <c r="O2918" i="16" s="1"/>
  <c r="K2918" i="16"/>
  <c r="K2864" i="16"/>
  <c r="F2864" i="16"/>
  <c r="O2864" i="16" s="1"/>
  <c r="K2594" i="16"/>
  <c r="F2594" i="16"/>
  <c r="O2594" i="16" s="1"/>
  <c r="F2540" i="16"/>
  <c r="O2540" i="16" s="1"/>
  <c r="K2540" i="16"/>
  <c r="F2324" i="16"/>
  <c r="O2324" i="16" s="1"/>
  <c r="K2324" i="16"/>
  <c r="F2054" i="16"/>
  <c r="O2054" i="16" s="1"/>
  <c r="K2054" i="16"/>
  <c r="F1730" i="16"/>
  <c r="O1730" i="16" s="1"/>
  <c r="K1730" i="16"/>
  <c r="K1514" i="16"/>
  <c r="F1514" i="16"/>
  <c r="O1514" i="16" s="1"/>
  <c r="F1460" i="16"/>
  <c r="O1460" i="16" s="1"/>
  <c r="K1460" i="16"/>
  <c r="K1245" i="16"/>
  <c r="F1245" i="16"/>
  <c r="O1245" i="16" s="1"/>
  <c r="F1190" i="16"/>
  <c r="O1190" i="16" s="1"/>
  <c r="K1190" i="16"/>
  <c r="F650" i="16"/>
  <c r="O650" i="16" s="1"/>
  <c r="K650" i="16"/>
  <c r="K380" i="16"/>
  <c r="F380" i="16"/>
  <c r="O380" i="16" s="1"/>
  <c r="K326" i="16"/>
  <c r="F326" i="16"/>
  <c r="O326" i="16" s="1"/>
  <c r="K164" i="16"/>
  <c r="F164" i="16"/>
  <c r="O164" i="16" s="1"/>
  <c r="K110" i="16"/>
  <c r="F110" i="16"/>
  <c r="O110" i="16" s="1"/>
  <c r="N2108" i="16" l="1"/>
  <c r="U2108" i="16" s="1"/>
  <c r="N1028" i="16"/>
  <c r="D4653" i="16"/>
  <c r="F4653" i="16"/>
  <c r="O4653" i="16" s="1"/>
  <c r="K3783" i="16"/>
  <c r="F3783" i="16"/>
  <c r="O3783" i="16" s="1"/>
  <c r="K3729" i="16"/>
  <c r="F3729" i="16"/>
  <c r="O3729" i="16" s="1"/>
  <c r="K3351" i="16"/>
  <c r="F3351" i="16"/>
  <c r="O3351" i="16" s="1"/>
  <c r="F3135" i="16"/>
  <c r="O3135" i="16" s="1"/>
  <c r="K3135" i="16"/>
  <c r="K3081" i="16"/>
  <c r="F3081" i="16"/>
  <c r="O3081" i="16" s="1"/>
  <c r="K2487" i="16"/>
  <c r="F2487" i="16"/>
  <c r="O2487" i="16" s="1"/>
  <c r="K2433" i="16"/>
  <c r="F2433" i="16"/>
  <c r="O2433" i="16" s="1"/>
  <c r="K1353" i="16"/>
  <c r="F1353" i="16"/>
  <c r="O1353" i="16" s="1"/>
  <c r="K921" i="16"/>
  <c r="F921" i="16"/>
  <c r="O921" i="16" s="1"/>
  <c r="K111" i="16"/>
  <c r="F111" i="16"/>
  <c r="O111" i="16" s="1"/>
  <c r="S4706" i="16"/>
  <c r="U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D4599" i="16"/>
  <c r="J4599" i="16"/>
  <c r="P4599" i="16"/>
  <c r="Q4599" i="16"/>
  <c r="R4599" i="16"/>
  <c r="L4600" i="16"/>
  <c r="C4600" i="16"/>
  <c r="E4600" i="16"/>
  <c r="G4600" i="16"/>
  <c r="I4600" i="16"/>
  <c r="B4601" i="16"/>
  <c r="D4545" i="16"/>
  <c r="J4545" i="16"/>
  <c r="P4545" i="16"/>
  <c r="Q4545" i="16"/>
  <c r="R4545" i="16"/>
  <c r="L4546" i="16"/>
  <c r="C4546" i="16"/>
  <c r="K4546" i="16" s="1"/>
  <c r="E4546" i="16"/>
  <c r="F4546" i="16"/>
  <c r="G4546" i="16"/>
  <c r="I4546" i="16"/>
  <c r="B4547" i="16"/>
  <c r="M4245" i="16"/>
  <c r="D4245" i="16"/>
  <c r="J4245" i="16"/>
  <c r="N4245" i="16" s="1"/>
  <c r="P4245" i="16"/>
  <c r="Q4245" i="16"/>
  <c r="R4245" i="16"/>
  <c r="T4245" i="16"/>
  <c r="L4246" i="16"/>
  <c r="C4246" i="16"/>
  <c r="E4246" i="16"/>
  <c r="G4246" i="16"/>
  <c r="I4246" i="16"/>
  <c r="B4247" i="16"/>
  <c r="U4190" i="16"/>
  <c r="S4190" i="16"/>
  <c r="D4191" i="16"/>
  <c r="J4191" i="16"/>
  <c r="N4191" i="16" s="1"/>
  <c r="P4191" i="16"/>
  <c r="Q4191" i="16"/>
  <c r="R4191" i="16"/>
  <c r="T4191" i="16"/>
  <c r="M4191" i="16"/>
  <c r="C4192" i="16"/>
  <c r="F4192" i="16" s="1"/>
  <c r="O4192" i="16" s="1"/>
  <c r="E4192" i="16"/>
  <c r="G4192" i="16"/>
  <c r="I4192" i="16"/>
  <c r="K4192" i="16"/>
  <c r="L4192" i="16"/>
  <c r="B4193" i="16"/>
  <c r="U4136" i="16"/>
  <c r="S4136" i="16"/>
  <c r="P4137" i="16"/>
  <c r="Q4137" i="16"/>
  <c r="R4137" i="16"/>
  <c r="T4137" i="16"/>
  <c r="D4137" i="16"/>
  <c r="J4137" i="16"/>
  <c r="I4138" i="16"/>
  <c r="C4138" i="16"/>
  <c r="E4138" i="16"/>
  <c r="G4138" i="16"/>
  <c r="L4138" i="16"/>
  <c r="B4139"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M3783" i="16"/>
  <c r="D3783" i="16"/>
  <c r="J3783" i="16"/>
  <c r="N3783" i="16" s="1"/>
  <c r="P3783" i="16"/>
  <c r="Q3783" i="16"/>
  <c r="R3783" i="16"/>
  <c r="T3783" i="16"/>
  <c r="L3784" i="16"/>
  <c r="C3784" i="16"/>
  <c r="E3784" i="16"/>
  <c r="G3784" i="16"/>
  <c r="I3784" i="16"/>
  <c r="B3785" i="16"/>
  <c r="U3728" i="16"/>
  <c r="S3728" i="16"/>
  <c r="M3729" i="16"/>
  <c r="D3729" i="16"/>
  <c r="J3729" i="16"/>
  <c r="N3729" i="16" s="1"/>
  <c r="P3729" i="16"/>
  <c r="Q3729" i="16"/>
  <c r="R3729" i="16"/>
  <c r="T3729" i="16"/>
  <c r="L3730" i="16"/>
  <c r="C3730" i="16"/>
  <c r="E3730" i="16"/>
  <c r="G3730" i="16"/>
  <c r="B3731" i="16"/>
  <c r="I3730" i="16"/>
  <c r="S3674" i="16"/>
  <c r="U3674" i="16"/>
  <c r="M3675" i="16"/>
  <c r="D3675" i="16"/>
  <c r="J3675" i="16"/>
  <c r="N3675" i="16" s="1"/>
  <c r="P3675" i="16"/>
  <c r="Q3675" i="16"/>
  <c r="R3675" i="16"/>
  <c r="T3675" i="16"/>
  <c r="L3676" i="16"/>
  <c r="C3676" i="16"/>
  <c r="K3676" i="16" s="1"/>
  <c r="E3676" i="16"/>
  <c r="F3676" i="16"/>
  <c r="O3676" i="16" s="1"/>
  <c r="G3676" i="16"/>
  <c r="B3677" i="16"/>
  <c r="I3676"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D3567" i="16"/>
  <c r="J3567" i="16"/>
  <c r="P3567" i="16"/>
  <c r="Q3567" i="16"/>
  <c r="R3567" i="16"/>
  <c r="T3567" i="16"/>
  <c r="L3568" i="16"/>
  <c r="C3568" i="16"/>
  <c r="K3568" i="16" s="1"/>
  <c r="E3568" i="16"/>
  <c r="F3568" i="16"/>
  <c r="O3568" i="16" s="1"/>
  <c r="G3568" i="16"/>
  <c r="I3568" i="16"/>
  <c r="B3569" i="16"/>
  <c r="D3513" i="16"/>
  <c r="J3513" i="16"/>
  <c r="P3513" i="16"/>
  <c r="Q3513" i="16"/>
  <c r="R3513" i="16"/>
  <c r="T3513" i="16"/>
  <c r="L3514" i="16"/>
  <c r="C3514" i="16"/>
  <c r="K3514" i="16" s="1"/>
  <c r="E3514" i="16"/>
  <c r="F3514" i="16"/>
  <c r="O3514" i="16" s="1"/>
  <c r="G3514" i="16"/>
  <c r="I3514" i="16"/>
  <c r="B3515" i="16"/>
  <c r="M3459" i="16"/>
  <c r="D3459" i="16"/>
  <c r="J3459" i="16"/>
  <c r="N3459" i="16" s="1"/>
  <c r="P3459" i="16"/>
  <c r="Q3459" i="16"/>
  <c r="R3459" i="16"/>
  <c r="T3459" i="16"/>
  <c r="L3460" i="16"/>
  <c r="E3460" i="16"/>
  <c r="I3460" i="16"/>
  <c r="C3460" i="16"/>
  <c r="G3460" i="16"/>
  <c r="B3461" i="16"/>
  <c r="M3405" i="16"/>
  <c r="D3405" i="16"/>
  <c r="J3405" i="16"/>
  <c r="N3405" i="16" s="1"/>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E3352" i="16"/>
  <c r="G3352" i="16"/>
  <c r="I3352" i="16"/>
  <c r="B3353" i="16"/>
  <c r="U3296" i="16"/>
  <c r="S3296" i="16"/>
  <c r="M3297" i="16"/>
  <c r="D3297" i="16"/>
  <c r="J3297" i="16"/>
  <c r="N3297" i="16" s="1"/>
  <c r="P3297" i="16"/>
  <c r="Q3297" i="16"/>
  <c r="R3297" i="16"/>
  <c r="T3297" i="16"/>
  <c r="L3298" i="16"/>
  <c r="C3298" i="16"/>
  <c r="E3298" i="16"/>
  <c r="G3298" i="16"/>
  <c r="I3298" i="16"/>
  <c r="B3299" i="16"/>
  <c r="P3243" i="16"/>
  <c r="Q3243" i="16"/>
  <c r="R3243" i="16"/>
  <c r="T3243" i="16"/>
  <c r="L3244" i="16"/>
  <c r="G3244" i="16"/>
  <c r="I3244" i="16"/>
  <c r="B3245" i="16"/>
  <c r="E3244" i="16"/>
  <c r="C3244" i="16"/>
  <c r="D3243" i="16"/>
  <c r="J3243" i="16"/>
  <c r="M3189" i="16"/>
  <c r="P3189" i="16"/>
  <c r="Q3189" i="16"/>
  <c r="R3189" i="16"/>
  <c r="T3189" i="16"/>
  <c r="J3189" i="16"/>
  <c r="N3189" i="16" s="1"/>
  <c r="D3189" i="16"/>
  <c r="L3190" i="16"/>
  <c r="G3190" i="16"/>
  <c r="E3190" i="16"/>
  <c r="B3191" i="16"/>
  <c r="I3190" i="16"/>
  <c r="C3190" i="16"/>
  <c r="M3135" i="16"/>
  <c r="P3135" i="16"/>
  <c r="Q3135" i="16"/>
  <c r="R3135" i="16"/>
  <c r="T3135" i="16"/>
  <c r="L3136" i="16"/>
  <c r="G3136" i="16"/>
  <c r="B3137" i="16"/>
  <c r="E3136" i="16"/>
  <c r="C3136" i="16"/>
  <c r="I3136" i="16"/>
  <c r="D3135" i="16"/>
  <c r="J3135" i="16"/>
  <c r="N3135" i="16" s="1"/>
  <c r="M3081" i="16"/>
  <c r="D3081" i="16"/>
  <c r="J3081" i="16"/>
  <c r="N3081" i="16" s="1"/>
  <c r="L3082" i="16"/>
  <c r="G3082" i="16"/>
  <c r="E3082" i="16"/>
  <c r="C3082" i="16"/>
  <c r="B3083" i="16"/>
  <c r="I3082" i="16"/>
  <c r="P3081" i="16"/>
  <c r="Q3081" i="16"/>
  <c r="R3081" i="16"/>
  <c r="T3081" i="16"/>
  <c r="M3027" i="16"/>
  <c r="P3027" i="16"/>
  <c r="Q3027" i="16"/>
  <c r="R3027" i="16"/>
  <c r="T3027" i="16"/>
  <c r="J3027" i="16"/>
  <c r="N3027" i="16" s="1"/>
  <c r="D3027" i="16"/>
  <c r="L3028" i="16"/>
  <c r="I3028" i="16"/>
  <c r="B3029" i="16"/>
  <c r="E3028" i="16"/>
  <c r="C3028" i="16"/>
  <c r="G3028" i="16"/>
  <c r="U2972" i="16"/>
  <c r="S2972" i="16"/>
  <c r="D2973" i="16"/>
  <c r="J2973" i="16"/>
  <c r="P2973" i="16"/>
  <c r="Q2973" i="16"/>
  <c r="R2973" i="16"/>
  <c r="T2973" i="16"/>
  <c r="L2974" i="16"/>
  <c r="C2974" i="16"/>
  <c r="K2974" i="16" s="1"/>
  <c r="E2974" i="16"/>
  <c r="F2974" i="16"/>
  <c r="O2974" i="16" s="1"/>
  <c r="G2974" i="16"/>
  <c r="I2974" i="16"/>
  <c r="B2975" i="16"/>
  <c r="D2919" i="16"/>
  <c r="J2919" i="16"/>
  <c r="P2919" i="16"/>
  <c r="Q2919" i="16"/>
  <c r="R2919" i="16"/>
  <c r="T2919" i="16"/>
  <c r="L2920" i="16"/>
  <c r="C2920" i="16"/>
  <c r="K2920" i="16" s="1"/>
  <c r="E2920" i="16"/>
  <c r="F2920" i="16"/>
  <c r="O2920" i="16" s="1"/>
  <c r="G2920" i="16"/>
  <c r="I2920" i="16"/>
  <c r="B2921" i="16"/>
  <c r="D2865" i="16"/>
  <c r="J2865" i="16"/>
  <c r="P2865" i="16"/>
  <c r="Q2865" i="16"/>
  <c r="R2865" i="16"/>
  <c r="T2865" i="16"/>
  <c r="L2866" i="16"/>
  <c r="C2866" i="16"/>
  <c r="E2866" i="16"/>
  <c r="G2866" i="16"/>
  <c r="I2866" i="16"/>
  <c r="B2867" i="16"/>
  <c r="M2811" i="16"/>
  <c r="D2811" i="16"/>
  <c r="J2811" i="16"/>
  <c r="N2811" i="16" s="1"/>
  <c r="S2811" i="16" s="1"/>
  <c r="P2811" i="16"/>
  <c r="Q2811" i="16"/>
  <c r="R2811" i="16"/>
  <c r="T2811" i="16"/>
  <c r="U2811" i="16" s="1"/>
  <c r="L2812" i="16"/>
  <c r="C2812" i="16"/>
  <c r="E2812" i="16"/>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K2704" i="16" s="1"/>
  <c r="E2704" i="16"/>
  <c r="F2704" i="16"/>
  <c r="O2704" i="16" s="1"/>
  <c r="G2704" i="16"/>
  <c r="I2704" i="16"/>
  <c r="B2705" i="16"/>
  <c r="U2648" i="16"/>
  <c r="S2648" i="16"/>
  <c r="D2649" i="16"/>
  <c r="J2649" i="16"/>
  <c r="P2649" i="16"/>
  <c r="Q2649" i="16"/>
  <c r="R2649" i="16"/>
  <c r="T2649" i="16"/>
  <c r="L2650" i="16"/>
  <c r="C2650" i="16"/>
  <c r="K2650" i="16" s="1"/>
  <c r="E2650" i="16"/>
  <c r="F2650" i="16"/>
  <c r="O2650" i="16" s="1"/>
  <c r="G2650" i="16"/>
  <c r="I2650" i="16"/>
  <c r="B2651" i="16"/>
  <c r="D2595" i="16"/>
  <c r="J2595" i="16"/>
  <c r="P2595" i="16"/>
  <c r="Q2595" i="16"/>
  <c r="R2595" i="16"/>
  <c r="T2595" i="16"/>
  <c r="L2596" i="16"/>
  <c r="C2596" i="16"/>
  <c r="E2596" i="16"/>
  <c r="G2596" i="16"/>
  <c r="I2596" i="16"/>
  <c r="B2597" i="16"/>
  <c r="M2541" i="16"/>
  <c r="D2541" i="16"/>
  <c r="J2541" i="16"/>
  <c r="N2541" i="16" s="1"/>
  <c r="Q2541" i="16"/>
  <c r="P2541" i="16"/>
  <c r="R2541" i="16"/>
  <c r="T2541" i="16"/>
  <c r="L2542" i="16"/>
  <c r="C2542" i="16"/>
  <c r="E2542" i="16"/>
  <c r="G2542" i="16"/>
  <c r="I2542" i="16"/>
  <c r="B2543" i="16"/>
  <c r="U2486" i="16"/>
  <c r="S2486" i="16"/>
  <c r="M2487" i="16"/>
  <c r="D2487" i="16"/>
  <c r="J2487" i="16"/>
  <c r="N2487" i="16" s="1"/>
  <c r="P2487" i="16"/>
  <c r="Q2487" i="16"/>
  <c r="R2487" i="16"/>
  <c r="T2487" i="16"/>
  <c r="L2488" i="16"/>
  <c r="C2488" i="16"/>
  <c r="E2488" i="16"/>
  <c r="G2488" i="16"/>
  <c r="I2488" i="16"/>
  <c r="B2489" i="16"/>
  <c r="U2432" i="16"/>
  <c r="S2432" i="16"/>
  <c r="M2433" i="16"/>
  <c r="D2433" i="16"/>
  <c r="J2433" i="16"/>
  <c r="N2433" i="16" s="1"/>
  <c r="Q2433" i="16"/>
  <c r="P2433" i="16"/>
  <c r="R2433" i="16"/>
  <c r="T2433" i="16"/>
  <c r="L2434" i="16"/>
  <c r="C2434" i="16"/>
  <c r="K2434" i="16" s="1"/>
  <c r="E2434" i="16"/>
  <c r="F2434" i="16"/>
  <c r="O2434" i="16" s="1"/>
  <c r="G2434" i="16"/>
  <c r="I2434" i="16"/>
  <c r="B2435" i="16"/>
  <c r="U2378" i="16"/>
  <c r="S2378" i="16"/>
  <c r="M2379" i="16"/>
  <c r="D2379" i="16"/>
  <c r="J2379" i="16"/>
  <c r="N2379" i="16" s="1"/>
  <c r="P2379" i="16"/>
  <c r="Q2379" i="16"/>
  <c r="R2379" i="16"/>
  <c r="T2379" i="16"/>
  <c r="L2380" i="16"/>
  <c r="C2380" i="16"/>
  <c r="K2380" i="16" s="1"/>
  <c r="E2380" i="16"/>
  <c r="F2380" i="16"/>
  <c r="O2380" i="16" s="1"/>
  <c r="G2380" i="16"/>
  <c r="I2380" i="16"/>
  <c r="B2381" i="16"/>
  <c r="D2325" i="16"/>
  <c r="J2325" i="16"/>
  <c r="Q2325" i="16"/>
  <c r="R2325" i="16"/>
  <c r="P2325" i="16"/>
  <c r="T2325" i="16"/>
  <c r="L2326" i="16"/>
  <c r="C2326" i="16"/>
  <c r="K2326" i="16" s="1"/>
  <c r="E2326" i="16"/>
  <c r="F2326" i="16"/>
  <c r="O2326" i="16" s="1"/>
  <c r="G2326" i="16"/>
  <c r="I2326" i="16"/>
  <c r="B2327" i="16"/>
  <c r="U2270" i="16"/>
  <c r="S2270" i="16"/>
  <c r="M2271" i="16"/>
  <c r="D2271" i="16"/>
  <c r="J2271" i="16"/>
  <c r="N2271" i="16" s="1"/>
  <c r="P2271" i="16"/>
  <c r="Q2271" i="16"/>
  <c r="R2271" i="16"/>
  <c r="T2271" i="16"/>
  <c r="L2272" i="16"/>
  <c r="C2272" i="16"/>
  <c r="E2272" i="16"/>
  <c r="G2272" i="16"/>
  <c r="I2272" i="16"/>
  <c r="B2273" i="16"/>
  <c r="U2216" i="16"/>
  <c r="S2216" i="16"/>
  <c r="M2217" i="16"/>
  <c r="D2217" i="16"/>
  <c r="J2217" i="16"/>
  <c r="N2217" i="16" s="1"/>
  <c r="P2217" i="16"/>
  <c r="Q2217" i="16"/>
  <c r="R2217" i="16"/>
  <c r="T2217" i="16"/>
  <c r="L2218" i="16"/>
  <c r="C2218" i="16"/>
  <c r="K2218" i="16" s="1"/>
  <c r="E2218" i="16"/>
  <c r="F2218" i="16"/>
  <c r="O2218" i="16" s="1"/>
  <c r="G2218" i="16"/>
  <c r="B2219" i="16"/>
  <c r="I2218" i="16"/>
  <c r="U2162" i="16"/>
  <c r="S2162" i="16"/>
  <c r="M2163" i="16"/>
  <c r="D2163" i="16"/>
  <c r="J2163" i="16"/>
  <c r="N2163" i="16" s="1"/>
  <c r="P2163" i="16"/>
  <c r="Q2163" i="16"/>
  <c r="R2163" i="16"/>
  <c r="T2163" i="16"/>
  <c r="L2164" i="16"/>
  <c r="C2164" i="16"/>
  <c r="E2164" i="16"/>
  <c r="G2164" i="16"/>
  <c r="B2165" i="16"/>
  <c r="I2164" i="16"/>
  <c r="S2108" i="16"/>
  <c r="D2109" i="16"/>
  <c r="J2109" i="16"/>
  <c r="P2109" i="16"/>
  <c r="Q2109" i="16"/>
  <c r="R2109" i="16"/>
  <c r="T2109" i="16"/>
  <c r="L2110" i="16"/>
  <c r="G2110" i="16"/>
  <c r="I2110" i="16"/>
  <c r="C2110" i="16"/>
  <c r="E2110" i="16"/>
  <c r="B2111" i="16"/>
  <c r="M2055" i="16"/>
  <c r="D2055" i="16"/>
  <c r="J2055" i="16"/>
  <c r="N2055" i="16" s="1"/>
  <c r="P2055" i="16"/>
  <c r="Q2055" i="16"/>
  <c r="R2055" i="16"/>
  <c r="T2055" i="16"/>
  <c r="L2056" i="16"/>
  <c r="C2056" i="16"/>
  <c r="K2056" i="16" s="1"/>
  <c r="E2056" i="16"/>
  <c r="F2056" i="16"/>
  <c r="O2056" i="16" s="1"/>
  <c r="G2056" i="16"/>
  <c r="I2056" i="16"/>
  <c r="B2057" i="16"/>
  <c r="U2000" i="16"/>
  <c r="S2000" i="16"/>
  <c r="D2001" i="16"/>
  <c r="J2001" i="16"/>
  <c r="P2001" i="16"/>
  <c r="Q2001" i="16"/>
  <c r="R2001" i="16"/>
  <c r="T2001" i="16"/>
  <c r="L2002" i="16"/>
  <c r="C2002" i="16"/>
  <c r="E2002" i="16"/>
  <c r="G2002" i="16"/>
  <c r="I2002" i="16"/>
  <c r="B2003" i="16"/>
  <c r="U1946" i="16"/>
  <c r="S1946" i="16"/>
  <c r="M1947" i="16"/>
  <c r="D1947" i="16"/>
  <c r="J1947" i="16"/>
  <c r="N1947" i="16" s="1"/>
  <c r="P1947" i="16"/>
  <c r="Q1947" i="16"/>
  <c r="R1947" i="16"/>
  <c r="T1947" i="16"/>
  <c r="L1948" i="16"/>
  <c r="C1948" i="16"/>
  <c r="E1948" i="16"/>
  <c r="G1948" i="16"/>
  <c r="I1948" i="16"/>
  <c r="B1949" i="16"/>
  <c r="S1892" i="16"/>
  <c r="U1892" i="16"/>
  <c r="M1893" i="16"/>
  <c r="D1893" i="16"/>
  <c r="J1893" i="16"/>
  <c r="N1893" i="16" s="1"/>
  <c r="P1893" i="16"/>
  <c r="Q1893" i="16"/>
  <c r="R1893" i="16"/>
  <c r="T1893" i="16"/>
  <c r="L1894" i="16"/>
  <c r="C1894" i="16"/>
  <c r="K1894" i="16" s="1"/>
  <c r="E1894" i="16"/>
  <c r="F1894" i="16"/>
  <c r="O1894" i="16" s="1"/>
  <c r="G1894" i="16"/>
  <c r="I1894" i="16"/>
  <c r="B1895" i="16"/>
  <c r="U1838" i="16"/>
  <c r="S1838" i="16"/>
  <c r="M1839" i="16"/>
  <c r="D1839" i="16"/>
  <c r="J1839" i="16"/>
  <c r="N1839" i="16" s="1"/>
  <c r="P1839" i="16"/>
  <c r="Q1839" i="16"/>
  <c r="R1839" i="16"/>
  <c r="T1839" i="16"/>
  <c r="L1840" i="16"/>
  <c r="C1840" i="16"/>
  <c r="K1840" i="16" s="1"/>
  <c r="E1840" i="16"/>
  <c r="F1840" i="16"/>
  <c r="O1840" i="16" s="1"/>
  <c r="G1840" i="16"/>
  <c r="I1840" i="16"/>
  <c r="B1841" i="16"/>
  <c r="U1784" i="16"/>
  <c r="S1784" i="16"/>
  <c r="D1785" i="16"/>
  <c r="J1785" i="16"/>
  <c r="P1785" i="16"/>
  <c r="Q1785" i="16"/>
  <c r="R1785" i="16"/>
  <c r="T1785" i="16"/>
  <c r="L1786" i="16"/>
  <c r="C1786" i="16"/>
  <c r="K1786" i="16" s="1"/>
  <c r="E1786" i="16"/>
  <c r="F1786" i="16"/>
  <c r="O1786" i="16" s="1"/>
  <c r="G1786" i="16"/>
  <c r="I1786" i="16"/>
  <c r="B1787" i="16"/>
  <c r="M1731" i="16"/>
  <c r="D1731" i="16"/>
  <c r="J1731" i="16"/>
  <c r="N1731" i="16" s="1"/>
  <c r="P1731" i="16"/>
  <c r="Q1731" i="16"/>
  <c r="R1731" i="16"/>
  <c r="T1731" i="16"/>
  <c r="L1732" i="16"/>
  <c r="C1732" i="16"/>
  <c r="E1732" i="16"/>
  <c r="G1732" i="16"/>
  <c r="I1732" i="16"/>
  <c r="B1733" i="16"/>
  <c r="S1676" i="16"/>
  <c r="U1676" i="16"/>
  <c r="M1677" i="16"/>
  <c r="D1677" i="16"/>
  <c r="J1677" i="16"/>
  <c r="N1677" i="16" s="1"/>
  <c r="P1677" i="16"/>
  <c r="Q1677" i="16"/>
  <c r="R1677" i="16"/>
  <c r="T1677" i="16"/>
  <c r="L1678" i="16"/>
  <c r="C1678" i="16"/>
  <c r="E1678" i="16"/>
  <c r="G1678" i="16"/>
  <c r="I1678" i="16"/>
  <c r="B1679" i="16"/>
  <c r="U1622" i="16"/>
  <c r="S1622" i="16"/>
  <c r="M1623" i="16"/>
  <c r="D1623" i="16"/>
  <c r="J1623" i="16"/>
  <c r="N1623" i="16" s="1"/>
  <c r="P1623" i="16"/>
  <c r="Q1623" i="16"/>
  <c r="R1623" i="16"/>
  <c r="T1623" i="16"/>
  <c r="L1624" i="16"/>
  <c r="C1624" i="16"/>
  <c r="K1624" i="16" s="1"/>
  <c r="E1624" i="16"/>
  <c r="F1624" i="16"/>
  <c r="O1624" i="16" s="1"/>
  <c r="G1624" i="16"/>
  <c r="I1624" i="16"/>
  <c r="B1625" i="16"/>
  <c r="U1568" i="16"/>
  <c r="S1568" i="16"/>
  <c r="D1569" i="16"/>
  <c r="J1569" i="16"/>
  <c r="P1569" i="16"/>
  <c r="Q1569" i="16"/>
  <c r="R1569" i="16"/>
  <c r="T1569" i="16"/>
  <c r="L1570" i="16"/>
  <c r="C1570" i="16"/>
  <c r="K1570" i="16" s="1"/>
  <c r="E1570" i="16"/>
  <c r="F1570" i="16"/>
  <c r="O1570" i="16" s="1"/>
  <c r="G1570" i="16"/>
  <c r="I1570" i="16"/>
  <c r="B1571" i="16"/>
  <c r="J1515" i="16"/>
  <c r="D1515" i="16"/>
  <c r="P1515" i="16"/>
  <c r="Q1515" i="16"/>
  <c r="R1515" i="16"/>
  <c r="T1515" i="16"/>
  <c r="L1516" i="16"/>
  <c r="E1516" i="16"/>
  <c r="G1516" i="16"/>
  <c r="I1516" i="16"/>
  <c r="C1516" i="16"/>
  <c r="K1516" i="16" s="1"/>
  <c r="F1516" i="16"/>
  <c r="O1516" i="16" s="1"/>
  <c r="B1517" i="16"/>
  <c r="D1461" i="16"/>
  <c r="J1461" i="16"/>
  <c r="P1461" i="16"/>
  <c r="Q1461" i="16"/>
  <c r="R1461" i="16"/>
  <c r="T1461" i="16"/>
  <c r="L1462" i="16"/>
  <c r="C1462" i="16"/>
  <c r="K1462" i="16" s="1"/>
  <c r="E1462" i="16"/>
  <c r="F1462" i="16"/>
  <c r="O1462" i="16" s="1"/>
  <c r="G1462" i="16"/>
  <c r="I1462" i="16"/>
  <c r="B1463" i="16"/>
  <c r="U1406" i="16"/>
  <c r="S1406" i="16"/>
  <c r="L1408" i="16"/>
  <c r="B1409" i="16"/>
  <c r="I1408" i="16"/>
  <c r="G1408" i="16"/>
  <c r="C1408" i="16"/>
  <c r="E1408" i="16"/>
  <c r="D1407" i="16"/>
  <c r="J1407" i="16"/>
  <c r="P1407" i="16"/>
  <c r="Q1407" i="16"/>
  <c r="R1407" i="16"/>
  <c r="T1407" i="16"/>
  <c r="U1352" i="16"/>
  <c r="S1352" i="16"/>
  <c r="M1353" i="16"/>
  <c r="P1353" i="16"/>
  <c r="Q1353" i="16"/>
  <c r="R1353" i="16"/>
  <c r="T1353" i="16"/>
  <c r="L1354" i="16"/>
  <c r="I1354" i="16"/>
  <c r="B1355" i="16"/>
  <c r="C1354" i="16"/>
  <c r="G1354" i="16"/>
  <c r="E1354" i="16"/>
  <c r="J1353" i="16"/>
  <c r="N1353" i="16" s="1"/>
  <c r="D1353" i="16"/>
  <c r="U1298" i="16"/>
  <c r="S1298" i="16"/>
  <c r="M1299" i="16"/>
  <c r="L1300" i="16"/>
  <c r="I1300" i="16"/>
  <c r="B1301" i="16"/>
  <c r="C1300" i="16"/>
  <c r="E1300" i="16"/>
  <c r="G1300" i="16"/>
  <c r="J1299" i="16"/>
  <c r="N1299" i="16" s="1"/>
  <c r="D1299" i="16"/>
  <c r="P1299" i="16"/>
  <c r="Q1299" i="16"/>
  <c r="R1299" i="16"/>
  <c r="T1299" i="16"/>
  <c r="J1246" i="16"/>
  <c r="D1246" i="16"/>
  <c r="P1246" i="16"/>
  <c r="Q1246" i="16"/>
  <c r="R1246" i="16"/>
  <c r="T1246" i="16"/>
  <c r="L1247" i="16"/>
  <c r="C1247" i="16"/>
  <c r="K1247" i="16" s="1"/>
  <c r="E1247" i="16"/>
  <c r="F1247" i="16"/>
  <c r="O1247" i="16" s="1"/>
  <c r="G1247" i="16"/>
  <c r="I1247" i="16"/>
  <c r="B1248" i="16"/>
  <c r="D1191" i="16"/>
  <c r="J1191" i="16"/>
  <c r="P1191" i="16"/>
  <c r="Q1191" i="16"/>
  <c r="R1191" i="16"/>
  <c r="T1191" i="16"/>
  <c r="L1192" i="16"/>
  <c r="C1192" i="16"/>
  <c r="K1192" i="16" s="1"/>
  <c r="E1192" i="16"/>
  <c r="F1192" i="16"/>
  <c r="O1192" i="16" s="1"/>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U1082" i="16"/>
  <c r="S1082" i="16"/>
  <c r="M1083" i="16"/>
  <c r="D1083" i="16"/>
  <c r="J1083" i="16"/>
  <c r="N1083" i="16" s="1"/>
  <c r="P1083" i="16"/>
  <c r="Q1083" i="16"/>
  <c r="R1083" i="16"/>
  <c r="T1083" i="16"/>
  <c r="L1084" i="16"/>
  <c r="C1084" i="16"/>
  <c r="E1084" i="16"/>
  <c r="G1084" i="16"/>
  <c r="I1084" i="16"/>
  <c r="B1085" i="16"/>
  <c r="U1028" i="16"/>
  <c r="S1028" i="16"/>
  <c r="M1029" i="16"/>
  <c r="D1029" i="16"/>
  <c r="J1029" i="16"/>
  <c r="N1029" i="16" s="1"/>
  <c r="P1029" i="16"/>
  <c r="Q1029" i="16"/>
  <c r="R1029" i="16"/>
  <c r="T1029" i="16"/>
  <c r="L1030" i="16"/>
  <c r="C1030" i="16"/>
  <c r="K1030" i="16" s="1"/>
  <c r="E1030" i="16"/>
  <c r="F1030" i="16"/>
  <c r="O1030" i="16" s="1"/>
  <c r="G1030" i="16"/>
  <c r="I1030" i="16"/>
  <c r="B1031" i="16"/>
  <c r="U974" i="16"/>
  <c r="S974" i="16"/>
  <c r="D975" i="16"/>
  <c r="J975" i="16"/>
  <c r="P975" i="16"/>
  <c r="Q975" i="16"/>
  <c r="R975" i="16"/>
  <c r="T975" i="16"/>
  <c r="L976" i="16"/>
  <c r="C976" i="16"/>
  <c r="K976" i="16" s="1"/>
  <c r="E976" i="16"/>
  <c r="F976" i="16"/>
  <c r="O976" i="16" s="1"/>
  <c r="G976" i="16"/>
  <c r="I976" i="16"/>
  <c r="B977" i="16"/>
  <c r="U920" i="16"/>
  <c r="S920" i="16"/>
  <c r="M921" i="16"/>
  <c r="D921" i="16"/>
  <c r="J921" i="16"/>
  <c r="N921" i="16" s="1"/>
  <c r="P921" i="16"/>
  <c r="Q921" i="16"/>
  <c r="R921" i="16"/>
  <c r="T921" i="16"/>
  <c r="L922" i="16"/>
  <c r="C922" i="16"/>
  <c r="E922" i="16"/>
  <c r="G922" i="16"/>
  <c r="I922" i="16"/>
  <c r="B923" i="16"/>
  <c r="U866" i="16"/>
  <c r="S866" i="16"/>
  <c r="M867" i="16"/>
  <c r="D867" i="16"/>
  <c r="J867" i="16"/>
  <c r="N867" i="16" s="1"/>
  <c r="Q867" i="16"/>
  <c r="P867" i="16"/>
  <c r="R867" i="16"/>
  <c r="T867" i="16"/>
  <c r="L868" i="16"/>
  <c r="C868" i="16"/>
  <c r="E868" i="16"/>
  <c r="G868" i="16"/>
  <c r="I868" i="16"/>
  <c r="B869" i="16"/>
  <c r="U812" i="16"/>
  <c r="S812" i="16"/>
  <c r="M813" i="16"/>
  <c r="D813" i="16"/>
  <c r="J813" i="16"/>
  <c r="N813" i="16" s="1"/>
  <c r="Q813" i="16"/>
  <c r="P813" i="16"/>
  <c r="R813" i="16"/>
  <c r="T813" i="16"/>
  <c r="L814" i="16"/>
  <c r="C814" i="16"/>
  <c r="E814" i="16"/>
  <c r="G814" i="16"/>
  <c r="I814" i="16"/>
  <c r="B815" i="16"/>
  <c r="U758" i="16"/>
  <c r="S758" i="16"/>
  <c r="M759" i="16"/>
  <c r="D759" i="16"/>
  <c r="J759" i="16"/>
  <c r="N759" i="16" s="1"/>
  <c r="P759" i="16"/>
  <c r="Q759" i="16"/>
  <c r="R759" i="16"/>
  <c r="T759" i="16"/>
  <c r="L760" i="16"/>
  <c r="C760" i="16"/>
  <c r="K760" i="16" s="1"/>
  <c r="E760" i="16"/>
  <c r="F760" i="16"/>
  <c r="O760" i="16" s="1"/>
  <c r="G760" i="16"/>
  <c r="I760" i="16"/>
  <c r="B761" i="16"/>
  <c r="U704" i="16"/>
  <c r="S704" i="16"/>
  <c r="D705" i="16"/>
  <c r="J705" i="16"/>
  <c r="Q705" i="16"/>
  <c r="P705" i="16"/>
  <c r="R705" i="16"/>
  <c r="T705" i="16"/>
  <c r="L706" i="16"/>
  <c r="C706" i="16"/>
  <c r="E706" i="16"/>
  <c r="G706" i="16"/>
  <c r="I706" i="16"/>
  <c r="B707" i="16"/>
  <c r="M651" i="16"/>
  <c r="D651" i="16"/>
  <c r="J651" i="16"/>
  <c r="N651" i="16" s="1"/>
  <c r="Q651" i="16"/>
  <c r="P651" i="16"/>
  <c r="R651" i="16"/>
  <c r="T651" i="16"/>
  <c r="L652" i="16"/>
  <c r="C652" i="16"/>
  <c r="E652" i="16"/>
  <c r="G652" i="16"/>
  <c r="I652" i="16"/>
  <c r="B653" i="16"/>
  <c r="U596" i="16"/>
  <c r="S596" i="16"/>
  <c r="M597" i="16"/>
  <c r="D597" i="16"/>
  <c r="J597" i="16"/>
  <c r="N597" i="16" s="1"/>
  <c r="Q597" i="16"/>
  <c r="P597" i="16"/>
  <c r="R597" i="16"/>
  <c r="T597" i="16"/>
  <c r="L598" i="16"/>
  <c r="C598" i="16"/>
  <c r="E598" i="16"/>
  <c r="G598" i="16"/>
  <c r="I598" i="16"/>
  <c r="B599" i="16"/>
  <c r="U542" i="16"/>
  <c r="S542" i="16"/>
  <c r="M543" i="16"/>
  <c r="D543" i="16"/>
  <c r="J543" i="16"/>
  <c r="N543" i="16" s="1"/>
  <c r="P543" i="16"/>
  <c r="Q543" i="16"/>
  <c r="R543" i="16"/>
  <c r="T543" i="16"/>
  <c r="L544" i="16"/>
  <c r="C544" i="16"/>
  <c r="E544" i="16"/>
  <c r="G544" i="16"/>
  <c r="I544" i="16"/>
  <c r="B545" i="16"/>
  <c r="U488" i="16"/>
  <c r="S488" i="16"/>
  <c r="M489" i="16"/>
  <c r="D489" i="16"/>
  <c r="J489" i="16"/>
  <c r="N489" i="16" s="1"/>
  <c r="P489" i="16"/>
  <c r="Q489" i="16"/>
  <c r="R489" i="16"/>
  <c r="T489" i="16"/>
  <c r="L490" i="16"/>
  <c r="C490" i="16"/>
  <c r="E490" i="16"/>
  <c r="G490" i="16"/>
  <c r="I490" i="16"/>
  <c r="B491" i="16"/>
  <c r="U434" i="16"/>
  <c r="S434" i="16"/>
  <c r="D435" i="16"/>
  <c r="J435" i="16"/>
  <c r="P435" i="16"/>
  <c r="Q435" i="16"/>
  <c r="R435" i="16"/>
  <c r="T435" i="16"/>
  <c r="L436" i="16"/>
  <c r="C436" i="16"/>
  <c r="K436" i="16" s="1"/>
  <c r="E436" i="16"/>
  <c r="F436" i="16"/>
  <c r="O436" i="16" s="1"/>
  <c r="G436" i="16"/>
  <c r="I436" i="16"/>
  <c r="B437" i="16"/>
  <c r="D381" i="16"/>
  <c r="J381" i="16"/>
  <c r="P381" i="16"/>
  <c r="Q381" i="16"/>
  <c r="R381" i="16"/>
  <c r="T381" i="16"/>
  <c r="L382" i="16"/>
  <c r="C382" i="16"/>
  <c r="K382" i="16" s="1"/>
  <c r="E382" i="16"/>
  <c r="F382" i="16"/>
  <c r="O382" i="16" s="1"/>
  <c r="G382" i="16"/>
  <c r="I382" i="16"/>
  <c r="B383" i="16"/>
  <c r="L328" i="16"/>
  <c r="E328" i="16"/>
  <c r="C328" i="16"/>
  <c r="K328" i="16" s="1"/>
  <c r="B329" i="16"/>
  <c r="F328" i="16"/>
  <c r="O328" i="16" s="1"/>
  <c r="I328" i="16"/>
  <c r="G328" i="16"/>
  <c r="D327" i="16"/>
  <c r="J327" i="16"/>
  <c r="P327" i="16"/>
  <c r="Q327" i="16"/>
  <c r="R327" i="16"/>
  <c r="T327" i="16"/>
  <c r="U272" i="16"/>
  <c r="S272" i="16"/>
  <c r="D273" i="16"/>
  <c r="J273" i="16"/>
  <c r="P273" i="16"/>
  <c r="Q273" i="16"/>
  <c r="R273" i="16"/>
  <c r="T273" i="16"/>
  <c r="L274" i="16"/>
  <c r="C274" i="16"/>
  <c r="E274" i="16"/>
  <c r="G274" i="16"/>
  <c r="I274" i="16"/>
  <c r="B275" i="16"/>
  <c r="U218" i="16"/>
  <c r="S218" i="16"/>
  <c r="D219" i="16"/>
  <c r="J219" i="16"/>
  <c r="P219" i="16"/>
  <c r="Q219" i="16"/>
  <c r="R219" i="16"/>
  <c r="T219" i="16"/>
  <c r="L220" i="16"/>
  <c r="C220" i="16"/>
  <c r="E220" i="16"/>
  <c r="G220" i="16"/>
  <c r="I220" i="16"/>
  <c r="B221" i="16"/>
  <c r="D165" i="16"/>
  <c r="J165" i="16"/>
  <c r="P165" i="16"/>
  <c r="Q165" i="16"/>
  <c r="R165" i="16"/>
  <c r="T165" i="16"/>
  <c r="L166" i="16"/>
  <c r="C166" i="16"/>
  <c r="K166" i="16" s="1"/>
  <c r="E166" i="16"/>
  <c r="F166" i="16"/>
  <c r="O166" i="16" s="1"/>
  <c r="G166" i="16"/>
  <c r="I166" i="16"/>
  <c r="B167" i="16"/>
  <c r="M111" i="16"/>
  <c r="D111" i="16"/>
  <c r="J111" i="16"/>
  <c r="N111" i="16" s="1"/>
  <c r="P111" i="16"/>
  <c r="Q111" i="16"/>
  <c r="R111" i="16"/>
  <c r="T111" i="16"/>
  <c r="L112" i="16"/>
  <c r="C112" i="16"/>
  <c r="K112" i="16" s="1"/>
  <c r="E112" i="16"/>
  <c r="F112" i="16"/>
  <c r="O112" i="16" s="1"/>
  <c r="G112" i="16"/>
  <c r="I112" i="16"/>
  <c r="B113" i="16"/>
  <c r="F48" i="5"/>
  <c r="G48" i="5"/>
  <c r="H48" i="5"/>
  <c r="U48" i="4"/>
  <c r="S48" i="4"/>
  <c r="D49" i="4"/>
  <c r="J49" i="4"/>
  <c r="N49" i="4" s="1"/>
  <c r="O49" i="4"/>
  <c r="E84" i="7"/>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V49" i="4"/>
  <c r="T49" i="4"/>
  <c r="M49" i="4"/>
  <c r="C50" i="4"/>
  <c r="F50" i="4" s="1"/>
  <c r="C50" i="5" s="1"/>
  <c r="E50" i="5" s="1"/>
  <c r="E50" i="4"/>
  <c r="G50" i="4"/>
  <c r="BC50" i="4" s="1"/>
  <c r="K50" i="4"/>
  <c r="B51" i="4"/>
  <c r="I50" i="4"/>
  <c r="L50" i="4"/>
  <c r="B50" i="5"/>
  <c r="C82" i="7"/>
  <c r="G82" i="7" s="1"/>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5" i="4"/>
  <c r="BC47" i="4"/>
  <c r="BC43" i="4"/>
  <c r="BC44" i="4"/>
  <c r="BC46" i="4"/>
  <c r="BC48" i="4"/>
  <c r="BC42" i="4"/>
  <c r="BC49" i="4"/>
  <c r="U4081" i="16"/>
  <c r="S4081" i="16"/>
  <c r="U3511" i="16"/>
  <c r="S3511" i="16"/>
  <c r="U3457" i="16"/>
  <c r="S3457" i="16"/>
  <c r="U3187" i="16"/>
  <c r="S3187" i="16"/>
  <c r="U3079" i="16"/>
  <c r="S3079" i="16"/>
  <c r="U3025" i="16"/>
  <c r="S3025" i="16"/>
  <c r="U2917" i="16"/>
  <c r="S2917" i="16"/>
  <c r="U2593" i="16"/>
  <c r="S2593" i="16"/>
  <c r="U2539" i="16"/>
  <c r="S2539" i="16"/>
  <c r="U2377" i="16"/>
  <c r="S2377" i="16"/>
  <c r="S2323" i="16"/>
  <c r="U2323" i="16"/>
  <c r="U2053" i="16"/>
  <c r="S2053" i="16"/>
  <c r="U1999" i="16"/>
  <c r="S1999" i="16"/>
  <c r="U1729" i="16"/>
  <c r="S1729" i="16"/>
  <c r="U1513" i="16"/>
  <c r="S1513" i="16"/>
  <c r="U1459" i="16"/>
  <c r="S1459" i="16"/>
  <c r="U1189" i="16"/>
  <c r="S1189" i="16"/>
  <c r="U919" i="16"/>
  <c r="S919" i="16"/>
  <c r="U649" i="16"/>
  <c r="S649" i="16"/>
  <c r="U433" i="16"/>
  <c r="S433" i="16"/>
  <c r="U325" i="16"/>
  <c r="S325" i="16"/>
  <c r="U163" i="16"/>
  <c r="S163" i="16"/>
  <c r="M4244" i="16"/>
  <c r="N4244" i="16"/>
  <c r="M3512" i="16"/>
  <c r="N3512" i="16"/>
  <c r="M3458" i="16"/>
  <c r="N3458" i="16"/>
  <c r="M3404" i="16"/>
  <c r="N3404" i="16"/>
  <c r="N3242" i="16"/>
  <c r="M3242" i="16"/>
  <c r="M3188" i="16"/>
  <c r="N3188" i="16"/>
  <c r="M3134" i="16"/>
  <c r="N3134" i="16"/>
  <c r="M3080" i="16"/>
  <c r="N3080" i="16"/>
  <c r="N3026" i="16"/>
  <c r="M3026" i="16"/>
  <c r="M2918" i="16"/>
  <c r="N2918" i="16"/>
  <c r="M2864" i="16"/>
  <c r="N2864" i="16"/>
  <c r="M2594" i="16"/>
  <c r="N2594" i="16"/>
  <c r="M2540" i="16"/>
  <c r="N2540" i="16"/>
  <c r="M2324" i="16"/>
  <c r="N2324" i="16"/>
  <c r="M2054" i="16"/>
  <c r="N2054" i="16"/>
  <c r="M1730" i="16"/>
  <c r="N1730" i="16"/>
  <c r="M1514" i="16"/>
  <c r="N1514" i="16"/>
  <c r="M1460" i="16"/>
  <c r="N1460" i="16"/>
  <c r="M1245" i="16"/>
  <c r="N1245" i="16"/>
  <c r="M1190" i="16"/>
  <c r="N1190" i="16"/>
  <c r="M650" i="16"/>
  <c r="N650" i="16"/>
  <c r="M380" i="16"/>
  <c r="N380" i="16"/>
  <c r="N326" i="16"/>
  <c r="M326" i="16"/>
  <c r="M164" i="16"/>
  <c r="N164" i="16"/>
  <c r="M110" i="16"/>
  <c r="N110" i="16"/>
  <c r="F4599" i="16"/>
  <c r="K4599" i="16"/>
  <c r="F4545" i="16"/>
  <c r="K4545" i="16"/>
  <c r="F4137" i="16"/>
  <c r="O4137" i="16" s="1"/>
  <c r="K4137" i="16"/>
  <c r="K3567" i="16"/>
  <c r="F3567" i="16"/>
  <c r="O3567" i="16" s="1"/>
  <c r="K3513" i="16"/>
  <c r="F3513" i="16"/>
  <c r="O3513" i="16" s="1"/>
  <c r="F3243" i="16"/>
  <c r="O3243" i="16" s="1"/>
  <c r="K3243" i="16"/>
  <c r="F2973" i="16"/>
  <c r="O2973" i="16" s="1"/>
  <c r="K2973" i="16"/>
  <c r="K2919" i="16"/>
  <c r="F2919" i="16"/>
  <c r="O2919" i="16" s="1"/>
  <c r="K2865" i="16"/>
  <c r="F2865" i="16"/>
  <c r="O2865" i="16" s="1"/>
  <c r="K2649" i="16"/>
  <c r="F2649" i="16"/>
  <c r="O2649" i="16" s="1"/>
  <c r="K2595" i="16"/>
  <c r="F2595" i="16"/>
  <c r="O2595" i="16" s="1"/>
  <c r="K2325" i="16"/>
  <c r="F2325" i="16"/>
  <c r="O2325" i="16" s="1"/>
  <c r="F2109" i="16"/>
  <c r="O2109" i="16" s="1"/>
  <c r="K2109" i="16"/>
  <c r="F2001" i="16"/>
  <c r="O2001" i="16" s="1"/>
  <c r="K2001" i="16"/>
  <c r="F1785" i="16"/>
  <c r="O1785" i="16" s="1"/>
  <c r="K1785" i="16"/>
  <c r="F1569" i="16"/>
  <c r="O1569" i="16" s="1"/>
  <c r="K1569" i="16"/>
  <c r="K1515" i="16"/>
  <c r="F1515" i="16"/>
  <c r="O1515" i="16" s="1"/>
  <c r="F1461" i="16"/>
  <c r="O1461" i="16" s="1"/>
  <c r="K1461" i="16"/>
  <c r="K1407" i="16"/>
  <c r="F1407" i="16"/>
  <c r="O1407" i="16" s="1"/>
  <c r="K1246" i="16"/>
  <c r="F1246" i="16"/>
  <c r="O1246" i="16" s="1"/>
  <c r="K1191" i="16"/>
  <c r="F1191" i="16"/>
  <c r="O1191" i="16" s="1"/>
  <c r="F975" i="16"/>
  <c r="O975" i="16" s="1"/>
  <c r="K975" i="16"/>
  <c r="K705" i="16"/>
  <c r="F705" i="16"/>
  <c r="O705" i="16" s="1"/>
  <c r="K435" i="16"/>
  <c r="F435" i="16"/>
  <c r="O435" i="16" s="1"/>
  <c r="F381" i="16"/>
  <c r="O381" i="16" s="1"/>
  <c r="K381" i="16"/>
  <c r="K327" i="16"/>
  <c r="F327" i="16"/>
  <c r="O327" i="16" s="1"/>
  <c r="K273" i="16"/>
  <c r="F273" i="16"/>
  <c r="O273" i="16" s="1"/>
  <c r="F219" i="16"/>
  <c r="O219" i="16" s="1"/>
  <c r="K219" i="16"/>
  <c r="K165" i="16"/>
  <c r="F165" i="16"/>
  <c r="O165" i="16" s="1"/>
  <c r="K3298" i="16" l="1"/>
  <c r="F3298" i="16"/>
  <c r="O3298" i="16" s="1"/>
  <c r="K2164" i="16"/>
  <c r="F2164" i="16"/>
  <c r="O2164" i="16" s="1"/>
  <c r="K1948" i="16"/>
  <c r="F1948" i="16"/>
  <c r="O1948" i="16" s="1"/>
  <c r="K1732" i="16"/>
  <c r="F1732" i="16"/>
  <c r="O1732" i="16" s="1"/>
  <c r="F1354" i="16"/>
  <c r="O1354" i="16" s="1"/>
  <c r="K1354" i="16"/>
  <c r="K922" i="16"/>
  <c r="F922" i="16"/>
  <c r="O922" i="16" s="1"/>
  <c r="K706" i="16"/>
  <c r="F706" i="16"/>
  <c r="O706" i="16" s="1"/>
  <c r="K652" i="16"/>
  <c r="F652" i="16"/>
  <c r="O652" i="16" s="1"/>
  <c r="K598" i="16"/>
  <c r="F598" i="16"/>
  <c r="O598" i="16" s="1"/>
  <c r="K490" i="16"/>
  <c r="F490" i="16"/>
  <c r="O490" i="16" s="1"/>
  <c r="T4706" i="16"/>
  <c r="D37" i="11" s="1"/>
  <c r="S4707" i="16"/>
  <c r="T4707" i="16" s="1"/>
  <c r="D38" i="11" s="1"/>
  <c r="U4707" i="16"/>
  <c r="M4708" i="16"/>
  <c r="D4708" i="16"/>
  <c r="J4708" i="16"/>
  <c r="N4708" i="16" s="1"/>
  <c r="P4708" i="16"/>
  <c r="Q4708" i="16"/>
  <c r="R4708" i="16"/>
  <c r="L4709" i="16"/>
  <c r="C4709" i="16"/>
  <c r="E4709" i="16"/>
  <c r="G4709" i="16"/>
  <c r="I4709" i="16"/>
  <c r="B4710" i="16"/>
  <c r="P4654" i="16"/>
  <c r="Q4654" i="16"/>
  <c r="R4654" i="16"/>
  <c r="C4655" i="16"/>
  <c r="D4655" i="16" s="1"/>
  <c r="E4655" i="16"/>
  <c r="F4655" i="16"/>
  <c r="O4655" i="16" s="1"/>
  <c r="G4655" i="16"/>
  <c r="B4656" i="16"/>
  <c r="D4600" i="16"/>
  <c r="J4600" i="16"/>
  <c r="P4600" i="16"/>
  <c r="Q4600" i="16"/>
  <c r="R4600" i="16"/>
  <c r="L4601" i="16"/>
  <c r="C4601" i="16"/>
  <c r="E4601" i="16"/>
  <c r="G4601" i="16"/>
  <c r="I4601" i="16"/>
  <c r="B4602" i="16"/>
  <c r="M4546" i="16"/>
  <c r="D4546" i="16"/>
  <c r="J4546" i="16"/>
  <c r="N4546" i="16" s="1"/>
  <c r="P4546" i="16"/>
  <c r="Q4546" i="16"/>
  <c r="R4546" i="16"/>
  <c r="L4547" i="16"/>
  <c r="C4547" i="16"/>
  <c r="E4547" i="16"/>
  <c r="G4547" i="16"/>
  <c r="I4547" i="16"/>
  <c r="B4548" i="16"/>
  <c r="U4245" i="16"/>
  <c r="S4245" i="16"/>
  <c r="D4246" i="16"/>
  <c r="J4246" i="16"/>
  <c r="P4246" i="16"/>
  <c r="Q4246" i="16"/>
  <c r="R4246" i="16"/>
  <c r="T4246" i="16"/>
  <c r="L4247" i="16"/>
  <c r="C4247" i="16"/>
  <c r="E4247" i="16"/>
  <c r="G4247" i="16"/>
  <c r="I4247" i="16"/>
  <c r="B4248" i="16"/>
  <c r="U4191" i="16"/>
  <c r="S4191" i="16"/>
  <c r="D4192" i="16"/>
  <c r="J4192" i="16"/>
  <c r="N4192" i="16" s="1"/>
  <c r="P4192" i="16"/>
  <c r="Q4192" i="16"/>
  <c r="R4192" i="16"/>
  <c r="T4192" i="16"/>
  <c r="M4192" i="16"/>
  <c r="C4193" i="16"/>
  <c r="E4193" i="16"/>
  <c r="G4193" i="16"/>
  <c r="I4193" i="16"/>
  <c r="K4193" i="16"/>
  <c r="F4193" i="16"/>
  <c r="O4193" i="16" s="1"/>
  <c r="L4193" i="16"/>
  <c r="B4194" i="16"/>
  <c r="J4138" i="16"/>
  <c r="D4138" i="16"/>
  <c r="P4138" i="16"/>
  <c r="Q4138" i="16"/>
  <c r="R4138" i="16"/>
  <c r="T4138" i="16"/>
  <c r="C4139" i="16"/>
  <c r="E4139" i="16"/>
  <c r="G4139" i="16"/>
  <c r="I4139" i="16"/>
  <c r="L4139" i="16"/>
  <c r="B4140" i="16"/>
  <c r="U4083" i="16"/>
  <c r="S4083" i="16"/>
  <c r="M4084" i="16"/>
  <c r="D4084" i="16"/>
  <c r="J4084" i="16"/>
  <c r="N4084" i="16" s="1"/>
  <c r="P4084" i="16"/>
  <c r="Q4084" i="16"/>
  <c r="R4084" i="16"/>
  <c r="T4084" i="16"/>
  <c r="L4085" i="16"/>
  <c r="C4085" i="16"/>
  <c r="K4085" i="16" s="1"/>
  <c r="E4085" i="16"/>
  <c r="F4085" i="16"/>
  <c r="O4085" i="16" s="1"/>
  <c r="G4085" i="16"/>
  <c r="I4085" i="16"/>
  <c r="B4086" i="16"/>
  <c r="U3783" i="16"/>
  <c r="S3783" i="16"/>
  <c r="D3784" i="16"/>
  <c r="J3784" i="16"/>
  <c r="P3784" i="16"/>
  <c r="Q3784" i="16"/>
  <c r="R3784" i="16"/>
  <c r="T3784" i="16"/>
  <c r="L3785" i="16"/>
  <c r="C3785" i="16"/>
  <c r="K3785" i="16" s="1"/>
  <c r="E3785" i="16"/>
  <c r="F3785" i="16"/>
  <c r="O3785" i="16" s="1"/>
  <c r="G3785" i="16"/>
  <c r="I3785" i="16"/>
  <c r="B3786" i="16"/>
  <c r="U3729" i="16"/>
  <c r="S3729" i="16"/>
  <c r="D3730" i="16"/>
  <c r="J3730" i="16"/>
  <c r="P3730" i="16"/>
  <c r="Q3730" i="16"/>
  <c r="R3730" i="16"/>
  <c r="T3730" i="16"/>
  <c r="L3731" i="16"/>
  <c r="C3731" i="16"/>
  <c r="E3731" i="16"/>
  <c r="G3731" i="16"/>
  <c r="I3731" i="16"/>
  <c r="B3732" i="16"/>
  <c r="S3675" i="16"/>
  <c r="U3675" i="16"/>
  <c r="M3676" i="16"/>
  <c r="D3676" i="16"/>
  <c r="J3676" i="16"/>
  <c r="N3676" i="16" s="1"/>
  <c r="P3676" i="16"/>
  <c r="Q3676" i="16"/>
  <c r="R3676" i="16"/>
  <c r="T3676" i="16"/>
  <c r="L3677" i="16"/>
  <c r="C3677" i="16"/>
  <c r="E3677" i="16"/>
  <c r="G3677" i="16"/>
  <c r="I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M3568" i="16"/>
  <c r="D3568" i="16"/>
  <c r="J3568" i="16"/>
  <c r="N3568" i="16" s="1"/>
  <c r="P3568" i="16"/>
  <c r="Q3568" i="16"/>
  <c r="R3568" i="16"/>
  <c r="T3568" i="16"/>
  <c r="L3569" i="16"/>
  <c r="C3569" i="16"/>
  <c r="E3569" i="16"/>
  <c r="G3569" i="16"/>
  <c r="I3569" i="16"/>
  <c r="B3570" i="16"/>
  <c r="M3514" i="16"/>
  <c r="D3514" i="16"/>
  <c r="J3514" i="16"/>
  <c r="N3514" i="16" s="1"/>
  <c r="P3514" i="16"/>
  <c r="Q3514" i="16"/>
  <c r="R3514" i="16"/>
  <c r="T3514" i="16"/>
  <c r="L3515" i="16"/>
  <c r="C3515" i="16"/>
  <c r="K3515" i="16" s="1"/>
  <c r="E3515" i="16"/>
  <c r="F3515" i="16"/>
  <c r="O3515" i="16" s="1"/>
  <c r="G3515" i="16"/>
  <c r="I3515" i="16"/>
  <c r="B3516" i="16"/>
  <c r="U3459" i="16"/>
  <c r="S3459" i="16"/>
  <c r="D3460" i="16"/>
  <c r="J3460" i="16"/>
  <c r="P3460" i="16"/>
  <c r="Q3460" i="16"/>
  <c r="R3460" i="16"/>
  <c r="T3460" i="16"/>
  <c r="L3461" i="16"/>
  <c r="B3462" i="16"/>
  <c r="C3461" i="16"/>
  <c r="E3461" i="16"/>
  <c r="G3461" i="16"/>
  <c r="I3461" i="16"/>
  <c r="U3405" i="16"/>
  <c r="S3405" i="16"/>
  <c r="D3406" i="16"/>
  <c r="J3406" i="16"/>
  <c r="P3406" i="16"/>
  <c r="Q3406" i="16"/>
  <c r="R3406" i="16"/>
  <c r="T3406" i="16"/>
  <c r="L3407" i="16"/>
  <c r="C3407" i="16"/>
  <c r="K3407" i="16" s="1"/>
  <c r="E3407" i="16"/>
  <c r="F3407" i="16"/>
  <c r="O3407" i="16" s="1"/>
  <c r="G3407" i="16"/>
  <c r="I3407" i="16"/>
  <c r="B3408" i="16"/>
  <c r="U3351" i="16"/>
  <c r="S3351" i="16"/>
  <c r="D3352" i="16"/>
  <c r="J3352" i="16"/>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P3244" i="16"/>
  <c r="Q3244" i="16"/>
  <c r="R3244" i="16"/>
  <c r="T3244" i="16"/>
  <c r="L3245" i="16"/>
  <c r="E3245" i="16"/>
  <c r="C3245" i="16"/>
  <c r="K3245" i="16" s="1"/>
  <c r="B3246" i="16"/>
  <c r="I3245" i="16"/>
  <c r="F3245" i="16"/>
  <c r="O3245" i="16" s="1"/>
  <c r="G3245" i="16"/>
  <c r="D3244" i="16"/>
  <c r="J3244" i="16"/>
  <c r="U3189" i="16"/>
  <c r="S3189" i="16"/>
  <c r="P3190" i="16"/>
  <c r="Q3190" i="16"/>
  <c r="R3190" i="16"/>
  <c r="T3190" i="16"/>
  <c r="L3191" i="16"/>
  <c r="G3191" i="16"/>
  <c r="B3192" i="16"/>
  <c r="E3191" i="16"/>
  <c r="I3191" i="16"/>
  <c r="C3191" i="16"/>
  <c r="D3190" i="16"/>
  <c r="J3190" i="16"/>
  <c r="U3135" i="16"/>
  <c r="S3135" i="16"/>
  <c r="P3136" i="16"/>
  <c r="Q3136" i="16"/>
  <c r="R3136" i="16"/>
  <c r="T3136" i="16"/>
  <c r="L3137" i="16"/>
  <c r="B3138" i="16"/>
  <c r="G3137" i="16"/>
  <c r="C3137" i="16"/>
  <c r="E3137" i="16"/>
  <c r="I3137" i="16"/>
  <c r="J3136" i="16"/>
  <c r="D3136" i="16"/>
  <c r="U3081" i="16"/>
  <c r="S3081" i="16"/>
  <c r="P3082" i="16"/>
  <c r="Q3082" i="16"/>
  <c r="R3082" i="16"/>
  <c r="T3082" i="16"/>
  <c r="J3082" i="16"/>
  <c r="D3082" i="16"/>
  <c r="L3083" i="16"/>
  <c r="E3083" i="16"/>
  <c r="G3083" i="16"/>
  <c r="C3083" i="16"/>
  <c r="K3083" i="16" s="1"/>
  <c r="F3083" i="16"/>
  <c r="O3083" i="16" s="1"/>
  <c r="I3083" i="16"/>
  <c r="B3084" i="16"/>
  <c r="U3027" i="16"/>
  <c r="S3027" i="16"/>
  <c r="L3029" i="16"/>
  <c r="E3029" i="16"/>
  <c r="I3029" i="16"/>
  <c r="G3029" i="16"/>
  <c r="B3030" i="16"/>
  <c r="C3029" i="16"/>
  <c r="D3028" i="16"/>
  <c r="J3028" i="16"/>
  <c r="P3028" i="16"/>
  <c r="Q3028" i="16"/>
  <c r="R3028" i="16"/>
  <c r="T3028" i="16"/>
  <c r="M2974" i="16"/>
  <c r="D2974" i="16"/>
  <c r="J2974" i="16"/>
  <c r="N2974" i="16" s="1"/>
  <c r="P2974" i="16"/>
  <c r="Q2974" i="16"/>
  <c r="R2974" i="16"/>
  <c r="T2974" i="16"/>
  <c r="L2975" i="16"/>
  <c r="C2975" i="16"/>
  <c r="K2975" i="16" s="1"/>
  <c r="E2975" i="16"/>
  <c r="F2975" i="16"/>
  <c r="O2975" i="16" s="1"/>
  <c r="G2975" i="16"/>
  <c r="I2975" i="16"/>
  <c r="B2976" i="16"/>
  <c r="M2920" i="16"/>
  <c r="D2920" i="16"/>
  <c r="J2920" i="16"/>
  <c r="N2920" i="16" s="1"/>
  <c r="P2920" i="16"/>
  <c r="Q2920" i="16"/>
  <c r="R2920" i="16"/>
  <c r="T2920" i="16"/>
  <c r="L2921" i="16"/>
  <c r="C2921" i="16"/>
  <c r="E2921" i="16"/>
  <c r="G2921" i="16"/>
  <c r="I2921" i="16"/>
  <c r="B2922" i="16"/>
  <c r="D2866" i="16"/>
  <c r="J2866" i="16"/>
  <c r="P2866" i="16"/>
  <c r="Q2866" i="16"/>
  <c r="R2866" i="16"/>
  <c r="T2866" i="16"/>
  <c r="L2867" i="16"/>
  <c r="C2867" i="16"/>
  <c r="K2867" i="16" s="1"/>
  <c r="E2867" i="16"/>
  <c r="F2867" i="16"/>
  <c r="O2867" i="16" s="1"/>
  <c r="G2867" i="16"/>
  <c r="I2867" i="16"/>
  <c r="B2868" i="16"/>
  <c r="D2812" i="16"/>
  <c r="J2812" i="16"/>
  <c r="P2812" i="16"/>
  <c r="Q2812" i="16"/>
  <c r="R2812" i="16"/>
  <c r="T2812" i="16"/>
  <c r="U2812" i="16" s="1"/>
  <c r="L2813" i="16"/>
  <c r="C2813" i="16"/>
  <c r="K2813" i="16" s="1"/>
  <c r="E2813" i="16"/>
  <c r="F2813" i="16"/>
  <c r="O2813" i="16" s="1"/>
  <c r="G2813" i="16"/>
  <c r="I2813" i="16"/>
  <c r="B2814" i="16"/>
  <c r="U2757" i="16"/>
  <c r="S2757" i="16"/>
  <c r="D2758" i="16"/>
  <c r="M2758" i="16" s="1"/>
  <c r="N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K2705" i="16" s="1"/>
  <c r="E2705" i="16"/>
  <c r="F2705" i="16"/>
  <c r="O2705" i="16" s="1"/>
  <c r="G2705" i="16"/>
  <c r="I2705" i="16"/>
  <c r="B2706" i="16"/>
  <c r="M2650" i="16"/>
  <c r="D2650" i="16"/>
  <c r="J2650" i="16"/>
  <c r="N2650" i="16" s="1"/>
  <c r="P2650" i="16"/>
  <c r="Q2650" i="16"/>
  <c r="R2650" i="16"/>
  <c r="T2650" i="16"/>
  <c r="L2651" i="16"/>
  <c r="C2651" i="16"/>
  <c r="E2651" i="16"/>
  <c r="G2651" i="16"/>
  <c r="I2651" i="16"/>
  <c r="B2652" i="16"/>
  <c r="D2596" i="16"/>
  <c r="J2596" i="16"/>
  <c r="P2596" i="16"/>
  <c r="Q2596" i="16"/>
  <c r="R2596" i="16"/>
  <c r="T2596" i="16"/>
  <c r="L2597" i="16"/>
  <c r="C2597" i="16"/>
  <c r="E2597" i="16"/>
  <c r="G2597" i="16"/>
  <c r="I2597" i="16"/>
  <c r="B2598" i="16"/>
  <c r="U2541" i="16"/>
  <c r="S2541" i="16"/>
  <c r="D2542" i="16"/>
  <c r="J2542" i="16"/>
  <c r="P2542" i="16"/>
  <c r="Q2542" i="16"/>
  <c r="R2542" i="16"/>
  <c r="T2542" i="16"/>
  <c r="L2543" i="16"/>
  <c r="C2543" i="16"/>
  <c r="E2543" i="16"/>
  <c r="G2543" i="16"/>
  <c r="I2543" i="16"/>
  <c r="B2544" i="16"/>
  <c r="U2487" i="16"/>
  <c r="S2487" i="16"/>
  <c r="D2488" i="16"/>
  <c r="J2488" i="16"/>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K2435" i="16" s="1"/>
  <c r="E2435" i="16"/>
  <c r="F2435" i="16"/>
  <c r="O2435" i="16" s="1"/>
  <c r="G2435" i="16"/>
  <c r="I2435" i="16"/>
  <c r="B2436" i="16"/>
  <c r="U2379" i="16"/>
  <c r="S2379" i="16"/>
  <c r="M2380" i="16"/>
  <c r="D2380" i="16"/>
  <c r="J2380" i="16"/>
  <c r="N2380" i="16" s="1"/>
  <c r="P2380" i="16"/>
  <c r="Q2380" i="16"/>
  <c r="R2380" i="16"/>
  <c r="T2380" i="16"/>
  <c r="L2381" i="16"/>
  <c r="C2381" i="16"/>
  <c r="K2381" i="16" s="1"/>
  <c r="E2381" i="16"/>
  <c r="F2381" i="16"/>
  <c r="O2381" i="16" s="1"/>
  <c r="G2381" i="16"/>
  <c r="I2381" i="16"/>
  <c r="B2382" i="16"/>
  <c r="M2326" i="16"/>
  <c r="D2326" i="16"/>
  <c r="J2326" i="16"/>
  <c r="N2326" i="16" s="1"/>
  <c r="P2326" i="16"/>
  <c r="Q2326" i="16"/>
  <c r="R2326" i="16"/>
  <c r="T2326" i="16"/>
  <c r="L2327" i="16"/>
  <c r="C2327" i="16"/>
  <c r="K2327" i="16" s="1"/>
  <c r="E2327" i="16"/>
  <c r="F2327" i="16"/>
  <c r="O2327" i="16" s="1"/>
  <c r="G2327" i="16"/>
  <c r="I2327" i="16"/>
  <c r="B2328" i="16"/>
  <c r="U2271" i="16"/>
  <c r="S2271" i="16"/>
  <c r="D2272" i="16"/>
  <c r="J2272" i="16"/>
  <c r="P2272" i="16"/>
  <c r="Q2272" i="16"/>
  <c r="R2272" i="16"/>
  <c r="T2272" i="16"/>
  <c r="L2273" i="16"/>
  <c r="C2273" i="16"/>
  <c r="E2273" i="16"/>
  <c r="G2273" i="16"/>
  <c r="I2273" i="16"/>
  <c r="B2274" i="16"/>
  <c r="U2217" i="16"/>
  <c r="S2217" i="16"/>
  <c r="M2218" i="16"/>
  <c r="D2218" i="16"/>
  <c r="J2218" i="16"/>
  <c r="N2218" i="16" s="1"/>
  <c r="P2218" i="16"/>
  <c r="Q2218" i="16"/>
  <c r="R2218" i="16"/>
  <c r="T2218" i="16"/>
  <c r="L2219" i="16"/>
  <c r="C2219" i="16"/>
  <c r="K2219" i="16" s="1"/>
  <c r="E2219" i="16"/>
  <c r="F2219" i="16"/>
  <c r="O2219" i="16" s="1"/>
  <c r="G2219" i="16"/>
  <c r="I2219" i="16"/>
  <c r="B2220" i="16"/>
  <c r="U2163" i="16"/>
  <c r="S2163" i="16"/>
  <c r="M2164" i="16"/>
  <c r="D2164" i="16"/>
  <c r="J2164" i="16"/>
  <c r="N2164" i="16" s="1"/>
  <c r="P2164" i="16"/>
  <c r="Q2164" i="16"/>
  <c r="R2164" i="16"/>
  <c r="T2164" i="16"/>
  <c r="L2165" i="16"/>
  <c r="C2165" i="16"/>
  <c r="K2165" i="16" s="1"/>
  <c r="E2165" i="16"/>
  <c r="F2165" i="16"/>
  <c r="O2165" i="16" s="1"/>
  <c r="G2165" i="16"/>
  <c r="B2166" i="16"/>
  <c r="I2165" i="16"/>
  <c r="P2110" i="16"/>
  <c r="Q2110" i="16"/>
  <c r="R2110" i="16"/>
  <c r="T2110" i="16"/>
  <c r="D2110" i="16"/>
  <c r="J2110" i="16"/>
  <c r="L2111" i="16"/>
  <c r="C2111" i="16"/>
  <c r="K2111" i="16" s="1"/>
  <c r="E2111" i="16"/>
  <c r="F2111" i="16"/>
  <c r="O2111" i="16" s="1"/>
  <c r="G2111" i="16"/>
  <c r="B2112" i="16"/>
  <c r="I2111" i="16"/>
  <c r="U2055" i="16"/>
  <c r="S2055" i="16"/>
  <c r="M2056" i="16"/>
  <c r="D2056" i="16"/>
  <c r="J2056" i="16"/>
  <c r="N2056" i="16" s="1"/>
  <c r="P2056" i="16"/>
  <c r="Q2056" i="16"/>
  <c r="R2056" i="16"/>
  <c r="T2056" i="16"/>
  <c r="L2057" i="16"/>
  <c r="C2057" i="16"/>
  <c r="E2057" i="16"/>
  <c r="G2057" i="16"/>
  <c r="I2057" i="16"/>
  <c r="B2058" i="16"/>
  <c r="D2002" i="16"/>
  <c r="J2002" i="16"/>
  <c r="P2002" i="16"/>
  <c r="Q2002" i="16"/>
  <c r="R2002" i="16"/>
  <c r="T2002" i="16"/>
  <c r="L2003" i="16"/>
  <c r="C2003" i="16"/>
  <c r="E2003" i="16"/>
  <c r="G2003" i="16"/>
  <c r="I2003" i="16"/>
  <c r="B2004" i="16"/>
  <c r="U1947" i="16"/>
  <c r="S1947" i="16"/>
  <c r="M1948" i="16"/>
  <c r="D1948" i="16"/>
  <c r="J1948" i="16"/>
  <c r="N1948" i="16" s="1"/>
  <c r="P1948" i="16"/>
  <c r="Q1948" i="16"/>
  <c r="R1948" i="16"/>
  <c r="T1948" i="16"/>
  <c r="L1949" i="16"/>
  <c r="C1949" i="16"/>
  <c r="E1949" i="16"/>
  <c r="G1949" i="16"/>
  <c r="I1949" i="16"/>
  <c r="B1950" i="16"/>
  <c r="S1893" i="16"/>
  <c r="U1893" i="16"/>
  <c r="M1894" i="16"/>
  <c r="D1894" i="16"/>
  <c r="J1894" i="16"/>
  <c r="N1894" i="16" s="1"/>
  <c r="P1894" i="16"/>
  <c r="Q1894" i="16"/>
  <c r="R1894" i="16"/>
  <c r="T1894" i="16"/>
  <c r="L1895" i="16"/>
  <c r="C1895" i="16"/>
  <c r="E1895" i="16"/>
  <c r="G1895" i="16"/>
  <c r="I1895" i="16"/>
  <c r="B1896" i="16"/>
  <c r="U1839" i="16"/>
  <c r="S1839" i="16"/>
  <c r="M1840" i="16"/>
  <c r="D1840" i="16"/>
  <c r="J1840" i="16"/>
  <c r="N1840" i="16" s="1"/>
  <c r="P1840" i="16"/>
  <c r="Q1840" i="16"/>
  <c r="R1840" i="16"/>
  <c r="T1840" i="16"/>
  <c r="L1841" i="16"/>
  <c r="C1841" i="16"/>
  <c r="E1841" i="16"/>
  <c r="G1841" i="16"/>
  <c r="I1841" i="16"/>
  <c r="B1842" i="16"/>
  <c r="M1786" i="16"/>
  <c r="D1786" i="16"/>
  <c r="J1786" i="16"/>
  <c r="N1786" i="16" s="1"/>
  <c r="P1786" i="16"/>
  <c r="Q1786" i="16"/>
  <c r="R1786" i="16"/>
  <c r="T1786" i="16"/>
  <c r="L1787" i="16"/>
  <c r="C1787" i="16"/>
  <c r="E1787" i="16"/>
  <c r="G1787" i="16"/>
  <c r="I1787" i="16"/>
  <c r="B1788" i="16"/>
  <c r="U1731" i="16"/>
  <c r="S1731" i="16"/>
  <c r="M1732" i="16"/>
  <c r="D1732" i="16"/>
  <c r="J1732" i="16"/>
  <c r="N1732" i="16" s="1"/>
  <c r="P1732" i="16"/>
  <c r="Q1732" i="16"/>
  <c r="R1732" i="16"/>
  <c r="T1732" i="16"/>
  <c r="L1733" i="16"/>
  <c r="C1733" i="16"/>
  <c r="K1733" i="16" s="1"/>
  <c r="E1733" i="16"/>
  <c r="F1733" i="16"/>
  <c r="O1733" i="16" s="1"/>
  <c r="G1733" i="16"/>
  <c r="I1733" i="16"/>
  <c r="B1734" i="16"/>
  <c r="S1677" i="16"/>
  <c r="U1677" i="16"/>
  <c r="D1678" i="16"/>
  <c r="J1678" i="16"/>
  <c r="P1678" i="16"/>
  <c r="Q1678" i="16"/>
  <c r="R1678" i="16"/>
  <c r="T1678" i="16"/>
  <c r="L1679" i="16"/>
  <c r="C1679" i="16"/>
  <c r="K1679" i="16" s="1"/>
  <c r="E1679" i="16"/>
  <c r="F1679" i="16"/>
  <c r="O1679" i="16" s="1"/>
  <c r="G1679" i="16"/>
  <c r="I1679" i="16"/>
  <c r="B1680" i="16"/>
  <c r="U1623" i="16"/>
  <c r="S1623" i="16"/>
  <c r="M1624" i="16"/>
  <c r="D1624" i="16"/>
  <c r="J1624" i="16"/>
  <c r="N1624" i="16" s="1"/>
  <c r="P1624" i="16"/>
  <c r="Q1624" i="16"/>
  <c r="R1624" i="16"/>
  <c r="T1624" i="16"/>
  <c r="L1625" i="16"/>
  <c r="C1625" i="16"/>
  <c r="K1625" i="16" s="1"/>
  <c r="E1625" i="16"/>
  <c r="F1625" i="16"/>
  <c r="O1625" i="16" s="1"/>
  <c r="G1625" i="16"/>
  <c r="I1625" i="16"/>
  <c r="B1626" i="16"/>
  <c r="M1570" i="16"/>
  <c r="D1570" i="16"/>
  <c r="J1570" i="16"/>
  <c r="N1570" i="16" s="1"/>
  <c r="P1570" i="16"/>
  <c r="Q1570" i="16"/>
  <c r="R1570" i="16"/>
  <c r="T1570" i="16"/>
  <c r="L1571" i="16"/>
  <c r="C1571" i="16"/>
  <c r="K1571" i="16" s="1"/>
  <c r="E1571" i="16"/>
  <c r="F1571" i="16"/>
  <c r="O1571" i="16" s="1"/>
  <c r="G1571" i="16"/>
  <c r="I1571" i="16"/>
  <c r="B1572" i="16"/>
  <c r="M1516" i="16"/>
  <c r="P1516" i="16"/>
  <c r="Q1516" i="16"/>
  <c r="R1516" i="16"/>
  <c r="T1516" i="16"/>
  <c r="D1516" i="16"/>
  <c r="J1516" i="16"/>
  <c r="N1516" i="16" s="1"/>
  <c r="L1517" i="16"/>
  <c r="G1517" i="16"/>
  <c r="I1517" i="16"/>
  <c r="B1518" i="16"/>
  <c r="C1517" i="16"/>
  <c r="E1517" i="16"/>
  <c r="M1462" i="16"/>
  <c r="D1462" i="16"/>
  <c r="J1462" i="16"/>
  <c r="N1462" i="16" s="1"/>
  <c r="P1462" i="16"/>
  <c r="Q1462" i="16"/>
  <c r="R1462" i="16"/>
  <c r="T1462" i="16"/>
  <c r="L1463" i="16"/>
  <c r="C1463" i="16"/>
  <c r="E1463" i="16"/>
  <c r="G1463" i="16"/>
  <c r="I1463" i="16"/>
  <c r="B1464" i="16"/>
  <c r="L1409" i="16"/>
  <c r="G1409" i="16"/>
  <c r="B1410" i="16"/>
  <c r="C1409" i="16"/>
  <c r="E1409" i="16"/>
  <c r="I1409" i="16"/>
  <c r="P1408" i="16"/>
  <c r="Q1408" i="16"/>
  <c r="R1408" i="16"/>
  <c r="T1408" i="16"/>
  <c r="J1408" i="16"/>
  <c r="D1408" i="16"/>
  <c r="U1353" i="16"/>
  <c r="S1353" i="16"/>
  <c r="M1354" i="16"/>
  <c r="L1355" i="16"/>
  <c r="I1355" i="16"/>
  <c r="B1356" i="16"/>
  <c r="G1355" i="16"/>
  <c r="E1355" i="16"/>
  <c r="C1355" i="16"/>
  <c r="K1355" i="16" s="1"/>
  <c r="F1355" i="16"/>
  <c r="O1355" i="16" s="1"/>
  <c r="D1354" i="16"/>
  <c r="J1354" i="16"/>
  <c r="N1354" i="16" s="1"/>
  <c r="P1354" i="16"/>
  <c r="Q1354" i="16"/>
  <c r="R1354" i="16"/>
  <c r="T1354" i="16"/>
  <c r="U1299" i="16"/>
  <c r="S1299" i="16"/>
  <c r="L1301" i="16"/>
  <c r="G1301" i="16"/>
  <c r="I1301" i="16"/>
  <c r="B1302" i="16"/>
  <c r="E1301" i="16"/>
  <c r="C1301" i="16"/>
  <c r="K1301" i="16" s="1"/>
  <c r="F1301" i="16"/>
  <c r="O1301" i="16" s="1"/>
  <c r="J1300" i="16"/>
  <c r="D1300" i="16"/>
  <c r="P1300" i="16"/>
  <c r="Q1300" i="16"/>
  <c r="R1300" i="16"/>
  <c r="T1300" i="16"/>
  <c r="M1247" i="16"/>
  <c r="D1247" i="16"/>
  <c r="J1247" i="16"/>
  <c r="N1247" i="16" s="1"/>
  <c r="P1247" i="16"/>
  <c r="Q1247" i="16"/>
  <c r="R1247" i="16"/>
  <c r="T1247" i="16"/>
  <c r="L1248" i="16"/>
  <c r="I1248" i="16"/>
  <c r="B1249" i="16"/>
  <c r="C1248" i="16"/>
  <c r="K1248" i="16" s="1"/>
  <c r="F1248" i="16"/>
  <c r="O1248" i="16" s="1"/>
  <c r="G1248" i="16"/>
  <c r="E1248" i="16"/>
  <c r="M1192" i="16"/>
  <c r="D1192" i="16"/>
  <c r="J1192" i="16"/>
  <c r="N1192" i="16" s="1"/>
  <c r="P1192" i="16"/>
  <c r="Q1192" i="16"/>
  <c r="R1192" i="16"/>
  <c r="T1192" i="16"/>
  <c r="L1193" i="16"/>
  <c r="C1193" i="16"/>
  <c r="E1193" i="16"/>
  <c r="G1193" i="16"/>
  <c r="I1193" i="16"/>
  <c r="B1194" i="16"/>
  <c r="U1137" i="16"/>
  <c r="S1137" i="16"/>
  <c r="M1138" i="16"/>
  <c r="D1138" i="16"/>
  <c r="J1138" i="16"/>
  <c r="N1138" i="16" s="1"/>
  <c r="P1138" i="16"/>
  <c r="Q1138" i="16"/>
  <c r="R1138" i="16"/>
  <c r="T1138" i="16"/>
  <c r="L1139" i="16"/>
  <c r="C1139" i="16"/>
  <c r="E1139" i="16"/>
  <c r="G1139" i="16"/>
  <c r="I1139" i="16"/>
  <c r="B1140" i="16"/>
  <c r="U1083" i="16"/>
  <c r="S1083" i="16"/>
  <c r="D1084" i="16"/>
  <c r="J1084" i="16"/>
  <c r="P1084" i="16"/>
  <c r="Q1084" i="16"/>
  <c r="R1084" i="16"/>
  <c r="T1084" i="16"/>
  <c r="L1085" i="16"/>
  <c r="C1085" i="16"/>
  <c r="K1085" i="16" s="1"/>
  <c r="E1085" i="16"/>
  <c r="F1085" i="16"/>
  <c r="O1085" i="16" s="1"/>
  <c r="G1085" i="16"/>
  <c r="I1085" i="16"/>
  <c r="B1086" i="16"/>
  <c r="U1029" i="16"/>
  <c r="S1029" i="16"/>
  <c r="M1030" i="16"/>
  <c r="D1030" i="16"/>
  <c r="J1030" i="16"/>
  <c r="N1030" i="16" s="1"/>
  <c r="P1030" i="16"/>
  <c r="Q1030" i="16"/>
  <c r="R1030" i="16"/>
  <c r="T1030" i="16"/>
  <c r="L1031" i="16"/>
  <c r="C1031" i="16"/>
  <c r="E1031" i="16"/>
  <c r="G1031" i="16"/>
  <c r="I1031" i="16"/>
  <c r="B1032" i="16"/>
  <c r="M976" i="16"/>
  <c r="D976" i="16"/>
  <c r="J976" i="16"/>
  <c r="N976" i="16" s="1"/>
  <c r="P976" i="16"/>
  <c r="Q976" i="16"/>
  <c r="R976" i="16"/>
  <c r="T976" i="16"/>
  <c r="L977" i="16"/>
  <c r="C977" i="16"/>
  <c r="K977" i="16" s="1"/>
  <c r="E977" i="16"/>
  <c r="F977" i="16"/>
  <c r="O977" i="16" s="1"/>
  <c r="G977" i="16"/>
  <c r="I977" i="16"/>
  <c r="B978" i="16"/>
  <c r="U921" i="16"/>
  <c r="S921" i="16"/>
  <c r="M922" i="16"/>
  <c r="D922" i="16"/>
  <c r="J922" i="16"/>
  <c r="N922" i="16" s="1"/>
  <c r="P922" i="16"/>
  <c r="Q922" i="16"/>
  <c r="R922" i="16"/>
  <c r="T922" i="16"/>
  <c r="L923" i="16"/>
  <c r="C923" i="16"/>
  <c r="K923" i="16" s="1"/>
  <c r="E923" i="16"/>
  <c r="F923" i="16"/>
  <c r="O923" i="16" s="1"/>
  <c r="G923" i="16"/>
  <c r="I923" i="16"/>
  <c r="B924" i="16"/>
  <c r="U867" i="16"/>
  <c r="S867" i="16"/>
  <c r="D868" i="16"/>
  <c r="J868" i="16"/>
  <c r="P868" i="16"/>
  <c r="Q868" i="16"/>
  <c r="R868" i="16"/>
  <c r="T868" i="16"/>
  <c r="L869" i="16"/>
  <c r="C869" i="16"/>
  <c r="E869" i="16"/>
  <c r="G869" i="16"/>
  <c r="I869" i="16"/>
  <c r="B870" i="16"/>
  <c r="U813" i="16"/>
  <c r="S813" i="16"/>
  <c r="D814" i="16"/>
  <c r="J814" i="16"/>
  <c r="P814" i="16"/>
  <c r="Q814" i="16"/>
  <c r="R814" i="16"/>
  <c r="T814" i="16"/>
  <c r="L815" i="16"/>
  <c r="C815" i="16"/>
  <c r="K815" i="16" s="1"/>
  <c r="E815" i="16"/>
  <c r="F815" i="16"/>
  <c r="O815" i="16" s="1"/>
  <c r="G815" i="16"/>
  <c r="I815" i="16"/>
  <c r="B816" i="16"/>
  <c r="U759" i="16"/>
  <c r="S759" i="16"/>
  <c r="M760" i="16"/>
  <c r="D760" i="16"/>
  <c r="J760" i="16"/>
  <c r="N760" i="16" s="1"/>
  <c r="P760" i="16"/>
  <c r="Q760" i="16"/>
  <c r="R760" i="16"/>
  <c r="T760" i="16"/>
  <c r="L761" i="16"/>
  <c r="C761" i="16"/>
  <c r="K761" i="16" s="1"/>
  <c r="E761" i="16"/>
  <c r="F761" i="16"/>
  <c r="O761" i="16" s="1"/>
  <c r="G761" i="16"/>
  <c r="I761" i="16"/>
  <c r="B762" i="16"/>
  <c r="M706" i="16"/>
  <c r="D706" i="16"/>
  <c r="J706" i="16"/>
  <c r="N706" i="16" s="1"/>
  <c r="Q706" i="16"/>
  <c r="P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K653" i="16" s="1"/>
  <c r="E653" i="16"/>
  <c r="F653" i="16"/>
  <c r="O653" i="16" s="1"/>
  <c r="G653" i="16"/>
  <c r="I653" i="16"/>
  <c r="B654" i="16"/>
  <c r="U597" i="16"/>
  <c r="S597" i="16"/>
  <c r="D598" i="16"/>
  <c r="M598" i="16" s="1"/>
  <c r="N598" i="16" s="1"/>
  <c r="J598" i="16"/>
  <c r="P598" i="16"/>
  <c r="Q598" i="16"/>
  <c r="R598" i="16"/>
  <c r="T598" i="16"/>
  <c r="L599" i="16"/>
  <c r="C599" i="16"/>
  <c r="E599" i="16"/>
  <c r="G599" i="16"/>
  <c r="I599" i="16"/>
  <c r="B600" i="16"/>
  <c r="U543" i="16"/>
  <c r="S543" i="16"/>
  <c r="D544" i="16"/>
  <c r="J544" i="16"/>
  <c r="P544" i="16"/>
  <c r="Q544" i="16"/>
  <c r="R544" i="16"/>
  <c r="T544" i="16"/>
  <c r="L545" i="16"/>
  <c r="C545" i="16"/>
  <c r="K545" i="16" s="1"/>
  <c r="E545" i="16"/>
  <c r="F545" i="16"/>
  <c r="O545" i="16" s="1"/>
  <c r="G545" i="16"/>
  <c r="I545" i="16"/>
  <c r="B546" i="16"/>
  <c r="U489" i="16"/>
  <c r="S489" i="16"/>
  <c r="M490" i="16"/>
  <c r="D490" i="16"/>
  <c r="J490" i="16"/>
  <c r="N490" i="16" s="1"/>
  <c r="P490" i="16"/>
  <c r="Q490" i="16"/>
  <c r="R490" i="16"/>
  <c r="T490" i="16"/>
  <c r="L491" i="16"/>
  <c r="C491" i="16"/>
  <c r="K491" i="16" s="1"/>
  <c r="E491" i="16"/>
  <c r="F491" i="16"/>
  <c r="O491" i="16" s="1"/>
  <c r="G491" i="16"/>
  <c r="I491" i="16"/>
  <c r="B492" i="16"/>
  <c r="M436" i="16"/>
  <c r="D436" i="16"/>
  <c r="J436" i="16"/>
  <c r="N436" i="16" s="1"/>
  <c r="P436" i="16"/>
  <c r="Q436" i="16"/>
  <c r="R436" i="16"/>
  <c r="T436" i="16"/>
  <c r="L437" i="16"/>
  <c r="C437" i="16"/>
  <c r="E437" i="16"/>
  <c r="G437" i="16"/>
  <c r="I437" i="16"/>
  <c r="B438" i="16"/>
  <c r="M382" i="16"/>
  <c r="D382" i="16"/>
  <c r="J382" i="16"/>
  <c r="N382" i="16" s="1"/>
  <c r="P382" i="16"/>
  <c r="Q382" i="16"/>
  <c r="R382" i="16"/>
  <c r="T382" i="16"/>
  <c r="L383" i="16"/>
  <c r="C383" i="16"/>
  <c r="K383" i="16" s="1"/>
  <c r="E383" i="16"/>
  <c r="F383" i="16"/>
  <c r="O383" i="16" s="1"/>
  <c r="G383" i="16"/>
  <c r="I383" i="16"/>
  <c r="B384" i="16"/>
  <c r="M328" i="16"/>
  <c r="J328" i="16"/>
  <c r="N328" i="16" s="1"/>
  <c r="D328" i="16"/>
  <c r="L329" i="16"/>
  <c r="I329" i="16"/>
  <c r="B330" i="16"/>
  <c r="C329" i="16"/>
  <c r="G329" i="16"/>
  <c r="E329" i="16"/>
  <c r="P328" i="16"/>
  <c r="Q328" i="16"/>
  <c r="R328" i="16"/>
  <c r="T328" i="16"/>
  <c r="D274" i="16"/>
  <c r="J274" i="16"/>
  <c r="P274" i="16"/>
  <c r="Q274" i="16"/>
  <c r="R274" i="16"/>
  <c r="T274" i="16"/>
  <c r="L275" i="16"/>
  <c r="C275" i="16"/>
  <c r="K275" i="16" s="1"/>
  <c r="E275" i="16"/>
  <c r="F275" i="16"/>
  <c r="O275" i="16" s="1"/>
  <c r="G275" i="16"/>
  <c r="I275" i="16"/>
  <c r="B276" i="16"/>
  <c r="D220" i="16"/>
  <c r="J220" i="16"/>
  <c r="P220" i="16"/>
  <c r="Q220" i="16"/>
  <c r="R220" i="16"/>
  <c r="T220" i="16"/>
  <c r="L221" i="16"/>
  <c r="C221" i="16"/>
  <c r="E221" i="16"/>
  <c r="G221" i="16"/>
  <c r="I221" i="16"/>
  <c r="B222" i="16"/>
  <c r="M166" i="16"/>
  <c r="D166" i="16"/>
  <c r="J166" i="16"/>
  <c r="N166" i="16" s="1"/>
  <c r="P166" i="16"/>
  <c r="Q166" i="16"/>
  <c r="R166" i="16"/>
  <c r="T166" i="16"/>
  <c r="L167" i="16"/>
  <c r="C167" i="16"/>
  <c r="K167" i="16" s="1"/>
  <c r="E167" i="16"/>
  <c r="F167" i="16"/>
  <c r="O167" i="16" s="1"/>
  <c r="G167" i="16"/>
  <c r="I167" i="16"/>
  <c r="B168" i="16"/>
  <c r="S111" i="16"/>
  <c r="U111" i="16"/>
  <c r="M112" i="16"/>
  <c r="D112" i="16"/>
  <c r="J112" i="16"/>
  <c r="N112" i="16" s="1"/>
  <c r="P112" i="16"/>
  <c r="Q112" i="16"/>
  <c r="R112" i="16"/>
  <c r="T112" i="16"/>
  <c r="L113" i="16"/>
  <c r="C113" i="16"/>
  <c r="K113" i="16" s="1"/>
  <c r="E113" i="16"/>
  <c r="F113" i="16"/>
  <c r="O113" i="16" s="1"/>
  <c r="G113" i="16"/>
  <c r="I113" i="16"/>
  <c r="B114" i="16"/>
  <c r="C83" i="7"/>
  <c r="G83" i="7" s="1"/>
  <c r="U49" i="4"/>
  <c r="S49" i="4"/>
  <c r="F51" i="7"/>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T50" i="4"/>
  <c r="V50" i="4"/>
  <c r="M50" i="4"/>
  <c r="C51" i="4"/>
  <c r="E51" i="4"/>
  <c r="F51" i="4"/>
  <c r="C51" i="5" s="1"/>
  <c r="E51" i="5" s="1"/>
  <c r="G51" i="4"/>
  <c r="L51" i="4"/>
  <c r="B52" i="4"/>
  <c r="I51" i="4"/>
  <c r="K51"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5" i="4"/>
  <c r="BD51" i="4"/>
  <c r="BD43" i="4"/>
  <c r="BD44" i="4"/>
  <c r="BD48" i="4"/>
  <c r="BD50" i="4"/>
  <c r="BD46" i="4"/>
  <c r="BD47" i="4"/>
  <c r="BD49" i="4"/>
  <c r="U4244" i="16"/>
  <c r="S4244" i="16"/>
  <c r="U3512" i="16"/>
  <c r="S3512" i="16"/>
  <c r="S3458" i="16"/>
  <c r="U3458" i="16"/>
  <c r="U3404" i="16"/>
  <c r="S3404" i="16"/>
  <c r="U3242" i="16"/>
  <c r="S3242" i="16"/>
  <c r="U3188" i="16"/>
  <c r="S3188" i="16"/>
  <c r="U3134" i="16"/>
  <c r="S3134" i="16"/>
  <c r="U3080" i="16"/>
  <c r="S3080" i="16"/>
  <c r="U3026" i="16"/>
  <c r="S3026" i="16"/>
  <c r="U2918" i="16"/>
  <c r="S2918" i="16"/>
  <c r="U2864" i="16"/>
  <c r="S2864" i="16"/>
  <c r="U2594" i="16"/>
  <c r="S2594" i="16"/>
  <c r="U2540" i="16"/>
  <c r="S2540" i="16"/>
  <c r="S2324" i="16"/>
  <c r="U2324" i="16"/>
  <c r="U2054" i="16"/>
  <c r="S2054" i="16"/>
  <c r="U1730" i="16"/>
  <c r="S1730" i="16"/>
  <c r="U1514" i="16"/>
  <c r="S1514" i="16"/>
  <c r="U1460" i="16"/>
  <c r="S1460" i="16"/>
  <c r="U1245" i="16"/>
  <c r="S1245" i="16"/>
  <c r="U1190" i="16"/>
  <c r="S1190" i="16"/>
  <c r="U650" i="16"/>
  <c r="S650" i="16"/>
  <c r="U380" i="16"/>
  <c r="S380" i="16"/>
  <c r="U326" i="16"/>
  <c r="S326" i="16"/>
  <c r="U164" i="16"/>
  <c r="S164" i="16"/>
  <c r="S110" i="16"/>
  <c r="U110" i="16"/>
  <c r="M4599" i="16"/>
  <c r="N4599" i="16"/>
  <c r="M4545" i="16"/>
  <c r="N4545" i="16"/>
  <c r="N4137" i="16"/>
  <c r="M4137" i="16"/>
  <c r="M3567" i="16"/>
  <c r="N3567" i="16"/>
  <c r="M3513" i="16"/>
  <c r="N3513" i="16"/>
  <c r="N3243" i="16"/>
  <c r="M3243" i="16"/>
  <c r="M2973" i="16"/>
  <c r="N2973" i="16"/>
  <c r="M2919" i="16"/>
  <c r="N2919" i="16"/>
  <c r="M2865" i="16"/>
  <c r="N2865" i="16"/>
  <c r="M2649" i="16"/>
  <c r="N2649" i="16"/>
  <c r="M2595" i="16"/>
  <c r="N2595" i="16"/>
  <c r="M2325" i="16"/>
  <c r="N2325" i="16"/>
  <c r="M2109" i="16"/>
  <c r="N2109" i="16"/>
  <c r="M2001" i="16"/>
  <c r="N2001" i="16"/>
  <c r="M1785" i="16"/>
  <c r="N1785" i="16"/>
  <c r="M1569" i="16"/>
  <c r="N1569" i="16"/>
  <c r="M1515" i="16"/>
  <c r="N1515" i="16"/>
  <c r="M1461" i="16"/>
  <c r="N1461" i="16"/>
  <c r="N1407" i="16"/>
  <c r="M1407" i="16"/>
  <c r="N1246" i="16"/>
  <c r="M1246" i="16"/>
  <c r="M1191" i="16"/>
  <c r="N1191" i="16"/>
  <c r="M975" i="16"/>
  <c r="N975" i="16"/>
  <c r="M705" i="16"/>
  <c r="N705" i="16"/>
  <c r="M435" i="16"/>
  <c r="N435" i="16"/>
  <c r="M381" i="16"/>
  <c r="N381" i="16"/>
  <c r="M327" i="16"/>
  <c r="N327" i="16"/>
  <c r="M273" i="16"/>
  <c r="N273" i="16"/>
  <c r="M219" i="16"/>
  <c r="N219" i="16"/>
  <c r="M165" i="16"/>
  <c r="N165" i="16"/>
  <c r="K4600" i="16"/>
  <c r="F4600" i="16"/>
  <c r="K4246" i="16"/>
  <c r="F4246" i="16"/>
  <c r="O4246" i="16" s="1"/>
  <c r="K4138" i="16"/>
  <c r="F4138" i="16"/>
  <c r="O4138" i="16" s="1"/>
  <c r="K3784" i="16"/>
  <c r="F3784" i="16"/>
  <c r="O3784" i="16" s="1"/>
  <c r="K3730" i="16"/>
  <c r="F3730" i="16"/>
  <c r="O3730" i="16" s="1"/>
  <c r="F3460" i="16"/>
  <c r="O3460" i="16" s="1"/>
  <c r="K3460" i="16"/>
  <c r="K3406" i="16"/>
  <c r="F3406" i="16"/>
  <c r="O3406" i="16" s="1"/>
  <c r="F3352" i="16"/>
  <c r="O3352" i="16" s="1"/>
  <c r="K3352" i="16"/>
  <c r="K3244" i="16"/>
  <c r="F3244" i="16"/>
  <c r="O3244" i="16" s="1"/>
  <c r="F3190" i="16"/>
  <c r="O3190" i="16" s="1"/>
  <c r="K3190" i="16"/>
  <c r="K3136" i="16"/>
  <c r="F3136" i="16"/>
  <c r="O3136" i="16" s="1"/>
  <c r="K3082" i="16"/>
  <c r="F3082" i="16"/>
  <c r="O3082" i="16" s="1"/>
  <c r="F3028" i="16"/>
  <c r="O3028" i="16" s="1"/>
  <c r="K3028" i="16"/>
  <c r="F2866" i="16"/>
  <c r="O2866" i="16" s="1"/>
  <c r="K2866" i="16"/>
  <c r="F2812" i="16"/>
  <c r="O2812" i="16" s="1"/>
  <c r="K2812" i="16"/>
  <c r="F2596" i="16"/>
  <c r="O2596" i="16" s="1"/>
  <c r="K2596" i="16"/>
  <c r="F2542" i="16"/>
  <c r="O2542" i="16" s="1"/>
  <c r="K2542" i="16"/>
  <c r="F2488" i="16"/>
  <c r="O2488" i="16" s="1"/>
  <c r="K2488" i="16"/>
  <c r="K2272" i="16"/>
  <c r="F2272" i="16"/>
  <c r="O2272" i="16" s="1"/>
  <c r="F2110" i="16"/>
  <c r="O2110" i="16" s="1"/>
  <c r="K2110" i="16"/>
  <c r="K2002" i="16"/>
  <c r="F2002" i="16"/>
  <c r="O2002" i="16" s="1"/>
  <c r="K1678" i="16"/>
  <c r="F1678" i="16"/>
  <c r="O1678" i="16" s="1"/>
  <c r="F1408" i="16"/>
  <c r="O1408" i="16" s="1"/>
  <c r="K1408" i="16"/>
  <c r="F1300" i="16"/>
  <c r="O1300" i="16" s="1"/>
  <c r="K1300" i="16"/>
  <c r="K1084" i="16"/>
  <c r="F1084" i="16"/>
  <c r="O1084" i="16" s="1"/>
  <c r="F868" i="16"/>
  <c r="O868" i="16" s="1"/>
  <c r="K868" i="16"/>
  <c r="F814" i="16"/>
  <c r="O814" i="16" s="1"/>
  <c r="K814" i="16"/>
  <c r="F544" i="16"/>
  <c r="O544" i="16" s="1"/>
  <c r="K544" i="16"/>
  <c r="F274" i="16"/>
  <c r="O274" i="16" s="1"/>
  <c r="K274" i="16"/>
  <c r="F220" i="16"/>
  <c r="O220" i="16" s="1"/>
  <c r="K220" i="16"/>
  <c r="F49" i="5"/>
  <c r="G49" i="5"/>
  <c r="H49" i="5"/>
  <c r="K4709" i="16" l="1"/>
  <c r="F4709" i="16"/>
  <c r="K4247" i="16"/>
  <c r="F4247" i="16"/>
  <c r="O4247" i="16" s="1"/>
  <c r="K3677" i="16"/>
  <c r="F3677" i="16"/>
  <c r="O3677" i="16" s="1"/>
  <c r="K1031" i="16"/>
  <c r="F1031" i="16"/>
  <c r="O1031" i="16" s="1"/>
  <c r="K437" i="16"/>
  <c r="F437" i="16"/>
  <c r="O437" i="16" s="1"/>
  <c r="K221" i="16"/>
  <c r="F221" i="16"/>
  <c r="O221" i="16" s="1"/>
  <c r="S4708" i="16"/>
  <c r="U4708" i="16"/>
  <c r="M4709" i="16"/>
  <c r="D4709" i="16"/>
  <c r="J4709" i="16"/>
  <c r="N4709" i="16" s="1"/>
  <c r="P4709" i="16"/>
  <c r="Q4709" i="16"/>
  <c r="R4709" i="16"/>
  <c r="L4710" i="16"/>
  <c r="C4710" i="16"/>
  <c r="E4710" i="16"/>
  <c r="G4710" i="16"/>
  <c r="I4710" i="16"/>
  <c r="B4711" i="16"/>
  <c r="P4655" i="16"/>
  <c r="Q4655" i="16"/>
  <c r="R4655" i="16"/>
  <c r="C4656" i="16"/>
  <c r="D4656" i="16" s="1"/>
  <c r="E4656" i="16"/>
  <c r="F4656" i="16"/>
  <c r="O4656" i="16" s="1"/>
  <c r="G4656" i="16"/>
  <c r="B4657" i="16"/>
  <c r="D4601" i="16"/>
  <c r="J4601" i="16"/>
  <c r="P4601" i="16"/>
  <c r="Q4601" i="16"/>
  <c r="R4601" i="16"/>
  <c r="L4602" i="16"/>
  <c r="C4602" i="16"/>
  <c r="K4602" i="16" s="1"/>
  <c r="E4602" i="16"/>
  <c r="F4602" i="16"/>
  <c r="G4602" i="16"/>
  <c r="I4602" i="16"/>
  <c r="B4603" i="16"/>
  <c r="D4547" i="16"/>
  <c r="J4547" i="16"/>
  <c r="P4547" i="16"/>
  <c r="Q4547" i="16"/>
  <c r="R4547" i="16"/>
  <c r="L4548" i="16"/>
  <c r="C4548" i="16"/>
  <c r="E4548" i="16"/>
  <c r="G4548" i="16"/>
  <c r="I4548" i="16"/>
  <c r="B4549" i="16"/>
  <c r="M4247" i="16"/>
  <c r="D4247" i="16"/>
  <c r="J4247" i="16"/>
  <c r="N4247" i="16" s="1"/>
  <c r="P4247" i="16"/>
  <c r="Q4247" i="16"/>
  <c r="R4247" i="16"/>
  <c r="T4247" i="16"/>
  <c r="L4248" i="16"/>
  <c r="C4248" i="16"/>
  <c r="E4248" i="16"/>
  <c r="G4248" i="16"/>
  <c r="I4248" i="16"/>
  <c r="B4249" i="16"/>
  <c r="U4192" i="16"/>
  <c r="S4192" i="16"/>
  <c r="D4193" i="16"/>
  <c r="J4193" i="16"/>
  <c r="N4193" i="16" s="1"/>
  <c r="P4193" i="16"/>
  <c r="Q4193" i="16"/>
  <c r="R4193" i="16"/>
  <c r="T4193" i="16"/>
  <c r="M4193" i="16"/>
  <c r="G4194" i="16"/>
  <c r="L4194" i="16"/>
  <c r="B4195" i="16"/>
  <c r="C4194" i="16"/>
  <c r="F4194" i="16" s="1"/>
  <c r="O4194" i="16" s="1"/>
  <c r="E4194" i="16"/>
  <c r="I4194" i="16"/>
  <c r="K4194" i="16"/>
  <c r="D4139" i="16"/>
  <c r="J4139" i="16"/>
  <c r="P4139" i="16"/>
  <c r="Q4139" i="16"/>
  <c r="R4139" i="16"/>
  <c r="T4139" i="16"/>
  <c r="L4140" i="16"/>
  <c r="B4141" i="16"/>
  <c r="C4140" i="16"/>
  <c r="F4140" i="16" s="1"/>
  <c r="O4140" i="16" s="1"/>
  <c r="E4140" i="16"/>
  <c r="G4140" i="16"/>
  <c r="I4140" i="16"/>
  <c r="K4140" i="16"/>
  <c r="U4084" i="16"/>
  <c r="S4084" i="16"/>
  <c r="M4085" i="16"/>
  <c r="D4085" i="16"/>
  <c r="J4085" i="16"/>
  <c r="N4085" i="16" s="1"/>
  <c r="P4085" i="16"/>
  <c r="Q4085" i="16"/>
  <c r="R4085" i="16"/>
  <c r="T4085" i="16"/>
  <c r="L4086" i="16"/>
  <c r="C4086" i="16"/>
  <c r="K4086" i="16" s="1"/>
  <c r="E4086" i="16"/>
  <c r="F4086" i="16"/>
  <c r="O4086" i="16" s="1"/>
  <c r="G4086" i="16"/>
  <c r="I4086" i="16"/>
  <c r="B4087" i="16"/>
  <c r="M3785" i="16"/>
  <c r="D3785" i="16"/>
  <c r="J3785" i="16"/>
  <c r="N3785" i="16" s="1"/>
  <c r="P3785" i="16"/>
  <c r="Q3785" i="16"/>
  <c r="R3785" i="16"/>
  <c r="T3785" i="16"/>
  <c r="L3786" i="16"/>
  <c r="C3786" i="16"/>
  <c r="K3786" i="16" s="1"/>
  <c r="E3786" i="16"/>
  <c r="F3786" i="16"/>
  <c r="O3786" i="16" s="1"/>
  <c r="G3786" i="16"/>
  <c r="I3786" i="16"/>
  <c r="B3787" i="16"/>
  <c r="D3731" i="16"/>
  <c r="J3731" i="16"/>
  <c r="P3731" i="16"/>
  <c r="Q3731" i="16"/>
  <c r="R3731" i="16"/>
  <c r="T3731" i="16"/>
  <c r="L3732" i="16"/>
  <c r="C3732" i="16"/>
  <c r="E3732" i="16"/>
  <c r="G3732" i="16"/>
  <c r="I3732" i="16"/>
  <c r="B3733" i="16"/>
  <c r="S3676" i="16"/>
  <c r="U3676" i="16"/>
  <c r="M3677" i="16"/>
  <c r="D3677" i="16"/>
  <c r="J3677" i="16"/>
  <c r="N3677" i="16" s="1"/>
  <c r="P3677" i="16"/>
  <c r="Q3677" i="16"/>
  <c r="R3677" i="16"/>
  <c r="T3677" i="16"/>
  <c r="L3678" i="16"/>
  <c r="C3678" i="16"/>
  <c r="K3678" i="16" s="1"/>
  <c r="E3678" i="16"/>
  <c r="F3678" i="16"/>
  <c r="O3678" i="16" s="1"/>
  <c r="G3678" i="16"/>
  <c r="B3679" i="16"/>
  <c r="I3678" i="16"/>
  <c r="U3622" i="16"/>
  <c r="S3622" i="16"/>
  <c r="M3623" i="16"/>
  <c r="D3623" i="16"/>
  <c r="J3623" i="16"/>
  <c r="N3623" i="16" s="1"/>
  <c r="P3623" i="16"/>
  <c r="Q3623" i="16"/>
  <c r="R3623" i="16"/>
  <c r="T3623" i="16"/>
  <c r="L3624" i="16"/>
  <c r="C3624" i="16"/>
  <c r="E3624" i="16"/>
  <c r="G3624" i="16"/>
  <c r="I3624" i="16"/>
  <c r="B3625" i="16"/>
  <c r="U3568" i="16"/>
  <c r="S3568" i="16"/>
  <c r="D3569" i="16"/>
  <c r="J3569" i="16"/>
  <c r="P3569" i="16"/>
  <c r="Q3569" i="16"/>
  <c r="R3569" i="16"/>
  <c r="T3569" i="16"/>
  <c r="L3570" i="16"/>
  <c r="C3570" i="16"/>
  <c r="K3570" i="16" s="1"/>
  <c r="E3570" i="16"/>
  <c r="F3570" i="16"/>
  <c r="O3570" i="16" s="1"/>
  <c r="G3570" i="16"/>
  <c r="I3570" i="16"/>
  <c r="B3571" i="16"/>
  <c r="U3514" i="16"/>
  <c r="S3514" i="16"/>
  <c r="M3515" i="16"/>
  <c r="D3515" i="16"/>
  <c r="J3515" i="16"/>
  <c r="N3515" i="16" s="1"/>
  <c r="P3515" i="16"/>
  <c r="Q3515" i="16"/>
  <c r="R3515" i="16"/>
  <c r="T3515" i="16"/>
  <c r="L3516" i="16"/>
  <c r="C3516" i="16"/>
  <c r="E3516" i="16"/>
  <c r="G3516" i="16"/>
  <c r="I3516" i="16"/>
  <c r="B3517" i="16"/>
  <c r="L3462" i="16"/>
  <c r="C3462" i="16"/>
  <c r="E3462" i="16"/>
  <c r="G3462" i="16"/>
  <c r="B3463" i="16"/>
  <c r="I3462" i="16"/>
  <c r="D3461" i="16"/>
  <c r="J3461" i="16"/>
  <c r="P3461" i="16"/>
  <c r="Q3461" i="16"/>
  <c r="R3461" i="16"/>
  <c r="T3461" i="16"/>
  <c r="M3407" i="16"/>
  <c r="D3407" i="16"/>
  <c r="J3407" i="16"/>
  <c r="N3407" i="16" s="1"/>
  <c r="P3407" i="16"/>
  <c r="Q3407" i="16"/>
  <c r="R3407" i="16"/>
  <c r="T3407" i="16"/>
  <c r="L3408" i="16"/>
  <c r="C3408" i="16"/>
  <c r="E3408" i="16"/>
  <c r="G3408" i="16"/>
  <c r="I3408" i="16"/>
  <c r="B3409"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M3245" i="16"/>
  <c r="D3245" i="16"/>
  <c r="J3245" i="16"/>
  <c r="N3245" i="16" s="1"/>
  <c r="L3246" i="16"/>
  <c r="E3246" i="16"/>
  <c r="C3246" i="16"/>
  <c r="I3246" i="16"/>
  <c r="G3246" i="16"/>
  <c r="B3247" i="16"/>
  <c r="P3245" i="16"/>
  <c r="Q3245" i="16"/>
  <c r="R3245" i="16"/>
  <c r="T3245" i="16"/>
  <c r="P3191" i="16"/>
  <c r="Q3191" i="16"/>
  <c r="R3191" i="16"/>
  <c r="T3191" i="16"/>
  <c r="L3192" i="16"/>
  <c r="C3192" i="16"/>
  <c r="K3192" i="16" s="1"/>
  <c r="E3192" i="16"/>
  <c r="B3193" i="16"/>
  <c r="F3192" i="16"/>
  <c r="O3192" i="16" s="1"/>
  <c r="G3192" i="16"/>
  <c r="I3192" i="16"/>
  <c r="J3191" i="16"/>
  <c r="D3191" i="16"/>
  <c r="L3138" i="16"/>
  <c r="I3138" i="16"/>
  <c r="C3138" i="16"/>
  <c r="E3138" i="16"/>
  <c r="G3138" i="16"/>
  <c r="B3139" i="16"/>
  <c r="P3137" i="16"/>
  <c r="Q3137" i="16"/>
  <c r="R3137" i="16"/>
  <c r="T3137" i="16"/>
  <c r="J3137" i="16"/>
  <c r="D3137" i="16"/>
  <c r="M3083" i="16"/>
  <c r="P3083" i="16"/>
  <c r="R3083" i="16"/>
  <c r="Q3083" i="16"/>
  <c r="T3083" i="16"/>
  <c r="D3083" i="16"/>
  <c r="J3083" i="16"/>
  <c r="N3083" i="16" s="1"/>
  <c r="L3084" i="16"/>
  <c r="I3084" i="16"/>
  <c r="B3085" i="16"/>
  <c r="C3084" i="16"/>
  <c r="K3084" i="16" s="1"/>
  <c r="F3084" i="16"/>
  <c r="O3084" i="16" s="1"/>
  <c r="G3084" i="16"/>
  <c r="E3084" i="16"/>
  <c r="P3029" i="16"/>
  <c r="Q3029" i="16"/>
  <c r="R3029" i="16"/>
  <c r="T3029" i="16"/>
  <c r="L3030" i="16"/>
  <c r="G3030" i="16"/>
  <c r="C3030" i="16"/>
  <c r="I3030" i="16"/>
  <c r="E3030" i="16"/>
  <c r="B3031" i="16"/>
  <c r="D3029" i="16"/>
  <c r="J3029" i="16"/>
  <c r="U2974" i="16"/>
  <c r="S2974" i="16"/>
  <c r="M2975" i="16"/>
  <c r="D2975" i="16"/>
  <c r="J2975" i="16"/>
  <c r="N2975" i="16" s="1"/>
  <c r="P2975" i="16"/>
  <c r="Q2975" i="16"/>
  <c r="R2975" i="16"/>
  <c r="T2975" i="16"/>
  <c r="L2976" i="16"/>
  <c r="C2976" i="16"/>
  <c r="K2976" i="16" s="1"/>
  <c r="E2976" i="16"/>
  <c r="F2976" i="16"/>
  <c r="O2976" i="16" s="1"/>
  <c r="G2976" i="16"/>
  <c r="I2976" i="16"/>
  <c r="B2977" i="16"/>
  <c r="U2920" i="16"/>
  <c r="S2920" i="16"/>
  <c r="D2921" i="16"/>
  <c r="J2921" i="16"/>
  <c r="P2921" i="16"/>
  <c r="Q2921" i="16"/>
  <c r="R2921" i="16"/>
  <c r="T2921" i="16"/>
  <c r="L2922" i="16"/>
  <c r="C2922" i="16"/>
  <c r="E2922" i="16"/>
  <c r="G2922" i="16"/>
  <c r="I2922" i="16"/>
  <c r="B2923" i="16"/>
  <c r="M2867" i="16"/>
  <c r="D2867" i="16"/>
  <c r="J2867" i="16"/>
  <c r="N2867" i="16" s="1"/>
  <c r="P2867" i="16"/>
  <c r="Q2867" i="16"/>
  <c r="R2867" i="16"/>
  <c r="T2867" i="16"/>
  <c r="L2868" i="16"/>
  <c r="C2868" i="16"/>
  <c r="K2868" i="16" s="1"/>
  <c r="E2868" i="16"/>
  <c r="F2868" i="16"/>
  <c r="O2868" i="16" s="1"/>
  <c r="G2868" i="16"/>
  <c r="I2868" i="16"/>
  <c r="B2869" i="16"/>
  <c r="M2813" i="16"/>
  <c r="D2813" i="16"/>
  <c r="J2813" i="16"/>
  <c r="N2813" i="16" s="1"/>
  <c r="S2813" i="16" s="1"/>
  <c r="P2813" i="16"/>
  <c r="Q2813" i="16"/>
  <c r="R2813" i="16"/>
  <c r="T2813" i="16"/>
  <c r="U2813" i="16" s="1"/>
  <c r="L2814" i="16"/>
  <c r="C2814" i="16"/>
  <c r="K2814" i="16" s="1"/>
  <c r="E2814" i="16"/>
  <c r="F2814" i="16"/>
  <c r="O2814" i="16" s="1"/>
  <c r="G2814" i="16"/>
  <c r="I2814" i="16"/>
  <c r="B2815" i="16"/>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E2706" i="16"/>
  <c r="G2706" i="16"/>
  <c r="I2706" i="16"/>
  <c r="B2707" i="16"/>
  <c r="U2650" i="16"/>
  <c r="S2650" i="16"/>
  <c r="D2651" i="16"/>
  <c r="J2651" i="16"/>
  <c r="P2651" i="16"/>
  <c r="Q2651" i="16"/>
  <c r="R2651" i="16"/>
  <c r="T2651" i="16"/>
  <c r="L2652" i="16"/>
  <c r="C2652" i="16"/>
  <c r="K2652" i="16" s="1"/>
  <c r="E2652" i="16"/>
  <c r="F2652" i="16"/>
  <c r="O2652" i="16" s="1"/>
  <c r="G2652" i="16"/>
  <c r="I2652" i="16"/>
  <c r="B2653" i="16"/>
  <c r="D2597" i="16"/>
  <c r="J2597" i="16"/>
  <c r="P2597" i="16"/>
  <c r="Q2597" i="16"/>
  <c r="R2597" i="16"/>
  <c r="T2597" i="16"/>
  <c r="L2598" i="16"/>
  <c r="C2598" i="16"/>
  <c r="K2598" i="16" s="1"/>
  <c r="E2598" i="16"/>
  <c r="F2598" i="16"/>
  <c r="O2598" i="16" s="1"/>
  <c r="G2598" i="16"/>
  <c r="I2598" i="16"/>
  <c r="B2599" i="16"/>
  <c r="D2543" i="16"/>
  <c r="J2543" i="16"/>
  <c r="P2543" i="16"/>
  <c r="Q2543" i="16"/>
  <c r="R2543" i="16"/>
  <c r="T2543" i="16"/>
  <c r="L2544" i="16"/>
  <c r="C2544" i="16"/>
  <c r="E2544" i="16"/>
  <c r="G2544" i="16"/>
  <c r="I2544" i="16"/>
  <c r="B2545" i="16"/>
  <c r="M2489" i="16"/>
  <c r="D2489" i="16"/>
  <c r="J2489" i="16"/>
  <c r="N2489" i="16" s="1"/>
  <c r="Q2489" i="16"/>
  <c r="P2489" i="16"/>
  <c r="R2489" i="16"/>
  <c r="T2489" i="16"/>
  <c r="L2490" i="16"/>
  <c r="C2490" i="16"/>
  <c r="K2490" i="16" s="1"/>
  <c r="E2490" i="16"/>
  <c r="F2490" i="16"/>
  <c r="O2490" i="16" s="1"/>
  <c r="G2490" i="16"/>
  <c r="I2490" i="16"/>
  <c r="B2491" i="16"/>
  <c r="U2434" i="16"/>
  <c r="S2434" i="16"/>
  <c r="M2435" i="16"/>
  <c r="D2435" i="16"/>
  <c r="J2435" i="16"/>
  <c r="N2435" i="16" s="1"/>
  <c r="Q2435" i="16"/>
  <c r="P2435" i="16"/>
  <c r="R2435" i="16"/>
  <c r="T2435" i="16"/>
  <c r="L2436" i="16"/>
  <c r="C2436" i="16"/>
  <c r="K2436" i="16" s="1"/>
  <c r="E2436" i="16"/>
  <c r="F2436" i="16"/>
  <c r="O2436" i="16" s="1"/>
  <c r="G2436" i="16"/>
  <c r="I2436" i="16"/>
  <c r="B2437" i="16"/>
  <c r="U2380" i="16"/>
  <c r="S2380" i="16"/>
  <c r="M2381" i="16"/>
  <c r="D2381" i="16"/>
  <c r="J2381" i="16"/>
  <c r="N2381" i="16" s="1"/>
  <c r="Q2381" i="16"/>
  <c r="P2381" i="16"/>
  <c r="R2381" i="16"/>
  <c r="T2381" i="16"/>
  <c r="L2382" i="16"/>
  <c r="C2382" i="16"/>
  <c r="E2382" i="16"/>
  <c r="G2382" i="16"/>
  <c r="I2382" i="16"/>
  <c r="B2383" i="16"/>
  <c r="S2326" i="16"/>
  <c r="U2326" i="16"/>
  <c r="M2327" i="16"/>
  <c r="D2327" i="16"/>
  <c r="J2327" i="16"/>
  <c r="N2327" i="16" s="1"/>
  <c r="Q2327" i="16"/>
  <c r="P2327" i="16"/>
  <c r="R2327" i="16"/>
  <c r="T2327" i="16"/>
  <c r="L2328" i="16"/>
  <c r="C2328" i="16"/>
  <c r="E2328" i="16"/>
  <c r="G2328" i="16"/>
  <c r="I2328" i="16"/>
  <c r="B2329" i="16"/>
  <c r="D2273" i="16"/>
  <c r="J2273" i="16"/>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G2220" i="16"/>
  <c r="I2220" i="16"/>
  <c r="B2221" i="16"/>
  <c r="C2220" i="16"/>
  <c r="E2220" i="16"/>
  <c r="U2164" i="16"/>
  <c r="S2164" i="16"/>
  <c r="M2165" i="16"/>
  <c r="D2165" i="16"/>
  <c r="J2165" i="16"/>
  <c r="N2165" i="16" s="1"/>
  <c r="P2165" i="16"/>
  <c r="Q2165" i="16"/>
  <c r="R2165" i="16"/>
  <c r="T2165" i="16"/>
  <c r="L2166" i="16"/>
  <c r="C2166" i="16"/>
  <c r="K2166" i="16" s="1"/>
  <c r="E2166" i="16"/>
  <c r="F2166" i="16"/>
  <c r="O2166" i="16" s="1"/>
  <c r="G2166" i="16"/>
  <c r="I2166" i="16"/>
  <c r="B2167" i="16"/>
  <c r="M2111" i="16"/>
  <c r="D2111" i="16"/>
  <c r="J2111" i="16"/>
  <c r="N2111" i="16" s="1"/>
  <c r="P2111" i="16"/>
  <c r="Q2111" i="16"/>
  <c r="R2111" i="16"/>
  <c r="T2111" i="16"/>
  <c r="L2112" i="16"/>
  <c r="C2112" i="16"/>
  <c r="E2112" i="16"/>
  <c r="G2112" i="16"/>
  <c r="B2113" i="16"/>
  <c r="I2112" i="16"/>
  <c r="U2056" i="16"/>
  <c r="S2056" i="16"/>
  <c r="D2057" i="16"/>
  <c r="J2057" i="16"/>
  <c r="P2057" i="16"/>
  <c r="Q2057" i="16"/>
  <c r="R2057" i="16"/>
  <c r="T2057" i="16"/>
  <c r="L2058" i="16"/>
  <c r="C2058" i="16"/>
  <c r="E2058" i="16"/>
  <c r="G2058" i="16"/>
  <c r="I2058" i="16"/>
  <c r="B2059" i="16"/>
  <c r="D2003" i="16"/>
  <c r="J2003" i="16"/>
  <c r="P2003" i="16"/>
  <c r="Q2003" i="16"/>
  <c r="R2003" i="16"/>
  <c r="T2003" i="16"/>
  <c r="L2004" i="16"/>
  <c r="C2004" i="16"/>
  <c r="K2004" i="16" s="1"/>
  <c r="E2004" i="16"/>
  <c r="F2004" i="16"/>
  <c r="O2004" i="16" s="1"/>
  <c r="G2004" i="16"/>
  <c r="I2004" i="16"/>
  <c r="B2005" i="16"/>
  <c r="U1948" i="16"/>
  <c r="S1948" i="16"/>
  <c r="D1949" i="16"/>
  <c r="J1949" i="16"/>
  <c r="P1949" i="16"/>
  <c r="Q1949" i="16"/>
  <c r="R1949" i="16"/>
  <c r="T1949" i="16"/>
  <c r="L1950" i="16"/>
  <c r="C1950" i="16"/>
  <c r="E1950" i="16"/>
  <c r="G1950" i="16"/>
  <c r="I1950" i="16"/>
  <c r="B1951" i="16"/>
  <c r="S1894" i="16"/>
  <c r="U1894" i="16"/>
  <c r="D1895" i="16"/>
  <c r="J1895" i="16"/>
  <c r="P1895" i="16"/>
  <c r="Q1895" i="16"/>
  <c r="R1895" i="16"/>
  <c r="T1895" i="16"/>
  <c r="L1896" i="16"/>
  <c r="C1896" i="16"/>
  <c r="E1896" i="16"/>
  <c r="G1896" i="16"/>
  <c r="I1896" i="16"/>
  <c r="B1897" i="16"/>
  <c r="U1840" i="16"/>
  <c r="S1840" i="16"/>
  <c r="D1841" i="16"/>
  <c r="J1841" i="16"/>
  <c r="P1841" i="16"/>
  <c r="Q1841" i="16"/>
  <c r="R1841" i="16"/>
  <c r="T1841" i="16"/>
  <c r="L1842" i="16"/>
  <c r="C1842" i="16"/>
  <c r="E1842" i="16"/>
  <c r="G1842" i="16"/>
  <c r="I1842" i="16"/>
  <c r="B1843" i="16"/>
  <c r="U1786" i="16"/>
  <c r="S1786" i="16"/>
  <c r="D1787" i="16"/>
  <c r="J1787" i="16"/>
  <c r="P1787" i="16"/>
  <c r="Q1787" i="16"/>
  <c r="R1787" i="16"/>
  <c r="T1787" i="16"/>
  <c r="L1788" i="16"/>
  <c r="C1788" i="16"/>
  <c r="E1788" i="16"/>
  <c r="G1788" i="16"/>
  <c r="I1788" i="16"/>
  <c r="B1789" i="16"/>
  <c r="U1732" i="16"/>
  <c r="S1732" i="16"/>
  <c r="M1733" i="16"/>
  <c r="D1733" i="16"/>
  <c r="J1733" i="16"/>
  <c r="N1733" i="16" s="1"/>
  <c r="P1733" i="16"/>
  <c r="Q1733" i="16"/>
  <c r="R1733" i="16"/>
  <c r="T1733" i="16"/>
  <c r="L1734" i="16"/>
  <c r="C1734" i="16"/>
  <c r="K1734" i="16" s="1"/>
  <c r="E1734" i="16"/>
  <c r="F1734" i="16"/>
  <c r="O1734" i="16" s="1"/>
  <c r="G1734" i="16"/>
  <c r="I1734" i="16"/>
  <c r="B1735" i="16"/>
  <c r="M1679" i="16"/>
  <c r="D1679" i="16"/>
  <c r="J1679" i="16"/>
  <c r="N1679" i="16" s="1"/>
  <c r="P1679" i="16"/>
  <c r="Q1679" i="16"/>
  <c r="R1679" i="16"/>
  <c r="T1679" i="16"/>
  <c r="L1680" i="16"/>
  <c r="C1680" i="16"/>
  <c r="K1680" i="16" s="1"/>
  <c r="E1680" i="16"/>
  <c r="F1680" i="16"/>
  <c r="O1680" i="16" s="1"/>
  <c r="G1680" i="16"/>
  <c r="I1680" i="16"/>
  <c r="B1681" i="16"/>
  <c r="U1624" i="16"/>
  <c r="S1624" i="16"/>
  <c r="M1625" i="16"/>
  <c r="D1625" i="16"/>
  <c r="J1625" i="16"/>
  <c r="N1625" i="16" s="1"/>
  <c r="P1625" i="16"/>
  <c r="Q1625" i="16"/>
  <c r="R1625" i="16"/>
  <c r="T1625" i="16"/>
  <c r="L1626" i="16"/>
  <c r="C1626" i="16"/>
  <c r="E1626" i="16"/>
  <c r="G1626" i="16"/>
  <c r="I1626" i="16"/>
  <c r="B1627" i="16"/>
  <c r="U1570" i="16"/>
  <c r="S1570" i="16"/>
  <c r="M1571" i="16"/>
  <c r="D1571" i="16"/>
  <c r="J1571" i="16"/>
  <c r="N1571" i="16" s="1"/>
  <c r="P1571" i="16"/>
  <c r="Q1571" i="16"/>
  <c r="R1571" i="16"/>
  <c r="T1571" i="16"/>
  <c r="L1572" i="16"/>
  <c r="C1572" i="16"/>
  <c r="E1572" i="16"/>
  <c r="G1572" i="16"/>
  <c r="I1572" i="16"/>
  <c r="B1573" i="16"/>
  <c r="U1516" i="16"/>
  <c r="S1516" i="16"/>
  <c r="P1517" i="16"/>
  <c r="Q1517" i="16"/>
  <c r="R1517" i="16"/>
  <c r="T1517" i="16"/>
  <c r="L1518" i="16"/>
  <c r="C1518" i="16"/>
  <c r="K1518" i="16" s="1"/>
  <c r="E1518" i="16"/>
  <c r="F1518" i="16"/>
  <c r="O1518" i="16" s="1"/>
  <c r="G1518" i="16"/>
  <c r="I1518" i="16"/>
  <c r="B1519" i="16"/>
  <c r="J1517" i="16"/>
  <c r="D1517" i="16"/>
  <c r="U1462" i="16"/>
  <c r="S1462" i="16"/>
  <c r="D1463" i="16"/>
  <c r="J1463" i="16"/>
  <c r="P1463" i="16"/>
  <c r="Q1463" i="16"/>
  <c r="R1463" i="16"/>
  <c r="T1463" i="16"/>
  <c r="L1464" i="16"/>
  <c r="C1464" i="16"/>
  <c r="K1464" i="16" s="1"/>
  <c r="E1464" i="16"/>
  <c r="F1464" i="16"/>
  <c r="O1464" i="16" s="1"/>
  <c r="G1464" i="16"/>
  <c r="B1465" i="16"/>
  <c r="I1464" i="16"/>
  <c r="P1409" i="16"/>
  <c r="Q1409" i="16"/>
  <c r="R1409" i="16"/>
  <c r="T1409" i="16"/>
  <c r="L1410" i="16"/>
  <c r="I1410" i="16"/>
  <c r="C1410" i="16"/>
  <c r="E1410" i="16"/>
  <c r="G1410" i="16"/>
  <c r="B1411" i="16"/>
  <c r="D1409" i="16"/>
  <c r="J1409" i="16"/>
  <c r="U1354" i="16"/>
  <c r="S1354" i="16"/>
  <c r="M1355" i="16"/>
  <c r="L1356" i="16"/>
  <c r="G1356" i="16"/>
  <c r="C1356" i="16"/>
  <c r="K1356" i="16" s="1"/>
  <c r="B1357" i="16"/>
  <c r="E1356" i="16"/>
  <c r="F1356" i="16"/>
  <c r="O1356" i="16" s="1"/>
  <c r="I1356" i="16"/>
  <c r="P1355" i="16"/>
  <c r="Q1355" i="16"/>
  <c r="R1355" i="16"/>
  <c r="T1355" i="16"/>
  <c r="D1355" i="16"/>
  <c r="J1355" i="16"/>
  <c r="N1355" i="16" s="1"/>
  <c r="M1301" i="16"/>
  <c r="Q1301" i="16"/>
  <c r="P1301" i="16"/>
  <c r="R1301" i="16"/>
  <c r="T1301" i="16"/>
  <c r="L1302" i="16"/>
  <c r="E1302" i="16"/>
  <c r="G1302" i="16"/>
  <c r="B1303" i="16"/>
  <c r="I1302" i="16"/>
  <c r="C1302" i="16"/>
  <c r="J1301" i="16"/>
  <c r="N1301" i="16" s="1"/>
  <c r="D1301" i="16"/>
  <c r="S1247" i="16"/>
  <c r="U1247" i="16"/>
  <c r="M1248" i="16"/>
  <c r="L1249" i="16"/>
  <c r="G1249" i="16"/>
  <c r="I1249" i="16"/>
  <c r="B1250" i="16"/>
  <c r="C1249" i="16"/>
  <c r="E1249" i="16"/>
  <c r="D1248" i="16"/>
  <c r="J1248" i="16"/>
  <c r="N1248" i="16" s="1"/>
  <c r="P1248" i="16"/>
  <c r="Q1248" i="16"/>
  <c r="R1248" i="16"/>
  <c r="T1248" i="16"/>
  <c r="U1192" i="16"/>
  <c r="S1192" i="16"/>
  <c r="D1193" i="16"/>
  <c r="J1193" i="16"/>
  <c r="P1193" i="16"/>
  <c r="Q1193" i="16"/>
  <c r="R1193" i="16"/>
  <c r="T1193" i="16"/>
  <c r="L1194" i="16"/>
  <c r="C1194" i="16"/>
  <c r="E1194" i="16"/>
  <c r="G1194" i="16"/>
  <c r="I1194" i="16"/>
  <c r="B1195" i="16"/>
  <c r="U1138" i="16"/>
  <c r="S1138" i="16"/>
  <c r="D1139" i="16"/>
  <c r="J1139" i="16"/>
  <c r="P1139" i="16"/>
  <c r="Q1139" i="16"/>
  <c r="R1139" i="16"/>
  <c r="T1139" i="16"/>
  <c r="L1140" i="16"/>
  <c r="C1140" i="16"/>
  <c r="K1140" i="16" s="1"/>
  <c r="E1140" i="16"/>
  <c r="F1140" i="16"/>
  <c r="O1140" i="16" s="1"/>
  <c r="G1140" i="16"/>
  <c r="I1140" i="16"/>
  <c r="B1141" i="16"/>
  <c r="M1085" i="16"/>
  <c r="D1085" i="16"/>
  <c r="J1085" i="16"/>
  <c r="N1085" i="16" s="1"/>
  <c r="P1085" i="16"/>
  <c r="Q1085" i="16"/>
  <c r="R1085" i="16"/>
  <c r="T1085" i="16"/>
  <c r="L1086" i="16"/>
  <c r="C1086" i="16"/>
  <c r="K1086" i="16" s="1"/>
  <c r="E1086" i="16"/>
  <c r="F1086" i="16"/>
  <c r="O1086" i="16" s="1"/>
  <c r="G1086" i="16"/>
  <c r="I1086" i="16"/>
  <c r="B1087" i="16"/>
  <c r="U1030" i="16"/>
  <c r="S1030" i="16"/>
  <c r="M1031" i="16"/>
  <c r="D1031" i="16"/>
  <c r="J1031" i="16"/>
  <c r="N1031" i="16" s="1"/>
  <c r="P1031" i="16"/>
  <c r="Q1031" i="16"/>
  <c r="R1031" i="16"/>
  <c r="T1031" i="16"/>
  <c r="L1032" i="16"/>
  <c r="C1032" i="16"/>
  <c r="E1032" i="16"/>
  <c r="G1032" i="16"/>
  <c r="I1032" i="16"/>
  <c r="B1033" i="16"/>
  <c r="U976" i="16"/>
  <c r="S976" i="16"/>
  <c r="M977" i="16"/>
  <c r="D977" i="16"/>
  <c r="J977" i="16"/>
  <c r="N977" i="16" s="1"/>
  <c r="P977" i="16"/>
  <c r="Q977" i="16"/>
  <c r="R977" i="16"/>
  <c r="T977" i="16"/>
  <c r="L978" i="16"/>
  <c r="C978" i="16"/>
  <c r="E978" i="16"/>
  <c r="G978" i="16"/>
  <c r="I978" i="16"/>
  <c r="B979" i="16"/>
  <c r="U922" i="16"/>
  <c r="S922" i="16"/>
  <c r="M923" i="16"/>
  <c r="D923" i="16"/>
  <c r="J923" i="16"/>
  <c r="N923" i="16" s="1"/>
  <c r="P923" i="16"/>
  <c r="Q923" i="16"/>
  <c r="R923" i="16"/>
  <c r="T923" i="16"/>
  <c r="L924" i="16"/>
  <c r="C924" i="16"/>
  <c r="K924" i="16" s="1"/>
  <c r="E924" i="16"/>
  <c r="F924" i="16"/>
  <c r="O924" i="16" s="1"/>
  <c r="G924" i="16"/>
  <c r="I924" i="16"/>
  <c r="B925" i="16"/>
  <c r="D869" i="16"/>
  <c r="J869" i="16"/>
  <c r="P869" i="16"/>
  <c r="Q869" i="16"/>
  <c r="R869" i="16"/>
  <c r="T869" i="16"/>
  <c r="L870" i="16"/>
  <c r="C870" i="16"/>
  <c r="K870" i="16" s="1"/>
  <c r="E870" i="16"/>
  <c r="F870" i="16"/>
  <c r="O870" i="16" s="1"/>
  <c r="G870" i="16"/>
  <c r="I870" i="16"/>
  <c r="B871" i="16"/>
  <c r="M815" i="16"/>
  <c r="D815" i="16"/>
  <c r="J815" i="16"/>
  <c r="N815" i="16" s="1"/>
  <c r="P815" i="16"/>
  <c r="Q815" i="16"/>
  <c r="R815" i="16"/>
  <c r="T815" i="16"/>
  <c r="L816" i="16"/>
  <c r="C816" i="16"/>
  <c r="E816" i="16"/>
  <c r="G816" i="16"/>
  <c r="I816" i="16"/>
  <c r="B817" i="16"/>
  <c r="U760" i="16"/>
  <c r="S760" i="16"/>
  <c r="M761" i="16"/>
  <c r="D761" i="16"/>
  <c r="J761" i="16"/>
  <c r="N761" i="16" s="1"/>
  <c r="Q761" i="16"/>
  <c r="P761" i="16"/>
  <c r="R761" i="16"/>
  <c r="T761" i="16"/>
  <c r="L762" i="16"/>
  <c r="C762" i="16"/>
  <c r="E762" i="16"/>
  <c r="G762" i="16"/>
  <c r="I762" i="16"/>
  <c r="B763" i="16"/>
  <c r="U706" i="16"/>
  <c r="S706" i="16"/>
  <c r="M707" i="16"/>
  <c r="D707" i="16"/>
  <c r="J707" i="16"/>
  <c r="N707" i="16" s="1"/>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K654" i="16" s="1"/>
  <c r="E654" i="16"/>
  <c r="F654" i="16"/>
  <c r="O654" i="16" s="1"/>
  <c r="G654" i="16"/>
  <c r="I654" i="16"/>
  <c r="B655" i="16"/>
  <c r="U598" i="16"/>
  <c r="S598" i="16"/>
  <c r="D599" i="16"/>
  <c r="J599" i="16"/>
  <c r="Q599" i="16"/>
  <c r="P599" i="16"/>
  <c r="R599" i="16"/>
  <c r="T599" i="16"/>
  <c r="L600" i="16"/>
  <c r="C600" i="16"/>
  <c r="K600" i="16" s="1"/>
  <c r="E600" i="16"/>
  <c r="F600" i="16"/>
  <c r="O600" i="16" s="1"/>
  <c r="G600" i="16"/>
  <c r="I600" i="16"/>
  <c r="B601" i="16"/>
  <c r="M545" i="16"/>
  <c r="D545" i="16"/>
  <c r="J545" i="16"/>
  <c r="N545" i="16" s="1"/>
  <c r="P545" i="16"/>
  <c r="Q545" i="16"/>
  <c r="R545" i="16"/>
  <c r="T545" i="16"/>
  <c r="L546" i="16"/>
  <c r="C546" i="16"/>
  <c r="K546" i="16" s="1"/>
  <c r="E546" i="16"/>
  <c r="F546" i="16"/>
  <c r="O546" i="16" s="1"/>
  <c r="G546" i="16"/>
  <c r="I546" i="16"/>
  <c r="B547" i="16"/>
  <c r="U490" i="16"/>
  <c r="S490" i="16"/>
  <c r="M491" i="16"/>
  <c r="D491" i="16"/>
  <c r="J491" i="16"/>
  <c r="N491" i="16" s="1"/>
  <c r="Q491" i="16"/>
  <c r="P491" i="16"/>
  <c r="R491" i="16"/>
  <c r="T491" i="16"/>
  <c r="L492" i="16"/>
  <c r="C492" i="16"/>
  <c r="E492" i="16"/>
  <c r="G492" i="16"/>
  <c r="I492" i="16"/>
  <c r="B493" i="16"/>
  <c r="U436" i="16"/>
  <c r="S436" i="16"/>
  <c r="M437" i="16"/>
  <c r="D437" i="16"/>
  <c r="J437" i="16"/>
  <c r="N437" i="16" s="1"/>
  <c r="P437" i="16"/>
  <c r="Q437" i="16"/>
  <c r="R437" i="16"/>
  <c r="T437" i="16"/>
  <c r="L438" i="16"/>
  <c r="C438" i="16"/>
  <c r="E438" i="16"/>
  <c r="G438" i="16"/>
  <c r="I438" i="16"/>
  <c r="B439" i="16"/>
  <c r="U382" i="16"/>
  <c r="S382" i="16"/>
  <c r="M383" i="16"/>
  <c r="D383" i="16"/>
  <c r="J383" i="16"/>
  <c r="N383" i="16" s="1"/>
  <c r="P383" i="16"/>
  <c r="Q383" i="16"/>
  <c r="R383" i="16"/>
  <c r="T383" i="16"/>
  <c r="L384" i="16"/>
  <c r="C384" i="16"/>
  <c r="E384" i="16"/>
  <c r="G384" i="16"/>
  <c r="I384" i="16"/>
  <c r="B385" i="16"/>
  <c r="U328" i="16"/>
  <c r="S328" i="16"/>
  <c r="L330" i="16"/>
  <c r="E330" i="16"/>
  <c r="G330" i="16"/>
  <c r="C330" i="16"/>
  <c r="I330" i="16"/>
  <c r="B331" i="16"/>
  <c r="D329" i="16"/>
  <c r="J329" i="16"/>
  <c r="P329" i="16"/>
  <c r="Q329" i="16"/>
  <c r="R329" i="16"/>
  <c r="T329" i="16"/>
  <c r="M275" i="16"/>
  <c r="D275" i="16"/>
  <c r="J275" i="16"/>
  <c r="N275" i="16" s="1"/>
  <c r="P275" i="16"/>
  <c r="Q275" i="16"/>
  <c r="R275" i="16"/>
  <c r="T275" i="16"/>
  <c r="L276" i="16"/>
  <c r="C276" i="16"/>
  <c r="E276" i="16"/>
  <c r="G276" i="16"/>
  <c r="I276" i="16"/>
  <c r="B277" i="16"/>
  <c r="M221" i="16"/>
  <c r="D221" i="16"/>
  <c r="J221" i="16"/>
  <c r="N221" i="16" s="1"/>
  <c r="P221" i="16"/>
  <c r="Q221" i="16"/>
  <c r="R221" i="16"/>
  <c r="T221" i="16"/>
  <c r="L222" i="16"/>
  <c r="C222" i="16"/>
  <c r="E222" i="16"/>
  <c r="G222" i="16"/>
  <c r="I222" i="16"/>
  <c r="B223" i="16"/>
  <c r="U166" i="16"/>
  <c r="S166" i="16"/>
  <c r="M167" i="16"/>
  <c r="D167" i="16"/>
  <c r="J167" i="16"/>
  <c r="N167" i="16" s="1"/>
  <c r="P167" i="16"/>
  <c r="Q167" i="16"/>
  <c r="R167" i="16"/>
  <c r="T167" i="16"/>
  <c r="L168" i="16"/>
  <c r="C168" i="16"/>
  <c r="K168" i="16" s="1"/>
  <c r="E168" i="16"/>
  <c r="F168" i="16"/>
  <c r="O168" i="16" s="1"/>
  <c r="G168" i="16"/>
  <c r="I168" i="16"/>
  <c r="B169" i="16"/>
  <c r="S112" i="16"/>
  <c r="U112" i="16"/>
  <c r="M113" i="16"/>
  <c r="D113" i="16"/>
  <c r="J113" i="16"/>
  <c r="N113" i="16" s="1"/>
  <c r="P113" i="16"/>
  <c r="Q113" i="16"/>
  <c r="R113" i="16"/>
  <c r="T113" i="16"/>
  <c r="L114" i="16"/>
  <c r="C114" i="16"/>
  <c r="K114" i="16" s="1"/>
  <c r="E114" i="16"/>
  <c r="F114" i="16"/>
  <c r="O114" i="16" s="1"/>
  <c r="G114" i="16"/>
  <c r="I114" i="16"/>
  <c r="B115" i="16"/>
  <c r="C84" i="7"/>
  <c r="G84" i="7" s="1"/>
  <c r="U50" i="4"/>
  <c r="S50" i="4"/>
  <c r="D51" i="4"/>
  <c r="J51" i="4"/>
  <c r="N51" i="4" s="1"/>
  <c r="O51" i="4"/>
  <c r="E86" i="7"/>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V51" i="4"/>
  <c r="T51" i="4"/>
  <c r="C52" i="4"/>
  <c r="E52" i="4"/>
  <c r="F52" i="4"/>
  <c r="C52" i="5" s="1"/>
  <c r="E52" i="5" s="1"/>
  <c r="G52" i="4"/>
  <c r="BE52" i="4" s="1"/>
  <c r="K52" i="4"/>
  <c r="B53" i="4"/>
  <c r="B52" i="5"/>
  <c r="I52" i="4"/>
  <c r="L52" i="4"/>
  <c r="M51" i="4"/>
  <c r="BF49"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5" i="4"/>
  <c r="BF45" i="4" s="1"/>
  <c r="BE47" i="4"/>
  <c r="BF47" i="4" s="1"/>
  <c r="BE51" i="4"/>
  <c r="BE42" i="4"/>
  <c r="BF42" i="4" s="1"/>
  <c r="BE43" i="4"/>
  <c r="BF43" i="4" s="1"/>
  <c r="BE44" i="4"/>
  <c r="BF44" i="4" s="1"/>
  <c r="BE46" i="4"/>
  <c r="BF46" i="4" s="1"/>
  <c r="BE48" i="4"/>
  <c r="BF48" i="4" s="1"/>
  <c r="BE49" i="4"/>
  <c r="BE50" i="4"/>
  <c r="BF50" i="4" s="1"/>
  <c r="U4137" i="16"/>
  <c r="S4137" i="16"/>
  <c r="U3567" i="16"/>
  <c r="S3567" i="16"/>
  <c r="U3513" i="16"/>
  <c r="S3513" i="16"/>
  <c r="U3243" i="16"/>
  <c r="S3243" i="16"/>
  <c r="U2973" i="16"/>
  <c r="S2973" i="16"/>
  <c r="U2919" i="16"/>
  <c r="S2919" i="16"/>
  <c r="U2865" i="16"/>
  <c r="S2865" i="16"/>
  <c r="U2649" i="16"/>
  <c r="S2649" i="16"/>
  <c r="U2595" i="16"/>
  <c r="S2595" i="16"/>
  <c r="S2325" i="16"/>
  <c r="U2325" i="16"/>
  <c r="S2109" i="16"/>
  <c r="U2109" i="16"/>
  <c r="U2001" i="16"/>
  <c r="S2001" i="16"/>
  <c r="U1785" i="16"/>
  <c r="S1785" i="16"/>
  <c r="U1569" i="16"/>
  <c r="S1569" i="16"/>
  <c r="U1515" i="16"/>
  <c r="S1515" i="16"/>
  <c r="U1461" i="16"/>
  <c r="S1461" i="16"/>
  <c r="U1407" i="16"/>
  <c r="S1407" i="16"/>
  <c r="S1246" i="16"/>
  <c r="U1246" i="16"/>
  <c r="U1191" i="16"/>
  <c r="S1191" i="16"/>
  <c r="U975" i="16"/>
  <c r="S975" i="16"/>
  <c r="U705" i="16"/>
  <c r="S705" i="16"/>
  <c r="U435" i="16"/>
  <c r="S435" i="16"/>
  <c r="U381" i="16"/>
  <c r="S381" i="16"/>
  <c r="U327" i="16"/>
  <c r="S327" i="16"/>
  <c r="U273" i="16"/>
  <c r="S273" i="16"/>
  <c r="U219" i="16"/>
  <c r="S219" i="16"/>
  <c r="U165" i="16"/>
  <c r="S165" i="16"/>
  <c r="M4600" i="16"/>
  <c r="N4600" i="16"/>
  <c r="M4246" i="16"/>
  <c r="N4246" i="16"/>
  <c r="N4138" i="16"/>
  <c r="M4138" i="16"/>
  <c r="M3784" i="16"/>
  <c r="N3784" i="16"/>
  <c r="N3730" i="16"/>
  <c r="M3730" i="16"/>
  <c r="M3460" i="16"/>
  <c r="N3460" i="16"/>
  <c r="M3406" i="16"/>
  <c r="N3406" i="16"/>
  <c r="M3352" i="16"/>
  <c r="N3352" i="16"/>
  <c r="N3244" i="16"/>
  <c r="M3244" i="16"/>
  <c r="M3190" i="16"/>
  <c r="N3190" i="16"/>
  <c r="M3136" i="16"/>
  <c r="N3136" i="16"/>
  <c r="N3082" i="16"/>
  <c r="M3082" i="16"/>
  <c r="M3028" i="16"/>
  <c r="N3028" i="16"/>
  <c r="M2866" i="16"/>
  <c r="N2866" i="16"/>
  <c r="M2812" i="16"/>
  <c r="N2812" i="16"/>
  <c r="S2812" i="16" s="1"/>
  <c r="M2596" i="16"/>
  <c r="N2596" i="16"/>
  <c r="M2542" i="16"/>
  <c r="N2542" i="16"/>
  <c r="M2488" i="16"/>
  <c r="N2488" i="16"/>
  <c r="M2272" i="16"/>
  <c r="N2272" i="16"/>
  <c r="N2110" i="16"/>
  <c r="M2110" i="16"/>
  <c r="M2002" i="16"/>
  <c r="N2002" i="16"/>
  <c r="M1678" i="16"/>
  <c r="N1678" i="16"/>
  <c r="M1408" i="16"/>
  <c r="N1408" i="16"/>
  <c r="N1300" i="16"/>
  <c r="M1300" i="16"/>
  <c r="M1084" i="16"/>
  <c r="N1084" i="16"/>
  <c r="M868" i="16"/>
  <c r="N868" i="16"/>
  <c r="M814" i="16"/>
  <c r="N814" i="16"/>
  <c r="M544" i="16"/>
  <c r="N544" i="16"/>
  <c r="M274" i="16"/>
  <c r="N274" i="16"/>
  <c r="M220" i="16"/>
  <c r="N220" i="16"/>
  <c r="F4601" i="16"/>
  <c r="K4601" i="16"/>
  <c r="F4547" i="16"/>
  <c r="K4547" i="16"/>
  <c r="F4139" i="16"/>
  <c r="O4139" i="16" s="1"/>
  <c r="K4139" i="16"/>
  <c r="K3731" i="16"/>
  <c r="F3731" i="16"/>
  <c r="O3731" i="16" s="1"/>
  <c r="F3569" i="16"/>
  <c r="O3569" i="16" s="1"/>
  <c r="K3569" i="16"/>
  <c r="F3461" i="16"/>
  <c r="O3461" i="16" s="1"/>
  <c r="K3461" i="16"/>
  <c r="F3191" i="16"/>
  <c r="O3191" i="16" s="1"/>
  <c r="K3191" i="16"/>
  <c r="F3137" i="16"/>
  <c r="O3137" i="16" s="1"/>
  <c r="K3137" i="16"/>
  <c r="F3029" i="16"/>
  <c r="O3029" i="16" s="1"/>
  <c r="K3029" i="16"/>
  <c r="F2921" i="16"/>
  <c r="O2921" i="16" s="1"/>
  <c r="K2921" i="16"/>
  <c r="F2651" i="16"/>
  <c r="O2651" i="16" s="1"/>
  <c r="K2651" i="16"/>
  <c r="K2597" i="16"/>
  <c r="F2597" i="16"/>
  <c r="O2597" i="16" s="1"/>
  <c r="F2543" i="16"/>
  <c r="O2543" i="16" s="1"/>
  <c r="K2543" i="16"/>
  <c r="F2273" i="16"/>
  <c r="O2273" i="16" s="1"/>
  <c r="K2273" i="16"/>
  <c r="K2057" i="16"/>
  <c r="F2057" i="16"/>
  <c r="O2057" i="16" s="1"/>
  <c r="K2003" i="16"/>
  <c r="F2003" i="16"/>
  <c r="O2003" i="16" s="1"/>
  <c r="K1949" i="16"/>
  <c r="F1949" i="16"/>
  <c r="O1949" i="16" s="1"/>
  <c r="F1895" i="16"/>
  <c r="O1895" i="16" s="1"/>
  <c r="K1895" i="16"/>
  <c r="K1841" i="16"/>
  <c r="F1841" i="16"/>
  <c r="O1841" i="16" s="1"/>
  <c r="F1787" i="16"/>
  <c r="O1787" i="16" s="1"/>
  <c r="K1787" i="16"/>
  <c r="F1517" i="16"/>
  <c r="O1517" i="16" s="1"/>
  <c r="K1517" i="16"/>
  <c r="K1463" i="16"/>
  <c r="F1463" i="16"/>
  <c r="O1463" i="16" s="1"/>
  <c r="F1409" i="16"/>
  <c r="O1409" i="16" s="1"/>
  <c r="K1409" i="16"/>
  <c r="F1193" i="16"/>
  <c r="O1193" i="16" s="1"/>
  <c r="K1193" i="16"/>
  <c r="F1139" i="16"/>
  <c r="O1139" i="16" s="1"/>
  <c r="K1139" i="16"/>
  <c r="K869" i="16"/>
  <c r="F869" i="16"/>
  <c r="O869" i="16" s="1"/>
  <c r="F599" i="16"/>
  <c r="O599" i="16" s="1"/>
  <c r="K599" i="16"/>
  <c r="F329" i="16"/>
  <c r="O329" i="16" s="1"/>
  <c r="K329" i="16"/>
  <c r="BF51" i="4" l="1"/>
  <c r="K4710" i="16"/>
  <c r="F4710" i="16"/>
  <c r="K3624" i="16"/>
  <c r="F3624" i="16"/>
  <c r="O3624" i="16" s="1"/>
  <c r="K2922" i="16"/>
  <c r="F2922" i="16"/>
  <c r="O2922" i="16" s="1"/>
  <c r="K2544" i="16"/>
  <c r="F2544" i="16"/>
  <c r="O2544" i="16" s="1"/>
  <c r="K2058" i="16"/>
  <c r="F2058" i="16"/>
  <c r="O2058" i="16" s="1"/>
  <c r="K1950" i="16"/>
  <c r="F1950" i="16"/>
  <c r="O1950" i="16" s="1"/>
  <c r="K1626" i="16"/>
  <c r="F1626" i="16"/>
  <c r="O1626" i="16" s="1"/>
  <c r="K1194" i="16"/>
  <c r="F1194" i="16"/>
  <c r="O1194" i="16" s="1"/>
  <c r="K978" i="16"/>
  <c r="F978" i="16"/>
  <c r="O978" i="16" s="1"/>
  <c r="T4708" i="16"/>
  <c r="D39" i="11" s="1"/>
  <c r="S4709" i="16"/>
  <c r="T4709" i="16" s="1"/>
  <c r="D40" i="11" s="1"/>
  <c r="U4709" i="16"/>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M4602" i="16"/>
  <c r="D4602" i="16"/>
  <c r="J4602" i="16"/>
  <c r="N4602" i="16" s="1"/>
  <c r="P4602" i="16"/>
  <c r="Q4602" i="16"/>
  <c r="R4602" i="16"/>
  <c r="L4603" i="16"/>
  <c r="C4603" i="16"/>
  <c r="E4603" i="16"/>
  <c r="G4603" i="16"/>
  <c r="I4603" i="16"/>
  <c r="B4604" i="16"/>
  <c r="D4548" i="16"/>
  <c r="J4548" i="16"/>
  <c r="P4548" i="16"/>
  <c r="Q4548" i="16"/>
  <c r="R4548" i="16"/>
  <c r="L4549" i="16"/>
  <c r="C4549" i="16"/>
  <c r="E4549" i="16"/>
  <c r="G4549" i="16"/>
  <c r="I4549" i="16"/>
  <c r="B4550" i="16"/>
  <c r="U4247" i="16"/>
  <c r="S4247" i="16"/>
  <c r="D4248" i="16"/>
  <c r="J4248" i="16"/>
  <c r="P4248" i="16"/>
  <c r="Q4248" i="16"/>
  <c r="R4248" i="16"/>
  <c r="T4248" i="16"/>
  <c r="L4249" i="16"/>
  <c r="C4249" i="16"/>
  <c r="K4249" i="16" s="1"/>
  <c r="E4249" i="16"/>
  <c r="F4249" i="16"/>
  <c r="O4249" i="16" s="1"/>
  <c r="G4249" i="16"/>
  <c r="I4249" i="16"/>
  <c r="B4250" i="16"/>
  <c r="U4193" i="16"/>
  <c r="S4193" i="16"/>
  <c r="P4194" i="16"/>
  <c r="Q4194" i="16"/>
  <c r="R4194" i="16"/>
  <c r="T4194" i="16"/>
  <c r="E4195" i="16"/>
  <c r="G4195" i="16"/>
  <c r="L4195" i="16"/>
  <c r="B4196" i="16"/>
  <c r="C4195" i="16"/>
  <c r="I4195" i="16"/>
  <c r="D4194" i="16"/>
  <c r="J4194" i="16"/>
  <c r="N4194" i="16" s="1"/>
  <c r="M4194" i="16"/>
  <c r="I4141" i="16"/>
  <c r="C4141" i="16"/>
  <c r="K4141" i="16" s="1"/>
  <c r="E4141" i="16"/>
  <c r="F4141" i="16"/>
  <c r="O4141" i="16" s="1"/>
  <c r="G4141" i="16"/>
  <c r="L4141" i="16"/>
  <c r="B4142" i="16"/>
  <c r="D4140" i="16"/>
  <c r="J4140" i="16"/>
  <c r="N4140" i="16" s="1"/>
  <c r="P4140" i="16"/>
  <c r="Q4140" i="16"/>
  <c r="R4140" i="16"/>
  <c r="T4140" i="16"/>
  <c r="M4140" i="16"/>
  <c r="U4085" i="16"/>
  <c r="S4085" i="16"/>
  <c r="M4086" i="16"/>
  <c r="D4086" i="16"/>
  <c r="J4086" i="16"/>
  <c r="N4086" i="16" s="1"/>
  <c r="P4086" i="16"/>
  <c r="Q4086" i="16"/>
  <c r="R4086" i="16"/>
  <c r="T4086" i="16"/>
  <c r="L4087" i="16"/>
  <c r="C4087" i="16"/>
  <c r="E4087" i="16"/>
  <c r="G4087" i="16"/>
  <c r="I4087" i="16"/>
  <c r="B4088" i="16"/>
  <c r="U3785" i="16"/>
  <c r="S3785" i="16"/>
  <c r="M3786" i="16"/>
  <c r="D3786" i="16"/>
  <c r="J3786" i="16"/>
  <c r="N3786" i="16" s="1"/>
  <c r="P3786" i="16"/>
  <c r="Q3786" i="16"/>
  <c r="R3786" i="16"/>
  <c r="T3786" i="16"/>
  <c r="L3787" i="16"/>
  <c r="C3787" i="16"/>
  <c r="K3787" i="16" s="1"/>
  <c r="E3787" i="16"/>
  <c r="F3787" i="16"/>
  <c r="O3787" i="16" s="1"/>
  <c r="G3787" i="16"/>
  <c r="I3787" i="16"/>
  <c r="B3788" i="16"/>
  <c r="D3732" i="16"/>
  <c r="J3732" i="16"/>
  <c r="P3732" i="16"/>
  <c r="Q3732" i="16"/>
  <c r="R3732" i="16"/>
  <c r="T3732" i="16"/>
  <c r="L3733" i="16"/>
  <c r="C3733" i="16"/>
  <c r="E3733" i="16"/>
  <c r="G3733" i="16"/>
  <c r="I3733" i="16"/>
  <c r="B3734" i="16"/>
  <c r="S3677" i="16"/>
  <c r="U3677" i="16"/>
  <c r="M3678" i="16"/>
  <c r="D3678" i="16"/>
  <c r="J3678" i="16"/>
  <c r="N3678" i="16" s="1"/>
  <c r="P3678" i="16"/>
  <c r="Q3678" i="16"/>
  <c r="R3678" i="16"/>
  <c r="T3678" i="16"/>
  <c r="L3679" i="16"/>
  <c r="C3679" i="16"/>
  <c r="E3679" i="16"/>
  <c r="G3679" i="16"/>
  <c r="B3680" i="16"/>
  <c r="I3679" i="16"/>
  <c r="U3623" i="16"/>
  <c r="S3623" i="16"/>
  <c r="M3624" i="16"/>
  <c r="D3624" i="16"/>
  <c r="J3624" i="16"/>
  <c r="N3624" i="16" s="1"/>
  <c r="P3624" i="16"/>
  <c r="Q3624" i="16"/>
  <c r="R3624" i="16"/>
  <c r="T3624" i="16"/>
  <c r="L3625" i="16"/>
  <c r="C3625" i="16"/>
  <c r="K3625" i="16" s="1"/>
  <c r="E3625" i="16"/>
  <c r="F3625" i="16"/>
  <c r="O3625" i="16" s="1"/>
  <c r="G3625" i="16"/>
  <c r="I3625" i="16"/>
  <c r="B3626" i="16"/>
  <c r="M3570" i="16"/>
  <c r="D3570" i="16"/>
  <c r="J3570" i="16"/>
  <c r="N3570" i="16" s="1"/>
  <c r="P3570" i="16"/>
  <c r="Q3570" i="16"/>
  <c r="R3570" i="16"/>
  <c r="T3570" i="16"/>
  <c r="L3571" i="16"/>
  <c r="C3571" i="16"/>
  <c r="K3571" i="16" s="1"/>
  <c r="E3571" i="16"/>
  <c r="F3571" i="16"/>
  <c r="O3571" i="16" s="1"/>
  <c r="G3571" i="16"/>
  <c r="I3571" i="16"/>
  <c r="B3572" i="16"/>
  <c r="U3515" i="16"/>
  <c r="S3515" i="16"/>
  <c r="D3516" i="16"/>
  <c r="J3516" i="16"/>
  <c r="P3516" i="16"/>
  <c r="Q3516" i="16"/>
  <c r="R3516" i="16"/>
  <c r="T3516" i="16"/>
  <c r="L3517" i="16"/>
  <c r="C3517" i="16"/>
  <c r="E3517" i="16"/>
  <c r="G3517" i="16"/>
  <c r="I3517" i="16"/>
  <c r="B3518" i="16"/>
  <c r="D3462" i="16"/>
  <c r="J3462" i="16"/>
  <c r="P3462" i="16"/>
  <c r="Q3462" i="16"/>
  <c r="R3462" i="16"/>
  <c r="T3462" i="16"/>
  <c r="L3463" i="16"/>
  <c r="C3463" i="16"/>
  <c r="E3463" i="16"/>
  <c r="G3463" i="16"/>
  <c r="B3464" i="16"/>
  <c r="I3463" i="16"/>
  <c r="U3407" i="16"/>
  <c r="S3407" i="16"/>
  <c r="D3408" i="16"/>
  <c r="J3408" i="16"/>
  <c r="P3408" i="16"/>
  <c r="Q3408" i="16"/>
  <c r="R3408" i="16"/>
  <c r="T3408" i="16"/>
  <c r="L3409" i="16"/>
  <c r="C3409" i="16"/>
  <c r="E3409" i="16"/>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E3301" i="16"/>
  <c r="G3301" i="16"/>
  <c r="I3301" i="16"/>
  <c r="B3302" i="16"/>
  <c r="U3245" i="16"/>
  <c r="S3245" i="16"/>
  <c r="J3246" i="16"/>
  <c r="D3246" i="16"/>
  <c r="P3246" i="16"/>
  <c r="Q3246" i="16"/>
  <c r="R3246" i="16"/>
  <c r="T3246" i="16"/>
  <c r="L3247" i="16"/>
  <c r="E3247" i="16"/>
  <c r="C3247" i="16"/>
  <c r="G3247" i="16"/>
  <c r="B3248" i="16"/>
  <c r="I3247" i="16"/>
  <c r="M3192" i="16"/>
  <c r="D3192" i="16"/>
  <c r="J3192" i="16"/>
  <c r="N3192" i="16" s="1"/>
  <c r="L3193" i="16"/>
  <c r="G3193" i="16"/>
  <c r="B3194" i="16"/>
  <c r="E3193" i="16"/>
  <c r="C3193" i="16"/>
  <c r="I3193" i="16"/>
  <c r="P3192" i="16"/>
  <c r="Q3192" i="16"/>
  <c r="R3192" i="16"/>
  <c r="T3192" i="16"/>
  <c r="D3138" i="16"/>
  <c r="J3138" i="16"/>
  <c r="P3138" i="16"/>
  <c r="Q3138" i="16"/>
  <c r="R3138" i="16"/>
  <c r="T3138" i="16"/>
  <c r="L3139" i="16"/>
  <c r="E3139" i="16"/>
  <c r="G3139" i="16"/>
  <c r="I3139" i="16"/>
  <c r="B3140" i="16"/>
  <c r="C3139" i="16"/>
  <c r="U3083" i="16"/>
  <c r="S3083" i="16"/>
  <c r="M3084" i="16"/>
  <c r="L3085" i="16"/>
  <c r="I3085" i="16"/>
  <c r="B3086" i="16"/>
  <c r="E3085" i="16"/>
  <c r="C3085" i="16"/>
  <c r="G3085" i="16"/>
  <c r="D3084" i="16"/>
  <c r="J3084" i="16"/>
  <c r="N3084" i="16" s="1"/>
  <c r="P3084" i="16"/>
  <c r="Q3084" i="16"/>
  <c r="R3084" i="16"/>
  <c r="T3084" i="16"/>
  <c r="P3030" i="16"/>
  <c r="Q3030" i="16"/>
  <c r="R3030" i="16"/>
  <c r="T3030" i="16"/>
  <c r="D3030" i="16"/>
  <c r="J3030" i="16"/>
  <c r="L3031" i="16"/>
  <c r="I3031" i="16"/>
  <c r="G3031" i="16"/>
  <c r="E3031" i="16"/>
  <c r="B3032" i="16"/>
  <c r="C3031" i="16"/>
  <c r="U2975" i="16"/>
  <c r="S2975" i="16"/>
  <c r="M2976" i="16"/>
  <c r="D2976" i="16"/>
  <c r="J2976" i="16"/>
  <c r="N2976" i="16" s="1"/>
  <c r="P2976" i="16"/>
  <c r="Q2976" i="16"/>
  <c r="R2976" i="16"/>
  <c r="T2976" i="16"/>
  <c r="L2977" i="16"/>
  <c r="C2977" i="16"/>
  <c r="K2977" i="16" s="1"/>
  <c r="E2977" i="16"/>
  <c r="F2977" i="16"/>
  <c r="O2977" i="16" s="1"/>
  <c r="G2977" i="16"/>
  <c r="I2977" i="16"/>
  <c r="B2978" i="16"/>
  <c r="M2922" i="16"/>
  <c r="D2922" i="16"/>
  <c r="J2922" i="16"/>
  <c r="N2922" i="16" s="1"/>
  <c r="P2922" i="16"/>
  <c r="Q2922" i="16"/>
  <c r="R2922" i="16"/>
  <c r="T2922" i="16"/>
  <c r="L2923" i="16"/>
  <c r="C2923" i="16"/>
  <c r="E2923" i="16"/>
  <c r="G2923" i="16"/>
  <c r="I2923" i="16"/>
  <c r="B2924" i="16"/>
  <c r="U2867" i="16"/>
  <c r="S2867" i="16"/>
  <c r="M2868" i="16"/>
  <c r="D2868" i="16"/>
  <c r="J2868" i="16"/>
  <c r="N2868" i="16" s="1"/>
  <c r="P2868" i="16"/>
  <c r="Q2868" i="16"/>
  <c r="R2868" i="16"/>
  <c r="T2868" i="16"/>
  <c r="L2869" i="16"/>
  <c r="C2869" i="16"/>
  <c r="E2869" i="16"/>
  <c r="G2869" i="16"/>
  <c r="I2869" i="16"/>
  <c r="B2870" i="16"/>
  <c r="M2814" i="16"/>
  <c r="D2814" i="16"/>
  <c r="J2814" i="16"/>
  <c r="N2814" i="16" s="1"/>
  <c r="S2814" i="16" s="1"/>
  <c r="P2814" i="16"/>
  <c r="Q2814" i="16"/>
  <c r="R2814" i="16"/>
  <c r="T2814" i="16"/>
  <c r="U2814" i="16" s="1"/>
  <c r="L2815" i="16"/>
  <c r="C2815" i="16"/>
  <c r="K2815" i="16" s="1"/>
  <c r="E2815" i="16"/>
  <c r="F2815" i="16"/>
  <c r="O2815" i="16" s="1"/>
  <c r="G2815" i="16"/>
  <c r="I2815" i="16"/>
  <c r="B2816" i="16"/>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D2706" i="16"/>
  <c r="J2706" i="16"/>
  <c r="P2706" i="16"/>
  <c r="Q2706" i="16"/>
  <c r="R2706" i="16"/>
  <c r="T2706" i="16"/>
  <c r="L2707" i="16"/>
  <c r="C2707" i="16"/>
  <c r="K2707" i="16" s="1"/>
  <c r="E2707" i="16"/>
  <c r="F2707" i="16"/>
  <c r="O2707" i="16" s="1"/>
  <c r="G2707" i="16"/>
  <c r="I2707" i="16"/>
  <c r="B2708" i="16"/>
  <c r="M2652" i="16"/>
  <c r="D2652" i="16"/>
  <c r="J2652" i="16"/>
  <c r="N2652" i="16" s="1"/>
  <c r="P2652" i="16"/>
  <c r="Q2652" i="16"/>
  <c r="R2652" i="16"/>
  <c r="T2652" i="16"/>
  <c r="L2653" i="16"/>
  <c r="C2653" i="16"/>
  <c r="E2653" i="16"/>
  <c r="G2653" i="16"/>
  <c r="I2653" i="16"/>
  <c r="B2654" i="16"/>
  <c r="M2598" i="16"/>
  <c r="D2598" i="16"/>
  <c r="J2598" i="16"/>
  <c r="N2598" i="16" s="1"/>
  <c r="P2598" i="16"/>
  <c r="Q2598" i="16"/>
  <c r="R2598" i="16"/>
  <c r="T2598" i="16"/>
  <c r="L2599" i="16"/>
  <c r="C2599" i="16"/>
  <c r="E2599" i="16"/>
  <c r="G2599" i="16"/>
  <c r="I2599" i="16"/>
  <c r="B2600" i="16"/>
  <c r="M2544" i="16"/>
  <c r="D2544" i="16"/>
  <c r="J2544" i="16"/>
  <c r="N2544" i="16" s="1"/>
  <c r="P2544" i="16"/>
  <c r="Q2544" i="16"/>
  <c r="R2544" i="16"/>
  <c r="T2544" i="16"/>
  <c r="L2545" i="16"/>
  <c r="C2545" i="16"/>
  <c r="K2545" i="16" s="1"/>
  <c r="E2545" i="16"/>
  <c r="F2545" i="16"/>
  <c r="O2545" i="16" s="1"/>
  <c r="G2545" i="16"/>
  <c r="I2545" i="16"/>
  <c r="B2546" i="16"/>
  <c r="U2489" i="16"/>
  <c r="S2489" i="16"/>
  <c r="M2490" i="16"/>
  <c r="D2490" i="16"/>
  <c r="J2490" i="16"/>
  <c r="N2490" i="16" s="1"/>
  <c r="Q2490" i="16"/>
  <c r="R2490" i="16"/>
  <c r="P2490" i="16"/>
  <c r="T2490" i="16"/>
  <c r="L2491" i="16"/>
  <c r="C2491" i="16"/>
  <c r="K2491" i="16" s="1"/>
  <c r="E2491" i="16"/>
  <c r="F2491" i="16"/>
  <c r="O2491" i="16" s="1"/>
  <c r="G2491" i="16"/>
  <c r="I2491" i="16"/>
  <c r="B2492" i="16"/>
  <c r="U2435" i="16"/>
  <c r="S2435" i="16"/>
  <c r="M2436" i="16"/>
  <c r="D2436" i="16"/>
  <c r="J2436" i="16"/>
  <c r="N2436" i="16" s="1"/>
  <c r="Q2436" i="16"/>
  <c r="P2436" i="16"/>
  <c r="R2436" i="16"/>
  <c r="T2436" i="16"/>
  <c r="L2437" i="16"/>
  <c r="C2437" i="16"/>
  <c r="E2437" i="16"/>
  <c r="G2437" i="16"/>
  <c r="I2437" i="16"/>
  <c r="B2438" i="16"/>
  <c r="U2381" i="16"/>
  <c r="S2381" i="16"/>
  <c r="D2382" i="16"/>
  <c r="J2382" i="16"/>
  <c r="Q2382" i="16"/>
  <c r="P2382" i="16"/>
  <c r="R2382" i="16"/>
  <c r="T2382" i="16"/>
  <c r="L2383" i="16"/>
  <c r="C2383" i="16"/>
  <c r="K2383" i="16" s="1"/>
  <c r="E2383" i="16"/>
  <c r="F2383" i="16"/>
  <c r="O2383" i="16" s="1"/>
  <c r="G2383" i="16"/>
  <c r="I2383" i="16"/>
  <c r="B2384" i="16"/>
  <c r="S2327" i="16"/>
  <c r="U2327" i="16"/>
  <c r="D2328" i="16"/>
  <c r="J2328" i="16"/>
  <c r="P2328" i="16"/>
  <c r="Q2328" i="16"/>
  <c r="R2328" i="16"/>
  <c r="T2328" i="16"/>
  <c r="L2329" i="16"/>
  <c r="C2329" i="16"/>
  <c r="E2329" i="16"/>
  <c r="G2329" i="16"/>
  <c r="I2329" i="16"/>
  <c r="B2330" i="16"/>
  <c r="M2274" i="16"/>
  <c r="D2274" i="16"/>
  <c r="J2274" i="16"/>
  <c r="N2274" i="16" s="1"/>
  <c r="P2274" i="16"/>
  <c r="Q2274" i="16"/>
  <c r="R2274" i="16"/>
  <c r="T2274" i="16"/>
  <c r="L2275" i="16"/>
  <c r="C2275" i="16"/>
  <c r="K2275" i="16" s="1"/>
  <c r="E2275" i="16"/>
  <c r="F2275" i="16"/>
  <c r="O2275" i="16" s="1"/>
  <c r="G2275" i="16"/>
  <c r="I2275" i="16"/>
  <c r="B2276" i="16"/>
  <c r="U2219" i="16"/>
  <c r="S2219" i="16"/>
  <c r="P2220" i="16"/>
  <c r="Q2220" i="16"/>
  <c r="R2220" i="16"/>
  <c r="T2220" i="16"/>
  <c r="L2221" i="16"/>
  <c r="G2221" i="16"/>
  <c r="B2222" i="16"/>
  <c r="I2221" i="16"/>
  <c r="C2221" i="16"/>
  <c r="E2221" i="16"/>
  <c r="D2220" i="16"/>
  <c r="J2220" i="16"/>
  <c r="U2165" i="16"/>
  <c r="S2165" i="16"/>
  <c r="M2166" i="16"/>
  <c r="D2166" i="16"/>
  <c r="J2166" i="16"/>
  <c r="N2166" i="16" s="1"/>
  <c r="P2166" i="16"/>
  <c r="Q2166" i="16"/>
  <c r="R2166" i="16"/>
  <c r="T2166" i="16"/>
  <c r="L2167" i="16"/>
  <c r="E2167" i="16"/>
  <c r="G2167" i="16"/>
  <c r="I2167" i="16"/>
  <c r="C2167" i="16"/>
  <c r="B2168" i="16"/>
  <c r="S2111" i="16"/>
  <c r="U2111" i="16"/>
  <c r="D2112" i="16"/>
  <c r="J2112" i="16"/>
  <c r="Q2112" i="16"/>
  <c r="P2112" i="16"/>
  <c r="R2112" i="16"/>
  <c r="T2112" i="16"/>
  <c r="L2113" i="16"/>
  <c r="C2113" i="16"/>
  <c r="E2113" i="16"/>
  <c r="G2113" i="16"/>
  <c r="I2113" i="16"/>
  <c r="B2114" i="16"/>
  <c r="M2058" i="16"/>
  <c r="D2058" i="16"/>
  <c r="J2058" i="16"/>
  <c r="N2058" i="16" s="1"/>
  <c r="P2058" i="16"/>
  <c r="Q2058" i="16"/>
  <c r="R2058" i="16"/>
  <c r="T2058" i="16"/>
  <c r="L2059" i="16"/>
  <c r="C2059" i="16"/>
  <c r="K2059" i="16" s="1"/>
  <c r="E2059" i="16"/>
  <c r="F2059" i="16"/>
  <c r="O2059" i="16" s="1"/>
  <c r="G2059" i="16"/>
  <c r="I2059" i="16"/>
  <c r="B2060" i="16"/>
  <c r="M2004" i="16"/>
  <c r="D2004" i="16"/>
  <c r="J2004" i="16"/>
  <c r="N2004" i="16" s="1"/>
  <c r="P2004" i="16"/>
  <c r="Q2004" i="16"/>
  <c r="R2004" i="16"/>
  <c r="T2004" i="16"/>
  <c r="L2005" i="16"/>
  <c r="C2005" i="16"/>
  <c r="E2005" i="16"/>
  <c r="G2005" i="16"/>
  <c r="I2005" i="16"/>
  <c r="B2006" i="16"/>
  <c r="M1950" i="16"/>
  <c r="D1950" i="16"/>
  <c r="J1950" i="16"/>
  <c r="N1950" i="16" s="1"/>
  <c r="P1950" i="16"/>
  <c r="Q1950" i="16"/>
  <c r="R1950" i="16"/>
  <c r="T1950" i="16"/>
  <c r="L1951" i="16"/>
  <c r="C1951" i="16"/>
  <c r="K1951" i="16" s="1"/>
  <c r="E1951" i="16"/>
  <c r="F1951" i="16"/>
  <c r="O1951" i="16" s="1"/>
  <c r="G1951" i="16"/>
  <c r="I1951" i="16"/>
  <c r="B1952" i="16"/>
  <c r="D1896" i="16"/>
  <c r="J1896" i="16"/>
  <c r="P1896" i="16"/>
  <c r="Q1896" i="16"/>
  <c r="R1896" i="16"/>
  <c r="T1896" i="16"/>
  <c r="L1897" i="16"/>
  <c r="C1897" i="16"/>
  <c r="E1897" i="16"/>
  <c r="G1897" i="16"/>
  <c r="I1897" i="16"/>
  <c r="B1898" i="16"/>
  <c r="D1842" i="16"/>
  <c r="J1842" i="16"/>
  <c r="P1842" i="16"/>
  <c r="Q1842" i="16"/>
  <c r="R1842" i="16"/>
  <c r="T1842" i="16"/>
  <c r="L1843" i="16"/>
  <c r="C1843" i="16"/>
  <c r="K1843" i="16" s="1"/>
  <c r="E1843" i="16"/>
  <c r="F1843" i="16"/>
  <c r="O1843" i="16" s="1"/>
  <c r="G1843" i="16"/>
  <c r="I1843" i="16"/>
  <c r="B1844" i="16"/>
  <c r="D1788" i="16"/>
  <c r="J1788" i="16"/>
  <c r="P1788" i="16"/>
  <c r="Q1788" i="16"/>
  <c r="R1788" i="16"/>
  <c r="T1788" i="16"/>
  <c r="L1789" i="16"/>
  <c r="C1789" i="16"/>
  <c r="E1789" i="16"/>
  <c r="G1789" i="16"/>
  <c r="I1789" i="16"/>
  <c r="B1790" i="16"/>
  <c r="U1733" i="16"/>
  <c r="S1733" i="16"/>
  <c r="M1734" i="16"/>
  <c r="D1734" i="16"/>
  <c r="J1734" i="16"/>
  <c r="N1734" i="16" s="1"/>
  <c r="P1734" i="16"/>
  <c r="Q1734" i="16"/>
  <c r="R1734" i="16"/>
  <c r="T1734" i="16"/>
  <c r="L1735" i="16"/>
  <c r="C1735" i="16"/>
  <c r="K1735" i="16" s="1"/>
  <c r="E1735" i="16"/>
  <c r="F1735" i="16"/>
  <c r="O1735" i="16" s="1"/>
  <c r="G1735" i="16"/>
  <c r="I1735" i="16"/>
  <c r="B1736" i="16"/>
  <c r="S1679" i="16"/>
  <c r="U1679" i="16"/>
  <c r="M1680" i="16"/>
  <c r="D1680" i="16"/>
  <c r="J1680" i="16"/>
  <c r="N1680" i="16" s="1"/>
  <c r="P1680" i="16"/>
  <c r="Q1680" i="16"/>
  <c r="R1680" i="16"/>
  <c r="T1680" i="16"/>
  <c r="L1681" i="16"/>
  <c r="C1681" i="16"/>
  <c r="K1681" i="16" s="1"/>
  <c r="E1681" i="16"/>
  <c r="F1681" i="16"/>
  <c r="O1681" i="16" s="1"/>
  <c r="G1681" i="16"/>
  <c r="I1681" i="16"/>
  <c r="B1682" i="16"/>
  <c r="U1625" i="16"/>
  <c r="S1625" i="16"/>
  <c r="M1626" i="16"/>
  <c r="D1626" i="16"/>
  <c r="J1626" i="16"/>
  <c r="N1626" i="16" s="1"/>
  <c r="P1626" i="16"/>
  <c r="Q1626" i="16"/>
  <c r="R1626" i="16"/>
  <c r="T1626" i="16"/>
  <c r="L1627" i="16"/>
  <c r="C1627" i="16"/>
  <c r="K1627" i="16" s="1"/>
  <c r="E1627" i="16"/>
  <c r="F1627" i="16"/>
  <c r="O1627" i="16" s="1"/>
  <c r="G1627" i="16"/>
  <c r="I1627" i="16"/>
  <c r="B1628" i="16"/>
  <c r="U1571" i="16"/>
  <c r="S1571" i="16"/>
  <c r="D1572" i="16"/>
  <c r="J1572" i="16"/>
  <c r="P1572" i="16"/>
  <c r="Q1572" i="16"/>
  <c r="R1572" i="16"/>
  <c r="T1572" i="16"/>
  <c r="L1573" i="16"/>
  <c r="C1573" i="16"/>
  <c r="E1573" i="16"/>
  <c r="G1573" i="16"/>
  <c r="I1573" i="16"/>
  <c r="B1574" i="16"/>
  <c r="M1518" i="16"/>
  <c r="D1518" i="16"/>
  <c r="J1518" i="16"/>
  <c r="N1518" i="16" s="1"/>
  <c r="P1518" i="16"/>
  <c r="Q1518" i="16"/>
  <c r="R1518" i="16"/>
  <c r="T1518" i="16"/>
  <c r="L1519" i="16"/>
  <c r="E1519" i="16"/>
  <c r="G1519" i="16"/>
  <c r="I1519" i="16"/>
  <c r="C1519" i="16"/>
  <c r="B1520" i="16"/>
  <c r="M1464" i="16"/>
  <c r="D1464" i="16"/>
  <c r="J1464" i="16"/>
  <c r="N1464" i="16" s="1"/>
  <c r="P1464" i="16"/>
  <c r="Q1464" i="16"/>
  <c r="R1464" i="16"/>
  <c r="T1464" i="16"/>
  <c r="L1465" i="16"/>
  <c r="C1465" i="16"/>
  <c r="K1465" i="16" s="1"/>
  <c r="E1465" i="16"/>
  <c r="F1465" i="16"/>
  <c r="O1465" i="16" s="1"/>
  <c r="G1465" i="16"/>
  <c r="B1466" i="16"/>
  <c r="I1465" i="16"/>
  <c r="D1410" i="16"/>
  <c r="J1410" i="16"/>
  <c r="P1410" i="16"/>
  <c r="Q1410" i="16"/>
  <c r="R1410" i="16"/>
  <c r="T1410" i="16"/>
  <c r="L1411" i="16"/>
  <c r="E1411" i="16"/>
  <c r="C1411" i="16"/>
  <c r="K1411" i="16" s="1"/>
  <c r="I1411" i="16"/>
  <c r="F1411" i="16"/>
  <c r="O1411" i="16" s="1"/>
  <c r="G1411" i="16"/>
  <c r="B1412" i="16"/>
  <c r="U1355" i="16"/>
  <c r="S1355" i="16"/>
  <c r="M1356" i="16"/>
  <c r="P1356" i="16"/>
  <c r="Q1356" i="16"/>
  <c r="R1356" i="16"/>
  <c r="T1356" i="16"/>
  <c r="D1356" i="16"/>
  <c r="J1356" i="16"/>
  <c r="N1356" i="16" s="1"/>
  <c r="L1357" i="16"/>
  <c r="E1357" i="16"/>
  <c r="I1357" i="16"/>
  <c r="B1358" i="16"/>
  <c r="C1357" i="16"/>
  <c r="K1357" i="16" s="1"/>
  <c r="F1357" i="16"/>
  <c r="O1357" i="16" s="1"/>
  <c r="G1357" i="16"/>
  <c r="U1301" i="16"/>
  <c r="S1301" i="16"/>
  <c r="Q1302" i="16"/>
  <c r="P1302" i="16"/>
  <c r="R1302" i="16"/>
  <c r="T1302" i="16"/>
  <c r="L1303" i="16"/>
  <c r="C1303" i="16"/>
  <c r="E1303" i="16"/>
  <c r="G1303" i="16"/>
  <c r="B1304" i="16"/>
  <c r="I1303" i="16"/>
  <c r="J1302" i="16"/>
  <c r="D1302" i="16"/>
  <c r="S1248" i="16"/>
  <c r="U1248" i="16"/>
  <c r="P1249" i="16"/>
  <c r="Q1249" i="16"/>
  <c r="R1249" i="16"/>
  <c r="T1249" i="16"/>
  <c r="L1250" i="16"/>
  <c r="C1250" i="16"/>
  <c r="G1250" i="16"/>
  <c r="B1251" i="16"/>
  <c r="I1250" i="16"/>
  <c r="E1250" i="16"/>
  <c r="J1249" i="16"/>
  <c r="D1249" i="16"/>
  <c r="M1194" i="16"/>
  <c r="D1194" i="16"/>
  <c r="J1194" i="16"/>
  <c r="N1194" i="16" s="1"/>
  <c r="P1194" i="16"/>
  <c r="Q1194" i="16"/>
  <c r="R1194" i="16"/>
  <c r="T1194" i="16"/>
  <c r="L1195" i="16"/>
  <c r="C1195" i="16"/>
  <c r="E1195" i="16"/>
  <c r="G1195" i="16"/>
  <c r="I1195" i="16"/>
  <c r="B1196" i="16"/>
  <c r="M1140" i="16"/>
  <c r="D1140" i="16"/>
  <c r="J1140" i="16"/>
  <c r="N1140" i="16" s="1"/>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K1087" i="16" s="1"/>
  <c r="E1087" i="16"/>
  <c r="F1087" i="16"/>
  <c r="O1087" i="16" s="1"/>
  <c r="G1087" i="16"/>
  <c r="I1087" i="16"/>
  <c r="B1088" i="16"/>
  <c r="U1031" i="16"/>
  <c r="S1031" i="16"/>
  <c r="D1032" i="16"/>
  <c r="J1032" i="16"/>
  <c r="P1032" i="16"/>
  <c r="Q1032" i="16"/>
  <c r="R1032" i="16"/>
  <c r="T1032" i="16"/>
  <c r="L1033" i="16"/>
  <c r="C1033" i="16"/>
  <c r="E1033" i="16"/>
  <c r="G1033" i="16"/>
  <c r="I1033" i="16"/>
  <c r="B1034" i="16"/>
  <c r="U977" i="16"/>
  <c r="S977" i="16"/>
  <c r="M978" i="16"/>
  <c r="D978" i="16"/>
  <c r="J978" i="16"/>
  <c r="N978" i="16" s="1"/>
  <c r="P978" i="16"/>
  <c r="Q978" i="16"/>
  <c r="R978" i="16"/>
  <c r="T978" i="16"/>
  <c r="L979" i="16"/>
  <c r="C979" i="16"/>
  <c r="E979" i="16"/>
  <c r="G979" i="16"/>
  <c r="I979" i="16"/>
  <c r="B980" i="16"/>
  <c r="U923" i="16"/>
  <c r="S923" i="16"/>
  <c r="M924" i="16"/>
  <c r="D924" i="16"/>
  <c r="J924" i="16"/>
  <c r="N924" i="16" s="1"/>
  <c r="P924" i="16"/>
  <c r="Q924" i="16"/>
  <c r="R924" i="16"/>
  <c r="T924" i="16"/>
  <c r="L925" i="16"/>
  <c r="C925" i="16"/>
  <c r="E925" i="16"/>
  <c r="G925" i="16"/>
  <c r="I925" i="16"/>
  <c r="B926" i="16"/>
  <c r="M870" i="16"/>
  <c r="D870" i="16"/>
  <c r="J870" i="16"/>
  <c r="N870" i="16" s="1"/>
  <c r="Q870" i="16"/>
  <c r="P870" i="16"/>
  <c r="R870" i="16"/>
  <c r="T870" i="16"/>
  <c r="L871" i="16"/>
  <c r="C871" i="16"/>
  <c r="K871" i="16" s="1"/>
  <c r="E871" i="16"/>
  <c r="F871" i="16"/>
  <c r="O871" i="16" s="1"/>
  <c r="G871" i="16"/>
  <c r="I871" i="16"/>
  <c r="B872" i="16"/>
  <c r="U815" i="16"/>
  <c r="S815" i="16"/>
  <c r="D816" i="16"/>
  <c r="J816" i="16"/>
  <c r="P816" i="16"/>
  <c r="Q816" i="16"/>
  <c r="R816" i="16"/>
  <c r="T816" i="16"/>
  <c r="L817" i="16"/>
  <c r="C817" i="16"/>
  <c r="K817" i="16" s="1"/>
  <c r="E817" i="16"/>
  <c r="F817" i="16"/>
  <c r="O817" i="16" s="1"/>
  <c r="G817" i="16"/>
  <c r="I817" i="16"/>
  <c r="B818" i="16"/>
  <c r="U761" i="16"/>
  <c r="S761" i="16"/>
  <c r="D762" i="16"/>
  <c r="J762" i="16"/>
  <c r="P762" i="16"/>
  <c r="Q762" i="16"/>
  <c r="R762" i="16"/>
  <c r="T762" i="16"/>
  <c r="L763" i="16"/>
  <c r="C763" i="16"/>
  <c r="K763" i="16" s="1"/>
  <c r="E763" i="16"/>
  <c r="F763" i="16"/>
  <c r="O763" i="16" s="1"/>
  <c r="G763" i="16"/>
  <c r="I763" i="16"/>
  <c r="B764" i="16"/>
  <c r="U707" i="16"/>
  <c r="S707" i="16"/>
  <c r="M708" i="16"/>
  <c r="D708" i="16"/>
  <c r="J708" i="16"/>
  <c r="N708" i="16" s="1"/>
  <c r="Q708" i="16"/>
  <c r="P708" i="16"/>
  <c r="R708" i="16"/>
  <c r="T708" i="16"/>
  <c r="L709" i="16"/>
  <c r="C709" i="16"/>
  <c r="E709" i="16"/>
  <c r="G709" i="16"/>
  <c r="I709" i="16"/>
  <c r="B710" i="16"/>
  <c r="U653" i="16"/>
  <c r="S653" i="16"/>
  <c r="M654" i="16"/>
  <c r="D654" i="16"/>
  <c r="J654" i="16"/>
  <c r="N654" i="16" s="1"/>
  <c r="P654" i="16"/>
  <c r="Q654" i="16"/>
  <c r="R654" i="16"/>
  <c r="T654" i="16"/>
  <c r="L655" i="16"/>
  <c r="C655" i="16"/>
  <c r="K655" i="16" s="1"/>
  <c r="E655" i="16"/>
  <c r="F655" i="16"/>
  <c r="O655" i="16" s="1"/>
  <c r="G655" i="16"/>
  <c r="I655" i="16"/>
  <c r="B656" i="16"/>
  <c r="M600" i="16"/>
  <c r="D600" i="16"/>
  <c r="J600" i="16"/>
  <c r="N600" i="16" s="1"/>
  <c r="P600" i="16"/>
  <c r="Q600" i="16"/>
  <c r="R600" i="16"/>
  <c r="T600" i="16"/>
  <c r="L601" i="16"/>
  <c r="C601" i="16"/>
  <c r="K601" i="16" s="1"/>
  <c r="E601" i="16"/>
  <c r="F601" i="16"/>
  <c r="O601" i="16" s="1"/>
  <c r="G601" i="16"/>
  <c r="I601" i="16"/>
  <c r="B602" i="16"/>
  <c r="S545" i="16"/>
  <c r="U545" i="16"/>
  <c r="M546" i="16"/>
  <c r="D546" i="16"/>
  <c r="J546" i="16"/>
  <c r="N546" i="16" s="1"/>
  <c r="P546" i="16"/>
  <c r="Q546" i="16"/>
  <c r="R546" i="16"/>
  <c r="T546" i="16"/>
  <c r="L547" i="16"/>
  <c r="C547" i="16"/>
  <c r="K547" i="16" s="1"/>
  <c r="E547" i="16"/>
  <c r="F547" i="16"/>
  <c r="O547" i="16" s="1"/>
  <c r="G547" i="16"/>
  <c r="I547" i="16"/>
  <c r="B548" i="16"/>
  <c r="U491" i="16"/>
  <c r="S491" i="16"/>
  <c r="D492" i="16"/>
  <c r="J492" i="16"/>
  <c r="P492" i="16"/>
  <c r="Q492" i="16"/>
  <c r="R492" i="16"/>
  <c r="T492" i="16"/>
  <c r="L493" i="16"/>
  <c r="C493" i="16"/>
  <c r="E493" i="16"/>
  <c r="G493" i="16"/>
  <c r="I493" i="16"/>
  <c r="B494" i="16"/>
  <c r="U437" i="16"/>
  <c r="S437" i="16"/>
  <c r="D438" i="16"/>
  <c r="J438" i="16"/>
  <c r="P438" i="16"/>
  <c r="Q438" i="16"/>
  <c r="R438" i="16"/>
  <c r="T438" i="16"/>
  <c r="L439" i="16"/>
  <c r="C439" i="16"/>
  <c r="E439" i="16"/>
  <c r="G439" i="16"/>
  <c r="I439" i="16"/>
  <c r="B440" i="16"/>
  <c r="U383" i="16"/>
  <c r="S383" i="16"/>
  <c r="D384" i="16"/>
  <c r="J384" i="16"/>
  <c r="P384" i="16"/>
  <c r="Q384" i="16"/>
  <c r="R384" i="16"/>
  <c r="T384" i="16"/>
  <c r="L385" i="16"/>
  <c r="C385" i="16"/>
  <c r="K385" i="16" s="1"/>
  <c r="E385" i="16"/>
  <c r="F385" i="16"/>
  <c r="O385" i="16" s="1"/>
  <c r="G385" i="16"/>
  <c r="I385" i="16"/>
  <c r="B386" i="16"/>
  <c r="P330" i="16"/>
  <c r="Q330" i="16"/>
  <c r="R330" i="16"/>
  <c r="T330" i="16"/>
  <c r="J330" i="16"/>
  <c r="D330" i="16"/>
  <c r="L331" i="16"/>
  <c r="C331" i="16"/>
  <c r="K331" i="16" s="1"/>
  <c r="G331" i="16"/>
  <c r="B332" i="16"/>
  <c r="E331" i="16"/>
  <c r="I331" i="16"/>
  <c r="F331" i="16"/>
  <c r="O331" i="16" s="1"/>
  <c r="U275" i="16"/>
  <c r="S275" i="16"/>
  <c r="D276" i="16"/>
  <c r="J276" i="16"/>
  <c r="P276" i="16"/>
  <c r="Q276" i="16"/>
  <c r="R276" i="16"/>
  <c r="T276" i="16"/>
  <c r="L277" i="16"/>
  <c r="C277" i="16"/>
  <c r="E277" i="16"/>
  <c r="G277" i="16"/>
  <c r="I277" i="16"/>
  <c r="B278" i="16"/>
  <c r="U221" i="16"/>
  <c r="S221" i="16"/>
  <c r="D222" i="16"/>
  <c r="J222" i="16"/>
  <c r="P222" i="16"/>
  <c r="Q222" i="16"/>
  <c r="R222" i="16"/>
  <c r="T222" i="16"/>
  <c r="L223" i="16"/>
  <c r="C223" i="16"/>
  <c r="K223" i="16" s="1"/>
  <c r="E223" i="16"/>
  <c r="F223" i="16"/>
  <c r="O223" i="16" s="1"/>
  <c r="G223" i="16"/>
  <c r="I223" i="16"/>
  <c r="B224" i="16"/>
  <c r="U167" i="16"/>
  <c r="S167" i="16"/>
  <c r="M168" i="16"/>
  <c r="D168" i="16"/>
  <c r="J168" i="16"/>
  <c r="N168" i="16" s="1"/>
  <c r="P168" i="16"/>
  <c r="Q168" i="16"/>
  <c r="R168" i="16"/>
  <c r="T168" i="16"/>
  <c r="L169" i="16"/>
  <c r="C169" i="16"/>
  <c r="E169" i="16"/>
  <c r="G169" i="16"/>
  <c r="I169" i="16"/>
  <c r="B170" i="16"/>
  <c r="S113" i="16"/>
  <c r="U113" i="16"/>
  <c r="M114" i="16"/>
  <c r="D114" i="16"/>
  <c r="J114" i="16"/>
  <c r="N114" i="16" s="1"/>
  <c r="P114" i="16"/>
  <c r="Q114" i="16"/>
  <c r="R114" i="16"/>
  <c r="T114" i="16"/>
  <c r="L115" i="16"/>
  <c r="C115" i="16"/>
  <c r="K115" i="16" s="1"/>
  <c r="E115" i="16"/>
  <c r="F115" i="16"/>
  <c r="O115" i="16" s="1"/>
  <c r="G115" i="16"/>
  <c r="I115" i="16"/>
  <c r="B116" i="16"/>
  <c r="C85" i="7"/>
  <c r="G85" i="7" s="1"/>
  <c r="F51" i="5"/>
  <c r="G51" i="5"/>
  <c r="H51" i="5"/>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V52" i="4"/>
  <c r="T52" i="4"/>
  <c r="M52" i="4"/>
  <c r="C53" i="4"/>
  <c r="E53" i="4"/>
  <c r="F53" i="4"/>
  <c r="C53" i="5" s="1"/>
  <c r="E53" i="5" s="1"/>
  <c r="G53" i="4"/>
  <c r="K53" i="4"/>
  <c r="I53" i="4"/>
  <c r="L53" i="4"/>
  <c r="B54" i="4"/>
  <c r="B53" i="5"/>
  <c r="U51" i="4"/>
  <c r="S51" i="4"/>
  <c r="U4246" i="16"/>
  <c r="S4246" i="16"/>
  <c r="U4138" i="16"/>
  <c r="S4138" i="16"/>
  <c r="U3784" i="16"/>
  <c r="S3784" i="16"/>
  <c r="U3730" i="16"/>
  <c r="S3730" i="16"/>
  <c r="S3460" i="16"/>
  <c r="U3460" i="16"/>
  <c r="U3406" i="16"/>
  <c r="S3406" i="16"/>
  <c r="U3352" i="16"/>
  <c r="S3352" i="16"/>
  <c r="U3244" i="16"/>
  <c r="S3244" i="16"/>
  <c r="U3190" i="16"/>
  <c r="S3190" i="16"/>
  <c r="U3136" i="16"/>
  <c r="S3136" i="16"/>
  <c r="U3082" i="16"/>
  <c r="S3082" i="16"/>
  <c r="U3028" i="16"/>
  <c r="S3028" i="16"/>
  <c r="U2866" i="16"/>
  <c r="S2866" i="16"/>
  <c r="U2596" i="16"/>
  <c r="S2596" i="16"/>
  <c r="U2542" i="16"/>
  <c r="S2542" i="16"/>
  <c r="U2488" i="16"/>
  <c r="S2488" i="16"/>
  <c r="U2272" i="16"/>
  <c r="S2272" i="16"/>
  <c r="S2110" i="16"/>
  <c r="U2110" i="16"/>
  <c r="U2002" i="16"/>
  <c r="S2002" i="16"/>
  <c r="S1678" i="16"/>
  <c r="U1678" i="16"/>
  <c r="U1408" i="16"/>
  <c r="S1408" i="16"/>
  <c r="U1300" i="16"/>
  <c r="S1300" i="16"/>
  <c r="U1084" i="16"/>
  <c r="S1084" i="16"/>
  <c r="U868" i="16"/>
  <c r="S868" i="16"/>
  <c r="U814" i="16"/>
  <c r="S814" i="16"/>
  <c r="S544" i="16"/>
  <c r="U544" i="16"/>
  <c r="U274" i="16"/>
  <c r="S274" i="16"/>
  <c r="U220" i="16"/>
  <c r="S220" i="16"/>
  <c r="M4601" i="16"/>
  <c r="N4601" i="16"/>
  <c r="M4547" i="16"/>
  <c r="N4547" i="16"/>
  <c r="N4139" i="16"/>
  <c r="M4139" i="16"/>
  <c r="N3731" i="16"/>
  <c r="M3731" i="16"/>
  <c r="M3569" i="16"/>
  <c r="N3569" i="16"/>
  <c r="M3461" i="16"/>
  <c r="N3461" i="16"/>
  <c r="N3191" i="16"/>
  <c r="M3191" i="16"/>
  <c r="N3137" i="16"/>
  <c r="M3137" i="16"/>
  <c r="N3029" i="16"/>
  <c r="M3029" i="16"/>
  <c r="M2921" i="16"/>
  <c r="N2921" i="16"/>
  <c r="M2651" i="16"/>
  <c r="N2651" i="16"/>
  <c r="M2597" i="16"/>
  <c r="N2597" i="16"/>
  <c r="M2543" i="16"/>
  <c r="N2543" i="16"/>
  <c r="M2273" i="16"/>
  <c r="N2273" i="16"/>
  <c r="M2057" i="16"/>
  <c r="N2057" i="16"/>
  <c r="M2003" i="16"/>
  <c r="N2003" i="16"/>
  <c r="M1949" i="16"/>
  <c r="N1949" i="16"/>
  <c r="M1895" i="16"/>
  <c r="N1895" i="16"/>
  <c r="M1841" i="16"/>
  <c r="N1841" i="16"/>
  <c r="M1787" i="16"/>
  <c r="N1787" i="16"/>
  <c r="M1517" i="16"/>
  <c r="N1517" i="16"/>
  <c r="M1463" i="16"/>
  <c r="N1463" i="16"/>
  <c r="M1409" i="16"/>
  <c r="N1409" i="16"/>
  <c r="M1193" i="16"/>
  <c r="N1193" i="16"/>
  <c r="M1139" i="16"/>
  <c r="N1139" i="16"/>
  <c r="M869" i="16"/>
  <c r="N869" i="16"/>
  <c r="M599" i="16"/>
  <c r="N599" i="16"/>
  <c r="N329" i="16"/>
  <c r="M329" i="16"/>
  <c r="K4548" i="16"/>
  <c r="F4548" i="16"/>
  <c r="F4248" i="16"/>
  <c r="O4248" i="16" s="1"/>
  <c r="K4248" i="16"/>
  <c r="K3732" i="16"/>
  <c r="F3732" i="16"/>
  <c r="O3732" i="16" s="1"/>
  <c r="K3516" i="16"/>
  <c r="F3516" i="16"/>
  <c r="O3516" i="16" s="1"/>
  <c r="F3462" i="16"/>
  <c r="O3462" i="16" s="1"/>
  <c r="K3462" i="16"/>
  <c r="K3408" i="16"/>
  <c r="F3408" i="16"/>
  <c r="O3408" i="16" s="1"/>
  <c r="F3246" i="16"/>
  <c r="O3246" i="16" s="1"/>
  <c r="K3246" i="16"/>
  <c r="K3138" i="16"/>
  <c r="F3138" i="16"/>
  <c r="O3138" i="16" s="1"/>
  <c r="K3030" i="16"/>
  <c r="F3030" i="16"/>
  <c r="O3030" i="16" s="1"/>
  <c r="K2706" i="16"/>
  <c r="F2706" i="16"/>
  <c r="O2706" i="16" s="1"/>
  <c r="K2382" i="16"/>
  <c r="F2382" i="16"/>
  <c r="O2382" i="16" s="1"/>
  <c r="K2328" i="16"/>
  <c r="F2328" i="16"/>
  <c r="O2328" i="16" s="1"/>
  <c r="K2220" i="16"/>
  <c r="F2220" i="16"/>
  <c r="O2220" i="16" s="1"/>
  <c r="K2112" i="16"/>
  <c r="F2112" i="16"/>
  <c r="O2112" i="16" s="1"/>
  <c r="F1896" i="16"/>
  <c r="O1896" i="16" s="1"/>
  <c r="K1896" i="16"/>
  <c r="F1842" i="16"/>
  <c r="O1842" i="16" s="1"/>
  <c r="K1842" i="16"/>
  <c r="F1788" i="16"/>
  <c r="O1788" i="16" s="1"/>
  <c r="K1788" i="16"/>
  <c r="K1572" i="16"/>
  <c r="F1572" i="16"/>
  <c r="O1572" i="16" s="1"/>
  <c r="K1410" i="16"/>
  <c r="F1410" i="16"/>
  <c r="O1410" i="16" s="1"/>
  <c r="K1302" i="16"/>
  <c r="F1302" i="16"/>
  <c r="O1302" i="16" s="1"/>
  <c r="K1249" i="16"/>
  <c r="F1249" i="16"/>
  <c r="O1249" i="16" s="1"/>
  <c r="K1032" i="16"/>
  <c r="F1032" i="16"/>
  <c r="O1032" i="16" s="1"/>
  <c r="K816" i="16"/>
  <c r="F816" i="16"/>
  <c r="O816" i="16" s="1"/>
  <c r="F762" i="16"/>
  <c r="O762" i="16" s="1"/>
  <c r="K762" i="16"/>
  <c r="K492" i="16"/>
  <c r="F492" i="16"/>
  <c r="O492" i="16" s="1"/>
  <c r="F438" i="16"/>
  <c r="O438" i="16" s="1"/>
  <c r="K438" i="16"/>
  <c r="K384" i="16"/>
  <c r="F384" i="16"/>
  <c r="O384" i="16" s="1"/>
  <c r="K330" i="16"/>
  <c r="F330" i="16"/>
  <c r="O330" i="16" s="1"/>
  <c r="F276" i="16"/>
  <c r="O276" i="16" s="1"/>
  <c r="K276" i="16"/>
  <c r="F222" i="16"/>
  <c r="O222" i="16" s="1"/>
  <c r="K222" i="16"/>
  <c r="D4657" i="16" l="1"/>
  <c r="F4657" i="16"/>
  <c r="O4657" i="16" s="1"/>
  <c r="K3679" i="16"/>
  <c r="F3679" i="16"/>
  <c r="O3679" i="16" s="1"/>
  <c r="K3517" i="16"/>
  <c r="F3517" i="16"/>
  <c r="O3517" i="16" s="1"/>
  <c r="K3301" i="16"/>
  <c r="F3301" i="16"/>
  <c r="O3301" i="16" s="1"/>
  <c r="K2599" i="16"/>
  <c r="F2599" i="16"/>
  <c r="O2599" i="16" s="1"/>
  <c r="K2437" i="16"/>
  <c r="F2437" i="16"/>
  <c r="O2437" i="16" s="1"/>
  <c r="K1573" i="16"/>
  <c r="F1573" i="16"/>
  <c r="O1573" i="16" s="1"/>
  <c r="K1033" i="16"/>
  <c r="F1033" i="16"/>
  <c r="O1033" i="16" s="1"/>
  <c r="K925" i="16"/>
  <c r="F925" i="16"/>
  <c r="O925" i="16" s="1"/>
  <c r="K493" i="16"/>
  <c r="F493" i="16"/>
  <c r="O493" i="16" s="1"/>
  <c r="K277" i="16"/>
  <c r="F277" i="16"/>
  <c r="O277" i="16" s="1"/>
  <c r="S4710" i="16"/>
  <c r="U4710" i="16"/>
  <c r="M4711" i="16"/>
  <c r="D4711" i="16"/>
  <c r="J4711" i="16"/>
  <c r="N4711" i="16" s="1"/>
  <c r="P4711" i="16"/>
  <c r="Q4711" i="16"/>
  <c r="R4711" i="16"/>
  <c r="L4712" i="16"/>
  <c r="C4712" i="16"/>
  <c r="E4712" i="16"/>
  <c r="G4712" i="16"/>
  <c r="I4712" i="16"/>
  <c r="B4713" i="16"/>
  <c r="P4657" i="16"/>
  <c r="Q4657" i="16"/>
  <c r="R4657" i="16"/>
  <c r="C4658" i="16"/>
  <c r="E4658" i="16"/>
  <c r="G4658" i="16"/>
  <c r="B4659" i="16"/>
  <c r="D4603" i="16"/>
  <c r="J4603" i="16"/>
  <c r="P4603" i="16"/>
  <c r="Q4603" i="16"/>
  <c r="R4603" i="16"/>
  <c r="L4604" i="16"/>
  <c r="C4604" i="16"/>
  <c r="E4604" i="16"/>
  <c r="G4604" i="16"/>
  <c r="I4604" i="16"/>
  <c r="B4605" i="16"/>
  <c r="D4549" i="16"/>
  <c r="J4549" i="16"/>
  <c r="P4549" i="16"/>
  <c r="Q4549" i="16"/>
  <c r="R4549" i="16"/>
  <c r="L4550" i="16"/>
  <c r="C4550" i="16"/>
  <c r="E4550" i="16"/>
  <c r="G4550" i="16"/>
  <c r="I4550" i="16"/>
  <c r="B4551" i="16"/>
  <c r="M4249" i="16"/>
  <c r="D4249" i="16"/>
  <c r="J4249" i="16"/>
  <c r="N4249" i="16" s="1"/>
  <c r="P4249" i="16"/>
  <c r="Q4249" i="16"/>
  <c r="R4249" i="16"/>
  <c r="T4249" i="16"/>
  <c r="L4250" i="16"/>
  <c r="C4250" i="16"/>
  <c r="E4250" i="16"/>
  <c r="G4250" i="16"/>
  <c r="I4250" i="16"/>
  <c r="B4251" i="16"/>
  <c r="P4195" i="16"/>
  <c r="Q4195" i="16"/>
  <c r="R4195" i="16"/>
  <c r="T4195" i="16"/>
  <c r="E4196" i="16"/>
  <c r="I4196" i="16"/>
  <c r="B4197" i="16"/>
  <c r="C4196" i="16"/>
  <c r="K4196" i="16" s="1"/>
  <c r="F4196" i="16"/>
  <c r="O4196" i="16" s="1"/>
  <c r="G4196" i="16"/>
  <c r="L4196" i="16"/>
  <c r="D4195" i="16"/>
  <c r="J4195" i="16"/>
  <c r="U4194" i="16"/>
  <c r="S4194" i="16"/>
  <c r="M4141" i="16"/>
  <c r="D4141" i="16"/>
  <c r="J4141" i="16"/>
  <c r="N4141" i="16" s="1"/>
  <c r="P4141" i="16"/>
  <c r="Q4141" i="16"/>
  <c r="R4141" i="16"/>
  <c r="T4141" i="16"/>
  <c r="I4142" i="16"/>
  <c r="C4142" i="16"/>
  <c r="E4142" i="16"/>
  <c r="G4142" i="16"/>
  <c r="L4142" i="16"/>
  <c r="B4143" i="16"/>
  <c r="U4140" i="16"/>
  <c r="S4140" i="16"/>
  <c r="U4086" i="16"/>
  <c r="S4086" i="16"/>
  <c r="D4087" i="16"/>
  <c r="J4087" i="16"/>
  <c r="P4087" i="16"/>
  <c r="Q4087" i="16"/>
  <c r="R4087" i="16"/>
  <c r="T4087" i="16"/>
  <c r="L4088" i="16"/>
  <c r="C4088" i="16"/>
  <c r="K4088" i="16" s="1"/>
  <c r="E4088" i="16"/>
  <c r="F4088" i="16"/>
  <c r="O4088" i="16" s="1"/>
  <c r="G4088" i="16"/>
  <c r="I4088" i="16"/>
  <c r="B4089" i="16"/>
  <c r="U3786" i="16"/>
  <c r="S3786" i="16"/>
  <c r="M3787" i="16"/>
  <c r="D3787" i="16"/>
  <c r="J3787" i="16"/>
  <c r="N3787" i="16" s="1"/>
  <c r="P3787" i="16"/>
  <c r="Q3787" i="16"/>
  <c r="R3787" i="16"/>
  <c r="T3787" i="16"/>
  <c r="L3788" i="16"/>
  <c r="C3788" i="16"/>
  <c r="E3788" i="16"/>
  <c r="G3788" i="16"/>
  <c r="I3788" i="16"/>
  <c r="B3789" i="16"/>
  <c r="D3733" i="16"/>
  <c r="J3733" i="16"/>
  <c r="P3733" i="16"/>
  <c r="Q3733" i="16"/>
  <c r="R3733" i="16"/>
  <c r="T3733" i="16"/>
  <c r="L3734" i="16"/>
  <c r="C3734" i="16"/>
  <c r="K3734" i="16" s="1"/>
  <c r="E3734" i="16"/>
  <c r="F3734" i="16"/>
  <c r="O3734" i="16" s="1"/>
  <c r="G3734" i="16"/>
  <c r="B3735" i="16"/>
  <c r="I3734" i="16"/>
  <c r="U3678" i="16"/>
  <c r="S3678" i="16"/>
  <c r="M3679" i="16"/>
  <c r="D3679" i="16"/>
  <c r="J3679" i="16"/>
  <c r="N3679" i="16" s="1"/>
  <c r="P3679" i="16"/>
  <c r="Q3679" i="16"/>
  <c r="R3679" i="16"/>
  <c r="T3679" i="16"/>
  <c r="L3680" i="16"/>
  <c r="C3680" i="16"/>
  <c r="K3680" i="16" s="1"/>
  <c r="E3680" i="16"/>
  <c r="F3680" i="16"/>
  <c r="O3680" i="16" s="1"/>
  <c r="G3680" i="16"/>
  <c r="I3680" i="16"/>
  <c r="B3681"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M3517" i="16"/>
  <c r="D3517" i="16"/>
  <c r="J3517" i="16"/>
  <c r="N3517" i="16" s="1"/>
  <c r="P3517" i="16"/>
  <c r="Q3517" i="16"/>
  <c r="R3517" i="16"/>
  <c r="T3517" i="16"/>
  <c r="L3518" i="16"/>
  <c r="C3518" i="16"/>
  <c r="E3518" i="16"/>
  <c r="G3518" i="16"/>
  <c r="I3518" i="16"/>
  <c r="B3519" i="16"/>
  <c r="D3463" i="16"/>
  <c r="J3463" i="16"/>
  <c r="P3463" i="16"/>
  <c r="Q3463" i="16"/>
  <c r="R3463" i="16"/>
  <c r="T3463" i="16"/>
  <c r="L3464" i="16"/>
  <c r="C3464" i="16"/>
  <c r="E3464" i="16"/>
  <c r="G3464" i="16"/>
  <c r="B3465" i="16"/>
  <c r="I3464" i="16"/>
  <c r="D3409" i="16"/>
  <c r="J3409" i="16"/>
  <c r="P3409" i="16"/>
  <c r="Q3409" i="16"/>
  <c r="R3409" i="16"/>
  <c r="T3409" i="16"/>
  <c r="L3410" i="16"/>
  <c r="C3410" i="16"/>
  <c r="E3410" i="16"/>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J3247" i="16"/>
  <c r="D3247" i="16"/>
  <c r="P3247" i="16"/>
  <c r="Q3247" i="16"/>
  <c r="R3247" i="16"/>
  <c r="T3247" i="16"/>
  <c r="L3248" i="16"/>
  <c r="E3248" i="16"/>
  <c r="I3248" i="16"/>
  <c r="B3249" i="16"/>
  <c r="C3248" i="16"/>
  <c r="K3248" i="16" s="1"/>
  <c r="F3248" i="16"/>
  <c r="O3248" i="16" s="1"/>
  <c r="G3248" i="16"/>
  <c r="U3192" i="16"/>
  <c r="S3192" i="16"/>
  <c r="P3193" i="16"/>
  <c r="Q3193" i="16"/>
  <c r="R3193" i="16"/>
  <c r="T3193" i="16"/>
  <c r="L3194" i="16"/>
  <c r="C3194" i="16"/>
  <c r="G3194" i="16"/>
  <c r="E3194" i="16"/>
  <c r="B3195" i="16"/>
  <c r="I3194" i="16"/>
  <c r="D3193" i="16"/>
  <c r="J3193" i="16"/>
  <c r="P3139" i="16"/>
  <c r="Q3139" i="16"/>
  <c r="R3139" i="16"/>
  <c r="T3139" i="16"/>
  <c r="L3140" i="16"/>
  <c r="I3140" i="16"/>
  <c r="B3141" i="16"/>
  <c r="C3140" i="16"/>
  <c r="K3140" i="16" s="1"/>
  <c r="G3140" i="16"/>
  <c r="E3140" i="16"/>
  <c r="F3140" i="16"/>
  <c r="O3140" i="16" s="1"/>
  <c r="J3139" i="16"/>
  <c r="D3139" i="16"/>
  <c r="U3084" i="16"/>
  <c r="S3084" i="16"/>
  <c r="L3086" i="16"/>
  <c r="E3086" i="16"/>
  <c r="B3087" i="16"/>
  <c r="C3086" i="16"/>
  <c r="G3086" i="16"/>
  <c r="I3086" i="16"/>
  <c r="J3085" i="16"/>
  <c r="D3085" i="16"/>
  <c r="P3085" i="16"/>
  <c r="Q3085" i="16"/>
  <c r="R3085" i="16"/>
  <c r="T3085" i="16"/>
  <c r="P3031" i="16"/>
  <c r="Q3031" i="16"/>
  <c r="R3031" i="16"/>
  <c r="T3031" i="16"/>
  <c r="L3032" i="16"/>
  <c r="B3033" i="16"/>
  <c r="E3032" i="16"/>
  <c r="I3032" i="16"/>
  <c r="G3032" i="16"/>
  <c r="C3032" i="16"/>
  <c r="J3031" i="16"/>
  <c r="D3031" i="16"/>
  <c r="U2976" i="16"/>
  <c r="S2976" i="16"/>
  <c r="M2977" i="16"/>
  <c r="D2977" i="16"/>
  <c r="J2977" i="16"/>
  <c r="N2977" i="16" s="1"/>
  <c r="P2977" i="16"/>
  <c r="Q2977" i="16"/>
  <c r="R2977" i="16"/>
  <c r="T2977" i="16"/>
  <c r="L2978" i="16"/>
  <c r="C2978" i="16"/>
  <c r="K2978" i="16" s="1"/>
  <c r="E2978" i="16"/>
  <c r="F2978" i="16"/>
  <c r="O2978" i="16" s="1"/>
  <c r="G2978" i="16"/>
  <c r="I2978" i="16"/>
  <c r="B2979" i="16"/>
  <c r="U2922" i="16"/>
  <c r="S2922" i="16"/>
  <c r="D2923" i="16"/>
  <c r="J2923" i="16"/>
  <c r="P2923" i="16"/>
  <c r="Q2923" i="16"/>
  <c r="R2923" i="16"/>
  <c r="T2923" i="16"/>
  <c r="L2924" i="16"/>
  <c r="C2924" i="16"/>
  <c r="K2924" i="16" s="1"/>
  <c r="E2924" i="16"/>
  <c r="F2924" i="16"/>
  <c r="O2924" i="16" s="1"/>
  <c r="G2924" i="16"/>
  <c r="I2924" i="16"/>
  <c r="B2925" i="16"/>
  <c r="U2868" i="16"/>
  <c r="S2868" i="16"/>
  <c r="D2869" i="16"/>
  <c r="J2869" i="16"/>
  <c r="P2869" i="16"/>
  <c r="Q2869" i="16"/>
  <c r="R2869" i="16"/>
  <c r="T2869" i="16"/>
  <c r="L2870" i="16"/>
  <c r="C2870" i="16"/>
  <c r="E2870" i="16"/>
  <c r="G2870" i="16"/>
  <c r="I2870" i="16"/>
  <c r="B2871" i="16"/>
  <c r="M2815" i="16"/>
  <c r="D2815" i="16"/>
  <c r="J2815" i="16"/>
  <c r="N2815" i="16" s="1"/>
  <c r="S2815" i="16" s="1"/>
  <c r="P2815" i="16"/>
  <c r="Q2815" i="16"/>
  <c r="R2815" i="16"/>
  <c r="T2815" i="16"/>
  <c r="U2815" i="16" s="1"/>
  <c r="L2816" i="16"/>
  <c r="C2816" i="16"/>
  <c r="E2816" i="16"/>
  <c r="G2816" i="16"/>
  <c r="I2816" i="16"/>
  <c r="B2817" i="16"/>
  <c r="U2760" i="16"/>
  <c r="S2760" i="16"/>
  <c r="M2761" i="16"/>
  <c r="D2761" i="16"/>
  <c r="J2761" i="16"/>
  <c r="N2761" i="16" s="1"/>
  <c r="P2761" i="16"/>
  <c r="Q2761" i="16"/>
  <c r="R2761" i="16"/>
  <c r="T2761" i="16"/>
  <c r="L2762" i="16"/>
  <c r="C2762" i="16"/>
  <c r="K2762" i="16" s="1"/>
  <c r="E2762" i="16"/>
  <c r="F2762" i="16"/>
  <c r="O2762" i="16" s="1"/>
  <c r="G2762" i="16"/>
  <c r="I2762" i="16"/>
  <c r="B2763" i="16"/>
  <c r="M2707" i="16"/>
  <c r="D2707" i="16"/>
  <c r="J2707" i="16"/>
  <c r="N2707" i="16" s="1"/>
  <c r="P2707" i="16"/>
  <c r="Q2707" i="16"/>
  <c r="R2707" i="16"/>
  <c r="T2707" i="16"/>
  <c r="L2708" i="16"/>
  <c r="C2708" i="16"/>
  <c r="K2708" i="16" s="1"/>
  <c r="E2708" i="16"/>
  <c r="F2708" i="16"/>
  <c r="O2708" i="16" s="1"/>
  <c r="G2708" i="16"/>
  <c r="I2708" i="16"/>
  <c r="B2709" i="16"/>
  <c r="U2652" i="16"/>
  <c r="S2652" i="16"/>
  <c r="D2653" i="16"/>
  <c r="J2653" i="16"/>
  <c r="P2653" i="16"/>
  <c r="Q2653" i="16"/>
  <c r="R2653" i="16"/>
  <c r="T2653" i="16"/>
  <c r="L2654" i="16"/>
  <c r="C2654" i="16"/>
  <c r="K2654" i="16" s="1"/>
  <c r="E2654" i="16"/>
  <c r="F2654" i="16"/>
  <c r="O2654" i="16" s="1"/>
  <c r="G2654" i="16"/>
  <c r="I2654" i="16"/>
  <c r="B2655" i="16"/>
  <c r="U2598" i="16"/>
  <c r="S2598" i="16"/>
  <c r="M2599" i="16"/>
  <c r="D2599" i="16"/>
  <c r="J2599" i="16"/>
  <c r="N2599" i="16" s="1"/>
  <c r="P2599" i="16"/>
  <c r="Q2599" i="16"/>
  <c r="R2599" i="16"/>
  <c r="T2599" i="16"/>
  <c r="L2600" i="16"/>
  <c r="C2600" i="16"/>
  <c r="E2600" i="16"/>
  <c r="G2600" i="16"/>
  <c r="I2600" i="16"/>
  <c r="B2601" i="16"/>
  <c r="S2544" i="16"/>
  <c r="U2544" i="16"/>
  <c r="M2545" i="16"/>
  <c r="D2545" i="16"/>
  <c r="J2545" i="16"/>
  <c r="N2545" i="16" s="1"/>
  <c r="P2545" i="16"/>
  <c r="Q2545" i="16"/>
  <c r="R2545" i="16"/>
  <c r="T2545" i="16"/>
  <c r="L2546" i="16"/>
  <c r="C2546" i="16"/>
  <c r="E2546" i="16"/>
  <c r="G2546" i="16"/>
  <c r="I2546" i="16"/>
  <c r="B2547" i="16"/>
  <c r="U2490" i="16"/>
  <c r="S2490" i="16"/>
  <c r="M2491" i="16"/>
  <c r="D2491" i="16"/>
  <c r="J2491" i="16"/>
  <c r="N2491" i="16" s="1"/>
  <c r="Q2491" i="16"/>
  <c r="P2491" i="16"/>
  <c r="R2491" i="16"/>
  <c r="T2491" i="16"/>
  <c r="L2492" i="16"/>
  <c r="C2492" i="16"/>
  <c r="K2492" i="16" s="1"/>
  <c r="E2492" i="16"/>
  <c r="F2492" i="16"/>
  <c r="O2492" i="16" s="1"/>
  <c r="G2492" i="16"/>
  <c r="I2492" i="16"/>
  <c r="B2493" i="16"/>
  <c r="U2436" i="16"/>
  <c r="S2436" i="16"/>
  <c r="M2437" i="16"/>
  <c r="D2437" i="16"/>
  <c r="J2437" i="16"/>
  <c r="N2437" i="16" s="1"/>
  <c r="Q2437" i="16"/>
  <c r="P2437" i="16"/>
  <c r="R2437" i="16"/>
  <c r="T2437" i="16"/>
  <c r="L2438" i="16"/>
  <c r="C2438" i="16"/>
  <c r="K2438" i="16" s="1"/>
  <c r="E2438" i="16"/>
  <c r="F2438" i="16"/>
  <c r="O2438" i="16" s="1"/>
  <c r="G2438" i="16"/>
  <c r="I2438" i="16"/>
  <c r="B2439" i="16"/>
  <c r="M2383" i="16"/>
  <c r="D2383" i="16"/>
  <c r="J2383" i="16"/>
  <c r="N2383" i="16" s="1"/>
  <c r="P2383" i="16"/>
  <c r="Q2383" i="16"/>
  <c r="R2383" i="16"/>
  <c r="T2383" i="16"/>
  <c r="L2384" i="16"/>
  <c r="C2384" i="16"/>
  <c r="E2384" i="16"/>
  <c r="G2384" i="16"/>
  <c r="I2384" i="16"/>
  <c r="B2385" i="16"/>
  <c r="D2329" i="16"/>
  <c r="J2329" i="16"/>
  <c r="Q2329" i="16"/>
  <c r="P2329" i="16"/>
  <c r="R2329" i="16"/>
  <c r="T2329" i="16"/>
  <c r="L2330" i="16"/>
  <c r="C2330" i="16"/>
  <c r="E2330" i="16"/>
  <c r="G2330" i="16"/>
  <c r="I2330" i="16"/>
  <c r="B2331" i="16"/>
  <c r="U2274" i="16"/>
  <c r="S2274" i="16"/>
  <c r="M2275" i="16"/>
  <c r="D2275" i="16"/>
  <c r="J2275" i="16"/>
  <c r="N2275" i="16" s="1"/>
  <c r="P2275" i="16"/>
  <c r="Q2275" i="16"/>
  <c r="R2275" i="16"/>
  <c r="T2275" i="16"/>
  <c r="L2276" i="16"/>
  <c r="C2276" i="16"/>
  <c r="E2276" i="16"/>
  <c r="G2276" i="16"/>
  <c r="I2276" i="16"/>
  <c r="B2277" i="16"/>
  <c r="P2221" i="16"/>
  <c r="Q2221" i="16"/>
  <c r="R2221" i="16"/>
  <c r="T2221" i="16"/>
  <c r="L2222" i="16"/>
  <c r="E2222" i="16"/>
  <c r="I2222" i="16"/>
  <c r="C2222" i="16"/>
  <c r="K2222" i="16" s="1"/>
  <c r="F2222" i="16"/>
  <c r="O2222" i="16" s="1"/>
  <c r="G2222" i="16"/>
  <c r="B2223" i="16"/>
  <c r="D2221" i="16"/>
  <c r="J2221" i="16"/>
  <c r="U2166" i="16"/>
  <c r="S2166" i="16"/>
  <c r="P2167" i="16"/>
  <c r="Q2167" i="16"/>
  <c r="R2167" i="16"/>
  <c r="T2167" i="16"/>
  <c r="J2167" i="16"/>
  <c r="D2167" i="16"/>
  <c r="L2168" i="16"/>
  <c r="B2169" i="16"/>
  <c r="C2168" i="16"/>
  <c r="E2168" i="16"/>
  <c r="G2168" i="16"/>
  <c r="I2168" i="16"/>
  <c r="D2113" i="16"/>
  <c r="J2113" i="16"/>
  <c r="P2113" i="16"/>
  <c r="Q2113" i="16"/>
  <c r="R2113" i="16"/>
  <c r="T2113" i="16"/>
  <c r="L2114" i="16"/>
  <c r="C2114" i="16"/>
  <c r="K2114" i="16" s="1"/>
  <c r="E2114" i="16"/>
  <c r="F2114" i="16"/>
  <c r="O2114" i="16" s="1"/>
  <c r="G2114" i="16"/>
  <c r="I2114" i="16"/>
  <c r="B2115" i="16"/>
  <c r="U2058" i="16"/>
  <c r="S2058" i="16"/>
  <c r="M2059" i="16"/>
  <c r="D2059" i="16"/>
  <c r="J2059" i="16"/>
  <c r="N2059" i="16" s="1"/>
  <c r="P2059" i="16"/>
  <c r="Q2059" i="16"/>
  <c r="R2059" i="16"/>
  <c r="T2059" i="16"/>
  <c r="L2060" i="16"/>
  <c r="C2060" i="16"/>
  <c r="E2060" i="16"/>
  <c r="G2060" i="16"/>
  <c r="I2060" i="16"/>
  <c r="B2061" i="16"/>
  <c r="U2004" i="16"/>
  <c r="S2004" i="16"/>
  <c r="D2005" i="16"/>
  <c r="J2005" i="16"/>
  <c r="P2005" i="16"/>
  <c r="Q2005" i="16"/>
  <c r="R2005" i="16"/>
  <c r="T2005" i="16"/>
  <c r="L2006" i="16"/>
  <c r="C2006" i="16"/>
  <c r="E2006" i="16"/>
  <c r="G2006" i="16"/>
  <c r="I2006" i="16"/>
  <c r="B2007" i="16"/>
  <c r="U1950" i="16"/>
  <c r="S1950" i="16"/>
  <c r="M1951" i="16"/>
  <c r="D1951" i="16"/>
  <c r="J1951" i="16"/>
  <c r="N1951" i="16" s="1"/>
  <c r="P1951" i="16"/>
  <c r="Q1951" i="16"/>
  <c r="R1951" i="16"/>
  <c r="T1951" i="16"/>
  <c r="L1952" i="16"/>
  <c r="C1952" i="16"/>
  <c r="E1952" i="16"/>
  <c r="G1952" i="16"/>
  <c r="I1952" i="16"/>
  <c r="B1953" i="16"/>
  <c r="D1897" i="16"/>
  <c r="J1897" i="16"/>
  <c r="P1897" i="16"/>
  <c r="Q1897" i="16"/>
  <c r="R1897" i="16"/>
  <c r="T1897" i="16"/>
  <c r="L1898" i="16"/>
  <c r="C1898" i="16"/>
  <c r="K1898" i="16" s="1"/>
  <c r="E1898" i="16"/>
  <c r="F1898" i="16"/>
  <c r="O1898" i="16" s="1"/>
  <c r="G1898" i="16"/>
  <c r="I1898" i="16"/>
  <c r="B1899" i="16"/>
  <c r="M1843" i="16"/>
  <c r="D1843" i="16"/>
  <c r="J1843" i="16"/>
  <c r="N1843" i="16" s="1"/>
  <c r="P1843" i="16"/>
  <c r="Q1843" i="16"/>
  <c r="R1843" i="16"/>
  <c r="T1843" i="16"/>
  <c r="L1844" i="16"/>
  <c r="C1844" i="16"/>
  <c r="K1844" i="16" s="1"/>
  <c r="E1844" i="16"/>
  <c r="F1844" i="16"/>
  <c r="O1844" i="16" s="1"/>
  <c r="G1844" i="16"/>
  <c r="I1844" i="16"/>
  <c r="B1845" i="16"/>
  <c r="D1789" i="16"/>
  <c r="J1789" i="16"/>
  <c r="P1789" i="16"/>
  <c r="Q1789" i="16"/>
  <c r="R1789" i="16"/>
  <c r="T1789" i="16"/>
  <c r="L1790" i="16"/>
  <c r="C1790" i="16"/>
  <c r="K1790" i="16" s="1"/>
  <c r="E1790" i="16"/>
  <c r="F1790" i="16"/>
  <c r="O1790" i="16" s="1"/>
  <c r="G1790" i="16"/>
  <c r="I1790" i="16"/>
  <c r="B1791" i="16"/>
  <c r="U1734" i="16"/>
  <c r="S1734" i="16"/>
  <c r="M1735" i="16"/>
  <c r="D1735" i="16"/>
  <c r="J1735" i="16"/>
  <c r="N1735" i="16" s="1"/>
  <c r="P1735" i="16"/>
  <c r="Q1735" i="16"/>
  <c r="R1735" i="16"/>
  <c r="T1735" i="16"/>
  <c r="L1736" i="16"/>
  <c r="C1736" i="16"/>
  <c r="E1736" i="16"/>
  <c r="G1736" i="16"/>
  <c r="I1736" i="16"/>
  <c r="B1737" i="16"/>
  <c r="S1680" i="16"/>
  <c r="U1680" i="16"/>
  <c r="M1681" i="16"/>
  <c r="D1681" i="16"/>
  <c r="J1681" i="16"/>
  <c r="N1681" i="16" s="1"/>
  <c r="P1681" i="16"/>
  <c r="Q1681" i="16"/>
  <c r="R1681" i="16"/>
  <c r="T1681" i="16"/>
  <c r="L1682" i="16"/>
  <c r="C1682" i="16"/>
  <c r="K1682" i="16" s="1"/>
  <c r="E1682" i="16"/>
  <c r="F1682" i="16"/>
  <c r="O1682" i="16" s="1"/>
  <c r="G1682" i="16"/>
  <c r="I1682" i="16"/>
  <c r="B1683" i="16"/>
  <c r="U1626" i="16"/>
  <c r="S1626" i="16"/>
  <c r="M1627" i="16"/>
  <c r="D1627" i="16"/>
  <c r="J1627" i="16"/>
  <c r="N1627" i="16" s="1"/>
  <c r="P1627" i="16"/>
  <c r="Q1627" i="16"/>
  <c r="R1627" i="16"/>
  <c r="T1627" i="16"/>
  <c r="L1628" i="16"/>
  <c r="C1628" i="16"/>
  <c r="K1628" i="16" s="1"/>
  <c r="E1628" i="16"/>
  <c r="F1628" i="16"/>
  <c r="O1628" i="16" s="1"/>
  <c r="G1628" i="16"/>
  <c r="I1628" i="16"/>
  <c r="B1629" i="16"/>
  <c r="M1573" i="16"/>
  <c r="D1573" i="16"/>
  <c r="J1573" i="16"/>
  <c r="N1573" i="16" s="1"/>
  <c r="P1573" i="16"/>
  <c r="Q1573" i="16"/>
  <c r="R1573" i="16"/>
  <c r="T1573" i="16"/>
  <c r="L1574" i="16"/>
  <c r="C1574" i="16"/>
  <c r="E1574" i="16"/>
  <c r="G1574" i="16"/>
  <c r="I1574" i="16"/>
  <c r="B1575" i="16"/>
  <c r="U1518" i="16"/>
  <c r="S1518" i="16"/>
  <c r="P1519" i="16"/>
  <c r="Q1519" i="16"/>
  <c r="R1519" i="16"/>
  <c r="T1519" i="16"/>
  <c r="J1519" i="16"/>
  <c r="D1519" i="16"/>
  <c r="L1520" i="16"/>
  <c r="B1521" i="16"/>
  <c r="C1520" i="16"/>
  <c r="E1520" i="16"/>
  <c r="G1520" i="16"/>
  <c r="I1520" i="16"/>
  <c r="U1464" i="16"/>
  <c r="S1464" i="16"/>
  <c r="M1465" i="16"/>
  <c r="D1465" i="16"/>
  <c r="J1465" i="16"/>
  <c r="N1465" i="16" s="1"/>
  <c r="P1465" i="16"/>
  <c r="Q1465" i="16"/>
  <c r="R1465" i="16"/>
  <c r="T1465" i="16"/>
  <c r="L1466" i="16"/>
  <c r="E1466" i="16"/>
  <c r="G1466" i="16"/>
  <c r="I1466" i="16"/>
  <c r="B1467" i="16"/>
  <c r="C1466" i="16"/>
  <c r="M1411" i="16"/>
  <c r="D1411" i="16"/>
  <c r="J1411" i="16"/>
  <c r="N1411" i="16" s="1"/>
  <c r="Q1411" i="16"/>
  <c r="P1411" i="16"/>
  <c r="R1411" i="16"/>
  <c r="T1411" i="16"/>
  <c r="L1412" i="16"/>
  <c r="E1412" i="16"/>
  <c r="C1412" i="16"/>
  <c r="K1412" i="16" s="1"/>
  <c r="F1412" i="16"/>
  <c r="O1412" i="16" s="1"/>
  <c r="G1412" i="16"/>
  <c r="I1412" i="16"/>
  <c r="B1413" i="16"/>
  <c r="U1356" i="16"/>
  <c r="S1356" i="16"/>
  <c r="M1357" i="16"/>
  <c r="L1358" i="16"/>
  <c r="G1358" i="16"/>
  <c r="C1358" i="16"/>
  <c r="K1358" i="16" s="1"/>
  <c r="F1358" i="16"/>
  <c r="O1358" i="16" s="1"/>
  <c r="B1359" i="16"/>
  <c r="I1358" i="16"/>
  <c r="E1358" i="16"/>
  <c r="D1357" i="16"/>
  <c r="J1357" i="16"/>
  <c r="N1357" i="16" s="1"/>
  <c r="P1357" i="16"/>
  <c r="Q1357" i="16"/>
  <c r="R1357" i="16"/>
  <c r="T1357" i="16"/>
  <c r="J1303" i="16"/>
  <c r="D1303" i="16"/>
  <c r="P1303" i="16"/>
  <c r="Q1303" i="16"/>
  <c r="R1303" i="16"/>
  <c r="T1303" i="16"/>
  <c r="L1304" i="16"/>
  <c r="G1304" i="16"/>
  <c r="B1305" i="16"/>
  <c r="I1304" i="16"/>
  <c r="E1304" i="16"/>
  <c r="C1304" i="16"/>
  <c r="D1250" i="16"/>
  <c r="J1250" i="16"/>
  <c r="P1250" i="16"/>
  <c r="Q1250" i="16"/>
  <c r="R1250" i="16"/>
  <c r="T1250" i="16"/>
  <c r="L1251" i="16"/>
  <c r="B1252" i="16"/>
  <c r="I1251" i="16"/>
  <c r="G1251" i="16"/>
  <c r="C1251" i="16"/>
  <c r="E1251" i="16"/>
  <c r="U1194" i="16"/>
  <c r="S1194" i="16"/>
  <c r="D1195" i="16"/>
  <c r="J1195" i="16"/>
  <c r="P1195" i="16"/>
  <c r="Q1195" i="16"/>
  <c r="R1195" i="16"/>
  <c r="T1195" i="16"/>
  <c r="L1196" i="16"/>
  <c r="C1196" i="16"/>
  <c r="E1196" i="16"/>
  <c r="G1196" i="16"/>
  <c r="I1196" i="16"/>
  <c r="B1197" i="16"/>
  <c r="U1140" i="16"/>
  <c r="S1140" i="16"/>
  <c r="M1141" i="16"/>
  <c r="D1141" i="16"/>
  <c r="J1141" i="16"/>
  <c r="N1141" i="16" s="1"/>
  <c r="P1141" i="16"/>
  <c r="Q1141" i="16"/>
  <c r="R1141" i="16"/>
  <c r="T1141" i="16"/>
  <c r="L1142" i="16"/>
  <c r="C1142" i="16"/>
  <c r="E1142" i="16"/>
  <c r="G1142" i="16"/>
  <c r="I1142" i="16"/>
  <c r="B1143" i="16"/>
  <c r="U1086" i="16"/>
  <c r="S1086" i="16"/>
  <c r="M1087" i="16"/>
  <c r="D1087" i="16"/>
  <c r="J1087" i="16"/>
  <c r="N1087" i="16" s="1"/>
  <c r="P1087" i="16"/>
  <c r="Q1087" i="16"/>
  <c r="R1087" i="16"/>
  <c r="T1087" i="16"/>
  <c r="L1088" i="16"/>
  <c r="C1088" i="16"/>
  <c r="K1088" i="16" s="1"/>
  <c r="E1088" i="16"/>
  <c r="F1088" i="16"/>
  <c r="O1088" i="16" s="1"/>
  <c r="G1088" i="16"/>
  <c r="I1088" i="16"/>
  <c r="B1089" i="16"/>
  <c r="M1033" i="16"/>
  <c r="D1033" i="16"/>
  <c r="J1033" i="16"/>
  <c r="N1033" i="16" s="1"/>
  <c r="P1033" i="16"/>
  <c r="Q1033" i="16"/>
  <c r="R1033" i="16"/>
  <c r="T1033" i="16"/>
  <c r="L1034" i="16"/>
  <c r="C1034" i="16"/>
  <c r="K1034" i="16" s="1"/>
  <c r="E1034" i="16"/>
  <c r="F1034" i="16"/>
  <c r="O1034" i="16" s="1"/>
  <c r="G1034" i="16"/>
  <c r="I1034" i="16"/>
  <c r="B1035" i="16"/>
  <c r="U978" i="16"/>
  <c r="S978" i="16"/>
  <c r="D979" i="16"/>
  <c r="J979" i="16"/>
  <c r="P979" i="16"/>
  <c r="Q979" i="16"/>
  <c r="R979" i="16"/>
  <c r="T979" i="16"/>
  <c r="L980" i="16"/>
  <c r="C980" i="16"/>
  <c r="K980" i="16" s="1"/>
  <c r="E980" i="16"/>
  <c r="F980" i="16"/>
  <c r="O980" i="16" s="1"/>
  <c r="G980" i="16"/>
  <c r="I980" i="16"/>
  <c r="B981" i="16"/>
  <c r="U924" i="16"/>
  <c r="S924" i="16"/>
  <c r="M925" i="16"/>
  <c r="D925" i="16"/>
  <c r="J925" i="16"/>
  <c r="N925" i="16" s="1"/>
  <c r="P925" i="16"/>
  <c r="Q925" i="16"/>
  <c r="R925" i="16"/>
  <c r="T925" i="16"/>
  <c r="L926" i="16"/>
  <c r="C926" i="16"/>
  <c r="E926" i="16"/>
  <c r="G926" i="16"/>
  <c r="I926" i="16"/>
  <c r="B927" i="16"/>
  <c r="U870" i="16"/>
  <c r="S870" i="16"/>
  <c r="M871" i="16"/>
  <c r="D871" i="16"/>
  <c r="J871" i="16"/>
  <c r="N871" i="16" s="1"/>
  <c r="Q871" i="16"/>
  <c r="P871" i="16"/>
  <c r="R871" i="16"/>
  <c r="T871" i="16"/>
  <c r="L872" i="16"/>
  <c r="C872" i="16"/>
  <c r="K872" i="16" s="1"/>
  <c r="E872" i="16"/>
  <c r="F872" i="16"/>
  <c r="O872" i="16" s="1"/>
  <c r="G872" i="16"/>
  <c r="I872" i="16"/>
  <c r="B873" i="16"/>
  <c r="M817" i="16"/>
  <c r="D817" i="16"/>
  <c r="J817" i="16"/>
  <c r="N817" i="16" s="1"/>
  <c r="Q817" i="16"/>
  <c r="P817" i="16"/>
  <c r="R817" i="16"/>
  <c r="T817" i="16"/>
  <c r="L818" i="16"/>
  <c r="C818" i="16"/>
  <c r="K818" i="16" s="1"/>
  <c r="E818" i="16"/>
  <c r="F818" i="16"/>
  <c r="O818" i="16" s="1"/>
  <c r="G818" i="16"/>
  <c r="I818" i="16"/>
  <c r="B819" i="16"/>
  <c r="M763" i="16"/>
  <c r="D763" i="16"/>
  <c r="J763" i="16"/>
  <c r="N763" i="16" s="1"/>
  <c r="Q763" i="16"/>
  <c r="P763" i="16"/>
  <c r="R763" i="16"/>
  <c r="T763" i="16"/>
  <c r="L764" i="16"/>
  <c r="C764" i="16"/>
  <c r="K764" i="16" s="1"/>
  <c r="E764" i="16"/>
  <c r="F764" i="16"/>
  <c r="O764" i="16" s="1"/>
  <c r="G764" i="16"/>
  <c r="I764" i="16"/>
  <c r="B765" i="16"/>
  <c r="U708" i="16"/>
  <c r="S708" i="16"/>
  <c r="D709" i="16"/>
  <c r="J709" i="16"/>
  <c r="P709" i="16"/>
  <c r="Q709" i="16"/>
  <c r="R709" i="16"/>
  <c r="T709" i="16"/>
  <c r="L710" i="16"/>
  <c r="C710" i="16"/>
  <c r="E710" i="16"/>
  <c r="G710" i="16"/>
  <c r="I710" i="16"/>
  <c r="B711" i="16"/>
  <c r="U654" i="16"/>
  <c r="S654" i="16"/>
  <c r="M655" i="16"/>
  <c r="D655" i="16"/>
  <c r="J655" i="16"/>
  <c r="N655" i="16" s="1"/>
  <c r="Q655" i="16"/>
  <c r="P655" i="16"/>
  <c r="R655" i="16"/>
  <c r="T655" i="16"/>
  <c r="L656" i="16"/>
  <c r="C656" i="16"/>
  <c r="K656" i="16" s="1"/>
  <c r="E656" i="16"/>
  <c r="F656" i="16"/>
  <c r="O656" i="16" s="1"/>
  <c r="G656" i="16"/>
  <c r="I656" i="16"/>
  <c r="B657" i="16"/>
  <c r="U600" i="16"/>
  <c r="S600" i="16"/>
  <c r="M601" i="16"/>
  <c r="D601" i="16"/>
  <c r="J601" i="16"/>
  <c r="N601" i="16" s="1"/>
  <c r="P601" i="16"/>
  <c r="Q601" i="16"/>
  <c r="R601" i="16"/>
  <c r="T601" i="16"/>
  <c r="L602" i="16"/>
  <c r="C602" i="16"/>
  <c r="K602" i="16" s="1"/>
  <c r="E602" i="16"/>
  <c r="F602" i="16"/>
  <c r="O602" i="16" s="1"/>
  <c r="G602" i="16"/>
  <c r="I602" i="16"/>
  <c r="B603" i="16"/>
  <c r="S546" i="16"/>
  <c r="U546" i="16"/>
  <c r="M547" i="16"/>
  <c r="D547" i="16"/>
  <c r="J547" i="16"/>
  <c r="N547" i="16" s="1"/>
  <c r="Q547" i="16"/>
  <c r="P547" i="16"/>
  <c r="R547" i="16"/>
  <c r="T547" i="16"/>
  <c r="L548" i="16"/>
  <c r="C548" i="16"/>
  <c r="K548" i="16" s="1"/>
  <c r="E548" i="16"/>
  <c r="F548" i="16"/>
  <c r="O548" i="16" s="1"/>
  <c r="G548" i="16"/>
  <c r="I548" i="16"/>
  <c r="B549" i="16"/>
  <c r="M493" i="16"/>
  <c r="D493" i="16"/>
  <c r="J493" i="16"/>
  <c r="N493" i="16" s="1"/>
  <c r="P493" i="16"/>
  <c r="Q493" i="16"/>
  <c r="R493" i="16"/>
  <c r="T493" i="16"/>
  <c r="L494" i="16"/>
  <c r="C494" i="16"/>
  <c r="K494" i="16" s="1"/>
  <c r="E494" i="16"/>
  <c r="F494" i="16"/>
  <c r="O494" i="16" s="1"/>
  <c r="G494" i="16"/>
  <c r="I494" i="16"/>
  <c r="B495" i="16"/>
  <c r="D439" i="16"/>
  <c r="J439" i="16"/>
  <c r="P439" i="16"/>
  <c r="Q439" i="16"/>
  <c r="R439" i="16"/>
  <c r="T439" i="16"/>
  <c r="L440" i="16"/>
  <c r="C440" i="16"/>
  <c r="E440" i="16"/>
  <c r="G440" i="16"/>
  <c r="I440" i="16"/>
  <c r="B441" i="16"/>
  <c r="M385" i="16"/>
  <c r="D385" i="16"/>
  <c r="J385" i="16"/>
  <c r="N385" i="16" s="1"/>
  <c r="P385" i="16"/>
  <c r="Q385" i="16"/>
  <c r="R385" i="16"/>
  <c r="T385" i="16"/>
  <c r="L386" i="16"/>
  <c r="C386" i="16"/>
  <c r="E386" i="16"/>
  <c r="G386" i="16"/>
  <c r="I386" i="16"/>
  <c r="B387" i="16"/>
  <c r="M331" i="16"/>
  <c r="D331" i="16"/>
  <c r="J331" i="16"/>
  <c r="N331" i="16" s="1"/>
  <c r="P331" i="16"/>
  <c r="Q331" i="16"/>
  <c r="R331" i="16"/>
  <c r="T331" i="16"/>
  <c r="L332" i="16"/>
  <c r="B333" i="16"/>
  <c r="C332" i="16"/>
  <c r="K332" i="16" s="1"/>
  <c r="F332" i="16"/>
  <c r="O332" i="16" s="1"/>
  <c r="E332" i="16"/>
  <c r="G332" i="16"/>
  <c r="I332" i="16"/>
  <c r="M277" i="16"/>
  <c r="D277" i="16"/>
  <c r="J277" i="16"/>
  <c r="N277" i="16" s="1"/>
  <c r="P277" i="16"/>
  <c r="Q277" i="16"/>
  <c r="R277" i="16"/>
  <c r="T277" i="16"/>
  <c r="L278" i="16"/>
  <c r="C278" i="16"/>
  <c r="E278" i="16"/>
  <c r="G278" i="16"/>
  <c r="I278" i="16"/>
  <c r="B279" i="16"/>
  <c r="M223" i="16"/>
  <c r="D223" i="16"/>
  <c r="J223" i="16"/>
  <c r="N223" i="16" s="1"/>
  <c r="P223" i="16"/>
  <c r="Q223" i="16"/>
  <c r="R223" i="16"/>
  <c r="T223" i="16"/>
  <c r="L224" i="16"/>
  <c r="C224" i="16"/>
  <c r="K224" i="16" s="1"/>
  <c r="E224" i="16"/>
  <c r="F224" i="16"/>
  <c r="O224" i="16" s="1"/>
  <c r="G224" i="16"/>
  <c r="I224" i="16"/>
  <c r="B225" i="16"/>
  <c r="U168" i="16"/>
  <c r="S168" i="16"/>
  <c r="D169" i="16"/>
  <c r="J169" i="16"/>
  <c r="P169" i="16"/>
  <c r="Q169" i="16"/>
  <c r="R169" i="16"/>
  <c r="T169" i="16"/>
  <c r="L170" i="16"/>
  <c r="C170" i="16"/>
  <c r="E170" i="16"/>
  <c r="G170" i="16"/>
  <c r="I170" i="16"/>
  <c r="B171" i="16"/>
  <c r="S114" i="16"/>
  <c r="U114" i="16"/>
  <c r="M115" i="16"/>
  <c r="D115" i="16"/>
  <c r="J115" i="16"/>
  <c r="N115" i="16" s="1"/>
  <c r="P115" i="16"/>
  <c r="Q115" i="16"/>
  <c r="R115" i="16"/>
  <c r="T115" i="16"/>
  <c r="L116" i="16"/>
  <c r="C116" i="16"/>
  <c r="E116" i="16"/>
  <c r="G116" i="16"/>
  <c r="I116" i="16"/>
  <c r="B117" i="16"/>
  <c r="U52" i="4"/>
  <c r="S52" i="4"/>
  <c r="F52" i="7"/>
  <c r="D53" i="4"/>
  <c r="J53" i="4"/>
  <c r="N53" i="4" s="1"/>
  <c r="E88" i="7"/>
  <c r="O53" i="4"/>
  <c r="BE53" i="4"/>
  <c r="BD53" i="4"/>
  <c r="BC53" i="4"/>
  <c r="BB53" i="4"/>
  <c r="BA53" i="4"/>
  <c r="BF53" i="4" s="1"/>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G53" i="5" s="1"/>
  <c r="R53" i="4"/>
  <c r="H53" i="5" s="1"/>
  <c r="T53" i="4"/>
  <c r="V53" i="4"/>
  <c r="M53" i="4"/>
  <c r="C54" i="4"/>
  <c r="E54" i="4"/>
  <c r="F54" i="4"/>
  <c r="C54" i="5" s="1"/>
  <c r="E54" i="5" s="1"/>
  <c r="G54" i="4"/>
  <c r="K54" i="4"/>
  <c r="B55" i="4"/>
  <c r="I54" i="4"/>
  <c r="L54" i="4"/>
  <c r="B54" i="5"/>
  <c r="C86" i="7"/>
  <c r="G86" i="7" s="1"/>
  <c r="U4139" i="16"/>
  <c r="S4139" i="16"/>
  <c r="U3731" i="16"/>
  <c r="S3731" i="16"/>
  <c r="U3569" i="16"/>
  <c r="S3569" i="16"/>
  <c r="S3461" i="16"/>
  <c r="U3461" i="16"/>
  <c r="U3191" i="16"/>
  <c r="S3191" i="16"/>
  <c r="U3137" i="16"/>
  <c r="S3137" i="16"/>
  <c r="U3029" i="16"/>
  <c r="S3029" i="16"/>
  <c r="U2921" i="16"/>
  <c r="S2921" i="16"/>
  <c r="U2651" i="16"/>
  <c r="S2651" i="16"/>
  <c r="U2597" i="16"/>
  <c r="S2597" i="16"/>
  <c r="S2543" i="16"/>
  <c r="U2543" i="16"/>
  <c r="U2273" i="16"/>
  <c r="S2273" i="16"/>
  <c r="U2057" i="16"/>
  <c r="S2057" i="16"/>
  <c r="U2003" i="16"/>
  <c r="S2003" i="16"/>
  <c r="U1949" i="16"/>
  <c r="S1949" i="16"/>
  <c r="S1895" i="16"/>
  <c r="U1895" i="16"/>
  <c r="U1841" i="16"/>
  <c r="S1841" i="16"/>
  <c r="U1787" i="16"/>
  <c r="S1787" i="16"/>
  <c r="U1517" i="16"/>
  <c r="S1517" i="16"/>
  <c r="U1463" i="16"/>
  <c r="S1463" i="16"/>
  <c r="U1409" i="16"/>
  <c r="S1409" i="16"/>
  <c r="U1193" i="16"/>
  <c r="S1193" i="16"/>
  <c r="U1139" i="16"/>
  <c r="S1139" i="16"/>
  <c r="U869" i="16"/>
  <c r="S869" i="16"/>
  <c r="U599" i="16"/>
  <c r="S599" i="16"/>
  <c r="U329" i="16"/>
  <c r="S329" i="16"/>
  <c r="M4548" i="16"/>
  <c r="N4548" i="16"/>
  <c r="M4248" i="16"/>
  <c r="N4248" i="16"/>
  <c r="M3732" i="16"/>
  <c r="N3732" i="16"/>
  <c r="M3516" i="16"/>
  <c r="N3516" i="16"/>
  <c r="N3462" i="16"/>
  <c r="M3462" i="16"/>
  <c r="M3408" i="16"/>
  <c r="N3408" i="16"/>
  <c r="M3246" i="16"/>
  <c r="N3246" i="16"/>
  <c r="M3138" i="16"/>
  <c r="N3138" i="16"/>
  <c r="M3030" i="16"/>
  <c r="N3030" i="16"/>
  <c r="M2706" i="16"/>
  <c r="N2706" i="16"/>
  <c r="M2382" i="16"/>
  <c r="N2382" i="16"/>
  <c r="M2328" i="16"/>
  <c r="N2328" i="16"/>
  <c r="M2220" i="16"/>
  <c r="N2220" i="16"/>
  <c r="M2112" i="16"/>
  <c r="N2112" i="16"/>
  <c r="M1896" i="16"/>
  <c r="N1896" i="16"/>
  <c r="M1842" i="16"/>
  <c r="N1842" i="16"/>
  <c r="M1788" i="16"/>
  <c r="N1788" i="16"/>
  <c r="M1572" i="16"/>
  <c r="N1572" i="16"/>
  <c r="M1410" i="16"/>
  <c r="N1410" i="16"/>
  <c r="M1302" i="16"/>
  <c r="N1302" i="16"/>
  <c r="M1249" i="16"/>
  <c r="N1249" i="16"/>
  <c r="M1032" i="16"/>
  <c r="N1032" i="16"/>
  <c r="M816" i="16"/>
  <c r="N816" i="16"/>
  <c r="M762" i="16"/>
  <c r="N762" i="16"/>
  <c r="M492" i="16"/>
  <c r="N492" i="16"/>
  <c r="M438" i="16"/>
  <c r="N438" i="16"/>
  <c r="M384" i="16"/>
  <c r="N384" i="16"/>
  <c r="M330" i="16"/>
  <c r="N330" i="16"/>
  <c r="M276" i="16"/>
  <c r="N276" i="16"/>
  <c r="M222" i="16"/>
  <c r="N222" i="16"/>
  <c r="F4603" i="16"/>
  <c r="K4603" i="16"/>
  <c r="K4549" i="16"/>
  <c r="F4549" i="16"/>
  <c r="F4195" i="16"/>
  <c r="O4195" i="16" s="1"/>
  <c r="K4195" i="16"/>
  <c r="K4087" i="16"/>
  <c r="F4087" i="16"/>
  <c r="O4087" i="16" s="1"/>
  <c r="K3733" i="16"/>
  <c r="F3733" i="16"/>
  <c r="O3733" i="16" s="1"/>
  <c r="F3463" i="16"/>
  <c r="O3463" i="16" s="1"/>
  <c r="K3463" i="16"/>
  <c r="F3409" i="16"/>
  <c r="O3409" i="16" s="1"/>
  <c r="K3409" i="16"/>
  <c r="K3247" i="16"/>
  <c r="F3247" i="16"/>
  <c r="O3247" i="16" s="1"/>
  <c r="F3193" i="16"/>
  <c r="O3193" i="16" s="1"/>
  <c r="K3193" i="16"/>
  <c r="K3139" i="16"/>
  <c r="F3139" i="16"/>
  <c r="O3139" i="16" s="1"/>
  <c r="F3085" i="16"/>
  <c r="O3085" i="16" s="1"/>
  <c r="K3085" i="16"/>
  <c r="K3031" i="16"/>
  <c r="F3031" i="16"/>
  <c r="O3031" i="16" s="1"/>
  <c r="F2923" i="16"/>
  <c r="O2923" i="16" s="1"/>
  <c r="K2923" i="16"/>
  <c r="F2869" i="16"/>
  <c r="O2869" i="16" s="1"/>
  <c r="K2869" i="16"/>
  <c r="K2653" i="16"/>
  <c r="F2653" i="16"/>
  <c r="O2653" i="16" s="1"/>
  <c r="F2329" i="16"/>
  <c r="O2329" i="16" s="1"/>
  <c r="K2329" i="16"/>
  <c r="K2221" i="16"/>
  <c r="F2221" i="16"/>
  <c r="O2221" i="16" s="1"/>
  <c r="F2167" i="16"/>
  <c r="O2167" i="16" s="1"/>
  <c r="K2167" i="16"/>
  <c r="F2113" i="16"/>
  <c r="O2113" i="16" s="1"/>
  <c r="K2113" i="16"/>
  <c r="F2005" i="16"/>
  <c r="O2005" i="16" s="1"/>
  <c r="K2005" i="16"/>
  <c r="K1897" i="16"/>
  <c r="F1897" i="16"/>
  <c r="O1897" i="16" s="1"/>
  <c r="K1789" i="16"/>
  <c r="F1789" i="16"/>
  <c r="O1789" i="16" s="1"/>
  <c r="F1519" i="16"/>
  <c r="O1519" i="16" s="1"/>
  <c r="K1519" i="16"/>
  <c r="F1303" i="16"/>
  <c r="O1303" i="16" s="1"/>
  <c r="K1303" i="16"/>
  <c r="F1250" i="16"/>
  <c r="O1250" i="16" s="1"/>
  <c r="K1250" i="16"/>
  <c r="K1195" i="16"/>
  <c r="F1195" i="16"/>
  <c r="O1195" i="16" s="1"/>
  <c r="F979" i="16"/>
  <c r="O979" i="16" s="1"/>
  <c r="K979" i="16"/>
  <c r="F709" i="16"/>
  <c r="O709" i="16" s="1"/>
  <c r="K709" i="16"/>
  <c r="K439" i="16"/>
  <c r="F439" i="16"/>
  <c r="O439" i="16" s="1"/>
  <c r="K169" i="16"/>
  <c r="F169" i="16"/>
  <c r="O169" i="16" s="1"/>
  <c r="F52" i="5"/>
  <c r="G52" i="5"/>
  <c r="H52" i="5"/>
  <c r="BF52" i="4"/>
  <c r="K4712" i="16" l="1"/>
  <c r="F4712" i="16"/>
  <c r="D4658" i="16"/>
  <c r="F4658" i="16"/>
  <c r="O4658" i="16" s="1"/>
  <c r="K3464" i="16"/>
  <c r="F3464" i="16"/>
  <c r="O3464" i="16" s="1"/>
  <c r="K2600" i="16"/>
  <c r="F2600" i="16"/>
  <c r="O2600" i="16" s="1"/>
  <c r="K2168" i="16"/>
  <c r="F2168" i="16"/>
  <c r="O2168" i="16" s="1"/>
  <c r="K1952" i="16"/>
  <c r="F1952" i="16"/>
  <c r="O1952" i="16" s="1"/>
  <c r="K1574" i="16"/>
  <c r="F1574" i="16"/>
  <c r="O1574" i="16" s="1"/>
  <c r="F1466" i="16"/>
  <c r="O1466" i="16" s="1"/>
  <c r="K1466" i="16"/>
  <c r="K1142" i="16"/>
  <c r="F1142" i="16"/>
  <c r="O1142" i="16" s="1"/>
  <c r="K278" i="16"/>
  <c r="F278" i="16"/>
  <c r="O278" i="16" s="1"/>
  <c r="T4710" i="16"/>
  <c r="S4711" i="16"/>
  <c r="T4711" i="16" s="1"/>
  <c r="U4711" i="16"/>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D4604" i="16"/>
  <c r="J4604" i="16"/>
  <c r="P4604" i="16"/>
  <c r="Q4604" i="16"/>
  <c r="R4604" i="16"/>
  <c r="L4605" i="16"/>
  <c r="C4605" i="16"/>
  <c r="E4605" i="16"/>
  <c r="G4605" i="16"/>
  <c r="I4605" i="16"/>
  <c r="B4606" i="16"/>
  <c r="D4550" i="16"/>
  <c r="J4550" i="16"/>
  <c r="P4550" i="16"/>
  <c r="Q4550" i="16"/>
  <c r="R4550" i="16"/>
  <c r="L4551" i="16"/>
  <c r="C4551" i="16"/>
  <c r="E4551" i="16"/>
  <c r="G4551" i="16"/>
  <c r="I4551" i="16"/>
  <c r="B4552" i="16"/>
  <c r="U4249" i="16"/>
  <c r="S4249" i="16"/>
  <c r="D4250" i="16"/>
  <c r="J4250" i="16"/>
  <c r="P4250" i="16"/>
  <c r="Q4250" i="16"/>
  <c r="R4250" i="16"/>
  <c r="T4250" i="16"/>
  <c r="L4251" i="16"/>
  <c r="C4251" i="16"/>
  <c r="K4251" i="16" s="1"/>
  <c r="E4251" i="16"/>
  <c r="F4251" i="16"/>
  <c r="O4251" i="16" s="1"/>
  <c r="G4251" i="16"/>
  <c r="I4251" i="16"/>
  <c r="B4252" i="16"/>
  <c r="M4196" i="16"/>
  <c r="G4197" i="16"/>
  <c r="I4197" i="16"/>
  <c r="C4197" i="16"/>
  <c r="E4197" i="16"/>
  <c r="L4197" i="16"/>
  <c r="B4198" i="16"/>
  <c r="D4196" i="16"/>
  <c r="J4196" i="16"/>
  <c r="N4196" i="16" s="1"/>
  <c r="P4196" i="16"/>
  <c r="Q4196" i="16"/>
  <c r="R4196" i="16"/>
  <c r="T4196" i="16"/>
  <c r="U4141" i="16"/>
  <c r="S4141" i="16"/>
  <c r="J4142" i="16"/>
  <c r="D4142" i="16"/>
  <c r="P4142" i="16"/>
  <c r="Q4142" i="16"/>
  <c r="R4142" i="16"/>
  <c r="T4142" i="16"/>
  <c r="E4143" i="16"/>
  <c r="G4143" i="16"/>
  <c r="I4143" i="16"/>
  <c r="B4144" i="16"/>
  <c r="C4143" i="16"/>
  <c r="K4143" i="16" s="1"/>
  <c r="F4143" i="16"/>
  <c r="O4143" i="16" s="1"/>
  <c r="L4143" i="16"/>
  <c r="M4088" i="16"/>
  <c r="D4088" i="16"/>
  <c r="J4088" i="16"/>
  <c r="N4088" i="16" s="1"/>
  <c r="P4088" i="16"/>
  <c r="Q4088" i="16"/>
  <c r="R4088" i="16"/>
  <c r="T4088" i="16"/>
  <c r="L4089" i="16"/>
  <c r="C4089" i="16"/>
  <c r="K4089" i="16" s="1"/>
  <c r="E4089" i="16"/>
  <c r="F4089" i="16"/>
  <c r="O4089" i="16" s="1"/>
  <c r="G4089" i="16"/>
  <c r="I4089" i="16"/>
  <c r="B4090" i="16"/>
  <c r="U3787" i="16"/>
  <c r="S3787" i="16"/>
  <c r="D3788" i="16"/>
  <c r="J3788" i="16"/>
  <c r="P3788" i="16"/>
  <c r="Q3788" i="16"/>
  <c r="R3788" i="16"/>
  <c r="T3788" i="16"/>
  <c r="L3789" i="16"/>
  <c r="C3789" i="16"/>
  <c r="K3789" i="16" s="1"/>
  <c r="E3789" i="16"/>
  <c r="F3789" i="16"/>
  <c r="O3789" i="16" s="1"/>
  <c r="G3789" i="16"/>
  <c r="I3789" i="16"/>
  <c r="B3790" i="16"/>
  <c r="M3734" i="16"/>
  <c r="D3734" i="16"/>
  <c r="J3734" i="16"/>
  <c r="N3734" i="16" s="1"/>
  <c r="P3734" i="16"/>
  <c r="Q3734" i="16"/>
  <c r="R3734" i="16"/>
  <c r="T3734" i="16"/>
  <c r="L3735" i="16"/>
  <c r="C3735" i="16"/>
  <c r="K3735" i="16" s="1"/>
  <c r="E3735" i="16"/>
  <c r="F3735" i="16"/>
  <c r="O3735" i="16" s="1"/>
  <c r="G3735" i="16"/>
  <c r="B3736" i="16"/>
  <c r="I3735" i="16"/>
  <c r="S3679" i="16"/>
  <c r="U3679" i="16"/>
  <c r="M3680" i="16"/>
  <c r="D3680" i="16"/>
  <c r="J3680" i="16"/>
  <c r="N3680" i="16" s="1"/>
  <c r="P3680" i="16"/>
  <c r="Q3680" i="16"/>
  <c r="R3680" i="16"/>
  <c r="T3680" i="16"/>
  <c r="L3681" i="16"/>
  <c r="C3681" i="16"/>
  <c r="K3681" i="16" s="1"/>
  <c r="E3681" i="16"/>
  <c r="F3681" i="16"/>
  <c r="O3681" i="16" s="1"/>
  <c r="G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D3518" i="16"/>
  <c r="J3518" i="16"/>
  <c r="P3518" i="16"/>
  <c r="Q3518" i="16"/>
  <c r="R3518" i="16"/>
  <c r="T3518" i="16"/>
  <c r="L3519" i="16"/>
  <c r="C3519" i="16"/>
  <c r="E3519" i="16"/>
  <c r="G3519" i="16"/>
  <c r="I3519" i="16"/>
  <c r="B3520" i="16"/>
  <c r="M3464" i="16"/>
  <c r="D3464" i="16"/>
  <c r="J3464" i="16"/>
  <c r="N3464" i="16" s="1"/>
  <c r="P3464" i="16"/>
  <c r="Q3464" i="16"/>
  <c r="R3464" i="16"/>
  <c r="T3464" i="16"/>
  <c r="L3465" i="16"/>
  <c r="C3465" i="16"/>
  <c r="K3465" i="16" s="1"/>
  <c r="E3465" i="16"/>
  <c r="F3465" i="16"/>
  <c r="O3465" i="16" s="1"/>
  <c r="G3465" i="16"/>
  <c r="B3466" i="16"/>
  <c r="I3465" i="16"/>
  <c r="D3410" i="16"/>
  <c r="J3410" i="16"/>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M3248" i="16"/>
  <c r="L3249" i="16"/>
  <c r="E3249" i="16"/>
  <c r="G3249" i="16"/>
  <c r="B3250" i="16"/>
  <c r="C3249" i="16"/>
  <c r="I3249" i="16"/>
  <c r="D3248" i="16"/>
  <c r="J3248" i="16"/>
  <c r="N3248" i="16" s="1"/>
  <c r="P3248" i="16"/>
  <c r="Q3248" i="16"/>
  <c r="R3248" i="16"/>
  <c r="T3248" i="16"/>
  <c r="D3194" i="16"/>
  <c r="J3194" i="16"/>
  <c r="P3194" i="16"/>
  <c r="Q3194" i="16"/>
  <c r="R3194" i="16"/>
  <c r="T3194" i="16"/>
  <c r="L3195" i="16"/>
  <c r="C3195" i="16"/>
  <c r="I3195" i="16"/>
  <c r="B3196" i="16"/>
  <c r="E3195" i="16"/>
  <c r="G3195" i="16"/>
  <c r="M3140" i="16"/>
  <c r="L3141" i="16"/>
  <c r="C3141" i="16"/>
  <c r="B3142" i="16"/>
  <c r="I3141" i="16"/>
  <c r="G3141" i="16"/>
  <c r="E3141" i="16"/>
  <c r="J3140" i="16"/>
  <c r="N3140" i="16" s="1"/>
  <c r="D3140" i="16"/>
  <c r="P3140" i="16"/>
  <c r="Q3140" i="16"/>
  <c r="R3140" i="16"/>
  <c r="T3140" i="16"/>
  <c r="L3087" i="16"/>
  <c r="E3087" i="16"/>
  <c r="C3087" i="16"/>
  <c r="B3088" i="16"/>
  <c r="I3087" i="16"/>
  <c r="G3087" i="16"/>
  <c r="J3086" i="16"/>
  <c r="D3086" i="16"/>
  <c r="P3086" i="16"/>
  <c r="Q3086" i="16"/>
  <c r="R3086" i="16"/>
  <c r="T3086" i="16"/>
  <c r="L3033" i="16"/>
  <c r="I3033" i="16"/>
  <c r="B3034" i="16"/>
  <c r="G3033" i="16"/>
  <c r="C3033" i="16"/>
  <c r="E3033" i="16"/>
  <c r="P3032" i="16"/>
  <c r="Q3032" i="16"/>
  <c r="R3032" i="16"/>
  <c r="T3032" i="16"/>
  <c r="D3032" i="16"/>
  <c r="J3032" i="16"/>
  <c r="U2977" i="16"/>
  <c r="S2977" i="16"/>
  <c r="M2978" i="16"/>
  <c r="D2978" i="16"/>
  <c r="J2978" i="16"/>
  <c r="N2978" i="16" s="1"/>
  <c r="P2978" i="16"/>
  <c r="Q2978" i="16"/>
  <c r="R2978" i="16"/>
  <c r="T2978" i="16"/>
  <c r="L2979" i="16"/>
  <c r="C2979" i="16"/>
  <c r="K2979" i="16" s="1"/>
  <c r="E2979" i="16"/>
  <c r="F2979" i="16"/>
  <c r="O2979" i="16" s="1"/>
  <c r="G2979" i="16"/>
  <c r="I2979" i="16"/>
  <c r="B2980" i="16"/>
  <c r="M2924" i="16"/>
  <c r="D2924" i="16"/>
  <c r="J2924" i="16"/>
  <c r="N2924" i="16" s="1"/>
  <c r="P2924" i="16"/>
  <c r="Q2924" i="16"/>
  <c r="R2924" i="16"/>
  <c r="T2924" i="16"/>
  <c r="L2925" i="16"/>
  <c r="C2925" i="16"/>
  <c r="K2925" i="16" s="1"/>
  <c r="E2925" i="16"/>
  <c r="F2925" i="16"/>
  <c r="O2925" i="16" s="1"/>
  <c r="G2925" i="16"/>
  <c r="I2925" i="16"/>
  <c r="B2926" i="16"/>
  <c r="D2870" i="16"/>
  <c r="J2870" i="16"/>
  <c r="P2870" i="16"/>
  <c r="Q2870" i="16"/>
  <c r="R2870" i="16"/>
  <c r="T2870" i="16"/>
  <c r="L2871" i="16"/>
  <c r="C2871" i="16"/>
  <c r="E2871" i="16"/>
  <c r="G2871" i="16"/>
  <c r="I2871" i="16"/>
  <c r="B2872" i="16"/>
  <c r="D2816" i="16"/>
  <c r="J2816" i="16"/>
  <c r="P2816" i="16"/>
  <c r="Q2816" i="16"/>
  <c r="R2816" i="16"/>
  <c r="T2816" i="16"/>
  <c r="U2816" i="16" s="1"/>
  <c r="L2817" i="16"/>
  <c r="C2817" i="16"/>
  <c r="K2817" i="16" s="1"/>
  <c r="E2817" i="16"/>
  <c r="F2817" i="16"/>
  <c r="O2817" i="16" s="1"/>
  <c r="G2817" i="16"/>
  <c r="I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K2709" i="16" s="1"/>
  <c r="E2709" i="16"/>
  <c r="F2709" i="16"/>
  <c r="O2709" i="16" s="1"/>
  <c r="G2709" i="16"/>
  <c r="I2709" i="16"/>
  <c r="B2710" i="16"/>
  <c r="M2654" i="16"/>
  <c r="D2654" i="16"/>
  <c r="J2654" i="16"/>
  <c r="N2654" i="16" s="1"/>
  <c r="P2654" i="16"/>
  <c r="Q2654" i="16"/>
  <c r="R2654" i="16"/>
  <c r="T2654" i="16"/>
  <c r="L2655" i="16"/>
  <c r="C2655" i="16"/>
  <c r="K2655" i="16" s="1"/>
  <c r="E2655" i="16"/>
  <c r="F2655" i="16"/>
  <c r="O2655" i="16" s="1"/>
  <c r="G2655" i="16"/>
  <c r="I2655" i="16"/>
  <c r="B2656" i="16"/>
  <c r="U2599" i="16"/>
  <c r="S2599" i="16"/>
  <c r="M2600" i="16"/>
  <c r="D2600" i="16"/>
  <c r="J2600" i="16"/>
  <c r="N2600" i="16" s="1"/>
  <c r="P2600" i="16"/>
  <c r="Q2600" i="16"/>
  <c r="R2600" i="16"/>
  <c r="T2600" i="16"/>
  <c r="L2601" i="16"/>
  <c r="C2601" i="16"/>
  <c r="E2601" i="16"/>
  <c r="G2601" i="16"/>
  <c r="I2601" i="16"/>
  <c r="B2602" i="16"/>
  <c r="S2545" i="16"/>
  <c r="U2545" i="16"/>
  <c r="D2546" i="16"/>
  <c r="J2546" i="16"/>
  <c r="P2546" i="16"/>
  <c r="Q2546" i="16"/>
  <c r="R2546" i="16"/>
  <c r="T2546" i="16"/>
  <c r="L2547" i="16"/>
  <c r="C2547" i="16"/>
  <c r="E2547" i="16"/>
  <c r="G2547" i="16"/>
  <c r="I2547" i="16"/>
  <c r="B2548" i="16"/>
  <c r="U2491" i="16"/>
  <c r="S2491" i="16"/>
  <c r="M2492" i="16"/>
  <c r="D2492" i="16"/>
  <c r="J2492" i="16"/>
  <c r="N2492" i="16" s="1"/>
  <c r="Q2492" i="16"/>
  <c r="P2492" i="16"/>
  <c r="R2492" i="16"/>
  <c r="T2492" i="16"/>
  <c r="L2493" i="16"/>
  <c r="C2493" i="16"/>
  <c r="K2493" i="16" s="1"/>
  <c r="E2493" i="16"/>
  <c r="F2493" i="16"/>
  <c r="O2493" i="16" s="1"/>
  <c r="G2493" i="16"/>
  <c r="I2493" i="16"/>
  <c r="B2494" i="16"/>
  <c r="U2437" i="16"/>
  <c r="S2437" i="16"/>
  <c r="M2438" i="16"/>
  <c r="D2438" i="16"/>
  <c r="J2438" i="16"/>
  <c r="N2438" i="16" s="1"/>
  <c r="Q2438" i="16"/>
  <c r="P2438" i="16"/>
  <c r="R2438" i="16"/>
  <c r="T2438" i="16"/>
  <c r="L2439" i="16"/>
  <c r="C2439" i="16"/>
  <c r="K2439" i="16" s="1"/>
  <c r="E2439" i="16"/>
  <c r="F2439" i="16"/>
  <c r="O2439" i="16" s="1"/>
  <c r="G2439" i="16"/>
  <c r="I2439" i="16"/>
  <c r="B2440" i="16"/>
  <c r="U2383" i="16"/>
  <c r="S2383" i="16"/>
  <c r="D2384" i="16"/>
  <c r="J2384" i="16"/>
  <c r="Q2384" i="16"/>
  <c r="P2384" i="16"/>
  <c r="R2384" i="16"/>
  <c r="T2384" i="16"/>
  <c r="L2385" i="16"/>
  <c r="C2385" i="16"/>
  <c r="K2385" i="16" s="1"/>
  <c r="E2385" i="16"/>
  <c r="F2385" i="16"/>
  <c r="O2385" i="16" s="1"/>
  <c r="G2385" i="16"/>
  <c r="I2385" i="16"/>
  <c r="B2386" i="16"/>
  <c r="D2330" i="16"/>
  <c r="J2330" i="16"/>
  <c r="P2330" i="16"/>
  <c r="Q2330" i="16"/>
  <c r="R2330" i="16"/>
  <c r="T2330" i="16"/>
  <c r="L2331" i="16"/>
  <c r="C2331" i="16"/>
  <c r="E2331" i="16"/>
  <c r="G2331" i="16"/>
  <c r="I2331" i="16"/>
  <c r="B2332" i="16"/>
  <c r="U2275" i="16"/>
  <c r="S2275" i="16"/>
  <c r="D2276" i="16"/>
  <c r="J2276" i="16"/>
  <c r="P2276" i="16"/>
  <c r="Q2276" i="16"/>
  <c r="R2276" i="16"/>
  <c r="T2276" i="16"/>
  <c r="L2277" i="16"/>
  <c r="C2277" i="16"/>
  <c r="K2277" i="16" s="1"/>
  <c r="E2277" i="16"/>
  <c r="F2277" i="16"/>
  <c r="O2277" i="16" s="1"/>
  <c r="G2277" i="16"/>
  <c r="I2277" i="16"/>
  <c r="B2278" i="16"/>
  <c r="M2222" i="16"/>
  <c r="D2222" i="16"/>
  <c r="J2222" i="16"/>
  <c r="N2222" i="16" s="1"/>
  <c r="P2222" i="16"/>
  <c r="Q2222" i="16"/>
  <c r="R2222" i="16"/>
  <c r="T2222" i="16"/>
  <c r="L2223" i="16"/>
  <c r="E2223" i="16"/>
  <c r="I2223" i="16"/>
  <c r="C2223" i="16"/>
  <c r="G2223" i="16"/>
  <c r="B2224" i="16"/>
  <c r="M2168" i="16"/>
  <c r="L2169" i="16"/>
  <c r="C2169" i="16"/>
  <c r="E2169" i="16"/>
  <c r="G2169" i="16"/>
  <c r="B2170" i="16"/>
  <c r="I2169" i="16"/>
  <c r="D2168" i="16"/>
  <c r="J2168" i="16"/>
  <c r="N2168" i="16" s="1"/>
  <c r="P2168" i="16"/>
  <c r="Q2168" i="16"/>
  <c r="R2168" i="16"/>
  <c r="T2168" i="16"/>
  <c r="M2114" i="16"/>
  <c r="D2114" i="16"/>
  <c r="J2114" i="16"/>
  <c r="N2114" i="16" s="1"/>
  <c r="P2114" i="16"/>
  <c r="Q2114" i="16"/>
  <c r="R2114" i="16"/>
  <c r="T2114" i="16"/>
  <c r="L2115" i="16"/>
  <c r="C2115" i="16"/>
  <c r="K2115" i="16" s="1"/>
  <c r="E2115" i="16"/>
  <c r="F2115" i="16"/>
  <c r="O2115" i="16" s="1"/>
  <c r="G2115" i="16"/>
  <c r="I2115" i="16"/>
  <c r="B2116" i="16"/>
  <c r="U2059" i="16"/>
  <c r="S2059" i="16"/>
  <c r="D2060" i="16"/>
  <c r="J2060" i="16"/>
  <c r="P2060" i="16"/>
  <c r="Q2060" i="16"/>
  <c r="R2060" i="16"/>
  <c r="T2060" i="16"/>
  <c r="L2061" i="16"/>
  <c r="C2061" i="16"/>
  <c r="K2061" i="16" s="1"/>
  <c r="E2061" i="16"/>
  <c r="F2061" i="16"/>
  <c r="O2061" i="16" s="1"/>
  <c r="G2061" i="16"/>
  <c r="I2061" i="16"/>
  <c r="B2062" i="16"/>
  <c r="D2006" i="16"/>
  <c r="J2006" i="16"/>
  <c r="P2006" i="16"/>
  <c r="Q2006" i="16"/>
  <c r="R2006" i="16"/>
  <c r="T2006" i="16"/>
  <c r="L2007" i="16"/>
  <c r="C2007" i="16"/>
  <c r="E2007" i="16"/>
  <c r="G2007" i="16"/>
  <c r="I2007" i="16"/>
  <c r="B2008" i="16"/>
  <c r="U1951" i="16"/>
  <c r="S1951" i="16"/>
  <c r="M1952" i="16"/>
  <c r="D1952" i="16"/>
  <c r="J1952" i="16"/>
  <c r="N1952" i="16" s="1"/>
  <c r="P1952" i="16"/>
  <c r="Q1952" i="16"/>
  <c r="R1952" i="16"/>
  <c r="T1952" i="16"/>
  <c r="L1953" i="16"/>
  <c r="C1953" i="16"/>
  <c r="E1953" i="16"/>
  <c r="G1953" i="16"/>
  <c r="I1953" i="16"/>
  <c r="B1954" i="16"/>
  <c r="M1898" i="16"/>
  <c r="D1898" i="16"/>
  <c r="J1898" i="16"/>
  <c r="N1898" i="16" s="1"/>
  <c r="P1898" i="16"/>
  <c r="Q1898" i="16"/>
  <c r="R1898" i="16"/>
  <c r="T1898" i="16"/>
  <c r="L1899" i="16"/>
  <c r="C1899" i="16"/>
  <c r="K1899" i="16" s="1"/>
  <c r="E1899" i="16"/>
  <c r="F1899" i="16"/>
  <c r="O1899" i="16" s="1"/>
  <c r="G1899" i="16"/>
  <c r="I1899" i="16"/>
  <c r="B1900" i="16"/>
  <c r="U1843" i="16"/>
  <c r="S1843" i="16"/>
  <c r="M1844" i="16"/>
  <c r="D1844" i="16"/>
  <c r="J1844" i="16"/>
  <c r="N1844" i="16" s="1"/>
  <c r="P1844" i="16"/>
  <c r="Q1844" i="16"/>
  <c r="R1844" i="16"/>
  <c r="T1844" i="16"/>
  <c r="L1845" i="16"/>
  <c r="C1845" i="16"/>
  <c r="K1845" i="16" s="1"/>
  <c r="E1845" i="16"/>
  <c r="F1845" i="16"/>
  <c r="O1845" i="16" s="1"/>
  <c r="G1845" i="16"/>
  <c r="I1845" i="16"/>
  <c r="B1846" i="16"/>
  <c r="M1790" i="16"/>
  <c r="D1790" i="16"/>
  <c r="J1790" i="16"/>
  <c r="N1790" i="16" s="1"/>
  <c r="P1790" i="16"/>
  <c r="Q1790" i="16"/>
  <c r="R1790" i="16"/>
  <c r="T1790" i="16"/>
  <c r="L1791" i="16"/>
  <c r="C1791" i="16"/>
  <c r="K1791" i="16" s="1"/>
  <c r="E1791" i="16"/>
  <c r="F1791" i="16"/>
  <c r="O1791" i="16" s="1"/>
  <c r="G1791" i="16"/>
  <c r="I1791" i="16"/>
  <c r="B1792" i="16"/>
  <c r="U1735" i="16"/>
  <c r="S1735" i="16"/>
  <c r="D1736" i="16"/>
  <c r="J1736" i="16"/>
  <c r="P1736" i="16"/>
  <c r="Q1736" i="16"/>
  <c r="R1736" i="16"/>
  <c r="T1736" i="16"/>
  <c r="L1737" i="16"/>
  <c r="C1737" i="16"/>
  <c r="E1737" i="16"/>
  <c r="G1737" i="16"/>
  <c r="I1737" i="16"/>
  <c r="B1738" i="16"/>
  <c r="S1681" i="16"/>
  <c r="U1681" i="16"/>
  <c r="M1682" i="16"/>
  <c r="D1682" i="16"/>
  <c r="J1682" i="16"/>
  <c r="N1682" i="16" s="1"/>
  <c r="P1682" i="16"/>
  <c r="Q1682" i="16"/>
  <c r="R1682" i="16"/>
  <c r="T1682" i="16"/>
  <c r="L1683" i="16"/>
  <c r="C1683" i="16"/>
  <c r="E1683" i="16"/>
  <c r="G1683" i="16"/>
  <c r="I1683" i="16"/>
  <c r="B1684" i="16"/>
  <c r="U1627" i="16"/>
  <c r="S1627" i="16"/>
  <c r="M1628" i="16"/>
  <c r="D1628" i="16"/>
  <c r="J1628" i="16"/>
  <c r="N1628" i="16" s="1"/>
  <c r="P1628" i="16"/>
  <c r="Q1628" i="16"/>
  <c r="R1628" i="16"/>
  <c r="T1628" i="16"/>
  <c r="L1629" i="16"/>
  <c r="C1629" i="16"/>
  <c r="K1629" i="16" s="1"/>
  <c r="E1629" i="16"/>
  <c r="F1629" i="16"/>
  <c r="O1629" i="16" s="1"/>
  <c r="G1629" i="16"/>
  <c r="I1629" i="16"/>
  <c r="B1630" i="16"/>
  <c r="U1573" i="16"/>
  <c r="S1573" i="16"/>
  <c r="M1574" i="16"/>
  <c r="D1574" i="16"/>
  <c r="J1574" i="16"/>
  <c r="N1574" i="16" s="1"/>
  <c r="P1574" i="16"/>
  <c r="Q1574" i="16"/>
  <c r="R1574" i="16"/>
  <c r="T1574" i="16"/>
  <c r="L1575" i="16"/>
  <c r="C1575" i="16"/>
  <c r="K1575" i="16" s="1"/>
  <c r="E1575" i="16"/>
  <c r="F1575" i="16"/>
  <c r="O1575" i="16" s="1"/>
  <c r="G1575" i="16"/>
  <c r="I1575" i="16"/>
  <c r="B1576" i="16"/>
  <c r="L1521" i="16"/>
  <c r="I1521" i="16"/>
  <c r="B1522" i="16"/>
  <c r="C1521" i="16"/>
  <c r="E1521" i="16"/>
  <c r="G1521" i="16"/>
  <c r="D1520" i="16"/>
  <c r="J1520" i="16"/>
  <c r="P1520" i="16"/>
  <c r="Q1520" i="16"/>
  <c r="R1520" i="16"/>
  <c r="T1520" i="16"/>
  <c r="U1465" i="16"/>
  <c r="S1465" i="16"/>
  <c r="M1466" i="16"/>
  <c r="P1466" i="16"/>
  <c r="Q1466" i="16"/>
  <c r="R1466" i="16"/>
  <c r="T1466" i="16"/>
  <c r="L1467" i="16"/>
  <c r="C1467" i="16"/>
  <c r="K1467" i="16" s="1"/>
  <c r="E1467" i="16"/>
  <c r="F1467" i="16"/>
  <c r="O1467" i="16" s="1"/>
  <c r="G1467" i="16"/>
  <c r="B1468" i="16"/>
  <c r="I1467" i="16"/>
  <c r="D1466" i="16"/>
  <c r="J1466" i="16"/>
  <c r="N1466" i="16" s="1"/>
  <c r="U1411" i="16"/>
  <c r="S1411" i="16"/>
  <c r="M1412" i="16"/>
  <c r="D1412" i="16"/>
  <c r="J1412" i="16"/>
  <c r="N1412" i="16" s="1"/>
  <c r="P1412" i="16"/>
  <c r="Q1412" i="16"/>
  <c r="R1412" i="16"/>
  <c r="T1412" i="16"/>
  <c r="L1413" i="16"/>
  <c r="E1413" i="16"/>
  <c r="I1413" i="16"/>
  <c r="B1414" i="16"/>
  <c r="C1413" i="16"/>
  <c r="G1413" i="16"/>
  <c r="U1357" i="16"/>
  <c r="S1357" i="16"/>
  <c r="M1358" i="16"/>
  <c r="P1358" i="16"/>
  <c r="Q1358" i="16"/>
  <c r="R1358" i="16"/>
  <c r="T1358" i="16"/>
  <c r="D1358" i="16"/>
  <c r="J1358" i="16"/>
  <c r="N1358" i="16" s="1"/>
  <c r="L1359" i="16"/>
  <c r="E1359" i="16"/>
  <c r="C1359" i="16"/>
  <c r="K1359" i="16" s="1"/>
  <c r="G1359" i="16"/>
  <c r="B1360" i="16"/>
  <c r="I1359" i="16"/>
  <c r="F1359" i="16"/>
  <c r="O1359" i="16" s="1"/>
  <c r="P1304" i="16"/>
  <c r="Q1304" i="16"/>
  <c r="R1304" i="16"/>
  <c r="T1304" i="16"/>
  <c r="L1305" i="16"/>
  <c r="G1305" i="16"/>
  <c r="I1305" i="16"/>
  <c r="B1306" i="16"/>
  <c r="C1305" i="16"/>
  <c r="E1305" i="16"/>
  <c r="J1304" i="16"/>
  <c r="D1304" i="16"/>
  <c r="L1252" i="16"/>
  <c r="E1252" i="16"/>
  <c r="C1252" i="16"/>
  <c r="K1252" i="16" s="1"/>
  <c r="F1252" i="16"/>
  <c r="O1252" i="16" s="1"/>
  <c r="G1252" i="16"/>
  <c r="B1253" i="16"/>
  <c r="I1252" i="16"/>
  <c r="P1251" i="16"/>
  <c r="Q1251" i="16"/>
  <c r="R1251" i="16"/>
  <c r="T1251" i="16"/>
  <c r="D1251" i="16"/>
  <c r="J1251" i="16"/>
  <c r="D1196" i="16"/>
  <c r="J1196" i="16"/>
  <c r="P1196" i="16"/>
  <c r="Q1196" i="16"/>
  <c r="R1196" i="16"/>
  <c r="T1196" i="16"/>
  <c r="L1197" i="16"/>
  <c r="C1197" i="16"/>
  <c r="K1197" i="16" s="1"/>
  <c r="E1197" i="16"/>
  <c r="F1197" i="16"/>
  <c r="O1197" i="16" s="1"/>
  <c r="G1197" i="16"/>
  <c r="I1197" i="16"/>
  <c r="B1198" i="16"/>
  <c r="U1141" i="16"/>
  <c r="S1141" i="16"/>
  <c r="M1142" i="16"/>
  <c r="D1142" i="16"/>
  <c r="J1142" i="16"/>
  <c r="N1142" i="16" s="1"/>
  <c r="P1142" i="16"/>
  <c r="Q1142" i="16"/>
  <c r="R1142" i="16"/>
  <c r="T1142" i="16"/>
  <c r="L1143" i="16"/>
  <c r="C1143" i="16"/>
  <c r="E1143" i="16"/>
  <c r="G1143" i="16"/>
  <c r="I1143" i="16"/>
  <c r="B1144" i="16"/>
  <c r="U1087" i="16"/>
  <c r="S1087" i="16"/>
  <c r="M1088" i="16"/>
  <c r="D1088" i="16"/>
  <c r="J1088" i="16"/>
  <c r="N1088" i="16" s="1"/>
  <c r="P1088" i="16"/>
  <c r="Q1088" i="16"/>
  <c r="R1088" i="16"/>
  <c r="T1088" i="16"/>
  <c r="L1089" i="16"/>
  <c r="C1089" i="16"/>
  <c r="K1089" i="16" s="1"/>
  <c r="E1089" i="16"/>
  <c r="F1089" i="16"/>
  <c r="O1089" i="16" s="1"/>
  <c r="G1089" i="16"/>
  <c r="I1089" i="16"/>
  <c r="B1090" i="16"/>
  <c r="U1033" i="16"/>
  <c r="S1033" i="16"/>
  <c r="M1034" i="16"/>
  <c r="D1034" i="16"/>
  <c r="J1034" i="16"/>
  <c r="N1034" i="16" s="1"/>
  <c r="P1034" i="16"/>
  <c r="Q1034" i="16"/>
  <c r="R1034" i="16"/>
  <c r="T1034" i="16"/>
  <c r="L1035" i="16"/>
  <c r="C1035" i="16"/>
  <c r="K1035" i="16" s="1"/>
  <c r="E1035" i="16"/>
  <c r="F1035" i="16"/>
  <c r="O1035" i="16" s="1"/>
  <c r="G1035" i="16"/>
  <c r="I1035" i="16"/>
  <c r="B1036" i="16"/>
  <c r="M980" i="16"/>
  <c r="D980" i="16"/>
  <c r="J980" i="16"/>
  <c r="N980" i="16" s="1"/>
  <c r="P980" i="16"/>
  <c r="Q980" i="16"/>
  <c r="R980" i="16"/>
  <c r="T980" i="16"/>
  <c r="L981" i="16"/>
  <c r="C981" i="16"/>
  <c r="K981" i="16" s="1"/>
  <c r="E981" i="16"/>
  <c r="F981" i="16"/>
  <c r="O981" i="16" s="1"/>
  <c r="G981" i="16"/>
  <c r="I981" i="16"/>
  <c r="B982" i="16"/>
  <c r="U925" i="16"/>
  <c r="S925" i="16"/>
  <c r="D926" i="16"/>
  <c r="J926" i="16"/>
  <c r="P926" i="16"/>
  <c r="Q926" i="16"/>
  <c r="R926" i="16"/>
  <c r="T926" i="16"/>
  <c r="L927" i="16"/>
  <c r="C927" i="16"/>
  <c r="K927" i="16" s="1"/>
  <c r="E927" i="16"/>
  <c r="F927" i="16"/>
  <c r="O927" i="16" s="1"/>
  <c r="G927" i="16"/>
  <c r="I927" i="16"/>
  <c r="B928" i="16"/>
  <c r="U871" i="16"/>
  <c r="S871" i="16"/>
  <c r="M872" i="16"/>
  <c r="D872" i="16"/>
  <c r="J872" i="16"/>
  <c r="N872" i="16" s="1"/>
  <c r="P872" i="16"/>
  <c r="Q872" i="16"/>
  <c r="R872" i="16"/>
  <c r="T872" i="16"/>
  <c r="L873" i="16"/>
  <c r="C873" i="16"/>
  <c r="E873" i="16"/>
  <c r="G873" i="16"/>
  <c r="I873" i="16"/>
  <c r="B874" i="16"/>
  <c r="U817" i="16"/>
  <c r="S817" i="16"/>
  <c r="M818" i="16"/>
  <c r="D818" i="16"/>
  <c r="J818" i="16"/>
  <c r="N818" i="16" s="1"/>
  <c r="Q818" i="16"/>
  <c r="P818" i="16"/>
  <c r="R818" i="16"/>
  <c r="T818" i="16"/>
  <c r="L819" i="16"/>
  <c r="C819" i="16"/>
  <c r="E819" i="16"/>
  <c r="G819" i="16"/>
  <c r="I819" i="16"/>
  <c r="B820" i="16"/>
  <c r="U763" i="16"/>
  <c r="S763" i="16"/>
  <c r="M764" i="16"/>
  <c r="D764" i="16"/>
  <c r="J764" i="16"/>
  <c r="N764" i="16" s="1"/>
  <c r="P764" i="16"/>
  <c r="Q764" i="16"/>
  <c r="R764" i="16"/>
  <c r="T764" i="16"/>
  <c r="L765" i="16"/>
  <c r="C765" i="16"/>
  <c r="K765" i="16" s="1"/>
  <c r="E765" i="16"/>
  <c r="F765" i="16"/>
  <c r="O765" i="16" s="1"/>
  <c r="G765" i="16"/>
  <c r="I765" i="16"/>
  <c r="B766" i="16"/>
  <c r="D710" i="16"/>
  <c r="J710" i="16"/>
  <c r="P710" i="16"/>
  <c r="Q710" i="16"/>
  <c r="R710" i="16"/>
  <c r="T710" i="16"/>
  <c r="L711" i="16"/>
  <c r="C711" i="16"/>
  <c r="E711" i="16"/>
  <c r="G711" i="16"/>
  <c r="I711" i="16"/>
  <c r="B712" i="16"/>
  <c r="U655" i="16"/>
  <c r="S655" i="16"/>
  <c r="M656" i="16"/>
  <c r="D656" i="16"/>
  <c r="J656" i="16"/>
  <c r="N656" i="16" s="1"/>
  <c r="Q656" i="16"/>
  <c r="P656" i="16"/>
  <c r="R656" i="16"/>
  <c r="T656" i="16"/>
  <c r="L657" i="16"/>
  <c r="C657" i="16"/>
  <c r="K657" i="16" s="1"/>
  <c r="E657" i="16"/>
  <c r="F657" i="16"/>
  <c r="O657" i="16" s="1"/>
  <c r="G657" i="16"/>
  <c r="I657" i="16"/>
  <c r="B658" i="16"/>
  <c r="U601" i="16"/>
  <c r="S601" i="16"/>
  <c r="M602" i="16"/>
  <c r="D602" i="16"/>
  <c r="J602" i="16"/>
  <c r="N602" i="16" s="1"/>
  <c r="P602" i="16"/>
  <c r="Q602" i="16"/>
  <c r="R602" i="16"/>
  <c r="T602" i="16"/>
  <c r="L603" i="16"/>
  <c r="C603" i="16"/>
  <c r="K603" i="16" s="1"/>
  <c r="E603" i="16"/>
  <c r="F603" i="16"/>
  <c r="O603" i="16" s="1"/>
  <c r="G603" i="16"/>
  <c r="I603" i="16"/>
  <c r="B604" i="16"/>
  <c r="S547" i="16"/>
  <c r="U547" i="16"/>
  <c r="M548" i="16"/>
  <c r="D548" i="16"/>
  <c r="J548" i="16"/>
  <c r="N548" i="16" s="1"/>
  <c r="P548" i="16"/>
  <c r="Q548" i="16"/>
  <c r="R548" i="16"/>
  <c r="T548" i="16"/>
  <c r="L549" i="16"/>
  <c r="C549" i="16"/>
  <c r="K549" i="16" s="1"/>
  <c r="E549" i="16"/>
  <c r="F549" i="16"/>
  <c r="O549" i="16" s="1"/>
  <c r="G549" i="16"/>
  <c r="I549" i="16"/>
  <c r="B550" i="16"/>
  <c r="U493" i="16"/>
  <c r="S493" i="16"/>
  <c r="M494" i="16"/>
  <c r="D494" i="16"/>
  <c r="J494" i="16"/>
  <c r="N494" i="16" s="1"/>
  <c r="Q494" i="16"/>
  <c r="P494" i="16"/>
  <c r="R494" i="16"/>
  <c r="T494" i="16"/>
  <c r="L495" i="16"/>
  <c r="C495" i="16"/>
  <c r="K495" i="16" s="1"/>
  <c r="E495" i="16"/>
  <c r="F495" i="16"/>
  <c r="O495" i="16" s="1"/>
  <c r="G495" i="16"/>
  <c r="I495" i="16"/>
  <c r="B496" i="16"/>
  <c r="D440" i="16"/>
  <c r="J440" i="16"/>
  <c r="P440" i="16"/>
  <c r="Q440" i="16"/>
  <c r="R440" i="16"/>
  <c r="T440" i="16"/>
  <c r="L441" i="16"/>
  <c r="C441" i="16"/>
  <c r="K441" i="16" s="1"/>
  <c r="E441" i="16"/>
  <c r="F441" i="16"/>
  <c r="O441" i="16" s="1"/>
  <c r="G441" i="16"/>
  <c r="I441" i="16"/>
  <c r="B442" i="16"/>
  <c r="U385" i="16"/>
  <c r="S385" i="16"/>
  <c r="D386" i="16"/>
  <c r="J386" i="16"/>
  <c r="P386" i="16"/>
  <c r="Q386" i="16"/>
  <c r="R386" i="16"/>
  <c r="T386" i="16"/>
  <c r="L387" i="16"/>
  <c r="C387" i="16"/>
  <c r="K387" i="16" s="1"/>
  <c r="E387" i="16"/>
  <c r="F387" i="16"/>
  <c r="O387" i="16" s="1"/>
  <c r="G387" i="16"/>
  <c r="I387" i="16"/>
  <c r="B388" i="16"/>
  <c r="S331" i="16"/>
  <c r="U331" i="16"/>
  <c r="M332" i="16"/>
  <c r="L333" i="16"/>
  <c r="E333" i="16"/>
  <c r="I333" i="16"/>
  <c r="G333" i="16"/>
  <c r="C333" i="16"/>
  <c r="B334" i="16"/>
  <c r="D332" i="16"/>
  <c r="J332" i="16"/>
  <c r="N332" i="16" s="1"/>
  <c r="P332" i="16"/>
  <c r="Q332" i="16"/>
  <c r="R332" i="16"/>
  <c r="T332" i="16"/>
  <c r="U277" i="16"/>
  <c r="S277" i="16"/>
  <c r="M278" i="16"/>
  <c r="D278" i="16"/>
  <c r="J278" i="16"/>
  <c r="N278" i="16" s="1"/>
  <c r="P278" i="16"/>
  <c r="Q278" i="16"/>
  <c r="R278" i="16"/>
  <c r="T278" i="16"/>
  <c r="L279" i="16"/>
  <c r="C279" i="16"/>
  <c r="K279" i="16" s="1"/>
  <c r="E279" i="16"/>
  <c r="F279" i="16"/>
  <c r="O279" i="16" s="1"/>
  <c r="G279" i="16"/>
  <c r="I279" i="16"/>
  <c r="B280" i="16"/>
  <c r="U223" i="16"/>
  <c r="S223" i="16"/>
  <c r="M224" i="16"/>
  <c r="D224" i="16"/>
  <c r="J224" i="16"/>
  <c r="N224" i="16" s="1"/>
  <c r="P224" i="16"/>
  <c r="Q224" i="16"/>
  <c r="R224" i="16"/>
  <c r="T224" i="16"/>
  <c r="L225" i="16"/>
  <c r="C225" i="16"/>
  <c r="K225" i="16" s="1"/>
  <c r="E225" i="16"/>
  <c r="F225" i="16"/>
  <c r="O225" i="16" s="1"/>
  <c r="G225" i="16"/>
  <c r="I225" i="16"/>
  <c r="B226" i="16"/>
  <c r="D170" i="16"/>
  <c r="J170" i="16"/>
  <c r="P170" i="16"/>
  <c r="Q170" i="16"/>
  <c r="R170" i="16"/>
  <c r="T170" i="16"/>
  <c r="L171" i="16"/>
  <c r="C171" i="16"/>
  <c r="K171" i="16" s="1"/>
  <c r="E171" i="16"/>
  <c r="F171" i="16"/>
  <c r="O171" i="16" s="1"/>
  <c r="G171" i="16"/>
  <c r="I171" i="16"/>
  <c r="B172" i="16"/>
  <c r="S115" i="16"/>
  <c r="U115" i="16"/>
  <c r="D116" i="16"/>
  <c r="J116" i="16"/>
  <c r="P116" i="16"/>
  <c r="Q116" i="16"/>
  <c r="R116" i="16"/>
  <c r="T116" i="16"/>
  <c r="L117" i="16"/>
  <c r="C117" i="16"/>
  <c r="K117" i="16" s="1"/>
  <c r="E117" i="16"/>
  <c r="F117" i="16"/>
  <c r="O117" i="16" s="1"/>
  <c r="G117" i="16"/>
  <c r="I117" i="16"/>
  <c r="B118" i="16"/>
  <c r="C87" i="7"/>
  <c r="G87" i="7" s="1"/>
  <c r="U53" i="4"/>
  <c r="S53" i="4"/>
  <c r="D54" i="4"/>
  <c r="J54" i="4"/>
  <c r="N54" i="4" s="1"/>
  <c r="O54" i="4"/>
  <c r="E89" i="7"/>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s="1"/>
  <c r="M54" i="4"/>
  <c r="C55" i="4"/>
  <c r="E55" i="4"/>
  <c r="F55" i="4"/>
  <c r="C55" i="5" s="1"/>
  <c r="E55" i="5" s="1"/>
  <c r="G55" i="4"/>
  <c r="K55" i="4"/>
  <c r="B55" i="5"/>
  <c r="I55" i="4"/>
  <c r="L55" i="4"/>
  <c r="B56" i="4"/>
  <c r="U4248" i="16"/>
  <c r="S4248" i="16"/>
  <c r="U3732" i="16"/>
  <c r="S3732" i="16"/>
  <c r="U3516" i="16"/>
  <c r="S3516" i="16"/>
  <c r="S3462" i="16"/>
  <c r="U3462" i="16"/>
  <c r="U3408" i="16"/>
  <c r="S3408" i="16"/>
  <c r="U3246" i="16"/>
  <c r="S3246" i="16"/>
  <c r="U3138" i="16"/>
  <c r="S3138" i="16"/>
  <c r="U3030" i="16"/>
  <c r="S3030" i="16"/>
  <c r="U2706" i="16"/>
  <c r="S2706" i="16"/>
  <c r="U2382" i="16"/>
  <c r="S2382" i="16"/>
  <c r="S2328" i="16"/>
  <c r="U2328" i="16"/>
  <c r="U2220" i="16"/>
  <c r="S2220" i="16"/>
  <c r="S2112" i="16"/>
  <c r="U2112" i="16"/>
  <c r="S1896" i="16"/>
  <c r="U1896" i="16"/>
  <c r="U1842" i="16"/>
  <c r="S1842" i="16"/>
  <c r="U1788" i="16"/>
  <c r="S1788" i="16"/>
  <c r="U1572" i="16"/>
  <c r="S1572" i="16"/>
  <c r="U1410" i="16"/>
  <c r="S1410" i="16"/>
  <c r="U1302" i="16"/>
  <c r="S1302" i="16"/>
  <c r="S1249" i="16"/>
  <c r="U1249" i="16"/>
  <c r="U1032" i="16"/>
  <c r="S1032" i="16"/>
  <c r="U816" i="16"/>
  <c r="S816" i="16"/>
  <c r="U762" i="16"/>
  <c r="S762" i="16"/>
  <c r="U492" i="16"/>
  <c r="S492" i="16"/>
  <c r="U438" i="16"/>
  <c r="S438" i="16"/>
  <c r="U384" i="16"/>
  <c r="S384" i="16"/>
  <c r="S330" i="16"/>
  <c r="U330" i="16"/>
  <c r="U276" i="16"/>
  <c r="S276" i="16"/>
  <c r="U222" i="16"/>
  <c r="S222" i="16"/>
  <c r="M4603" i="16"/>
  <c r="N4603" i="16"/>
  <c r="M4549" i="16"/>
  <c r="N4549" i="16"/>
  <c r="M4195" i="16"/>
  <c r="N4195" i="16"/>
  <c r="M4087" i="16"/>
  <c r="N4087" i="16"/>
  <c r="M3733" i="16"/>
  <c r="N3733" i="16"/>
  <c r="M3463" i="16"/>
  <c r="N3463" i="16"/>
  <c r="M3409" i="16"/>
  <c r="N3409" i="16"/>
  <c r="M3247" i="16"/>
  <c r="N3247" i="16"/>
  <c r="N3193" i="16"/>
  <c r="M3193" i="16"/>
  <c r="N3139" i="16"/>
  <c r="M3139" i="16"/>
  <c r="N3085" i="16"/>
  <c r="M3085" i="16"/>
  <c r="M3031" i="16"/>
  <c r="N3031" i="16"/>
  <c r="M2923" i="16"/>
  <c r="N2923" i="16"/>
  <c r="M2869" i="16"/>
  <c r="N2869" i="16"/>
  <c r="M2653" i="16"/>
  <c r="N2653" i="16"/>
  <c r="M2329" i="16"/>
  <c r="N2329" i="16"/>
  <c r="N2221" i="16"/>
  <c r="M2221" i="16"/>
  <c r="M2167" i="16"/>
  <c r="N2167" i="16"/>
  <c r="M2113" i="16"/>
  <c r="N2113" i="16"/>
  <c r="M2005" i="16"/>
  <c r="N2005" i="16"/>
  <c r="M1897" i="16"/>
  <c r="N1897" i="16"/>
  <c r="M1789" i="16"/>
  <c r="N1789" i="16"/>
  <c r="M1519" i="16"/>
  <c r="N1519" i="16"/>
  <c r="N1303" i="16"/>
  <c r="M1303" i="16"/>
  <c r="N1250" i="16"/>
  <c r="M1250" i="16"/>
  <c r="M1195" i="16"/>
  <c r="N1195" i="16"/>
  <c r="M979" i="16"/>
  <c r="N979" i="16"/>
  <c r="M709" i="16"/>
  <c r="N709" i="16"/>
  <c r="M439" i="16"/>
  <c r="N439" i="16"/>
  <c r="M169" i="16"/>
  <c r="N169" i="16"/>
  <c r="K4604" i="16"/>
  <c r="F4604" i="16"/>
  <c r="K4550" i="16"/>
  <c r="F4550" i="16"/>
  <c r="K4250" i="16"/>
  <c r="F4250" i="16"/>
  <c r="O4250" i="16" s="1"/>
  <c r="F4142" i="16"/>
  <c r="O4142" i="16" s="1"/>
  <c r="K4142" i="16"/>
  <c r="K3788" i="16"/>
  <c r="F3788" i="16"/>
  <c r="O3788" i="16" s="1"/>
  <c r="K3518" i="16"/>
  <c r="F3518" i="16"/>
  <c r="O3518" i="16" s="1"/>
  <c r="K3410" i="16"/>
  <c r="F3410" i="16"/>
  <c r="O3410" i="16" s="1"/>
  <c r="K3194" i="16"/>
  <c r="F3194" i="16"/>
  <c r="O3194" i="16" s="1"/>
  <c r="K3086" i="16"/>
  <c r="F3086" i="16"/>
  <c r="O3086" i="16" s="1"/>
  <c r="K3032" i="16"/>
  <c r="F3032" i="16"/>
  <c r="O3032" i="16" s="1"/>
  <c r="K2870" i="16"/>
  <c r="F2870" i="16"/>
  <c r="O2870" i="16" s="1"/>
  <c r="K2816" i="16"/>
  <c r="F2816" i="16"/>
  <c r="O2816" i="16" s="1"/>
  <c r="K2546" i="16"/>
  <c r="F2546" i="16"/>
  <c r="O2546" i="16" s="1"/>
  <c r="F2384" i="16"/>
  <c r="O2384" i="16" s="1"/>
  <c r="K2384" i="16"/>
  <c r="K2330" i="16"/>
  <c r="F2330" i="16"/>
  <c r="O2330" i="16" s="1"/>
  <c r="K2276" i="16"/>
  <c r="F2276" i="16"/>
  <c r="O2276" i="16" s="1"/>
  <c r="F2060" i="16"/>
  <c r="O2060" i="16" s="1"/>
  <c r="K2060" i="16"/>
  <c r="F2006" i="16"/>
  <c r="O2006" i="16" s="1"/>
  <c r="K2006" i="16"/>
  <c r="F1736" i="16"/>
  <c r="O1736" i="16" s="1"/>
  <c r="K1736" i="16"/>
  <c r="K1520" i="16"/>
  <c r="F1520" i="16"/>
  <c r="O1520" i="16" s="1"/>
  <c r="K1304" i="16"/>
  <c r="F1304" i="16"/>
  <c r="O1304" i="16" s="1"/>
  <c r="F1251" i="16"/>
  <c r="O1251" i="16" s="1"/>
  <c r="K1251" i="16"/>
  <c r="K1196" i="16"/>
  <c r="F1196" i="16"/>
  <c r="O1196" i="16" s="1"/>
  <c r="F926" i="16"/>
  <c r="O926" i="16" s="1"/>
  <c r="K926" i="16"/>
  <c r="K710" i="16"/>
  <c r="F710" i="16"/>
  <c r="O710" i="16" s="1"/>
  <c r="F440" i="16"/>
  <c r="O440" i="16" s="1"/>
  <c r="K440" i="16"/>
  <c r="F386" i="16"/>
  <c r="O386" i="16" s="1"/>
  <c r="K386" i="16"/>
  <c r="F170" i="16"/>
  <c r="O170" i="16" s="1"/>
  <c r="K170" i="16"/>
  <c r="K116" i="16"/>
  <c r="F116" i="16"/>
  <c r="O116" i="16" s="1"/>
  <c r="K4605" i="16" l="1"/>
  <c r="F4605" i="16"/>
  <c r="K3519" i="16"/>
  <c r="F3519" i="16"/>
  <c r="O3519" i="16" s="1"/>
  <c r="K3033" i="16"/>
  <c r="F3033" i="16"/>
  <c r="O3033" i="16" s="1"/>
  <c r="K2223" i="16"/>
  <c r="F2223" i="16"/>
  <c r="O2223" i="16" s="1"/>
  <c r="K2169" i="16"/>
  <c r="F2169" i="16"/>
  <c r="O2169" i="16" s="1"/>
  <c r="K1953" i="16"/>
  <c r="F1953" i="16"/>
  <c r="O1953" i="16" s="1"/>
  <c r="K1521" i="16"/>
  <c r="F1521" i="16"/>
  <c r="O1521" i="16" s="1"/>
  <c r="K711" i="16"/>
  <c r="F711" i="16"/>
  <c r="O711" i="16" s="1"/>
  <c r="S4712" i="16"/>
  <c r="U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M4605" i="16"/>
  <c r="D4605" i="16"/>
  <c r="J4605" i="16"/>
  <c r="N4605" i="16" s="1"/>
  <c r="P4605" i="16"/>
  <c r="Q4605" i="16"/>
  <c r="R4605" i="16"/>
  <c r="L4606" i="16"/>
  <c r="C4606" i="16"/>
  <c r="E4606" i="16"/>
  <c r="G4606" i="16"/>
  <c r="I4606" i="16"/>
  <c r="B4607" i="16"/>
  <c r="D4551" i="16"/>
  <c r="J4551" i="16"/>
  <c r="P4551" i="16"/>
  <c r="Q4551" i="16"/>
  <c r="R4551" i="16"/>
  <c r="L4552" i="16"/>
  <c r="C4552" i="16"/>
  <c r="E4552" i="16"/>
  <c r="G4552" i="16"/>
  <c r="I4552" i="16"/>
  <c r="B4553" i="16"/>
  <c r="M4251" i="16"/>
  <c r="D4251" i="16"/>
  <c r="J4251" i="16"/>
  <c r="N4251" i="16" s="1"/>
  <c r="P4251" i="16"/>
  <c r="Q4251" i="16"/>
  <c r="R4251" i="16"/>
  <c r="T4251" i="16"/>
  <c r="L4252" i="16"/>
  <c r="C4252" i="16"/>
  <c r="E4252" i="16"/>
  <c r="G4252" i="16"/>
  <c r="I4252" i="16"/>
  <c r="B4253" i="16"/>
  <c r="U4196" i="16"/>
  <c r="S4196" i="16"/>
  <c r="P4197" i="16"/>
  <c r="Q4197" i="16"/>
  <c r="R4197" i="16"/>
  <c r="T4197" i="16"/>
  <c r="J4197" i="16"/>
  <c r="D4197" i="16"/>
  <c r="L4198" i="16"/>
  <c r="C4198" i="16"/>
  <c r="F4198" i="16" s="1"/>
  <c r="O4198" i="16" s="1"/>
  <c r="E4198" i="16"/>
  <c r="G4198" i="16"/>
  <c r="I4198" i="16"/>
  <c r="K4198" i="16"/>
  <c r="B4199" i="16"/>
  <c r="P4143" i="16"/>
  <c r="Q4143" i="16"/>
  <c r="R4143" i="16"/>
  <c r="T4143" i="16"/>
  <c r="M4143" i="16"/>
  <c r="G4144" i="16"/>
  <c r="L4144" i="16"/>
  <c r="B4145" i="16"/>
  <c r="C4144" i="16"/>
  <c r="F4144" i="16" s="1"/>
  <c r="O4144" i="16" s="1"/>
  <c r="E4144" i="16"/>
  <c r="I4144" i="16"/>
  <c r="K4144" i="16"/>
  <c r="D4143" i="16"/>
  <c r="J4143" i="16"/>
  <c r="N4143" i="16" s="1"/>
  <c r="U4088" i="16"/>
  <c r="S4088" i="16"/>
  <c r="M4089" i="16"/>
  <c r="D4089" i="16"/>
  <c r="J4089" i="16"/>
  <c r="N4089" i="16" s="1"/>
  <c r="P4089" i="16"/>
  <c r="Q4089" i="16"/>
  <c r="R4089" i="16"/>
  <c r="T4089" i="16"/>
  <c r="L4090" i="16"/>
  <c r="C4090" i="16"/>
  <c r="K4090" i="16" s="1"/>
  <c r="E4090" i="16"/>
  <c r="F4090" i="16"/>
  <c r="O4090" i="16" s="1"/>
  <c r="G4090" i="16"/>
  <c r="I4090" i="16"/>
  <c r="B4091" i="16"/>
  <c r="M3789" i="16"/>
  <c r="D3789" i="16"/>
  <c r="J3789" i="16"/>
  <c r="N3789" i="16" s="1"/>
  <c r="P3789" i="16"/>
  <c r="Q3789" i="16"/>
  <c r="R3789" i="16"/>
  <c r="T3789" i="16"/>
  <c r="L3790" i="16"/>
  <c r="C3790" i="16"/>
  <c r="K3790" i="16" s="1"/>
  <c r="E3790" i="16"/>
  <c r="F3790" i="16"/>
  <c r="O3790" i="16" s="1"/>
  <c r="G3790" i="16"/>
  <c r="I3790" i="16"/>
  <c r="B3791" i="16"/>
  <c r="U3734" i="16"/>
  <c r="S3734" i="16"/>
  <c r="M3735" i="16"/>
  <c r="D3735" i="16"/>
  <c r="J3735" i="16"/>
  <c r="N3735" i="16" s="1"/>
  <c r="P3735" i="16"/>
  <c r="Q3735" i="16"/>
  <c r="R3735" i="16"/>
  <c r="T3735" i="16"/>
  <c r="L3736" i="16"/>
  <c r="C3736" i="16"/>
  <c r="E3736" i="16"/>
  <c r="G3736" i="16"/>
  <c r="I3736" i="16"/>
  <c r="B3737" i="16"/>
  <c r="S3680" i="16"/>
  <c r="U3680" i="16"/>
  <c r="M3681" i="16"/>
  <c r="D3681" i="16"/>
  <c r="J3681" i="16"/>
  <c r="N3681" i="16" s="1"/>
  <c r="P3681" i="16"/>
  <c r="Q3681" i="16"/>
  <c r="R3681" i="16"/>
  <c r="T3681" i="16"/>
  <c r="L3682" i="16"/>
  <c r="C3682" i="16"/>
  <c r="E3682" i="16"/>
  <c r="G3682" i="16"/>
  <c r="I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E3574" i="16"/>
  <c r="G3574" i="16"/>
  <c r="I3574" i="16"/>
  <c r="B3575" i="16"/>
  <c r="M3519" i="16"/>
  <c r="D3519" i="16"/>
  <c r="J3519" i="16"/>
  <c r="N3519" i="16" s="1"/>
  <c r="P3519" i="16"/>
  <c r="Q3519" i="16"/>
  <c r="R3519" i="16"/>
  <c r="T3519" i="16"/>
  <c r="L3520" i="16"/>
  <c r="C3520" i="16"/>
  <c r="K3520" i="16" s="1"/>
  <c r="E3520" i="16"/>
  <c r="F3520" i="16"/>
  <c r="O3520" i="16" s="1"/>
  <c r="G3520" i="16"/>
  <c r="I3520" i="16"/>
  <c r="B3521" i="16"/>
  <c r="S3464" i="16"/>
  <c r="U3464" i="16"/>
  <c r="M3465" i="16"/>
  <c r="D3465" i="16"/>
  <c r="J3465" i="16"/>
  <c r="N3465" i="16" s="1"/>
  <c r="P3465" i="16"/>
  <c r="Q3465" i="16"/>
  <c r="R3465" i="16"/>
  <c r="T3465" i="16"/>
  <c r="L3466" i="16"/>
  <c r="C3466" i="16"/>
  <c r="K3466" i="16" s="1"/>
  <c r="E3466" i="16"/>
  <c r="F3466" i="16"/>
  <c r="O3466" i="16" s="1"/>
  <c r="G3466" i="16"/>
  <c r="B3467" i="16"/>
  <c r="I3466" i="16"/>
  <c r="M3411" i="16"/>
  <c r="D3411" i="16"/>
  <c r="J3411" i="16"/>
  <c r="N3411" i="16" s="1"/>
  <c r="P3411" i="16"/>
  <c r="Q3411" i="16"/>
  <c r="R3411" i="16"/>
  <c r="T3411" i="16"/>
  <c r="L3412" i="16"/>
  <c r="C3412" i="16"/>
  <c r="E3412" i="16"/>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E3304" i="16"/>
  <c r="G3304" i="16"/>
  <c r="I3304" i="16"/>
  <c r="B3305" i="16"/>
  <c r="U3248" i="16"/>
  <c r="S3248" i="16"/>
  <c r="P3249" i="16"/>
  <c r="Q3249" i="16"/>
  <c r="R3249" i="16"/>
  <c r="T3249" i="16"/>
  <c r="L3250" i="16"/>
  <c r="G3250" i="16"/>
  <c r="E3250" i="16"/>
  <c r="C3250" i="16"/>
  <c r="B3251" i="16"/>
  <c r="I3250" i="16"/>
  <c r="J3249" i="16"/>
  <c r="D3249" i="16"/>
  <c r="J3195" i="16"/>
  <c r="D3195" i="16"/>
  <c r="L3196" i="16"/>
  <c r="B3197" i="16"/>
  <c r="C3196" i="16"/>
  <c r="E3196" i="16"/>
  <c r="G3196" i="16"/>
  <c r="I3196" i="16"/>
  <c r="P3195" i="16"/>
  <c r="Q3195" i="16"/>
  <c r="R3195" i="16"/>
  <c r="T3195" i="16"/>
  <c r="U3140" i="16"/>
  <c r="S3140" i="16"/>
  <c r="J3141" i="16"/>
  <c r="D3141" i="16"/>
  <c r="L3142" i="16"/>
  <c r="I3142" i="16"/>
  <c r="C3142" i="16"/>
  <c r="G3142" i="16"/>
  <c r="B3143" i="16"/>
  <c r="E3142" i="16"/>
  <c r="P3141" i="16"/>
  <c r="R3141" i="16"/>
  <c r="Q3141" i="16"/>
  <c r="T3141" i="16"/>
  <c r="J3087" i="16"/>
  <c r="D3087" i="16"/>
  <c r="L3088" i="16"/>
  <c r="I3088" i="16"/>
  <c r="B3089" i="16"/>
  <c r="E3088" i="16"/>
  <c r="G3088" i="16"/>
  <c r="C3088" i="16"/>
  <c r="P3087" i="16"/>
  <c r="Q3087" i="16"/>
  <c r="R3087" i="16"/>
  <c r="T3087" i="16"/>
  <c r="M3033" i="16"/>
  <c r="L3034" i="16"/>
  <c r="C3034" i="16"/>
  <c r="K3034" i="16" s="1"/>
  <c r="G3034" i="16"/>
  <c r="E3034" i="16"/>
  <c r="I3034" i="16"/>
  <c r="B3035" i="16"/>
  <c r="F3034" i="16"/>
  <c r="O3034" i="16" s="1"/>
  <c r="P3033" i="16"/>
  <c r="Q3033" i="16"/>
  <c r="R3033" i="16"/>
  <c r="T3033" i="16"/>
  <c r="J3033" i="16"/>
  <c r="N3033" i="16" s="1"/>
  <c r="D3033" i="16"/>
  <c r="U2978" i="16"/>
  <c r="S2978" i="16"/>
  <c r="M2979" i="16"/>
  <c r="D2979" i="16"/>
  <c r="J2979" i="16"/>
  <c r="N2979" i="16" s="1"/>
  <c r="P2979" i="16"/>
  <c r="Q2979" i="16"/>
  <c r="R2979" i="16"/>
  <c r="T2979" i="16"/>
  <c r="L2980" i="16"/>
  <c r="C2980" i="16"/>
  <c r="E2980" i="16"/>
  <c r="G2980" i="16"/>
  <c r="I2980" i="16"/>
  <c r="B2981" i="16"/>
  <c r="U2924" i="16"/>
  <c r="S2924" i="16"/>
  <c r="M2925" i="16"/>
  <c r="D2925" i="16"/>
  <c r="J2925" i="16"/>
  <c r="N2925" i="16" s="1"/>
  <c r="P2925" i="16"/>
  <c r="Q2925" i="16"/>
  <c r="R2925" i="16"/>
  <c r="T2925" i="16"/>
  <c r="L2926" i="16"/>
  <c r="C2926" i="16"/>
  <c r="E2926" i="16"/>
  <c r="G2926" i="16"/>
  <c r="I2926" i="16"/>
  <c r="B2927" i="16"/>
  <c r="D2871" i="16"/>
  <c r="J2871" i="16"/>
  <c r="P2871" i="16"/>
  <c r="Q2871" i="16"/>
  <c r="R2871" i="16"/>
  <c r="T2871" i="16"/>
  <c r="L2872" i="16"/>
  <c r="C2872" i="16"/>
  <c r="E2872" i="16"/>
  <c r="G2872" i="16"/>
  <c r="I2872" i="16"/>
  <c r="B2873" i="16"/>
  <c r="M2817" i="16"/>
  <c r="D2817" i="16"/>
  <c r="J2817" i="16"/>
  <c r="N2817" i="16" s="1"/>
  <c r="S2817" i="16" s="1"/>
  <c r="P2817" i="16"/>
  <c r="Q2817" i="16"/>
  <c r="R2817" i="16"/>
  <c r="T2817" i="16"/>
  <c r="U2817" i="16" s="1"/>
  <c r="L2818" i="16"/>
  <c r="C2818" i="16"/>
  <c r="E2818" i="16"/>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M2709" i="16"/>
  <c r="D2709" i="16"/>
  <c r="J2709" i="16"/>
  <c r="N2709" i="16" s="1"/>
  <c r="P2709" i="16"/>
  <c r="Q2709" i="16"/>
  <c r="R2709" i="16"/>
  <c r="T2709" i="16"/>
  <c r="L2710" i="16"/>
  <c r="C2710" i="16"/>
  <c r="K2710" i="16" s="1"/>
  <c r="E2710" i="16"/>
  <c r="F2710" i="16"/>
  <c r="O2710" i="16" s="1"/>
  <c r="G2710" i="16"/>
  <c r="I2710" i="16"/>
  <c r="B2711" i="16"/>
  <c r="U2654" i="16"/>
  <c r="S2654" i="16"/>
  <c r="M2655" i="16"/>
  <c r="D2655" i="16"/>
  <c r="J2655" i="16"/>
  <c r="N2655" i="16" s="1"/>
  <c r="P2655" i="16"/>
  <c r="Q2655" i="16"/>
  <c r="R2655" i="16"/>
  <c r="T2655" i="16"/>
  <c r="L2656" i="16"/>
  <c r="C2656" i="16"/>
  <c r="E2656" i="16"/>
  <c r="G2656" i="16"/>
  <c r="I2656" i="16"/>
  <c r="B2657" i="16"/>
  <c r="U2600" i="16"/>
  <c r="S2600" i="16"/>
  <c r="D2601" i="16"/>
  <c r="J2601" i="16"/>
  <c r="P2601" i="16"/>
  <c r="Q2601" i="16"/>
  <c r="R2601" i="16"/>
  <c r="T2601" i="16"/>
  <c r="L2602" i="16"/>
  <c r="C2602" i="16"/>
  <c r="K2602" i="16" s="1"/>
  <c r="E2602" i="16"/>
  <c r="F2602" i="16"/>
  <c r="O2602" i="16" s="1"/>
  <c r="G2602" i="16"/>
  <c r="I2602" i="16"/>
  <c r="B2603" i="16"/>
  <c r="D2547" i="16"/>
  <c r="J2547" i="16"/>
  <c r="P2547" i="16"/>
  <c r="Q2547" i="16"/>
  <c r="R2547" i="16"/>
  <c r="T2547" i="16"/>
  <c r="L2548" i="16"/>
  <c r="C2548" i="16"/>
  <c r="K2548" i="16" s="1"/>
  <c r="E2548" i="16"/>
  <c r="F2548" i="16"/>
  <c r="O2548" i="16" s="1"/>
  <c r="G2548" i="16"/>
  <c r="I2548" i="16"/>
  <c r="B2549" i="16"/>
  <c r="U2492" i="16"/>
  <c r="S2492" i="16"/>
  <c r="M2493" i="16"/>
  <c r="D2493" i="16"/>
  <c r="J2493" i="16"/>
  <c r="N2493" i="16" s="1"/>
  <c r="Q2493" i="16"/>
  <c r="P2493" i="16"/>
  <c r="R2493" i="16"/>
  <c r="T2493" i="16"/>
  <c r="L2494" i="16"/>
  <c r="C2494" i="16"/>
  <c r="K2494" i="16" s="1"/>
  <c r="E2494" i="16"/>
  <c r="F2494" i="16"/>
  <c r="O2494" i="16" s="1"/>
  <c r="G2494" i="16"/>
  <c r="I2494" i="16"/>
  <c r="B2495" i="16"/>
  <c r="U2438" i="16"/>
  <c r="S2438" i="16"/>
  <c r="M2439" i="16"/>
  <c r="D2439" i="16"/>
  <c r="J2439" i="16"/>
  <c r="N2439" i="16" s="1"/>
  <c r="Q2439" i="16"/>
  <c r="P2439" i="16"/>
  <c r="R2439" i="16"/>
  <c r="T2439" i="16"/>
  <c r="L2440" i="16"/>
  <c r="C2440" i="16"/>
  <c r="E2440" i="16"/>
  <c r="G2440" i="16"/>
  <c r="I2440" i="16"/>
  <c r="B2441" i="16"/>
  <c r="M2385" i="16"/>
  <c r="D2385" i="16"/>
  <c r="J2385" i="16"/>
  <c r="N2385" i="16" s="1"/>
  <c r="Q2385" i="16"/>
  <c r="R2385" i="16"/>
  <c r="P2385" i="16"/>
  <c r="T2385" i="16"/>
  <c r="L2386" i="16"/>
  <c r="C2386" i="16"/>
  <c r="K2386" i="16" s="1"/>
  <c r="E2386" i="16"/>
  <c r="F2386" i="16"/>
  <c r="O2386" i="16" s="1"/>
  <c r="G2386" i="16"/>
  <c r="I2386" i="16"/>
  <c r="B2387" i="16"/>
  <c r="D2331" i="16"/>
  <c r="J2331" i="16"/>
  <c r="Q2331" i="16"/>
  <c r="P2331" i="16"/>
  <c r="R2331" i="16"/>
  <c r="T2331" i="16"/>
  <c r="L2332" i="16"/>
  <c r="C2332" i="16"/>
  <c r="K2332" i="16" s="1"/>
  <c r="E2332" i="16"/>
  <c r="F2332" i="16"/>
  <c r="O2332" i="16" s="1"/>
  <c r="G2332" i="16"/>
  <c r="I2332" i="16"/>
  <c r="B2333" i="16"/>
  <c r="M2277" i="16"/>
  <c r="D2277" i="16"/>
  <c r="J2277" i="16"/>
  <c r="N2277" i="16" s="1"/>
  <c r="P2277" i="16"/>
  <c r="Q2277" i="16"/>
  <c r="R2277" i="16"/>
  <c r="T2277" i="16"/>
  <c r="L2278" i="16"/>
  <c r="C2278" i="16"/>
  <c r="K2278" i="16" s="1"/>
  <c r="E2278" i="16"/>
  <c r="F2278" i="16"/>
  <c r="O2278" i="16" s="1"/>
  <c r="G2278" i="16"/>
  <c r="I2278" i="16"/>
  <c r="B2279" i="16"/>
  <c r="U2222" i="16"/>
  <c r="S2222" i="16"/>
  <c r="M2223" i="16"/>
  <c r="D2223" i="16"/>
  <c r="J2223" i="16"/>
  <c r="N2223" i="16" s="1"/>
  <c r="P2223" i="16"/>
  <c r="Q2223" i="16"/>
  <c r="R2223" i="16"/>
  <c r="T2223" i="16"/>
  <c r="L2224" i="16"/>
  <c r="G2224" i="16"/>
  <c r="C2224" i="16"/>
  <c r="E2224" i="16"/>
  <c r="I2224" i="16"/>
  <c r="B2225" i="16"/>
  <c r="U2168" i="16"/>
  <c r="S2168" i="16"/>
  <c r="M2169" i="16"/>
  <c r="D2169" i="16"/>
  <c r="J2169" i="16"/>
  <c r="N2169" i="16" s="1"/>
  <c r="P2169" i="16"/>
  <c r="Q2169" i="16"/>
  <c r="R2169" i="16"/>
  <c r="T2169" i="16"/>
  <c r="L2170" i="16"/>
  <c r="E2170" i="16"/>
  <c r="C2170" i="16"/>
  <c r="G2170" i="16"/>
  <c r="I2170" i="16"/>
  <c r="B2171" i="16"/>
  <c r="S2114" i="16"/>
  <c r="U2114" i="16"/>
  <c r="M2115" i="16"/>
  <c r="D2115" i="16"/>
  <c r="J2115" i="16"/>
  <c r="N2115" i="16" s="1"/>
  <c r="Q2115" i="16"/>
  <c r="R2115" i="16"/>
  <c r="P2115" i="16"/>
  <c r="T2115" i="16"/>
  <c r="L2116" i="16"/>
  <c r="C2116" i="16"/>
  <c r="K2116" i="16" s="1"/>
  <c r="E2116" i="16"/>
  <c r="F2116" i="16"/>
  <c r="O2116" i="16" s="1"/>
  <c r="G2116" i="16"/>
  <c r="I2116" i="16"/>
  <c r="B2117" i="16"/>
  <c r="M2061" i="16"/>
  <c r="D2061" i="16"/>
  <c r="J2061" i="16"/>
  <c r="N2061" i="16" s="1"/>
  <c r="P2061" i="16"/>
  <c r="Q2061" i="16"/>
  <c r="R2061" i="16"/>
  <c r="T2061" i="16"/>
  <c r="L2062" i="16"/>
  <c r="C2062" i="16"/>
  <c r="K2062" i="16" s="1"/>
  <c r="E2062" i="16"/>
  <c r="F2062" i="16"/>
  <c r="O2062" i="16" s="1"/>
  <c r="G2062" i="16"/>
  <c r="I2062" i="16"/>
  <c r="B2063" i="16"/>
  <c r="D2007" i="16"/>
  <c r="J2007" i="16"/>
  <c r="P2007" i="16"/>
  <c r="Q2007" i="16"/>
  <c r="R2007" i="16"/>
  <c r="T2007" i="16"/>
  <c r="L2008" i="16"/>
  <c r="C2008" i="16"/>
  <c r="K2008" i="16" s="1"/>
  <c r="E2008" i="16"/>
  <c r="F2008" i="16"/>
  <c r="O2008" i="16" s="1"/>
  <c r="G2008" i="16"/>
  <c r="I2008" i="16"/>
  <c r="B2009" i="16"/>
  <c r="U1952" i="16"/>
  <c r="S1952" i="16"/>
  <c r="M1953" i="16"/>
  <c r="D1953" i="16"/>
  <c r="J1953" i="16"/>
  <c r="N1953" i="16" s="1"/>
  <c r="P1953" i="16"/>
  <c r="Q1953" i="16"/>
  <c r="R1953" i="16"/>
  <c r="T1953" i="16"/>
  <c r="L1954" i="16"/>
  <c r="C1954" i="16"/>
  <c r="E1954" i="16"/>
  <c r="G1954" i="16"/>
  <c r="I1954" i="16"/>
  <c r="B1955" i="16"/>
  <c r="S1898" i="16"/>
  <c r="U1898" i="16"/>
  <c r="M1899" i="16"/>
  <c r="D1899" i="16"/>
  <c r="J1899" i="16"/>
  <c r="N1899" i="16" s="1"/>
  <c r="P1899" i="16"/>
  <c r="Q1899" i="16"/>
  <c r="R1899" i="16"/>
  <c r="T1899" i="16"/>
  <c r="L1900" i="16"/>
  <c r="C1900" i="16"/>
  <c r="E1900" i="16"/>
  <c r="G1900" i="16"/>
  <c r="I1900" i="16"/>
  <c r="B1901" i="16"/>
  <c r="U1844" i="16"/>
  <c r="S1844" i="16"/>
  <c r="M1845" i="16"/>
  <c r="D1845" i="16"/>
  <c r="J1845" i="16"/>
  <c r="N1845" i="16" s="1"/>
  <c r="P1845" i="16"/>
  <c r="Q1845" i="16"/>
  <c r="R1845" i="16"/>
  <c r="T1845" i="16"/>
  <c r="L1846" i="16"/>
  <c r="C1846" i="16"/>
  <c r="K1846" i="16" s="1"/>
  <c r="E1846" i="16"/>
  <c r="F1846" i="16"/>
  <c r="O1846" i="16" s="1"/>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D1737" i="16"/>
  <c r="J1737" i="16"/>
  <c r="P1737" i="16"/>
  <c r="Q1737" i="16"/>
  <c r="R1737" i="16"/>
  <c r="T1737" i="16"/>
  <c r="L1738" i="16"/>
  <c r="C1738" i="16"/>
  <c r="K1738" i="16" s="1"/>
  <c r="E1738" i="16"/>
  <c r="F1738" i="16"/>
  <c r="O1738" i="16" s="1"/>
  <c r="G1738" i="16"/>
  <c r="I1738" i="16"/>
  <c r="B1739" i="16"/>
  <c r="S1682" i="16"/>
  <c r="U1682" i="16"/>
  <c r="D1683" i="16"/>
  <c r="J1683" i="16"/>
  <c r="P1683" i="16"/>
  <c r="Q1683" i="16"/>
  <c r="R1683" i="16"/>
  <c r="T1683" i="16"/>
  <c r="L1684" i="16"/>
  <c r="C1684" i="16"/>
  <c r="E1684" i="16"/>
  <c r="G1684" i="16"/>
  <c r="I1684" i="16"/>
  <c r="B1685" i="16"/>
  <c r="U1628" i="16"/>
  <c r="S1628" i="16"/>
  <c r="M1629" i="16"/>
  <c r="D1629" i="16"/>
  <c r="J1629" i="16"/>
  <c r="N1629" i="16" s="1"/>
  <c r="P1629" i="16"/>
  <c r="Q1629" i="16"/>
  <c r="R1629" i="16"/>
  <c r="T1629" i="16"/>
  <c r="L1630" i="16"/>
  <c r="C1630" i="16"/>
  <c r="E1630" i="16"/>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M1521" i="16"/>
  <c r="L1522" i="16"/>
  <c r="I1522" i="16"/>
  <c r="B1523" i="16"/>
  <c r="C1522" i="16"/>
  <c r="K1522" i="16" s="1"/>
  <c r="E1522" i="16"/>
  <c r="F1522" i="16"/>
  <c r="O1522" i="16" s="1"/>
  <c r="G1522" i="16"/>
  <c r="D1521" i="16"/>
  <c r="J1521" i="16"/>
  <c r="N1521" i="16" s="1"/>
  <c r="P1521" i="16"/>
  <c r="Q1521" i="16"/>
  <c r="R1521" i="16"/>
  <c r="T1521" i="16"/>
  <c r="U1466" i="16"/>
  <c r="S1466" i="16"/>
  <c r="M1467" i="16"/>
  <c r="D1467" i="16"/>
  <c r="J1467" i="16"/>
  <c r="N1467" i="16" s="1"/>
  <c r="P1467" i="16"/>
  <c r="Q1467" i="16"/>
  <c r="R1467" i="16"/>
  <c r="T1467" i="16"/>
  <c r="L1468" i="16"/>
  <c r="C1468" i="16"/>
  <c r="E1468" i="16"/>
  <c r="G1468" i="16"/>
  <c r="I1468" i="16"/>
  <c r="B1469" i="16"/>
  <c r="U1412" i="16"/>
  <c r="S1412" i="16"/>
  <c r="L1414" i="16"/>
  <c r="E1414" i="16"/>
  <c r="G1414" i="16"/>
  <c r="C1414" i="16"/>
  <c r="I1414" i="16"/>
  <c r="B1415" i="16"/>
  <c r="D1413" i="16"/>
  <c r="J1413" i="16"/>
  <c r="Q1413" i="16"/>
  <c r="P1413" i="16"/>
  <c r="R1413" i="16"/>
  <c r="T1413" i="16"/>
  <c r="U1358" i="16"/>
  <c r="S1358" i="16"/>
  <c r="M1359" i="16"/>
  <c r="D1359" i="16"/>
  <c r="J1359" i="16"/>
  <c r="N1359" i="16" s="1"/>
  <c r="P1359" i="16"/>
  <c r="Q1359" i="16"/>
  <c r="R1359" i="16"/>
  <c r="T1359" i="16"/>
  <c r="L1360" i="16"/>
  <c r="C1360" i="16"/>
  <c r="I1360" i="16"/>
  <c r="E1360" i="16"/>
  <c r="G1360" i="16"/>
  <c r="B1361" i="16"/>
  <c r="P1305" i="16"/>
  <c r="Q1305" i="16"/>
  <c r="R1305" i="16"/>
  <c r="T1305" i="16"/>
  <c r="L1306" i="16"/>
  <c r="C1306" i="16"/>
  <c r="K1306" i="16" s="1"/>
  <c r="G1306" i="16"/>
  <c r="B1307" i="16"/>
  <c r="E1306" i="16"/>
  <c r="F1306" i="16"/>
  <c r="O1306" i="16" s="1"/>
  <c r="I1306" i="16"/>
  <c r="D1305" i="16"/>
  <c r="J1305" i="16"/>
  <c r="M1252" i="16"/>
  <c r="J1252" i="16"/>
  <c r="N1252" i="16" s="1"/>
  <c r="D1252" i="16"/>
  <c r="P1252" i="16"/>
  <c r="Q1252" i="16"/>
  <c r="R1252" i="16"/>
  <c r="T1252" i="16"/>
  <c r="L1253" i="16"/>
  <c r="E1253" i="16"/>
  <c r="G1253" i="16"/>
  <c r="C1253" i="16"/>
  <c r="B1254" i="16"/>
  <c r="I1253" i="16"/>
  <c r="M1197" i="16"/>
  <c r="D1197" i="16"/>
  <c r="J1197" i="16"/>
  <c r="N1197" i="16" s="1"/>
  <c r="P1197" i="16"/>
  <c r="Q1197" i="16"/>
  <c r="R1197" i="16"/>
  <c r="T1197" i="16"/>
  <c r="L1198" i="16"/>
  <c r="C1198" i="16"/>
  <c r="E1198" i="16"/>
  <c r="G1198" i="16"/>
  <c r="I1198" i="16"/>
  <c r="B1199" i="16"/>
  <c r="U1142" i="16"/>
  <c r="S1142" i="16"/>
  <c r="D1143" i="16"/>
  <c r="J1143" i="16"/>
  <c r="P1143" i="16"/>
  <c r="Q1143" i="16"/>
  <c r="R1143" i="16"/>
  <c r="T1143" i="16"/>
  <c r="L1144" i="16"/>
  <c r="C1144" i="16"/>
  <c r="E1144" i="16"/>
  <c r="G1144" i="16"/>
  <c r="I1144" i="16"/>
  <c r="B1145" i="16"/>
  <c r="U1088" i="16"/>
  <c r="S1088" i="16"/>
  <c r="M1089" i="16"/>
  <c r="D1089" i="16"/>
  <c r="J1089" i="16"/>
  <c r="N1089" i="16" s="1"/>
  <c r="P1089" i="16"/>
  <c r="Q1089" i="16"/>
  <c r="R1089" i="16"/>
  <c r="T1089" i="16"/>
  <c r="L1090" i="16"/>
  <c r="C1090" i="16"/>
  <c r="E1090" i="16"/>
  <c r="G1090" i="16"/>
  <c r="I1090" i="16"/>
  <c r="B1091" i="16"/>
  <c r="U1034" i="16"/>
  <c r="S1034" i="16"/>
  <c r="M1035" i="16"/>
  <c r="D1035" i="16"/>
  <c r="J1035" i="16"/>
  <c r="N1035" i="16" s="1"/>
  <c r="P1035" i="16"/>
  <c r="Q1035" i="16"/>
  <c r="R1035" i="16"/>
  <c r="T1035" i="16"/>
  <c r="L1036" i="16"/>
  <c r="C1036" i="16"/>
  <c r="K1036" i="16" s="1"/>
  <c r="E1036" i="16"/>
  <c r="F1036" i="16"/>
  <c r="O1036" i="16" s="1"/>
  <c r="G1036" i="16"/>
  <c r="I1036" i="16"/>
  <c r="B1037" i="16"/>
  <c r="U980" i="16"/>
  <c r="S980" i="16"/>
  <c r="M981" i="16"/>
  <c r="D981" i="16"/>
  <c r="J981" i="16"/>
  <c r="N981" i="16" s="1"/>
  <c r="P981" i="16"/>
  <c r="Q981" i="16"/>
  <c r="R981" i="16"/>
  <c r="T981" i="16"/>
  <c r="L982" i="16"/>
  <c r="C982" i="16"/>
  <c r="E982" i="16"/>
  <c r="G982" i="16"/>
  <c r="I982" i="16"/>
  <c r="B983" i="16"/>
  <c r="M927" i="16"/>
  <c r="D927" i="16"/>
  <c r="J927" i="16"/>
  <c r="N927" i="16" s="1"/>
  <c r="P927" i="16"/>
  <c r="Q927" i="16"/>
  <c r="R927" i="16"/>
  <c r="T927" i="16"/>
  <c r="L928" i="16"/>
  <c r="C928" i="16"/>
  <c r="K928" i="16" s="1"/>
  <c r="E928" i="16"/>
  <c r="F928" i="16"/>
  <c r="O928" i="16" s="1"/>
  <c r="G928" i="16"/>
  <c r="I928" i="16"/>
  <c r="B929" i="16"/>
  <c r="U872" i="16"/>
  <c r="S872" i="16"/>
  <c r="D873" i="16"/>
  <c r="J873" i="16"/>
  <c r="Q873" i="16"/>
  <c r="P873" i="16"/>
  <c r="R873" i="16"/>
  <c r="T873" i="16"/>
  <c r="L874" i="16"/>
  <c r="C874" i="16"/>
  <c r="E874" i="16"/>
  <c r="G874" i="16"/>
  <c r="I874" i="16"/>
  <c r="B875" i="16"/>
  <c r="U818" i="16"/>
  <c r="S818" i="16"/>
  <c r="D819" i="16"/>
  <c r="J819" i="16"/>
  <c r="P819" i="16"/>
  <c r="Q819" i="16"/>
  <c r="R819" i="16"/>
  <c r="T819" i="16"/>
  <c r="L820" i="16"/>
  <c r="C820" i="16"/>
  <c r="E820" i="16"/>
  <c r="G820" i="16"/>
  <c r="I820" i="16"/>
  <c r="B821" i="16"/>
  <c r="U764" i="16"/>
  <c r="S764" i="16"/>
  <c r="M765" i="16"/>
  <c r="D765" i="16"/>
  <c r="J765" i="16"/>
  <c r="N765" i="16" s="1"/>
  <c r="Q765" i="16"/>
  <c r="P765" i="16"/>
  <c r="R765" i="16"/>
  <c r="T765" i="16"/>
  <c r="L766" i="16"/>
  <c r="G766" i="16"/>
  <c r="I766" i="16"/>
  <c r="C766" i="16"/>
  <c r="E766" i="16"/>
  <c r="B767" i="16"/>
  <c r="M711" i="16"/>
  <c r="D711" i="16"/>
  <c r="J711" i="16"/>
  <c r="N711" i="16" s="1"/>
  <c r="Q711" i="16"/>
  <c r="P711" i="16"/>
  <c r="R711" i="16"/>
  <c r="T711" i="16"/>
  <c r="L712" i="16"/>
  <c r="C712" i="16"/>
  <c r="K712" i="16" s="1"/>
  <c r="E712" i="16"/>
  <c r="F712" i="16"/>
  <c r="O712" i="16" s="1"/>
  <c r="G712" i="16"/>
  <c r="I712" i="16"/>
  <c r="B713" i="16"/>
  <c r="U656" i="16"/>
  <c r="S656" i="16"/>
  <c r="M657" i="16"/>
  <c r="D657" i="16"/>
  <c r="J657" i="16"/>
  <c r="N657" i="16" s="1"/>
  <c r="P657" i="16"/>
  <c r="Q657" i="16"/>
  <c r="R657" i="16"/>
  <c r="T657" i="16"/>
  <c r="L658" i="16"/>
  <c r="C658" i="16"/>
  <c r="K658" i="16" s="1"/>
  <c r="E658" i="16"/>
  <c r="F658" i="16"/>
  <c r="O658" i="16" s="1"/>
  <c r="G658" i="16"/>
  <c r="I658" i="16"/>
  <c r="B659" i="16"/>
  <c r="U602" i="16"/>
  <c r="S602" i="16"/>
  <c r="M603" i="16"/>
  <c r="D603" i="16"/>
  <c r="J603" i="16"/>
  <c r="N603" i="16" s="1"/>
  <c r="P603" i="16"/>
  <c r="Q603" i="16"/>
  <c r="R603" i="16"/>
  <c r="T603" i="16"/>
  <c r="L604" i="16"/>
  <c r="C604" i="16"/>
  <c r="E604" i="16"/>
  <c r="G604" i="16"/>
  <c r="I604" i="16"/>
  <c r="B605" i="16"/>
  <c r="S548" i="16"/>
  <c r="U548" i="16"/>
  <c r="M549" i="16"/>
  <c r="D549" i="16"/>
  <c r="J549" i="16"/>
  <c r="N549" i="16" s="1"/>
  <c r="Q549" i="16"/>
  <c r="P549" i="16"/>
  <c r="R549" i="16"/>
  <c r="T549" i="16"/>
  <c r="L550" i="16"/>
  <c r="C550" i="16"/>
  <c r="E550" i="16"/>
  <c r="G550" i="16"/>
  <c r="I550" i="16"/>
  <c r="B551" i="16"/>
  <c r="U494" i="16"/>
  <c r="S494" i="16"/>
  <c r="M495" i="16"/>
  <c r="D495" i="16"/>
  <c r="J495" i="16"/>
  <c r="N495" i="16" s="1"/>
  <c r="P495" i="16"/>
  <c r="Q495" i="16"/>
  <c r="R495" i="16"/>
  <c r="T495" i="16"/>
  <c r="L496" i="16"/>
  <c r="C496" i="16"/>
  <c r="K496" i="16" s="1"/>
  <c r="E496" i="16"/>
  <c r="F496" i="16"/>
  <c r="O496" i="16" s="1"/>
  <c r="G496" i="16"/>
  <c r="I496" i="16"/>
  <c r="B497" i="16"/>
  <c r="M441" i="16"/>
  <c r="D441" i="16"/>
  <c r="J441" i="16"/>
  <c r="N441" i="16" s="1"/>
  <c r="P441" i="16"/>
  <c r="Q441" i="16"/>
  <c r="R441" i="16"/>
  <c r="T441" i="16"/>
  <c r="L442" i="16"/>
  <c r="C442" i="16"/>
  <c r="K442" i="16" s="1"/>
  <c r="E442" i="16"/>
  <c r="F442" i="16"/>
  <c r="O442" i="16" s="1"/>
  <c r="G442" i="16"/>
  <c r="I442" i="16"/>
  <c r="B443" i="16"/>
  <c r="M387" i="16"/>
  <c r="D387" i="16"/>
  <c r="J387" i="16"/>
  <c r="N387" i="16" s="1"/>
  <c r="P387" i="16"/>
  <c r="Q387" i="16"/>
  <c r="R387" i="16"/>
  <c r="T387" i="16"/>
  <c r="L388" i="16"/>
  <c r="C388" i="16"/>
  <c r="K388" i="16" s="1"/>
  <c r="E388" i="16"/>
  <c r="F388" i="16"/>
  <c r="O388" i="16" s="1"/>
  <c r="G388" i="16"/>
  <c r="I388" i="16"/>
  <c r="B389" i="16"/>
  <c r="U332" i="16"/>
  <c r="S332" i="16"/>
  <c r="P333" i="16"/>
  <c r="Q333" i="16"/>
  <c r="R333" i="16"/>
  <c r="T333" i="16"/>
  <c r="J333" i="16"/>
  <c r="D333" i="16"/>
  <c r="L334" i="16"/>
  <c r="G334" i="16"/>
  <c r="E334" i="16"/>
  <c r="B335" i="16"/>
  <c r="I334" i="16"/>
  <c r="C334" i="16"/>
  <c r="U278" i="16"/>
  <c r="S278" i="16"/>
  <c r="M279" i="16"/>
  <c r="D279" i="16"/>
  <c r="J279" i="16"/>
  <c r="N279" i="16" s="1"/>
  <c r="P279" i="16"/>
  <c r="Q279" i="16"/>
  <c r="R279" i="16"/>
  <c r="T279" i="16"/>
  <c r="L280" i="16"/>
  <c r="C280" i="16"/>
  <c r="E280" i="16"/>
  <c r="G280" i="16"/>
  <c r="I280" i="16"/>
  <c r="B281" i="16"/>
  <c r="U224" i="16"/>
  <c r="S224" i="16"/>
  <c r="M225" i="16"/>
  <c r="D225" i="16"/>
  <c r="J225" i="16"/>
  <c r="N225" i="16" s="1"/>
  <c r="P225" i="16"/>
  <c r="Q225" i="16"/>
  <c r="R225" i="16"/>
  <c r="T225" i="16"/>
  <c r="L226" i="16"/>
  <c r="C226" i="16"/>
  <c r="K226" i="16" s="1"/>
  <c r="E226" i="16"/>
  <c r="F226" i="16"/>
  <c r="O226" i="16" s="1"/>
  <c r="G226" i="16"/>
  <c r="I226" i="16"/>
  <c r="B227" i="16"/>
  <c r="M171" i="16"/>
  <c r="D171" i="16"/>
  <c r="J171" i="16"/>
  <c r="N171" i="16" s="1"/>
  <c r="P171" i="16"/>
  <c r="Q171" i="16"/>
  <c r="R171" i="16"/>
  <c r="T171" i="16"/>
  <c r="L172" i="16"/>
  <c r="C172" i="16"/>
  <c r="K172" i="16" s="1"/>
  <c r="E172" i="16"/>
  <c r="F172" i="16"/>
  <c r="O172" i="16" s="1"/>
  <c r="G172" i="16"/>
  <c r="I172" i="16"/>
  <c r="B173" i="16"/>
  <c r="M117" i="16"/>
  <c r="D117" i="16"/>
  <c r="J117" i="16"/>
  <c r="N117" i="16" s="1"/>
  <c r="P117" i="16"/>
  <c r="Q117" i="16"/>
  <c r="R117" i="16"/>
  <c r="T117" i="16"/>
  <c r="L118" i="16"/>
  <c r="C118" i="16"/>
  <c r="K118" i="16" s="1"/>
  <c r="E118" i="16"/>
  <c r="F118" i="16"/>
  <c r="O118" i="16" s="1"/>
  <c r="G118" i="16"/>
  <c r="I118" i="16"/>
  <c r="B119" i="16"/>
  <c r="C88" i="7"/>
  <c r="G88" i="7" s="1"/>
  <c r="F54" i="5"/>
  <c r="G54" i="5"/>
  <c r="H54" i="5"/>
  <c r="U54" i="4"/>
  <c r="S54"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BF55" i="4" s="1"/>
  <c r="P55" i="4"/>
  <c r="F55" i="5" s="1"/>
  <c r="Q55" i="4"/>
  <c r="G55" i="5" s="1"/>
  <c r="R55" i="4"/>
  <c r="H55" i="5" s="1"/>
  <c r="T55" i="4"/>
  <c r="V55" i="4"/>
  <c r="M55" i="4"/>
  <c r="I56" i="4"/>
  <c r="B57" i="4"/>
  <c r="C56" i="4"/>
  <c r="K56" i="4" s="1"/>
  <c r="E56" i="4"/>
  <c r="F56" i="4"/>
  <c r="C56" i="5" s="1"/>
  <c r="E56" i="5" s="1"/>
  <c r="G56" i="4"/>
  <c r="L56" i="4"/>
  <c r="B56" i="5"/>
  <c r="U4195" i="16"/>
  <c r="S4195" i="16"/>
  <c r="U4087" i="16"/>
  <c r="S4087" i="16"/>
  <c r="U3733" i="16"/>
  <c r="S3733" i="16"/>
  <c r="S3463" i="16"/>
  <c r="U3463" i="16"/>
  <c r="U3409" i="16"/>
  <c r="S3409" i="16"/>
  <c r="U3247" i="16"/>
  <c r="S3247" i="16"/>
  <c r="U3193" i="16"/>
  <c r="S3193" i="16"/>
  <c r="U3139" i="16"/>
  <c r="S3139" i="16"/>
  <c r="U3085" i="16"/>
  <c r="S3085" i="16"/>
  <c r="U3031" i="16"/>
  <c r="S3031" i="16"/>
  <c r="U2923" i="16"/>
  <c r="S2923" i="16"/>
  <c r="U2869" i="16"/>
  <c r="S2869" i="16"/>
  <c r="U2653" i="16"/>
  <c r="S2653" i="16"/>
  <c r="S2329" i="16"/>
  <c r="U2329" i="16"/>
  <c r="U2221" i="16"/>
  <c r="S2221" i="16"/>
  <c r="U2167" i="16"/>
  <c r="S2167" i="16"/>
  <c r="S2113" i="16"/>
  <c r="U2113" i="16"/>
  <c r="U2005" i="16"/>
  <c r="S2005" i="16"/>
  <c r="S1897" i="16"/>
  <c r="U1897" i="16"/>
  <c r="U1789" i="16"/>
  <c r="S1789" i="16"/>
  <c r="U1519" i="16"/>
  <c r="S1519" i="16"/>
  <c r="U1303" i="16"/>
  <c r="S1303" i="16"/>
  <c r="U1250" i="16"/>
  <c r="S1250" i="16"/>
  <c r="U1195" i="16"/>
  <c r="S1195" i="16"/>
  <c r="U979" i="16"/>
  <c r="S979" i="16"/>
  <c r="U709" i="16"/>
  <c r="S709" i="16"/>
  <c r="U439" i="16"/>
  <c r="S439" i="16"/>
  <c r="U169" i="16"/>
  <c r="S169" i="16"/>
  <c r="M4604" i="16"/>
  <c r="N4604" i="16"/>
  <c r="M4550" i="16"/>
  <c r="N4550" i="16"/>
  <c r="M4250" i="16"/>
  <c r="N4250" i="16"/>
  <c r="N4142" i="16"/>
  <c r="M4142" i="16"/>
  <c r="M3788" i="16"/>
  <c r="N3788" i="16"/>
  <c r="M3518" i="16"/>
  <c r="N3518" i="16"/>
  <c r="M3410" i="16"/>
  <c r="N3410" i="16"/>
  <c r="M3194" i="16"/>
  <c r="N3194" i="16"/>
  <c r="N3086" i="16"/>
  <c r="M3086" i="16"/>
  <c r="N3032" i="16"/>
  <c r="M3032" i="16"/>
  <c r="M2870" i="16"/>
  <c r="N2870" i="16"/>
  <c r="M2816" i="16"/>
  <c r="N2816" i="16"/>
  <c r="S2816" i="16" s="1"/>
  <c r="M2546" i="16"/>
  <c r="N2546" i="16"/>
  <c r="M2384" i="16"/>
  <c r="N2384" i="16"/>
  <c r="M2330" i="16"/>
  <c r="N2330" i="16"/>
  <c r="M2276" i="16"/>
  <c r="N2276" i="16"/>
  <c r="M2060" i="16"/>
  <c r="N2060" i="16"/>
  <c r="M2006" i="16"/>
  <c r="N2006" i="16"/>
  <c r="M1736" i="16"/>
  <c r="N1736" i="16"/>
  <c r="M1520" i="16"/>
  <c r="N1520" i="16"/>
  <c r="M1304" i="16"/>
  <c r="N1304" i="16"/>
  <c r="M1251" i="16"/>
  <c r="N1251" i="16"/>
  <c r="M1196" i="16"/>
  <c r="N1196" i="16"/>
  <c r="M926" i="16"/>
  <c r="N926" i="16"/>
  <c r="M710" i="16"/>
  <c r="N710" i="16"/>
  <c r="M440" i="16"/>
  <c r="N440" i="16"/>
  <c r="M386" i="16"/>
  <c r="N386" i="16"/>
  <c r="M170" i="16"/>
  <c r="N170" i="16"/>
  <c r="M116" i="16"/>
  <c r="N116" i="16"/>
  <c r="K4551" i="16"/>
  <c r="F4551" i="16"/>
  <c r="F4197" i="16"/>
  <c r="O4197" i="16" s="1"/>
  <c r="K4197" i="16"/>
  <c r="F3249" i="16"/>
  <c r="O3249" i="16" s="1"/>
  <c r="K3249" i="16"/>
  <c r="F3195" i="16"/>
  <c r="O3195" i="16" s="1"/>
  <c r="K3195" i="16"/>
  <c r="F3141" i="16"/>
  <c r="O3141" i="16" s="1"/>
  <c r="K3141" i="16"/>
  <c r="F3087" i="16"/>
  <c r="O3087" i="16" s="1"/>
  <c r="K3087" i="16"/>
  <c r="F2871" i="16"/>
  <c r="O2871" i="16" s="1"/>
  <c r="K2871" i="16"/>
  <c r="F2601" i="16"/>
  <c r="O2601" i="16" s="1"/>
  <c r="K2601" i="16"/>
  <c r="F2547" i="16"/>
  <c r="O2547" i="16" s="1"/>
  <c r="K2547" i="16"/>
  <c r="K2331" i="16"/>
  <c r="F2331" i="16"/>
  <c r="O2331" i="16" s="1"/>
  <c r="K2007" i="16"/>
  <c r="F2007" i="16"/>
  <c r="O2007" i="16" s="1"/>
  <c r="K1737" i="16"/>
  <c r="F1737" i="16"/>
  <c r="O1737" i="16" s="1"/>
  <c r="K1683" i="16"/>
  <c r="F1683" i="16"/>
  <c r="O1683" i="16" s="1"/>
  <c r="K1413" i="16"/>
  <c r="F1413" i="16"/>
  <c r="O1413" i="16" s="1"/>
  <c r="K1305" i="16"/>
  <c r="F1305" i="16"/>
  <c r="O1305" i="16" s="1"/>
  <c r="K1143" i="16"/>
  <c r="F1143" i="16"/>
  <c r="O1143" i="16" s="1"/>
  <c r="K873" i="16"/>
  <c r="F873" i="16"/>
  <c r="O873" i="16" s="1"/>
  <c r="F819" i="16"/>
  <c r="O819" i="16" s="1"/>
  <c r="K819" i="16"/>
  <c r="F333" i="16"/>
  <c r="O333" i="16" s="1"/>
  <c r="K333" i="16"/>
  <c r="K2818" i="16" l="1"/>
  <c r="F2818" i="16"/>
  <c r="O2818" i="16" s="1"/>
  <c r="K1198" i="16"/>
  <c r="F1198" i="16"/>
  <c r="O1198" i="16" s="1"/>
  <c r="K982" i="16"/>
  <c r="F982" i="16"/>
  <c r="O982" i="16" s="1"/>
  <c r="T4712" i="16"/>
  <c r="S4713" i="16"/>
  <c r="T4713" i="16" s="1"/>
  <c r="U4713" i="16"/>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D4606" i="16"/>
  <c r="J4606" i="16"/>
  <c r="P4606" i="16"/>
  <c r="Q4606" i="16"/>
  <c r="R4606" i="16"/>
  <c r="L4607" i="16"/>
  <c r="C4607" i="16"/>
  <c r="E4607" i="16"/>
  <c r="G4607" i="16"/>
  <c r="I4607" i="16"/>
  <c r="B4608" i="16"/>
  <c r="D4552" i="16"/>
  <c r="J4552" i="16"/>
  <c r="P4552" i="16"/>
  <c r="Q4552" i="16"/>
  <c r="R4552" i="16"/>
  <c r="L4553" i="16"/>
  <c r="C4553" i="16"/>
  <c r="K4553" i="16" s="1"/>
  <c r="E4553" i="16"/>
  <c r="F4553" i="16"/>
  <c r="G4553" i="16"/>
  <c r="I4553" i="16"/>
  <c r="B4554" i="16"/>
  <c r="U4251" i="16"/>
  <c r="S4251" i="16"/>
  <c r="D4252" i="16"/>
  <c r="J4252" i="16"/>
  <c r="P4252" i="16"/>
  <c r="Q4252" i="16"/>
  <c r="R4252" i="16"/>
  <c r="T4252" i="16"/>
  <c r="L4253" i="16"/>
  <c r="C4253" i="16"/>
  <c r="K4253" i="16" s="1"/>
  <c r="E4253" i="16"/>
  <c r="F4253" i="16"/>
  <c r="O4253" i="16" s="1"/>
  <c r="G4253" i="16"/>
  <c r="I4253" i="16"/>
  <c r="B4254" i="16"/>
  <c r="D4198" i="16"/>
  <c r="J4198" i="16"/>
  <c r="N4198" i="16" s="1"/>
  <c r="P4198" i="16"/>
  <c r="Q4198" i="16"/>
  <c r="R4198" i="16"/>
  <c r="T4198" i="16"/>
  <c r="M4198" i="16"/>
  <c r="C4199" i="16"/>
  <c r="E4199" i="16"/>
  <c r="I4199" i="16"/>
  <c r="K4199" i="16"/>
  <c r="F4199" i="16"/>
  <c r="O4199" i="16" s="1"/>
  <c r="G4199" i="16"/>
  <c r="L4199" i="16"/>
  <c r="B4200" i="16"/>
  <c r="U4143" i="16"/>
  <c r="S4143" i="16"/>
  <c r="P4144" i="16"/>
  <c r="Q4144" i="16"/>
  <c r="R4144" i="16"/>
  <c r="T4144" i="16"/>
  <c r="I4145" i="16"/>
  <c r="C4145" i="16"/>
  <c r="E4145" i="16"/>
  <c r="G4145" i="16"/>
  <c r="L4145" i="16"/>
  <c r="B4146" i="16"/>
  <c r="D4144" i="16"/>
  <c r="J4144" i="16"/>
  <c r="N4144" i="16" s="1"/>
  <c r="M4144"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K3791" i="16" s="1"/>
  <c r="E3791" i="16"/>
  <c r="F3791" i="16"/>
  <c r="O3791" i="16" s="1"/>
  <c r="G3791" i="16"/>
  <c r="I3791" i="16"/>
  <c r="B3792" i="16"/>
  <c r="U3735" i="16"/>
  <c r="S3735" i="16"/>
  <c r="D3736" i="16"/>
  <c r="J3736" i="16"/>
  <c r="P3736" i="16"/>
  <c r="Q3736" i="16"/>
  <c r="R3736" i="16"/>
  <c r="T3736" i="16"/>
  <c r="L3737" i="16"/>
  <c r="I3737" i="16"/>
  <c r="C3737" i="16"/>
  <c r="E3737" i="16"/>
  <c r="G3737" i="16"/>
  <c r="B3738" i="16"/>
  <c r="S3681" i="16"/>
  <c r="U3681" i="16"/>
  <c r="D3682" i="16"/>
  <c r="J3682" i="16"/>
  <c r="P3682" i="16"/>
  <c r="Q3682" i="16"/>
  <c r="R3682" i="16"/>
  <c r="T3682" i="16"/>
  <c r="L3683" i="16"/>
  <c r="C3683" i="16"/>
  <c r="E3683" i="16"/>
  <c r="G3683" i="16"/>
  <c r="I3683" i="16"/>
  <c r="B3684" i="16"/>
  <c r="U3627" i="16"/>
  <c r="S3627" i="16"/>
  <c r="M3628" i="16"/>
  <c r="D3628" i="16"/>
  <c r="J3628" i="16"/>
  <c r="N3628" i="16" s="1"/>
  <c r="P3628" i="16"/>
  <c r="Q3628" i="16"/>
  <c r="R3628" i="16"/>
  <c r="T3628" i="16"/>
  <c r="L3629" i="16"/>
  <c r="C3629" i="16"/>
  <c r="E3629" i="16"/>
  <c r="G3629" i="16"/>
  <c r="I3629" i="16"/>
  <c r="B3630" i="16"/>
  <c r="U3573" i="16"/>
  <c r="S3573" i="16"/>
  <c r="D3574" i="16"/>
  <c r="J3574" i="16"/>
  <c r="P3574" i="16"/>
  <c r="Q3574" i="16"/>
  <c r="R3574" i="16"/>
  <c r="T3574" i="16"/>
  <c r="L3575" i="16"/>
  <c r="C3575" i="16"/>
  <c r="K3575" i="16" s="1"/>
  <c r="E3575" i="16"/>
  <c r="F3575" i="16"/>
  <c r="O3575" i="16" s="1"/>
  <c r="G3575" i="16"/>
  <c r="I3575" i="16"/>
  <c r="B3576" i="16"/>
  <c r="U3519" i="16"/>
  <c r="S3519" i="16"/>
  <c r="M3520" i="16"/>
  <c r="D3520" i="16"/>
  <c r="J3520" i="16"/>
  <c r="N3520" i="16" s="1"/>
  <c r="P3520" i="16"/>
  <c r="Q3520" i="16"/>
  <c r="R3520" i="16"/>
  <c r="T3520" i="16"/>
  <c r="L3521" i="16"/>
  <c r="C3521" i="16"/>
  <c r="K3521" i="16" s="1"/>
  <c r="E3521" i="16"/>
  <c r="F3521" i="16"/>
  <c r="O3521" i="16" s="1"/>
  <c r="G3521" i="16"/>
  <c r="I3521" i="16"/>
  <c r="B3522" i="16"/>
  <c r="S3465" i="16"/>
  <c r="U3465" i="16"/>
  <c r="M3466" i="16"/>
  <c r="D3466" i="16"/>
  <c r="J3466" i="16"/>
  <c r="N3466" i="16" s="1"/>
  <c r="P3466" i="16"/>
  <c r="Q3466" i="16"/>
  <c r="R3466" i="16"/>
  <c r="T3466" i="16"/>
  <c r="L3467" i="16"/>
  <c r="E3467" i="16"/>
  <c r="G3467" i="16"/>
  <c r="I3467" i="16"/>
  <c r="B3468" i="16"/>
  <c r="C3467" i="16"/>
  <c r="U3411" i="16"/>
  <c r="S3411" i="16"/>
  <c r="D3412" i="16"/>
  <c r="J3412" i="16"/>
  <c r="P3412" i="16"/>
  <c r="Q3412" i="16"/>
  <c r="R3412" i="16"/>
  <c r="T3412" i="16"/>
  <c r="L3413" i="16"/>
  <c r="C3413" i="16"/>
  <c r="E3413" i="16"/>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D3304" i="16"/>
  <c r="J3304" i="16"/>
  <c r="P3304" i="16"/>
  <c r="Q3304" i="16"/>
  <c r="R3304" i="16"/>
  <c r="T3304" i="16"/>
  <c r="L3305" i="16"/>
  <c r="C3305" i="16"/>
  <c r="K3305" i="16" s="1"/>
  <c r="E3305" i="16"/>
  <c r="F3305" i="16"/>
  <c r="O3305" i="16" s="1"/>
  <c r="G3305" i="16"/>
  <c r="I3305" i="16"/>
  <c r="B3306" i="16"/>
  <c r="P3250" i="16"/>
  <c r="Q3250" i="16"/>
  <c r="R3250" i="16"/>
  <c r="T3250" i="16"/>
  <c r="D3250" i="16"/>
  <c r="J3250" i="16"/>
  <c r="L3251" i="16"/>
  <c r="C3251" i="16"/>
  <c r="K3251" i="16" s="1"/>
  <c r="G3251" i="16"/>
  <c r="I3251" i="16"/>
  <c r="E3251" i="16"/>
  <c r="F3251" i="16"/>
  <c r="O3251" i="16" s="1"/>
  <c r="B3252" i="16"/>
  <c r="L3197" i="16"/>
  <c r="G3197" i="16"/>
  <c r="C3197" i="16"/>
  <c r="E3197" i="16"/>
  <c r="I3197" i="16"/>
  <c r="B3198" i="16"/>
  <c r="J3196" i="16"/>
  <c r="D3196" i="16"/>
  <c r="P3196" i="16"/>
  <c r="Q3196" i="16"/>
  <c r="R3196" i="16"/>
  <c r="T3196" i="16"/>
  <c r="J3142" i="16"/>
  <c r="D3142" i="16"/>
  <c r="P3142" i="16"/>
  <c r="Q3142" i="16"/>
  <c r="R3142" i="16"/>
  <c r="T3142" i="16"/>
  <c r="L3143" i="16"/>
  <c r="G3143" i="16"/>
  <c r="B3144" i="16"/>
  <c r="C3143" i="16"/>
  <c r="E3143" i="16"/>
  <c r="I3143" i="16"/>
  <c r="L3089" i="16"/>
  <c r="G3089" i="16"/>
  <c r="B3090" i="16"/>
  <c r="I3089" i="16"/>
  <c r="C3089" i="16"/>
  <c r="K3089" i="16" s="1"/>
  <c r="F3089" i="16"/>
  <c r="O3089" i="16" s="1"/>
  <c r="E3089" i="16"/>
  <c r="P3088" i="16"/>
  <c r="Q3088" i="16"/>
  <c r="R3088" i="16"/>
  <c r="T3088" i="16"/>
  <c r="D3088" i="16"/>
  <c r="J3088" i="16"/>
  <c r="U3033" i="16"/>
  <c r="S3033" i="16"/>
  <c r="M3034" i="16"/>
  <c r="J3034" i="16"/>
  <c r="N3034" i="16" s="1"/>
  <c r="D3034" i="16"/>
  <c r="P3034" i="16"/>
  <c r="Q3034" i="16"/>
  <c r="R3034" i="16"/>
  <c r="T3034" i="16"/>
  <c r="L3035" i="16"/>
  <c r="G3035" i="16"/>
  <c r="I3035" i="16"/>
  <c r="E3035" i="16"/>
  <c r="B3036" i="16"/>
  <c r="C3035" i="16"/>
  <c r="U2979" i="16"/>
  <c r="S2979" i="16"/>
  <c r="D2980" i="16"/>
  <c r="J2980" i="16"/>
  <c r="P2980" i="16"/>
  <c r="Q2980" i="16"/>
  <c r="R2980" i="16"/>
  <c r="T2980" i="16"/>
  <c r="L2981" i="16"/>
  <c r="C2981" i="16"/>
  <c r="K2981" i="16" s="1"/>
  <c r="E2981" i="16"/>
  <c r="F2981" i="16"/>
  <c r="O2981" i="16" s="1"/>
  <c r="G2981" i="16"/>
  <c r="I2981" i="16"/>
  <c r="B2982" i="16"/>
  <c r="U2925" i="16"/>
  <c r="S2925" i="16"/>
  <c r="D2926" i="16"/>
  <c r="J2926" i="16"/>
  <c r="P2926" i="16"/>
  <c r="Q2926" i="16"/>
  <c r="R2926" i="16"/>
  <c r="T2926" i="16"/>
  <c r="L2927" i="16"/>
  <c r="C2927" i="16"/>
  <c r="K2927" i="16" s="1"/>
  <c r="E2927" i="16"/>
  <c r="F2927" i="16"/>
  <c r="O2927" i="16" s="1"/>
  <c r="G2927" i="16"/>
  <c r="I2927" i="16"/>
  <c r="B2928" i="16"/>
  <c r="D2872" i="16"/>
  <c r="J2872" i="16"/>
  <c r="P2872" i="16"/>
  <c r="Q2872" i="16"/>
  <c r="R2872" i="16"/>
  <c r="T2872" i="16"/>
  <c r="L2873" i="16"/>
  <c r="C2873" i="16"/>
  <c r="K2873" i="16" s="1"/>
  <c r="E2873" i="16"/>
  <c r="F2873" i="16"/>
  <c r="O2873" i="16" s="1"/>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E2765" i="16"/>
  <c r="G2765" i="16"/>
  <c r="I2765" i="16"/>
  <c r="B2766" i="16"/>
  <c r="U2709" i="16"/>
  <c r="S2709" i="16"/>
  <c r="M2710" i="16"/>
  <c r="D2710" i="16"/>
  <c r="J2710" i="16"/>
  <c r="N2710" i="16" s="1"/>
  <c r="P2710" i="16"/>
  <c r="Q2710" i="16"/>
  <c r="R2710" i="16"/>
  <c r="T2710" i="16"/>
  <c r="L2711" i="16"/>
  <c r="C2711" i="16"/>
  <c r="K2711" i="16" s="1"/>
  <c r="E2711" i="16"/>
  <c r="F2711" i="16"/>
  <c r="O2711" i="16" s="1"/>
  <c r="G2711" i="16"/>
  <c r="I2711" i="16"/>
  <c r="B2712" i="16"/>
  <c r="U2655" i="16"/>
  <c r="S2655" i="16"/>
  <c r="D2656" i="16"/>
  <c r="J2656" i="16"/>
  <c r="P2656" i="16"/>
  <c r="Q2656" i="16"/>
  <c r="R2656" i="16"/>
  <c r="T2656" i="16"/>
  <c r="L2657" i="16"/>
  <c r="C2657" i="16"/>
  <c r="K2657" i="16" s="1"/>
  <c r="E2657" i="16"/>
  <c r="F2657" i="16"/>
  <c r="O2657" i="16" s="1"/>
  <c r="G2657" i="16"/>
  <c r="I2657" i="16"/>
  <c r="B2658" i="16"/>
  <c r="M2602" i="16"/>
  <c r="D2602" i="16"/>
  <c r="J2602" i="16"/>
  <c r="N2602" i="16" s="1"/>
  <c r="P2602" i="16"/>
  <c r="Q2602" i="16"/>
  <c r="R2602" i="16"/>
  <c r="T2602" i="16"/>
  <c r="L2603" i="16"/>
  <c r="C2603" i="16"/>
  <c r="E2603" i="16"/>
  <c r="G2603" i="16"/>
  <c r="I2603" i="16"/>
  <c r="B2604" i="16"/>
  <c r="M2548" i="16"/>
  <c r="D2548" i="16"/>
  <c r="J2548" i="16"/>
  <c r="N2548" i="16" s="1"/>
  <c r="P2548" i="16"/>
  <c r="Q2548" i="16"/>
  <c r="R2548" i="16"/>
  <c r="T2548" i="16"/>
  <c r="L2549" i="16"/>
  <c r="C2549" i="16"/>
  <c r="K2549" i="16" s="1"/>
  <c r="E2549" i="16"/>
  <c r="F2549" i="16"/>
  <c r="O2549" i="16" s="1"/>
  <c r="G2549" i="16"/>
  <c r="I2549" i="16"/>
  <c r="B2550" i="16"/>
  <c r="U2493" i="16"/>
  <c r="S2493" i="16"/>
  <c r="M2494" i="16"/>
  <c r="D2494" i="16"/>
  <c r="J2494" i="16"/>
  <c r="N2494" i="16" s="1"/>
  <c r="Q2494" i="16"/>
  <c r="P2494" i="16"/>
  <c r="R2494" i="16"/>
  <c r="T2494" i="16"/>
  <c r="L2495" i="16"/>
  <c r="C2495" i="16"/>
  <c r="K2495" i="16" s="1"/>
  <c r="E2495" i="16"/>
  <c r="F2495" i="16"/>
  <c r="O2495" i="16" s="1"/>
  <c r="G2495" i="16"/>
  <c r="I2495" i="16"/>
  <c r="B2496" i="16"/>
  <c r="U2439" i="16"/>
  <c r="S2439" i="16"/>
  <c r="D2440" i="16"/>
  <c r="J2440" i="16"/>
  <c r="Q2440" i="16"/>
  <c r="R2440" i="16"/>
  <c r="P2440" i="16"/>
  <c r="T2440" i="16"/>
  <c r="L2441" i="16"/>
  <c r="C2441" i="16"/>
  <c r="E2441" i="16"/>
  <c r="G2441" i="16"/>
  <c r="I2441" i="16"/>
  <c r="B2442" i="16"/>
  <c r="U2385" i="16"/>
  <c r="S2385" i="16"/>
  <c r="M2386" i="16"/>
  <c r="D2386" i="16"/>
  <c r="J2386" i="16"/>
  <c r="N2386" i="16" s="1"/>
  <c r="Q2386" i="16"/>
  <c r="P2386" i="16"/>
  <c r="R2386" i="16"/>
  <c r="T2386" i="16"/>
  <c r="L2387" i="16"/>
  <c r="C2387" i="16"/>
  <c r="E2387" i="16"/>
  <c r="G2387" i="16"/>
  <c r="I2387" i="16"/>
  <c r="B2388" i="16"/>
  <c r="M2332" i="16"/>
  <c r="D2332" i="16"/>
  <c r="J2332" i="16"/>
  <c r="N2332" i="16" s="1"/>
  <c r="Q2332" i="16"/>
  <c r="P2332" i="16"/>
  <c r="R2332" i="16"/>
  <c r="T2332" i="16"/>
  <c r="L2333" i="16"/>
  <c r="C2333" i="16"/>
  <c r="E2333" i="16"/>
  <c r="G2333" i="16"/>
  <c r="I2333" i="16"/>
  <c r="B2334"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Q2224" i="16"/>
  <c r="P2224" i="16"/>
  <c r="R2224" i="16"/>
  <c r="T2224" i="16"/>
  <c r="D2224" i="16"/>
  <c r="J2224" i="16"/>
  <c r="L2225" i="16"/>
  <c r="C2225" i="16"/>
  <c r="K2225" i="16" s="1"/>
  <c r="I2225" i="16"/>
  <c r="E2225" i="16"/>
  <c r="F2225" i="16"/>
  <c r="O2225" i="16" s="1"/>
  <c r="G2225" i="16"/>
  <c r="B2226" i="16"/>
  <c r="U2169" i="16"/>
  <c r="S2169" i="16"/>
  <c r="J2170" i="16"/>
  <c r="D2170" i="16"/>
  <c r="P2170" i="16"/>
  <c r="Q2170" i="16"/>
  <c r="R2170" i="16"/>
  <c r="T2170" i="16"/>
  <c r="L2171" i="16"/>
  <c r="G2171" i="16"/>
  <c r="I2171" i="16"/>
  <c r="C2171" i="16"/>
  <c r="K2171" i="16" s="1"/>
  <c r="E2171" i="16"/>
  <c r="F2171" i="16"/>
  <c r="O2171" i="16" s="1"/>
  <c r="B2172" i="16"/>
  <c r="S2115" i="16"/>
  <c r="U2115" i="16"/>
  <c r="M2116" i="16"/>
  <c r="D2116" i="16"/>
  <c r="J2116" i="16"/>
  <c r="N2116" i="16" s="1"/>
  <c r="P2116" i="16"/>
  <c r="Q2116" i="16"/>
  <c r="R2116" i="16"/>
  <c r="T2116" i="16"/>
  <c r="L2117" i="16"/>
  <c r="C2117" i="16"/>
  <c r="K2117" i="16" s="1"/>
  <c r="E2117" i="16"/>
  <c r="F2117" i="16"/>
  <c r="O2117" i="16" s="1"/>
  <c r="G2117" i="16"/>
  <c r="B2118" i="16"/>
  <c r="I2117" i="16"/>
  <c r="U2061" i="16"/>
  <c r="S2061" i="16"/>
  <c r="M2062" i="16"/>
  <c r="D2062" i="16"/>
  <c r="J2062" i="16"/>
  <c r="N2062" i="16" s="1"/>
  <c r="P2062" i="16"/>
  <c r="Q2062" i="16"/>
  <c r="R2062" i="16"/>
  <c r="T2062" i="16"/>
  <c r="L2063" i="16"/>
  <c r="C2063" i="16"/>
  <c r="K2063" i="16" s="1"/>
  <c r="E2063" i="16"/>
  <c r="F2063" i="16"/>
  <c r="O2063" i="16" s="1"/>
  <c r="G2063" i="16"/>
  <c r="I2063" i="16"/>
  <c r="B2064" i="16"/>
  <c r="M2008" i="16"/>
  <c r="D2008" i="16"/>
  <c r="J2008" i="16"/>
  <c r="N2008" i="16" s="1"/>
  <c r="P2008" i="16"/>
  <c r="Q2008" i="16"/>
  <c r="R2008" i="16"/>
  <c r="T2008" i="16"/>
  <c r="L2009" i="16"/>
  <c r="C2009" i="16"/>
  <c r="K2009" i="16" s="1"/>
  <c r="E2009" i="16"/>
  <c r="F2009" i="16"/>
  <c r="O2009" i="16" s="1"/>
  <c r="G2009" i="16"/>
  <c r="I2009" i="16"/>
  <c r="B2010" i="16"/>
  <c r="U1953" i="16"/>
  <c r="S1953" i="16"/>
  <c r="D1954" i="16"/>
  <c r="J1954" i="16"/>
  <c r="P1954" i="16"/>
  <c r="Q1954" i="16"/>
  <c r="R1954" i="16"/>
  <c r="T1954" i="16"/>
  <c r="L1955" i="16"/>
  <c r="C1955" i="16"/>
  <c r="E1955" i="16"/>
  <c r="G1955" i="16"/>
  <c r="I1955" i="16"/>
  <c r="B1956" i="16"/>
  <c r="S1899" i="16"/>
  <c r="U1899" i="16"/>
  <c r="D1900" i="16"/>
  <c r="J1900" i="16"/>
  <c r="P1900" i="16"/>
  <c r="Q1900" i="16"/>
  <c r="R1900" i="16"/>
  <c r="T1900" i="16"/>
  <c r="L1901" i="16"/>
  <c r="C1901" i="16"/>
  <c r="K1901" i="16" s="1"/>
  <c r="E1901" i="16"/>
  <c r="F1901" i="16"/>
  <c r="O1901" i="16" s="1"/>
  <c r="G1901" i="16"/>
  <c r="I1901" i="16"/>
  <c r="B1902" i="16"/>
  <c r="U1845" i="16"/>
  <c r="S1845" i="16"/>
  <c r="M1846" i="16"/>
  <c r="D1846" i="16"/>
  <c r="J1846" i="16"/>
  <c r="N1846" i="16" s="1"/>
  <c r="P1846" i="16"/>
  <c r="Q1846" i="16"/>
  <c r="R1846" i="16"/>
  <c r="T1846" i="16"/>
  <c r="L1847" i="16"/>
  <c r="C1847" i="16"/>
  <c r="K1847" i="16" s="1"/>
  <c r="E1847" i="16"/>
  <c r="F1847" i="16"/>
  <c r="O1847" i="16" s="1"/>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M1738" i="16"/>
  <c r="D1738" i="16"/>
  <c r="J1738" i="16"/>
  <c r="N1738" i="16" s="1"/>
  <c r="P1738" i="16"/>
  <c r="Q1738" i="16"/>
  <c r="R1738" i="16"/>
  <c r="T1738" i="16"/>
  <c r="L1739" i="16"/>
  <c r="C1739" i="16"/>
  <c r="K1739" i="16" s="1"/>
  <c r="E1739" i="16"/>
  <c r="F1739" i="16"/>
  <c r="O1739" i="16" s="1"/>
  <c r="G1739" i="16"/>
  <c r="I1739" i="16"/>
  <c r="B1740" i="16"/>
  <c r="D1684" i="16"/>
  <c r="J1684" i="16"/>
  <c r="P1684" i="16"/>
  <c r="Q1684" i="16"/>
  <c r="R1684" i="16"/>
  <c r="T1684" i="16"/>
  <c r="L1685" i="16"/>
  <c r="C1685" i="16"/>
  <c r="K1685" i="16" s="1"/>
  <c r="E1685" i="16"/>
  <c r="F1685" i="16"/>
  <c r="O1685" i="16" s="1"/>
  <c r="G1685" i="16"/>
  <c r="I1685" i="16"/>
  <c r="B1686" i="16"/>
  <c r="U1629" i="16"/>
  <c r="S1629" i="16"/>
  <c r="D1630" i="16"/>
  <c r="J1630" i="16"/>
  <c r="P1630" i="16"/>
  <c r="Q1630" i="16"/>
  <c r="R1630" i="16"/>
  <c r="T1630" i="16"/>
  <c r="L1631" i="16"/>
  <c r="C1631" i="16"/>
  <c r="K1631" i="16" s="1"/>
  <c r="E1631" i="16"/>
  <c r="F1631" i="16"/>
  <c r="O1631" i="16" s="1"/>
  <c r="G1631" i="16"/>
  <c r="I1631" i="16"/>
  <c r="B1632" i="16"/>
  <c r="U1575" i="16"/>
  <c r="S1575" i="16"/>
  <c r="M1576" i="16"/>
  <c r="D1576" i="16"/>
  <c r="J1576" i="16"/>
  <c r="N1576" i="16" s="1"/>
  <c r="P1576" i="16"/>
  <c r="Q1576" i="16"/>
  <c r="R1576" i="16"/>
  <c r="T1576" i="16"/>
  <c r="L1577" i="16"/>
  <c r="C1577" i="16"/>
  <c r="E1577" i="16"/>
  <c r="G1577" i="16"/>
  <c r="I1577" i="16"/>
  <c r="B1578" i="16"/>
  <c r="U1521" i="16"/>
  <c r="S1521" i="16"/>
  <c r="N1522" i="16"/>
  <c r="M1522" i="16"/>
  <c r="L1523" i="16"/>
  <c r="C1523" i="16"/>
  <c r="E1523" i="16"/>
  <c r="G1523" i="16"/>
  <c r="I1523" i="16"/>
  <c r="B1524" i="16"/>
  <c r="J1522" i="16"/>
  <c r="D1522" i="16"/>
  <c r="P1522" i="16"/>
  <c r="Q1522" i="16"/>
  <c r="R1522" i="16"/>
  <c r="T1522" i="16"/>
  <c r="U1467" i="16"/>
  <c r="S1467" i="16"/>
  <c r="D1468" i="16"/>
  <c r="J1468" i="16"/>
  <c r="P1468" i="16"/>
  <c r="Q1468" i="16"/>
  <c r="R1468" i="16"/>
  <c r="T1468" i="16"/>
  <c r="L1469" i="16"/>
  <c r="C1469" i="16"/>
  <c r="K1469" i="16" s="1"/>
  <c r="E1469" i="16"/>
  <c r="F1469" i="16"/>
  <c r="O1469" i="16" s="1"/>
  <c r="G1469" i="16"/>
  <c r="B1470" i="16"/>
  <c r="I1469" i="16"/>
  <c r="P1414" i="16"/>
  <c r="Q1414" i="16"/>
  <c r="R1414" i="16"/>
  <c r="T1414" i="16"/>
  <c r="J1414" i="16"/>
  <c r="D1414" i="16"/>
  <c r="L1415" i="16"/>
  <c r="I1415" i="16"/>
  <c r="C1415" i="16"/>
  <c r="E1415" i="16"/>
  <c r="G1415" i="16"/>
  <c r="B1416" i="16"/>
  <c r="U1359" i="16"/>
  <c r="S1359" i="16"/>
  <c r="J1360" i="16"/>
  <c r="D1360" i="16"/>
  <c r="P1360" i="16"/>
  <c r="Q1360" i="16"/>
  <c r="R1360" i="16"/>
  <c r="T1360" i="16"/>
  <c r="L1361" i="16"/>
  <c r="E1361" i="16"/>
  <c r="C1361" i="16"/>
  <c r="I1361" i="16"/>
  <c r="G1361" i="16"/>
  <c r="B1362" i="16"/>
  <c r="M1306" i="16"/>
  <c r="J1306" i="16"/>
  <c r="N1306" i="16" s="1"/>
  <c r="D1306" i="16"/>
  <c r="P1306" i="16"/>
  <c r="Q1306" i="16"/>
  <c r="R1306" i="16"/>
  <c r="T1306" i="16"/>
  <c r="L1307" i="16"/>
  <c r="I1307" i="16"/>
  <c r="C1307" i="16"/>
  <c r="G1307" i="16"/>
  <c r="B1308" i="16"/>
  <c r="E1307" i="16"/>
  <c r="S1252" i="16"/>
  <c r="U1252" i="16"/>
  <c r="P1253" i="16"/>
  <c r="Q1253" i="16"/>
  <c r="R1253" i="16"/>
  <c r="T1253" i="16"/>
  <c r="J1253" i="16"/>
  <c r="D1253" i="16"/>
  <c r="L1254" i="16"/>
  <c r="C1254" i="16"/>
  <c r="K1254" i="16" s="1"/>
  <c r="E1254" i="16"/>
  <c r="G1254" i="16"/>
  <c r="F1254" i="16"/>
  <c r="O1254" i="16" s="1"/>
  <c r="I1254" i="16"/>
  <c r="B1255" i="16"/>
  <c r="U1197" i="16"/>
  <c r="S1197" i="16"/>
  <c r="M1198" i="16"/>
  <c r="D1198" i="16"/>
  <c r="J1198" i="16"/>
  <c r="N1198" i="16" s="1"/>
  <c r="P1198" i="16"/>
  <c r="Q1198" i="16"/>
  <c r="R1198" i="16"/>
  <c r="T1198" i="16"/>
  <c r="L1199" i="16"/>
  <c r="C1199" i="16"/>
  <c r="K1199" i="16" s="1"/>
  <c r="E1199" i="16"/>
  <c r="F1199" i="16"/>
  <c r="O1199" i="16" s="1"/>
  <c r="G1199" i="16"/>
  <c r="I1199" i="16"/>
  <c r="B1200" i="16"/>
  <c r="D1144" i="16"/>
  <c r="J1144" i="16"/>
  <c r="P1144" i="16"/>
  <c r="Q1144" i="16"/>
  <c r="R1144" i="16"/>
  <c r="T1144" i="16"/>
  <c r="L1145" i="16"/>
  <c r="C1145" i="16"/>
  <c r="K1145" i="16" s="1"/>
  <c r="E1145" i="16"/>
  <c r="F1145" i="16"/>
  <c r="O1145" i="16" s="1"/>
  <c r="G1145" i="16"/>
  <c r="I1145" i="16"/>
  <c r="B1146" i="16"/>
  <c r="U1089" i="16"/>
  <c r="S1089" i="16"/>
  <c r="D1090" i="16"/>
  <c r="J1090" i="16"/>
  <c r="P1090" i="16"/>
  <c r="Q1090" i="16"/>
  <c r="R1090" i="16"/>
  <c r="T1090" i="16"/>
  <c r="L1091" i="16"/>
  <c r="C1091" i="16"/>
  <c r="E1091" i="16"/>
  <c r="G1091" i="16"/>
  <c r="I1091" i="16"/>
  <c r="B1092" i="16"/>
  <c r="U1035" i="16"/>
  <c r="S1035" i="16"/>
  <c r="M1036" i="16"/>
  <c r="D1036" i="16"/>
  <c r="J1036" i="16"/>
  <c r="N1036" i="16" s="1"/>
  <c r="P1036" i="16"/>
  <c r="Q1036" i="16"/>
  <c r="R1036" i="16"/>
  <c r="T1036" i="16"/>
  <c r="L1037" i="16"/>
  <c r="C1037" i="16"/>
  <c r="E1037" i="16"/>
  <c r="G1037" i="16"/>
  <c r="I1037" i="16"/>
  <c r="B1038" i="16"/>
  <c r="U981" i="16"/>
  <c r="S981" i="16"/>
  <c r="M982" i="16"/>
  <c r="D982" i="16"/>
  <c r="J982" i="16"/>
  <c r="N982" i="16" s="1"/>
  <c r="P982" i="16"/>
  <c r="Q982" i="16"/>
  <c r="R982" i="16"/>
  <c r="T982" i="16"/>
  <c r="L983" i="16"/>
  <c r="C983" i="16"/>
  <c r="E983" i="16"/>
  <c r="G983" i="16"/>
  <c r="I983" i="16"/>
  <c r="B984" i="16"/>
  <c r="U927" i="16"/>
  <c r="S927" i="16"/>
  <c r="M928" i="16"/>
  <c r="D928" i="16"/>
  <c r="J928" i="16"/>
  <c r="N928" i="16" s="1"/>
  <c r="P928" i="16"/>
  <c r="Q928" i="16"/>
  <c r="R928" i="16"/>
  <c r="T928" i="16"/>
  <c r="L929" i="16"/>
  <c r="C929" i="16"/>
  <c r="E929" i="16"/>
  <c r="G929" i="16"/>
  <c r="I929" i="16"/>
  <c r="B930" i="16"/>
  <c r="D874" i="16"/>
  <c r="J874" i="16"/>
  <c r="P874" i="16"/>
  <c r="Q874" i="16"/>
  <c r="R874" i="16"/>
  <c r="T874" i="16"/>
  <c r="L875" i="16"/>
  <c r="C875" i="16"/>
  <c r="K875" i="16" s="1"/>
  <c r="E875" i="16"/>
  <c r="F875" i="16"/>
  <c r="O875" i="16" s="1"/>
  <c r="G875" i="16"/>
  <c r="I875" i="16"/>
  <c r="B876" i="16"/>
  <c r="D820" i="16"/>
  <c r="J820" i="16"/>
  <c r="P820" i="16"/>
  <c r="Q820" i="16"/>
  <c r="R820" i="16"/>
  <c r="T820" i="16"/>
  <c r="L821" i="16"/>
  <c r="C821" i="16"/>
  <c r="K821" i="16" s="1"/>
  <c r="E821" i="16"/>
  <c r="F821" i="16"/>
  <c r="O821" i="16" s="1"/>
  <c r="G821" i="16"/>
  <c r="I821" i="16"/>
  <c r="B822" i="16"/>
  <c r="S765" i="16"/>
  <c r="U765" i="16"/>
  <c r="P766" i="16"/>
  <c r="Q766" i="16"/>
  <c r="R766" i="16"/>
  <c r="T766" i="16"/>
  <c r="J766" i="16"/>
  <c r="D766" i="16"/>
  <c r="L767" i="16"/>
  <c r="G767" i="16"/>
  <c r="C767" i="16"/>
  <c r="E767" i="16"/>
  <c r="B768" i="16"/>
  <c r="I767" i="16"/>
  <c r="U711" i="16"/>
  <c r="S711" i="16"/>
  <c r="M712" i="16"/>
  <c r="D712" i="16"/>
  <c r="J712" i="16"/>
  <c r="N712" i="16" s="1"/>
  <c r="P712" i="16"/>
  <c r="Q712" i="16"/>
  <c r="R712" i="16"/>
  <c r="T712" i="16"/>
  <c r="L713" i="16"/>
  <c r="C713" i="16"/>
  <c r="E713" i="16"/>
  <c r="G713" i="16"/>
  <c r="I713" i="16"/>
  <c r="B714" i="16"/>
  <c r="U657" i="16"/>
  <c r="S657" i="16"/>
  <c r="M658" i="16"/>
  <c r="D658" i="16"/>
  <c r="J658" i="16"/>
  <c r="N658" i="16" s="1"/>
  <c r="Q658" i="16"/>
  <c r="P658" i="16"/>
  <c r="R658" i="16"/>
  <c r="T658" i="16"/>
  <c r="L659" i="16"/>
  <c r="C659" i="16"/>
  <c r="K659" i="16" s="1"/>
  <c r="E659" i="16"/>
  <c r="F659" i="16"/>
  <c r="O659" i="16" s="1"/>
  <c r="G659" i="16"/>
  <c r="I659" i="16"/>
  <c r="B660" i="16"/>
  <c r="U603" i="16"/>
  <c r="S603" i="16"/>
  <c r="D604" i="16"/>
  <c r="J604" i="16"/>
  <c r="Q604" i="16"/>
  <c r="P604" i="16"/>
  <c r="R604" i="16"/>
  <c r="T604" i="16"/>
  <c r="L605" i="16"/>
  <c r="C605" i="16"/>
  <c r="K605" i="16" s="1"/>
  <c r="E605" i="16"/>
  <c r="F605" i="16"/>
  <c r="O605" i="16" s="1"/>
  <c r="G605" i="16"/>
  <c r="I605" i="16"/>
  <c r="B606" i="16"/>
  <c r="S549" i="16"/>
  <c r="U549" i="16"/>
  <c r="D550" i="16"/>
  <c r="J550" i="16"/>
  <c r="P550" i="16"/>
  <c r="Q550" i="16"/>
  <c r="R550" i="16"/>
  <c r="T550" i="16"/>
  <c r="L551" i="16"/>
  <c r="C551" i="16"/>
  <c r="E551" i="16"/>
  <c r="G551" i="16"/>
  <c r="I551" i="16"/>
  <c r="B552" i="16"/>
  <c r="U495" i="16"/>
  <c r="S495" i="16"/>
  <c r="M496" i="16"/>
  <c r="D496" i="16"/>
  <c r="J496" i="16"/>
  <c r="N496" i="16" s="1"/>
  <c r="Q496" i="16"/>
  <c r="P496" i="16"/>
  <c r="R496" i="16"/>
  <c r="T496" i="16"/>
  <c r="L497" i="16"/>
  <c r="C497" i="16"/>
  <c r="K497" i="16" s="1"/>
  <c r="E497" i="16"/>
  <c r="F497" i="16"/>
  <c r="O497" i="16" s="1"/>
  <c r="G497" i="16"/>
  <c r="I497" i="16"/>
  <c r="B498" i="16"/>
  <c r="U441" i="16"/>
  <c r="S441" i="16"/>
  <c r="M442" i="16"/>
  <c r="D442" i="16"/>
  <c r="J442" i="16"/>
  <c r="N442" i="16" s="1"/>
  <c r="Q442" i="16"/>
  <c r="P442" i="16"/>
  <c r="R442" i="16"/>
  <c r="T442" i="16"/>
  <c r="L443" i="16"/>
  <c r="C443" i="16"/>
  <c r="E443" i="16"/>
  <c r="G443" i="16"/>
  <c r="I443" i="16"/>
  <c r="B444" i="16"/>
  <c r="U387" i="16"/>
  <c r="S387" i="16"/>
  <c r="M388" i="16"/>
  <c r="D388" i="16"/>
  <c r="J388" i="16"/>
  <c r="N388" i="16" s="1"/>
  <c r="P388" i="16"/>
  <c r="Q388" i="16"/>
  <c r="R388" i="16"/>
  <c r="T388" i="16"/>
  <c r="L389" i="16"/>
  <c r="C389" i="16"/>
  <c r="E389" i="16"/>
  <c r="G389" i="16"/>
  <c r="I389" i="16"/>
  <c r="B390" i="16"/>
  <c r="P334" i="16"/>
  <c r="Q334" i="16"/>
  <c r="R334" i="16"/>
  <c r="T334" i="16"/>
  <c r="L335" i="16"/>
  <c r="E335" i="16"/>
  <c r="C335" i="16"/>
  <c r="K335" i="16" s="1"/>
  <c r="G335" i="16"/>
  <c r="B336" i="16"/>
  <c r="I335" i="16"/>
  <c r="F335" i="16"/>
  <c r="O335" i="16" s="1"/>
  <c r="J334" i="16"/>
  <c r="D334" i="16"/>
  <c r="U279" i="16"/>
  <c r="S279" i="16"/>
  <c r="D280" i="16"/>
  <c r="J280" i="16"/>
  <c r="P280" i="16"/>
  <c r="Q280" i="16"/>
  <c r="R280" i="16"/>
  <c r="T280" i="16"/>
  <c r="L281" i="16"/>
  <c r="C281" i="16"/>
  <c r="K281" i="16" s="1"/>
  <c r="E281" i="16"/>
  <c r="F281" i="16"/>
  <c r="O281" i="16" s="1"/>
  <c r="G281" i="16"/>
  <c r="I281" i="16"/>
  <c r="B282" i="16"/>
  <c r="U225" i="16"/>
  <c r="S225" i="16"/>
  <c r="M226" i="16"/>
  <c r="D226" i="16"/>
  <c r="J226" i="16"/>
  <c r="N226" i="16" s="1"/>
  <c r="P226" i="16"/>
  <c r="Q226" i="16"/>
  <c r="R226" i="16"/>
  <c r="T226" i="16"/>
  <c r="L227" i="16"/>
  <c r="C227" i="16"/>
  <c r="K227" i="16" s="1"/>
  <c r="E227" i="16"/>
  <c r="F227" i="16"/>
  <c r="O227" i="16" s="1"/>
  <c r="G227" i="16"/>
  <c r="I227" i="16"/>
  <c r="B228" i="16"/>
  <c r="U171" i="16"/>
  <c r="S171" i="16"/>
  <c r="M172" i="16"/>
  <c r="D172" i="16"/>
  <c r="J172" i="16"/>
  <c r="N172" i="16" s="1"/>
  <c r="P172" i="16"/>
  <c r="Q172" i="16"/>
  <c r="R172" i="16"/>
  <c r="T172" i="16"/>
  <c r="L173" i="16"/>
  <c r="C173" i="16"/>
  <c r="K173" i="16" s="1"/>
  <c r="E173" i="16"/>
  <c r="F173" i="16"/>
  <c r="O173" i="16" s="1"/>
  <c r="G173" i="16"/>
  <c r="I173" i="16"/>
  <c r="B174" i="16"/>
  <c r="S117" i="16"/>
  <c r="U117" i="16"/>
  <c r="M118" i="16"/>
  <c r="D118" i="16"/>
  <c r="J118" i="16"/>
  <c r="N118" i="16" s="1"/>
  <c r="P118" i="16"/>
  <c r="Q118" i="16"/>
  <c r="R118" i="16"/>
  <c r="T118" i="16"/>
  <c r="L119" i="16"/>
  <c r="C119" i="16"/>
  <c r="K119" i="16" s="1"/>
  <c r="E119" i="16"/>
  <c r="F119" i="16"/>
  <c r="O119" i="16" s="1"/>
  <c r="G119" i="16"/>
  <c r="I119" i="16"/>
  <c r="B120" i="16"/>
  <c r="C89" i="7"/>
  <c r="G89" i="7" s="1"/>
  <c r="U55" i="4"/>
  <c r="S55" i="4"/>
  <c r="F53" i="7"/>
  <c r="M56" i="4"/>
  <c r="C57" i="4"/>
  <c r="E57" i="4"/>
  <c r="F57" i="4"/>
  <c r="C57" i="5" s="1"/>
  <c r="E57" i="5" s="1"/>
  <c r="G57" i="4"/>
  <c r="B58" i="4"/>
  <c r="I57" i="4"/>
  <c r="K57" i="4"/>
  <c r="L57" i="4"/>
  <c r="B57" i="5"/>
  <c r="J56" i="4"/>
  <c r="N56" i="4" s="1"/>
  <c r="D56" i="4"/>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V56" i="4"/>
  <c r="BF56" i="4"/>
  <c r="T56" i="4"/>
  <c r="U4250" i="16"/>
  <c r="S4250" i="16"/>
  <c r="U4142" i="16"/>
  <c r="S4142" i="16"/>
  <c r="U3788" i="16"/>
  <c r="S3788" i="16"/>
  <c r="U3518" i="16"/>
  <c r="S3518" i="16"/>
  <c r="U3410" i="16"/>
  <c r="S3410" i="16"/>
  <c r="U3194" i="16"/>
  <c r="S3194" i="16"/>
  <c r="U3086" i="16"/>
  <c r="S3086" i="16"/>
  <c r="U3032" i="16"/>
  <c r="S3032" i="16"/>
  <c r="U2870" i="16"/>
  <c r="S2870" i="16"/>
  <c r="S2546" i="16"/>
  <c r="U2546" i="16"/>
  <c r="U2384" i="16"/>
  <c r="S2384" i="16"/>
  <c r="S2330" i="16"/>
  <c r="U2330" i="16"/>
  <c r="U2276" i="16"/>
  <c r="S2276" i="16"/>
  <c r="U2060" i="16"/>
  <c r="S2060" i="16"/>
  <c r="U2006" i="16"/>
  <c r="S2006" i="16"/>
  <c r="U1736" i="16"/>
  <c r="S1736" i="16"/>
  <c r="U1520" i="16"/>
  <c r="S1520" i="16"/>
  <c r="U1304" i="16"/>
  <c r="S1304" i="16"/>
  <c r="S1251" i="16"/>
  <c r="U1251" i="16"/>
  <c r="U1196" i="16"/>
  <c r="S1196" i="16"/>
  <c r="U926" i="16"/>
  <c r="S926" i="16"/>
  <c r="U710" i="16"/>
  <c r="S710" i="16"/>
  <c r="U440" i="16"/>
  <c r="S440" i="16"/>
  <c r="U386" i="16"/>
  <c r="S386" i="16"/>
  <c r="U170" i="16"/>
  <c r="S170" i="16"/>
  <c r="S116" i="16"/>
  <c r="U116" i="16"/>
  <c r="M4551" i="16"/>
  <c r="N4551" i="16"/>
  <c r="N4197" i="16"/>
  <c r="M4197" i="16"/>
  <c r="N3249" i="16"/>
  <c r="M3249" i="16"/>
  <c r="N3195" i="16"/>
  <c r="M3195" i="16"/>
  <c r="N3141" i="16"/>
  <c r="M3141" i="16"/>
  <c r="N3087" i="16"/>
  <c r="M3087" i="16"/>
  <c r="M2871" i="16"/>
  <c r="N2871" i="16"/>
  <c r="M2601" i="16"/>
  <c r="N2601" i="16"/>
  <c r="M2547" i="16"/>
  <c r="N2547" i="16"/>
  <c r="M2331" i="16"/>
  <c r="N2331" i="16"/>
  <c r="M2007" i="16"/>
  <c r="N2007" i="16"/>
  <c r="M1737" i="16"/>
  <c r="N1737" i="16"/>
  <c r="M1683" i="16"/>
  <c r="N1683" i="16"/>
  <c r="N1413" i="16"/>
  <c r="M1413" i="16"/>
  <c r="M1305" i="16"/>
  <c r="N1305" i="16"/>
  <c r="M1143" i="16"/>
  <c r="N1143" i="16"/>
  <c r="M873" i="16"/>
  <c r="N873" i="16"/>
  <c r="M819" i="16"/>
  <c r="N819" i="16"/>
  <c r="M333" i="16"/>
  <c r="N333" i="16"/>
  <c r="F4606" i="16"/>
  <c r="K4606" i="16"/>
  <c r="F4552" i="16"/>
  <c r="K4552" i="16"/>
  <c r="F4252" i="16"/>
  <c r="O4252" i="16" s="1"/>
  <c r="K4252" i="16"/>
  <c r="F3736" i="16"/>
  <c r="O3736" i="16" s="1"/>
  <c r="K3736" i="16"/>
  <c r="F3682" i="16"/>
  <c r="O3682" i="16" s="1"/>
  <c r="K3682" i="16"/>
  <c r="K3574" i="16"/>
  <c r="F3574" i="16"/>
  <c r="O3574" i="16" s="1"/>
  <c r="K3412" i="16"/>
  <c r="F3412" i="16"/>
  <c r="O3412" i="16" s="1"/>
  <c r="K3304" i="16"/>
  <c r="F3304" i="16"/>
  <c r="O3304" i="16" s="1"/>
  <c r="F3250" i="16"/>
  <c r="O3250" i="16" s="1"/>
  <c r="K3250" i="16"/>
  <c r="K3196" i="16"/>
  <c r="F3196" i="16"/>
  <c r="O3196" i="16" s="1"/>
  <c r="F3142" i="16"/>
  <c r="O3142" i="16" s="1"/>
  <c r="K3142" i="16"/>
  <c r="F3088" i="16"/>
  <c r="O3088" i="16" s="1"/>
  <c r="K3088" i="16"/>
  <c r="K2980" i="16"/>
  <c r="F2980" i="16"/>
  <c r="O2980" i="16" s="1"/>
  <c r="K2926" i="16"/>
  <c r="F2926" i="16"/>
  <c r="O2926" i="16" s="1"/>
  <c r="K2872" i="16"/>
  <c r="F2872" i="16"/>
  <c r="O2872" i="16" s="1"/>
  <c r="F2656" i="16"/>
  <c r="O2656" i="16" s="1"/>
  <c r="K2656" i="16"/>
  <c r="K2440" i="16"/>
  <c r="F2440" i="16"/>
  <c r="O2440" i="16" s="1"/>
  <c r="F2224" i="16"/>
  <c r="O2224" i="16" s="1"/>
  <c r="K2224" i="16"/>
  <c r="K2170" i="16"/>
  <c r="F2170" i="16"/>
  <c r="O2170" i="16" s="1"/>
  <c r="F1954" i="16"/>
  <c r="O1954" i="16" s="1"/>
  <c r="K1954" i="16"/>
  <c r="K1900" i="16"/>
  <c r="F1900" i="16"/>
  <c r="O1900" i="16" s="1"/>
  <c r="F1684" i="16"/>
  <c r="O1684" i="16" s="1"/>
  <c r="K1684" i="16"/>
  <c r="F1630" i="16"/>
  <c r="O1630" i="16" s="1"/>
  <c r="K1630" i="16"/>
  <c r="F1468" i="16"/>
  <c r="O1468" i="16" s="1"/>
  <c r="K1468" i="16"/>
  <c r="K1414" i="16"/>
  <c r="F1414" i="16"/>
  <c r="O1414" i="16" s="1"/>
  <c r="K1360" i="16"/>
  <c r="F1360" i="16"/>
  <c r="O1360" i="16" s="1"/>
  <c r="F1253" i="16"/>
  <c r="O1253" i="16" s="1"/>
  <c r="K1253" i="16"/>
  <c r="K1144" i="16"/>
  <c r="F1144" i="16"/>
  <c r="O1144" i="16" s="1"/>
  <c r="K1090" i="16"/>
  <c r="F1090" i="16"/>
  <c r="O1090" i="16" s="1"/>
  <c r="F874" i="16"/>
  <c r="O874" i="16" s="1"/>
  <c r="K874" i="16"/>
  <c r="F820" i="16"/>
  <c r="O820" i="16" s="1"/>
  <c r="K820" i="16"/>
  <c r="F766" i="16"/>
  <c r="O766" i="16" s="1"/>
  <c r="K766" i="16"/>
  <c r="K604" i="16"/>
  <c r="F604" i="16"/>
  <c r="O604" i="16" s="1"/>
  <c r="F550" i="16"/>
  <c r="O550" i="16" s="1"/>
  <c r="K550" i="16"/>
  <c r="F334" i="16"/>
  <c r="O334" i="16" s="1"/>
  <c r="K334" i="16"/>
  <c r="F280" i="16"/>
  <c r="O280" i="16" s="1"/>
  <c r="K280" i="16"/>
  <c r="K4145" i="16" l="1"/>
  <c r="F4145" i="16"/>
  <c r="O4145" i="16" s="1"/>
  <c r="K3683" i="16"/>
  <c r="F3683" i="16"/>
  <c r="O3683" i="16" s="1"/>
  <c r="K3629" i="16"/>
  <c r="F3629" i="16"/>
  <c r="O3629" i="16" s="1"/>
  <c r="K2765" i="16"/>
  <c r="F2765" i="16"/>
  <c r="O2765" i="16" s="1"/>
  <c r="K2441" i="16"/>
  <c r="F2441" i="16"/>
  <c r="O2441" i="16" s="1"/>
  <c r="K1955" i="16"/>
  <c r="F1955" i="16"/>
  <c r="O1955" i="16" s="1"/>
  <c r="K1415" i="16"/>
  <c r="F1415" i="16"/>
  <c r="O1415" i="16" s="1"/>
  <c r="K1307" i="16"/>
  <c r="F1307" i="16"/>
  <c r="O1307" i="16" s="1"/>
  <c r="K983" i="16"/>
  <c r="F983" i="16"/>
  <c r="O983" i="16" s="1"/>
  <c r="K929" i="16"/>
  <c r="F929" i="16"/>
  <c r="O929" i="16" s="1"/>
  <c r="K713" i="16"/>
  <c r="F713" i="16"/>
  <c r="O713" i="16" s="1"/>
  <c r="K443" i="16"/>
  <c r="F443" i="16"/>
  <c r="O443" i="16" s="1"/>
  <c r="K389" i="16"/>
  <c r="F389" i="16"/>
  <c r="O389" i="16" s="1"/>
  <c r="S4714" i="16"/>
  <c r="U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D4607" i="16"/>
  <c r="J4607" i="16"/>
  <c r="P4607" i="16"/>
  <c r="Q4607" i="16"/>
  <c r="R4607" i="16"/>
  <c r="L4608" i="16"/>
  <c r="C4608" i="16"/>
  <c r="E4608" i="16"/>
  <c r="G4608" i="16"/>
  <c r="I4608" i="16"/>
  <c r="B4609" i="16"/>
  <c r="M4553" i="16"/>
  <c r="D4553" i="16"/>
  <c r="J4553" i="16"/>
  <c r="N4553" i="16" s="1"/>
  <c r="P4553" i="16"/>
  <c r="Q4553" i="16"/>
  <c r="R4553" i="16"/>
  <c r="L4554" i="16"/>
  <c r="C4554" i="16"/>
  <c r="E4554" i="16"/>
  <c r="G4554" i="16"/>
  <c r="I4554" i="16"/>
  <c r="B4555" i="16"/>
  <c r="M4253" i="16"/>
  <c r="D4253" i="16"/>
  <c r="J4253" i="16"/>
  <c r="N4253" i="16" s="1"/>
  <c r="P4253" i="16"/>
  <c r="Q4253" i="16"/>
  <c r="R4253" i="16"/>
  <c r="T4253" i="16"/>
  <c r="L4254" i="16"/>
  <c r="C4254" i="16"/>
  <c r="K4254" i="16" s="1"/>
  <c r="E4254" i="16"/>
  <c r="F4254" i="16"/>
  <c r="O4254" i="16" s="1"/>
  <c r="G4254" i="16"/>
  <c r="I4254" i="16"/>
  <c r="B4255" i="16"/>
  <c r="U4198" i="16"/>
  <c r="S4198" i="16"/>
  <c r="D4199" i="16"/>
  <c r="J4199" i="16"/>
  <c r="N4199" i="16" s="1"/>
  <c r="M4199" i="16"/>
  <c r="P4199" i="16"/>
  <c r="Q4199" i="16"/>
  <c r="R4199" i="16"/>
  <c r="T4199" i="16"/>
  <c r="G4200" i="16"/>
  <c r="L4200" i="16"/>
  <c r="C4200" i="16"/>
  <c r="F4200" i="16" s="1"/>
  <c r="O4200" i="16" s="1"/>
  <c r="E4200" i="16"/>
  <c r="I4200" i="16"/>
  <c r="K4200" i="16"/>
  <c r="B4201" i="16"/>
  <c r="M4145" i="16"/>
  <c r="J4145" i="16"/>
  <c r="N4145" i="16" s="1"/>
  <c r="D4145" i="16"/>
  <c r="P4145" i="16"/>
  <c r="Q4145" i="16"/>
  <c r="R4145" i="16"/>
  <c r="T4145" i="16"/>
  <c r="E4146" i="16"/>
  <c r="L4146" i="16"/>
  <c r="B4147" i="16"/>
  <c r="C4146" i="16"/>
  <c r="F4146" i="16"/>
  <c r="O4146" i="16" s="1"/>
  <c r="G4146" i="16"/>
  <c r="I4146" i="16"/>
  <c r="K4146" i="16"/>
  <c r="U4144" i="16"/>
  <c r="S4144"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M3791" i="16"/>
  <c r="D3791" i="16"/>
  <c r="J3791" i="16"/>
  <c r="N3791" i="16" s="1"/>
  <c r="P3791" i="16"/>
  <c r="Q3791" i="16"/>
  <c r="R3791" i="16"/>
  <c r="T3791" i="16"/>
  <c r="L3792" i="16"/>
  <c r="C3792" i="16"/>
  <c r="E3792" i="16"/>
  <c r="G3792" i="16"/>
  <c r="I3792" i="16"/>
  <c r="B3793" i="16"/>
  <c r="D3737" i="16"/>
  <c r="J3737" i="16"/>
  <c r="P3737" i="16"/>
  <c r="Q3737" i="16"/>
  <c r="R3737" i="16"/>
  <c r="T3737" i="16"/>
  <c r="L3738" i="16"/>
  <c r="C3738" i="16"/>
  <c r="K3738" i="16" s="1"/>
  <c r="E3738" i="16"/>
  <c r="F3738" i="16"/>
  <c r="O3738" i="16" s="1"/>
  <c r="G3738" i="16"/>
  <c r="I3738" i="16"/>
  <c r="B3739" i="16"/>
  <c r="M3683" i="16"/>
  <c r="D3683" i="16"/>
  <c r="J3683" i="16"/>
  <c r="N3683" i="16" s="1"/>
  <c r="P3683" i="16"/>
  <c r="Q3683" i="16"/>
  <c r="R3683" i="16"/>
  <c r="T3683" i="16"/>
  <c r="L3684" i="16"/>
  <c r="C3684" i="16"/>
  <c r="K3684" i="16" s="1"/>
  <c r="E3684" i="16"/>
  <c r="F3684" i="16"/>
  <c r="O3684" i="16" s="1"/>
  <c r="G3684" i="16"/>
  <c r="B3685" i="16"/>
  <c r="I3684" i="16"/>
  <c r="U3628" i="16"/>
  <c r="S3628" i="16"/>
  <c r="M3629" i="16"/>
  <c r="D3629" i="16"/>
  <c r="J3629" i="16"/>
  <c r="N3629" i="16" s="1"/>
  <c r="P3629" i="16"/>
  <c r="Q3629" i="16"/>
  <c r="R3629" i="16"/>
  <c r="T3629" i="16"/>
  <c r="L3630" i="16"/>
  <c r="C3630" i="16"/>
  <c r="K3630" i="16" s="1"/>
  <c r="E3630" i="16"/>
  <c r="F3630" i="16"/>
  <c r="O3630" i="16" s="1"/>
  <c r="G3630" i="16"/>
  <c r="I3630" i="16"/>
  <c r="B3631" i="16"/>
  <c r="M3575" i="16"/>
  <c r="D3575" i="16"/>
  <c r="J3575" i="16"/>
  <c r="N3575" i="16" s="1"/>
  <c r="P3575" i="16"/>
  <c r="Q3575" i="16"/>
  <c r="R3575" i="16"/>
  <c r="T3575" i="16"/>
  <c r="L3576" i="16"/>
  <c r="C3576" i="16"/>
  <c r="K3576" i="16" s="1"/>
  <c r="E3576" i="16"/>
  <c r="F3576" i="16"/>
  <c r="O3576" i="16" s="1"/>
  <c r="G3576" i="16"/>
  <c r="I3576" i="16"/>
  <c r="B3577" i="16"/>
  <c r="U3520" i="16"/>
  <c r="S3520" i="16"/>
  <c r="M3521" i="16"/>
  <c r="D3521" i="16"/>
  <c r="J3521" i="16"/>
  <c r="N3521" i="16" s="1"/>
  <c r="P3521" i="16"/>
  <c r="Q3521" i="16"/>
  <c r="R3521" i="16"/>
  <c r="T3521" i="16"/>
  <c r="L3522" i="16"/>
  <c r="C3522" i="16"/>
  <c r="K3522" i="16" s="1"/>
  <c r="E3522" i="16"/>
  <c r="F3522" i="16"/>
  <c r="O3522" i="16" s="1"/>
  <c r="G3522" i="16"/>
  <c r="I3522" i="16"/>
  <c r="B3523" i="16"/>
  <c r="S3466" i="16"/>
  <c r="U3466" i="16"/>
  <c r="P3467" i="16"/>
  <c r="Q3467" i="16"/>
  <c r="R3467" i="16"/>
  <c r="T3467" i="16"/>
  <c r="L3468" i="16"/>
  <c r="I3468" i="16"/>
  <c r="B3469" i="16"/>
  <c r="C3468" i="16"/>
  <c r="E3468" i="16"/>
  <c r="G3468" i="16"/>
  <c r="D3467" i="16"/>
  <c r="J3467" i="16"/>
  <c r="D3413" i="16"/>
  <c r="J3413" i="16"/>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M3305" i="16"/>
  <c r="D3305" i="16"/>
  <c r="J3305" i="16"/>
  <c r="N3305" i="16" s="1"/>
  <c r="P3305" i="16"/>
  <c r="Q3305" i="16"/>
  <c r="R3305" i="16"/>
  <c r="T3305" i="16"/>
  <c r="L3306" i="16"/>
  <c r="C3306" i="16"/>
  <c r="K3306" i="16" s="1"/>
  <c r="E3306" i="16"/>
  <c r="F3306" i="16"/>
  <c r="O3306" i="16" s="1"/>
  <c r="G3306" i="16"/>
  <c r="I3306" i="16"/>
  <c r="B3307" i="16"/>
  <c r="M3251" i="16"/>
  <c r="J3251" i="16"/>
  <c r="N3251" i="16" s="1"/>
  <c r="D3251" i="16"/>
  <c r="P3251" i="16"/>
  <c r="Q3251" i="16"/>
  <c r="R3251" i="16"/>
  <c r="T3251" i="16"/>
  <c r="L3252" i="16"/>
  <c r="I3252" i="16"/>
  <c r="C3252" i="16"/>
  <c r="E3252" i="16"/>
  <c r="G3252" i="16"/>
  <c r="B3253" i="16"/>
  <c r="P3197" i="16"/>
  <c r="Q3197" i="16"/>
  <c r="R3197" i="16"/>
  <c r="T3197" i="16"/>
  <c r="D3197" i="16"/>
  <c r="J3197" i="16"/>
  <c r="L3198" i="16"/>
  <c r="G3198" i="16"/>
  <c r="I3198" i="16"/>
  <c r="C3198" i="16"/>
  <c r="B3199" i="16"/>
  <c r="E3198" i="16"/>
  <c r="P3143" i="16"/>
  <c r="Q3143" i="16"/>
  <c r="R3143" i="16"/>
  <c r="T3143" i="16"/>
  <c r="L3144" i="16"/>
  <c r="G3144" i="16"/>
  <c r="E3144" i="16"/>
  <c r="C3144" i="16"/>
  <c r="K3144" i="16" s="1"/>
  <c r="F3144" i="16"/>
  <c r="O3144" i="16" s="1"/>
  <c r="I3144" i="16"/>
  <c r="B3145" i="16"/>
  <c r="D3143" i="16"/>
  <c r="J3143" i="16"/>
  <c r="M3089" i="16"/>
  <c r="N3089" i="16"/>
  <c r="P3089" i="16"/>
  <c r="Q3089" i="16"/>
  <c r="R3089" i="16"/>
  <c r="T3089" i="16"/>
  <c r="L3090" i="16"/>
  <c r="B3091" i="16"/>
  <c r="G3090" i="16"/>
  <c r="I3090" i="16"/>
  <c r="C3090" i="16"/>
  <c r="E3090" i="16"/>
  <c r="D3089" i="16"/>
  <c r="J3089" i="16"/>
  <c r="U3034" i="16"/>
  <c r="S3034" i="16"/>
  <c r="P3035" i="16"/>
  <c r="Q3035" i="16"/>
  <c r="R3035" i="16"/>
  <c r="T3035" i="16"/>
  <c r="L3036" i="16"/>
  <c r="E3036" i="16"/>
  <c r="C3036" i="16"/>
  <c r="K3036" i="16" s="1"/>
  <c r="G3036" i="16"/>
  <c r="I3036" i="16"/>
  <c r="F3036" i="16"/>
  <c r="O3036" i="16" s="1"/>
  <c r="B3037" i="16"/>
  <c r="J3035" i="16"/>
  <c r="D3035" i="16"/>
  <c r="M2981" i="16"/>
  <c r="D2981" i="16"/>
  <c r="J2981" i="16"/>
  <c r="N2981" i="16" s="1"/>
  <c r="P2981" i="16"/>
  <c r="Q2981" i="16"/>
  <c r="R2981" i="16"/>
  <c r="T2981" i="16"/>
  <c r="L2982" i="16"/>
  <c r="C2982" i="16"/>
  <c r="K2982" i="16" s="1"/>
  <c r="E2982" i="16"/>
  <c r="F2982" i="16"/>
  <c r="O2982" i="16" s="1"/>
  <c r="G2982" i="16"/>
  <c r="I2982" i="16"/>
  <c r="B2983" i="16"/>
  <c r="M2927" i="16"/>
  <c r="D2927" i="16"/>
  <c r="J2927" i="16"/>
  <c r="N2927" i="16" s="1"/>
  <c r="P2927" i="16"/>
  <c r="Q2927" i="16"/>
  <c r="R2927" i="16"/>
  <c r="T2927" i="16"/>
  <c r="L2928" i="16"/>
  <c r="C2928" i="16"/>
  <c r="E2928" i="16"/>
  <c r="G2928" i="16"/>
  <c r="I2928" i="16"/>
  <c r="B2929"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M2765" i="16"/>
  <c r="D2765" i="16"/>
  <c r="J2765" i="16"/>
  <c r="N2765" i="16" s="1"/>
  <c r="P2765" i="16"/>
  <c r="Q2765" i="16"/>
  <c r="R2765" i="16"/>
  <c r="T2765" i="16"/>
  <c r="L2766" i="16"/>
  <c r="C2766" i="16"/>
  <c r="K2766" i="16" s="1"/>
  <c r="E2766" i="16"/>
  <c r="F2766" i="16"/>
  <c r="O2766" i="16" s="1"/>
  <c r="G2766" i="16"/>
  <c r="I2766" i="16"/>
  <c r="B2767" i="16"/>
  <c r="U2710" i="16"/>
  <c r="S2710" i="16"/>
  <c r="M2711" i="16"/>
  <c r="D2711" i="16"/>
  <c r="J2711" i="16"/>
  <c r="N2711" i="16" s="1"/>
  <c r="P2711" i="16"/>
  <c r="Q2711" i="16"/>
  <c r="R2711" i="16"/>
  <c r="T2711" i="16"/>
  <c r="L2712" i="16"/>
  <c r="C2712" i="16"/>
  <c r="E2712" i="16"/>
  <c r="G2712" i="16"/>
  <c r="I2712" i="16"/>
  <c r="B2713" i="16"/>
  <c r="M2657" i="16"/>
  <c r="D2657" i="16"/>
  <c r="J2657" i="16"/>
  <c r="N2657" i="16" s="1"/>
  <c r="P2657" i="16"/>
  <c r="Q2657" i="16"/>
  <c r="R2657" i="16"/>
  <c r="T2657" i="16"/>
  <c r="L2658" i="16"/>
  <c r="C2658" i="16"/>
  <c r="K2658" i="16" s="1"/>
  <c r="E2658" i="16"/>
  <c r="F2658" i="16"/>
  <c r="O2658" i="16" s="1"/>
  <c r="G2658" i="16"/>
  <c r="I2658" i="16"/>
  <c r="B2659" i="16"/>
  <c r="U2602" i="16"/>
  <c r="S2602" i="16"/>
  <c r="D2603" i="16"/>
  <c r="J2603" i="16"/>
  <c r="P2603" i="16"/>
  <c r="Q2603" i="16"/>
  <c r="R2603" i="16"/>
  <c r="T2603" i="16"/>
  <c r="L2604" i="16"/>
  <c r="C2604" i="16"/>
  <c r="E2604" i="16"/>
  <c r="G2604" i="16"/>
  <c r="I2604" i="16"/>
  <c r="B2605" i="16"/>
  <c r="S2548" i="16"/>
  <c r="U2548" i="16"/>
  <c r="M2549" i="16"/>
  <c r="D2549" i="16"/>
  <c r="J2549" i="16"/>
  <c r="N2549" i="16" s="1"/>
  <c r="P2549" i="16"/>
  <c r="Q2549" i="16"/>
  <c r="R2549" i="16"/>
  <c r="T2549" i="16"/>
  <c r="L2550" i="16"/>
  <c r="C2550" i="16"/>
  <c r="K2550" i="16" s="1"/>
  <c r="E2550" i="16"/>
  <c r="F2550" i="16"/>
  <c r="O2550" i="16" s="1"/>
  <c r="G2550" i="16"/>
  <c r="I2550" i="16"/>
  <c r="B2551" i="16"/>
  <c r="U2494" i="16"/>
  <c r="S2494" i="16"/>
  <c r="M2495" i="16"/>
  <c r="D2495" i="16"/>
  <c r="J2495" i="16"/>
  <c r="N2495" i="16" s="1"/>
  <c r="P2495" i="16"/>
  <c r="Q2495" i="16"/>
  <c r="R2495" i="16"/>
  <c r="T2495" i="16"/>
  <c r="L2496" i="16"/>
  <c r="C2496" i="16"/>
  <c r="E2496" i="16"/>
  <c r="G2496" i="16"/>
  <c r="I2496" i="16"/>
  <c r="B2497" i="16"/>
  <c r="M2441" i="16"/>
  <c r="D2441" i="16"/>
  <c r="J2441" i="16"/>
  <c r="N2441" i="16" s="1"/>
  <c r="P2441" i="16"/>
  <c r="Q2441" i="16"/>
  <c r="R2441" i="16"/>
  <c r="T2441" i="16"/>
  <c r="L2442" i="16"/>
  <c r="C2442" i="16"/>
  <c r="E2442" i="16"/>
  <c r="G2442" i="16"/>
  <c r="I2442" i="16"/>
  <c r="B2443" i="16"/>
  <c r="U2386" i="16"/>
  <c r="S2386" i="16"/>
  <c r="D2387" i="16"/>
  <c r="J2387" i="16"/>
  <c r="P2387" i="16"/>
  <c r="Q2387" i="16"/>
  <c r="R2387" i="16"/>
  <c r="T2387" i="16"/>
  <c r="L2388" i="16"/>
  <c r="C2388" i="16"/>
  <c r="E2388" i="16"/>
  <c r="G2388" i="16"/>
  <c r="I2388" i="16"/>
  <c r="B2389" i="16"/>
  <c r="S2332" i="16"/>
  <c r="U2332" i="16"/>
  <c r="D2333" i="16"/>
  <c r="J2333" i="16"/>
  <c r="Q2333" i="16"/>
  <c r="R2333" i="16"/>
  <c r="P2333" i="16"/>
  <c r="T2333" i="16"/>
  <c r="L2334" i="16"/>
  <c r="C2334" i="16"/>
  <c r="K2334" i="16" s="1"/>
  <c r="E2334" i="16"/>
  <c r="F2334" i="16"/>
  <c r="O2334" i="16" s="1"/>
  <c r="G2334" i="16"/>
  <c r="I2334" i="16"/>
  <c r="B2335" i="16"/>
  <c r="U2278" i="16"/>
  <c r="S2278" i="16"/>
  <c r="M2279" i="16"/>
  <c r="D2279" i="16"/>
  <c r="J2279" i="16"/>
  <c r="N2279" i="16" s="1"/>
  <c r="P2279" i="16"/>
  <c r="Q2279" i="16"/>
  <c r="R2279" i="16"/>
  <c r="T2279" i="16"/>
  <c r="L2280" i="16"/>
  <c r="C2280" i="16"/>
  <c r="E2280" i="16"/>
  <c r="G2280" i="16"/>
  <c r="I2280" i="16"/>
  <c r="B2281" i="16"/>
  <c r="M2225" i="16"/>
  <c r="D2225" i="16"/>
  <c r="J2225" i="16"/>
  <c r="N2225" i="16" s="1"/>
  <c r="Q2225" i="16"/>
  <c r="P2225" i="16"/>
  <c r="R2225" i="16"/>
  <c r="T2225" i="16"/>
  <c r="L2226" i="16"/>
  <c r="I2226" i="16"/>
  <c r="C2226" i="16"/>
  <c r="E2226" i="16"/>
  <c r="G2226" i="16"/>
  <c r="B2227" i="16"/>
  <c r="M2171" i="16"/>
  <c r="P2171" i="16"/>
  <c r="Q2171" i="16"/>
  <c r="R2171" i="16"/>
  <c r="T2171" i="16"/>
  <c r="D2171" i="16"/>
  <c r="J2171" i="16"/>
  <c r="N2171" i="16" s="1"/>
  <c r="L2172" i="16"/>
  <c r="C2172" i="16"/>
  <c r="K2172" i="16" s="1"/>
  <c r="E2172" i="16"/>
  <c r="F2172" i="16"/>
  <c r="O2172" i="16" s="1"/>
  <c r="G2172" i="16"/>
  <c r="B2173" i="16"/>
  <c r="I2172" i="16"/>
  <c r="S2116" i="16"/>
  <c r="U2116" i="16"/>
  <c r="M2117" i="16"/>
  <c r="D2117" i="16"/>
  <c r="J2117" i="16"/>
  <c r="N2117" i="16" s="1"/>
  <c r="P2117" i="16"/>
  <c r="Q2117" i="16"/>
  <c r="R2117" i="16"/>
  <c r="T2117" i="16"/>
  <c r="L2118" i="16"/>
  <c r="C2118" i="16"/>
  <c r="K2118" i="16" s="1"/>
  <c r="E2118" i="16"/>
  <c r="F2118" i="16"/>
  <c r="O2118" i="16" s="1"/>
  <c r="G2118" i="16"/>
  <c r="I2118" i="16"/>
  <c r="B2119"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M1955" i="16"/>
  <c r="D1955" i="16"/>
  <c r="J1955" i="16"/>
  <c r="N1955" i="16" s="1"/>
  <c r="P1955" i="16"/>
  <c r="Q1955" i="16"/>
  <c r="R1955" i="16"/>
  <c r="T1955" i="16"/>
  <c r="L1956" i="16"/>
  <c r="C1956" i="16"/>
  <c r="K1956" i="16" s="1"/>
  <c r="E1956" i="16"/>
  <c r="F1956" i="16"/>
  <c r="O1956" i="16" s="1"/>
  <c r="G1956" i="16"/>
  <c r="I1956" i="16"/>
  <c r="B1957" i="16"/>
  <c r="M1901" i="16"/>
  <c r="D1901" i="16"/>
  <c r="J1901" i="16"/>
  <c r="N1901" i="16" s="1"/>
  <c r="P1901" i="16"/>
  <c r="Q1901" i="16"/>
  <c r="R1901" i="16"/>
  <c r="T1901" i="16"/>
  <c r="L1902" i="16"/>
  <c r="C1902" i="16"/>
  <c r="E1902" i="16"/>
  <c r="G1902" i="16"/>
  <c r="I1902" i="16"/>
  <c r="B1903" i="16"/>
  <c r="U1846" i="16"/>
  <c r="S1846" i="16"/>
  <c r="M1847" i="16"/>
  <c r="D1847" i="16"/>
  <c r="J1847" i="16"/>
  <c r="N1847" i="16" s="1"/>
  <c r="P1847" i="16"/>
  <c r="Q1847" i="16"/>
  <c r="R1847" i="16"/>
  <c r="T1847" i="16"/>
  <c r="L1848" i="16"/>
  <c r="C1848" i="16"/>
  <c r="E1848" i="16"/>
  <c r="G1848" i="16"/>
  <c r="I1848" i="16"/>
  <c r="B1849" i="16"/>
  <c r="U1792" i="16"/>
  <c r="S1792" i="16"/>
  <c r="M1793" i="16"/>
  <c r="D1793" i="16"/>
  <c r="J1793" i="16"/>
  <c r="N1793" i="16" s="1"/>
  <c r="P1793" i="16"/>
  <c r="Q1793" i="16"/>
  <c r="R1793" i="16"/>
  <c r="T1793" i="16"/>
  <c r="L1794" i="16"/>
  <c r="C1794" i="16"/>
  <c r="K1794" i="16" s="1"/>
  <c r="E1794" i="16"/>
  <c r="F1794" i="16"/>
  <c r="O1794" i="16" s="1"/>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M1685" i="16"/>
  <c r="D1685" i="16"/>
  <c r="J1685" i="16"/>
  <c r="N1685" i="16" s="1"/>
  <c r="P1685" i="16"/>
  <c r="Q1685" i="16"/>
  <c r="R1685" i="16"/>
  <c r="T1685" i="16"/>
  <c r="L1686" i="16"/>
  <c r="C1686" i="16"/>
  <c r="E1686" i="16"/>
  <c r="G1686" i="16"/>
  <c r="I1686" i="16"/>
  <c r="B1687" i="16"/>
  <c r="M1631" i="16"/>
  <c r="D1631" i="16"/>
  <c r="J1631" i="16"/>
  <c r="N1631" i="16" s="1"/>
  <c r="P1631" i="16"/>
  <c r="Q1631" i="16"/>
  <c r="R1631" i="16"/>
  <c r="T1631" i="16"/>
  <c r="L1632" i="16"/>
  <c r="C1632" i="16"/>
  <c r="E1632" i="16"/>
  <c r="G1632" i="16"/>
  <c r="I1632" i="16"/>
  <c r="B1633" i="16"/>
  <c r="U1576" i="16"/>
  <c r="S1576" i="16"/>
  <c r="D1577" i="16"/>
  <c r="J1577" i="16"/>
  <c r="P1577" i="16"/>
  <c r="Q1577" i="16"/>
  <c r="R1577" i="16"/>
  <c r="T1577" i="16"/>
  <c r="L1578" i="16"/>
  <c r="C1578" i="16"/>
  <c r="E1578" i="16"/>
  <c r="G1578" i="16"/>
  <c r="I1578" i="16"/>
  <c r="B1579" i="16"/>
  <c r="U1522" i="16"/>
  <c r="S1522" i="16"/>
  <c r="D1523" i="16"/>
  <c r="J1523" i="16"/>
  <c r="P1523" i="16"/>
  <c r="Q1523" i="16"/>
  <c r="R1523" i="16"/>
  <c r="T1523" i="16"/>
  <c r="L1524" i="16"/>
  <c r="G1524" i="16"/>
  <c r="B1525" i="16"/>
  <c r="C1524" i="16"/>
  <c r="E1524" i="16"/>
  <c r="I1524" i="16"/>
  <c r="M1469" i="16"/>
  <c r="D1469" i="16"/>
  <c r="J1469" i="16"/>
  <c r="N1469" i="16" s="1"/>
  <c r="P1469" i="16"/>
  <c r="Q1469" i="16"/>
  <c r="R1469" i="16"/>
  <c r="T1469" i="16"/>
  <c r="L1470" i="16"/>
  <c r="C1470" i="16"/>
  <c r="E1470" i="16"/>
  <c r="G1470" i="16"/>
  <c r="I1470" i="16"/>
  <c r="B1471" i="16"/>
  <c r="M1415" i="16"/>
  <c r="D1415" i="16"/>
  <c r="J1415" i="16"/>
  <c r="N1415" i="16" s="1"/>
  <c r="P1415" i="16"/>
  <c r="Q1415" i="16"/>
  <c r="R1415" i="16"/>
  <c r="T1415" i="16"/>
  <c r="L1416" i="16"/>
  <c r="I1416" i="16"/>
  <c r="B1417" i="16"/>
  <c r="C1416" i="16"/>
  <c r="G1416" i="16"/>
  <c r="E1416" i="16"/>
  <c r="D1361" i="16"/>
  <c r="J1361" i="16"/>
  <c r="P1361" i="16"/>
  <c r="Q1361" i="16"/>
  <c r="R1361" i="16"/>
  <c r="T1361" i="16"/>
  <c r="L1362" i="16"/>
  <c r="C1362" i="16"/>
  <c r="K1362" i="16" s="1"/>
  <c r="F1362" i="16"/>
  <c r="O1362" i="16" s="1"/>
  <c r="E1362" i="16"/>
  <c r="I1362" i="16"/>
  <c r="B1363" i="16"/>
  <c r="G1362" i="16"/>
  <c r="U1306" i="16"/>
  <c r="S1306" i="16"/>
  <c r="M1307" i="16"/>
  <c r="J1307" i="16"/>
  <c r="N1307" i="16" s="1"/>
  <c r="D1307" i="16"/>
  <c r="P1307" i="16"/>
  <c r="Q1307" i="16"/>
  <c r="R1307" i="16"/>
  <c r="T1307" i="16"/>
  <c r="L1308" i="16"/>
  <c r="I1308" i="16"/>
  <c r="B1309" i="16"/>
  <c r="E1308" i="16"/>
  <c r="C1308" i="16"/>
  <c r="G1308" i="16"/>
  <c r="M1254" i="16"/>
  <c r="D1254" i="16"/>
  <c r="J1254" i="16"/>
  <c r="N1254" i="16" s="1"/>
  <c r="P1254" i="16"/>
  <c r="Q1254" i="16"/>
  <c r="R1254" i="16"/>
  <c r="T1254" i="16"/>
  <c r="L1255" i="16"/>
  <c r="C1255" i="16"/>
  <c r="E1255" i="16"/>
  <c r="G1255" i="16"/>
  <c r="B1256" i="16"/>
  <c r="I1255" i="16"/>
  <c r="U1198" i="16"/>
  <c r="S1198" i="16"/>
  <c r="M1199" i="16"/>
  <c r="D1199" i="16"/>
  <c r="J1199" i="16"/>
  <c r="N1199" i="16" s="1"/>
  <c r="P1199" i="16"/>
  <c r="Q1199" i="16"/>
  <c r="R1199" i="16"/>
  <c r="T1199" i="16"/>
  <c r="L1200" i="16"/>
  <c r="C1200" i="16"/>
  <c r="K1200" i="16" s="1"/>
  <c r="E1200" i="16"/>
  <c r="F1200" i="16"/>
  <c r="O1200" i="16" s="1"/>
  <c r="G1200" i="16"/>
  <c r="I1200" i="16"/>
  <c r="B1201" i="16"/>
  <c r="M1145" i="16"/>
  <c r="D1145" i="16"/>
  <c r="J1145" i="16"/>
  <c r="N1145" i="16" s="1"/>
  <c r="P1145" i="16"/>
  <c r="Q1145" i="16"/>
  <c r="R1145" i="16"/>
  <c r="T1145" i="16"/>
  <c r="L1146" i="16"/>
  <c r="C1146" i="16"/>
  <c r="K1146" i="16" s="1"/>
  <c r="E1146" i="16"/>
  <c r="F1146" i="16"/>
  <c r="O1146" i="16" s="1"/>
  <c r="G1146" i="16"/>
  <c r="I1146" i="16"/>
  <c r="B1147" i="16"/>
  <c r="D1091" i="16"/>
  <c r="J1091" i="16"/>
  <c r="P1091" i="16"/>
  <c r="Q1091" i="16"/>
  <c r="R1091" i="16"/>
  <c r="T1091" i="16"/>
  <c r="L1092" i="16"/>
  <c r="C1092" i="16"/>
  <c r="K1092" i="16" s="1"/>
  <c r="E1092" i="16"/>
  <c r="F1092" i="16"/>
  <c r="O1092" i="16" s="1"/>
  <c r="G1092" i="16"/>
  <c r="I1092" i="16"/>
  <c r="B1093" i="16"/>
  <c r="U1036" i="16"/>
  <c r="S1036" i="16"/>
  <c r="D1037" i="16"/>
  <c r="J1037" i="16"/>
  <c r="P1037" i="16"/>
  <c r="Q1037" i="16"/>
  <c r="R1037" i="16"/>
  <c r="T1037" i="16"/>
  <c r="L1038" i="16"/>
  <c r="C1038" i="16"/>
  <c r="K1038" i="16" s="1"/>
  <c r="E1038" i="16"/>
  <c r="F1038" i="16"/>
  <c r="O1038" i="16" s="1"/>
  <c r="G1038" i="16"/>
  <c r="I1038" i="16"/>
  <c r="B1039" i="16"/>
  <c r="U982" i="16"/>
  <c r="S982" i="16"/>
  <c r="M983" i="16"/>
  <c r="D983" i="16"/>
  <c r="J983" i="16"/>
  <c r="N983" i="16" s="1"/>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K930" i="16" s="1"/>
  <c r="E930" i="16"/>
  <c r="F930" i="16"/>
  <c r="O930" i="16" s="1"/>
  <c r="G930" i="16"/>
  <c r="I930" i="16"/>
  <c r="B931" i="16"/>
  <c r="M875" i="16"/>
  <c r="D875" i="16"/>
  <c r="J875" i="16"/>
  <c r="N875" i="16" s="1"/>
  <c r="Q875" i="16"/>
  <c r="P875" i="16"/>
  <c r="R875" i="16"/>
  <c r="T875" i="16"/>
  <c r="L876" i="16"/>
  <c r="C876" i="16"/>
  <c r="K876" i="16" s="1"/>
  <c r="E876" i="16"/>
  <c r="F876" i="16"/>
  <c r="O876" i="16" s="1"/>
  <c r="G876" i="16"/>
  <c r="I876" i="16"/>
  <c r="B877" i="16"/>
  <c r="M821" i="16"/>
  <c r="D821" i="16"/>
  <c r="J821" i="16"/>
  <c r="N821" i="16" s="1"/>
  <c r="P821" i="16"/>
  <c r="Q821" i="16"/>
  <c r="R821" i="16"/>
  <c r="T821" i="16"/>
  <c r="L822" i="16"/>
  <c r="C822" i="16"/>
  <c r="K822" i="16" s="1"/>
  <c r="E822" i="16"/>
  <c r="F822" i="16"/>
  <c r="O822" i="16" s="1"/>
  <c r="G822" i="16"/>
  <c r="I822" i="16"/>
  <c r="B823" i="16"/>
  <c r="P767" i="16"/>
  <c r="Q767" i="16"/>
  <c r="R767" i="16"/>
  <c r="T767" i="16"/>
  <c r="D767" i="16"/>
  <c r="J767" i="16"/>
  <c r="L768" i="16"/>
  <c r="G768" i="16"/>
  <c r="B769" i="16"/>
  <c r="I768" i="16"/>
  <c r="E768" i="16"/>
  <c r="C768" i="16"/>
  <c r="U712" i="16"/>
  <c r="S712" i="16"/>
  <c r="M713" i="16"/>
  <c r="D713" i="16"/>
  <c r="J713" i="16"/>
  <c r="N713" i="16" s="1"/>
  <c r="Q713" i="16"/>
  <c r="P713" i="16"/>
  <c r="R713" i="16"/>
  <c r="T713" i="16"/>
  <c r="L714" i="16"/>
  <c r="C714" i="16"/>
  <c r="E714" i="16"/>
  <c r="G714" i="16"/>
  <c r="I714" i="16"/>
  <c r="B715" i="16"/>
  <c r="U658" i="16"/>
  <c r="S658" i="16"/>
  <c r="M659" i="16"/>
  <c r="D659" i="16"/>
  <c r="J659" i="16"/>
  <c r="N659" i="16" s="1"/>
  <c r="P659" i="16"/>
  <c r="Q659" i="16"/>
  <c r="R659" i="16"/>
  <c r="T659" i="16"/>
  <c r="L660" i="16"/>
  <c r="C660" i="16"/>
  <c r="E660" i="16"/>
  <c r="G660" i="16"/>
  <c r="I660" i="16"/>
  <c r="B661" i="16"/>
  <c r="M605" i="16"/>
  <c r="D605" i="16"/>
  <c r="J605" i="16"/>
  <c r="N605" i="16" s="1"/>
  <c r="P605" i="16"/>
  <c r="Q605" i="16"/>
  <c r="R605" i="16"/>
  <c r="T605" i="16"/>
  <c r="L606" i="16"/>
  <c r="C606" i="16"/>
  <c r="E606" i="16"/>
  <c r="G606" i="16"/>
  <c r="I606" i="16"/>
  <c r="B607" i="16"/>
  <c r="D551" i="16"/>
  <c r="J551" i="16"/>
  <c r="P551" i="16"/>
  <c r="Q551" i="16"/>
  <c r="R551" i="16"/>
  <c r="T551" i="16"/>
  <c r="L552" i="16"/>
  <c r="C552" i="16"/>
  <c r="K552" i="16" s="1"/>
  <c r="E552" i="16"/>
  <c r="F552" i="16"/>
  <c r="O552" i="16" s="1"/>
  <c r="G552" i="16"/>
  <c r="I552" i="16"/>
  <c r="B553" i="16"/>
  <c r="U496" i="16"/>
  <c r="S496" i="16"/>
  <c r="M497" i="16"/>
  <c r="D497" i="16"/>
  <c r="J497" i="16"/>
  <c r="N497" i="16" s="1"/>
  <c r="P497" i="16"/>
  <c r="Q497" i="16"/>
  <c r="R497" i="16"/>
  <c r="T497" i="16"/>
  <c r="L498" i="16"/>
  <c r="C498" i="16"/>
  <c r="E498" i="16"/>
  <c r="G498" i="16"/>
  <c r="I498" i="16"/>
  <c r="B499" i="16"/>
  <c r="U442" i="16"/>
  <c r="S442" i="16"/>
  <c r="M443" i="16"/>
  <c r="D443" i="16"/>
  <c r="J443" i="16"/>
  <c r="N443" i="16" s="1"/>
  <c r="P443" i="16"/>
  <c r="Q443" i="16"/>
  <c r="R443" i="16"/>
  <c r="T443" i="16"/>
  <c r="L444" i="16"/>
  <c r="C444" i="16"/>
  <c r="K444" i="16" s="1"/>
  <c r="E444" i="16"/>
  <c r="F444" i="16"/>
  <c r="O444" i="16" s="1"/>
  <c r="G444" i="16"/>
  <c r="I444" i="16"/>
  <c r="B445" i="16"/>
  <c r="U388" i="16"/>
  <c r="S388" i="16"/>
  <c r="M389" i="16"/>
  <c r="D389" i="16"/>
  <c r="J389" i="16"/>
  <c r="N389" i="16" s="1"/>
  <c r="P389" i="16"/>
  <c r="Q389" i="16"/>
  <c r="R389" i="16"/>
  <c r="T389" i="16"/>
  <c r="L390" i="16"/>
  <c r="C390" i="16"/>
  <c r="K390" i="16" s="1"/>
  <c r="E390" i="16"/>
  <c r="F390" i="16"/>
  <c r="O390" i="16" s="1"/>
  <c r="G390" i="16"/>
  <c r="I390" i="16"/>
  <c r="B391" i="16"/>
  <c r="M335" i="16"/>
  <c r="J335" i="16"/>
  <c r="N335" i="16" s="1"/>
  <c r="D335" i="16"/>
  <c r="P335" i="16"/>
  <c r="Q335" i="16"/>
  <c r="R335" i="16"/>
  <c r="T335" i="16"/>
  <c r="L336" i="16"/>
  <c r="G336" i="16"/>
  <c r="I336" i="16"/>
  <c r="E336" i="16"/>
  <c r="B337" i="16"/>
  <c r="C336" i="16"/>
  <c r="M281" i="16"/>
  <c r="D281" i="16"/>
  <c r="J281" i="16"/>
  <c r="N281" i="16" s="1"/>
  <c r="P281" i="16"/>
  <c r="Q281" i="16"/>
  <c r="R281" i="16"/>
  <c r="T281" i="16"/>
  <c r="L282" i="16"/>
  <c r="C282" i="16"/>
  <c r="K282" i="16" s="1"/>
  <c r="E282" i="16"/>
  <c r="F282" i="16"/>
  <c r="O282" i="16" s="1"/>
  <c r="G282" i="16"/>
  <c r="I282" i="16"/>
  <c r="B283" i="16"/>
  <c r="U226" i="16"/>
  <c r="S226" i="16"/>
  <c r="M227" i="16"/>
  <c r="D227" i="16"/>
  <c r="J227" i="16"/>
  <c r="N227" i="16" s="1"/>
  <c r="P227" i="16"/>
  <c r="Q227" i="16"/>
  <c r="R227" i="16"/>
  <c r="T227" i="16"/>
  <c r="L228" i="16"/>
  <c r="C228" i="16"/>
  <c r="E228" i="16"/>
  <c r="G228" i="16"/>
  <c r="I228" i="16"/>
  <c r="B229" i="16"/>
  <c r="U172" i="16"/>
  <c r="S172" i="16"/>
  <c r="M173" i="16"/>
  <c r="D173" i="16"/>
  <c r="J173" i="16"/>
  <c r="N173" i="16" s="1"/>
  <c r="P173" i="16"/>
  <c r="Q173" i="16"/>
  <c r="R173" i="16"/>
  <c r="T173" i="16"/>
  <c r="L174" i="16"/>
  <c r="C174" i="16"/>
  <c r="K174" i="16" s="1"/>
  <c r="E174" i="16"/>
  <c r="F174" i="16"/>
  <c r="O174" i="16" s="1"/>
  <c r="G174" i="16"/>
  <c r="I174" i="16"/>
  <c r="B175" i="16"/>
  <c r="S118" i="16"/>
  <c r="U118" i="16"/>
  <c r="M119" i="16"/>
  <c r="D119" i="16"/>
  <c r="J119" i="16"/>
  <c r="N119" i="16" s="1"/>
  <c r="P119" i="16"/>
  <c r="Q119" i="16"/>
  <c r="R119" i="16"/>
  <c r="T119" i="16"/>
  <c r="L120" i="16"/>
  <c r="C120" i="16"/>
  <c r="K120" i="16" s="1"/>
  <c r="E120" i="16"/>
  <c r="F120" i="16"/>
  <c r="O120" i="16" s="1"/>
  <c r="G120" i="16"/>
  <c r="I120" i="16"/>
  <c r="B121" i="16"/>
  <c r="C90" i="7"/>
  <c r="G90" i="7" s="1"/>
  <c r="U56" i="4"/>
  <c r="S56"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C58" i="4"/>
  <c r="E58" i="4"/>
  <c r="F58" i="4"/>
  <c r="C58" i="5" s="1"/>
  <c r="E58" i="5" s="1"/>
  <c r="G58" i="4"/>
  <c r="L58" i="4"/>
  <c r="I58" i="4"/>
  <c r="K58" i="4"/>
  <c r="B59" i="4"/>
  <c r="B58" i="5"/>
  <c r="M57" i="4"/>
  <c r="F56" i="5"/>
  <c r="G56" i="5"/>
  <c r="H56" i="5"/>
  <c r="U4197" i="16"/>
  <c r="S4197" i="16"/>
  <c r="U3249" i="16"/>
  <c r="S3249" i="16"/>
  <c r="U3195" i="16"/>
  <c r="S3195" i="16"/>
  <c r="U3141" i="16"/>
  <c r="S3141" i="16"/>
  <c r="U3087" i="16"/>
  <c r="S3087" i="16"/>
  <c r="U2871" i="16"/>
  <c r="S2871" i="16"/>
  <c r="U2601" i="16"/>
  <c r="S2601" i="16"/>
  <c r="S2547" i="16"/>
  <c r="U2547" i="16"/>
  <c r="S2331" i="16"/>
  <c r="U2331" i="16"/>
  <c r="U2007" i="16"/>
  <c r="S2007" i="16"/>
  <c r="U1737" i="16"/>
  <c r="S1737" i="16"/>
  <c r="S1683" i="16"/>
  <c r="U1683" i="16"/>
  <c r="U1413" i="16"/>
  <c r="S1413" i="16"/>
  <c r="U1305" i="16"/>
  <c r="S1305" i="16"/>
  <c r="U1143" i="16"/>
  <c r="S1143" i="16"/>
  <c r="U873" i="16"/>
  <c r="S873" i="16"/>
  <c r="U819" i="16"/>
  <c r="S819" i="16"/>
  <c r="U333" i="16"/>
  <c r="S333" i="16"/>
  <c r="M4606" i="16"/>
  <c r="N4606" i="16"/>
  <c r="M4552" i="16"/>
  <c r="N4552" i="16"/>
  <c r="M4252" i="16"/>
  <c r="N4252" i="16"/>
  <c r="N3736" i="16"/>
  <c r="M3736" i="16"/>
  <c r="M3682" i="16"/>
  <c r="N3682" i="16"/>
  <c r="M3574" i="16"/>
  <c r="N3574" i="16"/>
  <c r="M3412" i="16"/>
  <c r="N3412" i="16"/>
  <c r="M3304" i="16"/>
  <c r="N3304" i="16"/>
  <c r="N3250" i="16"/>
  <c r="M3250" i="16"/>
  <c r="M3196" i="16"/>
  <c r="N3196" i="16"/>
  <c r="M3142" i="16"/>
  <c r="N3142" i="16"/>
  <c r="M3088" i="16"/>
  <c r="N3088" i="16"/>
  <c r="M2980" i="16"/>
  <c r="N2980" i="16"/>
  <c r="M2926" i="16"/>
  <c r="N2926" i="16"/>
  <c r="M2872" i="16"/>
  <c r="N2872" i="16"/>
  <c r="M2656" i="16"/>
  <c r="N2656" i="16"/>
  <c r="M2440" i="16"/>
  <c r="N2440" i="16"/>
  <c r="M2224" i="16"/>
  <c r="N2224" i="16"/>
  <c r="N2170" i="16"/>
  <c r="M2170" i="16"/>
  <c r="M1954" i="16"/>
  <c r="N1954" i="16"/>
  <c r="M1900" i="16"/>
  <c r="N1900" i="16"/>
  <c r="M1684" i="16"/>
  <c r="N1684" i="16"/>
  <c r="M1630" i="16"/>
  <c r="N1630" i="16"/>
  <c r="M1468" i="16"/>
  <c r="N1468" i="16"/>
  <c r="M1414" i="16"/>
  <c r="N1414" i="16"/>
  <c r="M1360" i="16"/>
  <c r="N1360" i="16"/>
  <c r="N1253" i="16"/>
  <c r="M1253" i="16"/>
  <c r="M1144" i="16"/>
  <c r="N1144" i="16"/>
  <c r="M1090" i="16"/>
  <c r="N1090" i="16"/>
  <c r="M874" i="16"/>
  <c r="N874" i="16"/>
  <c r="M820" i="16"/>
  <c r="N820" i="16"/>
  <c r="N766" i="16"/>
  <c r="M766" i="16"/>
  <c r="M604" i="16"/>
  <c r="N604" i="16"/>
  <c r="M550" i="16"/>
  <c r="N550" i="16"/>
  <c r="M334" i="16"/>
  <c r="N334" i="16"/>
  <c r="M280" i="16"/>
  <c r="N280" i="16"/>
  <c r="D4661" i="16"/>
  <c r="F4661" i="16"/>
  <c r="O4661" i="16" s="1"/>
  <c r="K4607" i="16"/>
  <c r="F4607" i="16"/>
  <c r="K3737" i="16"/>
  <c r="F3737" i="16"/>
  <c r="O3737" i="16" s="1"/>
  <c r="F3467" i="16"/>
  <c r="O3467" i="16" s="1"/>
  <c r="K3467" i="16"/>
  <c r="K3413" i="16"/>
  <c r="F3413" i="16"/>
  <c r="O3413" i="16" s="1"/>
  <c r="K3197" i="16"/>
  <c r="F3197" i="16"/>
  <c r="O3197" i="16" s="1"/>
  <c r="K3143" i="16"/>
  <c r="F3143" i="16"/>
  <c r="O3143" i="16" s="1"/>
  <c r="K3035" i="16"/>
  <c r="F3035" i="16"/>
  <c r="O3035" i="16" s="1"/>
  <c r="F2603" i="16"/>
  <c r="O2603" i="16" s="1"/>
  <c r="K2603" i="16"/>
  <c r="F2387" i="16"/>
  <c r="O2387" i="16" s="1"/>
  <c r="K2387" i="16"/>
  <c r="F2333" i="16"/>
  <c r="O2333" i="16" s="1"/>
  <c r="K2333" i="16"/>
  <c r="F1577" i="16"/>
  <c r="O1577" i="16" s="1"/>
  <c r="K1577" i="16"/>
  <c r="K1523" i="16"/>
  <c r="F1523" i="16"/>
  <c r="O1523" i="16" s="1"/>
  <c r="K1361" i="16"/>
  <c r="F1361" i="16"/>
  <c r="O1361" i="16" s="1"/>
  <c r="K1091" i="16"/>
  <c r="F1091" i="16"/>
  <c r="O1091" i="16" s="1"/>
  <c r="F1037" i="16"/>
  <c r="O1037" i="16" s="1"/>
  <c r="K1037" i="16"/>
  <c r="K767" i="16"/>
  <c r="F767" i="16"/>
  <c r="O767" i="16" s="1"/>
  <c r="K551" i="16"/>
  <c r="F551" i="16"/>
  <c r="O551" i="16" s="1"/>
  <c r="K4554" i="16" l="1"/>
  <c r="F4554" i="16"/>
  <c r="F3090" i="16"/>
  <c r="O3090" i="16" s="1"/>
  <c r="K3090" i="16"/>
  <c r="K2928" i="16"/>
  <c r="F2928" i="16"/>
  <c r="O2928" i="16" s="1"/>
  <c r="K2712" i="16"/>
  <c r="F2712" i="16"/>
  <c r="O2712" i="16" s="1"/>
  <c r="K2496" i="16"/>
  <c r="F2496" i="16"/>
  <c r="O2496" i="16" s="1"/>
  <c r="K2280" i="16"/>
  <c r="F2280" i="16"/>
  <c r="O2280" i="16" s="1"/>
  <c r="K1686" i="16"/>
  <c r="F1686" i="16"/>
  <c r="O1686" i="16" s="1"/>
  <c r="K1470" i="16"/>
  <c r="F1470" i="16"/>
  <c r="O1470" i="16" s="1"/>
  <c r="F714" i="16"/>
  <c r="O714" i="16" s="1"/>
  <c r="K714" i="16"/>
  <c r="K660" i="16"/>
  <c r="F660" i="16"/>
  <c r="O660" i="16" s="1"/>
  <c r="K606" i="16"/>
  <c r="F606" i="16"/>
  <c r="O606" i="16" s="1"/>
  <c r="T4714" i="16"/>
  <c r="S4715" i="16"/>
  <c r="T4715" i="16" s="1"/>
  <c r="U4715" i="16"/>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D4608" i="16"/>
  <c r="J4608" i="16"/>
  <c r="P4608" i="16"/>
  <c r="Q4608" i="16"/>
  <c r="R4608" i="16"/>
  <c r="L4609" i="16"/>
  <c r="C4609" i="16"/>
  <c r="E4609" i="16"/>
  <c r="G4609" i="16"/>
  <c r="I4609" i="16"/>
  <c r="B4610" i="16"/>
  <c r="M4554" i="16"/>
  <c r="D4554" i="16"/>
  <c r="J4554" i="16"/>
  <c r="N4554" i="16" s="1"/>
  <c r="P4554" i="16"/>
  <c r="Q4554" i="16"/>
  <c r="R4554" i="16"/>
  <c r="L4555" i="16"/>
  <c r="C4555" i="16"/>
  <c r="E4555" i="16"/>
  <c r="G4555" i="16"/>
  <c r="I4555" i="16"/>
  <c r="B4556" i="16"/>
  <c r="U4253" i="16"/>
  <c r="S4253" i="16"/>
  <c r="M4254" i="16"/>
  <c r="D4254" i="16"/>
  <c r="J4254" i="16"/>
  <c r="N4254" i="16" s="1"/>
  <c r="P4254" i="16"/>
  <c r="Q4254" i="16"/>
  <c r="R4254" i="16"/>
  <c r="T4254" i="16"/>
  <c r="L4255" i="16"/>
  <c r="C4255" i="16"/>
  <c r="K4255" i="16" s="1"/>
  <c r="E4255" i="16"/>
  <c r="F4255" i="16"/>
  <c r="O4255" i="16" s="1"/>
  <c r="G4255" i="16"/>
  <c r="I4255" i="16"/>
  <c r="B4256" i="16"/>
  <c r="U4199" i="16"/>
  <c r="S4199" i="16"/>
  <c r="P4200" i="16"/>
  <c r="Q4200" i="16"/>
  <c r="R4200" i="16"/>
  <c r="T4200" i="16"/>
  <c r="D4200" i="16"/>
  <c r="J4200" i="16"/>
  <c r="N4200" i="16" s="1"/>
  <c r="M4200" i="16"/>
  <c r="G4201" i="16"/>
  <c r="I4201" i="16"/>
  <c r="L4201" i="16"/>
  <c r="B4202" i="16"/>
  <c r="C4201" i="16"/>
  <c r="F4201" i="16" s="1"/>
  <c r="O4201" i="16" s="1"/>
  <c r="E4201" i="16"/>
  <c r="K4201" i="16"/>
  <c r="U4145" i="16"/>
  <c r="S4145" i="16"/>
  <c r="E4147" i="16"/>
  <c r="G4147" i="16"/>
  <c r="L4147" i="16"/>
  <c r="B4148" i="16"/>
  <c r="C4147" i="16"/>
  <c r="I4147" i="16"/>
  <c r="D4146" i="16"/>
  <c r="J4146" i="16"/>
  <c r="P4146" i="16"/>
  <c r="Q4146" i="16"/>
  <c r="R4146" i="16"/>
  <c r="T4146" i="16"/>
  <c r="N4146" i="16"/>
  <c r="M4146" i="16"/>
  <c r="U4091" i="16"/>
  <c r="S4091" i="16"/>
  <c r="M4092" i="16"/>
  <c r="D4092" i="16"/>
  <c r="J4092" i="16"/>
  <c r="N4092" i="16" s="1"/>
  <c r="P4092" i="16"/>
  <c r="Q4092" i="16"/>
  <c r="R4092" i="16"/>
  <c r="T4092" i="16"/>
  <c r="L4093" i="16"/>
  <c r="C4093" i="16"/>
  <c r="K4093" i="16" s="1"/>
  <c r="E4093" i="16"/>
  <c r="F4093" i="16"/>
  <c r="O4093" i="16" s="1"/>
  <c r="G4093" i="16"/>
  <c r="I4093" i="16"/>
  <c r="B4094" i="16"/>
  <c r="U3791" i="16"/>
  <c r="S3791" i="16"/>
  <c r="D3792" i="16"/>
  <c r="J3792" i="16"/>
  <c r="P3792" i="16"/>
  <c r="Q3792" i="16"/>
  <c r="R3792" i="16"/>
  <c r="T3792" i="16"/>
  <c r="L3793" i="16"/>
  <c r="C3793" i="16"/>
  <c r="E3793" i="16"/>
  <c r="G3793" i="16"/>
  <c r="I3793" i="16"/>
  <c r="B3794" i="16"/>
  <c r="M3738" i="16"/>
  <c r="D3738" i="16"/>
  <c r="J3738" i="16"/>
  <c r="N3738" i="16" s="1"/>
  <c r="P3738" i="16"/>
  <c r="Q3738" i="16"/>
  <c r="R3738" i="16"/>
  <c r="T3738" i="16"/>
  <c r="L3739" i="16"/>
  <c r="E3739" i="16"/>
  <c r="G3739" i="16"/>
  <c r="C3739" i="16"/>
  <c r="I3739" i="16"/>
  <c r="B3740" i="16"/>
  <c r="S3683" i="16"/>
  <c r="U3683" i="16"/>
  <c r="M3684" i="16"/>
  <c r="D3684" i="16"/>
  <c r="J3684" i="16"/>
  <c r="N3684" i="16" s="1"/>
  <c r="P3684" i="16"/>
  <c r="Q3684" i="16"/>
  <c r="R3684" i="16"/>
  <c r="T3684" i="16"/>
  <c r="L3685" i="16"/>
  <c r="C3685" i="16"/>
  <c r="K3685" i="16" s="1"/>
  <c r="E3685" i="16"/>
  <c r="F3685" i="16"/>
  <c r="O3685" i="16" s="1"/>
  <c r="G3685" i="16"/>
  <c r="B3686" i="16"/>
  <c r="I3685"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M3522" i="16"/>
  <c r="D3522" i="16"/>
  <c r="J3522" i="16"/>
  <c r="N3522" i="16" s="1"/>
  <c r="P3522" i="16"/>
  <c r="Q3522" i="16"/>
  <c r="R3522" i="16"/>
  <c r="T3522" i="16"/>
  <c r="L3523" i="16"/>
  <c r="C3523" i="16"/>
  <c r="E3523" i="16"/>
  <c r="G3523" i="16"/>
  <c r="I3523" i="16"/>
  <c r="B3524" i="16"/>
  <c r="L3469" i="16"/>
  <c r="E3469" i="16"/>
  <c r="G3469" i="16"/>
  <c r="I3469" i="16"/>
  <c r="C3469" i="16"/>
  <c r="B3470" i="16"/>
  <c r="D3468" i="16"/>
  <c r="J3468" i="16"/>
  <c r="P3468" i="16"/>
  <c r="Q3468" i="16"/>
  <c r="R3468" i="16"/>
  <c r="T3468" i="16"/>
  <c r="D3414" i="16"/>
  <c r="J3414" i="16"/>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E3361" i="16"/>
  <c r="G3361" i="16"/>
  <c r="I3361" i="16"/>
  <c r="B3362" i="16"/>
  <c r="U3305" i="16"/>
  <c r="S3305" i="16"/>
  <c r="M3306" i="16"/>
  <c r="D3306" i="16"/>
  <c r="J3306" i="16"/>
  <c r="N3306" i="16" s="1"/>
  <c r="P3306" i="16"/>
  <c r="Q3306" i="16"/>
  <c r="R3306" i="16"/>
  <c r="T3306" i="16"/>
  <c r="L3307" i="16"/>
  <c r="C3307" i="16"/>
  <c r="E3307" i="16"/>
  <c r="G3307" i="16"/>
  <c r="I3307" i="16"/>
  <c r="B3308" i="16"/>
  <c r="U3251" i="16"/>
  <c r="S3251" i="16"/>
  <c r="J3252" i="16"/>
  <c r="D3252" i="16"/>
  <c r="P3252" i="16"/>
  <c r="Q3252" i="16"/>
  <c r="R3252" i="16"/>
  <c r="T3252" i="16"/>
  <c r="L3253" i="16"/>
  <c r="G3253" i="16"/>
  <c r="E3253" i="16"/>
  <c r="B3254" i="16"/>
  <c r="C3253" i="16"/>
  <c r="K3253" i="16" s="1"/>
  <c r="F3253" i="16"/>
  <c r="O3253" i="16" s="1"/>
  <c r="I3253" i="16"/>
  <c r="P3198" i="16"/>
  <c r="Q3198" i="16"/>
  <c r="R3198" i="16"/>
  <c r="T3198" i="16"/>
  <c r="D3198" i="16"/>
  <c r="J3198" i="16"/>
  <c r="L3199" i="16"/>
  <c r="B3200" i="16"/>
  <c r="G3199" i="16"/>
  <c r="E3199" i="16"/>
  <c r="I3199" i="16"/>
  <c r="C3199" i="16"/>
  <c r="M3144" i="16"/>
  <c r="P3144" i="16"/>
  <c r="Q3144" i="16"/>
  <c r="R3144" i="16"/>
  <c r="T3144" i="16"/>
  <c r="D3144" i="16"/>
  <c r="J3144" i="16"/>
  <c r="N3144" i="16" s="1"/>
  <c r="L3145" i="16"/>
  <c r="B3146" i="16"/>
  <c r="C3145" i="16"/>
  <c r="G3145" i="16"/>
  <c r="E3145" i="16"/>
  <c r="I3145" i="16"/>
  <c r="U3089" i="16"/>
  <c r="S3089" i="16"/>
  <c r="M3090" i="16"/>
  <c r="N3090" i="16"/>
  <c r="L3091" i="16"/>
  <c r="G3091" i="16"/>
  <c r="B3092" i="16"/>
  <c r="C3091" i="16"/>
  <c r="I3091" i="16"/>
  <c r="E3091" i="16"/>
  <c r="P3090" i="16"/>
  <c r="Q3090" i="16"/>
  <c r="R3090" i="16"/>
  <c r="T3090" i="16"/>
  <c r="D3090" i="16"/>
  <c r="J3090" i="16"/>
  <c r="M3036" i="16"/>
  <c r="D3036" i="16"/>
  <c r="J3036" i="16"/>
  <c r="N3036" i="16" s="1"/>
  <c r="P3036" i="16"/>
  <c r="Q3036" i="16"/>
  <c r="R3036" i="16"/>
  <c r="T3036" i="16"/>
  <c r="L3037" i="16"/>
  <c r="G3037" i="16"/>
  <c r="I3037" i="16"/>
  <c r="C3037" i="16"/>
  <c r="K3037" i="16" s="1"/>
  <c r="F3037" i="16"/>
  <c r="O3037" i="16" s="1"/>
  <c r="B3038" i="16"/>
  <c r="E3037" i="16"/>
  <c r="U2981" i="16"/>
  <c r="S2981" i="16"/>
  <c r="M2982" i="16"/>
  <c r="D2982" i="16"/>
  <c r="J2982" i="16"/>
  <c r="N2982" i="16" s="1"/>
  <c r="P2982" i="16"/>
  <c r="Q2982" i="16"/>
  <c r="R2982" i="16"/>
  <c r="T2982" i="16"/>
  <c r="L2983" i="16"/>
  <c r="C2983" i="16"/>
  <c r="K2983" i="16" s="1"/>
  <c r="E2983" i="16"/>
  <c r="F2983" i="16"/>
  <c r="O2983" i="16" s="1"/>
  <c r="G2983" i="16"/>
  <c r="I2983" i="16"/>
  <c r="B2984" i="16"/>
  <c r="U2927" i="16"/>
  <c r="S2927" i="16"/>
  <c r="M2928" i="16"/>
  <c r="D2928" i="16"/>
  <c r="J2928" i="16"/>
  <c r="N2928" i="16" s="1"/>
  <c r="P2928" i="16"/>
  <c r="Q2928" i="16"/>
  <c r="R2928" i="16"/>
  <c r="T2928" i="16"/>
  <c r="L2929" i="16"/>
  <c r="C2929" i="16"/>
  <c r="E2929" i="16"/>
  <c r="G2929" i="16"/>
  <c r="I2929" i="16"/>
  <c r="B2930" i="16"/>
  <c r="U2873" i="16"/>
  <c r="S2873" i="16"/>
  <c r="M2874" i="16"/>
  <c r="D2874" i="16"/>
  <c r="J2874" i="16"/>
  <c r="N2874" i="16" s="1"/>
  <c r="P2874" i="16"/>
  <c r="Q2874" i="16"/>
  <c r="R2874" i="16"/>
  <c r="T2874" i="16"/>
  <c r="L2875" i="16"/>
  <c r="C2875" i="16"/>
  <c r="E2875" i="16"/>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S2765" i="16"/>
  <c r="U2765" i="16"/>
  <c r="M2766" i="16"/>
  <c r="D2766" i="16"/>
  <c r="J2766" i="16"/>
  <c r="N2766" i="16" s="1"/>
  <c r="P2766" i="16"/>
  <c r="Q2766" i="16"/>
  <c r="R2766" i="16"/>
  <c r="T2766" i="16"/>
  <c r="L2767" i="16"/>
  <c r="C2767" i="16"/>
  <c r="K2767" i="16" s="1"/>
  <c r="E2767" i="16"/>
  <c r="F2767" i="16"/>
  <c r="O2767" i="16" s="1"/>
  <c r="G2767" i="16"/>
  <c r="I2767" i="16"/>
  <c r="B2768" i="16"/>
  <c r="U2711" i="16"/>
  <c r="S2711" i="16"/>
  <c r="M2712" i="16"/>
  <c r="D2712" i="16"/>
  <c r="J2712" i="16"/>
  <c r="N2712" i="16" s="1"/>
  <c r="P2712" i="16"/>
  <c r="Q2712" i="16"/>
  <c r="R2712" i="16"/>
  <c r="T2712" i="16"/>
  <c r="L2713" i="16"/>
  <c r="C2713" i="16"/>
  <c r="K2713" i="16" s="1"/>
  <c r="E2713" i="16"/>
  <c r="F2713" i="16"/>
  <c r="O2713" i="16" s="1"/>
  <c r="G2713" i="16"/>
  <c r="I2713" i="16"/>
  <c r="B2714" i="16"/>
  <c r="U2657" i="16"/>
  <c r="S2657" i="16"/>
  <c r="M2658" i="16"/>
  <c r="D2658" i="16"/>
  <c r="J2658" i="16"/>
  <c r="N2658" i="16" s="1"/>
  <c r="P2658" i="16"/>
  <c r="Q2658" i="16"/>
  <c r="R2658" i="16"/>
  <c r="T2658" i="16"/>
  <c r="L2659" i="16"/>
  <c r="C2659" i="16"/>
  <c r="K2659" i="16" s="1"/>
  <c r="E2659" i="16"/>
  <c r="F2659" i="16"/>
  <c r="O2659" i="16" s="1"/>
  <c r="G2659" i="16"/>
  <c r="I2659" i="16"/>
  <c r="B2660" i="16"/>
  <c r="D2604" i="16"/>
  <c r="J2604" i="16"/>
  <c r="P2604" i="16"/>
  <c r="Q2604" i="16"/>
  <c r="R2604" i="16"/>
  <c r="T2604" i="16"/>
  <c r="L2605" i="16"/>
  <c r="C2605" i="16"/>
  <c r="K2605" i="16" s="1"/>
  <c r="E2605" i="16"/>
  <c r="F2605" i="16"/>
  <c r="O2605" i="16" s="1"/>
  <c r="G2605" i="16"/>
  <c r="I2605" i="16"/>
  <c r="B2606" i="16"/>
  <c r="S2549" i="16"/>
  <c r="U2549" i="16"/>
  <c r="M2550" i="16"/>
  <c r="D2550" i="16"/>
  <c r="J2550" i="16"/>
  <c r="N2550" i="16" s="1"/>
  <c r="P2550" i="16"/>
  <c r="Q2550" i="16"/>
  <c r="R2550" i="16"/>
  <c r="T2550" i="16"/>
  <c r="L2551" i="16"/>
  <c r="C2551" i="16"/>
  <c r="E2551" i="16"/>
  <c r="G2551" i="16"/>
  <c r="I2551" i="16"/>
  <c r="B2552" i="16"/>
  <c r="U2495" i="16"/>
  <c r="S2495" i="16"/>
  <c r="M2496" i="16"/>
  <c r="D2496" i="16"/>
  <c r="J2496" i="16"/>
  <c r="N2496" i="16" s="1"/>
  <c r="Q2496" i="16"/>
  <c r="P2496" i="16"/>
  <c r="R2496" i="16"/>
  <c r="T2496" i="16"/>
  <c r="L2497" i="16"/>
  <c r="C2497" i="16"/>
  <c r="K2497" i="16" s="1"/>
  <c r="E2497" i="16"/>
  <c r="F2497" i="16"/>
  <c r="O2497" i="16" s="1"/>
  <c r="G2497" i="16"/>
  <c r="I2497" i="16"/>
  <c r="B2498" i="16"/>
  <c r="U2441" i="16"/>
  <c r="S2441" i="16"/>
  <c r="D2442" i="16"/>
  <c r="J2442" i="16"/>
  <c r="P2442" i="16"/>
  <c r="Q2442" i="16"/>
  <c r="R2442" i="16"/>
  <c r="T2442" i="16"/>
  <c r="L2443" i="16"/>
  <c r="C2443" i="16"/>
  <c r="K2443" i="16" s="1"/>
  <c r="E2443" i="16"/>
  <c r="F2443" i="16"/>
  <c r="O2443" i="16" s="1"/>
  <c r="G2443" i="16"/>
  <c r="I2443" i="16"/>
  <c r="B2444" i="16"/>
  <c r="D2388" i="16"/>
  <c r="J2388" i="16"/>
  <c r="P2388" i="16"/>
  <c r="Q2388" i="16"/>
  <c r="R2388" i="16"/>
  <c r="T2388" i="16"/>
  <c r="L2389" i="16"/>
  <c r="C2389" i="16"/>
  <c r="E2389" i="16"/>
  <c r="G2389" i="16"/>
  <c r="I2389" i="16"/>
  <c r="B2390" i="16"/>
  <c r="M2334" i="16"/>
  <c r="D2334" i="16"/>
  <c r="J2334" i="16"/>
  <c r="N2334" i="16" s="1"/>
  <c r="P2334" i="16"/>
  <c r="Q2334" i="16"/>
  <c r="R2334" i="16"/>
  <c r="T2334" i="16"/>
  <c r="L2335" i="16"/>
  <c r="C2335" i="16"/>
  <c r="E2335" i="16"/>
  <c r="G2335" i="16"/>
  <c r="I2335" i="16"/>
  <c r="B2336" i="16"/>
  <c r="U2279" i="16"/>
  <c r="S2279" i="16"/>
  <c r="M2280" i="16"/>
  <c r="D2280" i="16"/>
  <c r="J2280" i="16"/>
  <c r="N2280" i="16" s="1"/>
  <c r="P2280" i="16"/>
  <c r="Q2280" i="16"/>
  <c r="R2280" i="16"/>
  <c r="T2280" i="16"/>
  <c r="L2281" i="16"/>
  <c r="C2281" i="16"/>
  <c r="E2281" i="16"/>
  <c r="G2281" i="16"/>
  <c r="I2281" i="16"/>
  <c r="B2282" i="16"/>
  <c r="U2225" i="16"/>
  <c r="S2225" i="16"/>
  <c r="J2226" i="16"/>
  <c r="D2226" i="16"/>
  <c r="P2226" i="16"/>
  <c r="Q2226" i="16"/>
  <c r="R2226" i="16"/>
  <c r="T2226" i="16"/>
  <c r="L2227" i="16"/>
  <c r="G2227" i="16"/>
  <c r="I2227" i="16"/>
  <c r="C2227" i="16"/>
  <c r="E2227" i="16"/>
  <c r="B2228" i="16"/>
  <c r="U2171" i="16"/>
  <c r="S2171" i="16"/>
  <c r="M2172" i="16"/>
  <c r="D2172" i="16"/>
  <c r="J2172" i="16"/>
  <c r="N2172" i="16" s="1"/>
  <c r="P2172" i="16"/>
  <c r="Q2172" i="16"/>
  <c r="R2172" i="16"/>
  <c r="T2172" i="16"/>
  <c r="L2173" i="16"/>
  <c r="C2173" i="16"/>
  <c r="E2173" i="16"/>
  <c r="G2173" i="16"/>
  <c r="B2174" i="16"/>
  <c r="I2173" i="16"/>
  <c r="S2117" i="16"/>
  <c r="U2117" i="16"/>
  <c r="M2118" i="16"/>
  <c r="D2118" i="16"/>
  <c r="J2118" i="16"/>
  <c r="N2118" i="16" s="1"/>
  <c r="P2118" i="16"/>
  <c r="Q2118" i="16"/>
  <c r="R2118" i="16"/>
  <c r="T2118" i="16"/>
  <c r="L2119" i="16"/>
  <c r="G2119" i="16"/>
  <c r="I2119" i="16"/>
  <c r="B2120" i="16"/>
  <c r="C2119" i="16"/>
  <c r="E2119" i="16"/>
  <c r="U2063" i="16"/>
  <c r="S2063" i="16"/>
  <c r="M2064" i="16"/>
  <c r="D2064" i="16"/>
  <c r="J2064" i="16"/>
  <c r="N2064" i="16" s="1"/>
  <c r="P2064" i="16"/>
  <c r="Q2064" i="16"/>
  <c r="R2064" i="16"/>
  <c r="T2064" i="16"/>
  <c r="L2065" i="16"/>
  <c r="C2065" i="16"/>
  <c r="E2065" i="16"/>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U1955" i="16"/>
  <c r="S1955" i="16"/>
  <c r="M1956" i="16"/>
  <c r="D1956" i="16"/>
  <c r="J1956" i="16"/>
  <c r="N1956" i="16" s="1"/>
  <c r="P1956" i="16"/>
  <c r="Q1956" i="16"/>
  <c r="R1956" i="16"/>
  <c r="T1956" i="16"/>
  <c r="L1957" i="16"/>
  <c r="C1957" i="16"/>
  <c r="K1957" i="16" s="1"/>
  <c r="E1957" i="16"/>
  <c r="F1957" i="16"/>
  <c r="O1957" i="16" s="1"/>
  <c r="G1957" i="16"/>
  <c r="I1957" i="16"/>
  <c r="B1958" i="16"/>
  <c r="S1901" i="16"/>
  <c r="U1901" i="16"/>
  <c r="D1902" i="16"/>
  <c r="J1902" i="16"/>
  <c r="P1902" i="16"/>
  <c r="Q1902" i="16"/>
  <c r="R1902" i="16"/>
  <c r="T1902" i="16"/>
  <c r="L1903" i="16"/>
  <c r="C1903" i="16"/>
  <c r="K1903" i="16" s="1"/>
  <c r="E1903" i="16"/>
  <c r="F1903" i="16"/>
  <c r="O1903" i="16" s="1"/>
  <c r="G1903" i="16"/>
  <c r="I1903" i="16"/>
  <c r="B1904" i="16"/>
  <c r="U1847" i="16"/>
  <c r="S1847" i="16"/>
  <c r="D1848" i="16"/>
  <c r="J1848" i="16"/>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S1685" i="16"/>
  <c r="U1685" i="16"/>
  <c r="M1686" i="16"/>
  <c r="D1686" i="16"/>
  <c r="J1686" i="16"/>
  <c r="N1686" i="16" s="1"/>
  <c r="P1686" i="16"/>
  <c r="Q1686" i="16"/>
  <c r="R1686" i="16"/>
  <c r="T1686" i="16"/>
  <c r="L1687" i="16"/>
  <c r="C1687" i="16"/>
  <c r="K1687" i="16" s="1"/>
  <c r="E1687" i="16"/>
  <c r="F1687" i="16"/>
  <c r="O1687" i="16" s="1"/>
  <c r="G1687" i="16"/>
  <c r="I1687" i="16"/>
  <c r="B1688" i="16"/>
  <c r="U1631" i="16"/>
  <c r="S1631" i="16"/>
  <c r="D1632" i="16"/>
  <c r="J1632" i="16"/>
  <c r="P1632" i="16"/>
  <c r="Q1632" i="16"/>
  <c r="R1632" i="16"/>
  <c r="T1632" i="16"/>
  <c r="L1633" i="16"/>
  <c r="C1633" i="16"/>
  <c r="K1633" i="16" s="1"/>
  <c r="E1633" i="16"/>
  <c r="F1633" i="16"/>
  <c r="O1633" i="16" s="1"/>
  <c r="G1633" i="16"/>
  <c r="I1633" i="16"/>
  <c r="B1634" i="16"/>
  <c r="D1578" i="16"/>
  <c r="J1578" i="16"/>
  <c r="P1578" i="16"/>
  <c r="Q1578" i="16"/>
  <c r="R1578" i="16"/>
  <c r="T1578" i="16"/>
  <c r="L1579" i="16"/>
  <c r="C1579" i="16"/>
  <c r="E1579" i="16"/>
  <c r="G1579" i="16"/>
  <c r="I1579" i="16"/>
  <c r="B1580" i="16"/>
  <c r="P1524" i="16"/>
  <c r="Q1524" i="16"/>
  <c r="R1524" i="16"/>
  <c r="T1524" i="16"/>
  <c r="L1525" i="16"/>
  <c r="C1525" i="16"/>
  <c r="E1525" i="16"/>
  <c r="G1525" i="16"/>
  <c r="I1525" i="16"/>
  <c r="B1526" i="16"/>
  <c r="D1524" i="16"/>
  <c r="J1524" i="16"/>
  <c r="U1469" i="16"/>
  <c r="S1469" i="16"/>
  <c r="M1470" i="16"/>
  <c r="D1470" i="16"/>
  <c r="J1470" i="16"/>
  <c r="N1470" i="16" s="1"/>
  <c r="P1470" i="16"/>
  <c r="Q1470" i="16"/>
  <c r="R1470" i="16"/>
  <c r="T1470" i="16"/>
  <c r="L1471" i="16"/>
  <c r="C1471" i="16"/>
  <c r="K1471" i="16" s="1"/>
  <c r="E1471" i="16"/>
  <c r="F1471" i="16"/>
  <c r="O1471" i="16" s="1"/>
  <c r="G1471" i="16"/>
  <c r="B1472" i="16"/>
  <c r="I1471" i="16"/>
  <c r="U1415" i="16"/>
  <c r="S1415" i="16"/>
  <c r="L1417" i="16"/>
  <c r="I1417" i="16"/>
  <c r="B1418" i="16"/>
  <c r="C1417" i="16"/>
  <c r="E1417" i="16"/>
  <c r="G1417" i="16"/>
  <c r="J1416" i="16"/>
  <c r="D1416" i="16"/>
  <c r="P1416" i="16"/>
  <c r="Q1416" i="16"/>
  <c r="R1416" i="16"/>
  <c r="T1416" i="16"/>
  <c r="M1362" i="16"/>
  <c r="D1362" i="16"/>
  <c r="J1362" i="16"/>
  <c r="N1362" i="16" s="1"/>
  <c r="L1363" i="16"/>
  <c r="G1363" i="16"/>
  <c r="I1363" i="16"/>
  <c r="C1363" i="16"/>
  <c r="E1363" i="16"/>
  <c r="B1364" i="16"/>
  <c r="P1362" i="16"/>
  <c r="Q1362" i="16"/>
  <c r="R1362" i="16"/>
  <c r="T1362" i="16"/>
  <c r="U1307" i="16"/>
  <c r="S1307" i="16"/>
  <c r="L1309" i="16"/>
  <c r="E1309" i="16"/>
  <c r="C1309" i="16"/>
  <c r="G1309" i="16"/>
  <c r="B1310" i="16"/>
  <c r="I1309" i="16"/>
  <c r="D1308" i="16"/>
  <c r="J1308" i="16"/>
  <c r="P1308" i="16"/>
  <c r="Q1308" i="16"/>
  <c r="R1308" i="16"/>
  <c r="T1308" i="16"/>
  <c r="S1254" i="16"/>
  <c r="U1254" i="16"/>
  <c r="D1255" i="16"/>
  <c r="J1255" i="16"/>
  <c r="P1255" i="16"/>
  <c r="Q1255" i="16"/>
  <c r="R1255" i="16"/>
  <c r="T1255" i="16"/>
  <c r="L1256" i="16"/>
  <c r="E1256" i="16"/>
  <c r="G1256" i="16"/>
  <c r="C1256" i="16"/>
  <c r="K1256" i="16" s="1"/>
  <c r="F1256" i="16"/>
  <c r="O1256" i="16" s="1"/>
  <c r="I1256" i="16"/>
  <c r="B1257" i="16"/>
  <c r="U1199" i="16"/>
  <c r="S1199" i="16"/>
  <c r="M1200" i="16"/>
  <c r="D1200" i="16"/>
  <c r="J1200" i="16"/>
  <c r="N1200" i="16" s="1"/>
  <c r="P1200" i="16"/>
  <c r="Q1200" i="16"/>
  <c r="R1200" i="16"/>
  <c r="T1200" i="16"/>
  <c r="L1201" i="16"/>
  <c r="C1201" i="16"/>
  <c r="E1201" i="16"/>
  <c r="G1201" i="16"/>
  <c r="I1201" i="16"/>
  <c r="B1202" i="16"/>
  <c r="U1145" i="16"/>
  <c r="S1145" i="16"/>
  <c r="M1146" i="16"/>
  <c r="D1146" i="16"/>
  <c r="J1146" i="16"/>
  <c r="N1146" i="16" s="1"/>
  <c r="P1146" i="16"/>
  <c r="Q1146" i="16"/>
  <c r="R1146" i="16"/>
  <c r="T1146" i="16"/>
  <c r="L1147" i="16"/>
  <c r="C1147" i="16"/>
  <c r="K1147" i="16" s="1"/>
  <c r="E1147" i="16"/>
  <c r="F1147" i="16"/>
  <c r="O1147" i="16" s="1"/>
  <c r="G1147" i="16"/>
  <c r="I1147" i="16"/>
  <c r="B1148" i="16"/>
  <c r="M1092" i="16"/>
  <c r="D1092" i="16"/>
  <c r="J1092" i="16"/>
  <c r="N1092" i="16" s="1"/>
  <c r="P1092" i="16"/>
  <c r="Q1092" i="16"/>
  <c r="R1092" i="16"/>
  <c r="T1092" i="16"/>
  <c r="L1093" i="16"/>
  <c r="C1093" i="16"/>
  <c r="K1093" i="16" s="1"/>
  <c r="E1093" i="16"/>
  <c r="F1093" i="16"/>
  <c r="O1093" i="16" s="1"/>
  <c r="G1093" i="16"/>
  <c r="I1093" i="16"/>
  <c r="B1094" i="16"/>
  <c r="M1038" i="16"/>
  <c r="D1038" i="16"/>
  <c r="J1038" i="16"/>
  <c r="N1038" i="16" s="1"/>
  <c r="P1038" i="16"/>
  <c r="Q1038" i="16"/>
  <c r="R1038" i="16"/>
  <c r="T1038" i="16"/>
  <c r="L1039" i="16"/>
  <c r="C1039" i="16"/>
  <c r="E1039" i="16"/>
  <c r="G1039" i="16"/>
  <c r="I1039" i="16"/>
  <c r="B1040" i="16"/>
  <c r="U983" i="16"/>
  <c r="S983" i="16"/>
  <c r="M984" i="16"/>
  <c r="D984" i="16"/>
  <c r="J984" i="16"/>
  <c r="N984" i="16" s="1"/>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K931" i="16" s="1"/>
  <c r="E931" i="16"/>
  <c r="F931" i="16"/>
  <c r="O931" i="16" s="1"/>
  <c r="G931" i="16"/>
  <c r="I931" i="16"/>
  <c r="B932" i="16"/>
  <c r="U875" i="16"/>
  <c r="S875" i="16"/>
  <c r="M876" i="16"/>
  <c r="D876" i="16"/>
  <c r="J876" i="16"/>
  <c r="N876" i="16" s="1"/>
  <c r="P876" i="16"/>
  <c r="Q876" i="16"/>
  <c r="R876" i="16"/>
  <c r="T876" i="16"/>
  <c r="L877" i="16"/>
  <c r="C877" i="16"/>
  <c r="K877" i="16" s="1"/>
  <c r="E877" i="16"/>
  <c r="F877" i="16"/>
  <c r="O877" i="16" s="1"/>
  <c r="G877" i="16"/>
  <c r="I877" i="16"/>
  <c r="B878" i="16"/>
  <c r="U821" i="16"/>
  <c r="S821" i="16"/>
  <c r="M822" i="16"/>
  <c r="D822" i="16"/>
  <c r="J822" i="16"/>
  <c r="N822" i="16" s="1"/>
  <c r="Q822" i="16"/>
  <c r="P822" i="16"/>
  <c r="R822" i="16"/>
  <c r="T822" i="16"/>
  <c r="L823" i="16"/>
  <c r="C823" i="16"/>
  <c r="E823" i="16"/>
  <c r="G823" i="16"/>
  <c r="I823" i="16"/>
  <c r="B824" i="16"/>
  <c r="P768" i="16"/>
  <c r="Q768" i="16"/>
  <c r="R768" i="16"/>
  <c r="T768" i="16"/>
  <c r="L769" i="16"/>
  <c r="E769" i="16"/>
  <c r="I769" i="16"/>
  <c r="C769" i="16"/>
  <c r="B770" i="16"/>
  <c r="G769" i="16"/>
  <c r="D768" i="16"/>
  <c r="J768" i="16"/>
  <c r="U713" i="16"/>
  <c r="S713" i="16"/>
  <c r="M714" i="16"/>
  <c r="D714" i="16"/>
  <c r="J714" i="16"/>
  <c r="N714" i="16" s="1"/>
  <c r="P714" i="16"/>
  <c r="Q714" i="16"/>
  <c r="R714" i="16"/>
  <c r="T714" i="16"/>
  <c r="L715" i="16"/>
  <c r="C715" i="16"/>
  <c r="E715" i="16"/>
  <c r="G715" i="16"/>
  <c r="I715" i="16"/>
  <c r="B716" i="16"/>
  <c r="U659" i="16"/>
  <c r="S659" i="16"/>
  <c r="M660" i="16"/>
  <c r="D660" i="16"/>
  <c r="J660" i="16"/>
  <c r="N660" i="16" s="1"/>
  <c r="P660" i="16"/>
  <c r="Q660" i="16"/>
  <c r="R660" i="16"/>
  <c r="T660" i="16"/>
  <c r="L661" i="16"/>
  <c r="C661" i="16"/>
  <c r="K661" i="16" s="1"/>
  <c r="E661" i="16"/>
  <c r="F661" i="16"/>
  <c r="O661" i="16" s="1"/>
  <c r="G661" i="16"/>
  <c r="I661" i="16"/>
  <c r="B662" i="16"/>
  <c r="U605" i="16"/>
  <c r="S605" i="16"/>
  <c r="M606" i="16"/>
  <c r="D606" i="16"/>
  <c r="J606" i="16"/>
  <c r="N606" i="16" s="1"/>
  <c r="P606" i="16"/>
  <c r="Q606" i="16"/>
  <c r="R606" i="16"/>
  <c r="T606" i="16"/>
  <c r="L607" i="16"/>
  <c r="C607" i="16"/>
  <c r="K607" i="16" s="1"/>
  <c r="E607" i="16"/>
  <c r="F607" i="16"/>
  <c r="O607" i="16" s="1"/>
  <c r="G607" i="16"/>
  <c r="I607" i="16"/>
  <c r="B608" i="16"/>
  <c r="M552" i="16"/>
  <c r="D552" i="16"/>
  <c r="J552" i="16"/>
  <c r="N552" i="16" s="1"/>
  <c r="Q552" i="16"/>
  <c r="P552" i="16"/>
  <c r="R552" i="16"/>
  <c r="T552" i="16"/>
  <c r="L553" i="16"/>
  <c r="C553" i="16"/>
  <c r="K553" i="16" s="1"/>
  <c r="E553" i="16"/>
  <c r="F553" i="16"/>
  <c r="O553" i="16" s="1"/>
  <c r="G553" i="16"/>
  <c r="I553" i="16"/>
  <c r="B554" i="16"/>
  <c r="U497" i="16"/>
  <c r="S497" i="16"/>
  <c r="D498" i="16"/>
  <c r="J498" i="16"/>
  <c r="Q498" i="16"/>
  <c r="P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E445" i="16"/>
  <c r="G445" i="16"/>
  <c r="I445" i="16"/>
  <c r="B446" i="16"/>
  <c r="U389" i="16"/>
  <c r="S389" i="16"/>
  <c r="M390" i="16"/>
  <c r="D390" i="16"/>
  <c r="J390" i="16"/>
  <c r="N390" i="16" s="1"/>
  <c r="P390" i="16"/>
  <c r="Q390" i="16"/>
  <c r="R390" i="16"/>
  <c r="T390" i="16"/>
  <c r="L391" i="16"/>
  <c r="C391" i="16"/>
  <c r="E391" i="16"/>
  <c r="G391" i="16"/>
  <c r="I391" i="16"/>
  <c r="B392" i="16"/>
  <c r="U335" i="16"/>
  <c r="S335" i="16"/>
  <c r="P336" i="16"/>
  <c r="Q336" i="16"/>
  <c r="R336" i="16"/>
  <c r="T336" i="16"/>
  <c r="L337" i="16"/>
  <c r="I337" i="16"/>
  <c r="B338" i="16"/>
  <c r="E337" i="16"/>
  <c r="C337" i="16"/>
  <c r="G337" i="16"/>
  <c r="D336" i="16"/>
  <c r="J336" i="16"/>
  <c r="U281" i="16"/>
  <c r="S281" i="16"/>
  <c r="M282" i="16"/>
  <c r="D282" i="16"/>
  <c r="J282" i="16"/>
  <c r="N282" i="16" s="1"/>
  <c r="P282" i="16"/>
  <c r="Q282" i="16"/>
  <c r="R282" i="16"/>
  <c r="T282" i="16"/>
  <c r="L283" i="16"/>
  <c r="C283" i="16"/>
  <c r="K283" i="16" s="1"/>
  <c r="E283" i="16"/>
  <c r="F283" i="16"/>
  <c r="O283" i="16" s="1"/>
  <c r="G283" i="16"/>
  <c r="I283" i="16"/>
  <c r="B284" i="16"/>
  <c r="U227" i="16"/>
  <c r="S227" i="16"/>
  <c r="D228" i="16"/>
  <c r="J228" i="16"/>
  <c r="P228" i="16"/>
  <c r="Q228" i="16"/>
  <c r="R228" i="16"/>
  <c r="T228" i="16"/>
  <c r="L229" i="16"/>
  <c r="C229" i="16"/>
  <c r="E229" i="16"/>
  <c r="G229" i="16"/>
  <c r="I229" i="16"/>
  <c r="B230" i="16"/>
  <c r="U173" i="16"/>
  <c r="S173" i="16"/>
  <c r="M174" i="16"/>
  <c r="D174" i="16"/>
  <c r="J174" i="16"/>
  <c r="N174" i="16" s="1"/>
  <c r="P174" i="16"/>
  <c r="Q174" i="16"/>
  <c r="R174" i="16"/>
  <c r="T174" i="16"/>
  <c r="L175" i="16"/>
  <c r="C175" i="16"/>
  <c r="E175" i="16"/>
  <c r="G175" i="16"/>
  <c r="I175" i="16"/>
  <c r="B176" i="16"/>
  <c r="S119" i="16"/>
  <c r="U119" i="16"/>
  <c r="M120" i="16"/>
  <c r="D120" i="16"/>
  <c r="J120" i="16"/>
  <c r="N120" i="16" s="1"/>
  <c r="P120" i="16"/>
  <c r="Q120" i="16"/>
  <c r="R120" i="16"/>
  <c r="T120" i="16"/>
  <c r="L121" i="16"/>
  <c r="C121" i="16"/>
  <c r="K121" i="16" s="1"/>
  <c r="E121" i="16"/>
  <c r="F121" i="16"/>
  <c r="O121" i="16" s="1"/>
  <c r="G121" i="16"/>
  <c r="I121" i="16"/>
  <c r="B122" i="16"/>
  <c r="C91" i="7"/>
  <c r="G91" i="7" s="1"/>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H58" i="5" s="1"/>
  <c r="T58" i="4"/>
  <c r="V58" i="4"/>
  <c r="M58" i="4"/>
  <c r="E59" i="4"/>
  <c r="G59" i="4"/>
  <c r="B60" i="4"/>
  <c r="B59" i="5"/>
  <c r="C59" i="4"/>
  <c r="F59" i="4"/>
  <c r="C59" i="5" s="1"/>
  <c r="E59" i="5" s="1"/>
  <c r="I59" i="4"/>
  <c r="K59" i="4"/>
  <c r="L59" i="4"/>
  <c r="U57" i="4"/>
  <c r="S57" i="4"/>
  <c r="U4252" i="16"/>
  <c r="S4252" i="16"/>
  <c r="U3736" i="16"/>
  <c r="S3736" i="16"/>
  <c r="S3682" i="16"/>
  <c r="U3682" i="16"/>
  <c r="U3574" i="16"/>
  <c r="S3574" i="16"/>
  <c r="U3412" i="16"/>
  <c r="S3412" i="16"/>
  <c r="U3304" i="16"/>
  <c r="S3304" i="16"/>
  <c r="U3250" i="16"/>
  <c r="S3250" i="16"/>
  <c r="U3196" i="16"/>
  <c r="S3196" i="16"/>
  <c r="U3142" i="16"/>
  <c r="S3142" i="16"/>
  <c r="U3088" i="16"/>
  <c r="S3088" i="16"/>
  <c r="U2980" i="16"/>
  <c r="S2980" i="16"/>
  <c r="U2926" i="16"/>
  <c r="S2926" i="16"/>
  <c r="U2872" i="16"/>
  <c r="S2872" i="16"/>
  <c r="U2656" i="16"/>
  <c r="S2656" i="16"/>
  <c r="U2440" i="16"/>
  <c r="S2440" i="16"/>
  <c r="U2224" i="16"/>
  <c r="S2224" i="16"/>
  <c r="U2170" i="16"/>
  <c r="S2170" i="16"/>
  <c r="U1954" i="16"/>
  <c r="S1954" i="16"/>
  <c r="S1900" i="16"/>
  <c r="U1900" i="16"/>
  <c r="S1684" i="16"/>
  <c r="U1684" i="16"/>
  <c r="U1630" i="16"/>
  <c r="S1630" i="16"/>
  <c r="U1468" i="16"/>
  <c r="S1468" i="16"/>
  <c r="U1414" i="16"/>
  <c r="S1414" i="16"/>
  <c r="U1360" i="16"/>
  <c r="S1360" i="16"/>
  <c r="S1253" i="16"/>
  <c r="U1253" i="16"/>
  <c r="U1144" i="16"/>
  <c r="S1144" i="16"/>
  <c r="U1090" i="16"/>
  <c r="S1090" i="16"/>
  <c r="U874" i="16"/>
  <c r="S874" i="16"/>
  <c r="U820" i="16"/>
  <c r="S820" i="16"/>
  <c r="S766" i="16"/>
  <c r="U766" i="16"/>
  <c r="U604" i="16"/>
  <c r="S604" i="16"/>
  <c r="S550" i="16"/>
  <c r="U550" i="16"/>
  <c r="U334" i="16"/>
  <c r="S334" i="16"/>
  <c r="U280" i="16"/>
  <c r="S280" i="16"/>
  <c r="M4607" i="16"/>
  <c r="N4607" i="16"/>
  <c r="M3737" i="16"/>
  <c r="N3737" i="16"/>
  <c r="M3467" i="16"/>
  <c r="N3467" i="16"/>
  <c r="M3413" i="16"/>
  <c r="N3413" i="16"/>
  <c r="N3197" i="16"/>
  <c r="M3197" i="16"/>
  <c r="M3143" i="16"/>
  <c r="N3143" i="16"/>
  <c r="N3035" i="16"/>
  <c r="M3035" i="16"/>
  <c r="M2603" i="16"/>
  <c r="N2603" i="16"/>
  <c r="M2387" i="16"/>
  <c r="N2387" i="16"/>
  <c r="M2333" i="16"/>
  <c r="N2333" i="16"/>
  <c r="M1577" i="16"/>
  <c r="N1577" i="16"/>
  <c r="M1523" i="16"/>
  <c r="N1523" i="16"/>
  <c r="N1361" i="16"/>
  <c r="M1361" i="16"/>
  <c r="M1091" i="16"/>
  <c r="N1091" i="16"/>
  <c r="M1037" i="16"/>
  <c r="N1037" i="16"/>
  <c r="N767" i="16"/>
  <c r="M767" i="16"/>
  <c r="M551" i="16"/>
  <c r="N551" i="16"/>
  <c r="F4608" i="16"/>
  <c r="K4608" i="16"/>
  <c r="F3792" i="16"/>
  <c r="O3792" i="16" s="1"/>
  <c r="K3792" i="16"/>
  <c r="F3468" i="16"/>
  <c r="O3468" i="16" s="1"/>
  <c r="K3468" i="16"/>
  <c r="F3414" i="16"/>
  <c r="O3414" i="16" s="1"/>
  <c r="K3414" i="16"/>
  <c r="K3252" i="16"/>
  <c r="F3252" i="16"/>
  <c r="O3252" i="16" s="1"/>
  <c r="F3198" i="16"/>
  <c r="O3198" i="16" s="1"/>
  <c r="K3198" i="16"/>
  <c r="K2604" i="16"/>
  <c r="F2604" i="16"/>
  <c r="O2604" i="16" s="1"/>
  <c r="F2442" i="16"/>
  <c r="O2442" i="16" s="1"/>
  <c r="K2442" i="16"/>
  <c r="F2388" i="16"/>
  <c r="O2388" i="16" s="1"/>
  <c r="K2388" i="16"/>
  <c r="K2226" i="16"/>
  <c r="F2226" i="16"/>
  <c r="O2226" i="16" s="1"/>
  <c r="F1902" i="16"/>
  <c r="O1902" i="16" s="1"/>
  <c r="K1902" i="16"/>
  <c r="F1848" i="16"/>
  <c r="O1848" i="16" s="1"/>
  <c r="K1848" i="16"/>
  <c r="K1632" i="16"/>
  <c r="F1632" i="16"/>
  <c r="O1632" i="16" s="1"/>
  <c r="K1578" i="16"/>
  <c r="F1578" i="16"/>
  <c r="O1578" i="16" s="1"/>
  <c r="K1524" i="16"/>
  <c r="F1524" i="16"/>
  <c r="O1524" i="16" s="1"/>
  <c r="K1416" i="16"/>
  <c r="F1416" i="16"/>
  <c r="O1416" i="16" s="1"/>
  <c r="K1308" i="16"/>
  <c r="F1308" i="16"/>
  <c r="O1308" i="16" s="1"/>
  <c r="F1255" i="16"/>
  <c r="O1255" i="16" s="1"/>
  <c r="K1255" i="16"/>
  <c r="K768" i="16"/>
  <c r="F768" i="16"/>
  <c r="O768" i="16" s="1"/>
  <c r="K498" i="16"/>
  <c r="F498" i="16"/>
  <c r="O498" i="16" s="1"/>
  <c r="K336" i="16"/>
  <c r="F336" i="16"/>
  <c r="O336" i="16" s="1"/>
  <c r="F228" i="16"/>
  <c r="O228" i="16" s="1"/>
  <c r="K228" i="16"/>
  <c r="F57" i="5"/>
  <c r="G57" i="5"/>
  <c r="H57" i="5"/>
  <c r="BF57" i="4"/>
  <c r="BF58" i="4" l="1"/>
  <c r="D4663" i="16"/>
  <c r="F4663" i="16"/>
  <c r="O4663" i="16" s="1"/>
  <c r="F4147" i="16"/>
  <c r="O4147" i="16" s="1"/>
  <c r="K4147" i="16"/>
  <c r="K3523" i="16"/>
  <c r="F3523" i="16"/>
  <c r="O3523" i="16" s="1"/>
  <c r="K3361" i="16"/>
  <c r="F3361" i="16"/>
  <c r="O3361" i="16" s="1"/>
  <c r="K3307" i="16"/>
  <c r="F3307" i="16"/>
  <c r="O3307" i="16" s="1"/>
  <c r="K3091" i="16"/>
  <c r="F3091" i="16"/>
  <c r="O3091" i="16" s="1"/>
  <c r="K2551" i="16"/>
  <c r="F2551" i="16"/>
  <c r="O2551" i="16" s="1"/>
  <c r="K2281" i="16"/>
  <c r="F2281" i="16"/>
  <c r="O2281" i="16" s="1"/>
  <c r="K2173" i="16"/>
  <c r="F2173" i="16"/>
  <c r="O2173" i="16" s="1"/>
  <c r="K1849" i="16"/>
  <c r="F1849" i="16"/>
  <c r="O1849" i="16" s="1"/>
  <c r="K1201" i="16"/>
  <c r="F1201" i="16"/>
  <c r="O1201" i="16" s="1"/>
  <c r="K391" i="16"/>
  <c r="F391" i="16"/>
  <c r="O391" i="16" s="1"/>
  <c r="K175" i="16"/>
  <c r="F175" i="16"/>
  <c r="O175" i="16" s="1"/>
  <c r="S4716" i="16"/>
  <c r="U4716" i="16"/>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D4609" i="16"/>
  <c r="J4609" i="16"/>
  <c r="P4609" i="16"/>
  <c r="Q4609" i="16"/>
  <c r="R4609" i="16"/>
  <c r="L4610" i="16"/>
  <c r="C4610" i="16"/>
  <c r="E4610" i="16"/>
  <c r="G4610" i="16"/>
  <c r="I4610" i="16"/>
  <c r="B4611" i="16"/>
  <c r="D4555" i="16"/>
  <c r="J4555" i="16"/>
  <c r="P4555" i="16"/>
  <c r="Q4555" i="16"/>
  <c r="R4555" i="16"/>
  <c r="L4556" i="16"/>
  <c r="C4556" i="16"/>
  <c r="K4556" i="16" s="1"/>
  <c r="E4556" i="16"/>
  <c r="F4556" i="16"/>
  <c r="G4556" i="16"/>
  <c r="I4556" i="16"/>
  <c r="B4557" i="16"/>
  <c r="U4254" i="16"/>
  <c r="S4254" i="16"/>
  <c r="M4255" i="16"/>
  <c r="D4255" i="16"/>
  <c r="J4255" i="16"/>
  <c r="N4255" i="16" s="1"/>
  <c r="P4255" i="16"/>
  <c r="Q4255" i="16"/>
  <c r="R4255" i="16"/>
  <c r="T4255" i="16"/>
  <c r="L4256" i="16"/>
  <c r="C4256" i="16"/>
  <c r="K4256" i="16" s="1"/>
  <c r="E4256" i="16"/>
  <c r="F4256" i="16"/>
  <c r="O4256" i="16" s="1"/>
  <c r="G4256" i="16"/>
  <c r="I4256" i="16"/>
  <c r="B4257" i="16"/>
  <c r="U4200" i="16"/>
  <c r="S4200" i="16"/>
  <c r="P4201" i="16"/>
  <c r="Q4201" i="16"/>
  <c r="R4201" i="16"/>
  <c r="T4201" i="16"/>
  <c r="E4202" i="16"/>
  <c r="I4202" i="16"/>
  <c r="C4202" i="16"/>
  <c r="K4202" i="16" s="1"/>
  <c r="F4202" i="16"/>
  <c r="O4202" i="16" s="1"/>
  <c r="G4202" i="16"/>
  <c r="L4202" i="16"/>
  <c r="B4203" i="16"/>
  <c r="J4201" i="16"/>
  <c r="N4201" i="16" s="1"/>
  <c r="D4201" i="16"/>
  <c r="M4201" i="16"/>
  <c r="P4147" i="16"/>
  <c r="Q4147" i="16"/>
  <c r="R4147" i="16"/>
  <c r="T4147" i="16"/>
  <c r="C4148" i="16"/>
  <c r="E4148" i="16"/>
  <c r="F4148" i="16"/>
  <c r="O4148" i="16" s="1"/>
  <c r="G4148" i="16"/>
  <c r="K4148" i="16"/>
  <c r="B4149" i="16"/>
  <c r="I4148" i="16"/>
  <c r="L4148" i="16"/>
  <c r="D4147" i="16"/>
  <c r="J4147" i="16"/>
  <c r="M4147" i="16"/>
  <c r="N4147" i="16"/>
  <c r="U4146" i="16"/>
  <c r="S4146" i="16"/>
  <c r="U4092" i="16"/>
  <c r="S4092" i="16"/>
  <c r="M4093" i="16"/>
  <c r="D4093" i="16"/>
  <c r="J4093" i="16"/>
  <c r="N4093" i="16" s="1"/>
  <c r="P4093" i="16"/>
  <c r="Q4093" i="16"/>
  <c r="R4093" i="16"/>
  <c r="T4093" i="16"/>
  <c r="L4094" i="16"/>
  <c r="C4094" i="16"/>
  <c r="K4094" i="16" s="1"/>
  <c r="E4094" i="16"/>
  <c r="F4094" i="16"/>
  <c r="O4094" i="16" s="1"/>
  <c r="G4094" i="16"/>
  <c r="I4094" i="16"/>
  <c r="B4095" i="16"/>
  <c r="D3793" i="16"/>
  <c r="J3793" i="16"/>
  <c r="P3793" i="16"/>
  <c r="Q3793" i="16"/>
  <c r="R3793" i="16"/>
  <c r="T3793" i="16"/>
  <c r="L3794" i="16"/>
  <c r="C3794" i="16"/>
  <c r="E3794" i="16"/>
  <c r="G3794" i="16"/>
  <c r="I3794" i="16"/>
  <c r="B3795" i="16"/>
  <c r="U3738" i="16"/>
  <c r="S3738" i="16"/>
  <c r="P3739" i="16"/>
  <c r="Q3739" i="16"/>
  <c r="R3739" i="16"/>
  <c r="T3739" i="16"/>
  <c r="J3739" i="16"/>
  <c r="D3739" i="16"/>
  <c r="L3740" i="16"/>
  <c r="C3740" i="16"/>
  <c r="K3740" i="16" s="1"/>
  <c r="E3740" i="16"/>
  <c r="F3740" i="16"/>
  <c r="O3740" i="16" s="1"/>
  <c r="G3740" i="16"/>
  <c r="I3740" i="16"/>
  <c r="B3741" i="16"/>
  <c r="S3684" i="16"/>
  <c r="U3684" i="16"/>
  <c r="M3685" i="16"/>
  <c r="D3685" i="16"/>
  <c r="J3685" i="16"/>
  <c r="N3685" i="16" s="1"/>
  <c r="P3685" i="16"/>
  <c r="Q3685" i="16"/>
  <c r="R3685" i="16"/>
  <c r="T3685" i="16"/>
  <c r="L3686" i="16"/>
  <c r="C3686" i="16"/>
  <c r="E3686" i="16"/>
  <c r="G3686" i="16"/>
  <c r="B3687" i="16"/>
  <c r="I3686"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E3524" i="16"/>
  <c r="G3524" i="16"/>
  <c r="I3524" i="16"/>
  <c r="B3525" i="16"/>
  <c r="P3469" i="16"/>
  <c r="Q3469" i="16"/>
  <c r="R3469" i="16"/>
  <c r="T3469" i="16"/>
  <c r="D3469" i="16"/>
  <c r="J3469" i="16"/>
  <c r="L3470" i="16"/>
  <c r="B3471" i="16"/>
  <c r="C3470" i="16"/>
  <c r="E3470" i="16"/>
  <c r="G3470" i="16"/>
  <c r="I3470"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E3308" i="16"/>
  <c r="G3308" i="16"/>
  <c r="I3308" i="16"/>
  <c r="B3309" i="16"/>
  <c r="M3253" i="16"/>
  <c r="P3253" i="16"/>
  <c r="Q3253" i="16"/>
  <c r="R3253" i="16"/>
  <c r="T3253" i="16"/>
  <c r="L3254" i="16"/>
  <c r="E3254" i="16"/>
  <c r="G3254" i="16"/>
  <c r="B3255" i="16"/>
  <c r="C3254" i="16"/>
  <c r="I3254" i="16"/>
  <c r="D3253" i="16"/>
  <c r="J3253" i="16"/>
  <c r="N3253" i="16" s="1"/>
  <c r="L3200" i="16"/>
  <c r="I3200" i="16"/>
  <c r="E3200" i="16"/>
  <c r="G3200" i="16"/>
  <c r="B3201" i="16"/>
  <c r="C3200" i="16"/>
  <c r="K3200" i="16" s="1"/>
  <c r="F3200" i="16"/>
  <c r="O3200" i="16" s="1"/>
  <c r="P3199" i="16"/>
  <c r="Q3199" i="16"/>
  <c r="R3199" i="16"/>
  <c r="T3199" i="16"/>
  <c r="J3199" i="16"/>
  <c r="D3199" i="16"/>
  <c r="U3144" i="16"/>
  <c r="S3144" i="16"/>
  <c r="L3146" i="16"/>
  <c r="G3146" i="16"/>
  <c r="B3147" i="16"/>
  <c r="E3146" i="16"/>
  <c r="C3146" i="16"/>
  <c r="I3146" i="16"/>
  <c r="D3145" i="16"/>
  <c r="J3145" i="16"/>
  <c r="P3145" i="16"/>
  <c r="Q3145" i="16"/>
  <c r="R3145" i="16"/>
  <c r="T3145" i="16"/>
  <c r="U3090" i="16"/>
  <c r="S3090" i="16"/>
  <c r="M3091" i="16"/>
  <c r="P3091" i="16"/>
  <c r="R3091" i="16"/>
  <c r="Q3091" i="16"/>
  <c r="T3091" i="16"/>
  <c r="L3092" i="16"/>
  <c r="G3092" i="16"/>
  <c r="E3092" i="16"/>
  <c r="I3092" i="16"/>
  <c r="B3093" i="16"/>
  <c r="C3092" i="16"/>
  <c r="K3092" i="16" s="1"/>
  <c r="F3092" i="16"/>
  <c r="O3092" i="16" s="1"/>
  <c r="J3091" i="16"/>
  <c r="N3091" i="16" s="1"/>
  <c r="D3091" i="16"/>
  <c r="U3036" i="16"/>
  <c r="S3036" i="16"/>
  <c r="M3037" i="16"/>
  <c r="P3037" i="16"/>
  <c r="Q3037" i="16"/>
  <c r="R3037" i="16"/>
  <c r="T3037" i="16"/>
  <c r="J3037" i="16"/>
  <c r="N3037" i="16" s="1"/>
  <c r="D3037" i="16"/>
  <c r="L3038" i="16"/>
  <c r="C3038" i="16"/>
  <c r="K3038" i="16" s="1"/>
  <c r="I3038" i="16"/>
  <c r="G3038" i="16"/>
  <c r="F3038" i="16"/>
  <c r="O3038" i="16" s="1"/>
  <c r="B3039" i="16"/>
  <c r="E3038" i="16"/>
  <c r="U2982" i="16"/>
  <c r="S2982" i="16"/>
  <c r="M2983" i="16"/>
  <c r="D2983" i="16"/>
  <c r="J2983" i="16"/>
  <c r="N2983" i="16" s="1"/>
  <c r="P2983" i="16"/>
  <c r="Q2983" i="16"/>
  <c r="R2983" i="16"/>
  <c r="T2983" i="16"/>
  <c r="L2984" i="16"/>
  <c r="C2984" i="16"/>
  <c r="E2984" i="16"/>
  <c r="G2984" i="16"/>
  <c r="I2984" i="16"/>
  <c r="B2985" i="16"/>
  <c r="U2928" i="16"/>
  <c r="S2928" i="16"/>
  <c r="D2929" i="16"/>
  <c r="J2929" i="16"/>
  <c r="P2929" i="16"/>
  <c r="Q2929" i="16"/>
  <c r="R2929" i="16"/>
  <c r="T2929" i="16"/>
  <c r="L2930" i="16"/>
  <c r="C2930" i="16"/>
  <c r="K2930" i="16" s="1"/>
  <c r="E2930" i="16"/>
  <c r="F2930" i="16"/>
  <c r="O2930" i="16" s="1"/>
  <c r="G2930" i="16"/>
  <c r="I2930" i="16"/>
  <c r="B2931" i="16"/>
  <c r="U2874" i="16"/>
  <c r="S2874" i="16"/>
  <c r="D2875" i="16"/>
  <c r="J2875" i="16"/>
  <c r="P2875" i="16"/>
  <c r="Q2875" i="16"/>
  <c r="R2875" i="16"/>
  <c r="T2875" i="16"/>
  <c r="L2876" i="16"/>
  <c r="C2876" i="16"/>
  <c r="K2876" i="16" s="1"/>
  <c r="E2876" i="16"/>
  <c r="F2876" i="16"/>
  <c r="O2876" i="16" s="1"/>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S2766" i="16"/>
  <c r="U2766" i="16"/>
  <c r="M2767" i="16"/>
  <c r="D2767" i="16"/>
  <c r="J2767" i="16"/>
  <c r="N2767" i="16" s="1"/>
  <c r="P2767" i="16"/>
  <c r="Q2767" i="16"/>
  <c r="R2767" i="16"/>
  <c r="T2767" i="16"/>
  <c r="L2768" i="16"/>
  <c r="C2768" i="16"/>
  <c r="E2768" i="16"/>
  <c r="G2768" i="16"/>
  <c r="I2768" i="16"/>
  <c r="B2769" i="16"/>
  <c r="U2712" i="16"/>
  <c r="S2712" i="16"/>
  <c r="M2713" i="16"/>
  <c r="D2713" i="16"/>
  <c r="J2713" i="16"/>
  <c r="N2713" i="16" s="1"/>
  <c r="P2713" i="16"/>
  <c r="Q2713" i="16"/>
  <c r="R2713" i="16"/>
  <c r="T2713" i="16"/>
  <c r="L2714" i="16"/>
  <c r="C2714" i="16"/>
  <c r="E2714" i="16"/>
  <c r="G2714" i="16"/>
  <c r="I2714" i="16"/>
  <c r="B2715" i="16"/>
  <c r="U2658" i="16"/>
  <c r="S2658" i="16"/>
  <c r="M2659" i="16"/>
  <c r="D2659" i="16"/>
  <c r="J2659" i="16"/>
  <c r="N2659" i="16" s="1"/>
  <c r="P2659" i="16"/>
  <c r="Q2659" i="16"/>
  <c r="R2659" i="16"/>
  <c r="T2659" i="16"/>
  <c r="L2660" i="16"/>
  <c r="C2660" i="16"/>
  <c r="K2660" i="16" s="1"/>
  <c r="E2660" i="16"/>
  <c r="F2660" i="16"/>
  <c r="O2660" i="16" s="1"/>
  <c r="G2660" i="16"/>
  <c r="I2660" i="16"/>
  <c r="B2661" i="16"/>
  <c r="M2605" i="16"/>
  <c r="D2605" i="16"/>
  <c r="J2605" i="16"/>
  <c r="N2605" i="16" s="1"/>
  <c r="P2605" i="16"/>
  <c r="Q2605" i="16"/>
  <c r="R2605" i="16"/>
  <c r="T2605" i="16"/>
  <c r="L2606" i="16"/>
  <c r="C2606" i="16"/>
  <c r="K2606" i="16" s="1"/>
  <c r="E2606" i="16"/>
  <c r="F2606" i="16"/>
  <c r="O2606" i="16" s="1"/>
  <c r="G2606" i="16"/>
  <c r="I2606" i="16"/>
  <c r="B2607" i="16"/>
  <c r="S2550" i="16"/>
  <c r="U2550" i="16"/>
  <c r="M2551" i="16"/>
  <c r="D2551" i="16"/>
  <c r="J2551" i="16"/>
  <c r="N2551" i="16" s="1"/>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E2498" i="16"/>
  <c r="G2498" i="16"/>
  <c r="I2498" i="16"/>
  <c r="B2499" i="16"/>
  <c r="M2443" i="16"/>
  <c r="D2443" i="16"/>
  <c r="J2443" i="16"/>
  <c r="N2443" i="16" s="1"/>
  <c r="P2443" i="16"/>
  <c r="Q2443" i="16"/>
  <c r="R2443" i="16"/>
  <c r="T2443" i="16"/>
  <c r="L2444" i="16"/>
  <c r="C2444" i="16"/>
  <c r="E2444" i="16"/>
  <c r="G2444" i="16"/>
  <c r="I2444" i="16"/>
  <c r="B2445" i="16"/>
  <c r="D2389" i="16"/>
  <c r="J2389" i="16"/>
  <c r="Q2389" i="16"/>
  <c r="P2389" i="16"/>
  <c r="R2389" i="16"/>
  <c r="T2389" i="16"/>
  <c r="L2390" i="16"/>
  <c r="C2390" i="16"/>
  <c r="K2390" i="16" s="1"/>
  <c r="E2390" i="16"/>
  <c r="F2390" i="16"/>
  <c r="O2390" i="16" s="1"/>
  <c r="G2390" i="16"/>
  <c r="I2390" i="16"/>
  <c r="B2391" i="16"/>
  <c r="S2334" i="16"/>
  <c r="U2334" i="16"/>
  <c r="D2335" i="16"/>
  <c r="J2335" i="16"/>
  <c r="Q2335" i="16"/>
  <c r="R2335" i="16"/>
  <c r="P2335" i="16"/>
  <c r="T2335" i="16"/>
  <c r="L2336" i="16"/>
  <c r="C2336" i="16"/>
  <c r="E2336" i="16"/>
  <c r="G2336" i="16"/>
  <c r="I2336" i="16"/>
  <c r="B2337" i="16"/>
  <c r="U2280" i="16"/>
  <c r="S2280" i="16"/>
  <c r="M2281" i="16"/>
  <c r="D2281" i="16"/>
  <c r="J2281" i="16"/>
  <c r="N2281" i="16" s="1"/>
  <c r="P2281" i="16"/>
  <c r="Q2281" i="16"/>
  <c r="R2281" i="16"/>
  <c r="T2281" i="16"/>
  <c r="L2282" i="16"/>
  <c r="C2282" i="16"/>
  <c r="K2282" i="16" s="1"/>
  <c r="E2282" i="16"/>
  <c r="F2282" i="16"/>
  <c r="O2282" i="16" s="1"/>
  <c r="G2282" i="16"/>
  <c r="I2282" i="16"/>
  <c r="B2283" i="16"/>
  <c r="P2227" i="16"/>
  <c r="Q2227" i="16"/>
  <c r="R2227" i="16"/>
  <c r="T2227" i="16"/>
  <c r="J2227" i="16"/>
  <c r="D2227" i="16"/>
  <c r="L2228" i="16"/>
  <c r="G2228" i="16"/>
  <c r="I2228" i="16"/>
  <c r="C2228" i="16"/>
  <c r="E2228" i="16"/>
  <c r="B2229" i="16"/>
  <c r="U2172" i="16"/>
  <c r="S2172" i="16"/>
  <c r="M2173" i="16"/>
  <c r="D2173" i="16"/>
  <c r="J2173" i="16"/>
  <c r="N2173" i="16" s="1"/>
  <c r="P2173" i="16"/>
  <c r="Q2173" i="16"/>
  <c r="R2173" i="16"/>
  <c r="T2173" i="16"/>
  <c r="L2174" i="16"/>
  <c r="C2174" i="16"/>
  <c r="E2174" i="16"/>
  <c r="G2174" i="16"/>
  <c r="I2174" i="16"/>
  <c r="B2175" i="16"/>
  <c r="S2118" i="16"/>
  <c r="U2118" i="16"/>
  <c r="P2119" i="16"/>
  <c r="Q2119" i="16"/>
  <c r="R2119" i="16"/>
  <c r="T2119" i="16"/>
  <c r="L2120" i="16"/>
  <c r="C2120" i="16"/>
  <c r="K2120" i="16" s="1"/>
  <c r="E2120" i="16"/>
  <c r="F2120" i="16"/>
  <c r="O2120" i="16" s="1"/>
  <c r="G2120" i="16"/>
  <c r="B2121" i="16"/>
  <c r="I2120" i="16"/>
  <c r="D2119" i="16"/>
  <c r="J2119" i="16"/>
  <c r="U2064" i="16"/>
  <c r="S2064" i="16"/>
  <c r="D2065" i="16"/>
  <c r="J2065" i="16"/>
  <c r="P2065" i="16"/>
  <c r="Q2065" i="16"/>
  <c r="R2065" i="16"/>
  <c r="T2065" i="16"/>
  <c r="L2066" i="16"/>
  <c r="C2066" i="16"/>
  <c r="K2066" i="16" s="1"/>
  <c r="E2066" i="16"/>
  <c r="F2066" i="16"/>
  <c r="O2066" i="16" s="1"/>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M1903" i="16"/>
  <c r="D1903" i="16"/>
  <c r="J1903" i="16"/>
  <c r="N1903" i="16" s="1"/>
  <c r="P1903" i="16"/>
  <c r="Q1903" i="16"/>
  <c r="R1903" i="16"/>
  <c r="T1903" i="16"/>
  <c r="L1904" i="16"/>
  <c r="C1904" i="16"/>
  <c r="E1904" i="16"/>
  <c r="G1904" i="16"/>
  <c r="I1904" i="16"/>
  <c r="B1905" i="16"/>
  <c r="M1849" i="16"/>
  <c r="D1849" i="16"/>
  <c r="J1849" i="16"/>
  <c r="N1849" i="16" s="1"/>
  <c r="P1849" i="16"/>
  <c r="Q1849" i="16"/>
  <c r="R1849" i="16"/>
  <c r="T1849" i="16"/>
  <c r="L1850" i="16"/>
  <c r="C1850" i="16"/>
  <c r="K1850" i="16" s="1"/>
  <c r="E1850" i="16"/>
  <c r="F1850" i="16"/>
  <c r="O1850" i="16" s="1"/>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S1686" i="16"/>
  <c r="U1686" i="16"/>
  <c r="M1687" i="16"/>
  <c r="D1687" i="16"/>
  <c r="J1687" i="16"/>
  <c r="N1687" i="16" s="1"/>
  <c r="P1687" i="16"/>
  <c r="Q1687" i="16"/>
  <c r="R1687" i="16"/>
  <c r="T1687" i="16"/>
  <c r="L1688" i="16"/>
  <c r="C1688" i="16"/>
  <c r="E1688" i="16"/>
  <c r="G1688" i="16"/>
  <c r="I1688" i="16"/>
  <c r="B1689" i="16"/>
  <c r="M1633" i="16"/>
  <c r="D1633" i="16"/>
  <c r="J1633" i="16"/>
  <c r="N1633" i="16" s="1"/>
  <c r="P1633" i="16"/>
  <c r="Q1633" i="16"/>
  <c r="R1633" i="16"/>
  <c r="T1633" i="16"/>
  <c r="L1634" i="16"/>
  <c r="C1634" i="16"/>
  <c r="E1634" i="16"/>
  <c r="G1634" i="16"/>
  <c r="I1634" i="16"/>
  <c r="B1635" i="16"/>
  <c r="D1579" i="16"/>
  <c r="J1579" i="16"/>
  <c r="P1579" i="16"/>
  <c r="Q1579" i="16"/>
  <c r="R1579" i="16"/>
  <c r="T1579" i="16"/>
  <c r="L1580" i="16"/>
  <c r="C1580" i="16"/>
  <c r="K1580" i="16" s="1"/>
  <c r="E1580" i="16"/>
  <c r="F1580" i="16"/>
  <c r="O1580" i="16" s="1"/>
  <c r="G1580" i="16"/>
  <c r="I1580" i="16"/>
  <c r="B1581" i="16"/>
  <c r="D1525" i="16"/>
  <c r="J1525" i="16"/>
  <c r="P1525" i="16"/>
  <c r="Q1525" i="16"/>
  <c r="R1525" i="16"/>
  <c r="T1525" i="16"/>
  <c r="L1526" i="16"/>
  <c r="E1526" i="16"/>
  <c r="G1526" i="16"/>
  <c r="I1526" i="16"/>
  <c r="B1527" i="16"/>
  <c r="C1526" i="16"/>
  <c r="K1526" i="16" s="1"/>
  <c r="F1526" i="16"/>
  <c r="O1526" i="16" s="1"/>
  <c r="U1470" i="16"/>
  <c r="S1470" i="16"/>
  <c r="M1471" i="16"/>
  <c r="D1471" i="16"/>
  <c r="J1471" i="16"/>
  <c r="N1471" i="16" s="1"/>
  <c r="P1471" i="16"/>
  <c r="Q1471" i="16"/>
  <c r="R1471" i="16"/>
  <c r="T1471" i="16"/>
  <c r="L1472" i="16"/>
  <c r="C1472" i="16"/>
  <c r="E1472" i="16"/>
  <c r="G1472" i="16"/>
  <c r="I1472" i="16"/>
  <c r="B1473" i="16"/>
  <c r="L1418" i="16"/>
  <c r="E1418" i="16"/>
  <c r="G1418" i="16"/>
  <c r="B1419" i="16"/>
  <c r="C1418" i="16"/>
  <c r="K1418" i="16" s="1"/>
  <c r="F1418" i="16"/>
  <c r="O1418" i="16" s="1"/>
  <c r="I1418" i="16"/>
  <c r="D1417" i="16"/>
  <c r="J1417" i="16"/>
  <c r="P1417" i="16"/>
  <c r="Q1417" i="16"/>
  <c r="R1417" i="16"/>
  <c r="T1417" i="16"/>
  <c r="U1362" i="16"/>
  <c r="S1362" i="16"/>
  <c r="P1363" i="16"/>
  <c r="Q1363" i="16"/>
  <c r="R1363" i="16"/>
  <c r="T1363" i="16"/>
  <c r="J1363" i="16"/>
  <c r="D1363" i="16"/>
  <c r="L1364" i="16"/>
  <c r="C1364" i="16"/>
  <c r="B1365" i="16"/>
  <c r="E1364" i="16"/>
  <c r="G1364" i="16"/>
  <c r="I1364" i="16"/>
  <c r="J1309" i="16"/>
  <c r="D1309" i="16"/>
  <c r="P1309" i="16"/>
  <c r="Q1309" i="16"/>
  <c r="R1309" i="16"/>
  <c r="T1309" i="16"/>
  <c r="L1310" i="16"/>
  <c r="I1310" i="16"/>
  <c r="B1311" i="16"/>
  <c r="E1310" i="16"/>
  <c r="C1310" i="16"/>
  <c r="G1310" i="16"/>
  <c r="M1256" i="16"/>
  <c r="P1256" i="16"/>
  <c r="Q1256" i="16"/>
  <c r="R1256" i="16"/>
  <c r="T1256" i="16"/>
  <c r="D1256" i="16"/>
  <c r="J1256" i="16"/>
  <c r="N1256" i="16" s="1"/>
  <c r="L1257" i="16"/>
  <c r="C1257" i="16"/>
  <c r="E1257" i="16"/>
  <c r="G1257" i="16"/>
  <c r="B1258" i="16"/>
  <c r="I1257" i="16"/>
  <c r="U1200" i="16"/>
  <c r="S1200" i="16"/>
  <c r="M1201" i="16"/>
  <c r="D1201" i="16"/>
  <c r="J1201" i="16"/>
  <c r="N1201" i="16" s="1"/>
  <c r="P1201" i="16"/>
  <c r="Q1201" i="16"/>
  <c r="R1201" i="16"/>
  <c r="T1201" i="16"/>
  <c r="L1202" i="16"/>
  <c r="C1202" i="16"/>
  <c r="K1202" i="16" s="1"/>
  <c r="E1202" i="16"/>
  <c r="F1202" i="16"/>
  <c r="O1202" i="16" s="1"/>
  <c r="G1202" i="16"/>
  <c r="I1202" i="16"/>
  <c r="B1203" i="16"/>
  <c r="U1146" i="16"/>
  <c r="S1146" i="16"/>
  <c r="M1147" i="16"/>
  <c r="D1147" i="16"/>
  <c r="J1147" i="16"/>
  <c r="N1147" i="16" s="1"/>
  <c r="P1147" i="16"/>
  <c r="Q1147" i="16"/>
  <c r="R1147" i="16"/>
  <c r="T1147" i="16"/>
  <c r="L1148" i="16"/>
  <c r="C1148" i="16"/>
  <c r="E1148" i="16"/>
  <c r="G1148" i="16"/>
  <c r="I1148" i="16"/>
  <c r="B1149" i="16"/>
  <c r="U1092" i="16"/>
  <c r="S1092" i="16"/>
  <c r="M1093" i="16"/>
  <c r="D1093" i="16"/>
  <c r="J1093" i="16"/>
  <c r="N1093" i="16" s="1"/>
  <c r="P1093" i="16"/>
  <c r="Q1093" i="16"/>
  <c r="R1093" i="16"/>
  <c r="T1093" i="16"/>
  <c r="L1094" i="16"/>
  <c r="C1094" i="16"/>
  <c r="E1094" i="16"/>
  <c r="G1094" i="16"/>
  <c r="I1094" i="16"/>
  <c r="B1095" i="16"/>
  <c r="U1038" i="16"/>
  <c r="S1038" i="16"/>
  <c r="D1039" i="16"/>
  <c r="J1039" i="16"/>
  <c r="P1039" i="16"/>
  <c r="Q1039" i="16"/>
  <c r="R1039" i="16"/>
  <c r="T1039" i="16"/>
  <c r="L1040" i="16"/>
  <c r="C1040" i="16"/>
  <c r="K1040" i="16" s="1"/>
  <c r="E1040" i="16"/>
  <c r="F1040" i="16"/>
  <c r="O1040" i="16" s="1"/>
  <c r="G1040" i="16"/>
  <c r="I1040" i="16"/>
  <c r="B1041" i="16"/>
  <c r="U984" i="16"/>
  <c r="S984"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K932" i="16" s="1"/>
  <c r="E932" i="16"/>
  <c r="F932" i="16"/>
  <c r="O932" i="16" s="1"/>
  <c r="G932" i="16"/>
  <c r="I932" i="16"/>
  <c r="B933" i="16"/>
  <c r="U876" i="16"/>
  <c r="S876" i="16"/>
  <c r="M877" i="16"/>
  <c r="D877" i="16"/>
  <c r="J877" i="16"/>
  <c r="N877" i="16" s="1"/>
  <c r="Q877" i="16"/>
  <c r="P877" i="16"/>
  <c r="R877" i="16"/>
  <c r="T877" i="16"/>
  <c r="L878" i="16"/>
  <c r="C878" i="16"/>
  <c r="E878" i="16"/>
  <c r="G878" i="16"/>
  <c r="I878" i="16"/>
  <c r="B879" i="16"/>
  <c r="U822" i="16"/>
  <c r="S822" i="16"/>
  <c r="D823" i="16"/>
  <c r="J823" i="16"/>
  <c r="P823" i="16"/>
  <c r="Q823" i="16"/>
  <c r="R823" i="16"/>
  <c r="T823" i="16"/>
  <c r="L824" i="16"/>
  <c r="C824" i="16"/>
  <c r="K824" i="16" s="1"/>
  <c r="E824" i="16"/>
  <c r="F824" i="16"/>
  <c r="O824" i="16" s="1"/>
  <c r="G824" i="16"/>
  <c r="I824" i="16"/>
  <c r="B825" i="16"/>
  <c r="D769" i="16"/>
  <c r="J769" i="16"/>
  <c r="L770" i="16"/>
  <c r="C770" i="16"/>
  <c r="K770" i="16" s="1"/>
  <c r="E770" i="16"/>
  <c r="F770" i="16"/>
  <c r="O770" i="16" s="1"/>
  <c r="G770" i="16"/>
  <c r="I770" i="16"/>
  <c r="B771" i="16"/>
  <c r="P769" i="16"/>
  <c r="Q769" i="16"/>
  <c r="R769" i="16"/>
  <c r="T769" i="16"/>
  <c r="U714" i="16"/>
  <c r="S714" i="16"/>
  <c r="D715" i="16"/>
  <c r="J715" i="16"/>
  <c r="Q715" i="16"/>
  <c r="P715" i="16"/>
  <c r="R715" i="16"/>
  <c r="T715" i="16"/>
  <c r="L716" i="16"/>
  <c r="C716" i="16"/>
  <c r="K716" i="16" s="1"/>
  <c r="E716" i="16"/>
  <c r="F716" i="16"/>
  <c r="O716" i="16" s="1"/>
  <c r="G716" i="16"/>
  <c r="I716" i="16"/>
  <c r="B717" i="16"/>
  <c r="U660" i="16"/>
  <c r="S660" i="16"/>
  <c r="M661" i="16"/>
  <c r="D661" i="16"/>
  <c r="J661" i="16"/>
  <c r="N661" i="16" s="1"/>
  <c r="Q661" i="16"/>
  <c r="P661" i="16"/>
  <c r="R661" i="16"/>
  <c r="T661" i="16"/>
  <c r="L662" i="16"/>
  <c r="C662" i="16"/>
  <c r="K662" i="16" s="1"/>
  <c r="E662" i="16"/>
  <c r="F662" i="16"/>
  <c r="O662" i="16" s="1"/>
  <c r="G662" i="16"/>
  <c r="I662" i="16"/>
  <c r="B663" i="16"/>
  <c r="U606" i="16"/>
  <c r="S606" i="16"/>
  <c r="M607" i="16"/>
  <c r="D607" i="16"/>
  <c r="J607" i="16"/>
  <c r="N607" i="16" s="1"/>
  <c r="P607" i="16"/>
  <c r="Q607" i="16"/>
  <c r="R607" i="16"/>
  <c r="T607" i="16"/>
  <c r="L608" i="16"/>
  <c r="C608" i="16"/>
  <c r="E608" i="16"/>
  <c r="G608" i="16"/>
  <c r="I608" i="16"/>
  <c r="B609" i="16"/>
  <c r="S552" i="16"/>
  <c r="U552" i="16"/>
  <c r="M553" i="16"/>
  <c r="D553" i="16"/>
  <c r="J553" i="16"/>
  <c r="N553" i="16" s="1"/>
  <c r="P553" i="16"/>
  <c r="Q553" i="16"/>
  <c r="R553" i="16"/>
  <c r="T553" i="16"/>
  <c r="L554" i="16"/>
  <c r="C554" i="16"/>
  <c r="K554" i="16" s="1"/>
  <c r="E554" i="16"/>
  <c r="F554" i="16"/>
  <c r="O554" i="16" s="1"/>
  <c r="G554" i="16"/>
  <c r="I554" i="16"/>
  <c r="B555" i="16"/>
  <c r="M499" i="16"/>
  <c r="D499" i="16"/>
  <c r="J499" i="16"/>
  <c r="N499" i="16" s="1"/>
  <c r="Q499" i="16"/>
  <c r="P499" i="16"/>
  <c r="R499" i="16"/>
  <c r="T499" i="16"/>
  <c r="L500" i="16"/>
  <c r="C500" i="16"/>
  <c r="K500" i="16" s="1"/>
  <c r="E500" i="16"/>
  <c r="F500" i="16"/>
  <c r="O500" i="16" s="1"/>
  <c r="G500" i="16"/>
  <c r="I500" i="16"/>
  <c r="B501" i="16"/>
  <c r="U444" i="16"/>
  <c r="S444" i="16"/>
  <c r="D445" i="16"/>
  <c r="J445" i="16"/>
  <c r="P445" i="16"/>
  <c r="Q445" i="16"/>
  <c r="R445" i="16"/>
  <c r="T445" i="16"/>
  <c r="L446" i="16"/>
  <c r="C446" i="16"/>
  <c r="K446" i="16" s="1"/>
  <c r="E446" i="16"/>
  <c r="F446" i="16"/>
  <c r="O446" i="16" s="1"/>
  <c r="G446" i="16"/>
  <c r="I446" i="16"/>
  <c r="B447" i="16"/>
  <c r="U390" i="16"/>
  <c r="S390" i="16"/>
  <c r="M391" i="16"/>
  <c r="D391" i="16"/>
  <c r="J391" i="16"/>
  <c r="N391" i="16" s="1"/>
  <c r="P391" i="16"/>
  <c r="Q391" i="16"/>
  <c r="R391" i="16"/>
  <c r="T391" i="16"/>
  <c r="L392" i="16"/>
  <c r="C392" i="16"/>
  <c r="K392" i="16" s="1"/>
  <c r="E392" i="16"/>
  <c r="F392" i="16"/>
  <c r="O392" i="16" s="1"/>
  <c r="G392" i="16"/>
  <c r="I392" i="16"/>
  <c r="B393" i="16"/>
  <c r="L338" i="16"/>
  <c r="E338" i="16"/>
  <c r="G338" i="16"/>
  <c r="I338" i="16"/>
  <c r="B339" i="16"/>
  <c r="C338" i="16"/>
  <c r="J337" i="16"/>
  <c r="D337" i="16"/>
  <c r="P337" i="16"/>
  <c r="Q337" i="16"/>
  <c r="R337" i="16"/>
  <c r="T337" i="16"/>
  <c r="U282" i="16"/>
  <c r="S282" i="16"/>
  <c r="M283" i="16"/>
  <c r="D283" i="16"/>
  <c r="J283" i="16"/>
  <c r="N283" i="16" s="1"/>
  <c r="P283" i="16"/>
  <c r="Q283" i="16"/>
  <c r="R283" i="16"/>
  <c r="T283" i="16"/>
  <c r="L284" i="16"/>
  <c r="C284" i="16"/>
  <c r="K284" i="16" s="1"/>
  <c r="E284" i="16"/>
  <c r="F284" i="16"/>
  <c r="O284" i="16" s="1"/>
  <c r="G284" i="16"/>
  <c r="I284" i="16"/>
  <c r="B285" i="16"/>
  <c r="D229" i="16"/>
  <c r="J229" i="16"/>
  <c r="P229" i="16"/>
  <c r="Q229" i="16"/>
  <c r="R229" i="16"/>
  <c r="T229" i="16"/>
  <c r="L230" i="16"/>
  <c r="C230" i="16"/>
  <c r="E230" i="16"/>
  <c r="G230" i="16"/>
  <c r="I230" i="16"/>
  <c r="B231" i="16"/>
  <c r="U174" i="16"/>
  <c r="S174" i="16"/>
  <c r="M175" i="16"/>
  <c r="D175" i="16"/>
  <c r="J175" i="16"/>
  <c r="N175" i="16" s="1"/>
  <c r="P175" i="16"/>
  <c r="Q175" i="16"/>
  <c r="R175" i="16"/>
  <c r="T175" i="16"/>
  <c r="L176" i="16"/>
  <c r="C176" i="16"/>
  <c r="K176" i="16" s="1"/>
  <c r="E176" i="16"/>
  <c r="F176" i="16"/>
  <c r="O176" i="16" s="1"/>
  <c r="G176" i="16"/>
  <c r="I176" i="16"/>
  <c r="B177" i="16"/>
  <c r="S120" i="16"/>
  <c r="U120" i="16"/>
  <c r="M121" i="16"/>
  <c r="D121" i="16"/>
  <c r="J121" i="16"/>
  <c r="N121" i="16" s="1"/>
  <c r="P121" i="16"/>
  <c r="Q121" i="16"/>
  <c r="R121" i="16"/>
  <c r="T121" i="16"/>
  <c r="L122" i="16"/>
  <c r="C122" i="16"/>
  <c r="K122" i="16" s="1"/>
  <c r="E122" i="16"/>
  <c r="F122" i="16"/>
  <c r="O122" i="16" s="1"/>
  <c r="G122" i="16"/>
  <c r="I122" i="16"/>
  <c r="B123" i="16"/>
  <c r="U58" i="4"/>
  <c r="S58" i="4"/>
  <c r="F54" i="7"/>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BF59" i="4"/>
  <c r="T59" i="4"/>
  <c r="V59" i="4"/>
  <c r="C60" i="4"/>
  <c r="E60" i="4"/>
  <c r="F60" i="4"/>
  <c r="C60" i="5" s="1"/>
  <c r="E60" i="5" s="1"/>
  <c r="G60" i="4"/>
  <c r="K60" i="4"/>
  <c r="B60" i="5"/>
  <c r="I60" i="4"/>
  <c r="L60" i="4"/>
  <c r="B61" i="4"/>
  <c r="D59" i="4"/>
  <c r="J59" i="4"/>
  <c r="O59" i="4"/>
  <c r="E94" i="7"/>
  <c r="M59" i="4"/>
  <c r="N59" i="4"/>
  <c r="C92" i="7"/>
  <c r="G92" i="7" s="1"/>
  <c r="U3737" i="16"/>
  <c r="S3737" i="16"/>
  <c r="S3467" i="16"/>
  <c r="U3467" i="16"/>
  <c r="U3413" i="16"/>
  <c r="S3413" i="16"/>
  <c r="U3197" i="16"/>
  <c r="S3197" i="16"/>
  <c r="U3143" i="16"/>
  <c r="S3143" i="16"/>
  <c r="U3035" i="16"/>
  <c r="S3035" i="16"/>
  <c r="U2603" i="16"/>
  <c r="S2603" i="16"/>
  <c r="U2387" i="16"/>
  <c r="S2387" i="16"/>
  <c r="S2333" i="16"/>
  <c r="U2333" i="16"/>
  <c r="U1577" i="16"/>
  <c r="S1577" i="16"/>
  <c r="U1523" i="16"/>
  <c r="S1523" i="16"/>
  <c r="U1361" i="16"/>
  <c r="S1361" i="16"/>
  <c r="U1091" i="16"/>
  <c r="S1091" i="16"/>
  <c r="U1037" i="16"/>
  <c r="S1037" i="16"/>
  <c r="S767" i="16"/>
  <c r="U767" i="16"/>
  <c r="S551" i="16"/>
  <c r="U551" i="16"/>
  <c r="M4608" i="16"/>
  <c r="N4608" i="16"/>
  <c r="M3792" i="16"/>
  <c r="N3792" i="16"/>
  <c r="M3468" i="16"/>
  <c r="N3468" i="16"/>
  <c r="M3414" i="16"/>
  <c r="N3414" i="16"/>
  <c r="M3252" i="16"/>
  <c r="N3252" i="16"/>
  <c r="N3198" i="16"/>
  <c r="M3198" i="16"/>
  <c r="M2604" i="16"/>
  <c r="N2604" i="16"/>
  <c r="M2442" i="16"/>
  <c r="N2442" i="16"/>
  <c r="M2388" i="16"/>
  <c r="N2388" i="16"/>
  <c r="M2226" i="16"/>
  <c r="N2226" i="16"/>
  <c r="M1902" i="16"/>
  <c r="N1902" i="16"/>
  <c r="M1848" i="16"/>
  <c r="N1848" i="16"/>
  <c r="M1632" i="16"/>
  <c r="N1632" i="16"/>
  <c r="M1578" i="16"/>
  <c r="N1578" i="16"/>
  <c r="M1524" i="16"/>
  <c r="N1524" i="16"/>
  <c r="M1416" i="16"/>
  <c r="N1416" i="16"/>
  <c r="M1308" i="16"/>
  <c r="N1308" i="16"/>
  <c r="N1255" i="16"/>
  <c r="M1255" i="16"/>
  <c r="M768" i="16"/>
  <c r="N768" i="16"/>
  <c r="M498" i="16"/>
  <c r="N498" i="16"/>
  <c r="N336" i="16"/>
  <c r="M336" i="16"/>
  <c r="M228" i="16"/>
  <c r="N228" i="16"/>
  <c r="F4609" i="16"/>
  <c r="K4609" i="16"/>
  <c r="K4555" i="16"/>
  <c r="F4555" i="16"/>
  <c r="F3793" i="16"/>
  <c r="O3793" i="16" s="1"/>
  <c r="K3793" i="16"/>
  <c r="K3739" i="16"/>
  <c r="F3739" i="16"/>
  <c r="O3739" i="16" s="1"/>
  <c r="F3469" i="16"/>
  <c r="O3469" i="16" s="1"/>
  <c r="K3469" i="16"/>
  <c r="K3199" i="16"/>
  <c r="F3199" i="16"/>
  <c r="O3199" i="16" s="1"/>
  <c r="F3145" i="16"/>
  <c r="O3145" i="16" s="1"/>
  <c r="K3145" i="16"/>
  <c r="F2929" i="16"/>
  <c r="O2929" i="16" s="1"/>
  <c r="K2929" i="16"/>
  <c r="F2875" i="16"/>
  <c r="O2875" i="16" s="1"/>
  <c r="K2875" i="16"/>
  <c r="F2389" i="16"/>
  <c r="O2389" i="16" s="1"/>
  <c r="K2389" i="16"/>
  <c r="K2335" i="16"/>
  <c r="F2335" i="16"/>
  <c r="O2335" i="16" s="1"/>
  <c r="K2227" i="16"/>
  <c r="F2227" i="16"/>
  <c r="O2227" i="16" s="1"/>
  <c r="K2119" i="16"/>
  <c r="F2119" i="16"/>
  <c r="O2119" i="16" s="1"/>
  <c r="K2065" i="16"/>
  <c r="F2065" i="16"/>
  <c r="O2065" i="16" s="1"/>
  <c r="F1579" i="16"/>
  <c r="O1579" i="16" s="1"/>
  <c r="K1579" i="16"/>
  <c r="K1525" i="16"/>
  <c r="F1525" i="16"/>
  <c r="O1525" i="16" s="1"/>
  <c r="K1417" i="16"/>
  <c r="F1417" i="16"/>
  <c r="O1417" i="16" s="1"/>
  <c r="K1363" i="16"/>
  <c r="F1363" i="16"/>
  <c r="O1363" i="16" s="1"/>
  <c r="F1309" i="16"/>
  <c r="O1309" i="16" s="1"/>
  <c r="K1309" i="16"/>
  <c r="F1039" i="16"/>
  <c r="O1039" i="16" s="1"/>
  <c r="K1039" i="16"/>
  <c r="F823" i="16"/>
  <c r="O823" i="16" s="1"/>
  <c r="K823" i="16"/>
  <c r="K769" i="16"/>
  <c r="F769" i="16"/>
  <c r="O769" i="16" s="1"/>
  <c r="K715" i="16"/>
  <c r="F715" i="16"/>
  <c r="O715" i="16" s="1"/>
  <c r="K445" i="16"/>
  <c r="F445" i="16"/>
  <c r="O445" i="16" s="1"/>
  <c r="K337" i="16"/>
  <c r="F337" i="16"/>
  <c r="O337" i="16" s="1"/>
  <c r="K229" i="16"/>
  <c r="F229" i="16"/>
  <c r="O229" i="16" s="1"/>
  <c r="K3146" i="16" l="1"/>
  <c r="F3146" i="16"/>
  <c r="O3146" i="16" s="1"/>
  <c r="K2768" i="16"/>
  <c r="F2768" i="16"/>
  <c r="O2768" i="16" s="1"/>
  <c r="K2336" i="16"/>
  <c r="F2336" i="16"/>
  <c r="O2336" i="16" s="1"/>
  <c r="K1472" i="16"/>
  <c r="F1472" i="16"/>
  <c r="O1472" i="16" s="1"/>
  <c r="K1257" i="16"/>
  <c r="F1257" i="16"/>
  <c r="O1257" i="16" s="1"/>
  <c r="K230" i="16"/>
  <c r="F230" i="16"/>
  <c r="O230" i="16" s="1"/>
  <c r="T4716" i="16"/>
  <c r="S4717" i="16"/>
  <c r="T4717" i="16" s="1"/>
  <c r="U4717" i="16"/>
  <c r="M4718" i="16"/>
  <c r="D4718" i="16"/>
  <c r="J4718" i="16"/>
  <c r="N4718" i="16" s="1"/>
  <c r="P4718" i="16"/>
  <c r="Q4718" i="16"/>
  <c r="R4718" i="16"/>
  <c r="L4719" i="16"/>
  <c r="C4719" i="16"/>
  <c r="E4719" i="16"/>
  <c r="G4719" i="16"/>
  <c r="I4719" i="16"/>
  <c r="B4720" i="16"/>
  <c r="P4664" i="16"/>
  <c r="Q4664" i="16"/>
  <c r="R4664" i="16"/>
  <c r="C4665" i="16"/>
  <c r="D4665" i="16" s="1"/>
  <c r="E4665" i="16"/>
  <c r="F4665" i="16"/>
  <c r="O4665" i="16" s="1"/>
  <c r="G4665" i="16"/>
  <c r="B4666" i="16"/>
  <c r="D4610" i="16"/>
  <c r="J4610" i="16"/>
  <c r="P4610" i="16"/>
  <c r="Q4610" i="16"/>
  <c r="R4610" i="16"/>
  <c r="L4611" i="16"/>
  <c r="C4611" i="16"/>
  <c r="K4611" i="16" s="1"/>
  <c r="E4611" i="16"/>
  <c r="F4611" i="16"/>
  <c r="G4611" i="16"/>
  <c r="I4611" i="16"/>
  <c r="B4612" i="16"/>
  <c r="M4556" i="16"/>
  <c r="D4556" i="16"/>
  <c r="J4556" i="16"/>
  <c r="N4556" i="16" s="1"/>
  <c r="P4556" i="16"/>
  <c r="Q4556" i="16"/>
  <c r="R4556" i="16"/>
  <c r="L4557" i="16"/>
  <c r="C4557" i="16"/>
  <c r="K4557" i="16" s="1"/>
  <c r="E4557" i="16"/>
  <c r="F4557" i="16"/>
  <c r="G4557" i="16"/>
  <c r="I4557" i="16"/>
  <c r="B4558" i="16"/>
  <c r="U4255" i="16"/>
  <c r="S4255" i="16"/>
  <c r="M4256" i="16"/>
  <c r="D4256" i="16"/>
  <c r="J4256" i="16"/>
  <c r="N4256" i="16" s="1"/>
  <c r="P4256" i="16"/>
  <c r="Q4256" i="16"/>
  <c r="R4256" i="16"/>
  <c r="T4256" i="16"/>
  <c r="L4257" i="16"/>
  <c r="C4257" i="16"/>
  <c r="E4257" i="16"/>
  <c r="G4257" i="16"/>
  <c r="I4257" i="16"/>
  <c r="B4258" i="16"/>
  <c r="M4202" i="16"/>
  <c r="J4202" i="16"/>
  <c r="N4202" i="16" s="1"/>
  <c r="D4202" i="16"/>
  <c r="P4202" i="16"/>
  <c r="Q4202" i="16"/>
  <c r="R4202" i="16"/>
  <c r="T4202" i="16"/>
  <c r="E4203" i="16"/>
  <c r="G4203" i="16"/>
  <c r="L4203" i="16"/>
  <c r="B4204" i="16"/>
  <c r="C4203" i="16"/>
  <c r="F4203" i="16" s="1"/>
  <c r="O4203" i="16" s="1"/>
  <c r="I4203" i="16"/>
  <c r="K4203" i="16"/>
  <c r="U4201" i="16"/>
  <c r="S4201" i="16"/>
  <c r="D4148" i="16"/>
  <c r="J4148" i="16"/>
  <c r="N4148" i="16" s="1"/>
  <c r="P4148" i="16"/>
  <c r="Q4148" i="16"/>
  <c r="R4148" i="16"/>
  <c r="T4148" i="16"/>
  <c r="M4148" i="16"/>
  <c r="E4149" i="16"/>
  <c r="B4150" i="16"/>
  <c r="C4149" i="16"/>
  <c r="K4149" i="16" s="1"/>
  <c r="F4149" i="16"/>
  <c r="O4149" i="16" s="1"/>
  <c r="G4149" i="16"/>
  <c r="I4149" i="16"/>
  <c r="L4149" i="16"/>
  <c r="U4147" i="16"/>
  <c r="S4147" i="16"/>
  <c r="U4093" i="16"/>
  <c r="S4093" i="16"/>
  <c r="M4094" i="16"/>
  <c r="D4094" i="16"/>
  <c r="J4094" i="16"/>
  <c r="N4094" i="16" s="1"/>
  <c r="P4094" i="16"/>
  <c r="Q4094" i="16"/>
  <c r="R4094" i="16"/>
  <c r="T4094" i="16"/>
  <c r="L4095" i="16"/>
  <c r="C4095" i="16"/>
  <c r="K4095" i="16" s="1"/>
  <c r="E4095" i="16"/>
  <c r="F4095" i="16"/>
  <c r="O4095" i="16" s="1"/>
  <c r="G4095" i="16"/>
  <c r="I4095" i="16"/>
  <c r="B4096" i="16"/>
  <c r="D3794" i="16"/>
  <c r="J3794" i="16"/>
  <c r="P3794" i="16"/>
  <c r="Q3794" i="16"/>
  <c r="R3794" i="16"/>
  <c r="T3794" i="16"/>
  <c r="L3795" i="16"/>
  <c r="C3795" i="16"/>
  <c r="E3795" i="16"/>
  <c r="G3795" i="16"/>
  <c r="I3795" i="16"/>
  <c r="B3796" i="16"/>
  <c r="M3740" i="16"/>
  <c r="D3740" i="16"/>
  <c r="J3740" i="16"/>
  <c r="N3740" i="16" s="1"/>
  <c r="P3740" i="16"/>
  <c r="Q3740" i="16"/>
  <c r="R3740" i="16"/>
  <c r="T3740" i="16"/>
  <c r="L3741" i="16"/>
  <c r="C3741" i="16"/>
  <c r="K3741" i="16" s="1"/>
  <c r="E3741" i="16"/>
  <c r="F3741" i="16"/>
  <c r="O3741" i="16" s="1"/>
  <c r="G3741" i="16"/>
  <c r="I3741" i="16"/>
  <c r="B3742" i="16"/>
  <c r="U3685" i="16"/>
  <c r="S3685" i="16"/>
  <c r="D3686" i="16"/>
  <c r="J3686" i="16"/>
  <c r="P3686" i="16"/>
  <c r="Q3686" i="16"/>
  <c r="R3686" i="16"/>
  <c r="T3686" i="16"/>
  <c r="L3687" i="16"/>
  <c r="C3687" i="16"/>
  <c r="E3687" i="16"/>
  <c r="G3687" i="16"/>
  <c r="I3687" i="16"/>
  <c r="B3688"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D3524" i="16"/>
  <c r="J3524" i="16"/>
  <c r="P3524" i="16"/>
  <c r="Q3524" i="16"/>
  <c r="R3524" i="16"/>
  <c r="T3524" i="16"/>
  <c r="L3525" i="16"/>
  <c r="C3525" i="16"/>
  <c r="K3525" i="16" s="1"/>
  <c r="E3525" i="16"/>
  <c r="F3525" i="16"/>
  <c r="O3525" i="16" s="1"/>
  <c r="G3525" i="16"/>
  <c r="I3525" i="16"/>
  <c r="B3526" i="16"/>
  <c r="L3471" i="16"/>
  <c r="G3471" i="16"/>
  <c r="C3471" i="16"/>
  <c r="E3471" i="16"/>
  <c r="B3472" i="16"/>
  <c r="I3471" i="16"/>
  <c r="J3470" i="16"/>
  <c r="D3470" i="16"/>
  <c r="P3470" i="16"/>
  <c r="Q3470" i="16"/>
  <c r="R3470" i="16"/>
  <c r="T3470" i="16"/>
  <c r="U3415" i="16"/>
  <c r="S3415"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D3308" i="16"/>
  <c r="J3308" i="16"/>
  <c r="P3308" i="16"/>
  <c r="Q3308" i="16"/>
  <c r="R3308" i="16"/>
  <c r="T3308" i="16"/>
  <c r="L3309" i="16"/>
  <c r="C3309" i="16"/>
  <c r="K3309" i="16" s="1"/>
  <c r="E3309" i="16"/>
  <c r="F3309" i="16"/>
  <c r="O3309" i="16" s="1"/>
  <c r="G3309" i="16"/>
  <c r="I3309" i="16"/>
  <c r="B3310" i="16"/>
  <c r="U3253" i="16"/>
  <c r="S3253" i="16"/>
  <c r="P3254" i="16"/>
  <c r="Q3254" i="16"/>
  <c r="R3254" i="16"/>
  <c r="T3254" i="16"/>
  <c r="L3255" i="16"/>
  <c r="I3255" i="16"/>
  <c r="B3256" i="16"/>
  <c r="E3255" i="16"/>
  <c r="G3255" i="16"/>
  <c r="C3255" i="16"/>
  <c r="J3254" i="16"/>
  <c r="D3254" i="16"/>
  <c r="M3200" i="16"/>
  <c r="P3200" i="16"/>
  <c r="Q3200" i="16"/>
  <c r="R3200" i="16"/>
  <c r="T3200" i="16"/>
  <c r="L3201" i="16"/>
  <c r="C3201" i="16"/>
  <c r="K3201" i="16" s="1"/>
  <c r="G3201" i="16"/>
  <c r="B3202" i="16"/>
  <c r="F3201" i="16"/>
  <c r="O3201" i="16" s="1"/>
  <c r="I3201" i="16"/>
  <c r="E3201" i="16"/>
  <c r="J3200" i="16"/>
  <c r="N3200" i="16" s="1"/>
  <c r="D3200" i="16"/>
  <c r="M3146" i="16"/>
  <c r="P3146" i="16"/>
  <c r="Q3146" i="16"/>
  <c r="R3146" i="16"/>
  <c r="T3146" i="16"/>
  <c r="L3147" i="16"/>
  <c r="E3147" i="16"/>
  <c r="B3148" i="16"/>
  <c r="C3147" i="16"/>
  <c r="G3147" i="16"/>
  <c r="I3147" i="16"/>
  <c r="J3146" i="16"/>
  <c r="N3146" i="16" s="1"/>
  <c r="D3146" i="16"/>
  <c r="U3091" i="16"/>
  <c r="S3091" i="16"/>
  <c r="M3092" i="16"/>
  <c r="P3092" i="16"/>
  <c r="Q3092" i="16"/>
  <c r="R3092" i="16"/>
  <c r="T3092" i="16"/>
  <c r="L3093" i="16"/>
  <c r="G3093" i="16"/>
  <c r="E3093" i="16"/>
  <c r="I3093" i="16"/>
  <c r="B3094" i="16"/>
  <c r="C3093" i="16"/>
  <c r="D3092" i="16"/>
  <c r="J3092" i="16"/>
  <c r="N3092" i="16" s="1"/>
  <c r="U3037" i="16"/>
  <c r="S3037" i="16"/>
  <c r="M3038" i="16"/>
  <c r="D3038" i="16"/>
  <c r="J3038" i="16"/>
  <c r="N3038" i="16" s="1"/>
  <c r="P3038" i="16"/>
  <c r="Q3038" i="16"/>
  <c r="R3038" i="16"/>
  <c r="T3038" i="16"/>
  <c r="L3039" i="16"/>
  <c r="B3040" i="16"/>
  <c r="I3039" i="16"/>
  <c r="C3039" i="16"/>
  <c r="K3039" i="16" s="1"/>
  <c r="E3039" i="16"/>
  <c r="F3039" i="16"/>
  <c r="O3039" i="16" s="1"/>
  <c r="G3039" i="16"/>
  <c r="U2983" i="16"/>
  <c r="S2983" i="16"/>
  <c r="D2984" i="16"/>
  <c r="J2984" i="16"/>
  <c r="P2984" i="16"/>
  <c r="Q2984" i="16"/>
  <c r="R2984" i="16"/>
  <c r="T2984" i="16"/>
  <c r="L2985" i="16"/>
  <c r="C2985" i="16"/>
  <c r="K2985" i="16" s="1"/>
  <c r="E2985" i="16"/>
  <c r="F2985" i="16"/>
  <c r="O2985" i="16" s="1"/>
  <c r="G2985" i="16"/>
  <c r="I2985" i="16"/>
  <c r="B2986" i="16"/>
  <c r="M2930" i="16"/>
  <c r="D2930" i="16"/>
  <c r="J2930" i="16"/>
  <c r="N2930" i="16" s="1"/>
  <c r="P2930" i="16"/>
  <c r="Q2930" i="16"/>
  <c r="R2930" i="16"/>
  <c r="T2930" i="16"/>
  <c r="L2931" i="16"/>
  <c r="C2931" i="16"/>
  <c r="E2931" i="16"/>
  <c r="G2931" i="16"/>
  <c r="I2931" i="16"/>
  <c r="B2932" i="16"/>
  <c r="M2876" i="16"/>
  <c r="D2876" i="16"/>
  <c r="J2876" i="16"/>
  <c r="N2876" i="16" s="1"/>
  <c r="P2876" i="16"/>
  <c r="Q2876" i="16"/>
  <c r="R2876" i="16"/>
  <c r="T2876" i="16"/>
  <c r="L2877" i="16"/>
  <c r="C2877" i="16"/>
  <c r="E2877" i="16"/>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S2767" i="16"/>
  <c r="U2767" i="16"/>
  <c r="M2768" i="16"/>
  <c r="D2768" i="16"/>
  <c r="J2768" i="16"/>
  <c r="N2768" i="16" s="1"/>
  <c r="P2768" i="16"/>
  <c r="Q2768" i="16"/>
  <c r="R2768" i="16"/>
  <c r="T2768" i="16"/>
  <c r="L2769" i="16"/>
  <c r="C2769" i="16"/>
  <c r="K2769" i="16" s="1"/>
  <c r="E2769" i="16"/>
  <c r="F2769" i="16"/>
  <c r="O2769" i="16" s="1"/>
  <c r="G2769" i="16"/>
  <c r="I2769" i="16"/>
  <c r="B2770" i="16"/>
  <c r="U2713" i="16"/>
  <c r="S2713" i="16"/>
  <c r="D2714" i="16"/>
  <c r="J2714" i="16"/>
  <c r="P2714" i="16"/>
  <c r="Q2714" i="16"/>
  <c r="R2714" i="16"/>
  <c r="T2714" i="16"/>
  <c r="L2715" i="16"/>
  <c r="C2715" i="16"/>
  <c r="K2715" i="16" s="1"/>
  <c r="E2715" i="16"/>
  <c r="F2715" i="16"/>
  <c r="O2715" i="16" s="1"/>
  <c r="G2715" i="16"/>
  <c r="I2715" i="16"/>
  <c r="B2716" i="16"/>
  <c r="U2659" i="16"/>
  <c r="S2659" i="16"/>
  <c r="M2660" i="16"/>
  <c r="D2660" i="16"/>
  <c r="J2660" i="16"/>
  <c r="N2660" i="16" s="1"/>
  <c r="P2660" i="16"/>
  <c r="Q2660" i="16"/>
  <c r="R2660" i="16"/>
  <c r="T2660" i="16"/>
  <c r="L2661" i="16"/>
  <c r="C2661" i="16"/>
  <c r="E2661" i="16"/>
  <c r="G2661" i="16"/>
  <c r="I2661" i="16"/>
  <c r="B2662" i="16"/>
  <c r="U2605" i="16"/>
  <c r="S2605" i="16"/>
  <c r="M2606" i="16"/>
  <c r="D2606" i="16"/>
  <c r="J2606" i="16"/>
  <c r="N2606" i="16" s="1"/>
  <c r="P2606" i="16"/>
  <c r="Q2606" i="16"/>
  <c r="R2606" i="16"/>
  <c r="T2606" i="16"/>
  <c r="L2607" i="16"/>
  <c r="C2607" i="16"/>
  <c r="E2607" i="16"/>
  <c r="G2607" i="16"/>
  <c r="I2607" i="16"/>
  <c r="B2608" i="16"/>
  <c r="S2551" i="16"/>
  <c r="U2551" i="16"/>
  <c r="M2552" i="16"/>
  <c r="D2552" i="16"/>
  <c r="J2552" i="16"/>
  <c r="N2552" i="16" s="1"/>
  <c r="P2552" i="16"/>
  <c r="Q2552" i="16"/>
  <c r="R2552" i="16"/>
  <c r="T2552" i="16"/>
  <c r="L2553" i="16"/>
  <c r="C2553" i="16"/>
  <c r="K2553" i="16" s="1"/>
  <c r="E2553" i="16"/>
  <c r="F2553" i="16"/>
  <c r="O2553" i="16" s="1"/>
  <c r="G2553" i="16"/>
  <c r="I2553" i="16"/>
  <c r="B2554" i="16"/>
  <c r="U2497" i="16"/>
  <c r="S2497" i="16"/>
  <c r="D2498" i="16"/>
  <c r="J2498" i="16"/>
  <c r="Q2498" i="16"/>
  <c r="R2498" i="16"/>
  <c r="P2498" i="16"/>
  <c r="T2498" i="16"/>
  <c r="L2499" i="16"/>
  <c r="C2499" i="16"/>
  <c r="K2499" i="16" s="1"/>
  <c r="E2499" i="16"/>
  <c r="F2499" i="16"/>
  <c r="O2499" i="16" s="1"/>
  <c r="G2499" i="16"/>
  <c r="I2499" i="16"/>
  <c r="B2500" i="16"/>
  <c r="U2443" i="16"/>
  <c r="S2443" i="16"/>
  <c r="D2444" i="16"/>
  <c r="J2444" i="16"/>
  <c r="P2444" i="16"/>
  <c r="Q2444" i="16"/>
  <c r="R2444" i="16"/>
  <c r="T2444" i="16"/>
  <c r="L2445" i="16"/>
  <c r="C2445" i="16"/>
  <c r="E2445" i="16"/>
  <c r="G2445" i="16"/>
  <c r="I2445" i="16"/>
  <c r="B2446" i="16"/>
  <c r="M2390" i="16"/>
  <c r="D2390" i="16"/>
  <c r="J2390" i="16"/>
  <c r="N2390" i="16" s="1"/>
  <c r="Q2390" i="16"/>
  <c r="R2390" i="16"/>
  <c r="P2390" i="16"/>
  <c r="T2390" i="16"/>
  <c r="L2391" i="16"/>
  <c r="C2391" i="16"/>
  <c r="E2391" i="16"/>
  <c r="G2391" i="16"/>
  <c r="I2391" i="16"/>
  <c r="B2392" i="16"/>
  <c r="M2336" i="16"/>
  <c r="D2336" i="16"/>
  <c r="J2336" i="16"/>
  <c r="N2336" i="16" s="1"/>
  <c r="P2336" i="16"/>
  <c r="Q2336" i="16"/>
  <c r="R2336" i="16"/>
  <c r="T2336" i="16"/>
  <c r="L2337" i="16"/>
  <c r="C2337" i="16"/>
  <c r="K2337" i="16" s="1"/>
  <c r="E2337" i="16"/>
  <c r="F2337" i="16"/>
  <c r="O2337" i="16" s="1"/>
  <c r="G2337" i="16"/>
  <c r="I2337" i="16"/>
  <c r="B2338" i="16"/>
  <c r="U2281" i="16"/>
  <c r="S2281" i="16"/>
  <c r="M2282" i="16"/>
  <c r="D2282" i="16"/>
  <c r="J2282" i="16"/>
  <c r="N2282" i="16" s="1"/>
  <c r="P2282" i="16"/>
  <c r="Q2282" i="16"/>
  <c r="R2282" i="16"/>
  <c r="T2282" i="16"/>
  <c r="L2283" i="16"/>
  <c r="C2283" i="16"/>
  <c r="K2283" i="16" s="1"/>
  <c r="E2283" i="16"/>
  <c r="F2283" i="16"/>
  <c r="O2283" i="16" s="1"/>
  <c r="G2283" i="16"/>
  <c r="I2283" i="16"/>
  <c r="B2284" i="16"/>
  <c r="P2228" i="16"/>
  <c r="Q2228" i="16"/>
  <c r="R2228" i="16"/>
  <c r="T2228" i="16"/>
  <c r="J2228" i="16"/>
  <c r="D2228" i="16"/>
  <c r="L2229" i="16"/>
  <c r="I2229" i="16"/>
  <c r="B2230" i="16"/>
  <c r="C2229" i="16"/>
  <c r="K2229" i="16" s="1"/>
  <c r="E2229" i="16"/>
  <c r="F2229" i="16"/>
  <c r="O2229" i="16" s="1"/>
  <c r="G2229" i="16"/>
  <c r="U2173" i="16"/>
  <c r="S2173" i="16"/>
  <c r="D2174" i="16"/>
  <c r="J2174" i="16"/>
  <c r="P2174" i="16"/>
  <c r="Q2174" i="16"/>
  <c r="R2174" i="16"/>
  <c r="T2174" i="16"/>
  <c r="L2175" i="16"/>
  <c r="C2175" i="16"/>
  <c r="K2175" i="16" s="1"/>
  <c r="E2175" i="16"/>
  <c r="F2175" i="16"/>
  <c r="O2175" i="16" s="1"/>
  <c r="G2175" i="16"/>
  <c r="I2175" i="16"/>
  <c r="B2176" i="16"/>
  <c r="M2120" i="16"/>
  <c r="D2120" i="16"/>
  <c r="J2120" i="16"/>
  <c r="N2120" i="16" s="1"/>
  <c r="P2120" i="16"/>
  <c r="Q2120" i="16"/>
  <c r="R2120" i="16"/>
  <c r="T2120" i="16"/>
  <c r="L2121" i="16"/>
  <c r="C2121" i="16"/>
  <c r="K2121" i="16" s="1"/>
  <c r="E2121" i="16"/>
  <c r="F2121" i="16"/>
  <c r="O2121" i="16" s="1"/>
  <c r="G2121" i="16"/>
  <c r="I2121" i="16"/>
  <c r="B2122" i="16"/>
  <c r="M2066" i="16"/>
  <c r="D2066" i="16"/>
  <c r="J2066" i="16"/>
  <c r="N2066" i="16" s="1"/>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U1957" i="16"/>
  <c r="S1957" i="16"/>
  <c r="M1958" i="16"/>
  <c r="D1958" i="16"/>
  <c r="J1958" i="16"/>
  <c r="N1958" i="16" s="1"/>
  <c r="P1958" i="16"/>
  <c r="Q1958" i="16"/>
  <c r="R1958" i="16"/>
  <c r="T1958" i="16"/>
  <c r="L1959" i="16"/>
  <c r="C1959" i="16"/>
  <c r="E1959" i="16"/>
  <c r="G1959" i="16"/>
  <c r="I1959" i="16"/>
  <c r="B1960" i="16"/>
  <c r="S1903" i="16"/>
  <c r="U1903" i="16"/>
  <c r="D1904" i="16"/>
  <c r="J1904" i="16"/>
  <c r="P1904" i="16"/>
  <c r="Q1904" i="16"/>
  <c r="R1904" i="16"/>
  <c r="T1904" i="16"/>
  <c r="L1905" i="16"/>
  <c r="C1905" i="16"/>
  <c r="E1905" i="16"/>
  <c r="G1905" i="16"/>
  <c r="I1905" i="16"/>
  <c r="B1906" i="16"/>
  <c r="U1849" i="16"/>
  <c r="S1849" i="16"/>
  <c r="M1850" i="16"/>
  <c r="D1850" i="16"/>
  <c r="J1850" i="16"/>
  <c r="N1850" i="16" s="1"/>
  <c r="P1850" i="16"/>
  <c r="Q1850" i="16"/>
  <c r="R1850" i="16"/>
  <c r="T1850" i="16"/>
  <c r="L1851" i="16"/>
  <c r="C1851" i="16"/>
  <c r="E1851" i="16"/>
  <c r="G1851" i="16"/>
  <c r="I1851" i="16"/>
  <c r="B1852" i="16"/>
  <c r="U1795" i="16"/>
  <c r="S1795" i="16"/>
  <c r="M1796" i="16"/>
  <c r="D1796" i="16"/>
  <c r="J1796" i="16"/>
  <c r="N1796" i="16" s="1"/>
  <c r="P1796" i="16"/>
  <c r="Q1796" i="16"/>
  <c r="R1796" i="16"/>
  <c r="T1796" i="16"/>
  <c r="L1797" i="16"/>
  <c r="C1797" i="16"/>
  <c r="E1797" i="16"/>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S1687" i="16"/>
  <c r="U1687" i="16"/>
  <c r="D1688" i="16"/>
  <c r="J1688" i="16"/>
  <c r="P1688" i="16"/>
  <c r="Q1688" i="16"/>
  <c r="R1688" i="16"/>
  <c r="T1688" i="16"/>
  <c r="L1689" i="16"/>
  <c r="C1689" i="16"/>
  <c r="K1689" i="16" s="1"/>
  <c r="E1689" i="16"/>
  <c r="F1689" i="16"/>
  <c r="O1689" i="16" s="1"/>
  <c r="G1689" i="16"/>
  <c r="I1689" i="16"/>
  <c r="B1690" i="16"/>
  <c r="U1633" i="16"/>
  <c r="S1633" i="16"/>
  <c r="D1634" i="16"/>
  <c r="J1634" i="16"/>
  <c r="P1634" i="16"/>
  <c r="Q1634" i="16"/>
  <c r="R1634" i="16"/>
  <c r="T1634" i="16"/>
  <c r="L1635" i="16"/>
  <c r="C1635" i="16"/>
  <c r="E1635" i="16"/>
  <c r="G1635" i="16"/>
  <c r="I1635" i="16"/>
  <c r="B1636" i="16"/>
  <c r="M1580" i="16"/>
  <c r="D1580" i="16"/>
  <c r="J1580" i="16"/>
  <c r="N1580" i="16" s="1"/>
  <c r="P1580" i="16"/>
  <c r="Q1580" i="16"/>
  <c r="R1580" i="16"/>
  <c r="T1580" i="16"/>
  <c r="L1581" i="16"/>
  <c r="C1581" i="16"/>
  <c r="E1581" i="16"/>
  <c r="G1581" i="16"/>
  <c r="I1581" i="16"/>
  <c r="B1582" i="16"/>
  <c r="M1526" i="16"/>
  <c r="P1526" i="16"/>
  <c r="Q1526" i="16"/>
  <c r="R1526" i="16"/>
  <c r="T1526" i="16"/>
  <c r="L1527" i="16"/>
  <c r="I1527" i="16"/>
  <c r="C1527" i="16"/>
  <c r="E1527" i="16"/>
  <c r="G1527" i="16"/>
  <c r="B1528" i="16"/>
  <c r="D1526" i="16"/>
  <c r="J1526" i="16"/>
  <c r="N1526" i="16" s="1"/>
  <c r="U1471" i="16"/>
  <c r="S1471" i="16"/>
  <c r="M1472" i="16"/>
  <c r="D1472" i="16"/>
  <c r="J1472" i="16"/>
  <c r="N1472" i="16" s="1"/>
  <c r="P1472" i="16"/>
  <c r="Q1472" i="16"/>
  <c r="R1472" i="16"/>
  <c r="T1472" i="16"/>
  <c r="L1473" i="16"/>
  <c r="C1473" i="16"/>
  <c r="K1473" i="16" s="1"/>
  <c r="E1473" i="16"/>
  <c r="F1473" i="16"/>
  <c r="O1473" i="16" s="1"/>
  <c r="G1473" i="16"/>
  <c r="B1474" i="16"/>
  <c r="I1473" i="16"/>
  <c r="M1418" i="16"/>
  <c r="P1418" i="16"/>
  <c r="Q1418" i="16"/>
  <c r="R1418" i="16"/>
  <c r="T1418" i="16"/>
  <c r="L1419" i="16"/>
  <c r="I1419" i="16"/>
  <c r="B1420" i="16"/>
  <c r="C1419" i="16"/>
  <c r="E1419" i="16"/>
  <c r="G1419" i="16"/>
  <c r="J1418" i="16"/>
  <c r="N1418" i="16" s="1"/>
  <c r="D1418" i="16"/>
  <c r="D1364" i="16"/>
  <c r="J1364" i="16"/>
  <c r="L1365" i="16"/>
  <c r="B1366" i="16"/>
  <c r="C1365" i="16"/>
  <c r="K1365" i="16" s="1"/>
  <c r="I1365" i="16"/>
  <c r="E1365" i="16"/>
  <c r="G1365" i="16"/>
  <c r="F1365" i="16"/>
  <c r="O1365" i="16" s="1"/>
  <c r="P1364" i="16"/>
  <c r="Q1364" i="16"/>
  <c r="R1364" i="16"/>
  <c r="T1364" i="16"/>
  <c r="L1311" i="16"/>
  <c r="B1312" i="16"/>
  <c r="G1311" i="16"/>
  <c r="C1311" i="16"/>
  <c r="E1311" i="16"/>
  <c r="I1311" i="16"/>
  <c r="D1310" i="16"/>
  <c r="J1310" i="16"/>
  <c r="P1310" i="16"/>
  <c r="Q1310" i="16"/>
  <c r="R1310" i="16"/>
  <c r="T1310" i="16"/>
  <c r="S1256" i="16"/>
  <c r="U1256" i="16"/>
  <c r="M1257" i="16"/>
  <c r="D1257" i="16"/>
  <c r="J1257" i="16"/>
  <c r="N1257" i="16" s="1"/>
  <c r="P1257" i="16"/>
  <c r="Q1257" i="16"/>
  <c r="R1257" i="16"/>
  <c r="T1257" i="16"/>
  <c r="L1258" i="16"/>
  <c r="C1258" i="16"/>
  <c r="G1258" i="16"/>
  <c r="I1258" i="16"/>
  <c r="B1259" i="16"/>
  <c r="E1258" i="16"/>
  <c r="U1201" i="16"/>
  <c r="S1201" i="16"/>
  <c r="M1202" i="16"/>
  <c r="D1202" i="16"/>
  <c r="J1202" i="16"/>
  <c r="N1202" i="16" s="1"/>
  <c r="P1202" i="16"/>
  <c r="Q1202" i="16"/>
  <c r="R1202" i="16"/>
  <c r="T1202" i="16"/>
  <c r="L1203" i="16"/>
  <c r="C1203" i="16"/>
  <c r="K1203" i="16" s="1"/>
  <c r="E1203" i="16"/>
  <c r="F1203" i="16"/>
  <c r="O1203" i="16" s="1"/>
  <c r="G1203" i="16"/>
  <c r="I1203" i="16"/>
  <c r="B1204" i="16"/>
  <c r="U1147" i="16"/>
  <c r="S1147" i="16"/>
  <c r="D1148" i="16"/>
  <c r="J1148" i="16"/>
  <c r="P1148" i="16"/>
  <c r="Q1148" i="16"/>
  <c r="R1148" i="16"/>
  <c r="T1148" i="16"/>
  <c r="L1149" i="16"/>
  <c r="C1149" i="16"/>
  <c r="K1149" i="16" s="1"/>
  <c r="E1149" i="16"/>
  <c r="F1149" i="16"/>
  <c r="O1149" i="16" s="1"/>
  <c r="G1149" i="16"/>
  <c r="I1149" i="16"/>
  <c r="B1150" i="16"/>
  <c r="U1093" i="16"/>
  <c r="S1093" i="16"/>
  <c r="D1094" i="16"/>
  <c r="J1094" i="16"/>
  <c r="P1094" i="16"/>
  <c r="Q1094" i="16"/>
  <c r="R1094" i="16"/>
  <c r="T1094" i="16"/>
  <c r="L1095" i="16"/>
  <c r="C1095" i="16"/>
  <c r="K1095" i="16" s="1"/>
  <c r="E1095" i="16"/>
  <c r="F1095" i="16"/>
  <c r="O1095" i="16" s="1"/>
  <c r="G1095" i="16"/>
  <c r="I1095" i="16"/>
  <c r="B1096" i="16"/>
  <c r="M1040" i="16"/>
  <c r="D1040" i="16"/>
  <c r="J1040" i="16"/>
  <c r="N1040" i="16" s="1"/>
  <c r="P1040" i="16"/>
  <c r="Q1040" i="16"/>
  <c r="R1040" i="16"/>
  <c r="T1040" i="16"/>
  <c r="L1041" i="16"/>
  <c r="C1041" i="16"/>
  <c r="E1041" i="16"/>
  <c r="G1041" i="16"/>
  <c r="I1041" i="16"/>
  <c r="B1042" i="16"/>
  <c r="U985" i="16"/>
  <c r="S985" i="16"/>
  <c r="M986" i="16"/>
  <c r="D986" i="16"/>
  <c r="J986" i="16"/>
  <c r="N986" i="16" s="1"/>
  <c r="P986" i="16"/>
  <c r="Q986" i="16"/>
  <c r="R986" i="16"/>
  <c r="T986" i="16"/>
  <c r="L987" i="16"/>
  <c r="C987" i="16"/>
  <c r="E987" i="16"/>
  <c r="G987" i="16"/>
  <c r="I987" i="16"/>
  <c r="B988" i="16"/>
  <c r="U931" i="16"/>
  <c r="S931" i="16"/>
  <c r="M932" i="16"/>
  <c r="D932" i="16"/>
  <c r="J932" i="16"/>
  <c r="N932" i="16" s="1"/>
  <c r="P932" i="16"/>
  <c r="Q932" i="16"/>
  <c r="R932" i="16"/>
  <c r="T932" i="16"/>
  <c r="L933" i="16"/>
  <c r="C933" i="16"/>
  <c r="E933" i="16"/>
  <c r="G933" i="16"/>
  <c r="I933" i="16"/>
  <c r="B934" i="16"/>
  <c r="U877" i="16"/>
  <c r="S877" i="16"/>
  <c r="D878" i="16"/>
  <c r="J878" i="16"/>
  <c r="P878" i="16"/>
  <c r="Q878" i="16"/>
  <c r="R878" i="16"/>
  <c r="T878" i="16"/>
  <c r="L879" i="16"/>
  <c r="C879" i="16"/>
  <c r="K879" i="16" s="1"/>
  <c r="E879" i="16"/>
  <c r="F879" i="16"/>
  <c r="O879" i="16" s="1"/>
  <c r="G879" i="16"/>
  <c r="I879" i="16"/>
  <c r="B880" i="16"/>
  <c r="M824" i="16"/>
  <c r="D824" i="16"/>
  <c r="J824" i="16"/>
  <c r="N824" i="16" s="1"/>
  <c r="P824" i="16"/>
  <c r="Q824" i="16"/>
  <c r="R824" i="16"/>
  <c r="T824" i="16"/>
  <c r="L825" i="16"/>
  <c r="C825" i="16"/>
  <c r="K825" i="16" s="1"/>
  <c r="E825" i="16"/>
  <c r="F825" i="16"/>
  <c r="O825" i="16" s="1"/>
  <c r="G825" i="16"/>
  <c r="I825" i="16"/>
  <c r="B826" i="16"/>
  <c r="M770" i="16"/>
  <c r="D770" i="16"/>
  <c r="J770" i="16"/>
  <c r="N770" i="16" s="1"/>
  <c r="Q770" i="16"/>
  <c r="P770" i="16"/>
  <c r="R770" i="16"/>
  <c r="T770" i="16"/>
  <c r="L771" i="16"/>
  <c r="C771" i="16"/>
  <c r="K771" i="16" s="1"/>
  <c r="E771" i="16"/>
  <c r="F771" i="16"/>
  <c r="O771" i="16" s="1"/>
  <c r="G771" i="16"/>
  <c r="I771" i="16"/>
  <c r="B772" i="16"/>
  <c r="M716" i="16"/>
  <c r="D716" i="16"/>
  <c r="J716" i="16"/>
  <c r="N716" i="16" s="1"/>
  <c r="Q716" i="16"/>
  <c r="P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K663" i="16" s="1"/>
  <c r="E663" i="16"/>
  <c r="F663" i="16"/>
  <c r="O663" i="16" s="1"/>
  <c r="G663" i="16"/>
  <c r="I663" i="16"/>
  <c r="B664" i="16"/>
  <c r="U607" i="16"/>
  <c r="S607" i="16"/>
  <c r="D608" i="16"/>
  <c r="J608" i="16"/>
  <c r="Q608" i="16"/>
  <c r="P608" i="16"/>
  <c r="R608" i="16"/>
  <c r="T608" i="16"/>
  <c r="L609" i="16"/>
  <c r="C609" i="16"/>
  <c r="K609" i="16" s="1"/>
  <c r="E609" i="16"/>
  <c r="F609" i="16"/>
  <c r="O609" i="16" s="1"/>
  <c r="G609" i="16"/>
  <c r="I609" i="16"/>
  <c r="B610" i="16"/>
  <c r="S553" i="16"/>
  <c r="U553" i="16"/>
  <c r="M554" i="16"/>
  <c r="D554" i="16"/>
  <c r="J554" i="16"/>
  <c r="N554" i="16" s="1"/>
  <c r="P554" i="16"/>
  <c r="Q554" i="16"/>
  <c r="R554" i="16"/>
  <c r="T554" i="16"/>
  <c r="L555" i="16"/>
  <c r="C555" i="16"/>
  <c r="K555" i="16" s="1"/>
  <c r="E555" i="16"/>
  <c r="F555" i="16"/>
  <c r="O555" i="16" s="1"/>
  <c r="G555" i="16"/>
  <c r="I555" i="16"/>
  <c r="B556" i="16"/>
  <c r="U499" i="16"/>
  <c r="S499" i="16"/>
  <c r="M500" i="16"/>
  <c r="D500" i="16"/>
  <c r="J500" i="16"/>
  <c r="N500" i="16" s="1"/>
  <c r="P500" i="16"/>
  <c r="Q500" i="16"/>
  <c r="R500" i="16"/>
  <c r="T500" i="16"/>
  <c r="L501" i="16"/>
  <c r="C501" i="16"/>
  <c r="K501" i="16" s="1"/>
  <c r="E501" i="16"/>
  <c r="F501" i="16"/>
  <c r="O501" i="16" s="1"/>
  <c r="G501" i="16"/>
  <c r="I501" i="16"/>
  <c r="B502" i="16"/>
  <c r="M446" i="16"/>
  <c r="D446" i="16"/>
  <c r="J446" i="16"/>
  <c r="N446" i="16" s="1"/>
  <c r="P446" i="16"/>
  <c r="Q446" i="16"/>
  <c r="R446" i="16"/>
  <c r="T446" i="16"/>
  <c r="L447" i="16"/>
  <c r="C447" i="16"/>
  <c r="E447" i="16"/>
  <c r="G447" i="16"/>
  <c r="I447" i="16"/>
  <c r="B448" i="16"/>
  <c r="U391" i="16"/>
  <c r="S391" i="16"/>
  <c r="M392" i="16"/>
  <c r="D392" i="16"/>
  <c r="J392" i="16"/>
  <c r="N392" i="16" s="1"/>
  <c r="P392" i="16"/>
  <c r="Q392" i="16"/>
  <c r="R392" i="16"/>
  <c r="T392" i="16"/>
  <c r="L393" i="16"/>
  <c r="C393" i="16"/>
  <c r="E393" i="16"/>
  <c r="G393" i="16"/>
  <c r="I393" i="16"/>
  <c r="B394" i="16"/>
  <c r="P338" i="16"/>
  <c r="Q338" i="16"/>
  <c r="R338" i="16"/>
  <c r="T338" i="16"/>
  <c r="L339" i="16"/>
  <c r="G339" i="16"/>
  <c r="B340" i="16"/>
  <c r="I339" i="16"/>
  <c r="E339" i="16"/>
  <c r="C339" i="16"/>
  <c r="D338" i="16"/>
  <c r="J338" i="16"/>
  <c r="U283" i="16"/>
  <c r="S283" i="16"/>
  <c r="M284" i="16"/>
  <c r="D284" i="16"/>
  <c r="J284" i="16"/>
  <c r="N284" i="16" s="1"/>
  <c r="P284" i="16"/>
  <c r="Q284" i="16"/>
  <c r="R284" i="16"/>
  <c r="T284" i="16"/>
  <c r="L285" i="16"/>
  <c r="C285" i="16"/>
  <c r="K285" i="16" s="1"/>
  <c r="E285" i="16"/>
  <c r="F285" i="16"/>
  <c r="O285" i="16" s="1"/>
  <c r="G285" i="16"/>
  <c r="I285" i="16"/>
  <c r="B286" i="16"/>
  <c r="M230" i="16"/>
  <c r="D230" i="16"/>
  <c r="J230" i="16"/>
  <c r="N230" i="16" s="1"/>
  <c r="P230" i="16"/>
  <c r="Q230" i="16"/>
  <c r="R230" i="16"/>
  <c r="T230" i="16"/>
  <c r="L231" i="16"/>
  <c r="C231" i="16"/>
  <c r="E231" i="16"/>
  <c r="G231" i="16"/>
  <c r="I231" i="16"/>
  <c r="B232" i="16"/>
  <c r="U175" i="16"/>
  <c r="S175" i="16"/>
  <c r="M176" i="16"/>
  <c r="D176" i="16"/>
  <c r="J176" i="16"/>
  <c r="N176" i="16" s="1"/>
  <c r="P176" i="16"/>
  <c r="Q176" i="16"/>
  <c r="R176" i="16"/>
  <c r="T176" i="16"/>
  <c r="L177" i="16"/>
  <c r="C177" i="16"/>
  <c r="E177" i="16"/>
  <c r="G177" i="16"/>
  <c r="I177" i="16"/>
  <c r="B178" i="16"/>
  <c r="S121" i="16"/>
  <c r="U121" i="16"/>
  <c r="M122" i="16"/>
  <c r="D122" i="16"/>
  <c r="J122" i="16"/>
  <c r="N122" i="16" s="1"/>
  <c r="P122" i="16"/>
  <c r="Q122" i="16"/>
  <c r="R122" i="16"/>
  <c r="T122" i="16"/>
  <c r="L123" i="16"/>
  <c r="C123" i="16"/>
  <c r="K123" i="16" s="1"/>
  <c r="E123" i="16"/>
  <c r="F123" i="16"/>
  <c r="O123" i="16" s="1"/>
  <c r="G123" i="16"/>
  <c r="I123" i="16"/>
  <c r="B124" i="16"/>
  <c r="C93" i="7"/>
  <c r="G93" i="7" s="1"/>
  <c r="F59" i="5"/>
  <c r="G59" i="5"/>
  <c r="H59" i="5"/>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F60" i="5" s="1"/>
  <c r="Q60" i="4"/>
  <c r="G60" i="5" s="1"/>
  <c r="R60" i="4"/>
  <c r="H60" i="5" s="1"/>
  <c r="V60" i="4"/>
  <c r="T60" i="4"/>
  <c r="BF60" i="4"/>
  <c r="M60" i="4"/>
  <c r="C61" i="4"/>
  <c r="E61" i="4"/>
  <c r="F61" i="4"/>
  <c r="C61" i="5" s="1"/>
  <c r="E61" i="5" s="1"/>
  <c r="G61" i="4"/>
  <c r="K61" i="4"/>
  <c r="B61" i="5"/>
  <c r="I61" i="4"/>
  <c r="L61" i="4"/>
  <c r="B62" i="4"/>
  <c r="U59" i="4"/>
  <c r="S59" i="4"/>
  <c r="U3792" i="16"/>
  <c r="S3792" i="16"/>
  <c r="S3468" i="16"/>
  <c r="U3468" i="16"/>
  <c r="U3414" i="16"/>
  <c r="S3414" i="16"/>
  <c r="U3252" i="16"/>
  <c r="S3252" i="16"/>
  <c r="U3198" i="16"/>
  <c r="S3198" i="16"/>
  <c r="U2604" i="16"/>
  <c r="S2604" i="16"/>
  <c r="U2442" i="16"/>
  <c r="S2442" i="16"/>
  <c r="U2388" i="16"/>
  <c r="S2388" i="16"/>
  <c r="U2226" i="16"/>
  <c r="S2226" i="16"/>
  <c r="S1902" i="16"/>
  <c r="U1902" i="16"/>
  <c r="U1848" i="16"/>
  <c r="S1848" i="16"/>
  <c r="U1632" i="16"/>
  <c r="S1632" i="16"/>
  <c r="U1578" i="16"/>
  <c r="S1578" i="16"/>
  <c r="U1524" i="16"/>
  <c r="S1524" i="16"/>
  <c r="U1416" i="16"/>
  <c r="S1416" i="16"/>
  <c r="U1308" i="16"/>
  <c r="S1308" i="16"/>
  <c r="S1255" i="16"/>
  <c r="U1255" i="16"/>
  <c r="U768" i="16"/>
  <c r="S768" i="16"/>
  <c r="U498" i="16"/>
  <c r="S498" i="16"/>
  <c r="U336" i="16"/>
  <c r="S336" i="16"/>
  <c r="U228" i="16"/>
  <c r="S228" i="16"/>
  <c r="M4609" i="16"/>
  <c r="N4609" i="16"/>
  <c r="M4555" i="16"/>
  <c r="N4555" i="16"/>
  <c r="M3793" i="16"/>
  <c r="N3793" i="16"/>
  <c r="M3739" i="16"/>
  <c r="N3739" i="16"/>
  <c r="M3469" i="16"/>
  <c r="N3469" i="16"/>
  <c r="N3199" i="16"/>
  <c r="M3199" i="16"/>
  <c r="N3145" i="16"/>
  <c r="M3145" i="16"/>
  <c r="M2929" i="16"/>
  <c r="N2929" i="16"/>
  <c r="M2875" i="16"/>
  <c r="N2875" i="16"/>
  <c r="M2389" i="16"/>
  <c r="N2389" i="16"/>
  <c r="M2335" i="16"/>
  <c r="N2335" i="16"/>
  <c r="M2227" i="16"/>
  <c r="N2227" i="16"/>
  <c r="M2119" i="16"/>
  <c r="N2119" i="16"/>
  <c r="M2065" i="16"/>
  <c r="N2065" i="16"/>
  <c r="M1579" i="16"/>
  <c r="N1579" i="16"/>
  <c r="M1525" i="16"/>
  <c r="N1525" i="16"/>
  <c r="N1417" i="16"/>
  <c r="M1417" i="16"/>
  <c r="N1363" i="16"/>
  <c r="M1363" i="16"/>
  <c r="N1309" i="16"/>
  <c r="M1309" i="16"/>
  <c r="M1039" i="16"/>
  <c r="N1039" i="16"/>
  <c r="M823" i="16"/>
  <c r="N823" i="16"/>
  <c r="N769" i="16"/>
  <c r="M769" i="16"/>
  <c r="M715" i="16"/>
  <c r="N715" i="16"/>
  <c r="M445" i="16"/>
  <c r="N445" i="16"/>
  <c r="N337" i="16"/>
  <c r="M337" i="16"/>
  <c r="M229" i="16"/>
  <c r="N229" i="16"/>
  <c r="D4664" i="16"/>
  <c r="F4664" i="16"/>
  <c r="O4664" i="16" s="1"/>
  <c r="F4610" i="16"/>
  <c r="K4610" i="16"/>
  <c r="F3794" i="16"/>
  <c r="O3794" i="16" s="1"/>
  <c r="K3794" i="16"/>
  <c r="F3686" i="16"/>
  <c r="O3686" i="16" s="1"/>
  <c r="K3686" i="16"/>
  <c r="K3524" i="16"/>
  <c r="F3524" i="16"/>
  <c r="O3524" i="16" s="1"/>
  <c r="K3470" i="16"/>
  <c r="F3470" i="16"/>
  <c r="O3470" i="16" s="1"/>
  <c r="K3308" i="16"/>
  <c r="F3308" i="16"/>
  <c r="O3308" i="16" s="1"/>
  <c r="F3254" i="16"/>
  <c r="O3254" i="16" s="1"/>
  <c r="K3254" i="16"/>
  <c r="K2984" i="16"/>
  <c r="F2984" i="16"/>
  <c r="O2984" i="16" s="1"/>
  <c r="K2714" i="16"/>
  <c r="F2714" i="16"/>
  <c r="O2714" i="16" s="1"/>
  <c r="F2498" i="16"/>
  <c r="O2498" i="16" s="1"/>
  <c r="K2498" i="16"/>
  <c r="K2444" i="16"/>
  <c r="F2444" i="16"/>
  <c r="O2444" i="16" s="1"/>
  <c r="F2228" i="16"/>
  <c r="O2228" i="16" s="1"/>
  <c r="K2228" i="16"/>
  <c r="F2174" i="16"/>
  <c r="O2174" i="16" s="1"/>
  <c r="K2174" i="16"/>
  <c r="K1904" i="16"/>
  <c r="F1904" i="16"/>
  <c r="O1904" i="16" s="1"/>
  <c r="F1688" i="16"/>
  <c r="O1688" i="16" s="1"/>
  <c r="K1688" i="16"/>
  <c r="K1634" i="16"/>
  <c r="F1634" i="16"/>
  <c r="O1634" i="16" s="1"/>
  <c r="K1364" i="16"/>
  <c r="F1364" i="16"/>
  <c r="O1364" i="16" s="1"/>
  <c r="F1310" i="16"/>
  <c r="O1310" i="16" s="1"/>
  <c r="K1310" i="16"/>
  <c r="K1148" i="16"/>
  <c r="F1148" i="16"/>
  <c r="O1148" i="16" s="1"/>
  <c r="K1094" i="16"/>
  <c r="F1094" i="16"/>
  <c r="O1094" i="16" s="1"/>
  <c r="F878" i="16"/>
  <c r="O878" i="16" s="1"/>
  <c r="K878" i="16"/>
  <c r="K608" i="16"/>
  <c r="F608" i="16"/>
  <c r="O608" i="16" s="1"/>
  <c r="K338" i="16"/>
  <c r="F338" i="16"/>
  <c r="O338" i="16" s="1"/>
  <c r="K2445" i="16" l="1"/>
  <c r="F2445" i="16"/>
  <c r="O2445" i="16" s="1"/>
  <c r="K1959" i="16"/>
  <c r="F1959" i="16"/>
  <c r="O1959" i="16" s="1"/>
  <c r="K1905" i="16"/>
  <c r="F1905" i="16"/>
  <c r="O1905" i="16" s="1"/>
  <c r="K1635" i="16"/>
  <c r="F1635" i="16"/>
  <c r="O1635" i="16" s="1"/>
  <c r="K1041" i="16"/>
  <c r="F1041" i="16"/>
  <c r="O1041" i="16" s="1"/>
  <c r="K393" i="16"/>
  <c r="F393" i="16"/>
  <c r="O393" i="16" s="1"/>
  <c r="S4718" i="16"/>
  <c r="U4718" i="16"/>
  <c r="D4719" i="16"/>
  <c r="J4719" i="16"/>
  <c r="P4719" i="16"/>
  <c r="Q4719" i="16"/>
  <c r="R4719" i="16"/>
  <c r="L4720" i="16"/>
  <c r="C4720" i="16"/>
  <c r="E4720" i="16"/>
  <c r="G4720" i="16"/>
  <c r="I4720" i="16"/>
  <c r="B4721" i="16"/>
  <c r="P4665" i="16"/>
  <c r="Q4665" i="16"/>
  <c r="R4665" i="16"/>
  <c r="C4666" i="16"/>
  <c r="D4666" i="16" s="1"/>
  <c r="E4666" i="16"/>
  <c r="F4666" i="16"/>
  <c r="O4666" i="16" s="1"/>
  <c r="G4666" i="16"/>
  <c r="B4667" i="16"/>
  <c r="M4611" i="16"/>
  <c r="D4611" i="16"/>
  <c r="J4611" i="16"/>
  <c r="N4611" i="16" s="1"/>
  <c r="P4611" i="16"/>
  <c r="Q4611" i="16"/>
  <c r="R4611" i="16"/>
  <c r="L4612" i="16"/>
  <c r="C4612" i="16"/>
  <c r="E4612" i="16"/>
  <c r="G4612" i="16"/>
  <c r="I4612" i="16"/>
  <c r="B4613" i="16"/>
  <c r="M4557" i="16"/>
  <c r="D4557" i="16"/>
  <c r="J4557" i="16"/>
  <c r="N4557" i="16" s="1"/>
  <c r="P4557" i="16"/>
  <c r="Q4557" i="16"/>
  <c r="R4557" i="16"/>
  <c r="L4558" i="16"/>
  <c r="C4558" i="16"/>
  <c r="E4558" i="16"/>
  <c r="G4558" i="16"/>
  <c r="I4558" i="16"/>
  <c r="B4559" i="16"/>
  <c r="U4256" i="16"/>
  <c r="S4256" i="16"/>
  <c r="D4257" i="16"/>
  <c r="J4257" i="16"/>
  <c r="P4257" i="16"/>
  <c r="Q4257" i="16"/>
  <c r="R4257" i="16"/>
  <c r="T4257" i="16"/>
  <c r="L4258" i="16"/>
  <c r="C4258" i="16"/>
  <c r="K4258" i="16" s="1"/>
  <c r="E4258" i="16"/>
  <c r="F4258" i="16"/>
  <c r="O4258" i="16" s="1"/>
  <c r="G4258" i="16"/>
  <c r="I4258" i="16"/>
  <c r="B4259" i="16"/>
  <c r="U4202" i="16"/>
  <c r="S4202" i="16"/>
  <c r="P4203" i="16"/>
  <c r="Q4203" i="16"/>
  <c r="R4203" i="16"/>
  <c r="T4203" i="16"/>
  <c r="E4204" i="16"/>
  <c r="G4204" i="16"/>
  <c r="C4204" i="16"/>
  <c r="I4204" i="16"/>
  <c r="L4204" i="16"/>
  <c r="B4205" i="16"/>
  <c r="D4203" i="16"/>
  <c r="J4203" i="16"/>
  <c r="N4203" i="16" s="1"/>
  <c r="M4203" i="16"/>
  <c r="U4148" i="16"/>
  <c r="S4148" i="16"/>
  <c r="M4149" i="16"/>
  <c r="E4150" i="16"/>
  <c r="L4150" i="16"/>
  <c r="B4151" i="16"/>
  <c r="C4150" i="16"/>
  <c r="F4150" i="16" s="1"/>
  <c r="O4150" i="16" s="1"/>
  <c r="G4150" i="16"/>
  <c r="I4150" i="16"/>
  <c r="K4150" i="16"/>
  <c r="D4149" i="16"/>
  <c r="J4149" i="16"/>
  <c r="N4149" i="16" s="1"/>
  <c r="P4149" i="16"/>
  <c r="Q4149" i="16"/>
  <c r="R4149" i="16"/>
  <c r="T4149" i="16"/>
  <c r="U4094" i="16"/>
  <c r="S4094" i="16"/>
  <c r="M4095" i="16"/>
  <c r="D4095" i="16"/>
  <c r="J4095" i="16"/>
  <c r="N4095" i="16" s="1"/>
  <c r="P4095" i="16"/>
  <c r="Q4095" i="16"/>
  <c r="R4095" i="16"/>
  <c r="T4095" i="16"/>
  <c r="L4096" i="16"/>
  <c r="C4096" i="16"/>
  <c r="K4096" i="16" s="1"/>
  <c r="E4096" i="16"/>
  <c r="F4096" i="16"/>
  <c r="O4096" i="16" s="1"/>
  <c r="G4096" i="16"/>
  <c r="I4096" i="16"/>
  <c r="B4097" i="16"/>
  <c r="D3795" i="16"/>
  <c r="J3795" i="16"/>
  <c r="P3795" i="16"/>
  <c r="Q3795" i="16"/>
  <c r="R3795" i="16"/>
  <c r="T3795" i="16"/>
  <c r="L3796" i="16"/>
  <c r="C3796" i="16"/>
  <c r="K3796" i="16" s="1"/>
  <c r="E3796" i="16"/>
  <c r="F3796" i="16"/>
  <c r="O3796" i="16" s="1"/>
  <c r="G3796" i="16"/>
  <c r="I3796" i="16"/>
  <c r="B3797" i="16"/>
  <c r="U3740" i="16"/>
  <c r="S3740" i="16"/>
  <c r="M3741" i="16"/>
  <c r="D3741" i="16"/>
  <c r="J3741" i="16"/>
  <c r="N3741" i="16" s="1"/>
  <c r="P3741" i="16"/>
  <c r="Q3741" i="16"/>
  <c r="R3741" i="16"/>
  <c r="T3741" i="16"/>
  <c r="L3742" i="16"/>
  <c r="C3742" i="16"/>
  <c r="E3742" i="16"/>
  <c r="G3742" i="16"/>
  <c r="I3742" i="16"/>
  <c r="B3743" i="16"/>
  <c r="D3687" i="16"/>
  <c r="J3687" i="16"/>
  <c r="P3687" i="16"/>
  <c r="Q3687" i="16"/>
  <c r="R3687" i="16"/>
  <c r="T3687" i="16"/>
  <c r="L3688" i="16"/>
  <c r="C3688" i="16"/>
  <c r="K3688" i="16" s="1"/>
  <c r="E3688" i="16"/>
  <c r="F3688" i="16"/>
  <c r="O3688" i="16" s="1"/>
  <c r="G3688" i="16"/>
  <c r="I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M3525" i="16"/>
  <c r="D3525" i="16"/>
  <c r="J3525" i="16"/>
  <c r="N3525" i="16" s="1"/>
  <c r="P3525" i="16"/>
  <c r="Q3525" i="16"/>
  <c r="R3525" i="16"/>
  <c r="T3525" i="16"/>
  <c r="L3526" i="16"/>
  <c r="C3526" i="16"/>
  <c r="K3526" i="16" s="1"/>
  <c r="E3526" i="16"/>
  <c r="F3526" i="16"/>
  <c r="O3526" i="16" s="1"/>
  <c r="G3526" i="16"/>
  <c r="I3526" i="16"/>
  <c r="B3527" i="16"/>
  <c r="P3471" i="16"/>
  <c r="Q3471" i="16"/>
  <c r="R3471" i="16"/>
  <c r="T3471" i="16"/>
  <c r="D3471" i="16"/>
  <c r="J3471" i="16"/>
  <c r="L3472" i="16"/>
  <c r="G3472" i="16"/>
  <c r="B3473" i="16"/>
  <c r="C3472" i="16"/>
  <c r="E3472" i="16"/>
  <c r="I3472" i="16"/>
  <c r="U3416" i="16"/>
  <c r="S3416"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M3309" i="16"/>
  <c r="D3309" i="16"/>
  <c r="J3309" i="16"/>
  <c r="N3309" i="16" s="1"/>
  <c r="P3309" i="16"/>
  <c r="Q3309" i="16"/>
  <c r="R3309" i="16"/>
  <c r="T3309" i="16"/>
  <c r="L3310" i="16"/>
  <c r="C3310" i="16"/>
  <c r="K3310" i="16" s="1"/>
  <c r="E3310" i="16"/>
  <c r="F3310" i="16"/>
  <c r="O3310" i="16" s="1"/>
  <c r="G3310" i="16"/>
  <c r="I3310" i="16"/>
  <c r="B3311" i="16"/>
  <c r="L3256" i="16"/>
  <c r="E3256" i="16"/>
  <c r="G3256" i="16"/>
  <c r="B3257" i="16"/>
  <c r="C3256" i="16"/>
  <c r="I3256" i="16"/>
  <c r="P3255" i="16"/>
  <c r="Q3255" i="16"/>
  <c r="R3255" i="16"/>
  <c r="T3255" i="16"/>
  <c r="J3255" i="16"/>
  <c r="D3255" i="16"/>
  <c r="U3200" i="16"/>
  <c r="S3200" i="16"/>
  <c r="M3201" i="16"/>
  <c r="J3201" i="16"/>
  <c r="N3201" i="16" s="1"/>
  <c r="D3201" i="16"/>
  <c r="P3201" i="16"/>
  <c r="Q3201" i="16"/>
  <c r="R3201" i="16"/>
  <c r="T3201" i="16"/>
  <c r="L3202" i="16"/>
  <c r="E3202" i="16"/>
  <c r="G3202" i="16"/>
  <c r="I3202" i="16"/>
  <c r="B3203" i="16"/>
  <c r="C3202" i="16"/>
  <c r="K3202" i="16" s="1"/>
  <c r="F3202" i="16"/>
  <c r="O3202" i="16" s="1"/>
  <c r="U3146" i="16"/>
  <c r="S3146" i="16"/>
  <c r="L3148" i="16"/>
  <c r="E3148" i="16"/>
  <c r="C3148" i="16"/>
  <c r="K3148" i="16" s="1"/>
  <c r="I3148" i="16"/>
  <c r="B3149" i="16"/>
  <c r="G3148" i="16"/>
  <c r="F3148" i="16"/>
  <c r="O3148" i="16" s="1"/>
  <c r="D3147" i="16"/>
  <c r="J3147" i="16"/>
  <c r="P3147" i="16"/>
  <c r="Q3147" i="16"/>
  <c r="R3147" i="16"/>
  <c r="T3147" i="16"/>
  <c r="U3092" i="16"/>
  <c r="S3092" i="16"/>
  <c r="P3093" i="16"/>
  <c r="Q3093" i="16"/>
  <c r="R3093" i="16"/>
  <c r="T3093" i="16"/>
  <c r="L3094" i="16"/>
  <c r="E3094" i="16"/>
  <c r="I3094" i="16"/>
  <c r="B3095" i="16"/>
  <c r="C3094" i="16"/>
  <c r="K3094" i="16" s="1"/>
  <c r="F3094" i="16"/>
  <c r="O3094" i="16" s="1"/>
  <c r="G3094" i="16"/>
  <c r="J3093" i="16"/>
  <c r="D3093" i="16"/>
  <c r="U3038" i="16"/>
  <c r="S3038" i="16"/>
  <c r="M3039" i="16"/>
  <c r="L3040" i="16"/>
  <c r="G3040" i="16"/>
  <c r="I3040" i="16"/>
  <c r="B3041" i="16"/>
  <c r="C3040" i="16"/>
  <c r="E3040" i="16"/>
  <c r="J3039" i="16"/>
  <c r="N3039" i="16" s="1"/>
  <c r="D3039" i="16"/>
  <c r="P3039" i="16"/>
  <c r="Q3039" i="16"/>
  <c r="R3039" i="16"/>
  <c r="T3039" i="16"/>
  <c r="M2985" i="16"/>
  <c r="D2985" i="16"/>
  <c r="J2985" i="16"/>
  <c r="N2985" i="16" s="1"/>
  <c r="P2985" i="16"/>
  <c r="Q2985" i="16"/>
  <c r="R2985" i="16"/>
  <c r="T2985" i="16"/>
  <c r="L2986" i="16"/>
  <c r="C2986" i="16"/>
  <c r="K2986" i="16" s="1"/>
  <c r="E2986" i="16"/>
  <c r="F2986" i="16"/>
  <c r="O2986" i="16" s="1"/>
  <c r="G2986" i="16"/>
  <c r="I2986" i="16"/>
  <c r="B2987" i="16"/>
  <c r="U2930" i="16"/>
  <c r="S2930" i="16"/>
  <c r="D2931" i="16"/>
  <c r="J2931" i="16"/>
  <c r="P2931" i="16"/>
  <c r="Q2931" i="16"/>
  <c r="R2931" i="16"/>
  <c r="T2931" i="16"/>
  <c r="L2932" i="16"/>
  <c r="C2932" i="16"/>
  <c r="E2932" i="16"/>
  <c r="G2932" i="16"/>
  <c r="I2932" i="16"/>
  <c r="B2933" i="16"/>
  <c r="U2876" i="16"/>
  <c r="S2876" i="16"/>
  <c r="D2877" i="16"/>
  <c r="J2877" i="16"/>
  <c r="P2877" i="16"/>
  <c r="Q2877" i="16"/>
  <c r="R2877" i="16"/>
  <c r="T2877" i="16"/>
  <c r="L2878" i="16"/>
  <c r="C2878" i="16"/>
  <c r="E2878" i="16"/>
  <c r="G2878" i="16"/>
  <c r="I2878" i="16"/>
  <c r="B2879" i="16"/>
  <c r="M2823" i="16"/>
  <c r="D2823" i="16"/>
  <c r="J2823" i="16"/>
  <c r="N2823" i="16" s="1"/>
  <c r="S2823" i="16" s="1"/>
  <c r="P2823" i="16"/>
  <c r="Q2823" i="16"/>
  <c r="R2823" i="16"/>
  <c r="T2823" i="16"/>
  <c r="U2823" i="16" s="1"/>
  <c r="L2824" i="16"/>
  <c r="C2824" i="16"/>
  <c r="K2824" i="16" s="1"/>
  <c r="E2824" i="16"/>
  <c r="F2824" i="16"/>
  <c r="O2824" i="16" s="1"/>
  <c r="G2824" i="16"/>
  <c r="I2824" i="16"/>
  <c r="B2825" i="16"/>
  <c r="S2768" i="16"/>
  <c r="U2768" i="16"/>
  <c r="M2769" i="16"/>
  <c r="D2769" i="16"/>
  <c r="J2769" i="16"/>
  <c r="N2769" i="16" s="1"/>
  <c r="P2769" i="16"/>
  <c r="Q2769" i="16"/>
  <c r="R2769" i="16"/>
  <c r="T2769" i="16"/>
  <c r="L2770" i="16"/>
  <c r="C2770" i="16"/>
  <c r="E2770" i="16"/>
  <c r="G2770" i="16"/>
  <c r="I2770" i="16"/>
  <c r="B2771" i="16"/>
  <c r="M2715" i="16"/>
  <c r="D2715" i="16"/>
  <c r="J2715" i="16"/>
  <c r="N2715" i="16" s="1"/>
  <c r="P2715" i="16"/>
  <c r="Q2715" i="16"/>
  <c r="R2715" i="16"/>
  <c r="T2715" i="16"/>
  <c r="L2716" i="16"/>
  <c r="C2716" i="16"/>
  <c r="E2716" i="16"/>
  <c r="G2716" i="16"/>
  <c r="I2716" i="16"/>
  <c r="B2717" i="16"/>
  <c r="U2660" i="16"/>
  <c r="S2660" i="16"/>
  <c r="D2661" i="16"/>
  <c r="J2661" i="16"/>
  <c r="P2661" i="16"/>
  <c r="Q2661" i="16"/>
  <c r="R2661" i="16"/>
  <c r="T2661" i="16"/>
  <c r="L2662" i="16"/>
  <c r="C2662" i="16"/>
  <c r="E2662" i="16"/>
  <c r="G2662" i="16"/>
  <c r="I2662" i="16"/>
  <c r="B2663" i="16"/>
  <c r="U2606" i="16"/>
  <c r="S2606" i="16"/>
  <c r="D2607" i="16"/>
  <c r="J2607" i="16"/>
  <c r="P2607" i="16"/>
  <c r="Q2607" i="16"/>
  <c r="R2607" i="16"/>
  <c r="T2607" i="16"/>
  <c r="L2608" i="16"/>
  <c r="C2608" i="16"/>
  <c r="E2608" i="16"/>
  <c r="G2608" i="16"/>
  <c r="I2608" i="16"/>
  <c r="B2609" i="16"/>
  <c r="S2552" i="16"/>
  <c r="U2552" i="16"/>
  <c r="M2553" i="16"/>
  <c r="D2553" i="16"/>
  <c r="J2553" i="16"/>
  <c r="N2553" i="16" s="1"/>
  <c r="P2553" i="16"/>
  <c r="Q2553" i="16"/>
  <c r="R2553" i="16"/>
  <c r="T2553" i="16"/>
  <c r="L2554" i="16"/>
  <c r="C2554" i="16"/>
  <c r="K2554" i="16" s="1"/>
  <c r="E2554" i="16"/>
  <c r="F2554" i="16"/>
  <c r="O2554" i="16" s="1"/>
  <c r="G2554" i="16"/>
  <c r="I2554" i="16"/>
  <c r="B2555" i="16"/>
  <c r="M2499" i="16"/>
  <c r="D2499" i="16"/>
  <c r="J2499" i="16"/>
  <c r="N2499" i="16" s="1"/>
  <c r="Q2499" i="16"/>
  <c r="P2499" i="16"/>
  <c r="R2499" i="16"/>
  <c r="T2499" i="16"/>
  <c r="L2500" i="16"/>
  <c r="C2500" i="16"/>
  <c r="K2500" i="16" s="1"/>
  <c r="E2500" i="16"/>
  <c r="F2500" i="16"/>
  <c r="O2500" i="16" s="1"/>
  <c r="G2500" i="16"/>
  <c r="I2500" i="16"/>
  <c r="B2501" i="16"/>
  <c r="M2445" i="16"/>
  <c r="D2445" i="16"/>
  <c r="J2445" i="16"/>
  <c r="N2445" i="16" s="1"/>
  <c r="Q2445" i="16"/>
  <c r="R2445" i="16"/>
  <c r="P2445" i="16"/>
  <c r="T2445" i="16"/>
  <c r="L2446" i="16"/>
  <c r="C2446" i="16"/>
  <c r="E2446" i="16"/>
  <c r="G2446" i="16"/>
  <c r="I2446" i="16"/>
  <c r="B2447" i="16"/>
  <c r="U2390" i="16"/>
  <c r="S2390" i="16"/>
  <c r="D2391" i="16"/>
  <c r="J2391" i="16"/>
  <c r="Q2391" i="16"/>
  <c r="P2391" i="16"/>
  <c r="R2391" i="16"/>
  <c r="T2391" i="16"/>
  <c r="L2392" i="16"/>
  <c r="C2392" i="16"/>
  <c r="K2392" i="16" s="1"/>
  <c r="E2392" i="16"/>
  <c r="F2392" i="16"/>
  <c r="O2392" i="16" s="1"/>
  <c r="G2392" i="16"/>
  <c r="I2392" i="16"/>
  <c r="B2393" i="16"/>
  <c r="S2336" i="16"/>
  <c r="U2336" i="16"/>
  <c r="M2337" i="16"/>
  <c r="D2337" i="16"/>
  <c r="J2337" i="16"/>
  <c r="N2337" i="16" s="1"/>
  <c r="Q2337" i="16"/>
  <c r="P2337" i="16"/>
  <c r="R2337" i="16"/>
  <c r="T2337" i="16"/>
  <c r="L2338" i="16"/>
  <c r="C2338" i="16"/>
  <c r="K2338" i="16" s="1"/>
  <c r="E2338" i="16"/>
  <c r="F2338" i="16"/>
  <c r="O2338" i="16" s="1"/>
  <c r="G2338" i="16"/>
  <c r="I2338" i="16"/>
  <c r="B2339" i="16"/>
  <c r="U2282" i="16"/>
  <c r="S2282" i="16"/>
  <c r="M2283" i="16"/>
  <c r="D2283" i="16"/>
  <c r="J2283" i="16"/>
  <c r="N2283" i="16" s="1"/>
  <c r="P2283" i="16"/>
  <c r="Q2283" i="16"/>
  <c r="R2283" i="16"/>
  <c r="T2283" i="16"/>
  <c r="L2284" i="16"/>
  <c r="C2284" i="16"/>
  <c r="K2284" i="16" s="1"/>
  <c r="E2284" i="16"/>
  <c r="F2284" i="16"/>
  <c r="O2284" i="16" s="1"/>
  <c r="G2284" i="16"/>
  <c r="I2284" i="16"/>
  <c r="B2285" i="16"/>
  <c r="M2229" i="16"/>
  <c r="L2230" i="16"/>
  <c r="C2230" i="16"/>
  <c r="E2230" i="16"/>
  <c r="G2230" i="16"/>
  <c r="I2230" i="16"/>
  <c r="B2231" i="16"/>
  <c r="J2229" i="16"/>
  <c r="N2229" i="16" s="1"/>
  <c r="D2229" i="16"/>
  <c r="P2229" i="16"/>
  <c r="Q2229" i="16"/>
  <c r="R2229" i="16"/>
  <c r="T2229" i="16"/>
  <c r="M2175" i="16"/>
  <c r="D2175" i="16"/>
  <c r="J2175" i="16"/>
  <c r="N2175" i="16" s="1"/>
  <c r="P2175" i="16"/>
  <c r="Q2175" i="16"/>
  <c r="R2175" i="16"/>
  <c r="T2175" i="16"/>
  <c r="L2176" i="16"/>
  <c r="C2176" i="16"/>
  <c r="K2176" i="16" s="1"/>
  <c r="E2176" i="16"/>
  <c r="F2176" i="16"/>
  <c r="O2176" i="16" s="1"/>
  <c r="G2176" i="16"/>
  <c r="B2177" i="16"/>
  <c r="I2176" i="16"/>
  <c r="S2120" i="16"/>
  <c r="U2120" i="16"/>
  <c r="M2121" i="16"/>
  <c r="D2121" i="16"/>
  <c r="J2121" i="16"/>
  <c r="N2121" i="16" s="1"/>
  <c r="Q2121" i="16"/>
  <c r="P2121" i="16"/>
  <c r="R2121" i="16"/>
  <c r="T2121" i="16"/>
  <c r="L2122" i="16"/>
  <c r="C2122" i="16"/>
  <c r="K2122" i="16" s="1"/>
  <c r="E2122" i="16"/>
  <c r="F2122" i="16"/>
  <c r="O2122" i="16" s="1"/>
  <c r="G2122" i="16"/>
  <c r="B2123" i="16"/>
  <c r="I2122" i="16"/>
  <c r="U2066" i="16"/>
  <c r="S2066" i="16"/>
  <c r="M2067" i="16"/>
  <c r="D2067" i="16"/>
  <c r="J2067" i="16"/>
  <c r="N2067" i="16" s="1"/>
  <c r="P2067" i="16"/>
  <c r="Q2067" i="16"/>
  <c r="R2067" i="16"/>
  <c r="T2067" i="16"/>
  <c r="L2068" i="16"/>
  <c r="C2068" i="16"/>
  <c r="K2068" i="16" s="1"/>
  <c r="E2068" i="16"/>
  <c r="F2068" i="16"/>
  <c r="O2068" i="16" s="1"/>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U1958" i="16"/>
  <c r="S1958" i="16"/>
  <c r="M1959" i="16"/>
  <c r="D1959" i="16"/>
  <c r="J1959" i="16"/>
  <c r="N1959" i="16" s="1"/>
  <c r="P1959" i="16"/>
  <c r="Q1959" i="16"/>
  <c r="R1959" i="16"/>
  <c r="T1959" i="16"/>
  <c r="L1960" i="16"/>
  <c r="C1960" i="16"/>
  <c r="K1960" i="16" s="1"/>
  <c r="E1960" i="16"/>
  <c r="F1960" i="16"/>
  <c r="O1960" i="16" s="1"/>
  <c r="G1960" i="16"/>
  <c r="I1960" i="16"/>
  <c r="B1961" i="16"/>
  <c r="M1905" i="16"/>
  <c r="D1905" i="16"/>
  <c r="J1905" i="16"/>
  <c r="N1905" i="16" s="1"/>
  <c r="P1905" i="16"/>
  <c r="Q1905" i="16"/>
  <c r="R1905" i="16"/>
  <c r="T1905" i="16"/>
  <c r="L1906" i="16"/>
  <c r="C1906" i="16"/>
  <c r="K1906" i="16" s="1"/>
  <c r="E1906" i="16"/>
  <c r="F1906" i="16"/>
  <c r="O1906" i="16" s="1"/>
  <c r="G1906" i="16"/>
  <c r="I1906" i="16"/>
  <c r="B1907" i="16"/>
  <c r="U1850" i="16"/>
  <c r="S1850" i="16"/>
  <c r="D1851" i="16"/>
  <c r="J1851" i="16"/>
  <c r="P1851" i="16"/>
  <c r="Q1851" i="16"/>
  <c r="R1851" i="16"/>
  <c r="T1851" i="16"/>
  <c r="L1852" i="16"/>
  <c r="C1852" i="16"/>
  <c r="E1852" i="16"/>
  <c r="G1852" i="16"/>
  <c r="I1852" i="16"/>
  <c r="B1853" i="16"/>
  <c r="U1796" i="16"/>
  <c r="S1796" i="16"/>
  <c r="D1797" i="16"/>
  <c r="J1797" i="16"/>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M1689" i="16"/>
  <c r="D1689" i="16"/>
  <c r="J1689" i="16"/>
  <c r="N1689" i="16" s="1"/>
  <c r="P1689" i="16"/>
  <c r="Q1689" i="16"/>
  <c r="R1689" i="16"/>
  <c r="T1689" i="16"/>
  <c r="L1690" i="16"/>
  <c r="C1690" i="16"/>
  <c r="E1690" i="16"/>
  <c r="G1690" i="16"/>
  <c r="I1690" i="16"/>
  <c r="B1691" i="16"/>
  <c r="M1635" i="16"/>
  <c r="D1635" i="16"/>
  <c r="J1635" i="16"/>
  <c r="N1635" i="16" s="1"/>
  <c r="P1635" i="16"/>
  <c r="Q1635" i="16"/>
  <c r="R1635" i="16"/>
  <c r="T1635" i="16"/>
  <c r="L1636" i="16"/>
  <c r="C1636" i="16"/>
  <c r="E1636" i="16"/>
  <c r="G1636" i="16"/>
  <c r="I1636" i="16"/>
  <c r="B1637" i="16"/>
  <c r="U1580" i="16"/>
  <c r="S1580" i="16"/>
  <c r="D1581" i="16"/>
  <c r="J1581" i="16"/>
  <c r="P1581" i="16"/>
  <c r="Q1581" i="16"/>
  <c r="R1581" i="16"/>
  <c r="T1581" i="16"/>
  <c r="L1582" i="16"/>
  <c r="C1582" i="16"/>
  <c r="E1582" i="16"/>
  <c r="G1582" i="16"/>
  <c r="I1582" i="16"/>
  <c r="B1583" i="16"/>
  <c r="U1526" i="16"/>
  <c r="S1526" i="16"/>
  <c r="J1527" i="16"/>
  <c r="D1527" i="16"/>
  <c r="P1527" i="16"/>
  <c r="Q1527" i="16"/>
  <c r="R1527" i="16"/>
  <c r="T1527" i="16"/>
  <c r="L1528" i="16"/>
  <c r="I1528" i="16"/>
  <c r="B1529" i="16"/>
  <c r="C1528" i="16"/>
  <c r="K1528" i="16" s="1"/>
  <c r="E1528" i="16"/>
  <c r="F1528" i="16"/>
  <c r="O1528" i="16" s="1"/>
  <c r="G1528" i="16"/>
  <c r="U1472" i="16"/>
  <c r="S1472" i="16"/>
  <c r="M1473" i="16"/>
  <c r="D1473" i="16"/>
  <c r="J1473" i="16"/>
  <c r="N1473" i="16" s="1"/>
  <c r="P1473" i="16"/>
  <c r="Q1473" i="16"/>
  <c r="R1473" i="16"/>
  <c r="T1473" i="16"/>
  <c r="L1474" i="16"/>
  <c r="C1474" i="16"/>
  <c r="K1474" i="16" s="1"/>
  <c r="E1474" i="16"/>
  <c r="F1474" i="16"/>
  <c r="O1474" i="16" s="1"/>
  <c r="G1474" i="16"/>
  <c r="I1474" i="16"/>
  <c r="B1475" i="16"/>
  <c r="U1418" i="16"/>
  <c r="S1418" i="16"/>
  <c r="L1420" i="16"/>
  <c r="B1421" i="16"/>
  <c r="C1420" i="16"/>
  <c r="G1420" i="16"/>
  <c r="I1420" i="16"/>
  <c r="E1420" i="16"/>
  <c r="J1419" i="16"/>
  <c r="D1419" i="16"/>
  <c r="P1419" i="16"/>
  <c r="Q1419" i="16"/>
  <c r="R1419" i="16"/>
  <c r="T1419" i="16"/>
  <c r="M1365" i="16"/>
  <c r="L1366" i="16"/>
  <c r="E1366" i="16"/>
  <c r="G1366" i="16"/>
  <c r="I1366" i="16"/>
  <c r="C1366" i="16"/>
  <c r="B1367" i="16"/>
  <c r="D1365" i="16"/>
  <c r="J1365" i="16"/>
  <c r="N1365" i="16" s="1"/>
  <c r="P1365" i="16"/>
  <c r="Q1365" i="16"/>
  <c r="R1365" i="16"/>
  <c r="T1365" i="16"/>
  <c r="L1312" i="16"/>
  <c r="E1312" i="16"/>
  <c r="C1312" i="16"/>
  <c r="B1313" i="16"/>
  <c r="I1312" i="16"/>
  <c r="G1312" i="16"/>
  <c r="P1311" i="16"/>
  <c r="Q1311" i="16"/>
  <c r="R1311" i="16"/>
  <c r="T1311" i="16"/>
  <c r="D1311" i="16"/>
  <c r="J1311" i="16"/>
  <c r="S1257" i="16"/>
  <c r="U1257" i="16"/>
  <c r="J1258" i="16"/>
  <c r="D1258" i="16"/>
  <c r="P1258" i="16"/>
  <c r="Q1258" i="16"/>
  <c r="R1258" i="16"/>
  <c r="T1258" i="16"/>
  <c r="L1259" i="16"/>
  <c r="E1259" i="16"/>
  <c r="I1259" i="16"/>
  <c r="C1259" i="16"/>
  <c r="G1259" i="16"/>
  <c r="B1260" i="16"/>
  <c r="U1202" i="16"/>
  <c r="S1202" i="16"/>
  <c r="M1203" i="16"/>
  <c r="D1203" i="16"/>
  <c r="J1203" i="16"/>
  <c r="N1203" i="16" s="1"/>
  <c r="P1203" i="16"/>
  <c r="Q1203" i="16"/>
  <c r="R1203" i="16"/>
  <c r="T1203" i="16"/>
  <c r="L1204" i="16"/>
  <c r="C1204" i="16"/>
  <c r="E1204" i="16"/>
  <c r="G1204" i="16"/>
  <c r="I1204" i="16"/>
  <c r="B1205" i="16"/>
  <c r="M1149" i="16"/>
  <c r="D1149" i="16"/>
  <c r="J1149" i="16"/>
  <c r="N1149" i="16" s="1"/>
  <c r="P1149" i="16"/>
  <c r="Q1149" i="16"/>
  <c r="R1149" i="16"/>
  <c r="T1149" i="16"/>
  <c r="L1150" i="16"/>
  <c r="C1150" i="16"/>
  <c r="K1150" i="16" s="1"/>
  <c r="E1150" i="16"/>
  <c r="F1150" i="16"/>
  <c r="O1150" i="16" s="1"/>
  <c r="G1150" i="16"/>
  <c r="I1150" i="16"/>
  <c r="B1151" i="16"/>
  <c r="M1095" i="16"/>
  <c r="D1095" i="16"/>
  <c r="J1095" i="16"/>
  <c r="N1095" i="16" s="1"/>
  <c r="P1095" i="16"/>
  <c r="Q1095" i="16"/>
  <c r="R1095" i="16"/>
  <c r="T1095" i="16"/>
  <c r="L1096" i="16"/>
  <c r="C1096" i="16"/>
  <c r="K1096" i="16" s="1"/>
  <c r="E1096" i="16"/>
  <c r="F1096" i="16"/>
  <c r="O1096" i="16" s="1"/>
  <c r="G1096" i="16"/>
  <c r="I1096" i="16"/>
  <c r="B1097" i="16"/>
  <c r="U1040" i="16"/>
  <c r="S1040" i="16"/>
  <c r="M1041" i="16"/>
  <c r="D1041" i="16"/>
  <c r="J1041" i="16"/>
  <c r="N1041" i="16" s="1"/>
  <c r="P1041" i="16"/>
  <c r="Q1041" i="16"/>
  <c r="R1041" i="16"/>
  <c r="T1041" i="16"/>
  <c r="L1042" i="16"/>
  <c r="C1042" i="16"/>
  <c r="E1042" i="16"/>
  <c r="G1042" i="16"/>
  <c r="I1042" i="16"/>
  <c r="B1043" i="16"/>
  <c r="U986" i="16"/>
  <c r="S986" i="16"/>
  <c r="D987" i="16"/>
  <c r="J987" i="16"/>
  <c r="P987" i="16"/>
  <c r="Q987" i="16"/>
  <c r="R987" i="16"/>
  <c r="T987" i="16"/>
  <c r="L988" i="16"/>
  <c r="E988" i="16"/>
  <c r="C988" i="16"/>
  <c r="G988" i="16"/>
  <c r="B989" i="16"/>
  <c r="I988" i="16"/>
  <c r="U932" i="16"/>
  <c r="S932" i="16"/>
  <c r="D933" i="16"/>
  <c r="J933" i="16"/>
  <c r="P933" i="16"/>
  <c r="Q933" i="16"/>
  <c r="R933" i="16"/>
  <c r="T933" i="16"/>
  <c r="L934" i="16"/>
  <c r="C934" i="16"/>
  <c r="E934" i="16"/>
  <c r="G934" i="16"/>
  <c r="I934" i="16"/>
  <c r="B935" i="16"/>
  <c r="M879" i="16"/>
  <c r="D879" i="16"/>
  <c r="J879" i="16"/>
  <c r="N879" i="16" s="1"/>
  <c r="P879" i="16"/>
  <c r="Q879" i="16"/>
  <c r="R879" i="16"/>
  <c r="T879" i="16"/>
  <c r="L880" i="16"/>
  <c r="C880" i="16"/>
  <c r="K880" i="16" s="1"/>
  <c r="E880" i="16"/>
  <c r="F880" i="16"/>
  <c r="O880" i="16" s="1"/>
  <c r="G880" i="16"/>
  <c r="I880" i="16"/>
  <c r="B881" i="16"/>
  <c r="U824" i="16"/>
  <c r="S824" i="16"/>
  <c r="M825" i="16"/>
  <c r="D825" i="16"/>
  <c r="J825" i="16"/>
  <c r="N825" i="16" s="1"/>
  <c r="Q825" i="16"/>
  <c r="P825" i="16"/>
  <c r="R825" i="16"/>
  <c r="T825" i="16"/>
  <c r="L826" i="16"/>
  <c r="C826" i="16"/>
  <c r="E826" i="16"/>
  <c r="G826" i="16"/>
  <c r="I826" i="16"/>
  <c r="B827" i="16"/>
  <c r="S770" i="16"/>
  <c r="U770" i="16"/>
  <c r="M771" i="16"/>
  <c r="D771" i="16"/>
  <c r="J771" i="16"/>
  <c r="N771" i="16" s="1"/>
  <c r="P771" i="16"/>
  <c r="Q771" i="16"/>
  <c r="R771" i="16"/>
  <c r="T771" i="16"/>
  <c r="L772" i="16"/>
  <c r="C772" i="16"/>
  <c r="E772" i="16"/>
  <c r="G772" i="16"/>
  <c r="I772" i="16"/>
  <c r="B773" i="16"/>
  <c r="U716" i="16"/>
  <c r="S716" i="16"/>
  <c r="M717" i="16"/>
  <c r="D717" i="16"/>
  <c r="J717" i="16"/>
  <c r="N717" i="16" s="1"/>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K664" i="16" s="1"/>
  <c r="E664" i="16"/>
  <c r="F664" i="16"/>
  <c r="O664" i="16" s="1"/>
  <c r="G664" i="16"/>
  <c r="I664" i="16"/>
  <c r="B665" i="16"/>
  <c r="M609" i="16"/>
  <c r="D609" i="16"/>
  <c r="J609" i="16"/>
  <c r="N609" i="16" s="1"/>
  <c r="Q609" i="16"/>
  <c r="P609" i="16"/>
  <c r="R609" i="16"/>
  <c r="T609" i="16"/>
  <c r="L610" i="16"/>
  <c r="C610" i="16"/>
  <c r="K610" i="16" s="1"/>
  <c r="E610" i="16"/>
  <c r="F610" i="16"/>
  <c r="O610" i="16" s="1"/>
  <c r="G610" i="16"/>
  <c r="I610" i="16"/>
  <c r="B611" i="16"/>
  <c r="S554" i="16"/>
  <c r="U554" i="16"/>
  <c r="M555" i="16"/>
  <c r="D555" i="16"/>
  <c r="J555" i="16"/>
  <c r="N555" i="16" s="1"/>
  <c r="P555" i="16"/>
  <c r="Q555" i="16"/>
  <c r="R555" i="16"/>
  <c r="T555" i="16"/>
  <c r="L556" i="16"/>
  <c r="C556" i="16"/>
  <c r="K556" i="16" s="1"/>
  <c r="E556" i="16"/>
  <c r="F556" i="16"/>
  <c r="O556" i="16" s="1"/>
  <c r="G556" i="16"/>
  <c r="I556" i="16"/>
  <c r="B557" i="16"/>
  <c r="U500" i="16"/>
  <c r="S500" i="16"/>
  <c r="M501" i="16"/>
  <c r="D501" i="16"/>
  <c r="J501" i="16"/>
  <c r="N501" i="16" s="1"/>
  <c r="P501" i="16"/>
  <c r="Q501" i="16"/>
  <c r="R501" i="16"/>
  <c r="T501" i="16"/>
  <c r="L502" i="16"/>
  <c r="C502" i="16"/>
  <c r="K502" i="16" s="1"/>
  <c r="E502" i="16"/>
  <c r="F502" i="16"/>
  <c r="O502" i="16" s="1"/>
  <c r="G502" i="16"/>
  <c r="I502" i="16"/>
  <c r="B503" i="16"/>
  <c r="U446" i="16"/>
  <c r="S446" i="16"/>
  <c r="D447" i="16"/>
  <c r="J447" i="16"/>
  <c r="P447" i="16"/>
  <c r="Q447" i="16"/>
  <c r="R447" i="16"/>
  <c r="T447" i="16"/>
  <c r="L448" i="16"/>
  <c r="C448" i="16"/>
  <c r="K448" i="16" s="1"/>
  <c r="E448" i="16"/>
  <c r="F448" i="16"/>
  <c r="O448" i="16" s="1"/>
  <c r="G448" i="16"/>
  <c r="I448" i="16"/>
  <c r="B449" i="16"/>
  <c r="U392" i="16"/>
  <c r="S392" i="16"/>
  <c r="M393" i="16"/>
  <c r="D393" i="16"/>
  <c r="J393" i="16"/>
  <c r="N393" i="16" s="1"/>
  <c r="P393" i="16"/>
  <c r="Q393" i="16"/>
  <c r="R393" i="16"/>
  <c r="T393" i="16"/>
  <c r="L394" i="16"/>
  <c r="C394" i="16"/>
  <c r="K394" i="16" s="1"/>
  <c r="E394" i="16"/>
  <c r="F394" i="16"/>
  <c r="O394" i="16" s="1"/>
  <c r="G394" i="16"/>
  <c r="I394" i="16"/>
  <c r="B395" i="16"/>
  <c r="P339" i="16"/>
  <c r="Q339" i="16"/>
  <c r="R339" i="16"/>
  <c r="T339" i="16"/>
  <c r="L340" i="16"/>
  <c r="I340" i="16"/>
  <c r="E340" i="16"/>
  <c r="B341" i="16"/>
  <c r="G340" i="16"/>
  <c r="C340" i="16"/>
  <c r="D339" i="16"/>
  <c r="J339" i="16"/>
  <c r="U284" i="16"/>
  <c r="S284" i="16"/>
  <c r="M285" i="16"/>
  <c r="D285" i="16"/>
  <c r="J285" i="16"/>
  <c r="N285" i="16" s="1"/>
  <c r="P285" i="16"/>
  <c r="Q285" i="16"/>
  <c r="R285" i="16"/>
  <c r="T285" i="16"/>
  <c r="L286" i="16"/>
  <c r="C286" i="16"/>
  <c r="K286" i="16" s="1"/>
  <c r="E286" i="16"/>
  <c r="F286" i="16"/>
  <c r="O286" i="16" s="1"/>
  <c r="G286" i="16"/>
  <c r="I286" i="16"/>
  <c r="B287" i="16"/>
  <c r="U230" i="16"/>
  <c r="S230" i="16"/>
  <c r="D231" i="16"/>
  <c r="J231" i="16"/>
  <c r="P231" i="16"/>
  <c r="Q231" i="16"/>
  <c r="R231" i="16"/>
  <c r="T231" i="16"/>
  <c r="L232" i="16"/>
  <c r="C232" i="16"/>
  <c r="K232" i="16" s="1"/>
  <c r="E232" i="16"/>
  <c r="F232" i="16"/>
  <c r="O232" i="16" s="1"/>
  <c r="G232" i="16"/>
  <c r="I232" i="16"/>
  <c r="B233" i="16"/>
  <c r="U176" i="16"/>
  <c r="S176" i="16"/>
  <c r="D177" i="16"/>
  <c r="J177" i="16"/>
  <c r="P177" i="16"/>
  <c r="Q177" i="16"/>
  <c r="R177" i="16"/>
  <c r="T177" i="16"/>
  <c r="L178" i="16"/>
  <c r="C178" i="16"/>
  <c r="K178" i="16" s="1"/>
  <c r="E178" i="16"/>
  <c r="F178" i="16"/>
  <c r="O178" i="16" s="1"/>
  <c r="G178" i="16"/>
  <c r="I178" i="16"/>
  <c r="B179" i="16"/>
  <c r="S122" i="16"/>
  <c r="U122" i="16"/>
  <c r="M123" i="16"/>
  <c r="D123" i="16"/>
  <c r="J123" i="16"/>
  <c r="N123" i="16" s="1"/>
  <c r="P123" i="16"/>
  <c r="Q123" i="16"/>
  <c r="R123" i="16"/>
  <c r="T123" i="16"/>
  <c r="L124" i="16"/>
  <c r="C124" i="16"/>
  <c r="K124" i="16" s="1"/>
  <c r="E124" i="16"/>
  <c r="F124" i="16"/>
  <c r="O124" i="16" s="1"/>
  <c r="G124" i="16"/>
  <c r="I124" i="16"/>
  <c r="B125" i="16"/>
  <c r="U60" i="4"/>
  <c r="C95" i="7" s="1"/>
  <c r="G95" i="7" s="1"/>
  <c r="S60" i="4"/>
  <c r="D61" i="4"/>
  <c r="J61" i="4"/>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V61" i="4"/>
  <c r="BF61" i="4"/>
  <c r="T61" i="4"/>
  <c r="N61" i="4"/>
  <c r="M61" i="4"/>
  <c r="C62" i="4"/>
  <c r="E62" i="4"/>
  <c r="F62" i="4"/>
  <c r="C62" i="5" s="1"/>
  <c r="E62" i="5" s="1"/>
  <c r="G62" i="4"/>
  <c r="K62" i="4"/>
  <c r="I62" i="4"/>
  <c r="B62" i="5"/>
  <c r="L62" i="4"/>
  <c r="B63" i="4"/>
  <c r="U3793" i="16"/>
  <c r="S3793" i="16"/>
  <c r="U3739" i="16"/>
  <c r="S3739" i="16"/>
  <c r="S3469" i="16"/>
  <c r="U3469" i="16"/>
  <c r="U3199" i="16"/>
  <c r="S3199" i="16"/>
  <c r="U3145" i="16"/>
  <c r="S3145" i="16"/>
  <c r="U2929" i="16"/>
  <c r="S2929" i="16"/>
  <c r="U2875" i="16"/>
  <c r="S2875" i="16"/>
  <c r="U2389" i="16"/>
  <c r="S2389" i="16"/>
  <c r="S2335" i="16"/>
  <c r="U2335" i="16"/>
  <c r="U2227" i="16"/>
  <c r="S2227" i="16"/>
  <c r="S2119" i="16"/>
  <c r="U2119" i="16"/>
  <c r="U2065" i="16"/>
  <c r="S2065" i="16"/>
  <c r="U1579" i="16"/>
  <c r="S1579" i="16"/>
  <c r="U1525" i="16"/>
  <c r="S1525" i="16"/>
  <c r="U1417" i="16"/>
  <c r="S1417" i="16"/>
  <c r="U1363" i="16"/>
  <c r="S1363" i="16"/>
  <c r="U1309" i="16"/>
  <c r="S1309" i="16"/>
  <c r="U1039" i="16"/>
  <c r="S1039" i="16"/>
  <c r="U823" i="16"/>
  <c r="S823" i="16"/>
  <c r="U769" i="16"/>
  <c r="S769" i="16"/>
  <c r="U715" i="16"/>
  <c r="S715" i="16"/>
  <c r="U445" i="16"/>
  <c r="S445" i="16"/>
  <c r="S337" i="16"/>
  <c r="U337" i="16"/>
  <c r="U229" i="16"/>
  <c r="S229" i="16"/>
  <c r="M4610" i="16"/>
  <c r="N4610" i="16"/>
  <c r="M3794" i="16"/>
  <c r="N3794" i="16"/>
  <c r="N3686" i="16"/>
  <c r="M3686" i="16"/>
  <c r="M3524" i="16"/>
  <c r="N3524" i="16"/>
  <c r="M3470" i="16"/>
  <c r="N3470" i="16"/>
  <c r="M3308" i="16"/>
  <c r="N3308" i="16"/>
  <c r="N3254" i="16"/>
  <c r="M3254" i="16"/>
  <c r="M2984" i="16"/>
  <c r="N2984" i="16"/>
  <c r="M2714" i="16"/>
  <c r="N2714" i="16"/>
  <c r="M2498" i="16"/>
  <c r="N2498" i="16"/>
  <c r="M2444" i="16"/>
  <c r="N2444" i="16"/>
  <c r="M2228" i="16"/>
  <c r="N2228" i="16"/>
  <c r="M2174" i="16"/>
  <c r="N2174" i="16"/>
  <c r="M1904" i="16"/>
  <c r="N1904" i="16"/>
  <c r="M1688" i="16"/>
  <c r="N1688" i="16"/>
  <c r="M1634" i="16"/>
  <c r="N1634" i="16"/>
  <c r="N1364" i="16"/>
  <c r="M1364" i="16"/>
  <c r="M1310" i="16"/>
  <c r="N1310" i="16"/>
  <c r="M1148" i="16"/>
  <c r="N1148" i="16"/>
  <c r="M1094" i="16"/>
  <c r="N1094" i="16"/>
  <c r="M878" i="16"/>
  <c r="N878" i="16"/>
  <c r="M608" i="16"/>
  <c r="N608" i="16"/>
  <c r="M338" i="16"/>
  <c r="N338" i="16"/>
  <c r="K4719" i="16"/>
  <c r="F4719" i="16"/>
  <c r="F4257" i="16"/>
  <c r="O4257" i="16" s="1"/>
  <c r="K4257" i="16"/>
  <c r="K3795" i="16"/>
  <c r="F3795" i="16"/>
  <c r="O3795" i="16" s="1"/>
  <c r="K3687" i="16"/>
  <c r="F3687" i="16"/>
  <c r="O3687" i="16" s="1"/>
  <c r="K3471" i="16"/>
  <c r="F3471" i="16"/>
  <c r="O3471" i="16" s="1"/>
  <c r="K3255" i="16"/>
  <c r="F3255" i="16"/>
  <c r="O3255" i="16" s="1"/>
  <c r="K3147" i="16"/>
  <c r="F3147" i="16"/>
  <c r="O3147" i="16" s="1"/>
  <c r="F3093" i="16"/>
  <c r="O3093" i="16" s="1"/>
  <c r="K3093" i="16"/>
  <c r="F2931" i="16"/>
  <c r="O2931" i="16" s="1"/>
  <c r="K2931" i="16"/>
  <c r="K2877" i="16"/>
  <c r="F2877" i="16"/>
  <c r="O2877" i="16" s="1"/>
  <c r="F2661" i="16"/>
  <c r="O2661" i="16" s="1"/>
  <c r="K2661" i="16"/>
  <c r="K2607" i="16"/>
  <c r="F2607" i="16"/>
  <c r="O2607" i="16" s="1"/>
  <c r="K2391" i="16"/>
  <c r="F2391" i="16"/>
  <c r="O2391" i="16" s="1"/>
  <c r="K1851" i="16"/>
  <c r="F1851" i="16"/>
  <c r="O1851" i="16" s="1"/>
  <c r="F1797" i="16"/>
  <c r="O1797" i="16" s="1"/>
  <c r="K1797" i="16"/>
  <c r="F1581" i="16"/>
  <c r="O1581" i="16" s="1"/>
  <c r="K1581" i="16"/>
  <c r="K1527" i="16"/>
  <c r="F1527" i="16"/>
  <c r="O1527" i="16" s="1"/>
  <c r="K1419" i="16"/>
  <c r="F1419" i="16"/>
  <c r="O1419" i="16" s="1"/>
  <c r="K1311" i="16"/>
  <c r="F1311" i="16"/>
  <c r="O1311" i="16" s="1"/>
  <c r="K1258" i="16"/>
  <c r="F1258" i="16"/>
  <c r="O1258" i="16" s="1"/>
  <c r="K987" i="16"/>
  <c r="F987" i="16"/>
  <c r="O987" i="16" s="1"/>
  <c r="F933" i="16"/>
  <c r="O933" i="16" s="1"/>
  <c r="K933" i="16"/>
  <c r="K447" i="16"/>
  <c r="F447" i="16"/>
  <c r="O447" i="16" s="1"/>
  <c r="K339" i="16"/>
  <c r="F339" i="16"/>
  <c r="O339" i="16" s="1"/>
  <c r="K231" i="16"/>
  <c r="F231" i="16"/>
  <c r="O231" i="16" s="1"/>
  <c r="F177" i="16"/>
  <c r="O177" i="16" s="1"/>
  <c r="K177" i="16"/>
  <c r="C94" i="7"/>
  <c r="G94" i="7" s="1"/>
  <c r="K4558" i="16" l="1"/>
  <c r="F4558" i="16"/>
  <c r="K3256" i="16"/>
  <c r="F3256" i="16"/>
  <c r="O3256" i="16" s="1"/>
  <c r="K2446" i="16"/>
  <c r="F2446" i="16"/>
  <c r="O2446" i="16" s="1"/>
  <c r="K2230" i="16"/>
  <c r="F2230" i="16"/>
  <c r="O2230" i="16" s="1"/>
  <c r="K1690" i="16"/>
  <c r="F1690" i="16"/>
  <c r="O1690" i="16" s="1"/>
  <c r="K1636" i="16"/>
  <c r="F1636" i="16"/>
  <c r="O1636" i="16" s="1"/>
  <c r="K1420" i="16"/>
  <c r="F1420" i="16"/>
  <c r="O1420" i="16" s="1"/>
  <c r="K1204" i="16"/>
  <c r="F1204" i="16"/>
  <c r="O1204" i="16" s="1"/>
  <c r="K772" i="16"/>
  <c r="F772" i="16"/>
  <c r="O772" i="16" s="1"/>
  <c r="T4718" i="16"/>
  <c r="U4719" i="16"/>
  <c r="D4720" i="16"/>
  <c r="J4720" i="16"/>
  <c r="P4720" i="16"/>
  <c r="Q4720" i="16"/>
  <c r="R4720" i="16"/>
  <c r="L4721" i="16"/>
  <c r="C4721" i="16"/>
  <c r="K4721" i="16" s="1"/>
  <c r="E4721" i="16"/>
  <c r="F4721" i="16"/>
  <c r="G4721" i="16"/>
  <c r="I4721" i="16"/>
  <c r="B4722" i="16"/>
  <c r="P4666" i="16"/>
  <c r="Q4666" i="16"/>
  <c r="R4666" i="16"/>
  <c r="C4667" i="16"/>
  <c r="E4667" i="16"/>
  <c r="G4667" i="16"/>
  <c r="B4668" i="16"/>
  <c r="D4612" i="16"/>
  <c r="J4612" i="16"/>
  <c r="P4612" i="16"/>
  <c r="Q4612" i="16"/>
  <c r="R4612" i="16"/>
  <c r="L4613" i="16"/>
  <c r="C4613" i="16"/>
  <c r="K4613" i="16" s="1"/>
  <c r="E4613" i="16"/>
  <c r="F4613" i="16"/>
  <c r="G4613" i="16"/>
  <c r="I4613" i="16"/>
  <c r="B4614" i="16"/>
  <c r="M4558" i="16"/>
  <c r="D4558" i="16"/>
  <c r="J4558" i="16"/>
  <c r="N4558" i="16" s="1"/>
  <c r="P4558" i="16"/>
  <c r="Q4558" i="16"/>
  <c r="R4558" i="16"/>
  <c r="L4559" i="16"/>
  <c r="C4559" i="16"/>
  <c r="K4559" i="16" s="1"/>
  <c r="E4559" i="16"/>
  <c r="F4559" i="16"/>
  <c r="G4559" i="16"/>
  <c r="I4559" i="16"/>
  <c r="B4560" i="16"/>
  <c r="M4258" i="16"/>
  <c r="D4258" i="16"/>
  <c r="J4258" i="16"/>
  <c r="N4258" i="16" s="1"/>
  <c r="P4258" i="16"/>
  <c r="Q4258" i="16"/>
  <c r="R4258" i="16"/>
  <c r="T4258" i="16"/>
  <c r="L4259" i="16"/>
  <c r="C4259" i="16"/>
  <c r="E4259" i="16"/>
  <c r="G4259" i="16"/>
  <c r="I4259" i="16"/>
  <c r="B4260" i="16"/>
  <c r="P4204" i="16"/>
  <c r="Q4204" i="16"/>
  <c r="R4204" i="16"/>
  <c r="T4204" i="16"/>
  <c r="D4204" i="16"/>
  <c r="J4204" i="16"/>
  <c r="I4205" i="16"/>
  <c r="C4205" i="16"/>
  <c r="K4205" i="16" s="1"/>
  <c r="E4205" i="16"/>
  <c r="F4205" i="16"/>
  <c r="O4205" i="16" s="1"/>
  <c r="G4205" i="16"/>
  <c r="L4205" i="16"/>
  <c r="B4206" i="16"/>
  <c r="U4203" i="16"/>
  <c r="S4203" i="16"/>
  <c r="U4149" i="16"/>
  <c r="S4149" i="16"/>
  <c r="I4151" i="16"/>
  <c r="B4152" i="16"/>
  <c r="C4151" i="16"/>
  <c r="K4151" i="16" s="1"/>
  <c r="E4151" i="16"/>
  <c r="F4151" i="16"/>
  <c r="O4151" i="16" s="1"/>
  <c r="G4151" i="16"/>
  <c r="L4151" i="16"/>
  <c r="D4150" i="16"/>
  <c r="J4150" i="16"/>
  <c r="N4150" i="16" s="1"/>
  <c r="P4150" i="16"/>
  <c r="Q4150" i="16"/>
  <c r="R4150" i="16"/>
  <c r="T4150" i="16"/>
  <c r="M4150" i="16"/>
  <c r="U4095" i="16"/>
  <c r="S4095" i="16"/>
  <c r="M4096" i="16"/>
  <c r="D4096" i="16"/>
  <c r="J4096" i="16"/>
  <c r="N4096" i="16" s="1"/>
  <c r="P4096" i="16"/>
  <c r="Q4096" i="16"/>
  <c r="R4096" i="16"/>
  <c r="T4096" i="16"/>
  <c r="C4097" i="16"/>
  <c r="E4097" i="16"/>
  <c r="F4097" i="16"/>
  <c r="O4097" i="16" s="1"/>
  <c r="G4097" i="16"/>
  <c r="I4097" i="16"/>
  <c r="K4097" i="16"/>
  <c r="L4097" i="16"/>
  <c r="B4098" i="16"/>
  <c r="M3796" i="16"/>
  <c r="D3796" i="16"/>
  <c r="J3796" i="16"/>
  <c r="N3796" i="16" s="1"/>
  <c r="P3796" i="16"/>
  <c r="Q3796" i="16"/>
  <c r="R3796" i="16"/>
  <c r="T3796" i="16"/>
  <c r="L3797" i="16"/>
  <c r="C3797" i="16"/>
  <c r="E3797" i="16"/>
  <c r="G3797" i="16"/>
  <c r="I3797" i="16"/>
  <c r="B3798" i="16"/>
  <c r="U3741" i="16"/>
  <c r="S3741" i="16"/>
  <c r="D3742" i="16"/>
  <c r="J3742" i="16"/>
  <c r="P3742" i="16"/>
  <c r="Q3742" i="16"/>
  <c r="R3742" i="16"/>
  <c r="T3742" i="16"/>
  <c r="L3743" i="16"/>
  <c r="C3743" i="16"/>
  <c r="E3743" i="16"/>
  <c r="G3743" i="16"/>
  <c r="I3743" i="16"/>
  <c r="B3744" i="16"/>
  <c r="M3688" i="16"/>
  <c r="D3688" i="16"/>
  <c r="J3688" i="16"/>
  <c r="N3688" i="16" s="1"/>
  <c r="P3688" i="16"/>
  <c r="Q3688" i="16"/>
  <c r="R3688" i="16"/>
  <c r="T3688" i="16"/>
  <c r="L3689" i="16"/>
  <c r="C3689" i="16"/>
  <c r="E3689" i="16"/>
  <c r="G3689" i="16"/>
  <c r="B3690" i="16"/>
  <c r="I3689"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M3526" i="16"/>
  <c r="D3526" i="16"/>
  <c r="J3526" i="16"/>
  <c r="N3526" i="16" s="1"/>
  <c r="P3526" i="16"/>
  <c r="Q3526" i="16"/>
  <c r="R3526" i="16"/>
  <c r="T3526" i="16"/>
  <c r="L3527" i="16"/>
  <c r="C3527" i="16"/>
  <c r="K3527" i="16" s="1"/>
  <c r="E3527" i="16"/>
  <c r="F3527" i="16"/>
  <c r="O3527" i="16" s="1"/>
  <c r="G3527" i="16"/>
  <c r="I3527" i="16"/>
  <c r="B3528" i="16"/>
  <c r="P3472" i="16"/>
  <c r="Q3472" i="16"/>
  <c r="R3472" i="16"/>
  <c r="T3472" i="16"/>
  <c r="L3473" i="16"/>
  <c r="C3473" i="16"/>
  <c r="K3473" i="16" s="1"/>
  <c r="E3473" i="16"/>
  <c r="F3473" i="16"/>
  <c r="O3473" i="16" s="1"/>
  <c r="G3473" i="16"/>
  <c r="I3473" i="16"/>
  <c r="B3474" i="16"/>
  <c r="D3472" i="16"/>
  <c r="J3472" i="16"/>
  <c r="U3417" i="16"/>
  <c r="S3417"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M3256" i="16"/>
  <c r="P3256" i="16"/>
  <c r="Q3256" i="16"/>
  <c r="R3256" i="16"/>
  <c r="T3256" i="16"/>
  <c r="L3257" i="16"/>
  <c r="G3257" i="16"/>
  <c r="I3257" i="16"/>
  <c r="B3258" i="16"/>
  <c r="C3257" i="16"/>
  <c r="E3257" i="16"/>
  <c r="J3256" i="16"/>
  <c r="N3256" i="16" s="1"/>
  <c r="D3256" i="16"/>
  <c r="U3201" i="16"/>
  <c r="S3201" i="16"/>
  <c r="M3202" i="16"/>
  <c r="P3202" i="16"/>
  <c r="Q3202" i="16"/>
  <c r="R3202" i="16"/>
  <c r="T3202" i="16"/>
  <c r="L3203" i="16"/>
  <c r="I3203" i="16"/>
  <c r="G3203" i="16"/>
  <c r="C3203" i="16"/>
  <c r="E3203" i="16"/>
  <c r="B3204" i="16"/>
  <c r="D3202" i="16"/>
  <c r="J3202" i="16"/>
  <c r="N3202" i="16" s="1"/>
  <c r="M3148" i="16"/>
  <c r="J3148" i="16"/>
  <c r="N3148" i="16" s="1"/>
  <c r="D3148" i="16"/>
  <c r="L3149" i="16"/>
  <c r="I3149" i="16"/>
  <c r="E3149" i="16"/>
  <c r="G3149" i="16"/>
  <c r="C3149" i="16"/>
  <c r="K3149" i="16" s="1"/>
  <c r="F3149" i="16"/>
  <c r="O3149" i="16" s="1"/>
  <c r="B3150" i="16"/>
  <c r="P3148" i="16"/>
  <c r="Q3148" i="16"/>
  <c r="R3148" i="16"/>
  <c r="T3148" i="16"/>
  <c r="M3094" i="16"/>
  <c r="L3095" i="16"/>
  <c r="E3095" i="16"/>
  <c r="G3095" i="16"/>
  <c r="C3095" i="16"/>
  <c r="I3095" i="16"/>
  <c r="B3096" i="16"/>
  <c r="D3094" i="16"/>
  <c r="J3094" i="16"/>
  <c r="N3094" i="16" s="1"/>
  <c r="P3094" i="16"/>
  <c r="R3094" i="16"/>
  <c r="Q3094" i="16"/>
  <c r="T3094" i="16"/>
  <c r="U3039" i="16"/>
  <c r="S3039" i="16"/>
  <c r="P3040" i="16"/>
  <c r="Q3040" i="16"/>
  <c r="R3040" i="16"/>
  <c r="T3040" i="16"/>
  <c r="L3041" i="16"/>
  <c r="E3041" i="16"/>
  <c r="C3041" i="16"/>
  <c r="K3041" i="16" s="1"/>
  <c r="G3041" i="16"/>
  <c r="I3041" i="16"/>
  <c r="B3042" i="16"/>
  <c r="F3041" i="16"/>
  <c r="O3041" i="16" s="1"/>
  <c r="J3040" i="16"/>
  <c r="D3040" i="16"/>
  <c r="U2985" i="16"/>
  <c r="S2985" i="16"/>
  <c r="M2986" i="16"/>
  <c r="D2986" i="16"/>
  <c r="J2986" i="16"/>
  <c r="N2986" i="16" s="1"/>
  <c r="P2986" i="16"/>
  <c r="Q2986" i="16"/>
  <c r="R2986" i="16"/>
  <c r="T2986" i="16"/>
  <c r="L2987" i="16"/>
  <c r="C2987" i="16"/>
  <c r="K2987" i="16" s="1"/>
  <c r="E2987" i="16"/>
  <c r="F2987" i="16"/>
  <c r="O2987" i="16" s="1"/>
  <c r="G2987" i="16"/>
  <c r="I2987" i="16"/>
  <c r="B2988" i="16"/>
  <c r="D2932" i="16"/>
  <c r="J2932" i="16"/>
  <c r="P2932" i="16"/>
  <c r="Q2932" i="16"/>
  <c r="R2932" i="16"/>
  <c r="T2932" i="16"/>
  <c r="L2933" i="16"/>
  <c r="C2933" i="16"/>
  <c r="K2933" i="16" s="1"/>
  <c r="E2933" i="16"/>
  <c r="F2933" i="16"/>
  <c r="O2933" i="16" s="1"/>
  <c r="G2933" i="16"/>
  <c r="I2933" i="16"/>
  <c r="B2934" i="16"/>
  <c r="D2878" i="16"/>
  <c r="J2878" i="16"/>
  <c r="P2878" i="16"/>
  <c r="Q2878" i="16"/>
  <c r="R2878" i="16"/>
  <c r="T2878" i="16"/>
  <c r="L2879" i="16"/>
  <c r="C2879" i="16"/>
  <c r="K2879" i="16" s="1"/>
  <c r="E2879" i="16"/>
  <c r="F2879" i="16"/>
  <c r="O2879" i="16" s="1"/>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S2769" i="16"/>
  <c r="U2769" i="16"/>
  <c r="D2770" i="16"/>
  <c r="J2770" i="16"/>
  <c r="P2770" i="16"/>
  <c r="Q2770" i="16"/>
  <c r="R2770" i="16"/>
  <c r="T2770" i="16"/>
  <c r="L2771" i="16"/>
  <c r="C2771" i="16"/>
  <c r="K2771" i="16" s="1"/>
  <c r="E2771" i="16"/>
  <c r="F2771" i="16"/>
  <c r="O2771" i="16" s="1"/>
  <c r="G2771" i="16"/>
  <c r="I2771" i="16"/>
  <c r="B2772" i="16"/>
  <c r="U2715" i="16"/>
  <c r="S2715" i="16"/>
  <c r="D2716" i="16"/>
  <c r="J2716" i="16"/>
  <c r="P2716" i="16"/>
  <c r="Q2716" i="16"/>
  <c r="R2716" i="16"/>
  <c r="T2716" i="16"/>
  <c r="L2717" i="16"/>
  <c r="C2717" i="16"/>
  <c r="K2717" i="16" s="1"/>
  <c r="E2717" i="16"/>
  <c r="F2717" i="16"/>
  <c r="O2717" i="16" s="1"/>
  <c r="G2717" i="16"/>
  <c r="I2717" i="16"/>
  <c r="B2718" i="16"/>
  <c r="D2662" i="16"/>
  <c r="J2662" i="16"/>
  <c r="P2662" i="16"/>
  <c r="Q2662" i="16"/>
  <c r="R2662" i="16"/>
  <c r="T2662" i="16"/>
  <c r="L2663" i="16"/>
  <c r="C2663" i="16"/>
  <c r="E2663" i="16"/>
  <c r="G2663" i="16"/>
  <c r="I2663" i="16"/>
  <c r="B2664" i="16"/>
  <c r="D2608" i="16"/>
  <c r="J2608" i="16"/>
  <c r="P2608" i="16"/>
  <c r="Q2608" i="16"/>
  <c r="R2608" i="16"/>
  <c r="T2608" i="16"/>
  <c r="L2609" i="16"/>
  <c r="C2609" i="16"/>
  <c r="K2609" i="16" s="1"/>
  <c r="E2609" i="16"/>
  <c r="F2609" i="16"/>
  <c r="O2609" i="16" s="1"/>
  <c r="G2609" i="16"/>
  <c r="I2609" i="16"/>
  <c r="B2610" i="16"/>
  <c r="S2553" i="16"/>
  <c r="U2553" i="16"/>
  <c r="M2554" i="16"/>
  <c r="D2554" i="16"/>
  <c r="J2554" i="16"/>
  <c r="N2554" i="16" s="1"/>
  <c r="P2554" i="16"/>
  <c r="Q2554" i="16"/>
  <c r="R2554" i="16"/>
  <c r="T2554" i="16"/>
  <c r="L2555" i="16"/>
  <c r="C2555" i="16"/>
  <c r="K2555" i="16" s="1"/>
  <c r="E2555" i="16"/>
  <c r="F2555" i="16"/>
  <c r="O2555" i="16" s="1"/>
  <c r="G2555" i="16"/>
  <c r="I2555" i="16"/>
  <c r="B2556" i="16"/>
  <c r="U2499" i="16"/>
  <c r="S2499" i="16"/>
  <c r="M2500" i="16"/>
  <c r="D2500" i="16"/>
  <c r="J2500" i="16"/>
  <c r="N2500" i="16" s="1"/>
  <c r="Q2500" i="16"/>
  <c r="P2500" i="16"/>
  <c r="R2500" i="16"/>
  <c r="T2500" i="16"/>
  <c r="L2501" i="16"/>
  <c r="C2501" i="16"/>
  <c r="K2501" i="16" s="1"/>
  <c r="E2501" i="16"/>
  <c r="F2501" i="16"/>
  <c r="O2501" i="16" s="1"/>
  <c r="G2501" i="16"/>
  <c r="I2501" i="16"/>
  <c r="B2502" i="16"/>
  <c r="U2445" i="16"/>
  <c r="S2445" i="16"/>
  <c r="M2446" i="16"/>
  <c r="D2446" i="16"/>
  <c r="J2446" i="16"/>
  <c r="N2446" i="16" s="1"/>
  <c r="Q2446" i="16"/>
  <c r="P2446" i="16"/>
  <c r="R2446" i="16"/>
  <c r="T2446" i="16"/>
  <c r="L2447" i="16"/>
  <c r="C2447" i="16"/>
  <c r="E2447" i="16"/>
  <c r="G2447" i="16"/>
  <c r="I2447" i="16"/>
  <c r="B2448" i="16"/>
  <c r="M2392" i="16"/>
  <c r="D2392" i="16"/>
  <c r="J2392" i="16"/>
  <c r="N2392" i="16" s="1"/>
  <c r="Q2392" i="16"/>
  <c r="P2392" i="16"/>
  <c r="R2392" i="16"/>
  <c r="T2392" i="16"/>
  <c r="L2393" i="16"/>
  <c r="C2393" i="16"/>
  <c r="E2393" i="16"/>
  <c r="G2393" i="16"/>
  <c r="I2393" i="16"/>
  <c r="B2394" i="16"/>
  <c r="S2337" i="16"/>
  <c r="U2337" i="16"/>
  <c r="M2338" i="16"/>
  <c r="D2338" i="16"/>
  <c r="J2338" i="16"/>
  <c r="N2338" i="16" s="1"/>
  <c r="Q2338" i="16"/>
  <c r="P2338" i="16"/>
  <c r="R2338" i="16"/>
  <c r="T2338" i="16"/>
  <c r="L2339" i="16"/>
  <c r="C2339" i="16"/>
  <c r="K2339" i="16" s="1"/>
  <c r="E2339" i="16"/>
  <c r="F2339" i="16"/>
  <c r="O2339" i="16" s="1"/>
  <c r="G2339" i="16"/>
  <c r="I2339" i="16"/>
  <c r="B2340"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E2231" i="16"/>
  <c r="G2231" i="16"/>
  <c r="B2232" i="16"/>
  <c r="C2231" i="16"/>
  <c r="I2231" i="16"/>
  <c r="U2175" i="16"/>
  <c r="S2175" i="16"/>
  <c r="M2176" i="16"/>
  <c r="D2176" i="16"/>
  <c r="J2176" i="16"/>
  <c r="N2176" i="16" s="1"/>
  <c r="P2176" i="16"/>
  <c r="Q2176" i="16"/>
  <c r="R2176" i="16"/>
  <c r="T2176" i="16"/>
  <c r="L2177" i="16"/>
  <c r="C2177" i="16"/>
  <c r="E2177" i="16"/>
  <c r="G2177" i="16"/>
  <c r="I2177" i="16"/>
  <c r="B2178" i="16"/>
  <c r="S2121" i="16"/>
  <c r="U2121" i="16"/>
  <c r="M2122" i="16"/>
  <c r="D2122" i="16"/>
  <c r="J2122" i="16"/>
  <c r="N2122" i="16" s="1"/>
  <c r="P2122" i="16"/>
  <c r="Q2122" i="16"/>
  <c r="R2122" i="16"/>
  <c r="T2122" i="16"/>
  <c r="L2123" i="16"/>
  <c r="C2123" i="16"/>
  <c r="K2123" i="16" s="1"/>
  <c r="E2123" i="16"/>
  <c r="F2123" i="16"/>
  <c r="O2123" i="16" s="1"/>
  <c r="G2123" i="16"/>
  <c r="I2123" i="16"/>
  <c r="B2124" i="16"/>
  <c r="U2067" i="16"/>
  <c r="S2067" i="16"/>
  <c r="M2068" i="16"/>
  <c r="D2068" i="16"/>
  <c r="J2068" i="16"/>
  <c r="N2068" i="16" s="1"/>
  <c r="P2068" i="16"/>
  <c r="Q2068" i="16"/>
  <c r="R2068" i="16"/>
  <c r="T2068" i="16"/>
  <c r="L2069" i="16"/>
  <c r="C2069" i="16"/>
  <c r="E2069" i="16"/>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U1959" i="16"/>
  <c r="S1959" i="16"/>
  <c r="M1960" i="16"/>
  <c r="D1960" i="16"/>
  <c r="J1960" i="16"/>
  <c r="N1960" i="16" s="1"/>
  <c r="P1960" i="16"/>
  <c r="Q1960" i="16"/>
  <c r="R1960" i="16"/>
  <c r="T1960" i="16"/>
  <c r="L1961" i="16"/>
  <c r="C1961" i="16"/>
  <c r="K1961" i="16" s="1"/>
  <c r="E1961" i="16"/>
  <c r="F1961" i="16"/>
  <c r="O1961" i="16" s="1"/>
  <c r="G1961" i="16"/>
  <c r="I1961" i="16"/>
  <c r="B1962" i="16"/>
  <c r="S1905" i="16"/>
  <c r="U1905" i="16"/>
  <c r="M1906" i="16"/>
  <c r="D1906" i="16"/>
  <c r="J1906" i="16"/>
  <c r="N1906" i="16" s="1"/>
  <c r="P1906" i="16"/>
  <c r="Q1906" i="16"/>
  <c r="R1906" i="16"/>
  <c r="T1906" i="16"/>
  <c r="L1907" i="16"/>
  <c r="C1907" i="16"/>
  <c r="E1907" i="16"/>
  <c r="G1907" i="16"/>
  <c r="I1907" i="16"/>
  <c r="B1908" i="16"/>
  <c r="D1852" i="16"/>
  <c r="J1852" i="16"/>
  <c r="P1852" i="16"/>
  <c r="Q1852" i="16"/>
  <c r="R1852" i="16"/>
  <c r="T1852" i="16"/>
  <c r="L1853" i="16"/>
  <c r="C1853" i="16"/>
  <c r="E1853" i="16"/>
  <c r="G1853" i="16"/>
  <c r="I1853" i="16"/>
  <c r="B1854" i="16"/>
  <c r="M1798" i="16"/>
  <c r="D1798" i="16"/>
  <c r="J1798" i="16"/>
  <c r="N1798" i="16" s="1"/>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S1689" i="16"/>
  <c r="U1689" i="16"/>
  <c r="M1690" i="16"/>
  <c r="D1690" i="16"/>
  <c r="J1690" i="16"/>
  <c r="N1690" i="16" s="1"/>
  <c r="P1690" i="16"/>
  <c r="Q1690" i="16"/>
  <c r="R1690" i="16"/>
  <c r="T1690" i="16"/>
  <c r="L1691" i="16"/>
  <c r="C1691" i="16"/>
  <c r="E1691" i="16"/>
  <c r="G1691" i="16"/>
  <c r="I1691" i="16"/>
  <c r="B1692" i="16"/>
  <c r="U1635" i="16"/>
  <c r="S1635" i="16"/>
  <c r="M1636" i="16"/>
  <c r="D1636" i="16"/>
  <c r="J1636" i="16"/>
  <c r="N1636" i="16" s="1"/>
  <c r="P1636" i="16"/>
  <c r="Q1636" i="16"/>
  <c r="R1636" i="16"/>
  <c r="T1636" i="16"/>
  <c r="L1637" i="16"/>
  <c r="C1637" i="16"/>
  <c r="E1637" i="16"/>
  <c r="G1637" i="16"/>
  <c r="I1637" i="16"/>
  <c r="B1638" i="16"/>
  <c r="D1582" i="16"/>
  <c r="J1582" i="16"/>
  <c r="P1582" i="16"/>
  <c r="Q1582" i="16"/>
  <c r="R1582" i="16"/>
  <c r="T1582" i="16"/>
  <c r="L1583" i="16"/>
  <c r="C1583" i="16"/>
  <c r="E1583" i="16"/>
  <c r="G1583" i="16"/>
  <c r="I1583" i="16"/>
  <c r="B1584" i="16"/>
  <c r="M1528" i="16"/>
  <c r="L1529" i="16"/>
  <c r="C1529" i="16"/>
  <c r="E1529" i="16"/>
  <c r="G1529" i="16"/>
  <c r="I1529" i="16"/>
  <c r="B1530" i="16"/>
  <c r="D1528" i="16"/>
  <c r="J1528" i="16"/>
  <c r="N1528" i="16" s="1"/>
  <c r="P1528" i="16"/>
  <c r="Q1528" i="16"/>
  <c r="R1528" i="16"/>
  <c r="T1528" i="16"/>
  <c r="U1473" i="16"/>
  <c r="S1473" i="16"/>
  <c r="M1474" i="16"/>
  <c r="D1474" i="16"/>
  <c r="J1474" i="16"/>
  <c r="N1474" i="16" s="1"/>
  <c r="P1474" i="16"/>
  <c r="Q1474" i="16"/>
  <c r="R1474" i="16"/>
  <c r="T1474" i="16"/>
  <c r="L1475" i="16"/>
  <c r="I1475" i="16"/>
  <c r="C1475" i="16"/>
  <c r="E1475" i="16"/>
  <c r="G1475" i="16"/>
  <c r="B1476" i="16"/>
  <c r="M1420" i="16"/>
  <c r="L1421" i="16"/>
  <c r="I1421" i="16"/>
  <c r="E1421" i="16"/>
  <c r="G1421" i="16"/>
  <c r="C1421" i="16"/>
  <c r="B1422" i="16"/>
  <c r="D1420" i="16"/>
  <c r="J1420" i="16"/>
  <c r="N1420" i="16" s="1"/>
  <c r="P1420" i="16"/>
  <c r="Q1420" i="16"/>
  <c r="R1420" i="16"/>
  <c r="T1420" i="16"/>
  <c r="U1365" i="16"/>
  <c r="S1365" i="16"/>
  <c r="Q1366" i="16"/>
  <c r="P1366" i="16"/>
  <c r="R1366" i="16"/>
  <c r="T1366" i="16"/>
  <c r="J1366" i="16"/>
  <c r="D1366" i="16"/>
  <c r="L1367" i="16"/>
  <c r="E1367" i="16"/>
  <c r="G1367" i="16"/>
  <c r="I1367" i="16"/>
  <c r="C1367" i="16"/>
  <c r="B1368" i="16"/>
  <c r="D1312" i="16"/>
  <c r="J1312" i="16"/>
  <c r="L1313" i="16"/>
  <c r="G1313" i="16"/>
  <c r="C1313" i="16"/>
  <c r="E1313" i="16"/>
  <c r="I1313" i="16"/>
  <c r="B1314" i="16"/>
  <c r="P1312" i="16"/>
  <c r="Q1312" i="16"/>
  <c r="R1312" i="16"/>
  <c r="T1312" i="16"/>
  <c r="J1259" i="16"/>
  <c r="D1259" i="16"/>
  <c r="P1259" i="16"/>
  <c r="Q1259" i="16"/>
  <c r="R1259" i="16"/>
  <c r="T1259" i="16"/>
  <c r="L1260" i="16"/>
  <c r="G1260" i="16"/>
  <c r="C1260" i="16"/>
  <c r="E1260" i="16"/>
  <c r="I1260" i="16"/>
  <c r="U1203" i="16"/>
  <c r="S1203" i="16"/>
  <c r="M1204" i="16"/>
  <c r="D1204" i="16"/>
  <c r="J1204" i="16"/>
  <c r="N1204" i="16" s="1"/>
  <c r="P1204" i="16"/>
  <c r="Q1204" i="16"/>
  <c r="R1204" i="16"/>
  <c r="T1204" i="16"/>
  <c r="L1205" i="16"/>
  <c r="C1205" i="16"/>
  <c r="E1205" i="16"/>
  <c r="G1205" i="16"/>
  <c r="I1205" i="16"/>
  <c r="B1206" i="16"/>
  <c r="U1149" i="16"/>
  <c r="S1149" i="16"/>
  <c r="M1150" i="16"/>
  <c r="D1150" i="16"/>
  <c r="J1150" i="16"/>
  <c r="N1150" i="16" s="1"/>
  <c r="P1150" i="16"/>
  <c r="Q1150" i="16"/>
  <c r="R1150" i="16"/>
  <c r="T1150" i="16"/>
  <c r="L1151" i="16"/>
  <c r="C1151" i="16"/>
  <c r="K1151" i="16" s="1"/>
  <c r="E1151" i="16"/>
  <c r="F1151" i="16"/>
  <c r="O1151" i="16" s="1"/>
  <c r="G1151" i="16"/>
  <c r="I1151" i="16"/>
  <c r="B1152" i="16"/>
  <c r="U1095" i="16"/>
  <c r="S1095" i="16"/>
  <c r="M1096" i="16"/>
  <c r="D1096" i="16"/>
  <c r="J1096" i="16"/>
  <c r="N1096" i="16" s="1"/>
  <c r="P1096" i="16"/>
  <c r="Q1096" i="16"/>
  <c r="R1096" i="16"/>
  <c r="T1096" i="16"/>
  <c r="L1097" i="16"/>
  <c r="C1097" i="16"/>
  <c r="K1097" i="16" s="1"/>
  <c r="E1097" i="16"/>
  <c r="F1097" i="16"/>
  <c r="O1097" i="16" s="1"/>
  <c r="G1097" i="16"/>
  <c r="I1097" i="16"/>
  <c r="B1098" i="16"/>
  <c r="U1041" i="16"/>
  <c r="S1041" i="16"/>
  <c r="D1042" i="16"/>
  <c r="J1042" i="16"/>
  <c r="P1042" i="16"/>
  <c r="Q1042" i="16"/>
  <c r="R1042" i="16"/>
  <c r="T1042" i="16"/>
  <c r="L1043" i="16"/>
  <c r="C1043" i="16"/>
  <c r="E1043" i="16"/>
  <c r="G1043" i="16"/>
  <c r="I1043" i="16"/>
  <c r="B1044" i="16"/>
  <c r="J988" i="16"/>
  <c r="D988" i="16"/>
  <c r="P988" i="16"/>
  <c r="Q988" i="16"/>
  <c r="R988" i="16"/>
  <c r="T988" i="16"/>
  <c r="L989" i="16"/>
  <c r="E989" i="16"/>
  <c r="I989" i="16"/>
  <c r="G989" i="16"/>
  <c r="B990" i="16"/>
  <c r="C989" i="16"/>
  <c r="D934" i="16"/>
  <c r="J934" i="16"/>
  <c r="P934" i="16"/>
  <c r="Q934" i="16"/>
  <c r="R934" i="16"/>
  <c r="T934" i="16"/>
  <c r="L935" i="16"/>
  <c r="C935" i="16"/>
  <c r="K935" i="16" s="1"/>
  <c r="E935" i="16"/>
  <c r="F935" i="16"/>
  <c r="O935" i="16" s="1"/>
  <c r="G935" i="16"/>
  <c r="I935" i="16"/>
  <c r="B936" i="16"/>
  <c r="U879" i="16"/>
  <c r="S879" i="16"/>
  <c r="M880" i="16"/>
  <c r="D880" i="16"/>
  <c r="J880" i="16"/>
  <c r="N880" i="16" s="1"/>
  <c r="P880" i="16"/>
  <c r="Q880" i="16"/>
  <c r="R880" i="16"/>
  <c r="T880" i="16"/>
  <c r="L881" i="16"/>
  <c r="C881" i="16"/>
  <c r="K881" i="16" s="1"/>
  <c r="E881" i="16"/>
  <c r="F881" i="16"/>
  <c r="O881" i="16" s="1"/>
  <c r="G881" i="16"/>
  <c r="I881" i="16"/>
  <c r="B882" i="16"/>
  <c r="U825" i="16"/>
  <c r="S825" i="16"/>
  <c r="D826" i="16"/>
  <c r="J826" i="16"/>
  <c r="Q826" i="16"/>
  <c r="P826" i="16"/>
  <c r="R826" i="16"/>
  <c r="T826" i="16"/>
  <c r="L827" i="16"/>
  <c r="C827" i="16"/>
  <c r="K827" i="16" s="1"/>
  <c r="E827" i="16"/>
  <c r="F827" i="16"/>
  <c r="O827" i="16" s="1"/>
  <c r="G827" i="16"/>
  <c r="I827" i="16"/>
  <c r="B828" i="16"/>
  <c r="S771" i="16"/>
  <c r="U771" i="16"/>
  <c r="M772" i="16"/>
  <c r="D772" i="16"/>
  <c r="J772" i="16"/>
  <c r="N772" i="16" s="1"/>
  <c r="P772" i="16"/>
  <c r="Q772" i="16"/>
  <c r="R772" i="16"/>
  <c r="T772" i="16"/>
  <c r="L773" i="16"/>
  <c r="C773" i="16"/>
  <c r="E773" i="16"/>
  <c r="G773" i="16"/>
  <c r="I773" i="16"/>
  <c r="B774" i="16"/>
  <c r="U717" i="16"/>
  <c r="S717" i="16"/>
  <c r="M718" i="16"/>
  <c r="D718" i="16"/>
  <c r="J718" i="16"/>
  <c r="N718" i="16" s="1"/>
  <c r="P718" i="16"/>
  <c r="Q718" i="16"/>
  <c r="R718" i="16"/>
  <c r="T718" i="16"/>
  <c r="L719" i="16"/>
  <c r="C719" i="16"/>
  <c r="K719" i="16" s="1"/>
  <c r="E719" i="16"/>
  <c r="F719" i="16"/>
  <c r="O719" i="16" s="1"/>
  <c r="G719" i="16"/>
  <c r="I719" i="16"/>
  <c r="B720" i="16"/>
  <c r="U663" i="16"/>
  <c r="S663" i="16"/>
  <c r="M664" i="16"/>
  <c r="D664" i="16"/>
  <c r="J664" i="16"/>
  <c r="N664" i="16" s="1"/>
  <c r="Q664" i="16"/>
  <c r="P664" i="16"/>
  <c r="R664" i="16"/>
  <c r="T664" i="16"/>
  <c r="L665" i="16"/>
  <c r="C665" i="16"/>
  <c r="K665" i="16" s="1"/>
  <c r="E665" i="16"/>
  <c r="F665" i="16"/>
  <c r="O665" i="16" s="1"/>
  <c r="G665" i="16"/>
  <c r="I665" i="16"/>
  <c r="B666" i="16"/>
  <c r="U609" i="16"/>
  <c r="S609" i="16"/>
  <c r="M610" i="16"/>
  <c r="D610" i="16"/>
  <c r="J610" i="16"/>
  <c r="N610" i="16" s="1"/>
  <c r="P610" i="16"/>
  <c r="Q610" i="16"/>
  <c r="R610" i="16"/>
  <c r="T610" i="16"/>
  <c r="L611" i="16"/>
  <c r="C611" i="16"/>
  <c r="K611" i="16" s="1"/>
  <c r="E611" i="16"/>
  <c r="F611" i="16"/>
  <c r="O611" i="16" s="1"/>
  <c r="G611" i="16"/>
  <c r="I611" i="16"/>
  <c r="B612" i="16"/>
  <c r="S555" i="16"/>
  <c r="U555" i="16"/>
  <c r="M556" i="16"/>
  <c r="D556" i="16"/>
  <c r="J556" i="16"/>
  <c r="N556" i="16" s="1"/>
  <c r="P556" i="16"/>
  <c r="Q556" i="16"/>
  <c r="R556" i="16"/>
  <c r="T556" i="16"/>
  <c r="L557" i="16"/>
  <c r="C557" i="16"/>
  <c r="K557" i="16" s="1"/>
  <c r="E557" i="16"/>
  <c r="F557" i="16"/>
  <c r="O557" i="16" s="1"/>
  <c r="G557" i="16"/>
  <c r="I557" i="16"/>
  <c r="B558" i="16"/>
  <c r="U501" i="16"/>
  <c r="S501" i="16"/>
  <c r="M502" i="16"/>
  <c r="D502" i="16"/>
  <c r="J502" i="16"/>
  <c r="N502" i="16" s="1"/>
  <c r="Q502" i="16"/>
  <c r="P502" i="16"/>
  <c r="R502" i="16"/>
  <c r="T502" i="16"/>
  <c r="L503" i="16"/>
  <c r="C503" i="16"/>
  <c r="E503" i="16"/>
  <c r="G503" i="16"/>
  <c r="I503" i="16"/>
  <c r="B504" i="16"/>
  <c r="M448" i="16"/>
  <c r="D448" i="16"/>
  <c r="J448" i="16"/>
  <c r="N448" i="16" s="1"/>
  <c r="P448" i="16"/>
  <c r="Q448" i="16"/>
  <c r="R448" i="16"/>
  <c r="T448" i="16"/>
  <c r="L449" i="16"/>
  <c r="C449" i="16"/>
  <c r="K449" i="16" s="1"/>
  <c r="E449" i="16"/>
  <c r="F449" i="16"/>
  <c r="O449" i="16" s="1"/>
  <c r="G449" i="16"/>
  <c r="I449" i="16"/>
  <c r="B450" i="16"/>
  <c r="U393" i="16"/>
  <c r="S393" i="16"/>
  <c r="M394" i="16"/>
  <c r="D394" i="16"/>
  <c r="J394" i="16"/>
  <c r="N394" i="16" s="1"/>
  <c r="P394" i="16"/>
  <c r="Q394" i="16"/>
  <c r="R394" i="16"/>
  <c r="T394" i="16"/>
  <c r="L395" i="16"/>
  <c r="C395" i="16"/>
  <c r="E395" i="16"/>
  <c r="G395" i="16"/>
  <c r="I395" i="16"/>
  <c r="B396" i="16"/>
  <c r="L341" i="16"/>
  <c r="C341" i="16"/>
  <c r="K341" i="16" s="1"/>
  <c r="B342" i="16"/>
  <c r="E341" i="16"/>
  <c r="G341" i="16"/>
  <c r="F341" i="16"/>
  <c r="O341" i="16" s="1"/>
  <c r="I341" i="16"/>
  <c r="P340" i="16"/>
  <c r="Q340" i="16"/>
  <c r="R340" i="16"/>
  <c r="T340" i="16"/>
  <c r="J340" i="16"/>
  <c r="D340" i="16"/>
  <c r="U285" i="16"/>
  <c r="S285" i="16"/>
  <c r="M286" i="16"/>
  <c r="D286" i="16"/>
  <c r="J286" i="16"/>
  <c r="N286" i="16" s="1"/>
  <c r="P286" i="16"/>
  <c r="Q286" i="16"/>
  <c r="R286" i="16"/>
  <c r="T286" i="16"/>
  <c r="L287" i="16"/>
  <c r="C287" i="16"/>
  <c r="K287" i="16" s="1"/>
  <c r="E287" i="16"/>
  <c r="F287" i="16"/>
  <c r="O287" i="16" s="1"/>
  <c r="G287" i="16"/>
  <c r="I287" i="16"/>
  <c r="B288" i="16"/>
  <c r="M232" i="16"/>
  <c r="D232" i="16"/>
  <c r="J232" i="16"/>
  <c r="N232" i="16" s="1"/>
  <c r="P232" i="16"/>
  <c r="Q232" i="16"/>
  <c r="R232" i="16"/>
  <c r="T232" i="16"/>
  <c r="L233" i="16"/>
  <c r="C233" i="16"/>
  <c r="E233" i="16"/>
  <c r="G233" i="16"/>
  <c r="I233" i="16"/>
  <c r="B234" i="16"/>
  <c r="M178" i="16"/>
  <c r="D178" i="16"/>
  <c r="J178" i="16"/>
  <c r="N178" i="16" s="1"/>
  <c r="P178" i="16"/>
  <c r="Q178" i="16"/>
  <c r="R178" i="16"/>
  <c r="T178" i="16"/>
  <c r="L179" i="16"/>
  <c r="C179" i="16"/>
  <c r="K179" i="16" s="1"/>
  <c r="E179" i="16"/>
  <c r="F179" i="16"/>
  <c r="O179" i="16" s="1"/>
  <c r="G179" i="16"/>
  <c r="I179" i="16"/>
  <c r="B180" i="16"/>
  <c r="S123" i="16"/>
  <c r="U123" i="16"/>
  <c r="M124" i="16"/>
  <c r="D124" i="16"/>
  <c r="J124" i="16"/>
  <c r="N124" i="16" s="1"/>
  <c r="P124" i="16"/>
  <c r="Q124" i="16"/>
  <c r="R124" i="16"/>
  <c r="T124" i="16"/>
  <c r="L125" i="16"/>
  <c r="C125" i="16"/>
  <c r="K125" i="16" s="1"/>
  <c r="E125" i="16"/>
  <c r="F125" i="16"/>
  <c r="O125" i="16" s="1"/>
  <c r="G125" i="16"/>
  <c r="I125" i="16"/>
  <c r="B126" i="16"/>
  <c r="F61" i="5"/>
  <c r="G61" i="5"/>
  <c r="H61" i="5"/>
  <c r="U61" i="4"/>
  <c r="S61" i="4"/>
  <c r="F55" i="7"/>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G62" i="5" s="1"/>
  <c r="R62" i="4"/>
  <c r="H62" i="5" s="1"/>
  <c r="BF62" i="4"/>
  <c r="V62" i="4"/>
  <c r="T62" i="4"/>
  <c r="M62" i="4"/>
  <c r="L63" i="4"/>
  <c r="I63" i="4"/>
  <c r="B64" i="4"/>
  <c r="C63" i="4"/>
  <c r="K63" i="4" s="1"/>
  <c r="E63" i="4"/>
  <c r="F63" i="4"/>
  <c r="C63" i="5" s="1"/>
  <c r="E63" i="5" s="1"/>
  <c r="G63" i="4"/>
  <c r="B63" i="5"/>
  <c r="U3794" i="16"/>
  <c r="S3794" i="16"/>
  <c r="S3686" i="16"/>
  <c r="U3686" i="16"/>
  <c r="U3524" i="16"/>
  <c r="S3524" i="16"/>
  <c r="S3470" i="16"/>
  <c r="U3470" i="16"/>
  <c r="U3308" i="16"/>
  <c r="S3308" i="16"/>
  <c r="U3254" i="16"/>
  <c r="S3254" i="16"/>
  <c r="U2984" i="16"/>
  <c r="S2984" i="16"/>
  <c r="U2714" i="16"/>
  <c r="S2714" i="16"/>
  <c r="U2498" i="16"/>
  <c r="S2498" i="16"/>
  <c r="U2444" i="16"/>
  <c r="S2444" i="16"/>
  <c r="U2228" i="16"/>
  <c r="S2228" i="16"/>
  <c r="U2174" i="16"/>
  <c r="S2174" i="16"/>
  <c r="S1904" i="16"/>
  <c r="U1904" i="16"/>
  <c r="S1688" i="16"/>
  <c r="U1688" i="16"/>
  <c r="U1634" i="16"/>
  <c r="S1634" i="16"/>
  <c r="U1364" i="16"/>
  <c r="S1364" i="16"/>
  <c r="U1310" i="16"/>
  <c r="S1310" i="16"/>
  <c r="U1148" i="16"/>
  <c r="S1148" i="16"/>
  <c r="U1094" i="16"/>
  <c r="S1094" i="16"/>
  <c r="U878" i="16"/>
  <c r="S878" i="16"/>
  <c r="U608" i="16"/>
  <c r="S608" i="16"/>
  <c r="U338" i="16"/>
  <c r="S338" i="16"/>
  <c r="M4719" i="16"/>
  <c r="N4719" i="16"/>
  <c r="M4257" i="16"/>
  <c r="N4257" i="16"/>
  <c r="M3795" i="16"/>
  <c r="N3795" i="16"/>
  <c r="N3687" i="16"/>
  <c r="M3687" i="16"/>
  <c r="M3471" i="16"/>
  <c r="N3471" i="16"/>
  <c r="M3255" i="16"/>
  <c r="N3255" i="16"/>
  <c r="N3147" i="16"/>
  <c r="M3147" i="16"/>
  <c r="M3093" i="16"/>
  <c r="N3093" i="16"/>
  <c r="M2931" i="16"/>
  <c r="N2931" i="16"/>
  <c r="M2877" i="16"/>
  <c r="N2877" i="16"/>
  <c r="M2661" i="16"/>
  <c r="N2661" i="16"/>
  <c r="M2607" i="16"/>
  <c r="N2607" i="16"/>
  <c r="M2391" i="16"/>
  <c r="N2391" i="16"/>
  <c r="M1851" i="16"/>
  <c r="N1851" i="16"/>
  <c r="M1797" i="16"/>
  <c r="N1797" i="16"/>
  <c r="M1581" i="16"/>
  <c r="N1581" i="16"/>
  <c r="M1527" i="16"/>
  <c r="N1527" i="16"/>
  <c r="N1419" i="16"/>
  <c r="M1419" i="16"/>
  <c r="N1311" i="16"/>
  <c r="M1311" i="16"/>
  <c r="M1258" i="16"/>
  <c r="N1258" i="16"/>
  <c r="M987" i="16"/>
  <c r="N987" i="16"/>
  <c r="M933" i="16"/>
  <c r="N933" i="16"/>
  <c r="M447" i="16"/>
  <c r="N447" i="16"/>
  <c r="M339" i="16"/>
  <c r="N339" i="16"/>
  <c r="M231" i="16"/>
  <c r="N231" i="16"/>
  <c r="M177" i="16"/>
  <c r="N177" i="16"/>
  <c r="F4720" i="16"/>
  <c r="K4720" i="16"/>
  <c r="F4612" i="16"/>
  <c r="K4612" i="16"/>
  <c r="F4204" i="16"/>
  <c r="O4204" i="16" s="1"/>
  <c r="K4204" i="16"/>
  <c r="F3742" i="16"/>
  <c r="O3742" i="16" s="1"/>
  <c r="K3742" i="16"/>
  <c r="K3472" i="16"/>
  <c r="F3472" i="16"/>
  <c r="O3472" i="16" s="1"/>
  <c r="K3040" i="16"/>
  <c r="F3040" i="16"/>
  <c r="O3040" i="16" s="1"/>
  <c r="F2932" i="16"/>
  <c r="O2932" i="16" s="1"/>
  <c r="K2932" i="16"/>
  <c r="K2878" i="16"/>
  <c r="F2878" i="16"/>
  <c r="O2878" i="16" s="1"/>
  <c r="F2770" i="16"/>
  <c r="O2770" i="16" s="1"/>
  <c r="K2770" i="16"/>
  <c r="F2716" i="16"/>
  <c r="O2716" i="16" s="1"/>
  <c r="K2716" i="16"/>
  <c r="F2662" i="16"/>
  <c r="O2662" i="16" s="1"/>
  <c r="K2662" i="16"/>
  <c r="K2608" i="16"/>
  <c r="F2608" i="16"/>
  <c r="O2608" i="16" s="1"/>
  <c r="K1852" i="16"/>
  <c r="F1852" i="16"/>
  <c r="O1852" i="16" s="1"/>
  <c r="F1582" i="16"/>
  <c r="O1582" i="16" s="1"/>
  <c r="K1582" i="16"/>
  <c r="F1366" i="16"/>
  <c r="O1366" i="16" s="1"/>
  <c r="K1366" i="16"/>
  <c r="F1312" i="16"/>
  <c r="O1312" i="16" s="1"/>
  <c r="K1312" i="16"/>
  <c r="F1259" i="16"/>
  <c r="O1259" i="16" s="1"/>
  <c r="K1259" i="16"/>
  <c r="F1042" i="16"/>
  <c r="O1042" i="16" s="1"/>
  <c r="K1042" i="16"/>
  <c r="F988" i="16"/>
  <c r="O988" i="16" s="1"/>
  <c r="K988" i="16"/>
  <c r="K934" i="16"/>
  <c r="F934" i="16"/>
  <c r="O934" i="16" s="1"/>
  <c r="F826" i="16"/>
  <c r="O826" i="16" s="1"/>
  <c r="K826" i="16"/>
  <c r="K340" i="16"/>
  <c r="F340" i="16"/>
  <c r="O340" i="16" s="1"/>
  <c r="K3095" i="16" l="1"/>
  <c r="F3095" i="16"/>
  <c r="O3095" i="16" s="1"/>
  <c r="K2069" i="16"/>
  <c r="F2069" i="16"/>
  <c r="O2069" i="16" s="1"/>
  <c r="K1853" i="16"/>
  <c r="F1853" i="16"/>
  <c r="O1853" i="16" s="1"/>
  <c r="K1691" i="16"/>
  <c r="F1691" i="16"/>
  <c r="O1691" i="16" s="1"/>
  <c r="K1421" i="16"/>
  <c r="F1421" i="16"/>
  <c r="O1421" i="16" s="1"/>
  <c r="K1205" i="16"/>
  <c r="F1205" i="16"/>
  <c r="O1205" i="16" s="1"/>
  <c r="K773" i="16"/>
  <c r="F773" i="16"/>
  <c r="O773" i="16" s="1"/>
  <c r="K395" i="16"/>
  <c r="F395" i="16"/>
  <c r="O395" i="16" s="1"/>
  <c r="K233" i="16"/>
  <c r="F233" i="16"/>
  <c r="O233" i="16" s="1"/>
  <c r="U4720" i="16"/>
  <c r="M4721" i="16"/>
  <c r="D4721" i="16"/>
  <c r="J4721" i="16"/>
  <c r="N4721" i="16" s="1"/>
  <c r="P4721" i="16"/>
  <c r="Q4721" i="16"/>
  <c r="R4721" i="16"/>
  <c r="L4722" i="16"/>
  <c r="C4722" i="16"/>
  <c r="E4722" i="16"/>
  <c r="G4722" i="16"/>
  <c r="I4722" i="16"/>
  <c r="P4667" i="16"/>
  <c r="Q4667" i="16"/>
  <c r="R4667" i="16"/>
  <c r="C4668" i="16"/>
  <c r="D4668" i="16" s="1"/>
  <c r="E4668" i="16"/>
  <c r="F4668" i="16"/>
  <c r="O4668" i="16" s="1"/>
  <c r="G4668" i="16"/>
  <c r="M4613" i="16"/>
  <c r="D4613" i="16"/>
  <c r="J4613" i="16"/>
  <c r="N4613" i="16" s="1"/>
  <c r="P4613" i="16"/>
  <c r="Q4613" i="16"/>
  <c r="R4613" i="16"/>
  <c r="L4614" i="16"/>
  <c r="C4614" i="16"/>
  <c r="E4614" i="16"/>
  <c r="G4614" i="16"/>
  <c r="I4614" i="16"/>
  <c r="M4559" i="16"/>
  <c r="D4559" i="16"/>
  <c r="J4559" i="16"/>
  <c r="N4559" i="16" s="1"/>
  <c r="P4559" i="16"/>
  <c r="Q4559" i="16"/>
  <c r="R4559" i="16"/>
  <c r="L4560" i="16"/>
  <c r="C4560" i="16"/>
  <c r="E4560" i="16"/>
  <c r="G4560" i="16"/>
  <c r="I4560" i="16"/>
  <c r="U4258" i="16"/>
  <c r="S4258" i="16"/>
  <c r="D4259" i="16"/>
  <c r="J4259" i="16"/>
  <c r="P4259" i="16"/>
  <c r="Q4259" i="16"/>
  <c r="R4259" i="16"/>
  <c r="T4259" i="16"/>
  <c r="L4260" i="16"/>
  <c r="C4260" i="16"/>
  <c r="K4260" i="16" s="1"/>
  <c r="E4260" i="16"/>
  <c r="F4260" i="16"/>
  <c r="O4260" i="16" s="1"/>
  <c r="G4260" i="16"/>
  <c r="I4260" i="16"/>
  <c r="M4205" i="16"/>
  <c r="D4205" i="16"/>
  <c r="J4205" i="16"/>
  <c r="N4205" i="16" s="1"/>
  <c r="P4205" i="16"/>
  <c r="Q4205" i="16"/>
  <c r="R4205" i="16"/>
  <c r="T4205" i="16"/>
  <c r="G4206" i="16"/>
  <c r="I4206" i="16"/>
  <c r="C4206" i="16"/>
  <c r="E4206" i="16"/>
  <c r="L4206" i="16"/>
  <c r="M4151" i="16"/>
  <c r="L4152" i="16"/>
  <c r="C4152" i="16"/>
  <c r="E4152" i="16"/>
  <c r="G4152" i="16"/>
  <c r="I4152" i="16"/>
  <c r="J4151" i="16"/>
  <c r="N4151" i="16" s="1"/>
  <c r="D4151" i="16"/>
  <c r="P4151" i="16"/>
  <c r="Q4151" i="16"/>
  <c r="R4151" i="16"/>
  <c r="T4151" i="16"/>
  <c r="U4150" i="16"/>
  <c r="S4150" i="16"/>
  <c r="U4096" i="16"/>
  <c r="S4096" i="16"/>
  <c r="D4097" i="16"/>
  <c r="J4097" i="16"/>
  <c r="P4097" i="16"/>
  <c r="Q4097" i="16"/>
  <c r="R4097" i="16"/>
  <c r="T4097" i="16"/>
  <c r="N4097" i="16"/>
  <c r="M4097" i="16"/>
  <c r="L4098" i="16"/>
  <c r="I4098" i="16"/>
  <c r="C4098" i="16"/>
  <c r="E4098" i="16"/>
  <c r="G4098" i="16"/>
  <c r="U3796" i="16"/>
  <c r="S3796" i="16"/>
  <c r="D3797" i="16"/>
  <c r="J3797" i="16"/>
  <c r="P3797" i="16"/>
  <c r="Q3797" i="16"/>
  <c r="R3797" i="16"/>
  <c r="T3797" i="16"/>
  <c r="L3798" i="16"/>
  <c r="C3798" i="16"/>
  <c r="E3798" i="16"/>
  <c r="G3798" i="16"/>
  <c r="I3798" i="16"/>
  <c r="D3743" i="16"/>
  <c r="J3743" i="16"/>
  <c r="P3743" i="16"/>
  <c r="Q3743" i="16"/>
  <c r="R3743" i="16"/>
  <c r="T3743" i="16"/>
  <c r="L3744" i="16"/>
  <c r="C3744" i="16"/>
  <c r="K3744" i="16" s="1"/>
  <c r="E3744" i="16"/>
  <c r="F3744" i="16"/>
  <c r="O3744" i="16" s="1"/>
  <c r="G3744" i="16"/>
  <c r="I3744" i="16"/>
  <c r="U3688" i="16"/>
  <c r="S3688" i="16"/>
  <c r="D3689" i="16"/>
  <c r="J3689" i="16"/>
  <c r="P3689" i="16"/>
  <c r="Q3689" i="16"/>
  <c r="R3689" i="16"/>
  <c r="T3689" i="16"/>
  <c r="L3690" i="16"/>
  <c r="E3690" i="16"/>
  <c r="G3690" i="16"/>
  <c r="I3690" i="16"/>
  <c r="C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M3527" i="16"/>
  <c r="D3527" i="16"/>
  <c r="J3527" i="16"/>
  <c r="N3527" i="16" s="1"/>
  <c r="P3527" i="16"/>
  <c r="Q3527" i="16"/>
  <c r="R3527" i="16"/>
  <c r="T3527" i="16"/>
  <c r="L3528" i="16"/>
  <c r="C3528" i="16"/>
  <c r="K3528" i="16" s="1"/>
  <c r="E3528" i="16"/>
  <c r="F3528" i="16"/>
  <c r="O3528" i="16" s="1"/>
  <c r="G3528" i="16"/>
  <c r="I3528" i="16"/>
  <c r="M3473" i="16"/>
  <c r="D3473" i="16"/>
  <c r="J3473" i="16"/>
  <c r="N3473" i="16" s="1"/>
  <c r="P3473" i="16"/>
  <c r="Q3473" i="16"/>
  <c r="R3473" i="16"/>
  <c r="T3473" i="16"/>
  <c r="L3474" i="16"/>
  <c r="C3474" i="16"/>
  <c r="E3474" i="16"/>
  <c r="G3474" i="16"/>
  <c r="I3474" i="16"/>
  <c r="U3418" i="16"/>
  <c r="S3418" i="16"/>
  <c r="M3419" i="16"/>
  <c r="D3419" i="16"/>
  <c r="J3419" i="16"/>
  <c r="N3419" i="16" s="1"/>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E3312" i="16"/>
  <c r="G3312" i="16"/>
  <c r="I3312" i="16"/>
  <c r="U3256" i="16"/>
  <c r="S3256" i="16"/>
  <c r="P3257" i="16"/>
  <c r="Q3257" i="16"/>
  <c r="R3257" i="16"/>
  <c r="T3257" i="16"/>
  <c r="L3258" i="16"/>
  <c r="G3258" i="16"/>
  <c r="I3258" i="16"/>
  <c r="C3258" i="16"/>
  <c r="E3258" i="16"/>
  <c r="D3257" i="16"/>
  <c r="J3257" i="16"/>
  <c r="U3202" i="16"/>
  <c r="S3202" i="16"/>
  <c r="P3203" i="16"/>
  <c r="Q3203" i="16"/>
  <c r="R3203" i="16"/>
  <c r="T3203" i="16"/>
  <c r="J3203" i="16"/>
  <c r="D3203" i="16"/>
  <c r="L3204" i="16"/>
  <c r="E3204" i="16"/>
  <c r="G3204" i="16"/>
  <c r="C3204" i="16"/>
  <c r="I3204" i="16"/>
  <c r="U3148" i="16"/>
  <c r="S3148" i="16"/>
  <c r="M3149" i="16"/>
  <c r="P3149" i="16"/>
  <c r="Q3149" i="16"/>
  <c r="R3149" i="16"/>
  <c r="T3149" i="16"/>
  <c r="D3149" i="16"/>
  <c r="J3149" i="16"/>
  <c r="N3149" i="16" s="1"/>
  <c r="L3150" i="16"/>
  <c r="E3150" i="16"/>
  <c r="C3150" i="16"/>
  <c r="K3150" i="16" s="1"/>
  <c r="G3150" i="16"/>
  <c r="I3150" i="16"/>
  <c r="F3150" i="16"/>
  <c r="O3150" i="16" s="1"/>
  <c r="U3094" i="16"/>
  <c r="S3094" i="16"/>
  <c r="M3095" i="16"/>
  <c r="P3095" i="16"/>
  <c r="Q3095" i="16"/>
  <c r="R3095" i="16"/>
  <c r="T3095" i="16"/>
  <c r="J3095" i="16"/>
  <c r="N3095" i="16" s="1"/>
  <c r="D3095" i="16"/>
  <c r="L3096" i="16"/>
  <c r="G3096" i="16"/>
  <c r="I3096" i="16"/>
  <c r="C3096" i="16"/>
  <c r="K3096" i="16" s="1"/>
  <c r="F3096" i="16"/>
  <c r="O3096" i="16" s="1"/>
  <c r="E3096" i="16"/>
  <c r="M3041" i="16"/>
  <c r="J3041" i="16"/>
  <c r="N3041" i="16" s="1"/>
  <c r="D3041" i="16"/>
  <c r="P3041" i="16"/>
  <c r="Q3041" i="16"/>
  <c r="R3041" i="16"/>
  <c r="T3041" i="16"/>
  <c r="L3042" i="16"/>
  <c r="G3042" i="16"/>
  <c r="C3042" i="16"/>
  <c r="I3042" i="16"/>
  <c r="E3042" i="16"/>
  <c r="U2986" i="16"/>
  <c r="S2986" i="16"/>
  <c r="M2987" i="16"/>
  <c r="D2987" i="16"/>
  <c r="J2987" i="16"/>
  <c r="N2987" i="16" s="1"/>
  <c r="P2987" i="16"/>
  <c r="Q2987" i="16"/>
  <c r="R2987" i="16"/>
  <c r="T2987" i="16"/>
  <c r="L2988" i="16"/>
  <c r="C2988" i="16"/>
  <c r="K2988" i="16" s="1"/>
  <c r="F2988" i="16"/>
  <c r="O2988" i="16" s="1"/>
  <c r="I2988" i="16"/>
  <c r="E2988" i="16"/>
  <c r="G2988" i="16"/>
  <c r="M2933" i="16"/>
  <c r="D2933" i="16"/>
  <c r="J2933" i="16"/>
  <c r="N2933" i="16" s="1"/>
  <c r="P2933" i="16"/>
  <c r="Q2933" i="16"/>
  <c r="R2933" i="16"/>
  <c r="T2933" i="16"/>
  <c r="L2934" i="16"/>
  <c r="C2934" i="16"/>
  <c r="K2934" i="16" s="1"/>
  <c r="E2934" i="16"/>
  <c r="F2934" i="16"/>
  <c r="O2934" i="16" s="1"/>
  <c r="G2934" i="16"/>
  <c r="I2934" i="16"/>
  <c r="M2879" i="16"/>
  <c r="D2879" i="16"/>
  <c r="J2879" i="16"/>
  <c r="N2879" i="16" s="1"/>
  <c r="P2879" i="16"/>
  <c r="Q2879" i="16"/>
  <c r="R2879" i="16"/>
  <c r="T2879" i="16"/>
  <c r="L2880" i="16"/>
  <c r="C2880" i="16"/>
  <c r="E2880" i="16"/>
  <c r="G2880" i="16"/>
  <c r="I2880" i="16"/>
  <c r="M2825" i="16"/>
  <c r="D2825" i="16"/>
  <c r="J2825" i="16"/>
  <c r="N2825" i="16" s="1"/>
  <c r="S2825" i="16" s="1"/>
  <c r="P2825" i="16"/>
  <c r="Q2825" i="16"/>
  <c r="R2825" i="16"/>
  <c r="T2825" i="16"/>
  <c r="U2825" i="16" s="1"/>
  <c r="L2826" i="16"/>
  <c r="C2826" i="16"/>
  <c r="E2826" i="16"/>
  <c r="G2826" i="16"/>
  <c r="I2826" i="16"/>
  <c r="M2771" i="16"/>
  <c r="D2771" i="16"/>
  <c r="J2771" i="16"/>
  <c r="N2771" i="16" s="1"/>
  <c r="P2771" i="16"/>
  <c r="Q2771" i="16"/>
  <c r="R2771" i="16"/>
  <c r="T2771" i="16"/>
  <c r="L2772" i="16"/>
  <c r="C2772" i="16"/>
  <c r="K2772" i="16" s="1"/>
  <c r="E2772" i="16"/>
  <c r="F2772" i="16"/>
  <c r="O2772" i="16" s="1"/>
  <c r="G2772" i="16"/>
  <c r="I2772" i="16"/>
  <c r="M2717" i="16"/>
  <c r="D2717" i="16"/>
  <c r="J2717" i="16"/>
  <c r="N2717" i="16" s="1"/>
  <c r="P2717" i="16"/>
  <c r="Q2717" i="16"/>
  <c r="R2717" i="16"/>
  <c r="T2717" i="16"/>
  <c r="L2718" i="16"/>
  <c r="C2718" i="16"/>
  <c r="K2718" i="16" s="1"/>
  <c r="E2718" i="16"/>
  <c r="F2718" i="16"/>
  <c r="O2718" i="16" s="1"/>
  <c r="G2718" i="16"/>
  <c r="I2718" i="16"/>
  <c r="D2663" i="16"/>
  <c r="J2663" i="16"/>
  <c r="P2663" i="16"/>
  <c r="Q2663" i="16"/>
  <c r="R2663" i="16"/>
  <c r="T2663" i="16"/>
  <c r="L2664" i="16"/>
  <c r="C2664" i="16"/>
  <c r="E2664" i="16"/>
  <c r="G2664" i="16"/>
  <c r="I2664" i="16"/>
  <c r="M2609" i="16"/>
  <c r="D2609" i="16"/>
  <c r="J2609" i="16"/>
  <c r="N2609" i="16" s="1"/>
  <c r="P2609" i="16"/>
  <c r="Q2609" i="16"/>
  <c r="R2609" i="16"/>
  <c r="T2609" i="16"/>
  <c r="L2610" i="16"/>
  <c r="C2610" i="16"/>
  <c r="E2610" i="16"/>
  <c r="G2610" i="16"/>
  <c r="I2610" i="16"/>
  <c r="S2554" i="16"/>
  <c r="U2554" i="16"/>
  <c r="M2555" i="16"/>
  <c r="D2555" i="16"/>
  <c r="J2555" i="16"/>
  <c r="N2555" i="16" s="1"/>
  <c r="P2555" i="16"/>
  <c r="Q2555" i="16"/>
  <c r="R2555" i="16"/>
  <c r="T2555" i="16"/>
  <c r="L2556" i="16"/>
  <c r="C2556" i="16"/>
  <c r="K2556" i="16" s="1"/>
  <c r="E2556" i="16"/>
  <c r="F2556" i="16"/>
  <c r="O2556" i="16" s="1"/>
  <c r="G2556" i="16"/>
  <c r="I2556" i="16"/>
  <c r="U2500" i="16"/>
  <c r="S2500" i="16"/>
  <c r="M2501" i="16"/>
  <c r="D2501" i="16"/>
  <c r="J2501" i="16"/>
  <c r="N2501" i="16" s="1"/>
  <c r="Q2501" i="16"/>
  <c r="P2501" i="16"/>
  <c r="R2501" i="16"/>
  <c r="T2501" i="16"/>
  <c r="L2502" i="16"/>
  <c r="C2502" i="16"/>
  <c r="K2502" i="16" s="1"/>
  <c r="E2502" i="16"/>
  <c r="F2502" i="16"/>
  <c r="O2502" i="16" s="1"/>
  <c r="G2502" i="16"/>
  <c r="I2502" i="16"/>
  <c r="U2446" i="16"/>
  <c r="S2446" i="16"/>
  <c r="D2447" i="16"/>
  <c r="J2447" i="16"/>
  <c r="P2447" i="16"/>
  <c r="Q2447" i="16"/>
  <c r="R2447" i="16"/>
  <c r="T2447" i="16"/>
  <c r="L2448" i="16"/>
  <c r="C2448" i="16"/>
  <c r="E2448" i="16"/>
  <c r="G2448" i="16"/>
  <c r="I2448" i="16"/>
  <c r="U2392" i="16"/>
  <c r="S2392" i="16"/>
  <c r="D2393" i="16"/>
  <c r="J2393" i="16"/>
  <c r="P2393" i="16"/>
  <c r="Q2393" i="16"/>
  <c r="R2393" i="16"/>
  <c r="T2393" i="16"/>
  <c r="L2394" i="16"/>
  <c r="C2394" i="16"/>
  <c r="K2394" i="16" s="1"/>
  <c r="E2394" i="16"/>
  <c r="F2394" i="16"/>
  <c r="O2394" i="16" s="1"/>
  <c r="G2394" i="16"/>
  <c r="I2394" i="16"/>
  <c r="S2338" i="16"/>
  <c r="U2338" i="16"/>
  <c r="M2339" i="16"/>
  <c r="D2339" i="16"/>
  <c r="J2339" i="16"/>
  <c r="N2339" i="16" s="1"/>
  <c r="Q2339" i="16"/>
  <c r="P2339" i="16"/>
  <c r="R2339" i="16"/>
  <c r="T2339" i="16"/>
  <c r="L2340" i="16"/>
  <c r="C2340" i="16"/>
  <c r="K2340" i="16" s="1"/>
  <c r="E2340" i="16"/>
  <c r="F2340" i="16"/>
  <c r="O2340" i="16" s="1"/>
  <c r="G2340" i="16"/>
  <c r="I2340" i="16"/>
  <c r="U2284" i="16"/>
  <c r="S2284" i="16"/>
  <c r="M2285" i="16"/>
  <c r="D2285" i="16"/>
  <c r="J2285" i="16"/>
  <c r="N2285" i="16" s="1"/>
  <c r="P2285" i="16"/>
  <c r="Q2285" i="16"/>
  <c r="R2285" i="16"/>
  <c r="T2285" i="16"/>
  <c r="L2286" i="16"/>
  <c r="C2286" i="16"/>
  <c r="K2286" i="16" s="1"/>
  <c r="E2286" i="16"/>
  <c r="F2286" i="16"/>
  <c r="O2286" i="16" s="1"/>
  <c r="G2286" i="16"/>
  <c r="I2286" i="16"/>
  <c r="U2230" i="16"/>
  <c r="S2230" i="16"/>
  <c r="P2231" i="16"/>
  <c r="Q2231" i="16"/>
  <c r="R2231" i="16"/>
  <c r="T2231" i="16"/>
  <c r="L2232" i="16"/>
  <c r="I2232" i="16"/>
  <c r="C2232" i="16"/>
  <c r="E2232" i="16"/>
  <c r="G2232" i="16"/>
  <c r="D2231" i="16"/>
  <c r="J2231" i="16"/>
  <c r="U2176" i="16"/>
  <c r="S2176" i="16"/>
  <c r="D2177" i="16"/>
  <c r="J2177" i="16"/>
  <c r="P2177" i="16"/>
  <c r="Q2177" i="16"/>
  <c r="R2177" i="16"/>
  <c r="T2177" i="16"/>
  <c r="L2178" i="16"/>
  <c r="C2178" i="16"/>
  <c r="K2178" i="16" s="1"/>
  <c r="E2178" i="16"/>
  <c r="F2178" i="16"/>
  <c r="O2178" i="16" s="1"/>
  <c r="G2178" i="16"/>
  <c r="I2178" i="16"/>
  <c r="S2122" i="16"/>
  <c r="U2122" i="16"/>
  <c r="M2123" i="16"/>
  <c r="D2123" i="16"/>
  <c r="J2123" i="16"/>
  <c r="N2123" i="16" s="1"/>
  <c r="P2123" i="16"/>
  <c r="Q2123" i="16"/>
  <c r="R2123" i="16"/>
  <c r="T2123" i="16"/>
  <c r="L2124" i="16"/>
  <c r="C2124" i="16"/>
  <c r="E2124" i="16"/>
  <c r="G2124" i="16"/>
  <c r="I2124" i="16"/>
  <c r="U2068" i="16"/>
  <c r="S2068" i="16"/>
  <c r="M2069" i="16"/>
  <c r="D2069" i="16"/>
  <c r="J2069" i="16"/>
  <c r="N2069" i="16" s="1"/>
  <c r="P2069" i="16"/>
  <c r="Q2069" i="16"/>
  <c r="R2069" i="16"/>
  <c r="T2069" i="16"/>
  <c r="L2070" i="16"/>
  <c r="C2070" i="16"/>
  <c r="E2070" i="16"/>
  <c r="G2070" i="16"/>
  <c r="I2070" i="16"/>
  <c r="U2014" i="16"/>
  <c r="S2014" i="16"/>
  <c r="M2015" i="16"/>
  <c r="D2015" i="16"/>
  <c r="J2015" i="16"/>
  <c r="N2015" i="16" s="1"/>
  <c r="P2015" i="16"/>
  <c r="Q2015" i="16"/>
  <c r="R2015" i="16"/>
  <c r="T2015" i="16"/>
  <c r="L2016" i="16"/>
  <c r="C2016" i="16"/>
  <c r="K2016" i="16" s="1"/>
  <c r="E2016" i="16"/>
  <c r="F2016" i="16"/>
  <c r="O2016" i="16" s="1"/>
  <c r="G2016" i="16"/>
  <c r="I2016" i="16"/>
  <c r="U1960" i="16"/>
  <c r="S1960" i="16"/>
  <c r="M1961" i="16"/>
  <c r="D1961" i="16"/>
  <c r="J1961" i="16"/>
  <c r="N1961" i="16" s="1"/>
  <c r="P1961" i="16"/>
  <c r="Q1961" i="16"/>
  <c r="R1961" i="16"/>
  <c r="T1961" i="16"/>
  <c r="L1962" i="16"/>
  <c r="C1962" i="16"/>
  <c r="K1962" i="16" s="1"/>
  <c r="E1962" i="16"/>
  <c r="F1962" i="16"/>
  <c r="O1962" i="16" s="1"/>
  <c r="G1962" i="16"/>
  <c r="I1962" i="16"/>
  <c r="S1906" i="16"/>
  <c r="U1906" i="16"/>
  <c r="D1907" i="16"/>
  <c r="J1907" i="16"/>
  <c r="P1907" i="16"/>
  <c r="Q1907" i="16"/>
  <c r="R1907" i="16"/>
  <c r="T1907" i="16"/>
  <c r="L1908" i="16"/>
  <c r="C1908" i="16"/>
  <c r="K1908" i="16" s="1"/>
  <c r="E1908" i="16"/>
  <c r="F1908" i="16"/>
  <c r="O1908" i="16" s="1"/>
  <c r="G1908" i="16"/>
  <c r="I1908" i="16"/>
  <c r="M1853" i="16"/>
  <c r="D1853" i="16"/>
  <c r="J1853" i="16"/>
  <c r="N1853" i="16" s="1"/>
  <c r="P1853" i="16"/>
  <c r="Q1853" i="16"/>
  <c r="R1853" i="16"/>
  <c r="T1853" i="16"/>
  <c r="L1854" i="16"/>
  <c r="C1854" i="16"/>
  <c r="K1854" i="16" s="1"/>
  <c r="E1854" i="16"/>
  <c r="F1854" i="16"/>
  <c r="O1854" i="16" s="1"/>
  <c r="G1854" i="16"/>
  <c r="I1854" i="16"/>
  <c r="U1798" i="16"/>
  <c r="S1798" i="16"/>
  <c r="M1799" i="16"/>
  <c r="D1799" i="16"/>
  <c r="J1799" i="16"/>
  <c r="N1799" i="16" s="1"/>
  <c r="P1799" i="16"/>
  <c r="Q1799" i="16"/>
  <c r="R1799" i="16"/>
  <c r="T1799" i="16"/>
  <c r="L1800" i="16"/>
  <c r="C1800" i="16"/>
  <c r="E1800" i="16"/>
  <c r="G1800" i="16"/>
  <c r="I1800" i="16"/>
  <c r="U1744" i="16"/>
  <c r="S1744" i="16"/>
  <c r="M1745" i="16"/>
  <c r="D1745" i="16"/>
  <c r="J1745" i="16"/>
  <c r="N1745" i="16" s="1"/>
  <c r="P1745" i="16"/>
  <c r="Q1745" i="16"/>
  <c r="R1745" i="16"/>
  <c r="T1745" i="16"/>
  <c r="L1746" i="16"/>
  <c r="C1746" i="16"/>
  <c r="K1746" i="16" s="1"/>
  <c r="E1746" i="16"/>
  <c r="F1746" i="16"/>
  <c r="O1746" i="16" s="1"/>
  <c r="G1746" i="16"/>
  <c r="I1746" i="16"/>
  <c r="S1690" i="16"/>
  <c r="U1690" i="16"/>
  <c r="M1691" i="16"/>
  <c r="D1691" i="16"/>
  <c r="J1691" i="16"/>
  <c r="N1691" i="16" s="1"/>
  <c r="P1691" i="16"/>
  <c r="Q1691" i="16"/>
  <c r="R1691" i="16"/>
  <c r="T1691" i="16"/>
  <c r="L1692" i="16"/>
  <c r="C1692" i="16"/>
  <c r="K1692" i="16" s="1"/>
  <c r="E1692" i="16"/>
  <c r="F1692" i="16"/>
  <c r="O1692" i="16" s="1"/>
  <c r="G1692" i="16"/>
  <c r="I1692" i="16"/>
  <c r="U1636" i="16"/>
  <c r="S1636" i="16"/>
  <c r="D1637" i="16"/>
  <c r="J1637" i="16"/>
  <c r="P1637" i="16"/>
  <c r="Q1637" i="16"/>
  <c r="R1637" i="16"/>
  <c r="T1637" i="16"/>
  <c r="L1638" i="16"/>
  <c r="C1638" i="16"/>
  <c r="E1638" i="16"/>
  <c r="G1638" i="16"/>
  <c r="I1638" i="16"/>
  <c r="D1583" i="16"/>
  <c r="J1583" i="16"/>
  <c r="P1583" i="16"/>
  <c r="Q1583" i="16"/>
  <c r="R1583" i="16"/>
  <c r="T1583" i="16"/>
  <c r="L1584" i="16"/>
  <c r="C1584" i="16"/>
  <c r="K1584" i="16" s="1"/>
  <c r="E1584" i="16"/>
  <c r="F1584" i="16"/>
  <c r="O1584" i="16" s="1"/>
  <c r="G1584" i="16"/>
  <c r="I1584" i="16"/>
  <c r="U1528" i="16"/>
  <c r="S1528" i="16"/>
  <c r="D1529" i="16"/>
  <c r="J1529" i="16"/>
  <c r="P1529" i="16"/>
  <c r="Q1529" i="16"/>
  <c r="R1529" i="16"/>
  <c r="T1529" i="16"/>
  <c r="L1530" i="16"/>
  <c r="E1530" i="16"/>
  <c r="C1530" i="16"/>
  <c r="G1530" i="16"/>
  <c r="I1530" i="16"/>
  <c r="U1474" i="16"/>
  <c r="S1474" i="16"/>
  <c r="J1475" i="16"/>
  <c r="D1475" i="16"/>
  <c r="P1475" i="16"/>
  <c r="Q1475" i="16"/>
  <c r="R1475" i="16"/>
  <c r="T1475" i="16"/>
  <c r="L1476" i="16"/>
  <c r="C1476" i="16"/>
  <c r="K1476" i="16" s="1"/>
  <c r="E1476" i="16"/>
  <c r="F1476" i="16"/>
  <c r="O1476" i="16" s="1"/>
  <c r="G1476" i="16"/>
  <c r="I1476" i="16"/>
  <c r="U1420" i="16"/>
  <c r="S1420" i="16"/>
  <c r="M1421" i="16"/>
  <c r="P1421" i="16"/>
  <c r="Q1421" i="16"/>
  <c r="R1421" i="16"/>
  <c r="T1421" i="16"/>
  <c r="D1421" i="16"/>
  <c r="J1421" i="16"/>
  <c r="N1421" i="16" s="1"/>
  <c r="L1422" i="16"/>
  <c r="G1422" i="16"/>
  <c r="C1422" i="16"/>
  <c r="E1422" i="16"/>
  <c r="I1422" i="16"/>
  <c r="P1367" i="16"/>
  <c r="Q1367" i="16"/>
  <c r="R1367" i="16"/>
  <c r="T1367" i="16"/>
  <c r="D1367" i="16"/>
  <c r="J1367" i="16"/>
  <c r="L1368" i="16"/>
  <c r="E1368" i="16"/>
  <c r="I1368" i="16"/>
  <c r="C1368" i="16"/>
  <c r="K1368" i="16" s="1"/>
  <c r="F1368" i="16"/>
  <c r="O1368" i="16" s="1"/>
  <c r="G1368" i="16"/>
  <c r="P1313" i="16"/>
  <c r="Q1313" i="16"/>
  <c r="R1313" i="16"/>
  <c r="T1313" i="16"/>
  <c r="D1313" i="16"/>
  <c r="J1313" i="16"/>
  <c r="L1314" i="16"/>
  <c r="I1314" i="16"/>
  <c r="E1314" i="16"/>
  <c r="G1314" i="16"/>
  <c r="C1314" i="16"/>
  <c r="P1260" i="16"/>
  <c r="Q1260" i="16"/>
  <c r="R1260" i="16"/>
  <c r="T1260" i="16"/>
  <c r="J1260" i="16"/>
  <c r="D1260" i="16"/>
  <c r="U1204" i="16"/>
  <c r="S1204" i="16"/>
  <c r="M1205" i="16"/>
  <c r="D1205" i="16"/>
  <c r="J1205" i="16"/>
  <c r="N1205" i="16" s="1"/>
  <c r="P1205" i="16"/>
  <c r="Q1205" i="16"/>
  <c r="R1205" i="16"/>
  <c r="T1205" i="16"/>
  <c r="L1206" i="16"/>
  <c r="C1206" i="16"/>
  <c r="K1206" i="16" s="1"/>
  <c r="E1206" i="16"/>
  <c r="F1206" i="16"/>
  <c r="O1206" i="16" s="1"/>
  <c r="G1206" i="16"/>
  <c r="I1206" i="16"/>
  <c r="U1150" i="16"/>
  <c r="S1150" i="16"/>
  <c r="M1151" i="16"/>
  <c r="D1151" i="16"/>
  <c r="J1151" i="16"/>
  <c r="N1151" i="16" s="1"/>
  <c r="P1151" i="16"/>
  <c r="Q1151" i="16"/>
  <c r="R1151" i="16"/>
  <c r="T1151" i="16"/>
  <c r="L1152" i="16"/>
  <c r="C1152" i="16"/>
  <c r="K1152" i="16" s="1"/>
  <c r="E1152" i="16"/>
  <c r="F1152" i="16"/>
  <c r="O1152" i="16" s="1"/>
  <c r="G1152" i="16"/>
  <c r="I1152" i="16"/>
  <c r="U1096" i="16"/>
  <c r="S1096" i="16"/>
  <c r="M1097" i="16"/>
  <c r="D1097" i="16"/>
  <c r="J1097" i="16"/>
  <c r="N1097" i="16" s="1"/>
  <c r="P1097" i="16"/>
  <c r="Q1097" i="16"/>
  <c r="R1097" i="16"/>
  <c r="T1097" i="16"/>
  <c r="L1098" i="16"/>
  <c r="C1098" i="16"/>
  <c r="K1098" i="16" s="1"/>
  <c r="E1098" i="16"/>
  <c r="F1098" i="16"/>
  <c r="O1098" i="16" s="1"/>
  <c r="G1098" i="16"/>
  <c r="I1098" i="16"/>
  <c r="D1043" i="16"/>
  <c r="J1043" i="16"/>
  <c r="P1043" i="16"/>
  <c r="Q1043" i="16"/>
  <c r="R1043" i="16"/>
  <c r="T1043" i="16"/>
  <c r="L1044" i="16"/>
  <c r="C1044" i="16"/>
  <c r="K1044" i="16" s="1"/>
  <c r="E1044" i="16"/>
  <c r="F1044" i="16"/>
  <c r="O1044" i="16" s="1"/>
  <c r="G1044" i="16"/>
  <c r="I1044" i="16"/>
  <c r="Q989" i="16"/>
  <c r="P989" i="16"/>
  <c r="R989" i="16"/>
  <c r="T989" i="16"/>
  <c r="L990" i="16"/>
  <c r="C990" i="16"/>
  <c r="E990" i="16"/>
  <c r="G990" i="16"/>
  <c r="I990" i="16"/>
  <c r="D989" i="16"/>
  <c r="J989" i="16"/>
  <c r="M935" i="16"/>
  <c r="D935" i="16"/>
  <c r="J935" i="16"/>
  <c r="N935" i="16" s="1"/>
  <c r="P935" i="16"/>
  <c r="Q935" i="16"/>
  <c r="R935" i="16"/>
  <c r="T935" i="16"/>
  <c r="L936" i="16"/>
  <c r="C936" i="16"/>
  <c r="E936" i="16"/>
  <c r="G936" i="16"/>
  <c r="I936" i="16"/>
  <c r="U880" i="16"/>
  <c r="S880" i="16"/>
  <c r="M881" i="16"/>
  <c r="D881" i="16"/>
  <c r="J881" i="16"/>
  <c r="N881" i="16" s="1"/>
  <c r="Q881" i="16"/>
  <c r="P881" i="16"/>
  <c r="R881" i="16"/>
  <c r="T881" i="16"/>
  <c r="L882" i="16"/>
  <c r="C882" i="16"/>
  <c r="K882" i="16" s="1"/>
  <c r="E882" i="16"/>
  <c r="F882" i="16"/>
  <c r="O882" i="16" s="1"/>
  <c r="G882" i="16"/>
  <c r="I882" i="16"/>
  <c r="M827" i="16"/>
  <c r="D827" i="16"/>
  <c r="J827" i="16"/>
  <c r="N827" i="16" s="1"/>
  <c r="P827" i="16"/>
  <c r="Q827" i="16"/>
  <c r="R827" i="16"/>
  <c r="T827" i="16"/>
  <c r="L828" i="16"/>
  <c r="C828" i="16"/>
  <c r="K828" i="16" s="1"/>
  <c r="E828" i="16"/>
  <c r="F828" i="16"/>
  <c r="O828" i="16" s="1"/>
  <c r="G828" i="16"/>
  <c r="I828" i="16"/>
  <c r="S772" i="16"/>
  <c r="U772" i="16"/>
  <c r="M773" i="16"/>
  <c r="D773" i="16"/>
  <c r="J773" i="16"/>
  <c r="N773" i="16" s="1"/>
  <c r="Q773" i="16"/>
  <c r="P773" i="16"/>
  <c r="R773" i="16"/>
  <c r="T773" i="16"/>
  <c r="L774" i="16"/>
  <c r="C774" i="16"/>
  <c r="K774" i="16" s="1"/>
  <c r="E774" i="16"/>
  <c r="F774" i="16"/>
  <c r="O774" i="16" s="1"/>
  <c r="G774" i="16"/>
  <c r="I774" i="16"/>
  <c r="U718" i="16"/>
  <c r="S718" i="16"/>
  <c r="M719" i="16"/>
  <c r="D719" i="16"/>
  <c r="J719" i="16"/>
  <c r="N719" i="16" s="1"/>
  <c r="Q719" i="16"/>
  <c r="P719" i="16"/>
  <c r="R719" i="16"/>
  <c r="T719" i="16"/>
  <c r="L720" i="16"/>
  <c r="C720" i="16"/>
  <c r="E720" i="16"/>
  <c r="G720" i="16"/>
  <c r="I720" i="16"/>
  <c r="U664" i="16"/>
  <c r="S664" i="16"/>
  <c r="M665" i="16"/>
  <c r="D665" i="16"/>
  <c r="J665" i="16"/>
  <c r="N665" i="16" s="1"/>
  <c r="Q665" i="16"/>
  <c r="P665" i="16"/>
  <c r="R665" i="16"/>
  <c r="T665" i="16"/>
  <c r="L666" i="16"/>
  <c r="C666" i="16"/>
  <c r="K666" i="16" s="1"/>
  <c r="E666" i="16"/>
  <c r="F666" i="16"/>
  <c r="O666" i="16" s="1"/>
  <c r="G666" i="16"/>
  <c r="I666" i="16"/>
  <c r="U610" i="16"/>
  <c r="S610" i="16"/>
  <c r="M611" i="16"/>
  <c r="D611" i="16"/>
  <c r="J611" i="16"/>
  <c r="N611" i="16" s="1"/>
  <c r="P611" i="16"/>
  <c r="Q611" i="16"/>
  <c r="R611" i="16"/>
  <c r="T611" i="16"/>
  <c r="L612" i="16"/>
  <c r="C612" i="16"/>
  <c r="K612" i="16" s="1"/>
  <c r="E612" i="16"/>
  <c r="F612" i="16"/>
  <c r="O612" i="16" s="1"/>
  <c r="G612" i="16"/>
  <c r="I612" i="16"/>
  <c r="S556" i="16"/>
  <c r="U556" i="16"/>
  <c r="M557" i="16"/>
  <c r="D557" i="16"/>
  <c r="J557" i="16"/>
  <c r="N557" i="16" s="1"/>
  <c r="Q557" i="16"/>
  <c r="P557" i="16"/>
  <c r="R557" i="16"/>
  <c r="T557" i="16"/>
  <c r="L558" i="16"/>
  <c r="C558" i="16"/>
  <c r="K558" i="16" s="1"/>
  <c r="E558" i="16"/>
  <c r="F558" i="16"/>
  <c r="O558" i="16" s="1"/>
  <c r="G558" i="16"/>
  <c r="I558" i="16"/>
  <c r="U502" i="16"/>
  <c r="S502" i="16"/>
  <c r="D503" i="16"/>
  <c r="J503" i="16"/>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E450" i="16"/>
  <c r="G450" i="16"/>
  <c r="I450" i="16"/>
  <c r="U394" i="16"/>
  <c r="S394" i="16"/>
  <c r="M395" i="16"/>
  <c r="D395" i="16"/>
  <c r="J395" i="16"/>
  <c r="N395" i="16" s="1"/>
  <c r="P395" i="16"/>
  <c r="Q395" i="16"/>
  <c r="R395" i="16"/>
  <c r="T395" i="16"/>
  <c r="L396" i="16"/>
  <c r="C396" i="16"/>
  <c r="K396" i="16" s="1"/>
  <c r="E396" i="16"/>
  <c r="F396" i="16"/>
  <c r="O396" i="16" s="1"/>
  <c r="G396" i="16"/>
  <c r="I396" i="16"/>
  <c r="M341" i="16"/>
  <c r="J341" i="16"/>
  <c r="N341" i="16" s="1"/>
  <c r="D341" i="16"/>
  <c r="L342" i="16"/>
  <c r="E342" i="16"/>
  <c r="G342" i="16"/>
  <c r="C342" i="16"/>
  <c r="I342" i="16"/>
  <c r="P341" i="16"/>
  <c r="Q341" i="16"/>
  <c r="R341" i="16"/>
  <c r="T341" i="16"/>
  <c r="U286" i="16"/>
  <c r="S286" i="16"/>
  <c r="M287" i="16"/>
  <c r="D287" i="16"/>
  <c r="J287" i="16"/>
  <c r="N287" i="16" s="1"/>
  <c r="P287" i="16"/>
  <c r="Q287" i="16"/>
  <c r="R287" i="16"/>
  <c r="T287" i="16"/>
  <c r="L288" i="16"/>
  <c r="C288" i="16"/>
  <c r="K288" i="16" s="1"/>
  <c r="E288" i="16"/>
  <c r="F288" i="16"/>
  <c r="O288" i="16" s="1"/>
  <c r="G288" i="16"/>
  <c r="I288" i="16"/>
  <c r="U232" i="16"/>
  <c r="S232" i="16"/>
  <c r="M233" i="16"/>
  <c r="D233" i="16"/>
  <c r="J233" i="16"/>
  <c r="N233" i="16" s="1"/>
  <c r="P233" i="16"/>
  <c r="Q233" i="16"/>
  <c r="R233" i="16"/>
  <c r="T233" i="16"/>
  <c r="L234" i="16"/>
  <c r="C234" i="16"/>
  <c r="K234" i="16" s="1"/>
  <c r="E234" i="16"/>
  <c r="F234" i="16"/>
  <c r="O234" i="16" s="1"/>
  <c r="G234" i="16"/>
  <c r="I234" i="16"/>
  <c r="U178" i="16"/>
  <c r="S178" i="16"/>
  <c r="M179" i="16"/>
  <c r="D179" i="16"/>
  <c r="J179" i="16"/>
  <c r="N179" i="16" s="1"/>
  <c r="P179" i="16"/>
  <c r="Q179" i="16"/>
  <c r="R179" i="16"/>
  <c r="T179" i="16"/>
  <c r="L180" i="16"/>
  <c r="C180" i="16"/>
  <c r="K180" i="16" s="1"/>
  <c r="E180" i="16"/>
  <c r="F180" i="16"/>
  <c r="O180" i="16" s="1"/>
  <c r="G180" i="16"/>
  <c r="I180" i="16"/>
  <c r="S124" i="16"/>
  <c r="U124" i="16"/>
  <c r="M125" i="16"/>
  <c r="D125" i="16"/>
  <c r="J125" i="16"/>
  <c r="N125" i="16" s="1"/>
  <c r="P125" i="16"/>
  <c r="Q125" i="16"/>
  <c r="R125" i="16"/>
  <c r="T125" i="16"/>
  <c r="L126" i="16"/>
  <c r="C126" i="16"/>
  <c r="K126" i="16" s="1"/>
  <c r="E126" i="16"/>
  <c r="F126" i="16"/>
  <c r="O126" i="16" s="1"/>
  <c r="G126" i="16"/>
  <c r="I126" i="16"/>
  <c r="C96" i="7"/>
  <c r="G96" i="7" s="1"/>
  <c r="U62" i="4"/>
  <c r="C97" i="7" s="1"/>
  <c r="G97" i="7" s="1"/>
  <c r="S62" i="4"/>
  <c r="M63" i="4"/>
  <c r="C64" i="4"/>
  <c r="E64" i="4"/>
  <c r="F64" i="4"/>
  <c r="C64" i="5" s="1"/>
  <c r="E64" i="5" s="1"/>
  <c r="G64" i="4"/>
  <c r="K64" i="4"/>
  <c r="B64" i="5"/>
  <c r="I64" i="4"/>
  <c r="L64"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V63" i="4"/>
  <c r="T63" i="4"/>
  <c r="BF63" i="4"/>
  <c r="U4257" i="16"/>
  <c r="S4257" i="16"/>
  <c r="U3795" i="16"/>
  <c r="S3795" i="16"/>
  <c r="S3687" i="16"/>
  <c r="U3687" i="16"/>
  <c r="S3471" i="16"/>
  <c r="U3471" i="16"/>
  <c r="U3255" i="16"/>
  <c r="S3255" i="16"/>
  <c r="U3147" i="16"/>
  <c r="S3147" i="16"/>
  <c r="U3093" i="16"/>
  <c r="S3093" i="16"/>
  <c r="U2931" i="16"/>
  <c r="S2931" i="16"/>
  <c r="U2877" i="16"/>
  <c r="S2877" i="16"/>
  <c r="U2661" i="16"/>
  <c r="S2661" i="16"/>
  <c r="U2607" i="16"/>
  <c r="S2607" i="16"/>
  <c r="U2391" i="16"/>
  <c r="S2391" i="16"/>
  <c r="U1851" i="16"/>
  <c r="S1851" i="16"/>
  <c r="U1797" i="16"/>
  <c r="S1797" i="16"/>
  <c r="U1581" i="16"/>
  <c r="S1581" i="16"/>
  <c r="U1527" i="16"/>
  <c r="S1527" i="16"/>
  <c r="U1419" i="16"/>
  <c r="S1419" i="16"/>
  <c r="U1311" i="16"/>
  <c r="S1311" i="16"/>
  <c r="U1258" i="16"/>
  <c r="S1258" i="16"/>
  <c r="S987" i="16"/>
  <c r="U987" i="16"/>
  <c r="U933" i="16"/>
  <c r="S933" i="16"/>
  <c r="U447" i="16"/>
  <c r="S447" i="16"/>
  <c r="S339" i="16"/>
  <c r="U339" i="16"/>
  <c r="U231" i="16"/>
  <c r="S231" i="16"/>
  <c r="U177" i="16"/>
  <c r="S177" i="16"/>
  <c r="M4720" i="16"/>
  <c r="N4720" i="16"/>
  <c r="S4720" i="16" s="1"/>
  <c r="M4612" i="16"/>
  <c r="N4612" i="16"/>
  <c r="M4204" i="16"/>
  <c r="N4204" i="16"/>
  <c r="M3742" i="16"/>
  <c r="N3742" i="16"/>
  <c r="N3472" i="16"/>
  <c r="M3472" i="16"/>
  <c r="N3040" i="16"/>
  <c r="M3040" i="16"/>
  <c r="M2932" i="16"/>
  <c r="N2932" i="16"/>
  <c r="M2878" i="16"/>
  <c r="N2878" i="16"/>
  <c r="M2770" i="16"/>
  <c r="N2770" i="16"/>
  <c r="M2716" i="16"/>
  <c r="N2716" i="16"/>
  <c r="M2662" i="16"/>
  <c r="N2662" i="16"/>
  <c r="M2608" i="16"/>
  <c r="N2608" i="16"/>
  <c r="M1852" i="16"/>
  <c r="N1852" i="16"/>
  <c r="M1582" i="16"/>
  <c r="N1582" i="16"/>
  <c r="N1366" i="16"/>
  <c r="M1366" i="16"/>
  <c r="M1312" i="16"/>
  <c r="N1312" i="16"/>
  <c r="M1259" i="16"/>
  <c r="N1259" i="16"/>
  <c r="M1042" i="16"/>
  <c r="N1042" i="16"/>
  <c r="N988" i="16"/>
  <c r="M988" i="16"/>
  <c r="M934" i="16"/>
  <c r="N934" i="16"/>
  <c r="M826" i="16"/>
  <c r="N826" i="16"/>
  <c r="M340" i="16"/>
  <c r="N340" i="16"/>
  <c r="D4667" i="16"/>
  <c r="F4667" i="16"/>
  <c r="O4667" i="16" s="1"/>
  <c r="K4259" i="16"/>
  <c r="F4259" i="16"/>
  <c r="O4259" i="16" s="1"/>
  <c r="F3797" i="16"/>
  <c r="O3797" i="16" s="1"/>
  <c r="K3797" i="16"/>
  <c r="F3743" i="16"/>
  <c r="O3743" i="16" s="1"/>
  <c r="K3743" i="16"/>
  <c r="F3689" i="16"/>
  <c r="O3689" i="16" s="1"/>
  <c r="K3689" i="16"/>
  <c r="F3257" i="16"/>
  <c r="O3257" i="16" s="1"/>
  <c r="K3257" i="16"/>
  <c r="F3203" i="16"/>
  <c r="O3203" i="16" s="1"/>
  <c r="K3203" i="16"/>
  <c r="F2663" i="16"/>
  <c r="O2663" i="16" s="1"/>
  <c r="K2663" i="16"/>
  <c r="K2447" i="16"/>
  <c r="F2447" i="16"/>
  <c r="O2447" i="16" s="1"/>
  <c r="K2393" i="16"/>
  <c r="F2393" i="16"/>
  <c r="O2393" i="16" s="1"/>
  <c r="F2231" i="16"/>
  <c r="O2231" i="16" s="1"/>
  <c r="K2231" i="16"/>
  <c r="F2177" i="16"/>
  <c r="O2177" i="16" s="1"/>
  <c r="K2177" i="16"/>
  <c r="F1907" i="16"/>
  <c r="O1907" i="16" s="1"/>
  <c r="K1907" i="16"/>
  <c r="K1637" i="16"/>
  <c r="F1637" i="16"/>
  <c r="O1637" i="16" s="1"/>
  <c r="F1583" i="16"/>
  <c r="O1583" i="16" s="1"/>
  <c r="K1583" i="16"/>
  <c r="F1529" i="16"/>
  <c r="O1529" i="16" s="1"/>
  <c r="K1529" i="16"/>
  <c r="F1475" i="16"/>
  <c r="O1475" i="16" s="1"/>
  <c r="K1475" i="16"/>
  <c r="K1367" i="16"/>
  <c r="F1367" i="16"/>
  <c r="O1367" i="16" s="1"/>
  <c r="K1313" i="16"/>
  <c r="F1313" i="16"/>
  <c r="O1313" i="16" s="1"/>
  <c r="K1260" i="16"/>
  <c r="F1260" i="16"/>
  <c r="O1260" i="16" s="1"/>
  <c r="F1043" i="16"/>
  <c r="O1043" i="16" s="1"/>
  <c r="K1043" i="16"/>
  <c r="F989" i="16"/>
  <c r="O989" i="16" s="1"/>
  <c r="K989" i="16"/>
  <c r="F503" i="16"/>
  <c r="O503" i="16" s="1"/>
  <c r="K503" i="16"/>
  <c r="S4719" i="16"/>
  <c r="K4722" i="16" l="1"/>
  <c r="F4722" i="16"/>
  <c r="K4614" i="16"/>
  <c r="F4614" i="16"/>
  <c r="K3474" i="16"/>
  <c r="F3474" i="16"/>
  <c r="O3474" i="16" s="1"/>
  <c r="K2448" i="16"/>
  <c r="F2448" i="16"/>
  <c r="O2448" i="16" s="1"/>
  <c r="K1638" i="16"/>
  <c r="F1638" i="16"/>
  <c r="O1638" i="16" s="1"/>
  <c r="K720" i="16"/>
  <c r="F720" i="16"/>
  <c r="O720" i="16" s="1"/>
  <c r="K342" i="16"/>
  <c r="F342" i="16"/>
  <c r="O342" i="16" s="1"/>
  <c r="S4721" i="16"/>
  <c r="U4721" i="16"/>
  <c r="M4722" i="16"/>
  <c r="D4722" i="16"/>
  <c r="J4722" i="16"/>
  <c r="N4722" i="16" s="1"/>
  <c r="P4722" i="16"/>
  <c r="Q4722" i="16"/>
  <c r="B4723" i="16" s="1"/>
  <c r="C13" i="11" s="1"/>
  <c r="R4722" i="16"/>
  <c r="P4668" i="16"/>
  <c r="Q4668" i="16"/>
  <c r="B4669" i="16" s="1"/>
  <c r="R4668" i="16"/>
  <c r="M4614" i="16"/>
  <c r="D4614" i="16"/>
  <c r="J4614" i="16"/>
  <c r="N4614" i="16" s="1"/>
  <c r="B4615" i="16" s="1"/>
  <c r="P4614" i="16"/>
  <c r="Q4614" i="16"/>
  <c r="R4614" i="16"/>
  <c r="D4560" i="16"/>
  <c r="J4560" i="16"/>
  <c r="P4560" i="16"/>
  <c r="Q4560" i="16"/>
  <c r="R4560" i="16"/>
  <c r="M4260" i="16"/>
  <c r="D4260" i="16"/>
  <c r="J4260" i="16"/>
  <c r="N4260" i="16" s="1"/>
  <c r="P4260" i="16"/>
  <c r="Q4260" i="16"/>
  <c r="R4260" i="16"/>
  <c r="T4260" i="16"/>
  <c r="U4205" i="16"/>
  <c r="S4205" i="16"/>
  <c r="P4206" i="16"/>
  <c r="Q4206" i="16"/>
  <c r="R4206" i="16"/>
  <c r="T4206" i="16"/>
  <c r="J4206" i="16"/>
  <c r="D4206" i="16"/>
  <c r="U4151" i="16"/>
  <c r="S4151" i="16"/>
  <c r="D4152" i="16"/>
  <c r="J4152" i="16"/>
  <c r="P4152" i="16"/>
  <c r="Q4152" i="16"/>
  <c r="R4152" i="16"/>
  <c r="T4152" i="16"/>
  <c r="U4097" i="16"/>
  <c r="S4097" i="16"/>
  <c r="D4098" i="16"/>
  <c r="J4098" i="16"/>
  <c r="P4098" i="16"/>
  <c r="Q4098" i="16"/>
  <c r="R4098" i="16"/>
  <c r="T4098" i="16"/>
  <c r="D3798" i="16"/>
  <c r="J3798" i="16"/>
  <c r="P3798" i="16"/>
  <c r="Q3798" i="16"/>
  <c r="F3799" i="16" s="1"/>
  <c r="G72" i="16" s="1"/>
  <c r="AC72" i="16" s="1"/>
  <c r="R3798" i="16"/>
  <c r="G3799" i="16" s="1"/>
  <c r="H72" i="16" s="1"/>
  <c r="T3798" i="16"/>
  <c r="M3744" i="16"/>
  <c r="D3744" i="16"/>
  <c r="J3744" i="16"/>
  <c r="N3744" i="16" s="1"/>
  <c r="P3744" i="16"/>
  <c r="Q3744" i="16"/>
  <c r="R3744" i="16"/>
  <c r="T3744" i="16"/>
  <c r="P3690" i="16"/>
  <c r="Q3690" i="16"/>
  <c r="R3690" i="16"/>
  <c r="T3690" i="16"/>
  <c r="D3690" i="16"/>
  <c r="J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R3528" i="16"/>
  <c r="T3528" i="16"/>
  <c r="S3473" i="16"/>
  <c r="U3473" i="16"/>
  <c r="M3474" i="16"/>
  <c r="D3474" i="16"/>
  <c r="J3474" i="16"/>
  <c r="N3474" i="16" s="1"/>
  <c r="P3474" i="16"/>
  <c r="Q3474" i="16"/>
  <c r="R3474" i="16"/>
  <c r="T3474" i="16"/>
  <c r="U3419" i="16"/>
  <c r="S3419" i="16"/>
  <c r="D3420" i="16"/>
  <c r="J3420" i="16"/>
  <c r="P3420" i="16"/>
  <c r="Q3420" i="16"/>
  <c r="R3420" i="16"/>
  <c r="T3420" i="16"/>
  <c r="U3365" i="16"/>
  <c r="S3365" i="16"/>
  <c r="M3366" i="16"/>
  <c r="D3366" i="16"/>
  <c r="J3366" i="16"/>
  <c r="N3366" i="16" s="1"/>
  <c r="P3366" i="16"/>
  <c r="Q3366" i="16"/>
  <c r="R3366" i="16"/>
  <c r="T3366" i="16"/>
  <c r="U3311" i="16"/>
  <c r="S3311" i="16"/>
  <c r="D3312" i="16"/>
  <c r="J3312" i="16"/>
  <c r="P3312" i="16"/>
  <c r="Q3312" i="16"/>
  <c r="R3312" i="16"/>
  <c r="T3312" i="16"/>
  <c r="P3258" i="16"/>
  <c r="Q3258" i="16"/>
  <c r="R3258" i="16"/>
  <c r="T3258" i="16"/>
  <c r="D3258" i="16"/>
  <c r="J3258" i="16"/>
  <c r="P3204" i="16"/>
  <c r="Q3204" i="16"/>
  <c r="R3204" i="16"/>
  <c r="T3204" i="16"/>
  <c r="J3204" i="16"/>
  <c r="D3204" i="16"/>
  <c r="U3149" i="16"/>
  <c r="S3149" i="16"/>
  <c r="M3150" i="16"/>
  <c r="D3150" i="16"/>
  <c r="J3150" i="16"/>
  <c r="N3150" i="16" s="1"/>
  <c r="P3150" i="16"/>
  <c r="Q3150" i="16"/>
  <c r="R3150" i="16"/>
  <c r="T3150" i="16"/>
  <c r="U3095" i="16"/>
  <c r="S3095" i="16"/>
  <c r="M3096" i="16"/>
  <c r="P3096" i="16"/>
  <c r="Q3096" i="16"/>
  <c r="R3096" i="16"/>
  <c r="T3096" i="16"/>
  <c r="D3096" i="16"/>
  <c r="J3096" i="16"/>
  <c r="N3096" i="16" s="1"/>
  <c r="U3041" i="16"/>
  <c r="S3041" i="16"/>
  <c r="P3042" i="16"/>
  <c r="Q3042" i="16"/>
  <c r="R3042" i="16"/>
  <c r="T3042" i="16"/>
  <c r="D3042" i="16"/>
  <c r="J3042" i="16"/>
  <c r="S2987" i="16"/>
  <c r="U2987" i="16"/>
  <c r="M2988" i="16"/>
  <c r="J2988" i="16"/>
  <c r="N2988" i="16" s="1"/>
  <c r="D2988" i="16"/>
  <c r="P2988" i="16"/>
  <c r="Q2988" i="16"/>
  <c r="R2988" i="16"/>
  <c r="T2988" i="16"/>
  <c r="U2933" i="16"/>
  <c r="S2933" i="16"/>
  <c r="M2934" i="16"/>
  <c r="D2934" i="16"/>
  <c r="J2934" i="16"/>
  <c r="N2934" i="16" s="1"/>
  <c r="P2934" i="16"/>
  <c r="Q2934" i="16"/>
  <c r="F2935" i="16" s="1"/>
  <c r="G56" i="16" s="1"/>
  <c r="R2934" i="16"/>
  <c r="G2935" i="16" s="1"/>
  <c r="H56" i="16" s="1"/>
  <c r="L56" i="16" s="1"/>
  <c r="AI56" i="16" s="1"/>
  <c r="T2934" i="16"/>
  <c r="U2879" i="16"/>
  <c r="S2879" i="16"/>
  <c r="D2880" i="16"/>
  <c r="J2880" i="16"/>
  <c r="P2880" i="16"/>
  <c r="Q2880" i="16"/>
  <c r="R2880" i="16"/>
  <c r="G2881" i="16" s="1"/>
  <c r="H55" i="16" s="1"/>
  <c r="L55" i="16" s="1"/>
  <c r="AI55" i="16" s="1"/>
  <c r="T2880" i="16"/>
  <c r="D2826" i="16"/>
  <c r="J2826" i="16"/>
  <c r="P2826" i="16"/>
  <c r="Q2826" i="16"/>
  <c r="R2826" i="16"/>
  <c r="T2826" i="16"/>
  <c r="U2826" i="16" s="1"/>
  <c r="S2771" i="16"/>
  <c r="U2771" i="16"/>
  <c r="M2772" i="16"/>
  <c r="D2772" i="16"/>
  <c r="J2772" i="16"/>
  <c r="N2772" i="16" s="1"/>
  <c r="P2772" i="16"/>
  <c r="Q2772" i="16"/>
  <c r="R2772" i="16"/>
  <c r="T2772" i="16"/>
  <c r="U2717" i="16"/>
  <c r="S2717" i="16"/>
  <c r="M2718" i="16"/>
  <c r="D2718" i="16"/>
  <c r="J2718" i="16"/>
  <c r="N2718" i="16" s="1"/>
  <c r="P2718" i="16"/>
  <c r="Q2718" i="16"/>
  <c r="R2718" i="16"/>
  <c r="T2718" i="16"/>
  <c r="D2664" i="16"/>
  <c r="J2664" i="16"/>
  <c r="P2664" i="16"/>
  <c r="Q2664" i="16"/>
  <c r="R2664" i="16"/>
  <c r="T2664" i="16"/>
  <c r="U2609" i="16"/>
  <c r="S2609" i="16"/>
  <c r="D2610" i="16"/>
  <c r="J2610" i="16"/>
  <c r="P2610" i="16"/>
  <c r="Q2610" i="16"/>
  <c r="F2611" i="16" s="1"/>
  <c r="G50" i="16" s="1"/>
  <c r="R2610" i="16"/>
  <c r="G2611" i="16" s="1"/>
  <c r="H50" i="16" s="1"/>
  <c r="L50" i="16" s="1"/>
  <c r="AI50" i="16" s="1"/>
  <c r="T2610" i="16"/>
  <c r="S2555" i="16"/>
  <c r="U2555" i="16"/>
  <c r="M2556" i="16"/>
  <c r="D2556" i="16"/>
  <c r="J2556" i="16"/>
  <c r="N2556" i="16" s="1"/>
  <c r="P2556" i="16"/>
  <c r="Q2556" i="16"/>
  <c r="F2557" i="16" s="1"/>
  <c r="G49" i="16" s="1"/>
  <c r="R2556" i="16"/>
  <c r="G2557" i="16" s="1"/>
  <c r="H49" i="16" s="1"/>
  <c r="L49" i="16" s="1"/>
  <c r="AI49" i="16" s="1"/>
  <c r="T2556" i="16"/>
  <c r="U2501" i="16"/>
  <c r="S2501" i="16"/>
  <c r="M2502" i="16"/>
  <c r="D2502" i="16"/>
  <c r="J2502" i="16"/>
  <c r="N2502" i="16" s="1"/>
  <c r="P2502" i="16"/>
  <c r="Q2502" i="16"/>
  <c r="R2502" i="16"/>
  <c r="T2502" i="16"/>
  <c r="M2448" i="16"/>
  <c r="D2448" i="16"/>
  <c r="J2448" i="16"/>
  <c r="N2448" i="16" s="1"/>
  <c r="Q2448" i="16"/>
  <c r="R2448" i="16"/>
  <c r="P2448" i="16"/>
  <c r="T2448" i="16"/>
  <c r="M2394" i="16"/>
  <c r="D2394" i="16"/>
  <c r="J2394" i="16"/>
  <c r="N2394" i="16" s="1"/>
  <c r="Q2394" i="16"/>
  <c r="P2394" i="16"/>
  <c r="R2394" i="16"/>
  <c r="T2394" i="16"/>
  <c r="S2339" i="16"/>
  <c r="U2339" i="16"/>
  <c r="M2340" i="16"/>
  <c r="D2340" i="16"/>
  <c r="J2340" i="16"/>
  <c r="N2340" i="16" s="1"/>
  <c r="Q2340" i="16"/>
  <c r="R2340" i="16"/>
  <c r="P2340" i="16"/>
  <c r="T2340" i="16"/>
  <c r="U2285" i="16"/>
  <c r="S2285" i="16"/>
  <c r="M2286" i="16"/>
  <c r="D2286" i="16"/>
  <c r="J2286" i="16"/>
  <c r="N2286" i="16" s="1"/>
  <c r="P2286" i="16"/>
  <c r="Q2286" i="16"/>
  <c r="F2287" i="16" s="1"/>
  <c r="G44" i="16" s="1"/>
  <c r="R2286" i="16"/>
  <c r="G2287" i="16" s="1"/>
  <c r="H44" i="16" s="1"/>
  <c r="L44" i="16" s="1"/>
  <c r="AI44" i="16" s="1"/>
  <c r="T2286" i="16"/>
  <c r="D2232" i="16"/>
  <c r="J2232" i="16"/>
  <c r="Q2232" i="16"/>
  <c r="P2232" i="16"/>
  <c r="R2232" i="16"/>
  <c r="T2232" i="16"/>
  <c r="M2178" i="16"/>
  <c r="D2178" i="16"/>
  <c r="J2178" i="16"/>
  <c r="N2178" i="16" s="1"/>
  <c r="P2178" i="16"/>
  <c r="Q2178" i="16"/>
  <c r="R2178" i="16"/>
  <c r="T2178" i="16"/>
  <c r="U2123" i="16"/>
  <c r="S2123" i="16"/>
  <c r="D2124" i="16"/>
  <c r="J2124" i="16"/>
  <c r="P2124" i="16"/>
  <c r="Q2124" i="16"/>
  <c r="R2124" i="16"/>
  <c r="T2124" i="16"/>
  <c r="U2069" i="16"/>
  <c r="S2069" i="16"/>
  <c r="D2070" i="16"/>
  <c r="J2070" i="16"/>
  <c r="P2070" i="16"/>
  <c r="Q2070" i="16"/>
  <c r="R2070" i="16"/>
  <c r="T2070" i="16"/>
  <c r="U2015" i="16"/>
  <c r="S2015" i="16"/>
  <c r="M2016" i="16"/>
  <c r="D2016" i="16"/>
  <c r="J2016" i="16"/>
  <c r="N2016" i="16" s="1"/>
  <c r="P2016" i="16"/>
  <c r="Q2016" i="16"/>
  <c r="R2016" i="16"/>
  <c r="T2016" i="16"/>
  <c r="U1961" i="16"/>
  <c r="S1961" i="16"/>
  <c r="M1962" i="16"/>
  <c r="D1962" i="16"/>
  <c r="J1962" i="16"/>
  <c r="N1962" i="16" s="1"/>
  <c r="P1962" i="16"/>
  <c r="Q1962" i="16"/>
  <c r="R1962" i="16"/>
  <c r="T1962" i="16"/>
  <c r="M1908" i="16"/>
  <c r="D1908" i="16"/>
  <c r="J1908" i="16"/>
  <c r="N1908" i="16" s="1"/>
  <c r="P1908" i="16"/>
  <c r="Q1908" i="16"/>
  <c r="R1908" i="16"/>
  <c r="T1908" i="16"/>
  <c r="U1853" i="16"/>
  <c r="S1853" i="16"/>
  <c r="M1854" i="16"/>
  <c r="D1854" i="16"/>
  <c r="J1854" i="16"/>
  <c r="N1854" i="16" s="1"/>
  <c r="P1854" i="16"/>
  <c r="Q1854" i="16"/>
  <c r="R1854" i="16"/>
  <c r="T1854" i="16"/>
  <c r="U1799" i="16"/>
  <c r="S1799" i="16"/>
  <c r="D1800" i="16"/>
  <c r="J1800" i="16"/>
  <c r="P1800" i="16"/>
  <c r="Q1800" i="16"/>
  <c r="R1800" i="16"/>
  <c r="T1800" i="16"/>
  <c r="U1745" i="16"/>
  <c r="S1745" i="16"/>
  <c r="M1746" i="16"/>
  <c r="D1746" i="16"/>
  <c r="J1746" i="16"/>
  <c r="N1746" i="16" s="1"/>
  <c r="P1746" i="16"/>
  <c r="Q1746" i="16"/>
  <c r="R1746" i="16"/>
  <c r="T1746" i="16"/>
  <c r="S1691" i="16"/>
  <c r="U1691" i="16"/>
  <c r="M1692" i="16"/>
  <c r="D1692" i="16"/>
  <c r="J1692" i="16"/>
  <c r="N1692" i="16" s="1"/>
  <c r="P1692" i="16"/>
  <c r="Q1692" i="16"/>
  <c r="R1692" i="16"/>
  <c r="T1692" i="16"/>
  <c r="M1638" i="16"/>
  <c r="D1638" i="16"/>
  <c r="J1638" i="16"/>
  <c r="N1638" i="16" s="1"/>
  <c r="P1638" i="16"/>
  <c r="Q1638" i="16"/>
  <c r="R1638" i="16"/>
  <c r="T1638" i="16"/>
  <c r="M1584" i="16"/>
  <c r="D1584" i="16"/>
  <c r="J1584" i="16"/>
  <c r="N1584" i="16" s="1"/>
  <c r="P1584" i="16"/>
  <c r="Q1584" i="16"/>
  <c r="R1584" i="16"/>
  <c r="G1585" i="16" s="1"/>
  <c r="H31" i="16" s="1"/>
  <c r="L31" i="16" s="1"/>
  <c r="AI31" i="16" s="1"/>
  <c r="T1584" i="16"/>
  <c r="D1530" i="16"/>
  <c r="J1530" i="16"/>
  <c r="P1530" i="16"/>
  <c r="Q1530" i="16"/>
  <c r="R1530" i="16"/>
  <c r="T1530" i="16"/>
  <c r="M1476" i="16"/>
  <c r="D1476" i="16"/>
  <c r="J1476" i="16"/>
  <c r="N1476" i="16" s="1"/>
  <c r="P1476" i="16"/>
  <c r="Q1476" i="16"/>
  <c r="R1476" i="16"/>
  <c r="T1476" i="16"/>
  <c r="U1421" i="16"/>
  <c r="S1421" i="16"/>
  <c r="P1422" i="16"/>
  <c r="Q1422" i="16"/>
  <c r="R1422" i="16"/>
  <c r="T1422" i="16"/>
  <c r="D1422" i="16"/>
  <c r="J1422" i="16"/>
  <c r="M1368" i="16"/>
  <c r="D1368" i="16"/>
  <c r="J1368" i="16"/>
  <c r="N1368" i="16" s="1"/>
  <c r="P1368" i="16"/>
  <c r="Q1368" i="16"/>
  <c r="R1368" i="16"/>
  <c r="T1368" i="16"/>
  <c r="P1314" i="16"/>
  <c r="Q1314" i="16"/>
  <c r="R1314" i="16"/>
  <c r="T1314" i="16"/>
  <c r="J1314" i="16"/>
  <c r="D1314" i="16"/>
  <c r="U1205" i="16"/>
  <c r="S1205" i="16"/>
  <c r="M1206" i="16"/>
  <c r="D1206" i="16"/>
  <c r="J1206" i="16"/>
  <c r="N1206" i="16" s="1"/>
  <c r="P1206" i="16"/>
  <c r="Q1206" i="16"/>
  <c r="R1206" i="16"/>
  <c r="T1206" i="16"/>
  <c r="U1151" i="16"/>
  <c r="S1151" i="16"/>
  <c r="M1152" i="16"/>
  <c r="D1152" i="16"/>
  <c r="J1152" i="16"/>
  <c r="N1152" i="16" s="1"/>
  <c r="P1152" i="16"/>
  <c r="Q1152" i="16"/>
  <c r="R1152" i="16"/>
  <c r="G1153" i="16" s="1"/>
  <c r="H23" i="16" s="1"/>
  <c r="L23" i="16" s="1"/>
  <c r="AI23" i="16" s="1"/>
  <c r="T1152" i="16"/>
  <c r="U1097" i="16"/>
  <c r="S1097" i="16"/>
  <c r="M1098" i="16"/>
  <c r="D1098" i="16"/>
  <c r="J1098" i="16"/>
  <c r="N1098" i="16" s="1"/>
  <c r="P1098" i="16"/>
  <c r="Q1098" i="16"/>
  <c r="F1099" i="16" s="1"/>
  <c r="G22" i="16" s="1"/>
  <c r="R1098" i="16"/>
  <c r="G1099" i="16" s="1"/>
  <c r="H22" i="16" s="1"/>
  <c r="L22" i="16" s="1"/>
  <c r="AI22" i="16" s="1"/>
  <c r="T1098" i="16"/>
  <c r="M1044" i="16"/>
  <c r="D1044" i="16"/>
  <c r="J1044" i="16"/>
  <c r="N1044" i="16" s="1"/>
  <c r="P1044" i="16"/>
  <c r="Q1044" i="16"/>
  <c r="R1044" i="16"/>
  <c r="T1044" i="16"/>
  <c r="J990" i="16"/>
  <c r="D990" i="16"/>
  <c r="P990" i="16"/>
  <c r="Q990" i="16"/>
  <c r="R990" i="16"/>
  <c r="T990" i="16"/>
  <c r="U935" i="16"/>
  <c r="S935" i="16"/>
  <c r="D936" i="16"/>
  <c r="J936" i="16"/>
  <c r="P936" i="16"/>
  <c r="Q936" i="16"/>
  <c r="R936" i="16"/>
  <c r="T936" i="16"/>
  <c r="U881" i="16"/>
  <c r="S881" i="16"/>
  <c r="M882" i="16"/>
  <c r="D882" i="16"/>
  <c r="J882" i="16"/>
  <c r="N882" i="16" s="1"/>
  <c r="P882" i="16"/>
  <c r="Q882" i="16"/>
  <c r="R882" i="16"/>
  <c r="T882" i="16"/>
  <c r="U827" i="16"/>
  <c r="S827" i="16"/>
  <c r="M828" i="16"/>
  <c r="D828" i="16"/>
  <c r="J828" i="16"/>
  <c r="N828" i="16" s="1"/>
  <c r="P828" i="16"/>
  <c r="Q828" i="16"/>
  <c r="R828" i="16"/>
  <c r="T828" i="16"/>
  <c r="S773" i="16"/>
  <c r="U773" i="16"/>
  <c r="N774" i="16"/>
  <c r="M774" i="16"/>
  <c r="D774" i="16"/>
  <c r="J774" i="16"/>
  <c r="Q774" i="16"/>
  <c r="P774" i="16"/>
  <c r="R774" i="16"/>
  <c r="T774" i="16"/>
  <c r="U719" i="16"/>
  <c r="S719" i="16"/>
  <c r="M720" i="16"/>
  <c r="D720" i="16"/>
  <c r="J720" i="16"/>
  <c r="N720" i="16" s="1"/>
  <c r="P720" i="16"/>
  <c r="Q720" i="16"/>
  <c r="R720" i="16"/>
  <c r="T720" i="16"/>
  <c r="U665" i="16"/>
  <c r="S665" i="16"/>
  <c r="M666" i="16"/>
  <c r="D666" i="16"/>
  <c r="J666" i="16"/>
  <c r="N666" i="16" s="1"/>
  <c r="P666" i="16"/>
  <c r="Q666" i="16"/>
  <c r="R666" i="16"/>
  <c r="T666" i="16"/>
  <c r="U611" i="16"/>
  <c r="S611" i="16"/>
  <c r="M612" i="16"/>
  <c r="D612" i="16"/>
  <c r="J612" i="16"/>
  <c r="N612" i="16" s="1"/>
  <c r="Q612" i="16"/>
  <c r="P612" i="16"/>
  <c r="R612" i="16"/>
  <c r="T612" i="16"/>
  <c r="S557" i="16"/>
  <c r="U557" i="16"/>
  <c r="M558" i="16"/>
  <c r="D558" i="16"/>
  <c r="J558" i="16"/>
  <c r="N558" i="16" s="1"/>
  <c r="Q558" i="16"/>
  <c r="P558" i="16"/>
  <c r="R558" i="16"/>
  <c r="T558" i="16"/>
  <c r="M504" i="16"/>
  <c r="D504" i="16"/>
  <c r="J504" i="16"/>
  <c r="N504" i="16" s="1"/>
  <c r="Q504" i="16"/>
  <c r="P504" i="16"/>
  <c r="R504" i="16"/>
  <c r="T504" i="16"/>
  <c r="U449" i="16"/>
  <c r="S449" i="16"/>
  <c r="D450" i="16"/>
  <c r="J450" i="16"/>
  <c r="P450" i="16"/>
  <c r="Q450" i="16"/>
  <c r="R450" i="16"/>
  <c r="T450" i="16"/>
  <c r="U395" i="16"/>
  <c r="S395" i="16"/>
  <c r="M396" i="16"/>
  <c r="D396" i="16"/>
  <c r="J396" i="16"/>
  <c r="N396" i="16" s="1"/>
  <c r="P396" i="16"/>
  <c r="Q396" i="16"/>
  <c r="R396" i="16"/>
  <c r="T396" i="16"/>
  <c r="S341" i="16"/>
  <c r="U341" i="16"/>
  <c r="M342" i="16"/>
  <c r="P342" i="16"/>
  <c r="Q342" i="16"/>
  <c r="R342" i="16"/>
  <c r="T342" i="16"/>
  <c r="D342" i="16"/>
  <c r="J342" i="16"/>
  <c r="N342" i="16" s="1"/>
  <c r="U287" i="16"/>
  <c r="S287" i="16"/>
  <c r="M288" i="16"/>
  <c r="D288" i="16"/>
  <c r="J288" i="16"/>
  <c r="N288" i="16" s="1"/>
  <c r="P288" i="16"/>
  <c r="Q288" i="16"/>
  <c r="R288" i="16"/>
  <c r="T288" i="16"/>
  <c r="U233" i="16"/>
  <c r="S233" i="16"/>
  <c r="M234" i="16"/>
  <c r="D234" i="16"/>
  <c r="J234" i="16"/>
  <c r="N234" i="16" s="1"/>
  <c r="P234" i="16"/>
  <c r="Q234" i="16"/>
  <c r="F235" i="16" s="1"/>
  <c r="G6" i="16" s="1"/>
  <c r="R234" i="16"/>
  <c r="G235" i="16" s="1"/>
  <c r="H6" i="16" s="1"/>
  <c r="L6" i="16" s="1"/>
  <c r="AI6" i="16" s="1"/>
  <c r="T234" i="16"/>
  <c r="U179" i="16"/>
  <c r="S179" i="16"/>
  <c r="M180" i="16"/>
  <c r="D180" i="16"/>
  <c r="J180" i="16"/>
  <c r="N180" i="16" s="1"/>
  <c r="P180" i="16"/>
  <c r="Q180" i="16"/>
  <c r="R180" i="16"/>
  <c r="T180" i="16"/>
  <c r="S125" i="16"/>
  <c r="U125" i="16"/>
  <c r="M126" i="16"/>
  <c r="D126" i="16"/>
  <c r="J126" i="16"/>
  <c r="N126" i="16" s="1"/>
  <c r="P126" i="16"/>
  <c r="Q126" i="16"/>
  <c r="R126" i="16"/>
  <c r="T126" i="16"/>
  <c r="U63" i="4"/>
  <c r="S63"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BF64" i="4"/>
  <c r="E6" i="13" s="1"/>
  <c r="G6" i="13" s="1"/>
  <c r="V64" i="4"/>
  <c r="T64" i="4"/>
  <c r="M64" i="4"/>
  <c r="F63" i="5"/>
  <c r="G63" i="5"/>
  <c r="H63" i="5"/>
  <c r="U4204" i="16"/>
  <c r="S4204" i="16"/>
  <c r="U3742" i="16"/>
  <c r="S3742" i="16"/>
  <c r="U3472" i="16"/>
  <c r="S3472" i="16"/>
  <c r="U3040" i="16"/>
  <c r="S3040" i="16"/>
  <c r="U2932" i="16"/>
  <c r="S2932" i="16"/>
  <c r="U2878" i="16"/>
  <c r="S2878" i="16"/>
  <c r="S2770" i="16"/>
  <c r="U2770" i="16"/>
  <c r="U2716" i="16"/>
  <c r="S2716" i="16"/>
  <c r="U2662" i="16"/>
  <c r="S2662" i="16"/>
  <c r="U2608" i="16"/>
  <c r="S2608" i="16"/>
  <c r="U1852" i="16"/>
  <c r="S1852" i="16"/>
  <c r="U1582" i="16"/>
  <c r="S1582" i="16"/>
  <c r="U1366" i="16"/>
  <c r="S1366" i="16"/>
  <c r="U1312" i="16"/>
  <c r="S1312" i="16"/>
  <c r="S1259" i="16"/>
  <c r="U1259" i="16"/>
  <c r="U1042" i="16"/>
  <c r="S1042" i="16"/>
  <c r="U988" i="16"/>
  <c r="S988" i="16"/>
  <c r="U934" i="16"/>
  <c r="S934" i="16"/>
  <c r="U826" i="16"/>
  <c r="S826" i="16"/>
  <c r="U340" i="16"/>
  <c r="S340" i="16"/>
  <c r="M4259" i="16"/>
  <c r="N4259" i="16"/>
  <c r="M3797" i="16"/>
  <c r="N3797" i="16"/>
  <c r="M3743" i="16"/>
  <c r="N3743" i="16"/>
  <c r="M3689" i="16"/>
  <c r="N3689" i="16"/>
  <c r="N3257" i="16"/>
  <c r="M3257" i="16"/>
  <c r="M3203" i="16"/>
  <c r="N3203" i="16"/>
  <c r="M2663" i="16"/>
  <c r="N2663" i="16"/>
  <c r="M2447" i="16"/>
  <c r="N2447" i="16"/>
  <c r="M2393" i="16"/>
  <c r="N2393" i="16"/>
  <c r="M2231" i="16"/>
  <c r="N2231" i="16"/>
  <c r="M2177" i="16"/>
  <c r="N2177" i="16"/>
  <c r="M1907" i="16"/>
  <c r="N1907" i="16"/>
  <c r="M1637" i="16"/>
  <c r="N1637" i="16"/>
  <c r="M1583" i="16"/>
  <c r="N1583" i="16"/>
  <c r="M1529" i="16"/>
  <c r="N1529" i="16"/>
  <c r="M1475" i="16"/>
  <c r="N1475" i="16"/>
  <c r="M1367" i="16"/>
  <c r="N1367" i="16"/>
  <c r="M1313" i="16"/>
  <c r="N1313" i="16"/>
  <c r="N1260" i="16"/>
  <c r="M1260" i="16"/>
  <c r="M1043" i="16"/>
  <c r="N1043" i="16"/>
  <c r="N989" i="16"/>
  <c r="M989" i="16"/>
  <c r="M503" i="16"/>
  <c r="N503" i="16"/>
  <c r="T4719" i="16"/>
  <c r="T4720" i="16"/>
  <c r="F4560" i="16"/>
  <c r="K4560" i="16"/>
  <c r="K4206" i="16"/>
  <c r="F4206" i="16"/>
  <c r="O4206" i="16" s="1"/>
  <c r="F4152" i="16"/>
  <c r="O4152" i="16" s="1"/>
  <c r="K4152" i="16"/>
  <c r="F4098" i="16"/>
  <c r="O4098" i="16" s="1"/>
  <c r="K4098" i="16"/>
  <c r="F3798" i="16"/>
  <c r="O3798" i="16" s="1"/>
  <c r="K3798" i="16"/>
  <c r="K3690" i="16"/>
  <c r="F3690" i="16"/>
  <c r="O3690" i="16" s="1"/>
  <c r="F3420" i="16"/>
  <c r="O3420" i="16" s="1"/>
  <c r="K3420" i="16"/>
  <c r="F3312" i="16"/>
  <c r="O3312" i="16" s="1"/>
  <c r="K3312" i="16"/>
  <c r="F3258" i="16"/>
  <c r="O3258" i="16" s="1"/>
  <c r="K3258" i="16"/>
  <c r="K3204" i="16"/>
  <c r="F3204" i="16"/>
  <c r="O3204" i="16" s="1"/>
  <c r="K3042" i="16"/>
  <c r="F3042" i="16"/>
  <c r="O3042" i="16" s="1"/>
  <c r="F2880" i="16"/>
  <c r="O2880" i="16" s="1"/>
  <c r="K2880" i="16"/>
  <c r="F2826" i="16"/>
  <c r="O2826" i="16" s="1"/>
  <c r="K2826" i="16"/>
  <c r="K2664" i="16"/>
  <c r="F2664" i="16"/>
  <c r="O2664" i="16" s="1"/>
  <c r="F2610" i="16"/>
  <c r="O2610" i="16" s="1"/>
  <c r="K2610" i="16"/>
  <c r="F2232" i="16"/>
  <c r="O2232" i="16" s="1"/>
  <c r="K2232" i="16"/>
  <c r="K2124" i="16"/>
  <c r="F2124" i="16"/>
  <c r="O2124" i="16" s="1"/>
  <c r="K2070" i="16"/>
  <c r="F2070" i="16"/>
  <c r="O2070" i="16" s="1"/>
  <c r="F1800" i="16"/>
  <c r="O1800" i="16" s="1"/>
  <c r="K1800" i="16"/>
  <c r="F1530" i="16"/>
  <c r="O1530" i="16" s="1"/>
  <c r="K1530" i="16"/>
  <c r="F1422" i="16"/>
  <c r="O1422" i="16" s="1"/>
  <c r="K1422" i="16"/>
  <c r="F1314" i="16"/>
  <c r="O1314" i="16" s="1"/>
  <c r="K1314" i="16"/>
  <c r="F1261" i="16"/>
  <c r="G25" i="16" s="1"/>
  <c r="G1261" i="16"/>
  <c r="H25" i="16" s="1"/>
  <c r="L25" i="16" s="1"/>
  <c r="AI25" i="16" s="1"/>
  <c r="F990" i="16"/>
  <c r="O990" i="16" s="1"/>
  <c r="K990" i="16"/>
  <c r="K936" i="16"/>
  <c r="F936" i="16"/>
  <c r="O936" i="16" s="1"/>
  <c r="K450" i="16"/>
  <c r="F450" i="16"/>
  <c r="O450" i="16" s="1"/>
  <c r="F2881" i="16" l="1"/>
  <c r="G55" i="16" s="1"/>
  <c r="AP67" i="4"/>
  <c r="AP72" i="4" s="1"/>
  <c r="F84" i="7" s="1"/>
  <c r="AP73" i="4"/>
  <c r="AO67" i="4"/>
  <c r="AO72" i="4" s="1"/>
  <c r="F83" i="7" s="1"/>
  <c r="AO73" i="4"/>
  <c r="AN73" i="4"/>
  <c r="AN67" i="4"/>
  <c r="AN72" i="4" s="1"/>
  <c r="F82" i="7" s="1"/>
  <c r="AM67" i="4"/>
  <c r="AM72" i="4" s="1"/>
  <c r="F81" i="7" s="1"/>
  <c r="AM73" i="4"/>
  <c r="T4721" i="16"/>
  <c r="S4722" i="16"/>
  <c r="U4722" i="16"/>
  <c r="U4260" i="16"/>
  <c r="B4261" i="16" s="1"/>
  <c r="S4260" i="16"/>
  <c r="U3744" i="16"/>
  <c r="S3744" i="16"/>
  <c r="U3636" i="16"/>
  <c r="S3636" i="16"/>
  <c r="U3582" i="16"/>
  <c r="S3582" i="16"/>
  <c r="U3528" i="16"/>
  <c r="S3528" i="16"/>
  <c r="S3474" i="16"/>
  <c r="U3474" i="16"/>
  <c r="U3366" i="16"/>
  <c r="S3366" i="16"/>
  <c r="U3150" i="16"/>
  <c r="S3150" i="16"/>
  <c r="U3096" i="16"/>
  <c r="S3096" i="16"/>
  <c r="F3043" i="16"/>
  <c r="G58" i="16" s="1"/>
  <c r="G3043" i="16"/>
  <c r="H58" i="16" s="1"/>
  <c r="L58" i="16" s="1"/>
  <c r="AI58" i="16" s="1"/>
  <c r="U2988" i="16"/>
  <c r="C2989" i="16" s="1"/>
  <c r="D57" i="16" s="1"/>
  <c r="S2988" i="16"/>
  <c r="G2989" i="16"/>
  <c r="H57" i="16" s="1"/>
  <c r="L57" i="16" s="1"/>
  <c r="AI57" i="16" s="1"/>
  <c r="E2989" i="16"/>
  <c r="F57" i="16" s="1"/>
  <c r="U2934" i="16"/>
  <c r="C2935" i="16" s="1"/>
  <c r="D56" i="16" s="1"/>
  <c r="S2934" i="16"/>
  <c r="S2772" i="16"/>
  <c r="U2772" i="16"/>
  <c r="C2773" i="16" s="1"/>
  <c r="D53" i="16" s="1"/>
  <c r="U2718" i="16"/>
  <c r="C2719" i="16" s="1"/>
  <c r="D52" i="16" s="1"/>
  <c r="S2718" i="16"/>
  <c r="K50" i="16"/>
  <c r="AC50" i="16"/>
  <c r="S2556" i="16"/>
  <c r="U2556" i="16"/>
  <c r="U2502" i="16"/>
  <c r="C2503" i="16" s="1"/>
  <c r="D48" i="16" s="1"/>
  <c r="S2502" i="16"/>
  <c r="F2503" i="16"/>
  <c r="G48" i="16" s="1"/>
  <c r="D2503" i="16"/>
  <c r="E48" i="16" s="1"/>
  <c r="E2503" i="16"/>
  <c r="F48" i="16" s="1"/>
  <c r="G2503" i="16"/>
  <c r="H48" i="16" s="1"/>
  <c r="L48" i="16" s="1"/>
  <c r="AI48" i="16" s="1"/>
  <c r="U2448" i="16"/>
  <c r="S2448" i="16"/>
  <c r="F2449" i="16"/>
  <c r="G47" i="16" s="1"/>
  <c r="D2449" i="16"/>
  <c r="E47" i="16" s="1"/>
  <c r="G2449" i="16"/>
  <c r="H47" i="16" s="1"/>
  <c r="L47" i="16" s="1"/>
  <c r="AI47" i="16" s="1"/>
  <c r="U2394" i="16"/>
  <c r="S2394" i="16"/>
  <c r="S2340" i="16"/>
  <c r="U2340" i="16"/>
  <c r="U2286" i="16"/>
  <c r="S2286" i="16"/>
  <c r="F2233" i="16"/>
  <c r="G43" i="16" s="1"/>
  <c r="G2233" i="16"/>
  <c r="H43" i="16" s="1"/>
  <c r="L43" i="16" s="1"/>
  <c r="AI43" i="16" s="1"/>
  <c r="U2178" i="16"/>
  <c r="S2178" i="16"/>
  <c r="U2016" i="16"/>
  <c r="S2016" i="16"/>
  <c r="U1962" i="16"/>
  <c r="S1962" i="16"/>
  <c r="S1908" i="16"/>
  <c r="U1908" i="16"/>
  <c r="U1854" i="16"/>
  <c r="C1855" i="16" s="1"/>
  <c r="D36" i="16" s="1"/>
  <c r="S1854" i="16"/>
  <c r="U1746" i="16"/>
  <c r="C1747" i="16" s="1"/>
  <c r="D34" i="16" s="1"/>
  <c r="S1746" i="16"/>
  <c r="S1692" i="16"/>
  <c r="U1692" i="16"/>
  <c r="C1693" i="16" s="1"/>
  <c r="D33" i="16" s="1"/>
  <c r="F1693" i="16"/>
  <c r="G33" i="16" s="1"/>
  <c r="D1693" i="16"/>
  <c r="E33" i="16" s="1"/>
  <c r="G1693" i="16"/>
  <c r="H33" i="16" s="1"/>
  <c r="L33" i="16" s="1"/>
  <c r="AI33" i="16" s="1"/>
  <c r="E1693" i="16"/>
  <c r="F33" i="16" s="1"/>
  <c r="U1638" i="16"/>
  <c r="E1639" i="16" s="1"/>
  <c r="F32" i="16" s="1"/>
  <c r="S1638" i="16"/>
  <c r="U1584" i="16"/>
  <c r="D1585" i="16" s="1"/>
  <c r="E31" i="16" s="1"/>
  <c r="S1584" i="16"/>
  <c r="F1531" i="16"/>
  <c r="G30" i="16" s="1"/>
  <c r="G1531" i="16"/>
  <c r="H30" i="16" s="1"/>
  <c r="L30" i="16" s="1"/>
  <c r="AI30" i="16" s="1"/>
  <c r="U1476" i="16"/>
  <c r="S1476" i="16"/>
  <c r="U1368" i="16"/>
  <c r="S1368" i="16"/>
  <c r="F1315" i="16"/>
  <c r="G26" i="16" s="1"/>
  <c r="G1315" i="16"/>
  <c r="H26" i="16" s="1"/>
  <c r="L26" i="16" s="1"/>
  <c r="AI26" i="16" s="1"/>
  <c r="U1206" i="16"/>
  <c r="S1206" i="16"/>
  <c r="F1207" i="16"/>
  <c r="G24" i="16" s="1"/>
  <c r="G1207" i="16"/>
  <c r="H24" i="16" s="1"/>
  <c r="L24" i="16" s="1"/>
  <c r="AI24" i="16" s="1"/>
  <c r="U1152" i="16"/>
  <c r="S1152" i="16"/>
  <c r="U1098" i="16"/>
  <c r="S1098" i="16"/>
  <c r="U1044" i="16"/>
  <c r="S1044" i="16"/>
  <c r="U882" i="16"/>
  <c r="C883" i="16" s="1"/>
  <c r="D18" i="16" s="1"/>
  <c r="S882" i="16"/>
  <c r="D883" i="16"/>
  <c r="E18" i="16" s="1"/>
  <c r="F883" i="16"/>
  <c r="G18" i="16" s="1"/>
  <c r="E883" i="16"/>
  <c r="F18" i="16" s="1"/>
  <c r="G883" i="16"/>
  <c r="H18" i="16" s="1"/>
  <c r="L18" i="16" s="1"/>
  <c r="AI18" i="16" s="1"/>
  <c r="U828" i="16"/>
  <c r="S828" i="16"/>
  <c r="S774" i="16"/>
  <c r="U774" i="16"/>
  <c r="U720" i="16"/>
  <c r="C721" i="16" s="1"/>
  <c r="D15" i="16" s="1"/>
  <c r="S720" i="16"/>
  <c r="U666" i="16"/>
  <c r="S666" i="16"/>
  <c r="F667" i="16"/>
  <c r="G14" i="16" s="1"/>
  <c r="G667" i="16"/>
  <c r="H14" i="16" s="1"/>
  <c r="L14" i="16" s="1"/>
  <c r="AI14" i="16" s="1"/>
  <c r="U612" i="16"/>
  <c r="C613" i="16" s="1"/>
  <c r="D13" i="16" s="1"/>
  <c r="S612" i="16"/>
  <c r="S558" i="16"/>
  <c r="U558" i="16"/>
  <c r="U504" i="16"/>
  <c r="S504" i="16"/>
  <c r="U396" i="16"/>
  <c r="S396" i="16"/>
  <c r="F397" i="16"/>
  <c r="G9" i="16" s="1"/>
  <c r="G397" i="16"/>
  <c r="H9" i="16" s="1"/>
  <c r="L9" i="16" s="1"/>
  <c r="AI9" i="16" s="1"/>
  <c r="U342" i="16"/>
  <c r="C343" i="16" s="1"/>
  <c r="D8" i="16" s="1"/>
  <c r="S342" i="16"/>
  <c r="U288" i="16"/>
  <c r="C289" i="16" s="1"/>
  <c r="D7" i="16" s="1"/>
  <c r="S288" i="16"/>
  <c r="AC6" i="16"/>
  <c r="K6" i="16"/>
  <c r="U234" i="16"/>
  <c r="C235" i="16" s="1"/>
  <c r="D6" i="16" s="1"/>
  <c r="S234" i="16"/>
  <c r="U180" i="16"/>
  <c r="C181" i="16" s="1"/>
  <c r="D5" i="16" s="1"/>
  <c r="S180" i="16"/>
  <c r="S126" i="16"/>
  <c r="U126" i="16"/>
  <c r="C127" i="16" s="1"/>
  <c r="D4" i="16" s="1"/>
  <c r="F127" i="16"/>
  <c r="G4" i="16" s="1"/>
  <c r="D127" i="16"/>
  <c r="E4" i="16" s="1"/>
  <c r="E127" i="16"/>
  <c r="F4" i="16" s="1"/>
  <c r="G127" i="16"/>
  <c r="H4" i="16" s="1"/>
  <c r="L4" i="16" s="1"/>
  <c r="AI4" i="16" s="1"/>
  <c r="AK73" i="4"/>
  <c r="AK67" i="4"/>
  <c r="AJ73" i="4"/>
  <c r="AJ67" i="4"/>
  <c r="AI73" i="4"/>
  <c r="AI67" i="4"/>
  <c r="AH73" i="4"/>
  <c r="AH67" i="4"/>
  <c r="AG67" i="4"/>
  <c r="AG73" i="4"/>
  <c r="AF67" i="4"/>
  <c r="AF73" i="4"/>
  <c r="AE67" i="4"/>
  <c r="AE73" i="4"/>
  <c r="AD73" i="4"/>
  <c r="AD67" i="4"/>
  <c r="AC67" i="4"/>
  <c r="AC73" i="4"/>
  <c r="AB67" i="4"/>
  <c r="AB73" i="4"/>
  <c r="AA67" i="4"/>
  <c r="AA73" i="4"/>
  <c r="Z67" i="4"/>
  <c r="Z73" i="4"/>
  <c r="Y73" i="4"/>
  <c r="Y67" i="4"/>
  <c r="V67" i="4"/>
  <c r="V73" i="4"/>
  <c r="U64" i="4"/>
  <c r="F56" i="7"/>
  <c r="S64" i="4"/>
  <c r="U4259" i="16"/>
  <c r="S4259" i="16"/>
  <c r="U3797" i="16"/>
  <c r="S3797" i="16"/>
  <c r="U3743" i="16"/>
  <c r="S3743" i="16"/>
  <c r="S3689" i="16"/>
  <c r="U3689" i="16"/>
  <c r="U3257" i="16"/>
  <c r="S3257" i="16"/>
  <c r="U3203" i="16"/>
  <c r="S3203" i="16"/>
  <c r="U2663" i="16"/>
  <c r="S2663" i="16"/>
  <c r="U2447" i="16"/>
  <c r="E2449" i="16" s="1"/>
  <c r="F47" i="16" s="1"/>
  <c r="S2447" i="16"/>
  <c r="U2393" i="16"/>
  <c r="E2395" i="16" s="1"/>
  <c r="F46" i="16" s="1"/>
  <c r="S2393" i="16"/>
  <c r="U2231" i="16"/>
  <c r="S2231" i="16"/>
  <c r="U2177" i="16"/>
  <c r="S2177" i="16"/>
  <c r="S1907" i="16"/>
  <c r="U1907" i="16"/>
  <c r="U1637" i="16"/>
  <c r="S1637" i="16"/>
  <c r="U1583" i="16"/>
  <c r="S1583" i="16"/>
  <c r="U1529" i="16"/>
  <c r="S1529" i="16"/>
  <c r="U1475" i="16"/>
  <c r="S1475" i="16"/>
  <c r="U1367" i="16"/>
  <c r="S1367" i="16"/>
  <c r="U1313" i="16"/>
  <c r="S1313" i="16"/>
  <c r="S1260" i="16"/>
  <c r="U1260" i="16"/>
  <c r="C1261" i="16" s="1"/>
  <c r="D25" i="16" s="1"/>
  <c r="U1043" i="16"/>
  <c r="S1043" i="16"/>
  <c r="U989" i="16"/>
  <c r="S989" i="16"/>
  <c r="U503" i="16"/>
  <c r="S503" i="16"/>
  <c r="M4560" i="16"/>
  <c r="N4560" i="16"/>
  <c r="B4561" i="16" s="1"/>
  <c r="C27" i="12" s="1"/>
  <c r="N4206" i="16"/>
  <c r="M4206" i="16"/>
  <c r="N4152" i="16"/>
  <c r="M4152" i="16"/>
  <c r="N4098" i="16"/>
  <c r="M4098" i="16"/>
  <c r="M3798" i="16"/>
  <c r="N3798" i="16"/>
  <c r="M3690" i="16"/>
  <c r="N3690" i="16"/>
  <c r="M3420" i="16"/>
  <c r="N3420" i="16"/>
  <c r="M3312" i="16"/>
  <c r="N3312" i="16"/>
  <c r="M3258" i="16"/>
  <c r="N3258" i="16"/>
  <c r="N3204" i="16"/>
  <c r="M3204" i="16"/>
  <c r="M3042" i="16"/>
  <c r="N3042" i="16"/>
  <c r="AC56" i="16"/>
  <c r="K56" i="16"/>
  <c r="M2880" i="16"/>
  <c r="N2880" i="16"/>
  <c r="M2826" i="16"/>
  <c r="N2826" i="16"/>
  <c r="S2826" i="16" s="1"/>
  <c r="M2664" i="16"/>
  <c r="N2664" i="16"/>
  <c r="M2610" i="16"/>
  <c r="N2610" i="16"/>
  <c r="AC49" i="16"/>
  <c r="K49" i="16"/>
  <c r="AC44" i="16"/>
  <c r="K44" i="16"/>
  <c r="M2232" i="16"/>
  <c r="N2232" i="16"/>
  <c r="N2124" i="16"/>
  <c r="M2124" i="16"/>
  <c r="M2070" i="16"/>
  <c r="N2070" i="16"/>
  <c r="M1800" i="16"/>
  <c r="N1800" i="16"/>
  <c r="M1530" i="16"/>
  <c r="N1530" i="16"/>
  <c r="N1422" i="16"/>
  <c r="M1422" i="16"/>
  <c r="M1314" i="16"/>
  <c r="N1314" i="16"/>
  <c r="K25" i="16"/>
  <c r="AC25" i="16"/>
  <c r="K22" i="16"/>
  <c r="AC22" i="16"/>
  <c r="M990" i="16"/>
  <c r="N990" i="16"/>
  <c r="M936" i="16"/>
  <c r="N936" i="16"/>
  <c r="M450" i="16"/>
  <c r="N450" i="16"/>
  <c r="C2827" i="16"/>
  <c r="D54" i="16" s="1"/>
  <c r="C12" i="11"/>
  <c r="C11" i="11"/>
  <c r="D4261" i="16"/>
  <c r="G17" i="10" s="1"/>
  <c r="D4207" i="16"/>
  <c r="F17" i="10" s="1"/>
  <c r="D4153" i="16"/>
  <c r="E17" i="10" s="1"/>
  <c r="D4099" i="16"/>
  <c r="D17" i="10" s="1"/>
  <c r="F3745" i="16"/>
  <c r="G71" i="16" s="1"/>
  <c r="AC71" i="16" s="1"/>
  <c r="G3745" i="16"/>
  <c r="H71" i="16" s="1"/>
  <c r="F3691" i="16"/>
  <c r="G70" i="16" s="1"/>
  <c r="AC70" i="16" s="1"/>
  <c r="G3691" i="16"/>
  <c r="H70" i="16" s="1"/>
  <c r="F3637" i="16"/>
  <c r="G69" i="16" s="1"/>
  <c r="AC69" i="16" s="1"/>
  <c r="G3637" i="16"/>
  <c r="H69" i="16" s="1"/>
  <c r="F3583" i="16"/>
  <c r="G68" i="16" s="1"/>
  <c r="AC68" i="16" s="1"/>
  <c r="G3583" i="16"/>
  <c r="H68" i="16" s="1"/>
  <c r="F3529" i="16"/>
  <c r="G67" i="16" s="1"/>
  <c r="AC67" i="16" s="1"/>
  <c r="G3529" i="16"/>
  <c r="H67" i="16" s="1"/>
  <c r="F3475" i="16"/>
  <c r="G66" i="16" s="1"/>
  <c r="G3475" i="16"/>
  <c r="H66" i="16" s="1"/>
  <c r="L66" i="16" s="1"/>
  <c r="AI66" i="16" s="1"/>
  <c r="F3421" i="16"/>
  <c r="G65" i="16" s="1"/>
  <c r="G3421" i="16"/>
  <c r="H65" i="16" s="1"/>
  <c r="L65" i="16" s="1"/>
  <c r="AI65" i="16" s="1"/>
  <c r="X27" i="9" s="1"/>
  <c r="F3367" i="16"/>
  <c r="G64" i="16" s="1"/>
  <c r="G3367" i="16"/>
  <c r="H64" i="16" s="1"/>
  <c r="L64" i="16" s="1"/>
  <c r="AI64" i="16" s="1"/>
  <c r="F3313" i="16"/>
  <c r="G63" i="16" s="1"/>
  <c r="G3313" i="16"/>
  <c r="H63" i="16" s="1"/>
  <c r="L63" i="16" s="1"/>
  <c r="AI63" i="16" s="1"/>
  <c r="F3259" i="16"/>
  <c r="G62" i="16" s="1"/>
  <c r="G3259" i="16"/>
  <c r="H62" i="16" s="1"/>
  <c r="L62" i="16" s="1"/>
  <c r="AI62" i="16" s="1"/>
  <c r="F3151" i="16"/>
  <c r="G60" i="16" s="1"/>
  <c r="G3151" i="16"/>
  <c r="H60" i="16" s="1"/>
  <c r="L60" i="16" s="1"/>
  <c r="AI60" i="16" s="1"/>
  <c r="F3097" i="16"/>
  <c r="G59" i="16" s="1"/>
  <c r="G3097" i="16"/>
  <c r="H59" i="16" s="1"/>
  <c r="L59" i="16" s="1"/>
  <c r="AI59" i="16" s="1"/>
  <c r="D2989" i="16"/>
  <c r="E57" i="16" s="1"/>
  <c r="F2989" i="16"/>
  <c r="G57" i="16" s="1"/>
  <c r="D2935" i="16"/>
  <c r="E56" i="16" s="1"/>
  <c r="E2935" i="16"/>
  <c r="F56" i="16" s="1"/>
  <c r="D2827" i="16"/>
  <c r="E54" i="16" s="1"/>
  <c r="F2827" i="16"/>
  <c r="G54" i="16" s="1"/>
  <c r="AC54" i="16" s="1"/>
  <c r="E2827" i="16"/>
  <c r="F54" i="16" s="1"/>
  <c r="G2827" i="16"/>
  <c r="H54" i="16" s="1"/>
  <c r="D2773" i="16"/>
  <c r="E53" i="16" s="1"/>
  <c r="F2773" i="16"/>
  <c r="G53" i="16" s="1"/>
  <c r="E2773" i="16"/>
  <c r="F53" i="16" s="1"/>
  <c r="G2773" i="16"/>
  <c r="H53" i="16" s="1"/>
  <c r="L53" i="16" s="1"/>
  <c r="AI53" i="16" s="1"/>
  <c r="D2719" i="16"/>
  <c r="E52" i="16" s="1"/>
  <c r="F2719" i="16"/>
  <c r="G52" i="16" s="1"/>
  <c r="E2719" i="16"/>
  <c r="F52" i="16" s="1"/>
  <c r="G2719" i="16"/>
  <c r="H52" i="16" s="1"/>
  <c r="L52" i="16" s="1"/>
  <c r="AI52" i="16" s="1"/>
  <c r="F2665" i="16"/>
  <c r="G51" i="16" s="1"/>
  <c r="G2665" i="16"/>
  <c r="H51" i="16" s="1"/>
  <c r="L51" i="16" s="1"/>
  <c r="AI51" i="16" s="1"/>
  <c r="D2395" i="16"/>
  <c r="E46" i="16" s="1"/>
  <c r="F2395" i="16"/>
  <c r="G46" i="16" s="1"/>
  <c r="G2395" i="16"/>
  <c r="H46" i="16" s="1"/>
  <c r="L46" i="16" s="1"/>
  <c r="AI46" i="16" s="1"/>
  <c r="F2341" i="16"/>
  <c r="G45" i="16" s="1"/>
  <c r="G2341" i="16"/>
  <c r="H45" i="16" s="1"/>
  <c r="L45" i="16" s="1"/>
  <c r="AI45" i="16" s="1"/>
  <c r="F2179" i="16"/>
  <c r="G42" i="16" s="1"/>
  <c r="G2179" i="16"/>
  <c r="H42" i="16" s="1"/>
  <c r="L42" i="16" s="1"/>
  <c r="AI42" i="16" s="1"/>
  <c r="F2125" i="16"/>
  <c r="G41" i="16" s="1"/>
  <c r="G2125" i="16"/>
  <c r="H41" i="16" s="1"/>
  <c r="L41" i="16" s="1"/>
  <c r="AI41" i="16" s="1"/>
  <c r="F2071" i="16"/>
  <c r="G40" i="16" s="1"/>
  <c r="G2071" i="16"/>
  <c r="H40" i="16" s="1"/>
  <c r="L40" i="16" s="1"/>
  <c r="AI40" i="16" s="1"/>
  <c r="F2017" i="16"/>
  <c r="G39" i="16" s="1"/>
  <c r="G2017" i="16"/>
  <c r="H39" i="16" s="1"/>
  <c r="L39" i="16" s="1"/>
  <c r="AI39" i="16" s="1"/>
  <c r="F1963" i="16"/>
  <c r="G38" i="16" s="1"/>
  <c r="G1963" i="16"/>
  <c r="H38" i="16" s="1"/>
  <c r="L38" i="16" s="1"/>
  <c r="AI38" i="16" s="1"/>
  <c r="F1909" i="16"/>
  <c r="G37" i="16" s="1"/>
  <c r="G1909" i="16"/>
  <c r="H37" i="16" s="1"/>
  <c r="L37" i="16" s="1"/>
  <c r="AI37" i="16" s="1"/>
  <c r="F1855" i="16"/>
  <c r="G36" i="16" s="1"/>
  <c r="D1855" i="16"/>
  <c r="E36" i="16" s="1"/>
  <c r="E1855" i="16"/>
  <c r="F36" i="16" s="1"/>
  <c r="G1855" i="16"/>
  <c r="H36" i="16" s="1"/>
  <c r="L36" i="16" s="1"/>
  <c r="AI36" i="16" s="1"/>
  <c r="F1801" i="16"/>
  <c r="G35" i="16" s="1"/>
  <c r="G1801" i="16"/>
  <c r="H35" i="16" s="1"/>
  <c r="L35" i="16" s="1"/>
  <c r="AI35" i="16" s="1"/>
  <c r="D1747" i="16"/>
  <c r="E34" i="16" s="1"/>
  <c r="F1747" i="16"/>
  <c r="G34" i="16" s="1"/>
  <c r="G1747" i="16"/>
  <c r="H34" i="16" s="1"/>
  <c r="L34" i="16" s="1"/>
  <c r="AI34" i="16" s="1"/>
  <c r="E1747" i="16"/>
  <c r="F34" i="16" s="1"/>
  <c r="D1639" i="16"/>
  <c r="E32" i="16" s="1"/>
  <c r="F1639" i="16"/>
  <c r="G32" i="16" s="1"/>
  <c r="G1639" i="16"/>
  <c r="H32" i="16" s="1"/>
  <c r="L32" i="16" s="1"/>
  <c r="AI32" i="16" s="1"/>
  <c r="F1585" i="16"/>
  <c r="G31" i="16" s="1"/>
  <c r="F1477" i="16"/>
  <c r="G29" i="16" s="1"/>
  <c r="G1477" i="16"/>
  <c r="H29" i="16" s="1"/>
  <c r="L29" i="16" s="1"/>
  <c r="AI29" i="16" s="1"/>
  <c r="F1423" i="16"/>
  <c r="G28" i="16" s="1"/>
  <c r="G1423" i="16"/>
  <c r="H28" i="16" s="1"/>
  <c r="L28" i="16" s="1"/>
  <c r="AI28" i="16" s="1"/>
  <c r="X11" i="9" s="1"/>
  <c r="F1369" i="16"/>
  <c r="G27" i="16" s="1"/>
  <c r="D1369" i="16"/>
  <c r="E27" i="16" s="1"/>
  <c r="E1369" i="16"/>
  <c r="F27" i="16" s="1"/>
  <c r="G1369" i="16"/>
  <c r="H27" i="16" s="1"/>
  <c r="L27" i="16" s="1"/>
  <c r="AI27" i="16" s="1"/>
  <c r="D1153" i="16"/>
  <c r="E23" i="16" s="1"/>
  <c r="F1153" i="16"/>
  <c r="G23" i="16" s="1"/>
  <c r="F1045" i="16"/>
  <c r="G21" i="16" s="1"/>
  <c r="G1045" i="16"/>
  <c r="H21" i="16" s="1"/>
  <c r="L21" i="16" s="1"/>
  <c r="AI21" i="16" s="1"/>
  <c r="F991" i="16"/>
  <c r="G20" i="16" s="1"/>
  <c r="G991" i="16"/>
  <c r="H20" i="16" s="1"/>
  <c r="L20" i="16" s="1"/>
  <c r="AI20" i="16" s="1"/>
  <c r="F937" i="16"/>
  <c r="G19" i="16" s="1"/>
  <c r="G937" i="16"/>
  <c r="H19" i="16" s="1"/>
  <c r="L19" i="16" s="1"/>
  <c r="AI19" i="16" s="1"/>
  <c r="F829" i="16"/>
  <c r="G17" i="16" s="1"/>
  <c r="E829" i="16"/>
  <c r="F17" i="16" s="1"/>
  <c r="G829" i="16"/>
  <c r="H17" i="16" s="1"/>
  <c r="L17" i="16" s="1"/>
  <c r="AI17" i="16" s="1"/>
  <c r="F775" i="16"/>
  <c r="G16" i="16" s="1"/>
  <c r="G775" i="16"/>
  <c r="H16" i="16" s="1"/>
  <c r="L16" i="16" s="1"/>
  <c r="AI16" i="16" s="1"/>
  <c r="E775" i="16"/>
  <c r="F16" i="16" s="1"/>
  <c r="F721" i="16"/>
  <c r="G15" i="16" s="1"/>
  <c r="D721" i="16"/>
  <c r="E15" i="16" s="1"/>
  <c r="G721" i="16"/>
  <c r="H15" i="16" s="1"/>
  <c r="L15" i="16" s="1"/>
  <c r="AI15" i="16" s="1"/>
  <c r="X19" i="9" s="1"/>
  <c r="E721" i="16"/>
  <c r="F15" i="16" s="1"/>
  <c r="F613" i="16"/>
  <c r="G13" i="16" s="1"/>
  <c r="D613" i="16"/>
  <c r="E13" i="16" s="1"/>
  <c r="E613" i="16"/>
  <c r="F13" i="16" s="1"/>
  <c r="G613" i="16"/>
  <c r="H13" i="16" s="1"/>
  <c r="L13" i="16" s="1"/>
  <c r="AI13" i="16" s="1"/>
  <c r="X17" i="9" s="1"/>
  <c r="F559" i="16"/>
  <c r="G12" i="16" s="1"/>
  <c r="G559" i="16"/>
  <c r="H12" i="16" s="1"/>
  <c r="L12" i="16" s="1"/>
  <c r="AI12" i="16" s="1"/>
  <c r="F505" i="16"/>
  <c r="G11" i="16" s="1"/>
  <c r="G505" i="16"/>
  <c r="H11" i="16" s="1"/>
  <c r="L11" i="16" s="1"/>
  <c r="AI11" i="16" s="1"/>
  <c r="F451" i="16"/>
  <c r="G10" i="16" s="1"/>
  <c r="G451" i="16"/>
  <c r="H10" i="16" s="1"/>
  <c r="L10" i="16" s="1"/>
  <c r="AI10" i="16" s="1"/>
  <c r="D343" i="16"/>
  <c r="E8" i="16" s="1"/>
  <c r="F343" i="16"/>
  <c r="G8" i="16" s="1"/>
  <c r="G343" i="16"/>
  <c r="H8" i="16" s="1"/>
  <c r="L8" i="16" s="1"/>
  <c r="AI8" i="16" s="1"/>
  <c r="E343" i="16"/>
  <c r="F8" i="16" s="1"/>
  <c r="F289" i="16"/>
  <c r="G7" i="16" s="1"/>
  <c r="AC7" i="16" s="1"/>
  <c r="D289" i="16"/>
  <c r="E7" i="16" s="1"/>
  <c r="G289" i="16"/>
  <c r="H7" i="16" s="1"/>
  <c r="E289" i="16"/>
  <c r="F7" i="16" s="1"/>
  <c r="F181" i="16"/>
  <c r="G5" i="16" s="1"/>
  <c r="D181" i="16"/>
  <c r="E5" i="16" s="1"/>
  <c r="E181" i="16"/>
  <c r="F5" i="16" s="1"/>
  <c r="G181" i="16"/>
  <c r="H5" i="16" s="1"/>
  <c r="L5" i="16" s="1"/>
  <c r="AI5" i="16" s="1"/>
  <c r="C98" i="7"/>
  <c r="G98" i="7" s="1"/>
  <c r="AO66" i="4"/>
  <c r="AO68" i="4" s="1"/>
  <c r="AP66" i="4"/>
  <c r="AP68" i="4" s="1"/>
  <c r="BE66" i="4"/>
  <c r="BE67" i="4"/>
  <c r="BE73" i="4"/>
  <c r="BD67" i="4"/>
  <c r="BD73" i="4"/>
  <c r="BC67" i="4"/>
  <c r="BC73" i="4"/>
  <c r="BB67" i="4"/>
  <c r="BB73" i="4"/>
  <c r="BA73" i="4"/>
  <c r="BA67" i="4"/>
  <c r="AZ73" i="4"/>
  <c r="AZ67" i="4"/>
  <c r="AY73" i="4"/>
  <c r="AY67" i="4"/>
  <c r="AY66" i="4"/>
  <c r="AX66" i="4"/>
  <c r="AX67" i="4"/>
  <c r="AX73" i="4"/>
  <c r="AW67" i="4"/>
  <c r="AW73" i="4"/>
  <c r="AW66" i="4"/>
  <c r="C54" i="7" s="1"/>
  <c r="AV67" i="4"/>
  <c r="AV66" i="4"/>
  <c r="AV73" i="4"/>
  <c r="AU67" i="4"/>
  <c r="AU66" i="4"/>
  <c r="AU73" i="4"/>
  <c r="AT66" i="4"/>
  <c r="AT73" i="4"/>
  <c r="AT67" i="4"/>
  <c r="AS73" i="4"/>
  <c r="AS67" i="4"/>
  <c r="AR73" i="4"/>
  <c r="AR67" i="4"/>
  <c r="AQ67" i="4"/>
  <c r="AQ73" i="4"/>
  <c r="AL73" i="4"/>
  <c r="AL67" i="4"/>
  <c r="X67" i="4"/>
  <c r="X73" i="4"/>
  <c r="W67" i="4"/>
  <c r="W73" i="4"/>
  <c r="F64" i="5"/>
  <c r="L5" i="5" s="1"/>
  <c r="G64" i="5"/>
  <c r="L6" i="5" s="1"/>
  <c r="H64" i="5"/>
  <c r="L7" i="5" s="1"/>
  <c r="D1261" i="16"/>
  <c r="E25" i="16" s="1"/>
  <c r="E1261" i="16"/>
  <c r="F25" i="16" s="1"/>
  <c r="G3205" i="16"/>
  <c r="H61" i="16" s="1"/>
  <c r="L61" i="16" s="1"/>
  <c r="AI61" i="16" s="1"/>
  <c r="F3205" i="16"/>
  <c r="G61" i="16" s="1"/>
  <c r="C2395" i="16" l="1"/>
  <c r="D46" i="16" s="1"/>
  <c r="C505" i="16"/>
  <c r="D11" i="16" s="1"/>
  <c r="X10" i="9"/>
  <c r="X16" i="9"/>
  <c r="X14" i="9"/>
  <c r="X12" i="9"/>
  <c r="AC55" i="16"/>
  <c r="K55" i="16"/>
  <c r="C2341" i="16"/>
  <c r="D45" i="16" s="1"/>
  <c r="D2341" i="16"/>
  <c r="E45" i="16" s="1"/>
  <c r="E2341" i="16"/>
  <c r="F45" i="16" s="1"/>
  <c r="C2287" i="16"/>
  <c r="D44" i="16" s="1"/>
  <c r="E2287" i="16"/>
  <c r="F44" i="16" s="1"/>
  <c r="D2287" i="16"/>
  <c r="E44" i="16" s="1"/>
  <c r="C2017" i="16"/>
  <c r="D39" i="16" s="1"/>
  <c r="D2017" i="16"/>
  <c r="E39" i="16" s="1"/>
  <c r="E2017" i="16"/>
  <c r="F39" i="16" s="1"/>
  <c r="C1963" i="16"/>
  <c r="D38" i="16" s="1"/>
  <c r="D1963" i="16"/>
  <c r="E38" i="16" s="1"/>
  <c r="E1963" i="16"/>
  <c r="F38" i="16" s="1"/>
  <c r="C829" i="16"/>
  <c r="D17" i="16" s="1"/>
  <c r="D829" i="16"/>
  <c r="E17" i="16" s="1"/>
  <c r="D775" i="16"/>
  <c r="E16" i="16" s="1"/>
  <c r="C775" i="16"/>
  <c r="D16" i="16" s="1"/>
  <c r="C559" i="16"/>
  <c r="D12" i="16" s="1"/>
  <c r="D559" i="16"/>
  <c r="E12" i="16" s="1"/>
  <c r="E559" i="16"/>
  <c r="F12" i="16" s="1"/>
  <c r="D505" i="16"/>
  <c r="E11" i="16" s="1"/>
  <c r="E505" i="16"/>
  <c r="F11" i="16" s="1"/>
  <c r="C397" i="16"/>
  <c r="D9" i="16" s="1"/>
  <c r="D397" i="16"/>
  <c r="E9" i="16" s="1"/>
  <c r="E397" i="16"/>
  <c r="F9" i="16" s="1"/>
  <c r="AF66" i="4"/>
  <c r="AF68" i="4" s="1"/>
  <c r="AE66" i="4"/>
  <c r="AE68" i="4" s="1"/>
  <c r="AG66" i="4"/>
  <c r="AG68" i="4" s="1"/>
  <c r="AM66" i="4"/>
  <c r="AM68" i="4" s="1"/>
  <c r="AN66" i="4"/>
  <c r="BD66" i="4"/>
  <c r="BD68" i="4" s="1"/>
  <c r="BC66" i="4"/>
  <c r="BB66" i="4"/>
  <c r="BB68" i="4" s="1"/>
  <c r="BA66" i="4"/>
  <c r="BA68" i="4" s="1"/>
  <c r="AZ66" i="4"/>
  <c r="AS66" i="4"/>
  <c r="AS68" i="4" s="1"/>
  <c r="AR66" i="4"/>
  <c r="AR68" i="4" s="1"/>
  <c r="AQ66" i="4"/>
  <c r="AL66" i="4"/>
  <c r="AL68" i="4" s="1"/>
  <c r="X66" i="4"/>
  <c r="X68" i="4" s="1"/>
  <c r="W66" i="4"/>
  <c r="W68" i="4" s="1"/>
  <c r="C6" i="4"/>
  <c r="E18" i="13" s="1"/>
  <c r="G18" i="13" s="1"/>
  <c r="C7" i="4"/>
  <c r="C8" i="4"/>
  <c r="L9" i="5"/>
  <c r="D26" i="2"/>
  <c r="AC58" i="16"/>
  <c r="K58" i="16"/>
  <c r="J57" i="16"/>
  <c r="Q57" i="16"/>
  <c r="L59" i="8" s="1"/>
  <c r="AD50" i="16"/>
  <c r="J52" i="8"/>
  <c r="D2557" i="16"/>
  <c r="E49" i="16" s="1"/>
  <c r="E2557" i="16"/>
  <c r="F49" i="16" s="1"/>
  <c r="C2557" i="16"/>
  <c r="D49" i="16" s="1"/>
  <c r="K48" i="16"/>
  <c r="AC48" i="16"/>
  <c r="I48" i="16"/>
  <c r="P48" i="16"/>
  <c r="K50" i="8" s="1"/>
  <c r="AA48" i="16"/>
  <c r="J48" i="16"/>
  <c r="Q48" i="16"/>
  <c r="L50" i="8" s="1"/>
  <c r="AC47" i="16"/>
  <c r="K47" i="16"/>
  <c r="I47" i="16"/>
  <c r="P47" i="16"/>
  <c r="K49" i="8" s="1"/>
  <c r="AA47" i="16"/>
  <c r="J47" i="16"/>
  <c r="Q47" i="16"/>
  <c r="L49" i="8" s="1"/>
  <c r="K43" i="16"/>
  <c r="AC43" i="16"/>
  <c r="AC33" i="16"/>
  <c r="K33" i="16"/>
  <c r="AA33" i="16"/>
  <c r="P33" i="16"/>
  <c r="K35" i="8" s="1"/>
  <c r="I33" i="16"/>
  <c r="J33" i="16"/>
  <c r="Q33" i="16"/>
  <c r="L35" i="8" s="1"/>
  <c r="AC30" i="16"/>
  <c r="K30" i="16"/>
  <c r="K26" i="16"/>
  <c r="AC26" i="16"/>
  <c r="K24" i="16"/>
  <c r="AC24" i="16"/>
  <c r="E1153" i="16"/>
  <c r="F23" i="16" s="1"/>
  <c r="C1153" i="16"/>
  <c r="D23" i="16" s="1"/>
  <c r="D1099" i="16"/>
  <c r="E22" i="16" s="1"/>
  <c r="E1099" i="16"/>
  <c r="F22" i="16" s="1"/>
  <c r="C1099" i="16"/>
  <c r="D22" i="16" s="1"/>
  <c r="I18" i="16"/>
  <c r="P18" i="16"/>
  <c r="K20" i="8" s="1"/>
  <c r="AA18" i="16"/>
  <c r="K18" i="16"/>
  <c r="AC18" i="16"/>
  <c r="R22" i="9" s="1"/>
  <c r="J18" i="16"/>
  <c r="Q18" i="16"/>
  <c r="L20" i="8" s="1"/>
  <c r="AC14" i="16"/>
  <c r="K14" i="16"/>
  <c r="AA9" i="16"/>
  <c r="P9" i="16"/>
  <c r="K11" i="8" s="1"/>
  <c r="I9" i="16"/>
  <c r="K9" i="16"/>
  <c r="AC9" i="16"/>
  <c r="R13" i="9" s="1"/>
  <c r="J9" i="16"/>
  <c r="Q9" i="16"/>
  <c r="L11" i="8" s="1"/>
  <c r="AD6" i="16"/>
  <c r="J8" i="8"/>
  <c r="E235" i="16"/>
  <c r="F6" i="16" s="1"/>
  <c r="D235" i="16"/>
  <c r="E6" i="16" s="1"/>
  <c r="AC4" i="16"/>
  <c r="K4" i="16"/>
  <c r="P4" i="16"/>
  <c r="K6" i="8" s="1"/>
  <c r="AA4" i="16"/>
  <c r="I4" i="16"/>
  <c r="Q4" i="16"/>
  <c r="L6" i="8" s="1"/>
  <c r="J4" i="16"/>
  <c r="X8" i="9"/>
  <c r="X33" i="9"/>
  <c r="AK72" i="4"/>
  <c r="F79" i="7" s="1"/>
  <c r="AJ72" i="4"/>
  <c r="F78" i="7" s="1"/>
  <c r="AI72" i="4"/>
  <c r="F77" i="7" s="1"/>
  <c r="AH72" i="4"/>
  <c r="F76" i="7" s="1"/>
  <c r="AG72" i="4"/>
  <c r="F75" i="7" s="1"/>
  <c r="AF72" i="4"/>
  <c r="F74" i="7" s="1"/>
  <c r="AE72" i="4"/>
  <c r="F73" i="7" s="1"/>
  <c r="AD72" i="4"/>
  <c r="F72" i="7" s="1"/>
  <c r="AC72" i="4"/>
  <c r="F71" i="7" s="1"/>
  <c r="AB72" i="4"/>
  <c r="F70" i="7" s="1"/>
  <c r="AA72" i="4"/>
  <c r="F69" i="7" s="1"/>
  <c r="Z72" i="4"/>
  <c r="F68" i="7" s="1"/>
  <c r="Y72" i="4"/>
  <c r="F67" i="7" s="1"/>
  <c r="V72" i="4"/>
  <c r="F64" i="7" s="1"/>
  <c r="BE70" i="4"/>
  <c r="BE69" i="4"/>
  <c r="BD70" i="4"/>
  <c r="BC69" i="4"/>
  <c r="BD69" i="4"/>
  <c r="BC70" i="4"/>
  <c r="BA69" i="4"/>
  <c r="BA70" i="4"/>
  <c r="BB70" i="4"/>
  <c r="BB69" i="4"/>
  <c r="AY70" i="4"/>
  <c r="AY69" i="4"/>
  <c r="AZ69" i="4"/>
  <c r="AZ70" i="4"/>
  <c r="AX69" i="4"/>
  <c r="AX70" i="4"/>
  <c r="AW69" i="4"/>
  <c r="AW70" i="4"/>
  <c r="AV70" i="4"/>
  <c r="AV69" i="4"/>
  <c r="AU69" i="4"/>
  <c r="AT70" i="4"/>
  <c r="AT69" i="4"/>
  <c r="AU70" i="4"/>
  <c r="AR70" i="4"/>
  <c r="AR69" i="4"/>
  <c r="AS69" i="4"/>
  <c r="AS70" i="4"/>
  <c r="AQ69" i="4"/>
  <c r="AP70" i="4"/>
  <c r="AQ70" i="4"/>
  <c r="AP69" i="4"/>
  <c r="AP71" i="4" s="1"/>
  <c r="AO70" i="4"/>
  <c r="AO69" i="4"/>
  <c r="AO71" i="4" s="1"/>
  <c r="AN70" i="4"/>
  <c r="AN69" i="4"/>
  <c r="AM70" i="4"/>
  <c r="AM69" i="4"/>
  <c r="AL69" i="4"/>
  <c r="AL70" i="4"/>
  <c r="AK69" i="4"/>
  <c r="AK70" i="4"/>
  <c r="AJ70" i="4"/>
  <c r="AI69" i="4"/>
  <c r="AI70" i="4"/>
  <c r="AH70" i="4"/>
  <c r="AJ69" i="4"/>
  <c r="AG70" i="4"/>
  <c r="AH69" i="4"/>
  <c r="AG69" i="4"/>
  <c r="AE70" i="4"/>
  <c r="AF69" i="4"/>
  <c r="AF70" i="4"/>
  <c r="AE69" i="4"/>
  <c r="AC69" i="4"/>
  <c r="AC70" i="4"/>
  <c r="AD69" i="4"/>
  <c r="AD70" i="4"/>
  <c r="AB70" i="4"/>
  <c r="AB69" i="4"/>
  <c r="AA70" i="4"/>
  <c r="AA69" i="4"/>
  <c r="Z70" i="4"/>
  <c r="Z69" i="4"/>
  <c r="Y70" i="4"/>
  <c r="Y69" i="4"/>
  <c r="X69" i="4"/>
  <c r="X70" i="4"/>
  <c r="V70" i="4"/>
  <c r="W69" i="4"/>
  <c r="V69" i="4"/>
  <c r="W70" i="4"/>
  <c r="C99" i="7"/>
  <c r="G99" i="7" s="1"/>
  <c r="D84" i="7"/>
  <c r="H84" i="7" s="1"/>
  <c r="D83" i="7"/>
  <c r="H83" i="7" s="1"/>
  <c r="E1585" i="16"/>
  <c r="F31" i="16" s="1"/>
  <c r="C1585" i="16"/>
  <c r="D31" i="16" s="1"/>
  <c r="U4206" i="16"/>
  <c r="S4206" i="16"/>
  <c r="U4152" i="16"/>
  <c r="S4152" i="16"/>
  <c r="U4098" i="16"/>
  <c r="S4098" i="16"/>
  <c r="U3798" i="16"/>
  <c r="S3798" i="16"/>
  <c r="S3690" i="16"/>
  <c r="U3690" i="16"/>
  <c r="U3420" i="16"/>
  <c r="S3420" i="16"/>
  <c r="U3312" i="16"/>
  <c r="S3312" i="16"/>
  <c r="U3258" i="16"/>
  <c r="S3258" i="16"/>
  <c r="U3204" i="16"/>
  <c r="E3205" i="16" s="1"/>
  <c r="F61" i="16" s="1"/>
  <c r="S3204" i="16"/>
  <c r="U3042" i="16"/>
  <c r="S3042" i="16"/>
  <c r="AD56" i="16"/>
  <c r="J58" i="8"/>
  <c r="U2880" i="16"/>
  <c r="S2880" i="16"/>
  <c r="U2664" i="16"/>
  <c r="S2664" i="16"/>
  <c r="U2610" i="16"/>
  <c r="S2610" i="16"/>
  <c r="AD49" i="16"/>
  <c r="J51" i="8"/>
  <c r="J46" i="8"/>
  <c r="AD44" i="16"/>
  <c r="U2232" i="16"/>
  <c r="S2232" i="16"/>
  <c r="S2124" i="16"/>
  <c r="U2124" i="16"/>
  <c r="U2070" i="16"/>
  <c r="S2070" i="16"/>
  <c r="U1800" i="16"/>
  <c r="S1800" i="16"/>
  <c r="U1530" i="16"/>
  <c r="S1530" i="16"/>
  <c r="U1422" i="16"/>
  <c r="S1422" i="16"/>
  <c r="U1314" i="16"/>
  <c r="S1314" i="16"/>
  <c r="AD25" i="16"/>
  <c r="J27" i="8"/>
  <c r="AD22" i="16"/>
  <c r="J24" i="8"/>
  <c r="U990" i="16"/>
  <c r="C991" i="16" s="1"/>
  <c r="D20" i="16" s="1"/>
  <c r="S990" i="16"/>
  <c r="U936" i="16"/>
  <c r="S936" i="16"/>
  <c r="U450" i="16"/>
  <c r="S450" i="16"/>
  <c r="C19" i="11"/>
  <c r="D19" i="11" s="1"/>
  <c r="G16" i="10"/>
  <c r="G14" i="10" s="1"/>
  <c r="G18" i="10"/>
  <c r="K66" i="16"/>
  <c r="AC66" i="16"/>
  <c r="K65" i="16"/>
  <c r="AC65" i="16"/>
  <c r="AC64" i="16"/>
  <c r="K64" i="16"/>
  <c r="K63" i="16"/>
  <c r="AC63" i="16"/>
  <c r="AC62" i="16"/>
  <c r="K62" i="16"/>
  <c r="K60" i="16"/>
  <c r="AC60" i="16"/>
  <c r="AC59" i="16"/>
  <c r="K59" i="16"/>
  <c r="I57" i="16"/>
  <c r="P57" i="16"/>
  <c r="K59" i="8" s="1"/>
  <c r="AA57" i="16"/>
  <c r="K57" i="16"/>
  <c r="AC57" i="16"/>
  <c r="I56" i="16"/>
  <c r="P56" i="16"/>
  <c r="K58" i="8" s="1"/>
  <c r="AA56" i="16"/>
  <c r="J56" i="16"/>
  <c r="Q56" i="16"/>
  <c r="L58" i="8" s="1"/>
  <c r="I54" i="16"/>
  <c r="P54" i="16"/>
  <c r="K56" i="8" s="1"/>
  <c r="AA54" i="16"/>
  <c r="J54" i="16"/>
  <c r="Q54" i="16"/>
  <c r="L56" i="8" s="1"/>
  <c r="AA53" i="16"/>
  <c r="P53" i="16"/>
  <c r="K55" i="8" s="1"/>
  <c r="I53" i="16"/>
  <c r="AC53" i="16"/>
  <c r="K53" i="16"/>
  <c r="J53" i="16"/>
  <c r="Q53" i="16"/>
  <c r="L55" i="8" s="1"/>
  <c r="AA52" i="16"/>
  <c r="P52" i="16"/>
  <c r="K54" i="8" s="1"/>
  <c r="I52" i="16"/>
  <c r="AC52" i="16"/>
  <c r="K52" i="16"/>
  <c r="J52" i="16"/>
  <c r="Q52" i="16"/>
  <c r="L54" i="8" s="1"/>
  <c r="AC51" i="16"/>
  <c r="K51" i="16"/>
  <c r="AA46" i="16"/>
  <c r="P46" i="16"/>
  <c r="K48" i="8" s="1"/>
  <c r="I46" i="16"/>
  <c r="AC46" i="16"/>
  <c r="K46" i="16"/>
  <c r="J46" i="16"/>
  <c r="Q46" i="16"/>
  <c r="L48" i="8" s="1"/>
  <c r="AC45" i="16"/>
  <c r="K45" i="16"/>
  <c r="AC42" i="16"/>
  <c r="K42" i="16"/>
  <c r="K41" i="16"/>
  <c r="AC41" i="16"/>
  <c r="AC40" i="16"/>
  <c r="K40" i="16"/>
  <c r="AC39" i="16"/>
  <c r="K39" i="16"/>
  <c r="K38" i="16"/>
  <c r="AC38" i="16"/>
  <c r="K37" i="16"/>
  <c r="AC37" i="16"/>
  <c r="K36" i="16"/>
  <c r="AC36" i="16"/>
  <c r="I36" i="16"/>
  <c r="P36" i="16"/>
  <c r="K38" i="8" s="1"/>
  <c r="AA36" i="16"/>
  <c r="Q36" i="16"/>
  <c r="L38" i="8" s="1"/>
  <c r="J36" i="16"/>
  <c r="K35" i="16"/>
  <c r="AC35" i="16"/>
  <c r="AA34" i="16"/>
  <c r="P34" i="16"/>
  <c r="K36" i="8" s="1"/>
  <c r="I34" i="16"/>
  <c r="AC34" i="16"/>
  <c r="K34" i="16"/>
  <c r="J34" i="16"/>
  <c r="Q34" i="16"/>
  <c r="L36" i="8" s="1"/>
  <c r="I32" i="16"/>
  <c r="P32" i="16"/>
  <c r="K34" i="8" s="1"/>
  <c r="AA32" i="16"/>
  <c r="AC32" i="16"/>
  <c r="K32" i="16"/>
  <c r="J32" i="16"/>
  <c r="Q32" i="16"/>
  <c r="L34" i="8" s="1"/>
  <c r="AC31" i="16"/>
  <c r="K31" i="16"/>
  <c r="I31" i="16"/>
  <c r="P31" i="16"/>
  <c r="K33" i="8" s="1"/>
  <c r="AA31" i="16"/>
  <c r="K29" i="16"/>
  <c r="AC29" i="16"/>
  <c r="AC28" i="16"/>
  <c r="R11" i="9" s="1"/>
  <c r="K28" i="16"/>
  <c r="K27" i="16"/>
  <c r="AC27" i="16"/>
  <c r="I27" i="16"/>
  <c r="P27" i="16"/>
  <c r="K29" i="8" s="1"/>
  <c r="AA27" i="16"/>
  <c r="J27" i="16"/>
  <c r="Q27" i="16"/>
  <c r="L29" i="8" s="1"/>
  <c r="AA23" i="16"/>
  <c r="P23" i="16"/>
  <c r="K25" i="8" s="1"/>
  <c r="I23" i="16"/>
  <c r="AC23" i="16"/>
  <c r="K23" i="16"/>
  <c r="AC21" i="16"/>
  <c r="K21" i="16"/>
  <c r="AC20" i="16"/>
  <c r="K20" i="16"/>
  <c r="AC19" i="16"/>
  <c r="K19" i="16"/>
  <c r="AA17" i="16"/>
  <c r="P17" i="16"/>
  <c r="K19" i="8" s="1"/>
  <c r="I17" i="16"/>
  <c r="AC17" i="16"/>
  <c r="K17" i="16"/>
  <c r="Q17" i="16"/>
  <c r="L19" i="8" s="1"/>
  <c r="J17" i="16"/>
  <c r="I16" i="16"/>
  <c r="P16" i="16"/>
  <c r="K18" i="8" s="1"/>
  <c r="AA16" i="16"/>
  <c r="K16" i="16"/>
  <c r="AC16" i="16"/>
  <c r="Q16" i="16"/>
  <c r="L18" i="8" s="1"/>
  <c r="J16" i="16"/>
  <c r="AC15" i="16"/>
  <c r="K15" i="16"/>
  <c r="I15" i="16"/>
  <c r="P15" i="16"/>
  <c r="K17" i="8" s="1"/>
  <c r="AA15" i="16"/>
  <c r="Q15" i="16"/>
  <c r="L17" i="8" s="1"/>
  <c r="J15" i="16"/>
  <c r="AC13" i="16"/>
  <c r="K13" i="16"/>
  <c r="AA13" i="16"/>
  <c r="P13" i="16"/>
  <c r="K15" i="8" s="1"/>
  <c r="I13" i="16"/>
  <c r="Q13" i="16"/>
  <c r="L15" i="8" s="1"/>
  <c r="J13" i="16"/>
  <c r="AC12" i="16"/>
  <c r="R16" i="9" s="1"/>
  <c r="K12" i="16"/>
  <c r="AA12" i="16"/>
  <c r="P16" i="9" s="1"/>
  <c r="P12" i="16"/>
  <c r="K14" i="8" s="1"/>
  <c r="I12" i="16"/>
  <c r="J12" i="16"/>
  <c r="Q12" i="16"/>
  <c r="L14" i="8" s="1"/>
  <c r="AA11" i="16"/>
  <c r="P15" i="9" s="1"/>
  <c r="P11" i="16"/>
  <c r="K13" i="8" s="1"/>
  <c r="I11" i="16"/>
  <c r="AC11" i="16"/>
  <c r="R15" i="9" s="1"/>
  <c r="K11" i="16"/>
  <c r="Q11" i="16"/>
  <c r="L13" i="8" s="1"/>
  <c r="J11" i="16"/>
  <c r="AC10" i="16"/>
  <c r="R14" i="9" s="1"/>
  <c r="K10" i="16"/>
  <c r="I8" i="16"/>
  <c r="P8" i="16"/>
  <c r="K10" i="8" s="1"/>
  <c r="AA8" i="16"/>
  <c r="K8" i="16"/>
  <c r="AC8" i="16"/>
  <c r="J8" i="16"/>
  <c r="Q8" i="16"/>
  <c r="L10" i="8" s="1"/>
  <c r="AA7" i="16"/>
  <c r="P7" i="16"/>
  <c r="K9" i="8" s="1"/>
  <c r="I7" i="16"/>
  <c r="J7" i="16"/>
  <c r="Q7" i="16"/>
  <c r="L9" i="8" s="1"/>
  <c r="K5" i="16"/>
  <c r="AC5" i="16"/>
  <c r="I5" i="16"/>
  <c r="P5" i="16"/>
  <c r="K7" i="8" s="1"/>
  <c r="AA5" i="16"/>
  <c r="J5" i="16"/>
  <c r="Q5" i="16"/>
  <c r="L7" i="8" s="1"/>
  <c r="BE72" i="4"/>
  <c r="F99" i="7" s="1"/>
  <c r="BE68" i="4"/>
  <c r="BD72" i="4"/>
  <c r="F98" i="7" s="1"/>
  <c r="BC72" i="4"/>
  <c r="F97" i="7" s="1"/>
  <c r="BB72" i="4"/>
  <c r="F96" i="7" s="1"/>
  <c r="BA72" i="4"/>
  <c r="F95" i="7" s="1"/>
  <c r="AZ72" i="4"/>
  <c r="F94" i="7" s="1"/>
  <c r="AY72" i="4"/>
  <c r="F93" i="7" s="1"/>
  <c r="AY68" i="4"/>
  <c r="AX72" i="4"/>
  <c r="F92" i="7" s="1"/>
  <c r="AX68" i="4"/>
  <c r="AW68" i="4"/>
  <c r="AW72" i="4"/>
  <c r="F91" i="7" s="1"/>
  <c r="H54" i="7"/>
  <c r="G54" i="7"/>
  <c r="AV68" i="4"/>
  <c r="AV72" i="4"/>
  <c r="F90" i="7" s="1"/>
  <c r="AU72" i="4"/>
  <c r="F89" i="7" s="1"/>
  <c r="AU68" i="4"/>
  <c r="AT72" i="4"/>
  <c r="F88" i="7" s="1"/>
  <c r="AT68" i="4"/>
  <c r="AS72" i="4"/>
  <c r="F87" i="7" s="1"/>
  <c r="AR72" i="4"/>
  <c r="F86" i="7" s="1"/>
  <c r="AQ72" i="4"/>
  <c r="F85" i="7" s="1"/>
  <c r="AL72" i="4"/>
  <c r="F80" i="7" s="1"/>
  <c r="X72" i="4"/>
  <c r="F66" i="7" s="1"/>
  <c r="W72" i="4"/>
  <c r="F65" i="7" s="1"/>
  <c r="L8" i="5"/>
  <c r="G64" i="9"/>
  <c r="C28" i="12"/>
  <c r="E15" i="13"/>
  <c r="E21" i="13"/>
  <c r="G21" i="13" s="1"/>
  <c r="C26" i="2"/>
  <c r="I25" i="16"/>
  <c r="P25" i="16"/>
  <c r="K27" i="8" s="1"/>
  <c r="AA25" i="16"/>
  <c r="Q25" i="16"/>
  <c r="L27" i="8" s="1"/>
  <c r="J25" i="16"/>
  <c r="AC61" i="16"/>
  <c r="K61" i="16"/>
  <c r="X26" i="9"/>
  <c r="X28" i="9"/>
  <c r="X22" i="9"/>
  <c r="X18" i="9"/>
  <c r="X13" i="9"/>
  <c r="C1639" i="16"/>
  <c r="D32" i="16" s="1"/>
  <c r="C1477" i="16"/>
  <c r="D29" i="16" s="1"/>
  <c r="C4261" i="16"/>
  <c r="G19" i="10" s="1"/>
  <c r="C3745" i="16"/>
  <c r="D71" i="16" s="1"/>
  <c r="C2449" i="16"/>
  <c r="D47" i="16" s="1"/>
  <c r="C1369" i="16"/>
  <c r="D27" i="16" s="1"/>
  <c r="X25" i="9"/>
  <c r="X24" i="9"/>
  <c r="X23" i="9"/>
  <c r="X21" i="9"/>
  <c r="X20" i="9"/>
  <c r="X15" i="9"/>
  <c r="X9" i="9"/>
  <c r="C53" i="7"/>
  <c r="C4723" i="16"/>
  <c r="T4722" i="16"/>
  <c r="D3745" i="16"/>
  <c r="E71" i="16" s="1"/>
  <c r="E3745" i="16"/>
  <c r="F71" i="16" s="1"/>
  <c r="C3637" i="16"/>
  <c r="D69" i="16" s="1"/>
  <c r="E3637" i="16"/>
  <c r="F69" i="16" s="1"/>
  <c r="D3637" i="16"/>
  <c r="E69" i="16" s="1"/>
  <c r="C3583" i="16"/>
  <c r="D68" i="16" s="1"/>
  <c r="E3583" i="16"/>
  <c r="F68" i="16" s="1"/>
  <c r="D3583" i="16"/>
  <c r="E68" i="16" s="1"/>
  <c r="C3529" i="16"/>
  <c r="D67" i="16" s="1"/>
  <c r="D3529" i="16"/>
  <c r="E67" i="16" s="1"/>
  <c r="E3529" i="16"/>
  <c r="F67" i="16" s="1"/>
  <c r="C3475" i="16"/>
  <c r="D66" i="16" s="1"/>
  <c r="E3475" i="16"/>
  <c r="F66" i="16" s="1"/>
  <c r="D3475" i="16"/>
  <c r="E66" i="16" s="1"/>
  <c r="C3367" i="16"/>
  <c r="D64" i="16" s="1"/>
  <c r="E3367" i="16"/>
  <c r="F64" i="16" s="1"/>
  <c r="D3367" i="16"/>
  <c r="E64" i="16" s="1"/>
  <c r="C3151" i="16"/>
  <c r="D60" i="16" s="1"/>
  <c r="E3151" i="16"/>
  <c r="F60" i="16" s="1"/>
  <c r="D3151" i="16"/>
  <c r="E60" i="16" s="1"/>
  <c r="C3097" i="16"/>
  <c r="D59" i="16" s="1"/>
  <c r="E3097" i="16"/>
  <c r="F59" i="16" s="1"/>
  <c r="D3097" i="16"/>
  <c r="E59" i="16" s="1"/>
  <c r="E1477" i="16"/>
  <c r="F29" i="16" s="1"/>
  <c r="D1477" i="16"/>
  <c r="E29" i="16" s="1"/>
  <c r="C1207" i="16"/>
  <c r="D24" i="16" s="1"/>
  <c r="D1207" i="16"/>
  <c r="E24" i="16" s="1"/>
  <c r="E1207" i="16"/>
  <c r="F24" i="16" s="1"/>
  <c r="C667" i="16"/>
  <c r="D14" i="16" s="1"/>
  <c r="D667" i="16"/>
  <c r="E14" i="16" s="1"/>
  <c r="E667" i="16"/>
  <c r="F14" i="16" s="1"/>
  <c r="V66" i="4"/>
  <c r="Y66" i="4"/>
  <c r="Y68" i="4" s="1"/>
  <c r="Z66" i="4"/>
  <c r="Z68" i="4" s="1"/>
  <c r="AA66" i="4"/>
  <c r="AA68" i="4" s="1"/>
  <c r="AB66" i="4"/>
  <c r="AC66" i="4"/>
  <c r="AC68" i="4" s="1"/>
  <c r="AD66" i="4"/>
  <c r="AD68" i="4" s="1"/>
  <c r="AH66" i="4"/>
  <c r="AH68" i="4" s="1"/>
  <c r="AI66" i="4"/>
  <c r="AI68" i="4" s="1"/>
  <c r="AJ66" i="4"/>
  <c r="AJ68" i="4" s="1"/>
  <c r="AK66" i="4"/>
  <c r="AK68" i="4" s="1"/>
  <c r="C2179" i="16"/>
  <c r="D42" i="16" s="1"/>
  <c r="D2179" i="16"/>
  <c r="E42" i="16" s="1"/>
  <c r="E2179" i="16"/>
  <c r="F42" i="16" s="1"/>
  <c r="C1909" i="16"/>
  <c r="D37" i="16" s="1"/>
  <c r="D1909" i="16"/>
  <c r="E37" i="16" s="1"/>
  <c r="E1909" i="16"/>
  <c r="F37" i="16" s="1"/>
  <c r="C1045" i="16"/>
  <c r="D21" i="16" s="1"/>
  <c r="D1045" i="16"/>
  <c r="E21" i="16" s="1"/>
  <c r="E1045" i="16"/>
  <c r="F21" i="16" s="1"/>
  <c r="D991" i="16"/>
  <c r="E20" i="16" s="1"/>
  <c r="E991" i="16"/>
  <c r="F20" i="16" s="1"/>
  <c r="D52" i="7" l="1"/>
  <c r="I52" i="7" s="1"/>
  <c r="R12" i="9"/>
  <c r="R9" i="9"/>
  <c r="J57" i="8"/>
  <c r="AD55" i="16"/>
  <c r="AA45" i="16"/>
  <c r="P45" i="16"/>
  <c r="K47" i="8" s="1"/>
  <c r="I45" i="16"/>
  <c r="Q45" i="16"/>
  <c r="L47" i="8" s="1"/>
  <c r="J45" i="16"/>
  <c r="O45" i="16" s="1"/>
  <c r="J44" i="16"/>
  <c r="Q44" i="16"/>
  <c r="L46" i="8" s="1"/>
  <c r="AA44" i="16"/>
  <c r="I44" i="16"/>
  <c r="P44" i="16"/>
  <c r="K46" i="8" s="1"/>
  <c r="P39" i="16"/>
  <c r="K41" i="8" s="1"/>
  <c r="AA39" i="16"/>
  <c r="I39" i="16"/>
  <c r="J39" i="16"/>
  <c r="Q39" i="16"/>
  <c r="L41" i="8" s="1"/>
  <c r="I38" i="16"/>
  <c r="P38" i="16"/>
  <c r="K40" i="8" s="1"/>
  <c r="AA38" i="16"/>
  <c r="Q38" i="16"/>
  <c r="L40" i="8" s="1"/>
  <c r="J38" i="16"/>
  <c r="D81" i="7"/>
  <c r="H81" i="7" s="1"/>
  <c r="AM71" i="4"/>
  <c r="AN68" i="4"/>
  <c r="D55" i="7"/>
  <c r="I55" i="7" s="1"/>
  <c r="C51" i="7"/>
  <c r="BC68" i="4"/>
  <c r="C56" i="7"/>
  <c r="C55" i="7"/>
  <c r="AZ68" i="4"/>
  <c r="AQ68" i="4"/>
  <c r="C52" i="7"/>
  <c r="D56" i="7"/>
  <c r="I56" i="7" s="1"/>
  <c r="C9" i="4"/>
  <c r="C11" i="4"/>
  <c r="C12" i="4"/>
  <c r="C18" i="10"/>
  <c r="D8" i="13"/>
  <c r="E19" i="13"/>
  <c r="G19" i="13" s="1"/>
  <c r="C24" i="2"/>
  <c r="E9" i="13"/>
  <c r="G9" i="13" s="1"/>
  <c r="G63" i="9"/>
  <c r="C26" i="12"/>
  <c r="D24" i="2"/>
  <c r="E20" i="13"/>
  <c r="G20" i="13" s="1"/>
  <c r="C13" i="4"/>
  <c r="C10" i="4"/>
  <c r="D27" i="2"/>
  <c r="F34" i="6"/>
  <c r="C3799" i="16"/>
  <c r="D72" i="16" s="1"/>
  <c r="E3799" i="16"/>
  <c r="F72" i="16" s="1"/>
  <c r="D3799" i="16"/>
  <c r="E72" i="16" s="1"/>
  <c r="AD58" i="16"/>
  <c r="J60" i="8"/>
  <c r="AH57" i="16"/>
  <c r="O57" i="16"/>
  <c r="I49" i="16"/>
  <c r="P49" i="16"/>
  <c r="K51" i="8" s="1"/>
  <c r="AA49" i="16"/>
  <c r="Q49" i="16"/>
  <c r="L51" i="8" s="1"/>
  <c r="J49" i="16"/>
  <c r="AD48" i="16"/>
  <c r="J50" i="8"/>
  <c r="AB48" i="16"/>
  <c r="N48" i="16"/>
  <c r="I50" i="8"/>
  <c r="AH48" i="16"/>
  <c r="O48" i="16"/>
  <c r="AD47" i="16"/>
  <c r="J49" i="8"/>
  <c r="AB47" i="16"/>
  <c r="N47" i="16"/>
  <c r="I49" i="8"/>
  <c r="AH47" i="16"/>
  <c r="O47" i="16"/>
  <c r="AD43" i="16"/>
  <c r="J45" i="8"/>
  <c r="AD33" i="16"/>
  <c r="J35" i="8"/>
  <c r="AB33" i="16"/>
  <c r="N33" i="16"/>
  <c r="I35" i="8"/>
  <c r="AH33" i="16"/>
  <c r="O33" i="16"/>
  <c r="AD30" i="16"/>
  <c r="J32" i="8"/>
  <c r="AD26" i="16"/>
  <c r="J28" i="8"/>
  <c r="AD24" i="16"/>
  <c r="J26" i="8"/>
  <c r="Q23" i="16"/>
  <c r="L25" i="8" s="1"/>
  <c r="J23" i="16"/>
  <c r="I22" i="16"/>
  <c r="P22" i="16"/>
  <c r="K24" i="8" s="1"/>
  <c r="AA22" i="16"/>
  <c r="Q22" i="16"/>
  <c r="L24" i="8" s="1"/>
  <c r="J22" i="16"/>
  <c r="AB18" i="16"/>
  <c r="N18" i="16"/>
  <c r="I20" i="8"/>
  <c r="AD18" i="16"/>
  <c r="J20" i="8"/>
  <c r="AH18" i="16"/>
  <c r="O18" i="16"/>
  <c r="AD14" i="16"/>
  <c r="J16" i="8"/>
  <c r="AB9" i="16"/>
  <c r="N9" i="16"/>
  <c r="I11" i="8"/>
  <c r="AD9" i="16"/>
  <c r="J11" i="8"/>
  <c r="AH9" i="16"/>
  <c r="O9" i="16"/>
  <c r="Q6" i="16"/>
  <c r="L8" i="8" s="1"/>
  <c r="J6" i="16"/>
  <c r="I6" i="16"/>
  <c r="P6" i="16"/>
  <c r="K8" i="8" s="1"/>
  <c r="AA6" i="16"/>
  <c r="P10" i="9" s="1"/>
  <c r="R8" i="9"/>
  <c r="R33" i="9"/>
  <c r="AD4" i="16"/>
  <c r="J6" i="8"/>
  <c r="P8" i="9"/>
  <c r="AB4" i="16"/>
  <c r="N4" i="16"/>
  <c r="I6" i="8"/>
  <c r="AH4" i="16"/>
  <c r="O4" i="16"/>
  <c r="AK71" i="4"/>
  <c r="D79" i="7"/>
  <c r="H79" i="7" s="1"/>
  <c r="AJ71" i="4"/>
  <c r="D78" i="7"/>
  <c r="H78" i="7" s="1"/>
  <c r="AI71" i="4"/>
  <c r="D77" i="7"/>
  <c r="H77" i="7" s="1"/>
  <c r="D76" i="7"/>
  <c r="H76" i="7" s="1"/>
  <c r="AH71" i="4"/>
  <c r="AG71" i="4"/>
  <c r="D75" i="7"/>
  <c r="H75" i="7" s="1"/>
  <c r="AF71" i="4"/>
  <c r="D74" i="7"/>
  <c r="H74" i="7" s="1"/>
  <c r="D73" i="7"/>
  <c r="H73" i="7" s="1"/>
  <c r="AE71" i="4"/>
  <c r="AD71" i="4"/>
  <c r="D72" i="7"/>
  <c r="H72" i="7" s="1"/>
  <c r="AC71" i="4"/>
  <c r="D71" i="7"/>
  <c r="H71" i="7" s="1"/>
  <c r="AA71" i="4"/>
  <c r="D69" i="7"/>
  <c r="H69" i="7" s="1"/>
  <c r="D68" i="7"/>
  <c r="H68" i="7" s="1"/>
  <c r="Z71" i="4"/>
  <c r="Y71" i="4"/>
  <c r="D67" i="7"/>
  <c r="H67" i="7" s="1"/>
  <c r="J61" i="16"/>
  <c r="Q31" i="16"/>
  <c r="L33" i="8" s="1"/>
  <c r="J31" i="16"/>
  <c r="B4207" i="16"/>
  <c r="C4207" i="16"/>
  <c r="F19" i="10" s="1"/>
  <c r="B4153" i="16"/>
  <c r="C4153" i="16"/>
  <c r="E19" i="10" s="1"/>
  <c r="B4099" i="16"/>
  <c r="C4099" i="16"/>
  <c r="D19" i="10" s="1"/>
  <c r="E3421" i="16"/>
  <c r="F65" i="16" s="1"/>
  <c r="D3421" i="16"/>
  <c r="E65" i="16" s="1"/>
  <c r="C3421" i="16"/>
  <c r="D65" i="16" s="1"/>
  <c r="D3313" i="16"/>
  <c r="E63" i="16" s="1"/>
  <c r="E3313" i="16"/>
  <c r="F63" i="16" s="1"/>
  <c r="C3313" i="16"/>
  <c r="D63" i="16" s="1"/>
  <c r="D3259" i="16"/>
  <c r="E62" i="16" s="1"/>
  <c r="C3259" i="16"/>
  <c r="D62" i="16" s="1"/>
  <c r="E3259" i="16"/>
  <c r="F62" i="16" s="1"/>
  <c r="D3043" i="16"/>
  <c r="E58" i="16" s="1"/>
  <c r="E3043" i="16"/>
  <c r="F58" i="16" s="1"/>
  <c r="C3043" i="16"/>
  <c r="D58" i="16" s="1"/>
  <c r="D2881" i="16"/>
  <c r="E55" i="16" s="1"/>
  <c r="E2881" i="16"/>
  <c r="F55" i="16" s="1"/>
  <c r="C2881" i="16"/>
  <c r="D55" i="16" s="1"/>
  <c r="E2665" i="16"/>
  <c r="F51" i="16" s="1"/>
  <c r="D2665" i="16"/>
  <c r="E51" i="16" s="1"/>
  <c r="C2665" i="16"/>
  <c r="D51" i="16" s="1"/>
  <c r="C2611" i="16"/>
  <c r="D50" i="16" s="1"/>
  <c r="E2611" i="16"/>
  <c r="F50" i="16" s="1"/>
  <c r="D2611" i="16"/>
  <c r="E50" i="16" s="1"/>
  <c r="E2125" i="16"/>
  <c r="F41" i="16" s="1"/>
  <c r="D2125" i="16"/>
  <c r="E41" i="16" s="1"/>
  <c r="C2125" i="16"/>
  <c r="D41" i="16" s="1"/>
  <c r="E2071" i="16"/>
  <c r="F40" i="16" s="1"/>
  <c r="D2071" i="16"/>
  <c r="E40" i="16" s="1"/>
  <c r="C2071" i="16"/>
  <c r="D40" i="16" s="1"/>
  <c r="E1801" i="16"/>
  <c r="F35" i="16" s="1"/>
  <c r="D1801" i="16"/>
  <c r="E35" i="16" s="1"/>
  <c r="C1801" i="16"/>
  <c r="D35" i="16" s="1"/>
  <c r="C1531" i="16"/>
  <c r="D30" i="16" s="1"/>
  <c r="D1531" i="16"/>
  <c r="E30" i="16" s="1"/>
  <c r="E1531" i="16"/>
  <c r="F30" i="16" s="1"/>
  <c r="E1423" i="16"/>
  <c r="F28" i="16" s="1"/>
  <c r="D1423" i="16"/>
  <c r="E28" i="16" s="1"/>
  <c r="C1423" i="16"/>
  <c r="D28" i="16" s="1"/>
  <c r="C1315" i="16"/>
  <c r="D26" i="16" s="1"/>
  <c r="E1315" i="16"/>
  <c r="F26" i="16" s="1"/>
  <c r="D1315" i="16"/>
  <c r="E26" i="16" s="1"/>
  <c r="E937" i="16"/>
  <c r="F19" i="16" s="1"/>
  <c r="D937" i="16"/>
  <c r="E19" i="16" s="1"/>
  <c r="C937" i="16"/>
  <c r="D19" i="16" s="1"/>
  <c r="E451" i="16"/>
  <c r="F10" i="16" s="1"/>
  <c r="D451" i="16"/>
  <c r="E10" i="16" s="1"/>
  <c r="C451" i="16"/>
  <c r="D10" i="16" s="1"/>
  <c r="J68" i="8"/>
  <c r="AD66" i="16"/>
  <c r="AD65" i="16"/>
  <c r="J67" i="8"/>
  <c r="AD64" i="16"/>
  <c r="J66" i="8"/>
  <c r="J65" i="8"/>
  <c r="AD63" i="16"/>
  <c r="AD62" i="16"/>
  <c r="J64" i="8"/>
  <c r="AD60" i="16"/>
  <c r="J62" i="8"/>
  <c r="AD59" i="16"/>
  <c r="J61" i="8"/>
  <c r="AB57" i="16"/>
  <c r="N57" i="16"/>
  <c r="I59" i="8"/>
  <c r="AD57" i="16"/>
  <c r="J59" i="8"/>
  <c r="AB56" i="16"/>
  <c r="N56" i="16"/>
  <c r="I58" i="8"/>
  <c r="AH56" i="16"/>
  <c r="O56" i="16"/>
  <c r="AB54" i="16"/>
  <c r="N54" i="16"/>
  <c r="I56" i="8"/>
  <c r="AH54" i="16"/>
  <c r="O54" i="16"/>
  <c r="AB53" i="16"/>
  <c r="N53" i="16"/>
  <c r="I55" i="8"/>
  <c r="AD53" i="16"/>
  <c r="J55" i="8"/>
  <c r="AH53" i="16"/>
  <c r="O53" i="16"/>
  <c r="AB52" i="16"/>
  <c r="N52" i="16"/>
  <c r="I54" i="8"/>
  <c r="J54" i="8"/>
  <c r="AD52" i="16"/>
  <c r="AH52" i="16"/>
  <c r="O52" i="16"/>
  <c r="AD51" i="16"/>
  <c r="J53" i="8"/>
  <c r="AB46" i="16"/>
  <c r="N46" i="16"/>
  <c r="I48" i="8"/>
  <c r="AD46" i="16"/>
  <c r="J48" i="8"/>
  <c r="AH46" i="16"/>
  <c r="O46" i="16"/>
  <c r="AB45" i="16"/>
  <c r="N45" i="16"/>
  <c r="I47" i="8"/>
  <c r="AD45" i="16"/>
  <c r="J47" i="8"/>
  <c r="AH45" i="16"/>
  <c r="AD42" i="16"/>
  <c r="J44" i="8"/>
  <c r="AD41" i="16"/>
  <c r="J43" i="8"/>
  <c r="AD40" i="16"/>
  <c r="J42" i="8"/>
  <c r="AD39" i="16"/>
  <c r="J41" i="8"/>
  <c r="AD38" i="16"/>
  <c r="J40" i="8"/>
  <c r="AD37" i="16"/>
  <c r="J39" i="8"/>
  <c r="AD36" i="16"/>
  <c r="J38" i="8"/>
  <c r="AB36" i="16"/>
  <c r="N36" i="16"/>
  <c r="I38" i="8"/>
  <c r="AH36" i="16"/>
  <c r="O36" i="16"/>
  <c r="AD35" i="16"/>
  <c r="J37" i="8"/>
  <c r="AB34" i="16"/>
  <c r="N34" i="16"/>
  <c r="I36" i="8"/>
  <c r="AD34" i="16"/>
  <c r="J36" i="8"/>
  <c r="AH34" i="16"/>
  <c r="O34" i="16"/>
  <c r="AB32" i="16"/>
  <c r="N32" i="16"/>
  <c r="I34" i="8"/>
  <c r="AD32" i="16"/>
  <c r="J34" i="8"/>
  <c r="AH32" i="16"/>
  <c r="O32" i="16"/>
  <c r="AD31" i="16"/>
  <c r="J33" i="8"/>
  <c r="AB31" i="16"/>
  <c r="N31" i="16"/>
  <c r="I33" i="8"/>
  <c r="AD29" i="16"/>
  <c r="J31" i="8"/>
  <c r="AD28" i="16"/>
  <c r="S11" i="9" s="1"/>
  <c r="J30" i="8"/>
  <c r="AD27" i="16"/>
  <c r="J29" i="8"/>
  <c r="AB27" i="16"/>
  <c r="N27" i="16"/>
  <c r="I29" i="8"/>
  <c r="AH27" i="16"/>
  <c r="O27" i="16"/>
  <c r="AB23" i="16"/>
  <c r="N23" i="16"/>
  <c r="I25" i="8"/>
  <c r="AD23" i="16"/>
  <c r="J25" i="8"/>
  <c r="AD21" i="16"/>
  <c r="J23" i="8"/>
  <c r="AD20" i="16"/>
  <c r="J22" i="8"/>
  <c r="AD19" i="16"/>
  <c r="J21" i="8"/>
  <c r="AB17" i="16"/>
  <c r="N17" i="16"/>
  <c r="I19" i="8"/>
  <c r="AD17" i="16"/>
  <c r="J19" i="8"/>
  <c r="AH17" i="16"/>
  <c r="O17" i="16"/>
  <c r="AB16" i="16"/>
  <c r="N16" i="16"/>
  <c r="I18" i="8"/>
  <c r="AD16" i="16"/>
  <c r="J18" i="8"/>
  <c r="AH16" i="16"/>
  <c r="O16" i="16"/>
  <c r="AD15" i="16"/>
  <c r="J17" i="8"/>
  <c r="AB15" i="16"/>
  <c r="N15" i="16"/>
  <c r="I17" i="8"/>
  <c r="AH15" i="16"/>
  <c r="O15" i="16"/>
  <c r="AD13" i="16"/>
  <c r="S17" i="9" s="1"/>
  <c r="J15" i="8"/>
  <c r="AB13" i="16"/>
  <c r="N13" i="16"/>
  <c r="I15" i="8"/>
  <c r="AH13" i="16"/>
  <c r="O13" i="16"/>
  <c r="AD12" i="16"/>
  <c r="J14" i="8"/>
  <c r="AB12" i="16"/>
  <c r="N12" i="16"/>
  <c r="I14" i="8"/>
  <c r="AH12" i="16"/>
  <c r="O12" i="16"/>
  <c r="AB11" i="16"/>
  <c r="N11" i="16"/>
  <c r="I13" i="8"/>
  <c r="AD11" i="16"/>
  <c r="J13" i="8"/>
  <c r="AH11" i="16"/>
  <c r="O11" i="16"/>
  <c r="AD10" i="16"/>
  <c r="J12" i="8"/>
  <c r="AB8" i="16"/>
  <c r="N8" i="16"/>
  <c r="I10" i="8"/>
  <c r="J10" i="8"/>
  <c r="AD8" i="16"/>
  <c r="S12" i="9" s="1"/>
  <c r="AH8" i="16"/>
  <c r="O8" i="16"/>
  <c r="AB7" i="16"/>
  <c r="N7" i="16"/>
  <c r="I9" i="8"/>
  <c r="AH7" i="16"/>
  <c r="O7" i="16"/>
  <c r="AD5" i="16"/>
  <c r="J7" i="8"/>
  <c r="AB5" i="16"/>
  <c r="N5" i="16"/>
  <c r="I7" i="8"/>
  <c r="AH5" i="16"/>
  <c r="O5" i="16"/>
  <c r="BE71" i="4"/>
  <c r="D99" i="7"/>
  <c r="H99" i="7" s="1"/>
  <c r="BD71" i="4"/>
  <c r="D98" i="7"/>
  <c r="H98" i="7" s="1"/>
  <c r="BB71" i="4"/>
  <c r="D96" i="7"/>
  <c r="H96" i="7" s="1"/>
  <c r="BA71" i="4"/>
  <c r="D95" i="7"/>
  <c r="H95" i="7" s="1"/>
  <c r="AY71" i="4"/>
  <c r="D93" i="7"/>
  <c r="H93" i="7" s="1"/>
  <c r="AX71" i="4"/>
  <c r="D92" i="7"/>
  <c r="H92" i="7" s="1"/>
  <c r="AW71" i="4"/>
  <c r="D91" i="7"/>
  <c r="H91" i="7" s="1"/>
  <c r="AV71" i="4"/>
  <c r="D90" i="7"/>
  <c r="H90" i="7" s="1"/>
  <c r="D89" i="7"/>
  <c r="H89" i="7" s="1"/>
  <c r="AU71" i="4"/>
  <c r="AT71" i="4"/>
  <c r="D88" i="7"/>
  <c r="H88" i="7" s="1"/>
  <c r="D87" i="7"/>
  <c r="H87" i="7" s="1"/>
  <c r="AS71" i="4"/>
  <c r="AR71" i="4"/>
  <c r="D86" i="7"/>
  <c r="H86" i="7" s="1"/>
  <c r="AL71" i="4"/>
  <c r="D80" i="7"/>
  <c r="H80" i="7" s="1"/>
  <c r="D66" i="7"/>
  <c r="H66" i="7" s="1"/>
  <c r="X71" i="4"/>
  <c r="D65" i="7"/>
  <c r="H65" i="7" s="1"/>
  <c r="W71" i="4"/>
  <c r="C27" i="2"/>
  <c r="E24" i="13"/>
  <c r="G24" i="13" s="1"/>
  <c r="C14" i="11"/>
  <c r="C15" i="11" s="1"/>
  <c r="C16" i="11" s="1"/>
  <c r="C17" i="11" s="1"/>
  <c r="C17" i="10"/>
  <c r="E64" i="9"/>
  <c r="C34" i="6"/>
  <c r="AB25" i="16"/>
  <c r="N25" i="16"/>
  <c r="I27" i="8"/>
  <c r="AH25" i="16"/>
  <c r="O25" i="16"/>
  <c r="AD61" i="16"/>
  <c r="J63" i="8"/>
  <c r="G53" i="7"/>
  <c r="H53" i="7"/>
  <c r="E40" i="11"/>
  <c r="F40" i="11" s="1"/>
  <c r="G40" i="11" s="1"/>
  <c r="H40" i="11" s="1"/>
  <c r="I40" i="11" s="1"/>
  <c r="E39" i="11"/>
  <c r="F39" i="11" s="1"/>
  <c r="G39" i="11" s="1"/>
  <c r="H39" i="11" s="1"/>
  <c r="I39" i="11" s="1"/>
  <c r="E38" i="11"/>
  <c r="F38" i="11" s="1"/>
  <c r="G38" i="11" s="1"/>
  <c r="H38" i="11" s="1"/>
  <c r="I38" i="11" s="1"/>
  <c r="E37" i="11"/>
  <c r="F37" i="11" s="1"/>
  <c r="E36" i="11"/>
  <c r="F36" i="11" s="1"/>
  <c r="E35" i="11"/>
  <c r="F35" i="11" s="1"/>
  <c r="E34" i="11"/>
  <c r="F34" i="11" s="1"/>
  <c r="E33" i="11"/>
  <c r="F33" i="11" s="1"/>
  <c r="E32" i="11"/>
  <c r="F32" i="11" s="1"/>
  <c r="E31" i="11"/>
  <c r="F31" i="11" s="1"/>
  <c r="E30" i="11"/>
  <c r="F30" i="11" s="1"/>
  <c r="E29" i="11"/>
  <c r="F29" i="11" s="1"/>
  <c r="AA71" i="16"/>
  <c r="P71" i="16"/>
  <c r="I71" i="16"/>
  <c r="Q71" i="16"/>
  <c r="J71" i="16"/>
  <c r="Q69" i="16"/>
  <c r="J69" i="16"/>
  <c r="I69" i="16"/>
  <c r="AA69" i="16"/>
  <c r="P69" i="16"/>
  <c r="Q68" i="16"/>
  <c r="J68" i="16"/>
  <c r="I68" i="16"/>
  <c r="P68" i="16"/>
  <c r="AA68" i="16"/>
  <c r="I67" i="16"/>
  <c r="P67" i="16"/>
  <c r="AA67" i="16"/>
  <c r="J67" i="16"/>
  <c r="Q67" i="16"/>
  <c r="J66" i="16"/>
  <c r="Q66" i="16"/>
  <c r="L68" i="8" s="1"/>
  <c r="AA66" i="16"/>
  <c r="P66" i="16"/>
  <c r="K68" i="8" s="1"/>
  <c r="I66" i="16"/>
  <c r="Q64" i="16"/>
  <c r="L66" i="8" s="1"/>
  <c r="J64" i="16"/>
  <c r="AA64" i="16"/>
  <c r="P64" i="16"/>
  <c r="K66" i="8" s="1"/>
  <c r="I64" i="16"/>
  <c r="J60" i="16"/>
  <c r="Q60" i="16"/>
  <c r="L62" i="8" s="1"/>
  <c r="AA60" i="16"/>
  <c r="P22" i="9" s="1"/>
  <c r="P60" i="16"/>
  <c r="K62" i="8" s="1"/>
  <c r="I60" i="16"/>
  <c r="J59" i="16"/>
  <c r="Q59" i="16"/>
  <c r="L61" i="8" s="1"/>
  <c r="I59" i="16"/>
  <c r="P59" i="16"/>
  <c r="K61" i="8" s="1"/>
  <c r="AA59" i="16"/>
  <c r="Q29" i="16"/>
  <c r="L31" i="8" s="1"/>
  <c r="J29" i="16"/>
  <c r="AA29" i="16"/>
  <c r="P29" i="16"/>
  <c r="K31" i="8" s="1"/>
  <c r="I29" i="16"/>
  <c r="I24" i="16"/>
  <c r="P24" i="16"/>
  <c r="K26" i="8" s="1"/>
  <c r="AA24" i="16"/>
  <c r="P28" i="9" s="1"/>
  <c r="J24" i="16"/>
  <c r="Q24" i="16"/>
  <c r="L26" i="8" s="1"/>
  <c r="AA14" i="16"/>
  <c r="P14" i="16"/>
  <c r="K16" i="8" s="1"/>
  <c r="I14" i="16"/>
  <c r="J14" i="16"/>
  <c r="Q14" i="16"/>
  <c r="L16" i="8" s="1"/>
  <c r="D53" i="7"/>
  <c r="C49" i="7"/>
  <c r="F12" i="4"/>
  <c r="E8" i="13" s="1"/>
  <c r="G8" i="13" s="1"/>
  <c r="C50" i="7"/>
  <c r="D54" i="7"/>
  <c r="I42" i="16"/>
  <c r="P42" i="16"/>
  <c r="K44" i="8" s="1"/>
  <c r="AA42" i="16"/>
  <c r="Q42" i="16"/>
  <c r="L44" i="8" s="1"/>
  <c r="J42" i="16"/>
  <c r="AA37" i="16"/>
  <c r="P37" i="16"/>
  <c r="K39" i="8" s="1"/>
  <c r="I37" i="16"/>
  <c r="Q37" i="16"/>
  <c r="L39" i="8" s="1"/>
  <c r="J37" i="16"/>
  <c r="I21" i="16"/>
  <c r="P21" i="16"/>
  <c r="K23" i="8" s="1"/>
  <c r="AA21" i="16"/>
  <c r="J21" i="16"/>
  <c r="Q21" i="16"/>
  <c r="L23" i="8" s="1"/>
  <c r="AA20" i="16"/>
  <c r="P20" i="16"/>
  <c r="K22" i="8" s="1"/>
  <c r="I20" i="16"/>
  <c r="J20" i="16"/>
  <c r="Q20" i="16"/>
  <c r="L22" i="8" s="1"/>
  <c r="R26" i="9"/>
  <c r="R28" i="9"/>
  <c r="R18" i="9"/>
  <c r="R10" i="9"/>
  <c r="R27" i="9"/>
  <c r="P21" i="9"/>
  <c r="R21" i="9"/>
  <c r="R20" i="9"/>
  <c r="P19" i="9"/>
  <c r="R17" i="9"/>
  <c r="R25" i="9"/>
  <c r="R24" i="9"/>
  <c r="R23" i="9"/>
  <c r="R19" i="9"/>
  <c r="D50" i="7"/>
  <c r="I50" i="7" s="1"/>
  <c r="C3691" i="16"/>
  <c r="D70" i="16" s="1"/>
  <c r="E3691" i="16"/>
  <c r="F70" i="16" s="1"/>
  <c r="D3691" i="16"/>
  <c r="E70" i="16" s="1"/>
  <c r="D3205" i="16"/>
  <c r="E61" i="16" s="1"/>
  <c r="Q61" i="16" s="1"/>
  <c r="L63" i="8" s="1"/>
  <c r="C3205" i="16"/>
  <c r="D61" i="16" s="1"/>
  <c r="C2233" i="16"/>
  <c r="D43" i="16" s="1"/>
  <c r="E2233" i="16"/>
  <c r="F43" i="16" s="1"/>
  <c r="D2233" i="16"/>
  <c r="E43" i="16" s="1"/>
  <c r="D49" i="7"/>
  <c r="I49" i="7" s="1"/>
  <c r="V68" i="4"/>
  <c r="D51" i="7"/>
  <c r="I51" i="7" s="1"/>
  <c r="AB68" i="4"/>
  <c r="AN71" i="4" l="1"/>
  <c r="D82" i="7"/>
  <c r="H82" i="7" s="1"/>
  <c r="H55" i="7"/>
  <c r="J55" i="7" s="1"/>
  <c r="E55" i="7"/>
  <c r="G55" i="7"/>
  <c r="S26" i="9"/>
  <c r="S28" i="9"/>
  <c r="S22" i="9"/>
  <c r="S18" i="9"/>
  <c r="Q16" i="9"/>
  <c r="O44" i="16"/>
  <c r="AH44" i="16"/>
  <c r="I46" i="8"/>
  <c r="N44" i="16"/>
  <c r="AB44" i="16"/>
  <c r="N39" i="16"/>
  <c r="AB39" i="16"/>
  <c r="I41" i="8"/>
  <c r="AH39" i="16"/>
  <c r="O39" i="16"/>
  <c r="AB38" i="16"/>
  <c r="N38" i="16"/>
  <c r="I40" i="8"/>
  <c r="AH38" i="16"/>
  <c r="O38" i="16"/>
  <c r="G51" i="7"/>
  <c r="H51" i="7"/>
  <c r="J51" i="7" s="1"/>
  <c r="E51" i="7"/>
  <c r="D97" i="7"/>
  <c r="H97" i="7" s="1"/>
  <c r="BC71" i="4"/>
  <c r="H56" i="7"/>
  <c r="J56" i="7" s="1"/>
  <c r="E56" i="7"/>
  <c r="G56" i="7"/>
  <c r="D94" i="7"/>
  <c r="H94" i="7" s="1"/>
  <c r="AZ71" i="4"/>
  <c r="AQ71" i="4"/>
  <c r="D85" i="7"/>
  <c r="H85" i="7" s="1"/>
  <c r="H52" i="7"/>
  <c r="J52" i="7" s="1"/>
  <c r="G52" i="7"/>
  <c r="E52" i="7"/>
  <c r="E22" i="13"/>
  <c r="G22" i="13" s="1"/>
  <c r="E63" i="9"/>
  <c r="C25" i="2"/>
  <c r="C16" i="10"/>
  <c r="C33" i="6"/>
  <c r="D33" i="6" s="1"/>
  <c r="D41" i="6"/>
  <c r="F19" i="2"/>
  <c r="D42" i="6"/>
  <c r="C28" i="2"/>
  <c r="C19" i="10"/>
  <c r="H19" i="2"/>
  <c r="D28" i="2"/>
  <c r="D43" i="6"/>
  <c r="E23" i="13"/>
  <c r="G23" i="13" s="1"/>
  <c r="D25" i="2"/>
  <c r="F33" i="6"/>
  <c r="G33" i="6" s="1"/>
  <c r="Q72" i="16"/>
  <c r="J72" i="16"/>
  <c r="P72" i="16"/>
  <c r="AA72" i="16"/>
  <c r="I72" i="16"/>
  <c r="I53" i="7"/>
  <c r="J53" i="7" s="1"/>
  <c r="E53" i="7"/>
  <c r="M59" i="8"/>
  <c r="AJ57" i="16"/>
  <c r="AB49" i="16"/>
  <c r="N49" i="16"/>
  <c r="I51" i="8"/>
  <c r="AH49" i="16"/>
  <c r="O49" i="16"/>
  <c r="H50" i="8"/>
  <c r="G50" i="8"/>
  <c r="AF48" i="16"/>
  <c r="M50" i="8"/>
  <c r="AJ48" i="16"/>
  <c r="H49" i="8"/>
  <c r="G49" i="8"/>
  <c r="AF47" i="16"/>
  <c r="M49" i="8"/>
  <c r="AJ47" i="16"/>
  <c r="G35" i="8"/>
  <c r="H35" i="8"/>
  <c r="AF33" i="16"/>
  <c r="M35" i="8"/>
  <c r="AJ33" i="16"/>
  <c r="AH23" i="16"/>
  <c r="O23" i="16"/>
  <c r="AB22" i="16"/>
  <c r="N22" i="16"/>
  <c r="I24" i="8"/>
  <c r="AH22" i="16"/>
  <c r="O22" i="16"/>
  <c r="G20" i="8"/>
  <c r="H20" i="8"/>
  <c r="AF18" i="16"/>
  <c r="M20" i="8"/>
  <c r="AJ18" i="16"/>
  <c r="H11" i="8"/>
  <c r="G11" i="8"/>
  <c r="AF9" i="16"/>
  <c r="M11" i="8"/>
  <c r="AJ9" i="16"/>
  <c r="AH6" i="16"/>
  <c r="W10" i="9" s="1"/>
  <c r="O6" i="16"/>
  <c r="AB6" i="16"/>
  <c r="Q10" i="9" s="1"/>
  <c r="N6" i="16"/>
  <c r="I8" i="8"/>
  <c r="S8" i="9"/>
  <c r="S33" i="9"/>
  <c r="Q8" i="9"/>
  <c r="H6" i="8"/>
  <c r="G6" i="8"/>
  <c r="AF4" i="16"/>
  <c r="W8" i="9"/>
  <c r="M6" i="8"/>
  <c r="AJ4" i="16"/>
  <c r="AH61" i="16"/>
  <c r="O61" i="16"/>
  <c r="AH31" i="16"/>
  <c r="O31" i="16"/>
  <c r="F18" i="10"/>
  <c r="F16" i="10"/>
  <c r="F14" i="10" s="1"/>
  <c r="E16" i="10"/>
  <c r="E14" i="10" s="1"/>
  <c r="E18" i="10"/>
  <c r="D18" i="10"/>
  <c r="D16" i="10"/>
  <c r="D14" i="10" s="1"/>
  <c r="Q65" i="16"/>
  <c r="L67" i="8" s="1"/>
  <c r="J65" i="16"/>
  <c r="I65" i="16"/>
  <c r="P65" i="16"/>
  <c r="K67" i="8" s="1"/>
  <c r="AA65" i="16"/>
  <c r="P27" i="9" s="1"/>
  <c r="AA63" i="16"/>
  <c r="P25" i="9" s="1"/>
  <c r="P63" i="16"/>
  <c r="K65" i="8" s="1"/>
  <c r="I63" i="16"/>
  <c r="J63" i="16"/>
  <c r="Q63" i="16"/>
  <c r="L65" i="8" s="1"/>
  <c r="AA62" i="16"/>
  <c r="P62" i="16"/>
  <c r="K64" i="8" s="1"/>
  <c r="I62" i="16"/>
  <c r="J62" i="16"/>
  <c r="Q62" i="16"/>
  <c r="L64" i="8" s="1"/>
  <c r="I58" i="16"/>
  <c r="P58" i="16"/>
  <c r="K60" i="8" s="1"/>
  <c r="AA58" i="16"/>
  <c r="P20" i="9" s="1"/>
  <c r="J58" i="16"/>
  <c r="Q58" i="16"/>
  <c r="L60" i="8" s="1"/>
  <c r="I55" i="16"/>
  <c r="P55" i="16"/>
  <c r="K57" i="8" s="1"/>
  <c r="AA55" i="16"/>
  <c r="P17" i="9" s="1"/>
  <c r="Q55" i="16"/>
  <c r="L57" i="8" s="1"/>
  <c r="J55" i="16"/>
  <c r="Q51" i="16"/>
  <c r="L53" i="8" s="1"/>
  <c r="J51" i="16"/>
  <c r="I51" i="16"/>
  <c r="P51" i="16"/>
  <c r="K53" i="8" s="1"/>
  <c r="AA51" i="16"/>
  <c r="Q50" i="16"/>
  <c r="L52" i="8" s="1"/>
  <c r="J50" i="16"/>
  <c r="I50" i="16"/>
  <c r="P50" i="16"/>
  <c r="K52" i="8" s="1"/>
  <c r="AA50" i="16"/>
  <c r="P12" i="9" s="1"/>
  <c r="J41" i="16"/>
  <c r="Q41" i="16"/>
  <c r="L43" i="8" s="1"/>
  <c r="I41" i="16"/>
  <c r="P41" i="16"/>
  <c r="K43" i="8" s="1"/>
  <c r="AA41" i="16"/>
  <c r="J40" i="16"/>
  <c r="Q40" i="16"/>
  <c r="L42" i="8" s="1"/>
  <c r="I40" i="16"/>
  <c r="P40" i="16"/>
  <c r="K42" i="8" s="1"/>
  <c r="AA40" i="16"/>
  <c r="Q35" i="16"/>
  <c r="L37" i="8" s="1"/>
  <c r="J35" i="16"/>
  <c r="AA35" i="16"/>
  <c r="P18" i="9" s="1"/>
  <c r="P35" i="16"/>
  <c r="K37" i="8" s="1"/>
  <c r="I35" i="16"/>
  <c r="I30" i="16"/>
  <c r="P30" i="16"/>
  <c r="K32" i="8" s="1"/>
  <c r="AA30" i="16"/>
  <c r="P13" i="9" s="1"/>
  <c r="Q30" i="16"/>
  <c r="L32" i="8" s="1"/>
  <c r="J30" i="16"/>
  <c r="Q28" i="16"/>
  <c r="L30" i="8" s="1"/>
  <c r="J28" i="16"/>
  <c r="I28" i="16"/>
  <c r="P28" i="16"/>
  <c r="K30" i="8" s="1"/>
  <c r="AA28" i="16"/>
  <c r="P11" i="9" s="1"/>
  <c r="J26" i="16"/>
  <c r="Q26" i="16"/>
  <c r="L28" i="8" s="1"/>
  <c r="AA26" i="16"/>
  <c r="P9" i="9" s="1"/>
  <c r="P26" i="16"/>
  <c r="K28" i="8" s="1"/>
  <c r="I26" i="16"/>
  <c r="Q19" i="16"/>
  <c r="L21" i="8" s="1"/>
  <c r="J19" i="16"/>
  <c r="I19" i="16"/>
  <c r="P19" i="16"/>
  <c r="K21" i="8" s="1"/>
  <c r="AA19" i="16"/>
  <c r="Q10" i="16"/>
  <c r="L12" i="8" s="1"/>
  <c r="J10" i="16"/>
  <c r="I10" i="16"/>
  <c r="P10" i="16"/>
  <c r="K12" i="8" s="1"/>
  <c r="AA10" i="16"/>
  <c r="H59" i="8"/>
  <c r="G59" i="8"/>
  <c r="AF57" i="16"/>
  <c r="H58" i="8"/>
  <c r="G58" i="8"/>
  <c r="AF56" i="16"/>
  <c r="M58" i="8"/>
  <c r="AJ56" i="16"/>
  <c r="G56" i="8"/>
  <c r="H56" i="8"/>
  <c r="AF54" i="16"/>
  <c r="M56" i="8"/>
  <c r="AJ54" i="16"/>
  <c r="H55" i="8"/>
  <c r="G55" i="8"/>
  <c r="AF53" i="16"/>
  <c r="M55" i="8"/>
  <c r="AJ53" i="16"/>
  <c r="H54" i="8"/>
  <c r="G54" i="8"/>
  <c r="AF52" i="16"/>
  <c r="M54" i="8"/>
  <c r="AJ52" i="16"/>
  <c r="H48" i="8"/>
  <c r="G48" i="8"/>
  <c r="AF46" i="16"/>
  <c r="M48" i="8"/>
  <c r="AJ46" i="16"/>
  <c r="H47" i="8"/>
  <c r="G47" i="8"/>
  <c r="AF45" i="16"/>
  <c r="M47" i="8"/>
  <c r="AJ45" i="16"/>
  <c r="H38" i="8"/>
  <c r="G38" i="8"/>
  <c r="AF36" i="16"/>
  <c r="M38" i="8"/>
  <c r="AJ36" i="16"/>
  <c r="G36" i="8"/>
  <c r="H36" i="8"/>
  <c r="AF34" i="16"/>
  <c r="M36" i="8"/>
  <c r="AJ34" i="16"/>
  <c r="H34" i="8"/>
  <c r="G34" i="8"/>
  <c r="AF32" i="16"/>
  <c r="M34" i="8"/>
  <c r="AJ32" i="16"/>
  <c r="H33" i="8"/>
  <c r="G33" i="8"/>
  <c r="AF31" i="16"/>
  <c r="H29" i="8"/>
  <c r="G29" i="8"/>
  <c r="AF27" i="16"/>
  <c r="M29" i="8"/>
  <c r="AJ27" i="16"/>
  <c r="H25" i="8"/>
  <c r="G25" i="8"/>
  <c r="AF23" i="16"/>
  <c r="H19" i="8"/>
  <c r="G19" i="8"/>
  <c r="AF17" i="16"/>
  <c r="M19" i="8"/>
  <c r="AJ17" i="16"/>
  <c r="H18" i="8"/>
  <c r="G18" i="8"/>
  <c r="AF16" i="16"/>
  <c r="M18" i="8"/>
  <c r="AJ16" i="16"/>
  <c r="G17" i="8"/>
  <c r="H17" i="8"/>
  <c r="AF15" i="16"/>
  <c r="M17" i="8"/>
  <c r="AJ15" i="16"/>
  <c r="H15" i="8"/>
  <c r="G15" i="8"/>
  <c r="AF13" i="16"/>
  <c r="M15" i="8"/>
  <c r="AJ13" i="16"/>
  <c r="H14" i="8"/>
  <c r="G14" i="8"/>
  <c r="AF12" i="16"/>
  <c r="M14" i="8"/>
  <c r="AJ12" i="16"/>
  <c r="H13" i="8"/>
  <c r="G13" i="8"/>
  <c r="AF11" i="16"/>
  <c r="M13" i="8"/>
  <c r="AJ11" i="16"/>
  <c r="Y15" i="9" s="1"/>
  <c r="H10" i="8"/>
  <c r="G10" i="8"/>
  <c r="AF8" i="16"/>
  <c r="M10" i="8"/>
  <c r="AJ8" i="16"/>
  <c r="H9" i="8"/>
  <c r="G9" i="8"/>
  <c r="AF7" i="16"/>
  <c r="M9" i="8"/>
  <c r="AJ7" i="16"/>
  <c r="G7" i="8"/>
  <c r="H7" i="8"/>
  <c r="AF5" i="16"/>
  <c r="M7" i="8"/>
  <c r="AJ5" i="16"/>
  <c r="E28" i="13"/>
  <c r="G28" i="13" s="1"/>
  <c r="C18" i="11"/>
  <c r="D17" i="11"/>
  <c r="G27" i="8"/>
  <c r="H27" i="8"/>
  <c r="AF25" i="16"/>
  <c r="M27" i="8"/>
  <c r="AJ25" i="16"/>
  <c r="AB71" i="16"/>
  <c r="N71" i="16"/>
  <c r="AH71" i="16"/>
  <c r="O71" i="16"/>
  <c r="AH69" i="16"/>
  <c r="O69" i="16"/>
  <c r="AB69" i="16"/>
  <c r="N69" i="16"/>
  <c r="AH68" i="16"/>
  <c r="O68" i="16"/>
  <c r="AB68" i="16"/>
  <c r="N68" i="16"/>
  <c r="AB67" i="16"/>
  <c r="N67" i="16"/>
  <c r="AH67" i="16"/>
  <c r="O67" i="16"/>
  <c r="AH66" i="16"/>
  <c r="O66" i="16"/>
  <c r="AB66" i="16"/>
  <c r="N66" i="16"/>
  <c r="I68" i="8"/>
  <c r="AH64" i="16"/>
  <c r="O64" i="16"/>
  <c r="AB64" i="16"/>
  <c r="N64" i="16"/>
  <c r="I66" i="8"/>
  <c r="AH60" i="16"/>
  <c r="O60" i="16"/>
  <c r="AB60" i="16"/>
  <c r="N60" i="16"/>
  <c r="I62" i="8"/>
  <c r="AH59" i="16"/>
  <c r="O59" i="16"/>
  <c r="AB59" i="16"/>
  <c r="N59" i="16"/>
  <c r="I61" i="8"/>
  <c r="AH29" i="16"/>
  <c r="O29" i="16"/>
  <c r="AB29" i="16"/>
  <c r="N29" i="16"/>
  <c r="I31" i="8"/>
  <c r="AB24" i="16"/>
  <c r="Q28" i="9" s="1"/>
  <c r="N24" i="16"/>
  <c r="I26" i="8"/>
  <c r="AH24" i="16"/>
  <c r="W28" i="9" s="1"/>
  <c r="O24" i="16"/>
  <c r="AB14" i="16"/>
  <c r="N14" i="16"/>
  <c r="I16" i="8"/>
  <c r="AH14" i="16"/>
  <c r="O14" i="16"/>
  <c r="G49" i="7"/>
  <c r="H49" i="7"/>
  <c r="J49" i="7" s="1"/>
  <c r="E49" i="7"/>
  <c r="G50" i="7"/>
  <c r="H50" i="7"/>
  <c r="J50" i="7" s="1"/>
  <c r="E50" i="7"/>
  <c r="E54" i="7"/>
  <c r="I54" i="7"/>
  <c r="J54" i="7" s="1"/>
  <c r="AB42" i="16"/>
  <c r="N42" i="16"/>
  <c r="I44" i="8"/>
  <c r="AH42" i="16"/>
  <c r="O42" i="16"/>
  <c r="AB37" i="16"/>
  <c r="N37" i="16"/>
  <c r="I39" i="8"/>
  <c r="AH37" i="16"/>
  <c r="O37" i="16"/>
  <c r="AB21" i="16"/>
  <c r="N21" i="16"/>
  <c r="I23" i="8"/>
  <c r="AH21" i="16"/>
  <c r="O21" i="16"/>
  <c r="AB20" i="16"/>
  <c r="N20" i="16"/>
  <c r="I22" i="8"/>
  <c r="AH20" i="16"/>
  <c r="O20" i="16"/>
  <c r="Q70" i="16"/>
  <c r="J70" i="16"/>
  <c r="I70" i="16"/>
  <c r="AA70" i="16"/>
  <c r="P70" i="16"/>
  <c r="AA61" i="16"/>
  <c r="P61" i="16"/>
  <c r="K63" i="8" s="1"/>
  <c r="I61" i="16"/>
  <c r="J43" i="16"/>
  <c r="Q43" i="16"/>
  <c r="L45" i="8" s="1"/>
  <c r="AA43" i="16"/>
  <c r="P26" i="9" s="1"/>
  <c r="P43" i="16"/>
  <c r="K45" i="8" s="1"/>
  <c r="I43" i="16"/>
  <c r="V71" i="4"/>
  <c r="D64" i="7"/>
  <c r="H64" i="7" s="1"/>
  <c r="D70" i="7"/>
  <c r="H70" i="7" s="1"/>
  <c r="AB71" i="4"/>
  <c r="S13" i="9"/>
  <c r="S10" i="9"/>
  <c r="S27" i="9"/>
  <c r="S25" i="9"/>
  <c r="S24" i="9"/>
  <c r="S21" i="9"/>
  <c r="S19" i="9"/>
  <c r="W19" i="9"/>
  <c r="S16" i="9"/>
  <c r="S23" i="9"/>
  <c r="S20" i="9"/>
  <c r="Q19" i="9"/>
  <c r="W16" i="9"/>
  <c r="Q15" i="9"/>
  <c r="S15" i="9"/>
  <c r="W15" i="9"/>
  <c r="S14" i="9"/>
  <c r="S9" i="9"/>
  <c r="G37" i="11"/>
  <c r="H37" i="11" s="1"/>
  <c r="I37" i="11" s="1"/>
  <c r="G36" i="11"/>
  <c r="H36" i="11" s="1"/>
  <c r="I36" i="11" s="1"/>
  <c r="G35" i="11"/>
  <c r="H35" i="11" s="1"/>
  <c r="I35" i="11" s="1"/>
  <c r="G34" i="11"/>
  <c r="H34" i="11" s="1"/>
  <c r="I34" i="11" s="1"/>
  <c r="G33" i="11"/>
  <c r="H33" i="11" s="1"/>
  <c r="I33" i="11" s="1"/>
  <c r="G32" i="11"/>
  <c r="G31" i="11"/>
  <c r="H31" i="11" s="1"/>
  <c r="I31" i="11" s="1"/>
  <c r="G30" i="11"/>
  <c r="H30" i="11" s="1"/>
  <c r="I30" i="11" s="1"/>
  <c r="G29" i="11"/>
  <c r="H29" i="11" s="1"/>
  <c r="I29" i="11" s="1"/>
  <c r="Q21" i="9" l="1"/>
  <c r="Y19" i="9"/>
  <c r="W22" i="9"/>
  <c r="W21" i="9"/>
  <c r="Q22" i="9"/>
  <c r="E7" i="13"/>
  <c r="G7" i="13" s="1"/>
  <c r="M46" i="8"/>
  <c r="AJ44" i="16"/>
  <c r="H46" i="8"/>
  <c r="G46" i="8"/>
  <c r="AF44" i="16"/>
  <c r="H41" i="8"/>
  <c r="G41" i="8"/>
  <c r="AF39" i="16"/>
  <c r="M41" i="8"/>
  <c r="AJ39" i="16"/>
  <c r="G40" i="8"/>
  <c r="H40" i="8"/>
  <c r="AF38" i="16"/>
  <c r="M40" i="8"/>
  <c r="AJ38" i="16"/>
  <c r="E33" i="6"/>
  <c r="D61" i="6"/>
  <c r="D34" i="6"/>
  <c r="E61" i="6"/>
  <c r="C61" i="6"/>
  <c r="H33" i="6"/>
  <c r="G34" i="6"/>
  <c r="AH72" i="16"/>
  <c r="O72" i="16"/>
  <c r="AB72" i="16"/>
  <c r="N72" i="16"/>
  <c r="H51" i="8"/>
  <c r="G51" i="8"/>
  <c r="AF49" i="16"/>
  <c r="M51" i="8"/>
  <c r="AJ49" i="16"/>
  <c r="M25" i="8"/>
  <c r="AJ23" i="16"/>
  <c r="G24" i="8"/>
  <c r="H24" i="8"/>
  <c r="AF22" i="16"/>
  <c r="M24" i="8"/>
  <c r="AJ22" i="16"/>
  <c r="M8" i="8"/>
  <c r="AJ6" i="16"/>
  <c r="Y10" i="9" s="1"/>
  <c r="H8" i="8"/>
  <c r="G8" i="8"/>
  <c r="AF6" i="16"/>
  <c r="U10" i="9" s="1"/>
  <c r="U8" i="9"/>
  <c r="Y8" i="9"/>
  <c r="H74" i="8"/>
  <c r="G74" i="8"/>
  <c r="AF72" i="16"/>
  <c r="M74" i="8"/>
  <c r="AJ72" i="16"/>
  <c r="M63" i="8"/>
  <c r="AJ61" i="16"/>
  <c r="M33" i="8"/>
  <c r="AJ31" i="16"/>
  <c r="AH65" i="16"/>
  <c r="W27" i="9" s="1"/>
  <c r="O65" i="16"/>
  <c r="AB65" i="16"/>
  <c r="Q27" i="9" s="1"/>
  <c r="N65" i="16"/>
  <c r="I67" i="8"/>
  <c r="I65" i="8"/>
  <c r="N63" i="16"/>
  <c r="AB63" i="16"/>
  <c r="Q25" i="9" s="1"/>
  <c r="O63" i="16"/>
  <c r="AH63" i="16"/>
  <c r="W25" i="9" s="1"/>
  <c r="AB62" i="16"/>
  <c r="N62" i="16"/>
  <c r="I64" i="8"/>
  <c r="AH62" i="16"/>
  <c r="O62" i="16"/>
  <c r="AB58" i="16"/>
  <c r="Q20" i="9" s="1"/>
  <c r="N58" i="16"/>
  <c r="I60" i="8"/>
  <c r="AH58" i="16"/>
  <c r="W20" i="9" s="1"/>
  <c r="O58" i="16"/>
  <c r="AB55" i="16"/>
  <c r="Q17" i="9" s="1"/>
  <c r="N55" i="16"/>
  <c r="I57" i="8"/>
  <c r="AH55" i="16"/>
  <c r="W17" i="9" s="1"/>
  <c r="O55" i="16"/>
  <c r="AH51" i="16"/>
  <c r="O51" i="16"/>
  <c r="AB51" i="16"/>
  <c r="N51" i="16"/>
  <c r="I53" i="8"/>
  <c r="AH50" i="16"/>
  <c r="W12" i="9" s="1"/>
  <c r="O50" i="16"/>
  <c r="AB50" i="16"/>
  <c r="Q12" i="9" s="1"/>
  <c r="N50" i="16"/>
  <c r="I52" i="8"/>
  <c r="AH41" i="16"/>
  <c r="W24" i="9" s="1"/>
  <c r="O41" i="16"/>
  <c r="AB41" i="16"/>
  <c r="Q24" i="9" s="1"/>
  <c r="N41" i="16"/>
  <c r="I43" i="8"/>
  <c r="AH40" i="16"/>
  <c r="O40" i="16"/>
  <c r="AB40" i="16"/>
  <c r="N40" i="16"/>
  <c r="I42" i="8"/>
  <c r="AH35" i="16"/>
  <c r="W18" i="9" s="1"/>
  <c r="O35" i="16"/>
  <c r="AB35" i="16"/>
  <c r="Q18" i="9" s="1"/>
  <c r="N35" i="16"/>
  <c r="I37" i="8"/>
  <c r="AB30" i="16"/>
  <c r="N30" i="16"/>
  <c r="I32" i="8"/>
  <c r="AH30" i="16"/>
  <c r="O30" i="16"/>
  <c r="AH28" i="16"/>
  <c r="W11" i="9" s="1"/>
  <c r="O28" i="16"/>
  <c r="AB28" i="16"/>
  <c r="Q11" i="9" s="1"/>
  <c r="N28" i="16"/>
  <c r="I30" i="8"/>
  <c r="AH26" i="16"/>
  <c r="W9" i="9" s="1"/>
  <c r="O26" i="16"/>
  <c r="AB26" i="16"/>
  <c r="Q9" i="9" s="1"/>
  <c r="N26" i="16"/>
  <c r="I28" i="8"/>
  <c r="AH19" i="16"/>
  <c r="W23" i="9" s="1"/>
  <c r="O19" i="16"/>
  <c r="AB19" i="16"/>
  <c r="Q23" i="9" s="1"/>
  <c r="N19" i="16"/>
  <c r="I21" i="8"/>
  <c r="L76" i="8"/>
  <c r="L77" i="8"/>
  <c r="AH10" i="16"/>
  <c r="O10" i="16"/>
  <c r="AB10" i="16"/>
  <c r="N10" i="16"/>
  <c r="I12" i="8"/>
  <c r="K76" i="8"/>
  <c r="K77" i="8"/>
  <c r="P33" i="9"/>
  <c r="P14" i="9"/>
  <c r="E34" i="6"/>
  <c r="D35" i="6"/>
  <c r="C63" i="6"/>
  <c r="E63" i="6"/>
  <c r="D62" i="6"/>
  <c r="G35" i="6"/>
  <c r="H34" i="6"/>
  <c r="H73" i="8"/>
  <c r="G73" i="8"/>
  <c r="AF71" i="16"/>
  <c r="M73" i="8"/>
  <c r="AJ71" i="16"/>
  <c r="M71" i="8"/>
  <c r="AJ69" i="16"/>
  <c r="H71" i="8"/>
  <c r="G71" i="8"/>
  <c r="AF69" i="16"/>
  <c r="M70" i="8"/>
  <c r="AJ68" i="16"/>
  <c r="H70" i="8"/>
  <c r="G70" i="8"/>
  <c r="AF68" i="16"/>
  <c r="H69" i="8"/>
  <c r="G69" i="8"/>
  <c r="AF67" i="16"/>
  <c r="M69" i="8"/>
  <c r="AJ67" i="16"/>
  <c r="M68" i="8"/>
  <c r="AJ66" i="16"/>
  <c r="H68" i="8"/>
  <c r="G68" i="8"/>
  <c r="AF66" i="16"/>
  <c r="M66" i="8"/>
  <c r="AJ64" i="16"/>
  <c r="H66" i="8"/>
  <c r="G66" i="8"/>
  <c r="AF64" i="16"/>
  <c r="M62" i="8"/>
  <c r="AJ60" i="16"/>
  <c r="H62" i="8"/>
  <c r="G62" i="8"/>
  <c r="AF60" i="16"/>
  <c r="U22" i="9" s="1"/>
  <c r="M61" i="8"/>
  <c r="AJ59" i="16"/>
  <c r="H61" i="8"/>
  <c r="G61" i="8"/>
  <c r="AF59" i="16"/>
  <c r="M31" i="8"/>
  <c r="AJ29" i="16"/>
  <c r="G31" i="8"/>
  <c r="H31" i="8"/>
  <c r="AF29" i="16"/>
  <c r="G26" i="8"/>
  <c r="H26" i="8"/>
  <c r="AF24" i="16"/>
  <c r="M26" i="8"/>
  <c r="AJ24" i="16"/>
  <c r="G16" i="8"/>
  <c r="H16" i="8"/>
  <c r="AF14" i="16"/>
  <c r="M16" i="8"/>
  <c r="AJ14" i="16"/>
  <c r="H44" i="8"/>
  <c r="G44" i="8"/>
  <c r="AF42" i="16"/>
  <c r="M44" i="8"/>
  <c r="AJ42" i="16"/>
  <c r="G39" i="8"/>
  <c r="H39" i="8"/>
  <c r="AF37" i="16"/>
  <c r="M39" i="8"/>
  <c r="AJ37" i="16"/>
  <c r="G23" i="8"/>
  <c r="H23" i="8"/>
  <c r="AF21" i="16"/>
  <c r="M23" i="8"/>
  <c r="AJ21" i="16"/>
  <c r="H22" i="8"/>
  <c r="G22" i="8"/>
  <c r="AF20" i="16"/>
  <c r="M22" i="8"/>
  <c r="AJ20" i="16"/>
  <c r="AH70" i="16"/>
  <c r="O70" i="16"/>
  <c r="AB70" i="16"/>
  <c r="N70" i="16"/>
  <c r="AB61" i="16"/>
  <c r="N61" i="16"/>
  <c r="I63" i="8"/>
  <c r="AH43" i="16"/>
  <c r="W26" i="9" s="1"/>
  <c r="O43" i="16"/>
  <c r="AB43" i="16"/>
  <c r="Q26" i="9" s="1"/>
  <c r="N43" i="16"/>
  <c r="I45" i="8"/>
  <c r="H32" i="11"/>
  <c r="I32" i="11" s="1"/>
  <c r="D42" i="11" s="1"/>
  <c r="E29" i="13"/>
  <c r="G29" i="13" s="1"/>
  <c r="P24" i="9"/>
  <c r="P23" i="9"/>
  <c r="U19" i="9"/>
  <c r="U16" i="9"/>
  <c r="Y16" i="9"/>
  <c r="U15" i="9"/>
  <c r="E62" i="6"/>
  <c r="C62" i="6"/>
  <c r="Q13" i="9" l="1"/>
  <c r="W13" i="9"/>
  <c r="Y22" i="9"/>
  <c r="Y21" i="9"/>
  <c r="U21" i="9"/>
  <c r="U28" i="9"/>
  <c r="Y28" i="9"/>
  <c r="M67" i="8"/>
  <c r="AJ65" i="16"/>
  <c r="Y27" i="9" s="1"/>
  <c r="H67" i="8"/>
  <c r="G67" i="8"/>
  <c r="AF65" i="16"/>
  <c r="U27" i="9" s="1"/>
  <c r="H65" i="8"/>
  <c r="G65" i="8"/>
  <c r="AF63" i="16"/>
  <c r="U25" i="9" s="1"/>
  <c r="M65" i="8"/>
  <c r="AJ63" i="16"/>
  <c r="Y25" i="9" s="1"/>
  <c r="H64" i="8"/>
  <c r="G64" i="8"/>
  <c r="AF62" i="16"/>
  <c r="M64" i="8"/>
  <c r="AJ62" i="16"/>
  <c r="H60" i="8"/>
  <c r="G60" i="8"/>
  <c r="AF58" i="16"/>
  <c r="U20" i="9" s="1"/>
  <c r="M60" i="8"/>
  <c r="AJ58" i="16"/>
  <c r="Y20" i="9" s="1"/>
  <c r="H57" i="8"/>
  <c r="G57" i="8"/>
  <c r="AF55" i="16"/>
  <c r="U17" i="9" s="1"/>
  <c r="M57" i="8"/>
  <c r="AJ55" i="16"/>
  <c r="Y17" i="9" s="1"/>
  <c r="M53" i="8"/>
  <c r="AJ51" i="16"/>
  <c r="H53" i="8"/>
  <c r="G53" i="8"/>
  <c r="AF51" i="16"/>
  <c r="M52" i="8"/>
  <c r="AJ50" i="16"/>
  <c r="Y12" i="9" s="1"/>
  <c r="G52" i="8"/>
  <c r="H52" i="8"/>
  <c r="AF50" i="16"/>
  <c r="U12" i="9" s="1"/>
  <c r="M43" i="8"/>
  <c r="AJ41" i="16"/>
  <c r="G43" i="8"/>
  <c r="H43" i="8"/>
  <c r="AF41" i="16"/>
  <c r="M42" i="8"/>
  <c r="AJ40" i="16"/>
  <c r="H42" i="8"/>
  <c r="G42" i="8"/>
  <c r="AF40" i="16"/>
  <c r="M37" i="8"/>
  <c r="AJ35" i="16"/>
  <c r="Y18" i="9" s="1"/>
  <c r="H37" i="8"/>
  <c r="G37" i="8"/>
  <c r="AF35" i="16"/>
  <c r="U18" i="9" s="1"/>
  <c r="G32" i="8"/>
  <c r="H32" i="8"/>
  <c r="AF30" i="16"/>
  <c r="U13" i="9" s="1"/>
  <c r="M32" i="8"/>
  <c r="AJ30" i="16"/>
  <c r="Y13" i="9" s="1"/>
  <c r="M30" i="8"/>
  <c r="AJ28" i="16"/>
  <c r="Y11" i="9" s="1"/>
  <c r="G30" i="8"/>
  <c r="H30" i="8"/>
  <c r="AF28" i="16"/>
  <c r="U11" i="9" s="1"/>
  <c r="M28" i="8"/>
  <c r="AJ26" i="16"/>
  <c r="Y9" i="9" s="1"/>
  <c r="G28" i="8"/>
  <c r="H28" i="8"/>
  <c r="AF26" i="16"/>
  <c r="U9" i="9" s="1"/>
  <c r="M21" i="8"/>
  <c r="AJ19" i="16"/>
  <c r="Y23" i="9" s="1"/>
  <c r="H21" i="8"/>
  <c r="G21" i="8"/>
  <c r="AF19" i="16"/>
  <c r="W33" i="9"/>
  <c r="W14" i="9"/>
  <c r="M12" i="8"/>
  <c r="AJ10" i="16"/>
  <c r="Q33" i="9"/>
  <c r="Q14" i="9"/>
  <c r="G12" i="8"/>
  <c r="H12" i="8"/>
  <c r="AF10" i="16"/>
  <c r="D36" i="6"/>
  <c r="E35" i="6"/>
  <c r="D63" i="6"/>
  <c r="G36" i="6"/>
  <c r="H35" i="6"/>
  <c r="M72" i="8"/>
  <c r="AJ70" i="16"/>
  <c r="H72" i="8"/>
  <c r="G72" i="8"/>
  <c r="AF70" i="16"/>
  <c r="H63" i="8"/>
  <c r="G63" i="8"/>
  <c r="AF61" i="16"/>
  <c r="M45" i="8"/>
  <c r="AJ43" i="16"/>
  <c r="Y26" i="9" s="1"/>
  <c r="H45" i="8"/>
  <c r="G45" i="8"/>
  <c r="AF43" i="16"/>
  <c r="U26" i="9" s="1"/>
  <c r="U23" i="9" l="1"/>
  <c r="M77" i="8"/>
  <c r="M76" i="8"/>
  <c r="Y33" i="9"/>
  <c r="Y14" i="9"/>
  <c r="G76" i="8"/>
  <c r="H76" i="8" s="1"/>
  <c r="G77" i="8"/>
  <c r="U33" i="9"/>
  <c r="U14" i="9"/>
  <c r="E14" i="13"/>
  <c r="G14" i="13" s="1"/>
  <c r="E13" i="13"/>
  <c r="G13" i="13" s="1"/>
  <c r="E11" i="13"/>
  <c r="G11" i="13" s="1"/>
  <c r="E66" i="9"/>
  <c r="C14" i="10"/>
  <c r="D25" i="12"/>
  <c r="E25" i="13"/>
  <c r="G25" i="13" s="1"/>
  <c r="E27" i="13"/>
  <c r="G27" i="13" s="1"/>
  <c r="E36" i="6"/>
  <c r="D19" i="2"/>
  <c r="C29" i="2"/>
  <c r="C35" i="2"/>
  <c r="F64" i="6"/>
  <c r="E12" i="13"/>
  <c r="G12" i="13" s="1"/>
  <c r="D29" i="2"/>
  <c r="H36" i="6"/>
  <c r="E67" i="9"/>
  <c r="E26" i="13"/>
  <c r="G26" i="13" s="1"/>
  <c r="Y24" i="9"/>
  <c r="U24" i="9"/>
  <c r="E3" i="13" l="1"/>
  <c r="C3" i="13"/>
  <c r="L19" i="2" s="1"/>
  <c r="D15" i="10"/>
  <c r="E15" i="10"/>
  <c r="F15" i="10"/>
  <c r="G15" i="10"/>
  <c r="C15" i="10"/>
  <c r="C34" i="2"/>
  <c r="D26" i="12"/>
  <c r="F38" i="12"/>
  <c r="E26" i="12" l="1"/>
  <c r="D27" i="12"/>
  <c r="D39" i="12"/>
  <c r="C39" i="12"/>
  <c r="E39" i="12"/>
  <c r="E40" i="12" l="1"/>
  <c r="C40" i="12"/>
  <c r="E27" i="12"/>
  <c r="D28" i="12"/>
  <c r="E41" i="12" s="1"/>
  <c r="D40" i="12"/>
  <c r="C41" i="12"/>
  <c r="E28" i="12" l="1"/>
  <c r="D29" i="12"/>
  <c r="D41" i="12"/>
  <c r="E29" i="12" l="1"/>
  <c r="D30" i="12"/>
  <c r="F43" i="12" s="1"/>
  <c r="D42" i="12"/>
  <c r="C42" i="12"/>
  <c r="E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<sst xmlns="http://schemas.openxmlformats.org/spreadsheetml/2006/main" count="3599" uniqueCount="1294">
  <si>
    <t>Calendar-Year Plan Loss Ratio Workbook — Inland Marine</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</si>
  <si>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</si>
  <si>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</si>
  <si>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</si>
  <si>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</si>
  <si>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</si>
  <si>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Inland Marine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</si>
  <si>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</si>
  <si>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</si>
  <si>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</si>
  <si>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</si>
  <si>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</si>
  <si>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</si>
  <si>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</si>
  <si>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</si>
  <si>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</si>
  <si>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</si>
  <si>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</si>
  <si>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</si>
  <si>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</si>
  <si>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</si>
  <si>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</si>
  <si>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</si>
  <si>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</si>
  <si>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</si>
  <si>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</si>
  <si>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</si>
  <si>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</si>
  <si>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</si>
  <si>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</si>
  <si>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</si>
  <si>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</si>
  <si>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</si>
  <si>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</si>
  <si>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</si>
  <si>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</si>
  <si>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</si>
  <si>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</si>
  <si>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</si>
  <si>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</si>
  <si>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</si>
  <si>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</si>
  <si>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</si>
  <si>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</si>
  <si>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</si>
  <si>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</si>
  <si>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</si>
  <si>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</si>
  <si>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</si>
  <si>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</si>
  <si>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</si>
  <si>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</si>
  <si>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</si>
  <si>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61.82% for BU-A|AZ while sample data is intact; (4) replace sample inputs with your book.</t>
  </si>
  <si>
    <t>Version log</t>
  </si>
  <si>
    <t>v2.0.0 — 07/30/2026 — initial build from config/config.yaml (see DECISIONS.md in the repo for every judgment call).</t>
  </si>
  <si>
    <t>Calendar-Year Plan Loss Ratio — Inland Marine</t>
  </si>
  <si>
    <t>Plan year 2027 | one workbook per LOB; combos are BU x state | generated by src/build_workbook.py v2.0.0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</si>
  <si>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</si>
  <si>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</si>
  <si>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</si>
  <si>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</si>
  <si>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</si>
  <si>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</si>
  <si>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</si>
  <si>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</si>
  <si>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</si>
  <si>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</si>
  <si>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</si>
  <si>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</si>
  <si>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</si>
  <si>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</si>
  <si>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</si>
  <si>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</si>
  <si>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</si>
  <si>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</si>
  <si>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</si>
  <si>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</si>
  <si>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</si>
  <si>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</si>
  <si>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</si>
  <si>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</si>
  <si>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</si>
  <si>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</si>
  <si>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</si>
  <si>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</si>
  <si>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</si>
  <si>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</si>
  <si>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</si>
  <si>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</si>
  <si>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</si>
  <si>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</si>
  <si>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</si>
  <si>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</si>
  <si>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</si>
  <si>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</si>
  <si>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</si>
  <si>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</si>
  <si>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</si>
  <si>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</si>
  <si>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</si>
  <si>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</si>
  <si>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</si>
  <si>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Inland Marine</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</si>
  <si>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</si>
  <si>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</si>
  <si>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</si>
  <si>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</si>
  <si>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</si>
  <si>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</si>
  <si>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</si>
  <si>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</si>
  <si>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</si>
  <si>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</si>
  <si>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</si>
  <si>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</si>
  <si>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</si>
  <si>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</si>
  <si>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</si>
  <si>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</si>
  <si>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</si>
  <si>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</si>
  <si>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</si>
  <si>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</si>
  <si>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</si>
  <si>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</si>
  <si>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</si>
  <si>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</si>
  <si>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</si>
  <si>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</si>
  <si>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</si>
  <si>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</si>
  <si>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</si>
  <si>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</si>
  <si>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</si>
  <si>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</si>
  <si>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</si>
  <si>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</si>
  <si>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</si>
  <si>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</si>
  <si>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</si>
  <si>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</si>
  <si>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</si>
  <si>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</si>
  <si>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</si>
  <si>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</si>
  <si>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</si>
  <si>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</si>
  <si>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</si>
  <si>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</si>
  <si>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</si>
  <si>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</si>
  <si>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</si>
  <si>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</si>
  <si>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</si>
  <si>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</si>
  <si>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</si>
  <si>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</si>
  <si>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</si>
  <si>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</si>
  <si>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</si>
  <si>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</si>
  <si>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</si>
  <si>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</si>
  <si>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</si>
  <si>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</si>
  <si>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</si>
  <si>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</si>
  <si>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</si>
  <si>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</si>
  <si>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</si>
  <si>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</si>
  <si>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</si>
  <si>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</si>
  <si>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</si>
  <si>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</si>
  <si>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</si>
  <si>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</si>
  <si>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</si>
  <si>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</si>
  <si>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</si>
  <si>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</si>
  <si>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</si>
  <si>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</si>
  <si>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</si>
  <si>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</si>
  <si>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</si>
  <si>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</si>
  <si>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</si>
  <si>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</si>
  <si>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</si>
  <si>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</si>
  <si>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</si>
  <si>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</si>
  <si>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</si>
  <si>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</si>
  <si>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</si>
  <si>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</si>
  <si>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</si>
  <si>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</si>
  <si>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</si>
  <si>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</si>
  <si>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</si>
  <si>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</si>
  <si>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</si>
  <si>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</si>
  <si>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</si>
  <si>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</si>
  <si>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</si>
  <si>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</si>
  <si>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</si>
  <si>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</si>
  <si>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</si>
  <si>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</si>
  <si>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</si>
  <si>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</si>
  <si>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</si>
  <si>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</si>
  <si>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</si>
  <si>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</si>
  <si>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</si>
  <si>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</si>
  <si>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</si>
  <si>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</si>
  <si>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</si>
  <si>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</si>
  <si>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</si>
  <si>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</si>
  <si>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</si>
  <si>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</si>
  <si>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</si>
  <si>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</si>
  <si>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</si>
  <si>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</si>
  <si>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</si>
  <si>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</si>
  <si>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</si>
  <si>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</si>
  <si>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</si>
  <si>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</si>
  <si>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</si>
  <si>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</si>
  <si>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</si>
  <si>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</si>
  <si>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</si>
  <si>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</si>
  <si>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</si>
  <si>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</si>
  <si>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</si>
  <si>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</si>
  <si>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</si>
  <si>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</si>
  <si>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</si>
  <si>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</si>
  <si>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</si>
  <si>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</si>
  <si>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</si>
  <si>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</si>
  <si>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</si>
  <si>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</si>
  <si>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</si>
  <si>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</si>
  <si>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</si>
  <si>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(Inland Marine)</t>
  </si>
  <si>
    <t>Waterfall from the indication's projected loss ratio to the CY plan loss ratio for the selected BU x state. All factors trace to the Rate Engine, Mod Engine, and Inputs sheets.</t>
  </si>
  <si>
    <t>Selected combo inputs (tbl_LR via INDEX/MATCH on the BU|State key)</t>
  </si>
  <si>
    <t>row in tbl_LR</t>
  </si>
  <si>
    <t>Projected LR (as input)</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</si>
  <si>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</si>
  <si>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</si>
  <si>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</si>
  <si>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</si>
  <si>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</si>
  <si>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</si>
  <si>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</si>
  <si>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</si>
  <si>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</si>
  <si>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</si>
  <si>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</si>
  <si>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</si>
  <si>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</si>
  <si>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plan year and the indicative following year</t>
  </si>
  <si>
    <t>Step</t>
  </si>
  <si>
    <t>Convert to current rate level x(1+s)</t>
  </si>
  <si>
    <t>Net trend (applies to 2028 only)</t>
  </si>
  <si>
    <t>Other  A_other</t>
  </si>
  <si>
    <t>The following-year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</si>
  <si>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</si>
  <si>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</si>
  <si>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</si>
  <si>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</si>
  <si>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</si>
  <si>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</si>
  <si>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</si>
  <si>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</si>
  <si>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</si>
  <si>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</si>
  <si>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</si>
  <si>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</si>
  <si>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</si>
  <si>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</si>
  <si>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</si>
  <si>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</si>
  <si>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The plan year is shaded in the index chart. All series trace to the Rate Engine and Mod Engine sheets via the chart-data block below.</t>
  </si>
  <si>
    <t>Quarterly earned rate and price change, and unearned runway — plan year and next</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</si>
  <si>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</si>
  <si>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</si>
  <si>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</si>
  <si>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</si>
  <si>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</si>
  <si>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</si>
  <si>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</si>
  <si>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</si>
  <si>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</si>
  <si>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</si>
  <si>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</si>
  <si>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</si>
  <si>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</si>
  <si>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</si>
  <si>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</si>
  <si>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</si>
  <si>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</si>
  <si>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</si>
  <si>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</si>
  <si>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(Inland Marine)</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</si>
  <si>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</si>
  <si>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</si>
  <si>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</si>
  <si>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</si>
  <si>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</si>
  <si>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</si>
  <si>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</si>
  <si>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</si>
  <si>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</si>
  <si>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</si>
  <si>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</si>
  <si>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</si>
  <si>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</si>
  <si>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</si>
  <si>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</si>
  <si>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</si>
  <si>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</si>
  <si>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</si>
  <si>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</si>
  <si>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</si>
  <si>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</si>
  <si>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</si>
  <si>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</si>
  <si>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</si>
  <si>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</si>
  <si>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</si>
  <si>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</si>
  <si>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</si>
  <si>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</si>
  <si>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</si>
  <si>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</si>
  <si>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</si>
  <si>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</si>
  <si>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</si>
  <si>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</si>
  <si>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</si>
  <si>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The following year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</si>
  <si>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</si>
  <si>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</si>
  <si>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</si>
  <si>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plan LR  =  Projected LR (current level)  x  rate earn-in  x  mod drift  x  other adj</t>
  </si>
  <si>
    <t>The following year (indicative) additionally applies one year of net trend and uses that year's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</si>
  <si>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</si>
  <si>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</si>
  <si>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</si>
  <si>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</si>
  <si>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plan-year end.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</si>
  <si>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</si>
  <si>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</si>
  <si>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</si>
  <si>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</si>
  <si>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</si>
  <si>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</si>
  <si>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</si>
  <si>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</si>
  <si>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Earned mod  /  Mod drift (A_mod)</t>
  </si>
  <si>
    <t>The average schedule mod the plan year earns, and M_ind / that value — the identical earn-in logic applied to the price (mod) lever.</t>
  </si>
  <si>
    <t>The projected LR restated to current rate level (multiplied by (1+s) when the indication quoted it at the proposed level).</t>
  </si>
  <si>
    <t>Plan LR</t>
  </si>
  <si>
    <t>Projected LR (current level)  x  rate earn-in  x  mod drift  x  other adj.</t>
  </si>
  <si>
    <t>Net trend  /  next-year view</t>
  </si>
  <si>
    <t>The following-year view holds the indication fixed, applies the net loss-over-premium trend once, and swaps in that year's earn-in factors. Indicative only — it assumes no new indication.</t>
  </si>
  <si>
    <t>States planned on a NET RATE SELECTION: a combined rate + price year-over-year target from 1/1 of the plan year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</si>
  <si>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</si>
  <si>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</si>
  <si>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</si>
  <si>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</si>
  <si>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</si>
  <si>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</si>
  <si>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plan loss ratio</t>
  </si>
  <si>
    <t>Next-year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</si>
  <si>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</si>
  <si>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</si>
  <si>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</si>
  <si>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</si>
  <si>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</si>
  <si>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</si>
  <si>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</si>
  <si>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</si>
  <si>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</si>
  <si>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</si>
  <si>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</si>
  <si>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</si>
  <si>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</si>
  <si>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</si>
  <si>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</si>
  <si>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</si>
  <si>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Convention (DECISIONS.md D13): the Solver replaces the ENTIRE planned-rate program with a single action at the chosen date. Its base index W0 uses taken rows only.</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</si>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</sst>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1"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u/>
      <sz val="9"/>
      <color rgb="FF1F3864"/>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92">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6" fillId="0" borderId="0" xfId="0" applyFont="1" applyAlignment="1">
      <alignment horizontal="left" vertical="top" wrapText="1"/>
    </xf>
    <xf numFmtId="0" fontId="11" fillId="4" borderId="2" xfId="0" applyFont="1" applyFill="1" applyBorder="1"/>
    <xf numFmtId="0" fontId="26" fillId="0" borderId="0" xfId="0" applyFont="1"/>
    <xf numFmtId="0" fontId="11" fillId="0" borderId="2" xfId="0" applyFont="1" applyBorder="1"/>
    <xf numFmtId="0" fontId="2" fillId="0" borderId="2" xfId="0" applyFont="1" applyBorder="1"/>
    <xf numFmtId="0" fontId="15" fillId="0" borderId="2" xfId="0" applyFont="1" applyBorder="1"/>
    <xf numFmtId="0" fontId="12" fillId="3" borderId="2" xfId="0" applyFont="1" applyFill="1" applyBorder="1"/>
    <xf numFmtId="0" fontId="27" fillId="0" borderId="0" xfId="0" applyFont="1"/>
    <xf numFmtId="0" fontId="1" fillId="0" borderId="0" xfId="0" applyFont="1"/>
    <xf numFmtId="0" fontId="14" fillId="0" borderId="0" xfId="0" applyFont="1"/>
    <xf numFmtId="0" fontId="2" fillId="0" borderId="0" xfId="0" applyFont="1"/>
    <xf numFmtId="1" fontId="11" fillId="4" borderId="2" xfId="0" applyNumberFormat="1" applyFont="1" applyFill="1" applyBorder="1"/>
    <xf numFmtId="0" fontId="3" fillId="0" borderId="0" xfId="0" applyFont="1"/>
    <xf numFmtId="1" fontId="15" fillId="0" borderId="0" xfId="0" applyNumberFormat="1" applyFont="1"/>
    <xf numFmtId="0" fontId="13" fillId="0" borderId="0" xfId="0" applyFont="1"/>
    <xf numFmtId="0" fontId="16" fillId="0" borderId="0" xfId="0" applyFont="1"/>
    <xf numFmtId="0" fontId="7" fillId="0" borderId="0" xfId="0" applyFont="1" applyAlignment="1">
      <alignment horizontal="left" vertical="top" wrapText="1"/>
    </xf>
    <xf numFmtId="0" fontId="17" fillId="0" borderId="0" xfId="0" applyFont="1" applyAlignment="1">
      <alignment horizontal="left" vertical="top" wrapText="1"/>
    </xf>
    <xf numFmtId="164" fontId="11" fillId="4" borderId="2" xfId="0" applyNumberFormat="1" applyFont="1" applyFill="1" applyBorder="1"/>
    <xf numFmtId="0" fontId="18"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5" fillId="0" borderId="0" xfId="0" applyNumberFormat="1" applyFont="1" applyAlignment="1">
      <alignment horizontal="center" vertical="center"/>
    </xf>
    <xf numFmtId="165" fontId="15" fillId="0" borderId="0" xfId="0" applyNumberFormat="1" applyFont="1" applyAlignment="1">
      <alignment horizontal="center" vertical="center"/>
    </xf>
    <xf numFmtId="169" fontId="15" fillId="0" borderId="0" xfId="0" applyNumberFormat="1" applyFont="1" applyAlignment="1">
      <alignment horizontal="center" vertical="center"/>
    </xf>
    <xf numFmtId="164" fontId="19" fillId="0" borderId="0" xfId="0" applyNumberFormat="1" applyFont="1" applyAlignment="1">
      <alignment horizontal="center" vertical="center"/>
    </xf>
    <xf numFmtId="0" fontId="15" fillId="0" borderId="0" xfId="0" applyFont="1" applyAlignment="1">
      <alignment horizontal="center" vertical="center"/>
    </xf>
    <xf numFmtId="170" fontId="15"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9" fillId="0" borderId="0" xfId="0" applyFont="1"/>
    <xf numFmtId="0" fontId="20" fillId="0" borderId="0" xfId="0" applyFont="1"/>
    <xf numFmtId="0" fontId="22" fillId="0" borderId="0" xfId="0" applyFont="1"/>
    <xf numFmtId="168" fontId="3" fillId="0" borderId="2" xfId="0" applyNumberFormat="1" applyFont="1" applyBorder="1"/>
    <xf numFmtId="1" fontId="15" fillId="0" borderId="2" xfId="0" applyNumberFormat="1" applyFont="1" applyBorder="1"/>
    <xf numFmtId="1" fontId="3" fillId="0" borderId="2" xfId="0" applyNumberFormat="1" applyFont="1" applyBorder="1"/>
    <xf numFmtId="168" fontId="21"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3"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5" fillId="0" borderId="0" xfId="0" applyNumberFormat="1" applyFont="1"/>
    <xf numFmtId="165" fontId="23" fillId="0" borderId="0" xfId="0" applyNumberFormat="1" applyFont="1"/>
    <xf numFmtId="173" fontId="23" fillId="0" borderId="0" xfId="0" applyNumberFormat="1" applyFont="1"/>
    <xf numFmtId="0" fontId="12" fillId="0" borderId="0" xfId="0" applyFont="1"/>
    <xf numFmtId="168" fontId="21" fillId="0" borderId="0" xfId="0" applyNumberFormat="1" applyFont="1"/>
    <xf numFmtId="168" fontId="23" fillId="0" borderId="0" xfId="0" applyNumberFormat="1" applyFont="1"/>
    <xf numFmtId="165" fontId="15" fillId="0" borderId="2" xfId="0" applyNumberFormat="1" applyFont="1" applyBorder="1"/>
    <xf numFmtId="165" fontId="3" fillId="0" borderId="2" xfId="0" applyNumberFormat="1" applyFont="1" applyBorder="1"/>
    <xf numFmtId="173" fontId="3" fillId="0" borderId="2" xfId="0" applyNumberFormat="1" applyFont="1" applyBorder="1"/>
    <xf numFmtId="165" fontId="21" fillId="0" borderId="2" xfId="0" applyNumberFormat="1" applyFont="1" applyBorder="1"/>
    <xf numFmtId="167" fontId="15" fillId="0" borderId="2" xfId="0" applyNumberFormat="1" applyFont="1" applyBorder="1"/>
    <xf numFmtId="1" fontId="15" fillId="0" borderId="0" xfId="0" applyNumberFormat="1" applyFont="1" applyAlignment="1">
      <alignment horizontal="center" vertical="center"/>
    </xf>
    <xf numFmtId="171" fontId="15" fillId="0" borderId="0" xfId="0" applyNumberFormat="1" applyFont="1"/>
    <xf numFmtId="172" fontId="15" fillId="0" borderId="0" xfId="0" applyNumberFormat="1" applyFont="1"/>
    <xf numFmtId="2" fontId="15" fillId="0" borderId="0" xfId="0" applyNumberFormat="1" applyFont="1"/>
    <xf numFmtId="168" fontId="15" fillId="0" borderId="0" xfId="0" applyNumberFormat="1" applyFont="1"/>
    <xf numFmtId="164" fontId="3" fillId="0" borderId="2" xfId="0" applyNumberFormat="1" applyFont="1" applyBorder="1"/>
    <xf numFmtId="167" fontId="3" fillId="0" borderId="2" xfId="0" applyNumberFormat="1" applyFont="1" applyBorder="1"/>
    <xf numFmtId="0" fontId="17"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21"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5"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3" fillId="0" borderId="0" xfId="0" applyNumberFormat="1" applyFont="1"/>
    <xf numFmtId="0" fontId="15" fillId="0" borderId="0" xfId="0" applyFont="1"/>
    <xf numFmtId="0" fontId="23" fillId="0" borderId="0" xfId="0" applyFont="1"/>
    <xf numFmtId="176" fontId="15" fillId="0" borderId="0" xfId="0" applyNumberFormat="1" applyFont="1" applyAlignment="1">
      <alignment horizontal="center" vertical="center"/>
    </xf>
    <xf numFmtId="176" fontId="19" fillId="0" borderId="0" xfId="0" applyNumberFormat="1" applyFont="1" applyAlignment="1">
      <alignment horizontal="center" vertical="center"/>
    </xf>
    <xf numFmtId="174" fontId="15" fillId="0" borderId="0" xfId="0" applyNumberFormat="1" applyFont="1" applyAlignment="1">
      <alignment horizontal="center" vertical="center"/>
    </xf>
    <xf numFmtId="177" fontId="15" fillId="0" borderId="0" xfId="0" applyNumberFormat="1" applyFont="1" applyAlignment="1">
      <alignment horizontal="center" vertical="center"/>
    </xf>
    <xf numFmtId="178" fontId="15"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4" fillId="0" borderId="0" xfId="0" applyFont="1"/>
    <xf numFmtId="0" fontId="25" fillId="5" borderId="0" xfId="0" applyFont="1" applyFill="1" applyAlignment="1">
      <alignment horizontal="centerContinuous" vertical="center"/>
    </xf>
    <xf numFmtId="0" fontId="25"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9"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1"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9"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1"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21"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1"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8" fillId="0" borderId="0" xfId="0" applyFont="1"/>
    <xf numFmtId="164" fontId="15" fillId="0" borderId="2" xfId="0" applyNumberFormat="1" applyFont="1" applyBorder="1" applyAlignment="1">
      <alignment horizontal="center" vertical="center"/>
    </xf>
    <xf numFmtId="0" fontId="29" fillId="0" borderId="0" xfId="0" applyFont="1"/>
    <xf numFmtId="168" fontId="15" fillId="0" borderId="2" xfId="0" applyNumberFormat="1" applyFont="1" applyBorder="1" applyAlignment="1">
      <alignment horizontal="center" vertical="center"/>
    </xf>
    <xf numFmtId="0" fontId="27" fillId="6" borderId="0" xfId="0" applyFont="1" applyFill="1"/>
    <xf numFmtId="164" fontId="19" fillId="0" borderId="2" xfId="0" applyNumberFormat="1" applyFont="1" applyBorder="1" applyAlignment="1">
      <alignment horizontal="center" vertical="center"/>
    </xf>
    <xf numFmtId="1" fontId="11" fillId="0" borderId="2" xfId="0" applyNumberFormat="1" applyFont="1" applyBorder="1"/>
    <xf numFmtId="164" fontId="21" fillId="0" borderId="0" xfId="0" applyNumberFormat="1" applyFont="1" applyAlignment="1">
      <alignment horizontal="center" vertical="center"/>
    </xf>
    <xf numFmtId="165" fontId="12" fillId="0" borderId="0" xfId="0" applyNumberFormat="1" applyFont="1"/>
    <xf numFmtId="180" fontId="21"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3" fillId="0" borderId="0" xfId="0" applyNumberFormat="1" applyFont="1"/>
    <xf numFmtId="0" fontId="21" fillId="6" borderId="0" xfId="0" applyFont="1" applyFill="1"/>
    <xf numFmtId="167" fontId="11" fillId="0" borderId="2" xfId="0" applyNumberFormat="1" applyFont="1" applyBorder="1"/>
    <xf numFmtId="167" fontId="15" fillId="0" borderId="0" xfId="0" applyNumberFormat="1" applyFont="1" applyAlignment="1">
      <alignment horizontal="center" vertical="center"/>
    </xf>
    <xf numFmtId="164" fontId="15" fillId="0" borderId="0" xfId="0" applyNumberFormat="1" applyFont="1" applyAlignment="1">
      <alignment horizontal="center" vertical="center"/>
    </xf>
    <xf numFmtId="0" fontId="21" fillId="0" borderId="0" xfId="0" applyFont="1"/>
    <xf numFmtId="182" fontId="3" fillId="0" borderId="0" xfId="0" applyNumberFormat="1" applyFont="1" applyAlignment="1">
      <alignment horizontal="center" vertical="center"/>
    </xf>
    <xf numFmtId="0" fontId="21" fillId="0" borderId="0" xfId="0" applyFont="1" applyAlignment="1">
      <alignment horizontal="center" vertical="center"/>
    </xf>
    <xf numFmtId="165" fontId="3" fillId="0" borderId="0" xfId="0" applyNumberFormat="1" applyFont="1" applyAlignment="1">
      <alignment horizontal="center" vertical="center"/>
    </xf>
    <xf numFmtId="183" fontId="12" fillId="0" borderId="0" xfId="0" applyNumberFormat="1" applyFont="1" applyAlignment="1">
      <alignment horizontal="center" vertical="center"/>
    </xf>
    <xf numFmtId="180" fontId="3" fillId="0" borderId="0" xfId="0" applyNumberFormat="1" applyFont="1" applyAlignment="1">
      <alignment horizontal="center" vertical="center"/>
    </xf>
    <xf numFmtId="0" fontId="30" fillId="0" borderId="0" xfId="0" applyFont="1"/>
    <xf numFmtId="0" fontId="10" fillId="0" borderId="0" xfId="0" applyFont="1"/>
    <xf numFmtId="3" fontId="12" fillId="0" borderId="0" xfId="0" applyNumberFormat="1" applyFont="1"/>
    <xf numFmtId="0" fontId="23"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5ED6-4CE4-8C13-8AFDBE67C7D8}"/>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ED6-4CE4-8C13-8AFDBE67C7D8}"/>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ED6-4CE4-8C13-8AFDBE67C7D8}"/>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ED6-4CE4-8C13-8AFDBE67C7D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1C9-4D4B-A35D-6098C322F6BD}"/>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61C9-4D4B-A35D-6098C322F6BD}"/>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61C9-4D4B-A35D-6098C322F6BD}"/>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E4E-4472-9A69-78D3120C2CD0}"/>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1E4E-4472-9A69-78D3120C2CD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1474-4115-83FB-45FF5AB8A6E2}"/>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1474-4115-83FB-45FF5AB8A6E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plan year and next</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5.9999999999999831E-2</c:v>
                </c:pt>
                <c:pt idx="1">
                  <c:v>7.3249999999999815E-2</c:v>
                </c:pt>
                <c:pt idx="2">
                  <c:v>8.3497536945812412E-2</c:v>
                </c:pt>
                <c:pt idx="3">
                  <c:v>6.5071770334928614E-2</c:v>
                </c:pt>
                <c:pt idx="4">
                  <c:v>5.0000000000000266E-2</c:v>
                </c:pt>
                <c:pt idx="5">
                  <c:v>3.7037037037037202E-2</c:v>
                </c:pt>
                <c:pt idx="6">
                  <c:v>1.2048192771084709E-2</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AC1-44C3-BB0A-6D26E71A4DE5}"/>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9.0269983635379747E-2</c:v>
                </c:pt>
                <c:pt idx="1">
                  <c:v>0.10368192713171753</c:v>
                </c:pt>
                <c:pt idx="2">
                  <c:v>0.114004794870322</c:v>
                </c:pt>
                <c:pt idx="3">
                  <c:v>9.4849819888686682E-2</c:v>
                </c:pt>
                <c:pt idx="4">
                  <c:v>7.8515209844510547E-2</c:v>
                </c:pt>
                <c:pt idx="5">
                  <c:v>6.1480394194697308E-2</c:v>
                </c:pt>
                <c:pt idx="6">
                  <c:v>2.9459806333903549E-2</c:v>
                </c:pt>
                <c:pt idx="7">
                  <c:v>1.0261457592702472E-2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AC1-44C3-BB0A-6D26E71A4DE5}"/>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Plan-year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0.61816313641421827</c:v>
                </c:pt>
                <c:pt idx="1">
                  <c:v>0.61816313641421827</c:v>
                </c:pt>
                <c:pt idx="2">
                  <c:v>0.61816313641421827</c:v>
                </c:pt>
                <c:pt idx="3">
                  <c:v>0.61816313641421827</c:v>
                </c:pt>
                <c:pt idx="4">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09E-4531-8B37-457FA4FD499B}"/>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3808-41CE-B43E-AD90FE3A8A05}"/>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3808-41CE-B43E-AD90FE3A8A0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272D-42C1-9B5D-9029E2DC5B93}"/>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72D-42C1-9B5D-9029E2DC5B93}"/>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72D-42C1-9B5D-9029E2DC5B93}"/>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72D-42C1-9B5D-9029E2DC5B9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2" ht="21" x14ac:dyDescent="0.25">
      <c r="B2" s="1" t="s">
        <v>56</v>
      </c>
    </row>
    <row r="3" spans="2:12" x14ac:dyDescent="0.25">
      <c r="B3" s="2" t="s">
        <v>57</v>
      </c>
    </row>
    <row r="4" spans="2:12" x14ac:dyDescent="0.25">
      <c r="B4" s="12" t="s">
        <v>58</v>
      </c>
      <c r="C4" s="13" t="str">
        <f>HYPERLINK("#'Rate Engine'!A1","Rate Engine")</f>
        <v>Rate Engine</v>
      </c>
      <c r="D4" s="13" t="str">
        <f>HYPERLINK("#'Mod Engine'!A1","Mod Engine")</f>
        <v>Mod Engine</v>
      </c>
      <c r="E4" s="13" t="str">
        <f>HYPERLINK("#Bridge!A1","Bridge")</f>
        <v>Bridge</v>
      </c>
      <c r="F4" s="13" t="str">
        <f>HYPERLINK("#'Flow Dashboard'!A1","Flow Dashboard")</f>
        <v>Flow Dashboard</v>
      </c>
      <c r="G4" s="13" t="str">
        <f>HYPERLINK("#'State Summary'!A1","State Summary")</f>
        <v>State Summary</v>
      </c>
      <c r="H4" s="13" t="str">
        <f>HYPERLINK("#Portfolio!A1","Portfolio")</f>
        <v>Portfolio</v>
      </c>
      <c r="I4" s="13" t="str">
        <f>HYPERLINK("#Scenarios!A1","Scenarios")</f>
        <v>Scenarios</v>
      </c>
      <c r="J4" s="13" t="str">
        <f>HYPERLINK("#Solver!A1","Solver")</f>
        <v>Solver</v>
      </c>
      <c r="K4" s="13" t="str">
        <f>HYPERLINK("#Attribution!A1","Attribution")</f>
        <v>Attribution</v>
      </c>
      <c r="L4" s="13" t="str">
        <f>HYPERLINK("#Checks!A1","Checks")</f>
        <v>Checks</v>
      </c>
    </row>
    <row r="5" spans="2:12" ht="15.75" x14ac:dyDescent="0.25">
      <c r="B5" s="3" t="s">
        <v>59</v>
      </c>
    </row>
    <row r="6" spans="2:12" x14ac:dyDescent="0.25">
      <c r="B6" s="14" t="s">
        <v>60</v>
      </c>
      <c r="C6" s="15">
        <v>2027</v>
      </c>
      <c r="E6" s="14" t="s">
        <v>61</v>
      </c>
      <c r="F6" s="16" t="str">
        <f>$C$7&amp;"|"&amp;$C$8</f>
        <v>BU-A|AZ</v>
      </c>
    </row>
    <row r="7" spans="2:12" x14ac:dyDescent="0.25">
      <c r="B7" s="14" t="s">
        <v>62</v>
      </c>
      <c r="C7" s="5" t="s">
        <v>63</v>
      </c>
      <c r="E7" s="14" t="s">
        <v>64</v>
      </c>
      <c r="F7" s="16" t="b">
        <f>COUNTIF(lr_key,$F$6)&gt;0</f>
        <v>1</v>
      </c>
    </row>
    <row r="8" spans="2:12" x14ac:dyDescent="0.25">
      <c r="B8" s="14" t="s">
        <v>65</v>
      </c>
      <c r="C8" s="5" t="s">
        <v>66</v>
      </c>
      <c r="E8" s="14" t="s">
        <v>67</v>
      </c>
      <c r="F8" s="17">
        <f>nr_TermMonths</f>
        <v>6</v>
      </c>
    </row>
    <row r="9" spans="2:12" x14ac:dyDescent="0.25">
      <c r="B9" s="14" t="s">
        <v>68</v>
      </c>
      <c r="C9" s="7" t="s">
        <v>69</v>
      </c>
      <c r="E9" s="14" t="s">
        <v>70</v>
      </c>
      <c r="F9" s="18" t="s">
        <v>71</v>
      </c>
    </row>
    <row r="10" spans="2:12" x14ac:dyDescent="0.25">
      <c r="B10" s="19" t="str">
        <f>IF(nr_PlanYear=2027,"","NOTE: plan year differs from the generated 2027. All CALCULATIONS follow the plan year entered above; sample data and some printed notes still describe the generated book. Regenerate for a clean copy.")</f>
        <v/>
      </c>
    </row>
    <row r="11" spans="2:12" ht="15.75" x14ac:dyDescent="0.25">
      <c r="B11" s="3" t="s">
        <v>72</v>
      </c>
    </row>
    <row r="12" spans="2:12" ht="84" x14ac:dyDescent="0.25">
      <c r="B12" s="14" t="s">
        <v>73</v>
      </c>
      <c r="C12" s="5" t="s">
        <v>74</v>
      </c>
      <c r="D12" s="20" t="s">
        <v>75</v>
      </c>
    </row>
    <row r="13" spans="2:12" ht="96" x14ac:dyDescent="0.25">
      <c r="B13" s="14" t="s">
        <v>76</v>
      </c>
      <c r="C13" s="5" t="s">
        <v>77</v>
      </c>
      <c r="D13" s="21" t="s">
        <v>78</v>
      </c>
    </row>
    <row r="14" spans="2:12" x14ac:dyDescent="0.25">
      <c r="B14" s="14" t="s">
        <v>79</v>
      </c>
      <c r="C14" s="7" t="s">
        <v>80</v>
      </c>
    </row>
    <row r="15" spans="2:12" ht="108" x14ac:dyDescent="0.25">
      <c r="B15" s="14" t="s">
        <v>81</v>
      </c>
      <c r="C15" s="22">
        <v>0</v>
      </c>
      <c r="D15" s="20" t="s">
        <v>82</v>
      </c>
    </row>
    <row r="16" spans="2:12" x14ac:dyDescent="0.25">
      <c r="B16" s="23" t="str">
        <f>IF(nr_SelOK,"","WARNING: the selected BU | state has no row in tbl_LR - engines show neutral factors until a row is added.")</f>
        <v/>
      </c>
    </row>
    <row r="17" spans="2:13" ht="15.75" x14ac:dyDescent="0.25">
      <c r="B17" s="3" t="s">
        <v>83</v>
      </c>
    </row>
    <row r="18" spans="2:13" x14ac:dyDescent="0.25">
      <c r="B18" s="24" t="str">
        <f>IF(nr_BasisDisp="As input","Projected LR (as input)","Projected LR (current level)")</f>
        <v>Projected LR (as input)</v>
      </c>
      <c r="C18" s="25"/>
      <c r="D18" s="24" t="str">
        <f>"CY "&amp;nr_PlanYear&amp;" plan loss ratio"</f>
        <v>CY 2027 plan loss ratio</v>
      </c>
      <c r="E18" s="25"/>
      <c r="F18" s="24" t="str">
        <f>"CY earned rate chg vs indication"</f>
        <v>CY earned rate chg vs indication</v>
      </c>
      <c r="G18" s="25"/>
      <c r="H18" s="24" t="str">
        <f>"Carryover into "&amp;(nr_PlanYear+1)</f>
        <v>Carryover into 2028</v>
      </c>
      <c r="I18" s="25"/>
      <c r="J18" s="24" t="str">
        <f>"Written mod: current -&gt; projected"</f>
        <v>Written mod: current -&gt; projected</v>
      </c>
      <c r="K18" s="25"/>
      <c r="L18" s="24" t="str">
        <f>"Checks status"</f>
        <v>Checks status</v>
      </c>
      <c r="M18" s="25"/>
    </row>
    <row r="19" spans="2:13" ht="21" x14ac:dyDescent="0.25">
      <c r="B19" s="26">
        <f>IF(nr_BasisDisp="As input",nr_LRproj,nr_LRcur)</f>
        <v>0.65</v>
      </c>
      <c r="C19" s="27"/>
      <c r="D19" s="26">
        <f>nr_CYLR_P</f>
        <v>0.61816313641421827</v>
      </c>
      <c r="E19" s="27"/>
      <c r="F19" s="28">
        <f>nr_EChgVsInd</f>
        <v>2.5000000000000133E-2</v>
      </c>
      <c r="G19" s="27"/>
      <c r="H19" s="28">
        <f>nr_YoY_P1</f>
        <v>2.4390243902439046E-2</v>
      </c>
      <c r="I19" s="27"/>
      <c r="J19" s="29" t="str">
        <f>TEXT(nr_M0,"0.000")&amp;"  -&gt;  "&amp;TEXT(nr_M1,"0.000")</f>
        <v>0.860  -&gt;  0.890</v>
      </c>
      <c r="K19" s="27"/>
      <c r="L19" s="29" t="str">
        <f>Checks!$C$3</f>
        <v>ALL CHECKS PASS</v>
      </c>
      <c r="M19" s="27"/>
    </row>
    <row r="20" spans="2:13" x14ac:dyDescent="0.25">
      <c r="B20" s="30" t="s">
        <v>84</v>
      </c>
      <c r="C20" s="27"/>
      <c r="D20" s="30" t="s">
        <v>85</v>
      </c>
      <c r="E20" s="27"/>
      <c r="F20" s="30" t="s">
        <v>86</v>
      </c>
      <c r="G20" s="27"/>
      <c r="H20" s="30" t="s">
        <v>87</v>
      </c>
      <c r="I20" s="27"/>
      <c r="J20" s="30" t="s">
        <v>88</v>
      </c>
      <c r="K20" s="27"/>
      <c r="L20" s="30" t="s">
        <v>89</v>
      </c>
      <c r="M20" s="27"/>
    </row>
    <row r="22" spans="2:13" ht="15.75" x14ac:dyDescent="0.25">
      <c r="B22" s="3" t="s">
        <v>90</v>
      </c>
    </row>
    <row r="23" spans="2:13" x14ac:dyDescent="0.25">
      <c r="B23" s="31" t="s">
        <v>91</v>
      </c>
      <c r="C23" s="32" t="str">
        <f>"CY "&amp;nr_PlanYear</f>
        <v>CY 2027</v>
      </c>
      <c r="D23" s="32" t="str">
        <f>"CY "&amp;(nr_PlanYear+1)&amp;" (indicative)"</f>
        <v>CY 2028 (indicative)</v>
      </c>
    </row>
    <row r="24" spans="2:13" x14ac:dyDescent="0.25">
      <c r="B24" s="14" t="s">
        <v>92</v>
      </c>
      <c r="C24" s="33">
        <f>nr_ECY_P</f>
        <v>1.1299600000000001</v>
      </c>
      <c r="D24" s="33">
        <f>nr_ECY_P1</f>
        <v>1.1575200000000001</v>
      </c>
    </row>
    <row r="25" spans="2:13" x14ac:dyDescent="0.25">
      <c r="B25" s="14" t="s">
        <v>93</v>
      </c>
      <c r="C25" s="33">
        <f>nr_Arate_P</f>
        <v>0.97560975609756095</v>
      </c>
      <c r="D25" s="33">
        <f>nr_Arate_P1</f>
        <v>0.95238095238095233</v>
      </c>
    </row>
    <row r="26" spans="2:13" x14ac:dyDescent="0.25">
      <c r="B26" s="14" t="s">
        <v>94</v>
      </c>
      <c r="C26" s="34">
        <f>nr_MEarned_P</f>
        <v>0.87197757111597374</v>
      </c>
      <c r="D26" s="34">
        <f>nr_MEarned_P1</f>
        <v>0.88898067104303424</v>
      </c>
    </row>
    <row r="27" spans="2:13" x14ac:dyDescent="0.25">
      <c r="B27" s="14" t="s">
        <v>95</v>
      </c>
      <c r="C27" s="33">
        <f>nr_Amod_P</f>
        <v>0.97479571511472884</v>
      </c>
      <c r="D27" s="33">
        <f>nr_Amod_P1</f>
        <v>0.95615127267356836</v>
      </c>
    </row>
    <row r="28" spans="2:13" x14ac:dyDescent="0.25">
      <c r="B28" s="14" t="s">
        <v>96</v>
      </c>
      <c r="C28" s="35">
        <f>nr_YoY_P</f>
        <v>7.0443349753694706E-2</v>
      </c>
      <c r="D28" s="35">
        <f>nr_YoY_P1</f>
        <v>2.4390243902439046E-2</v>
      </c>
    </row>
    <row r="29" spans="2:13" x14ac:dyDescent="0.25">
      <c r="B29" s="14" t="s">
        <v>97</v>
      </c>
      <c r="C29" s="36">
        <f>nr_CYLR_P</f>
        <v>0.61816313641421827</v>
      </c>
      <c r="D29" s="36">
        <f>nr_CYLR_P1</f>
        <v>0.59190316879792326</v>
      </c>
    </row>
    <row r="30" spans="2:13" ht="60" x14ac:dyDescent="0.25">
      <c r="B30" s="20" t="s">
        <v>98</v>
      </c>
    </row>
    <row r="32" spans="2:13" ht="15.75" x14ac:dyDescent="0.25">
      <c r="B32" s="3" t="s">
        <v>99</v>
      </c>
    </row>
    <row r="33" spans="2:3" x14ac:dyDescent="0.25">
      <c r="B33" s="14" t="s">
        <v>68</v>
      </c>
      <c r="C33" s="37" t="str">
        <f>nr_SelScenario</f>
        <v>Base</v>
      </c>
    </row>
    <row r="34" spans="2:3" x14ac:dyDescent="0.25">
      <c r="B34" s="14" t="s">
        <v>100</v>
      </c>
      <c r="C34" s="36">
        <f>INDEX(sc_res_cylr,MATCH(nr_SelScenario,sc_res_names,0))</f>
        <v>0.61816313641421827</v>
      </c>
    </row>
    <row r="35" spans="2:3" x14ac:dyDescent="0.25">
      <c r="B35" s="14" t="s">
        <v>101</v>
      </c>
      <c r="C35" s="38">
        <f>(INDEX(sc_res_cylr,MATCH(nr_SelScenario,sc_res_names,0))-nr_CYLR_P)*100</f>
        <v>0</v>
      </c>
    </row>
    <row r="37" spans="2:3" ht="48" x14ac:dyDescent="0.25">
      <c r="B37" s="20" t="s">
        <v>102</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103</v>
      </c>
    </row>
    <row r="2" spans="1:20" x14ac:dyDescent="0.25">
      <c r="A2" s="2" t="s">
        <v>104</v>
      </c>
    </row>
    <row r="4" spans="1:20" x14ac:dyDescent="0.25">
      <c r="A4" s="39" t="s">
        <v>105</v>
      </c>
      <c r="T4" s="40" t="s">
        <v>106</v>
      </c>
    </row>
    <row r="5" spans="1:20" ht="15.75" x14ac:dyDescent="0.25">
      <c r="A5" s="3" t="s">
        <v>107</v>
      </c>
      <c r="T5" s="40" t="s">
        <v>108</v>
      </c>
    </row>
    <row r="6" spans="1:20" ht="44.1" customHeight="1" x14ac:dyDescent="0.25">
      <c r="A6" s="41" t="s">
        <v>109</v>
      </c>
      <c r="B6" s="41" t="s">
        <v>65</v>
      </c>
      <c r="C6" s="41" t="s">
        <v>110</v>
      </c>
      <c r="D6" s="41" t="s">
        <v>111</v>
      </c>
      <c r="E6" s="41" t="s">
        <v>112</v>
      </c>
      <c r="F6" s="41" t="s">
        <v>113</v>
      </c>
      <c r="G6" s="41" t="s">
        <v>114</v>
      </c>
      <c r="H6" s="41" t="s">
        <v>115</v>
      </c>
      <c r="I6" s="41" t="s">
        <v>116</v>
      </c>
      <c r="J6" s="41" t="s">
        <v>117</v>
      </c>
      <c r="K6" s="41" t="s">
        <v>118</v>
      </c>
      <c r="L6" s="41" t="s">
        <v>119</v>
      </c>
      <c r="M6" s="41" t="s">
        <v>120</v>
      </c>
      <c r="N6" s="41" t="s">
        <v>121</v>
      </c>
      <c r="O6" s="41" t="s">
        <v>122</v>
      </c>
      <c r="P6" s="41" t="s">
        <v>123</v>
      </c>
      <c r="Q6" s="41" t="s">
        <v>124</v>
      </c>
      <c r="R6" s="41" t="s">
        <v>125</v>
      </c>
      <c r="T6" s="42" t="s">
        <v>126</v>
      </c>
    </row>
    <row r="7" spans="1:20" x14ac:dyDescent="0.25">
      <c r="A7" s="5" t="s">
        <v>63</v>
      </c>
      <c r="B7" s="5" t="s">
        <v>66</v>
      </c>
      <c r="C7" s="22">
        <v>0.65</v>
      </c>
      <c r="D7" s="5" t="s">
        <v>127</v>
      </c>
      <c r="E7" s="43">
        <v>0.05</v>
      </c>
      <c r="F7" s="44">
        <v>0.85</v>
      </c>
      <c r="G7" s="44">
        <v>0.86</v>
      </c>
      <c r="H7" s="45">
        <v>46295</v>
      </c>
      <c r="I7" s="44">
        <v>0.89</v>
      </c>
      <c r="J7" s="46"/>
      <c r="K7" s="46"/>
      <c r="L7" s="47">
        <v>6400</v>
      </c>
      <c r="M7" s="43"/>
      <c r="N7" s="48">
        <v>1</v>
      </c>
      <c r="O7" s="7"/>
      <c r="P7" s="5" t="s">
        <v>77</v>
      </c>
      <c r="Q7" s="43"/>
      <c r="R7" s="43"/>
      <c r="T7" s="49" t="str">
        <f t="shared" ref="T7:T38" si="0">IF(OR($A7="",$B7=""),"",$A7&amp;"|"&amp;$B7)</f>
        <v>BU-A|AZ</v>
      </c>
    </row>
    <row r="8" spans="1:20" x14ac:dyDescent="0.25">
      <c r="A8" s="5" t="s">
        <v>63</v>
      </c>
      <c r="B8" s="5" t="s">
        <v>128</v>
      </c>
      <c r="C8" s="22">
        <v>0.58799999999999997</v>
      </c>
      <c r="D8" s="5" t="s">
        <v>127</v>
      </c>
      <c r="E8" s="43">
        <v>0.05</v>
      </c>
      <c r="F8" s="44">
        <v>0.92</v>
      </c>
      <c r="G8" s="44">
        <v>0.91</v>
      </c>
      <c r="H8" s="45">
        <v>46295</v>
      </c>
      <c r="I8" s="44">
        <v>0.91500000000000004</v>
      </c>
      <c r="J8" s="46"/>
      <c r="K8" s="46"/>
      <c r="L8" s="47">
        <v>16800</v>
      </c>
      <c r="M8" s="43"/>
      <c r="N8" s="48">
        <v>1</v>
      </c>
      <c r="O8" s="7"/>
      <c r="P8" s="5" t="s">
        <v>77</v>
      </c>
      <c r="Q8" s="43"/>
      <c r="R8" s="43"/>
      <c r="T8" s="49" t="str">
        <f t="shared" si="0"/>
        <v>BU-A|CA</v>
      </c>
    </row>
    <row r="9" spans="1:20" x14ac:dyDescent="0.25">
      <c r="A9" s="5" t="s">
        <v>63</v>
      </c>
      <c r="B9" s="5" t="s">
        <v>129</v>
      </c>
      <c r="C9" s="22">
        <v>0.57199999999999995</v>
      </c>
      <c r="D9" s="5" t="s">
        <v>127</v>
      </c>
      <c r="E9" s="43">
        <v>0.05</v>
      </c>
      <c r="F9" s="44">
        <v>0.92</v>
      </c>
      <c r="G9" s="44">
        <v>0.91</v>
      </c>
      <c r="H9" s="45">
        <v>46295</v>
      </c>
      <c r="I9" s="44">
        <v>0.93</v>
      </c>
      <c r="J9" s="46"/>
      <c r="K9" s="46"/>
      <c r="L9" s="47">
        <v>13600</v>
      </c>
      <c r="M9" s="43"/>
      <c r="N9" s="48">
        <v>1</v>
      </c>
      <c r="O9" s="7"/>
      <c r="P9" s="5" t="s">
        <v>77</v>
      </c>
      <c r="Q9" s="43"/>
      <c r="R9" s="43"/>
      <c r="T9" s="49" t="str">
        <f t="shared" si="0"/>
        <v>BU-A|CO</v>
      </c>
    </row>
    <row r="10" spans="1:20" x14ac:dyDescent="0.25">
      <c r="A10" s="5" t="s">
        <v>63</v>
      </c>
      <c r="B10" s="5" t="s">
        <v>130</v>
      </c>
      <c r="C10" s="22">
        <v>0.6</v>
      </c>
      <c r="D10" s="5" t="s">
        <v>127</v>
      </c>
      <c r="E10" s="43">
        <v>0.05</v>
      </c>
      <c r="F10" s="44">
        <v>0.92</v>
      </c>
      <c r="G10" s="44">
        <v>0.92</v>
      </c>
      <c r="H10" s="45">
        <v>46295</v>
      </c>
      <c r="I10" s="44">
        <v>0.92</v>
      </c>
      <c r="J10" s="46"/>
      <c r="K10" s="46"/>
      <c r="L10" s="47">
        <v>10400</v>
      </c>
      <c r="M10" s="43"/>
      <c r="N10" s="48">
        <v>1</v>
      </c>
      <c r="O10" s="7"/>
      <c r="P10" s="5" t="s">
        <v>74</v>
      </c>
      <c r="Q10" s="43"/>
      <c r="R10" s="43"/>
      <c r="T10" s="49" t="str">
        <f t="shared" si="0"/>
        <v>BU-A|CT</v>
      </c>
    </row>
    <row r="11" spans="1:20" x14ac:dyDescent="0.25">
      <c r="A11" s="5" t="s">
        <v>63</v>
      </c>
      <c r="B11" s="5" t="s">
        <v>131</v>
      </c>
      <c r="C11" s="22">
        <v>0.58399999999999996</v>
      </c>
      <c r="D11" s="5" t="s">
        <v>127</v>
      </c>
      <c r="E11" s="43">
        <v>0.05</v>
      </c>
      <c r="F11" s="44">
        <v>0.92</v>
      </c>
      <c r="G11" s="44">
        <v>0.91</v>
      </c>
      <c r="H11" s="45">
        <v>46295</v>
      </c>
      <c r="I11" s="44">
        <v>0.92500000000000004</v>
      </c>
      <c r="J11" s="46"/>
      <c r="K11" s="46"/>
      <c r="L11" s="47">
        <v>7200</v>
      </c>
      <c r="M11" s="43"/>
      <c r="N11" s="48">
        <v>1</v>
      </c>
      <c r="O11" s="7"/>
      <c r="P11" s="5" t="s">
        <v>77</v>
      </c>
      <c r="Q11" s="43"/>
      <c r="R11" s="43"/>
      <c r="T11" s="49" t="str">
        <f t="shared" si="0"/>
        <v>BU-A|FL</v>
      </c>
    </row>
    <row r="12" spans="1:20" x14ac:dyDescent="0.25">
      <c r="A12" s="5" t="s">
        <v>63</v>
      </c>
      <c r="B12" s="5" t="s">
        <v>132</v>
      </c>
      <c r="C12" s="22">
        <v>0.56799999999999995</v>
      </c>
      <c r="D12" s="5" t="s">
        <v>127</v>
      </c>
      <c r="E12" s="43">
        <v>0.05</v>
      </c>
      <c r="F12" s="44">
        <v>0.92</v>
      </c>
      <c r="G12" s="44">
        <v>0.91</v>
      </c>
      <c r="H12" s="45">
        <v>46295</v>
      </c>
      <c r="I12" s="44">
        <v>0.90500000000000003</v>
      </c>
      <c r="J12" s="46">
        <v>0.9</v>
      </c>
      <c r="K12" s="46">
        <v>0.91</v>
      </c>
      <c r="L12" s="47">
        <v>17600</v>
      </c>
      <c r="M12" s="43"/>
      <c r="N12" s="48">
        <v>1</v>
      </c>
      <c r="O12" s="7"/>
      <c r="P12" s="5" t="s">
        <v>77</v>
      </c>
      <c r="Q12" s="43"/>
      <c r="R12" s="43"/>
      <c r="T12" s="49" t="str">
        <f t="shared" si="0"/>
        <v>BU-A|GA</v>
      </c>
    </row>
    <row r="13" spans="1:20" x14ac:dyDescent="0.25">
      <c r="A13" s="5" t="s">
        <v>63</v>
      </c>
      <c r="B13" s="5" t="s">
        <v>133</v>
      </c>
      <c r="C13" s="22">
        <v>0.59599999999999997</v>
      </c>
      <c r="D13" s="5" t="s">
        <v>127</v>
      </c>
      <c r="E13" s="43">
        <v>0.05</v>
      </c>
      <c r="F13" s="44">
        <v>0.92</v>
      </c>
      <c r="G13" s="44">
        <v>0.91</v>
      </c>
      <c r="H13" s="45">
        <v>46295</v>
      </c>
      <c r="I13" s="44">
        <v>0.92</v>
      </c>
      <c r="J13" s="46"/>
      <c r="K13" s="46"/>
      <c r="L13" s="47">
        <v>14400</v>
      </c>
      <c r="M13" s="43"/>
      <c r="N13" s="48">
        <v>1</v>
      </c>
      <c r="O13" s="7"/>
      <c r="P13" s="5" t="s">
        <v>77</v>
      </c>
      <c r="Q13" s="43"/>
      <c r="R13" s="43"/>
      <c r="T13" s="49" t="str">
        <f t="shared" si="0"/>
        <v>BU-A|IL</v>
      </c>
    </row>
    <row r="14" spans="1:20" x14ac:dyDescent="0.25">
      <c r="A14" s="5" t="s">
        <v>63</v>
      </c>
      <c r="B14" s="5" t="s">
        <v>134</v>
      </c>
      <c r="C14" s="22">
        <v>0.57999999999999996</v>
      </c>
      <c r="D14" s="5" t="s">
        <v>127</v>
      </c>
      <c r="E14" s="43">
        <v>0.05</v>
      </c>
      <c r="F14" s="44">
        <v>0.92</v>
      </c>
      <c r="G14" s="44">
        <v>0.91</v>
      </c>
      <c r="H14" s="45">
        <v>46295</v>
      </c>
      <c r="I14" s="44">
        <v>0.9</v>
      </c>
      <c r="J14" s="46"/>
      <c r="K14" s="46"/>
      <c r="L14" s="47">
        <v>11200</v>
      </c>
      <c r="M14" s="43"/>
      <c r="N14" s="48">
        <v>1</v>
      </c>
      <c r="O14" s="7"/>
      <c r="P14" s="5" t="s">
        <v>77</v>
      </c>
      <c r="Q14" s="43"/>
      <c r="R14" s="43"/>
      <c r="T14" s="49" t="str">
        <f t="shared" si="0"/>
        <v>BU-A|IN</v>
      </c>
    </row>
    <row r="15" spans="1:20" x14ac:dyDescent="0.25">
      <c r="A15" s="5" t="s">
        <v>63</v>
      </c>
      <c r="B15" s="5" t="s">
        <v>135</v>
      </c>
      <c r="C15" s="22">
        <v>0.56399999999999995</v>
      </c>
      <c r="D15" s="5" t="s">
        <v>127</v>
      </c>
      <c r="E15" s="43">
        <v>0.05</v>
      </c>
      <c r="F15" s="44">
        <v>0.92</v>
      </c>
      <c r="G15" s="44">
        <v>0.91</v>
      </c>
      <c r="H15" s="45">
        <v>46295</v>
      </c>
      <c r="I15" s="44">
        <v>0.91500000000000004</v>
      </c>
      <c r="J15" s="46"/>
      <c r="K15" s="46"/>
      <c r="L15" s="47">
        <v>8000</v>
      </c>
      <c r="M15" s="43"/>
      <c r="N15" s="48">
        <v>1</v>
      </c>
      <c r="O15" s="7"/>
      <c r="P15" s="5" t="s">
        <v>77</v>
      </c>
      <c r="Q15" s="43"/>
      <c r="R15" s="43"/>
      <c r="T15" s="49" t="str">
        <f t="shared" si="0"/>
        <v>BU-A|IA</v>
      </c>
    </row>
    <row r="16" spans="1:20" x14ac:dyDescent="0.25">
      <c r="A16" s="5" t="s">
        <v>63</v>
      </c>
      <c r="B16" s="5" t="s">
        <v>136</v>
      </c>
      <c r="C16" s="22">
        <v>0.59199999999999997</v>
      </c>
      <c r="D16" s="5" t="s">
        <v>127</v>
      </c>
      <c r="E16" s="43">
        <v>0.05</v>
      </c>
      <c r="F16" s="44">
        <v>0.92</v>
      </c>
      <c r="G16" s="44">
        <v>0.91</v>
      </c>
      <c r="H16" s="45">
        <v>46295</v>
      </c>
      <c r="I16" s="44">
        <v>0.93</v>
      </c>
      <c r="J16" s="46"/>
      <c r="K16" s="46"/>
      <c r="L16" s="47">
        <v>18400</v>
      </c>
      <c r="M16" s="43"/>
      <c r="N16" s="48">
        <v>1</v>
      </c>
      <c r="O16" s="7"/>
      <c r="P16" s="5" t="s">
        <v>77</v>
      </c>
      <c r="Q16" s="43"/>
      <c r="R16" s="43"/>
      <c r="T16" s="49" t="str">
        <f t="shared" si="0"/>
        <v>BU-A|KY</v>
      </c>
    </row>
    <row r="17" spans="1:20" x14ac:dyDescent="0.25">
      <c r="A17" s="5" t="s">
        <v>63</v>
      </c>
      <c r="B17" s="5" t="s">
        <v>137</v>
      </c>
      <c r="C17" s="22">
        <v>0.57599999999999996</v>
      </c>
      <c r="D17" s="5" t="s">
        <v>127</v>
      </c>
      <c r="E17" s="43">
        <v>0.05</v>
      </c>
      <c r="F17" s="44">
        <v>0.92</v>
      </c>
      <c r="G17" s="44">
        <v>0.91</v>
      </c>
      <c r="H17" s="45">
        <v>46295</v>
      </c>
      <c r="I17" s="44">
        <v>0.91</v>
      </c>
      <c r="J17" s="46"/>
      <c r="K17" s="46"/>
      <c r="L17" s="47">
        <v>15200</v>
      </c>
      <c r="M17" s="43"/>
      <c r="N17" s="48">
        <v>1</v>
      </c>
      <c r="O17" s="7"/>
      <c r="P17" s="5" t="s">
        <v>77</v>
      </c>
      <c r="Q17" s="43"/>
      <c r="R17" s="43"/>
      <c r="T17" s="49" t="str">
        <f t="shared" si="0"/>
        <v>BU-A|MD</v>
      </c>
    </row>
    <row r="18" spans="1:20" x14ac:dyDescent="0.25">
      <c r="A18" s="5" t="s">
        <v>63</v>
      </c>
      <c r="B18" s="5" t="s">
        <v>138</v>
      </c>
      <c r="C18" s="22">
        <v>0.56000000000000005</v>
      </c>
      <c r="D18" s="5" t="s">
        <v>127</v>
      </c>
      <c r="E18" s="43">
        <v>0.05</v>
      </c>
      <c r="F18" s="44">
        <v>0.92</v>
      </c>
      <c r="G18" s="44">
        <v>0.91</v>
      </c>
      <c r="H18" s="45">
        <v>46295</v>
      </c>
      <c r="I18" s="44">
        <v>0.92500000000000004</v>
      </c>
      <c r="J18" s="46"/>
      <c r="K18" s="46"/>
      <c r="L18" s="47">
        <v>12000</v>
      </c>
      <c r="M18" s="43"/>
      <c r="N18" s="48">
        <v>1</v>
      </c>
      <c r="O18" s="7"/>
      <c r="P18" s="5" t="s">
        <v>77</v>
      </c>
      <c r="Q18" s="43"/>
      <c r="R18" s="43"/>
      <c r="T18" s="49" t="str">
        <f t="shared" si="0"/>
        <v>BU-A|MI</v>
      </c>
    </row>
    <row r="19" spans="1:20" x14ac:dyDescent="0.25">
      <c r="A19" s="5" t="s">
        <v>63</v>
      </c>
      <c r="B19" s="5" t="s">
        <v>139</v>
      </c>
      <c r="C19" s="22">
        <v>0.58799999999999997</v>
      </c>
      <c r="D19" s="5" t="s">
        <v>127</v>
      </c>
      <c r="E19" s="43">
        <v>0.05</v>
      </c>
      <c r="F19" s="44">
        <v>0.92</v>
      </c>
      <c r="G19" s="44">
        <v>0.91</v>
      </c>
      <c r="H19" s="45">
        <v>46295</v>
      </c>
      <c r="I19" s="44">
        <v>0.90500000000000003</v>
      </c>
      <c r="J19" s="46"/>
      <c r="K19" s="46"/>
      <c r="L19" s="47">
        <v>8800</v>
      </c>
      <c r="M19" s="43"/>
      <c r="N19" s="48">
        <v>1</v>
      </c>
      <c r="O19" s="7"/>
      <c r="P19" s="5" t="s">
        <v>77</v>
      </c>
      <c r="Q19" s="43"/>
      <c r="R19" s="43"/>
      <c r="T19" s="49" t="str">
        <f t="shared" si="0"/>
        <v>BU-A|MN</v>
      </c>
    </row>
    <row r="20" spans="1:20" x14ac:dyDescent="0.25">
      <c r="A20" s="5" t="s">
        <v>63</v>
      </c>
      <c r="B20" s="5" t="s">
        <v>140</v>
      </c>
      <c r="C20" s="22">
        <v>0.57199999999999995</v>
      </c>
      <c r="D20" s="5" t="s">
        <v>127</v>
      </c>
      <c r="E20" s="43">
        <v>0.05</v>
      </c>
      <c r="F20" s="44">
        <v>0.92</v>
      </c>
      <c r="G20" s="44">
        <v>0.91</v>
      </c>
      <c r="H20" s="45">
        <v>46295</v>
      </c>
      <c r="I20" s="44">
        <v>0.92</v>
      </c>
      <c r="J20" s="46"/>
      <c r="K20" s="46"/>
      <c r="L20" s="47">
        <v>19200</v>
      </c>
      <c r="M20" s="43"/>
      <c r="N20" s="48">
        <v>1</v>
      </c>
      <c r="O20" s="7"/>
      <c r="P20" s="5" t="s">
        <v>77</v>
      </c>
      <c r="Q20" s="43"/>
      <c r="R20" s="43"/>
      <c r="T20" s="49" t="str">
        <f t="shared" si="0"/>
        <v>BU-A|MO</v>
      </c>
    </row>
    <row r="21" spans="1:20" x14ac:dyDescent="0.25">
      <c r="A21" s="5" t="s">
        <v>63</v>
      </c>
      <c r="B21" s="5" t="s">
        <v>141</v>
      </c>
      <c r="C21" s="22">
        <v>0.6</v>
      </c>
      <c r="D21" s="5" t="s">
        <v>127</v>
      </c>
      <c r="E21" s="43">
        <v>0.05</v>
      </c>
      <c r="F21" s="44">
        <v>0.92</v>
      </c>
      <c r="G21" s="44">
        <v>0.91</v>
      </c>
      <c r="H21" s="45">
        <v>46295</v>
      </c>
      <c r="I21" s="44">
        <v>0.9</v>
      </c>
      <c r="J21" s="46"/>
      <c r="K21" s="46"/>
      <c r="L21" s="47">
        <v>16000</v>
      </c>
      <c r="M21" s="43"/>
      <c r="N21" s="48">
        <v>1</v>
      </c>
      <c r="O21" s="7"/>
      <c r="P21" s="5" t="s">
        <v>77</v>
      </c>
      <c r="Q21" s="43"/>
      <c r="R21" s="43"/>
      <c r="T21" s="49" t="str">
        <f t="shared" si="0"/>
        <v>BU-A|NC</v>
      </c>
    </row>
    <row r="22" spans="1:20" x14ac:dyDescent="0.25">
      <c r="A22" s="5" t="s">
        <v>63</v>
      </c>
      <c r="B22" s="5" t="s">
        <v>142</v>
      </c>
      <c r="C22" s="22">
        <v>0.58399999999999996</v>
      </c>
      <c r="D22" s="5" t="s">
        <v>127</v>
      </c>
      <c r="E22" s="43">
        <v>0.05</v>
      </c>
      <c r="F22" s="44">
        <v>0.92</v>
      </c>
      <c r="G22" s="44">
        <v>0.91</v>
      </c>
      <c r="H22" s="45">
        <v>46295</v>
      </c>
      <c r="I22" s="44">
        <v>0.91500000000000004</v>
      </c>
      <c r="J22" s="46"/>
      <c r="K22" s="46"/>
      <c r="L22" s="47">
        <v>12800</v>
      </c>
      <c r="M22" s="43"/>
      <c r="N22" s="48">
        <v>1</v>
      </c>
      <c r="O22" s="7"/>
      <c r="P22" s="5" t="s">
        <v>77</v>
      </c>
      <c r="Q22" s="43"/>
      <c r="R22" s="43"/>
      <c r="T22" s="49" t="str">
        <f t="shared" si="0"/>
        <v>BU-A|NJ</v>
      </c>
    </row>
    <row r="23" spans="1:20" x14ac:dyDescent="0.25">
      <c r="A23" s="5" t="s">
        <v>63</v>
      </c>
      <c r="B23" s="5" t="s">
        <v>143</v>
      </c>
      <c r="C23" s="22">
        <v>0.56799999999999995</v>
      </c>
      <c r="D23" s="5" t="s">
        <v>127</v>
      </c>
      <c r="E23" s="43">
        <v>0.05</v>
      </c>
      <c r="F23" s="44">
        <v>0.92</v>
      </c>
      <c r="G23" s="44">
        <v>0.91</v>
      </c>
      <c r="H23" s="45">
        <v>46295</v>
      </c>
      <c r="I23" s="44">
        <v>0.93</v>
      </c>
      <c r="J23" s="46"/>
      <c r="K23" s="46"/>
      <c r="L23" s="47">
        <v>9600</v>
      </c>
      <c r="M23" s="43"/>
      <c r="N23" s="48">
        <v>1</v>
      </c>
      <c r="O23" s="7"/>
      <c r="P23" s="5" t="s">
        <v>77</v>
      </c>
      <c r="Q23" s="43"/>
      <c r="R23" s="43"/>
      <c r="T23" s="49" t="str">
        <f t="shared" si="0"/>
        <v>BU-A|NY</v>
      </c>
    </row>
    <row r="24" spans="1:20" x14ac:dyDescent="0.25">
      <c r="A24" s="5" t="s">
        <v>63</v>
      </c>
      <c r="B24" s="5" t="s">
        <v>144</v>
      </c>
      <c r="C24" s="22">
        <v>0.59599999999999997</v>
      </c>
      <c r="D24" s="5" t="s">
        <v>127</v>
      </c>
      <c r="E24" s="43">
        <v>0.05</v>
      </c>
      <c r="F24" s="44">
        <v>0.92</v>
      </c>
      <c r="G24" s="44">
        <v>0.91</v>
      </c>
      <c r="H24" s="45">
        <v>46295</v>
      </c>
      <c r="I24" s="44">
        <v>0.91</v>
      </c>
      <c r="J24" s="46"/>
      <c r="K24" s="46"/>
      <c r="L24" s="47">
        <v>6400</v>
      </c>
      <c r="M24" s="43"/>
      <c r="N24" s="48">
        <v>1</v>
      </c>
      <c r="O24" s="7"/>
      <c r="P24" s="5" t="s">
        <v>77</v>
      </c>
      <c r="Q24" s="43"/>
      <c r="R24" s="43"/>
      <c r="T24" s="49" t="str">
        <f t="shared" si="0"/>
        <v>BU-A|OH</v>
      </c>
    </row>
    <row r="25" spans="1:20" x14ac:dyDescent="0.25">
      <c r="A25" s="5" t="s">
        <v>63</v>
      </c>
      <c r="B25" s="5" t="s">
        <v>145</v>
      </c>
      <c r="C25" s="22">
        <v>0.57999999999999996</v>
      </c>
      <c r="D25" s="5" t="s">
        <v>127</v>
      </c>
      <c r="E25" s="43">
        <v>0.05</v>
      </c>
      <c r="F25" s="44">
        <v>0.92</v>
      </c>
      <c r="G25" s="44">
        <v>0.91</v>
      </c>
      <c r="H25" s="45">
        <v>46295</v>
      </c>
      <c r="I25" s="44">
        <v>0.92500000000000004</v>
      </c>
      <c r="J25" s="46"/>
      <c r="K25" s="46"/>
      <c r="L25" s="47">
        <v>16800</v>
      </c>
      <c r="M25" s="43"/>
      <c r="N25" s="48">
        <v>1</v>
      </c>
      <c r="O25" s="7"/>
      <c r="P25" s="5" t="s">
        <v>77</v>
      </c>
      <c r="Q25" s="43"/>
      <c r="R25" s="43"/>
      <c r="T25" s="49" t="str">
        <f t="shared" si="0"/>
        <v>BU-A|PA</v>
      </c>
    </row>
    <row r="26" spans="1:20" x14ac:dyDescent="0.25">
      <c r="A26" s="5" t="s">
        <v>63</v>
      </c>
      <c r="B26" s="5" t="s">
        <v>146</v>
      </c>
      <c r="C26" s="22">
        <v>0.56399999999999995</v>
      </c>
      <c r="D26" s="5" t="s">
        <v>127</v>
      </c>
      <c r="E26" s="43">
        <v>0.05</v>
      </c>
      <c r="F26" s="44">
        <v>0.92</v>
      </c>
      <c r="G26" s="44">
        <v>0.91</v>
      </c>
      <c r="H26" s="45">
        <v>46295</v>
      </c>
      <c r="I26" s="44">
        <v>0.90500000000000003</v>
      </c>
      <c r="J26" s="46"/>
      <c r="K26" s="46"/>
      <c r="L26" s="47">
        <v>13600</v>
      </c>
      <c r="M26" s="43"/>
      <c r="N26" s="48">
        <v>1</v>
      </c>
      <c r="O26" s="7"/>
      <c r="P26" s="5" t="s">
        <v>77</v>
      </c>
      <c r="Q26" s="43"/>
      <c r="R26" s="43"/>
      <c r="T26" s="49" t="str">
        <f t="shared" si="0"/>
        <v>BU-A|TN</v>
      </c>
    </row>
    <row r="27" spans="1:20" x14ac:dyDescent="0.25">
      <c r="A27" s="5" t="s">
        <v>63</v>
      </c>
      <c r="B27" s="5" t="s">
        <v>147</v>
      </c>
      <c r="C27" s="22">
        <v>0.59199999999999997</v>
      </c>
      <c r="D27" s="5" t="s">
        <v>127</v>
      </c>
      <c r="E27" s="43">
        <v>0.05</v>
      </c>
      <c r="F27" s="44">
        <v>0.92</v>
      </c>
      <c r="G27" s="44">
        <v>0.91</v>
      </c>
      <c r="H27" s="45">
        <v>46295</v>
      </c>
      <c r="I27" s="44">
        <v>0.92</v>
      </c>
      <c r="J27" s="46"/>
      <c r="K27" s="46"/>
      <c r="L27" s="47">
        <v>10400</v>
      </c>
      <c r="M27" s="43"/>
      <c r="N27" s="48">
        <v>1</v>
      </c>
      <c r="O27" s="7"/>
      <c r="P27" s="5" t="s">
        <v>77</v>
      </c>
      <c r="Q27" s="43"/>
      <c r="R27" s="43"/>
      <c r="T27" s="49" t="str">
        <f t="shared" si="0"/>
        <v>BU-A|TX</v>
      </c>
    </row>
    <row r="28" spans="1:20" x14ac:dyDescent="0.25">
      <c r="A28" s="5" t="s">
        <v>148</v>
      </c>
      <c r="B28" s="5" t="s">
        <v>66</v>
      </c>
      <c r="C28" s="22">
        <v>0.57599999999999996</v>
      </c>
      <c r="D28" s="5" t="s">
        <v>127</v>
      </c>
      <c r="E28" s="43">
        <v>0.05</v>
      </c>
      <c r="F28" s="44">
        <v>0.92</v>
      </c>
      <c r="G28" s="44">
        <v>0.91</v>
      </c>
      <c r="H28" s="45">
        <v>46295</v>
      </c>
      <c r="I28" s="44">
        <v>0.9</v>
      </c>
      <c r="J28" s="46"/>
      <c r="K28" s="46"/>
      <c r="L28" s="47">
        <v>7200</v>
      </c>
      <c r="M28" s="43"/>
      <c r="N28" s="48">
        <v>1</v>
      </c>
      <c r="O28" s="7"/>
      <c r="P28" s="5" t="s">
        <v>77</v>
      </c>
      <c r="Q28" s="43"/>
      <c r="R28" s="43"/>
      <c r="T28" s="49" t="str">
        <f t="shared" si="0"/>
        <v>BU-B|AZ</v>
      </c>
    </row>
    <row r="29" spans="1:20" x14ac:dyDescent="0.25">
      <c r="A29" s="5" t="s">
        <v>148</v>
      </c>
      <c r="B29" s="5" t="s">
        <v>128</v>
      </c>
      <c r="C29" s="22">
        <v>0.56000000000000005</v>
      </c>
      <c r="D29" s="5" t="s">
        <v>149</v>
      </c>
      <c r="E29" s="43">
        <v>0.08</v>
      </c>
      <c r="F29" s="44">
        <v>0.92</v>
      </c>
      <c r="G29" s="44">
        <v>0.91</v>
      </c>
      <c r="H29" s="45">
        <v>46295</v>
      </c>
      <c r="I29" s="44">
        <v>0.91500000000000004</v>
      </c>
      <c r="J29" s="46"/>
      <c r="K29" s="46"/>
      <c r="L29" s="47">
        <v>17600</v>
      </c>
      <c r="M29" s="43">
        <v>0.01</v>
      </c>
      <c r="N29" s="48">
        <v>1</v>
      </c>
      <c r="O29" s="7"/>
      <c r="P29" s="5" t="s">
        <v>77</v>
      </c>
      <c r="Q29" s="43"/>
      <c r="R29" s="43"/>
      <c r="T29" s="49" t="str">
        <f t="shared" si="0"/>
        <v>BU-B|CA</v>
      </c>
    </row>
    <row r="30" spans="1:20" x14ac:dyDescent="0.25">
      <c r="A30" s="5" t="s">
        <v>148</v>
      </c>
      <c r="B30" s="5" t="s">
        <v>129</v>
      </c>
      <c r="C30" s="22">
        <v>0.58799999999999997</v>
      </c>
      <c r="D30" s="5" t="s">
        <v>127</v>
      </c>
      <c r="E30" s="43">
        <v>0.05</v>
      </c>
      <c r="F30" s="44">
        <v>0.92</v>
      </c>
      <c r="G30" s="44">
        <v>0.91</v>
      </c>
      <c r="H30" s="45">
        <v>46295</v>
      </c>
      <c r="I30" s="44">
        <v>0.93</v>
      </c>
      <c r="J30" s="46"/>
      <c r="K30" s="46"/>
      <c r="L30" s="47">
        <v>14400</v>
      </c>
      <c r="M30" s="43"/>
      <c r="N30" s="48">
        <v>1.02</v>
      </c>
      <c r="O30" s="7" t="s">
        <v>150</v>
      </c>
      <c r="P30" s="5" t="s">
        <v>77</v>
      </c>
      <c r="Q30" s="43"/>
      <c r="R30" s="43"/>
      <c r="T30" s="49" t="str">
        <f t="shared" si="0"/>
        <v>BU-B|CO</v>
      </c>
    </row>
    <row r="31" spans="1:20" x14ac:dyDescent="0.25">
      <c r="A31" s="5" t="s">
        <v>148</v>
      </c>
      <c r="B31" s="5" t="s">
        <v>130</v>
      </c>
      <c r="C31" s="22">
        <v>0.57199999999999995</v>
      </c>
      <c r="D31" s="5" t="s">
        <v>127</v>
      </c>
      <c r="E31" s="43">
        <v>0.05</v>
      </c>
      <c r="F31" s="44">
        <v>0.92</v>
      </c>
      <c r="G31" s="44">
        <v>0.91</v>
      </c>
      <c r="H31" s="45">
        <v>46295</v>
      </c>
      <c r="I31" s="44">
        <v>0.91</v>
      </c>
      <c r="J31" s="46"/>
      <c r="K31" s="46"/>
      <c r="L31" s="47">
        <v>11200</v>
      </c>
      <c r="M31" s="43"/>
      <c r="N31" s="48">
        <v>1</v>
      </c>
      <c r="O31" s="7"/>
      <c r="P31" s="5" t="s">
        <v>77</v>
      </c>
      <c r="Q31" s="43"/>
      <c r="R31" s="43"/>
      <c r="T31" s="49" t="str">
        <f t="shared" si="0"/>
        <v>BU-B|CT</v>
      </c>
    </row>
    <row r="32" spans="1:20" x14ac:dyDescent="0.25">
      <c r="A32" s="5" t="s">
        <v>148</v>
      </c>
      <c r="B32" s="5" t="s">
        <v>131</v>
      </c>
      <c r="C32" s="22">
        <v>0.6</v>
      </c>
      <c r="D32" s="5" t="s">
        <v>127</v>
      </c>
      <c r="E32" s="43">
        <v>0.05</v>
      </c>
      <c r="F32" s="44">
        <v>0.92</v>
      </c>
      <c r="G32" s="44">
        <v>0.91</v>
      </c>
      <c r="H32" s="45">
        <v>46295</v>
      </c>
      <c r="I32" s="44">
        <v>0.92500000000000004</v>
      </c>
      <c r="J32" s="46"/>
      <c r="K32" s="46"/>
      <c r="L32" s="47">
        <v>8000</v>
      </c>
      <c r="M32" s="43"/>
      <c r="N32" s="48">
        <v>1</v>
      </c>
      <c r="O32" s="7"/>
      <c r="P32" s="5" t="s">
        <v>77</v>
      </c>
      <c r="Q32" s="43"/>
      <c r="R32" s="43"/>
      <c r="T32" s="49" t="str">
        <f t="shared" si="0"/>
        <v>BU-B|FL</v>
      </c>
    </row>
    <row r="33" spans="1:20" x14ac:dyDescent="0.25">
      <c r="A33" s="5" t="s">
        <v>148</v>
      </c>
      <c r="B33" s="5" t="s">
        <v>132</v>
      </c>
      <c r="C33" s="22">
        <v>0.58399999999999996</v>
      </c>
      <c r="D33" s="5" t="s">
        <v>127</v>
      </c>
      <c r="E33" s="43">
        <v>0.05</v>
      </c>
      <c r="F33" s="44">
        <v>0.92</v>
      </c>
      <c r="G33" s="44">
        <v>0.91</v>
      </c>
      <c r="H33" s="45">
        <v>46295</v>
      </c>
      <c r="I33" s="44">
        <v>0.90500000000000003</v>
      </c>
      <c r="J33" s="46"/>
      <c r="K33" s="46"/>
      <c r="L33" s="47">
        <v>18400</v>
      </c>
      <c r="M33" s="43"/>
      <c r="N33" s="48">
        <v>1</v>
      </c>
      <c r="O33" s="7"/>
      <c r="P33" s="5" t="s">
        <v>77</v>
      </c>
      <c r="Q33" s="43"/>
      <c r="R33" s="43"/>
      <c r="T33" s="49" t="str">
        <f t="shared" si="0"/>
        <v>BU-B|GA</v>
      </c>
    </row>
    <row r="34" spans="1:20" x14ac:dyDescent="0.25">
      <c r="A34" s="5" t="s">
        <v>148</v>
      </c>
      <c r="B34" s="5" t="s">
        <v>133</v>
      </c>
      <c r="C34" s="22">
        <v>0.56799999999999995</v>
      </c>
      <c r="D34" s="5" t="s">
        <v>127</v>
      </c>
      <c r="E34" s="43">
        <v>0.05</v>
      </c>
      <c r="F34" s="44">
        <v>0.92</v>
      </c>
      <c r="G34" s="44">
        <v>0.91</v>
      </c>
      <c r="H34" s="45">
        <v>46295</v>
      </c>
      <c r="I34" s="44">
        <v>0.92</v>
      </c>
      <c r="J34" s="46"/>
      <c r="K34" s="46"/>
      <c r="L34" s="47">
        <v>15200</v>
      </c>
      <c r="M34" s="43"/>
      <c r="N34" s="48">
        <v>1</v>
      </c>
      <c r="O34" s="7"/>
      <c r="P34" s="5" t="s">
        <v>77</v>
      </c>
      <c r="Q34" s="43"/>
      <c r="R34" s="43"/>
      <c r="T34" s="49" t="str">
        <f t="shared" si="0"/>
        <v>BU-B|IL</v>
      </c>
    </row>
    <row r="35" spans="1:20" x14ac:dyDescent="0.25">
      <c r="A35" s="5" t="s">
        <v>148</v>
      </c>
      <c r="B35" s="5" t="s">
        <v>134</v>
      </c>
      <c r="C35" s="22">
        <v>0.59599999999999997</v>
      </c>
      <c r="D35" s="5" t="s">
        <v>127</v>
      </c>
      <c r="E35" s="43">
        <v>0.05</v>
      </c>
      <c r="F35" s="44">
        <v>0.92</v>
      </c>
      <c r="G35" s="44">
        <v>0.91</v>
      </c>
      <c r="H35" s="45">
        <v>46295</v>
      </c>
      <c r="I35" s="44">
        <v>0.9</v>
      </c>
      <c r="J35" s="46"/>
      <c r="K35" s="46"/>
      <c r="L35" s="47">
        <v>12000</v>
      </c>
      <c r="M35" s="43"/>
      <c r="N35" s="48">
        <v>1</v>
      </c>
      <c r="O35" s="7"/>
      <c r="P35" s="5" t="s">
        <v>77</v>
      </c>
      <c r="Q35" s="43"/>
      <c r="R35" s="43"/>
      <c r="T35" s="49" t="str">
        <f t="shared" si="0"/>
        <v>BU-B|IN</v>
      </c>
    </row>
    <row r="36" spans="1:20" x14ac:dyDescent="0.25">
      <c r="A36" s="5" t="s">
        <v>148</v>
      </c>
      <c r="B36" s="5" t="s">
        <v>135</v>
      </c>
      <c r="C36" s="22">
        <v>0.57999999999999996</v>
      </c>
      <c r="D36" s="5" t="s">
        <v>127</v>
      </c>
      <c r="E36" s="43">
        <v>0.05</v>
      </c>
      <c r="F36" s="44">
        <v>0.92</v>
      </c>
      <c r="G36" s="44">
        <v>0.91</v>
      </c>
      <c r="H36" s="45">
        <v>46295</v>
      </c>
      <c r="I36" s="44">
        <v>0.91500000000000004</v>
      </c>
      <c r="J36" s="46"/>
      <c r="K36" s="46"/>
      <c r="L36" s="47">
        <v>8800</v>
      </c>
      <c r="M36" s="43"/>
      <c r="N36" s="48">
        <v>1</v>
      </c>
      <c r="O36" s="7"/>
      <c r="P36" s="5" t="s">
        <v>77</v>
      </c>
      <c r="Q36" s="43"/>
      <c r="R36" s="43"/>
      <c r="T36" s="49" t="str">
        <f t="shared" si="0"/>
        <v>BU-B|IA</v>
      </c>
    </row>
    <row r="37" spans="1:20" x14ac:dyDescent="0.25">
      <c r="A37" s="5" t="s">
        <v>148</v>
      </c>
      <c r="B37" s="5" t="s">
        <v>136</v>
      </c>
      <c r="C37" s="22">
        <v>0.56399999999999995</v>
      </c>
      <c r="D37" s="5" t="s">
        <v>127</v>
      </c>
      <c r="E37" s="43">
        <v>0.05</v>
      </c>
      <c r="F37" s="44">
        <v>0.92</v>
      </c>
      <c r="G37" s="44">
        <v>0.91</v>
      </c>
      <c r="H37" s="45">
        <v>46295</v>
      </c>
      <c r="I37" s="44">
        <v>0.93</v>
      </c>
      <c r="J37" s="46"/>
      <c r="K37" s="46"/>
      <c r="L37" s="47">
        <v>19200</v>
      </c>
      <c r="M37" s="43"/>
      <c r="N37" s="48">
        <v>1</v>
      </c>
      <c r="O37" s="7"/>
      <c r="P37" s="5" t="s">
        <v>77</v>
      </c>
      <c r="Q37" s="43"/>
      <c r="R37" s="43"/>
      <c r="T37" s="49" t="str">
        <f t="shared" si="0"/>
        <v>BU-B|KY</v>
      </c>
    </row>
    <row r="38" spans="1:20" x14ac:dyDescent="0.25">
      <c r="A38" s="5" t="s">
        <v>148</v>
      </c>
      <c r="B38" s="5" t="s">
        <v>137</v>
      </c>
      <c r="C38" s="22">
        <v>0.59199999999999997</v>
      </c>
      <c r="D38" s="5" t="s">
        <v>127</v>
      </c>
      <c r="E38" s="43">
        <v>0.05</v>
      </c>
      <c r="F38" s="44">
        <v>0.92</v>
      </c>
      <c r="G38" s="44">
        <v>0.91</v>
      </c>
      <c r="H38" s="45">
        <v>46295</v>
      </c>
      <c r="I38" s="44">
        <v>0.91</v>
      </c>
      <c r="J38" s="46"/>
      <c r="K38" s="46"/>
      <c r="L38" s="47">
        <v>16000</v>
      </c>
      <c r="M38" s="43"/>
      <c r="N38" s="48">
        <v>1</v>
      </c>
      <c r="O38" s="7"/>
      <c r="P38" s="5" t="s">
        <v>77</v>
      </c>
      <c r="Q38" s="43"/>
      <c r="R38" s="43"/>
      <c r="T38" s="49" t="str">
        <f t="shared" si="0"/>
        <v>BU-B|MD</v>
      </c>
    </row>
    <row r="39" spans="1:20" x14ac:dyDescent="0.25">
      <c r="A39" s="5" t="s">
        <v>148</v>
      </c>
      <c r="B39" s="5" t="s">
        <v>138</v>
      </c>
      <c r="C39" s="22">
        <v>0.57599999999999996</v>
      </c>
      <c r="D39" s="5" t="s">
        <v>127</v>
      </c>
      <c r="E39" s="43">
        <v>0.05</v>
      </c>
      <c r="F39" s="44">
        <v>0.92</v>
      </c>
      <c r="G39" s="44">
        <v>0.91</v>
      </c>
      <c r="H39" s="45">
        <v>46295</v>
      </c>
      <c r="I39" s="44">
        <v>0.92500000000000004</v>
      </c>
      <c r="J39" s="46"/>
      <c r="K39" s="46"/>
      <c r="L39" s="47">
        <v>12800</v>
      </c>
      <c r="M39" s="43"/>
      <c r="N39" s="48">
        <v>1</v>
      </c>
      <c r="O39" s="7"/>
      <c r="P39" s="5" t="s">
        <v>77</v>
      </c>
      <c r="Q39" s="43"/>
      <c r="R39" s="43"/>
      <c r="T39" s="49" t="str">
        <f t="shared" ref="T39:T75" si="1">IF(OR($A39="",$B39=""),"",$A39&amp;"|"&amp;$B39)</f>
        <v>BU-B|MI</v>
      </c>
    </row>
    <row r="40" spans="1:20" x14ac:dyDescent="0.25">
      <c r="A40" s="5" t="s">
        <v>148</v>
      </c>
      <c r="B40" s="5" t="s">
        <v>139</v>
      </c>
      <c r="C40" s="22">
        <v>0.56000000000000005</v>
      </c>
      <c r="D40" s="5" t="s">
        <v>127</v>
      </c>
      <c r="E40" s="43">
        <v>0.05</v>
      </c>
      <c r="F40" s="44">
        <v>0.92</v>
      </c>
      <c r="G40" s="44">
        <v>0.91</v>
      </c>
      <c r="H40" s="45">
        <v>46295</v>
      </c>
      <c r="I40" s="44">
        <v>0.90500000000000003</v>
      </c>
      <c r="J40" s="46"/>
      <c r="K40" s="46"/>
      <c r="L40" s="47">
        <v>9600</v>
      </c>
      <c r="M40" s="43"/>
      <c r="N40" s="48">
        <v>1</v>
      </c>
      <c r="O40" s="7"/>
      <c r="P40" s="5" t="s">
        <v>77</v>
      </c>
      <c r="Q40" s="43"/>
      <c r="R40" s="43"/>
      <c r="T40" s="49" t="str">
        <f t="shared" si="1"/>
        <v>BU-B|MN</v>
      </c>
    </row>
    <row r="41" spans="1:20" x14ac:dyDescent="0.25">
      <c r="A41" s="5" t="s">
        <v>148</v>
      </c>
      <c r="B41" s="5" t="s">
        <v>140</v>
      </c>
      <c r="C41" s="22">
        <v>0.58799999999999997</v>
      </c>
      <c r="D41" s="5" t="s">
        <v>127</v>
      </c>
      <c r="E41" s="43">
        <v>0.05</v>
      </c>
      <c r="F41" s="44">
        <v>0.92</v>
      </c>
      <c r="G41" s="44">
        <v>0.91</v>
      </c>
      <c r="H41" s="45">
        <v>46295</v>
      </c>
      <c r="I41" s="44">
        <v>0.92</v>
      </c>
      <c r="J41" s="46"/>
      <c r="K41" s="46"/>
      <c r="L41" s="47">
        <v>6400</v>
      </c>
      <c r="M41" s="43"/>
      <c r="N41" s="48">
        <v>1</v>
      </c>
      <c r="O41" s="7"/>
      <c r="P41" s="5" t="s">
        <v>77</v>
      </c>
      <c r="Q41" s="43"/>
      <c r="R41" s="43"/>
      <c r="T41" s="49" t="str">
        <f t="shared" si="1"/>
        <v>BU-B|MO</v>
      </c>
    </row>
    <row r="42" spans="1:20" x14ac:dyDescent="0.25">
      <c r="A42" s="5" t="s">
        <v>148</v>
      </c>
      <c r="B42" s="5" t="s">
        <v>141</v>
      </c>
      <c r="C42" s="22">
        <v>0.57199999999999995</v>
      </c>
      <c r="D42" s="5" t="s">
        <v>127</v>
      </c>
      <c r="E42" s="43">
        <v>0.05</v>
      </c>
      <c r="F42" s="44">
        <v>0.92</v>
      </c>
      <c r="G42" s="44">
        <v>0.91</v>
      </c>
      <c r="H42" s="45">
        <v>46295</v>
      </c>
      <c r="I42" s="44">
        <v>0.9</v>
      </c>
      <c r="J42" s="46"/>
      <c r="K42" s="46"/>
      <c r="L42" s="47">
        <v>16800</v>
      </c>
      <c r="M42" s="43"/>
      <c r="N42" s="48">
        <v>1</v>
      </c>
      <c r="O42" s="7"/>
      <c r="P42" s="5" t="s">
        <v>77</v>
      </c>
      <c r="Q42" s="43"/>
      <c r="R42" s="43"/>
      <c r="T42" s="49" t="str">
        <f t="shared" si="1"/>
        <v>BU-B|NC</v>
      </c>
    </row>
    <row r="43" spans="1:20" x14ac:dyDescent="0.25">
      <c r="A43" s="5" t="s">
        <v>148</v>
      </c>
      <c r="B43" s="5" t="s">
        <v>142</v>
      </c>
      <c r="C43" s="22">
        <v>0.6</v>
      </c>
      <c r="D43" s="5" t="s">
        <v>127</v>
      </c>
      <c r="E43" s="43">
        <v>0.05</v>
      </c>
      <c r="F43" s="44">
        <v>0.92</v>
      </c>
      <c r="G43" s="44">
        <v>0.91</v>
      </c>
      <c r="H43" s="45">
        <v>46295</v>
      </c>
      <c r="I43" s="44">
        <v>0.91500000000000004</v>
      </c>
      <c r="J43" s="46"/>
      <c r="K43" s="46"/>
      <c r="L43" s="47">
        <v>13600</v>
      </c>
      <c r="M43" s="43"/>
      <c r="N43" s="48">
        <v>1</v>
      </c>
      <c r="O43" s="7"/>
      <c r="P43" s="5" t="s">
        <v>77</v>
      </c>
      <c r="Q43" s="43"/>
      <c r="R43" s="43"/>
      <c r="T43" s="49" t="str">
        <f t="shared" si="1"/>
        <v>BU-B|NJ</v>
      </c>
    </row>
    <row r="44" spans="1:20" x14ac:dyDescent="0.25">
      <c r="A44" s="5" t="s">
        <v>148</v>
      </c>
      <c r="B44" s="5" t="s">
        <v>143</v>
      </c>
      <c r="C44" s="22">
        <v>0.58399999999999996</v>
      </c>
      <c r="D44" s="5" t="s">
        <v>127</v>
      </c>
      <c r="E44" s="43">
        <v>0.05</v>
      </c>
      <c r="F44" s="44">
        <v>0.92</v>
      </c>
      <c r="G44" s="44">
        <v>0.91</v>
      </c>
      <c r="H44" s="45">
        <v>46295</v>
      </c>
      <c r="I44" s="44">
        <v>0.93</v>
      </c>
      <c r="J44" s="46"/>
      <c r="K44" s="46"/>
      <c r="L44" s="47">
        <v>10400</v>
      </c>
      <c r="M44" s="43"/>
      <c r="N44" s="48">
        <v>1</v>
      </c>
      <c r="O44" s="7"/>
      <c r="P44" s="5" t="s">
        <v>77</v>
      </c>
      <c r="Q44" s="43"/>
      <c r="R44" s="43"/>
      <c r="T44" s="49" t="str">
        <f t="shared" si="1"/>
        <v>BU-B|NY</v>
      </c>
    </row>
    <row r="45" spans="1:20" x14ac:dyDescent="0.25">
      <c r="A45" s="5" t="s">
        <v>148</v>
      </c>
      <c r="B45" s="5" t="s">
        <v>144</v>
      </c>
      <c r="C45" s="22">
        <v>0.56799999999999995</v>
      </c>
      <c r="D45" s="5" t="s">
        <v>127</v>
      </c>
      <c r="E45" s="43">
        <v>0.05</v>
      </c>
      <c r="F45" s="44">
        <v>0.92</v>
      </c>
      <c r="G45" s="44">
        <v>0.91</v>
      </c>
      <c r="H45" s="45">
        <v>46295</v>
      </c>
      <c r="I45" s="44">
        <v>0.91</v>
      </c>
      <c r="J45" s="46"/>
      <c r="K45" s="46"/>
      <c r="L45" s="47">
        <v>7200</v>
      </c>
      <c r="M45" s="43"/>
      <c r="N45" s="48">
        <v>1</v>
      </c>
      <c r="O45" s="7"/>
      <c r="P45" s="5" t="s">
        <v>77</v>
      </c>
      <c r="Q45" s="43"/>
      <c r="R45" s="43"/>
      <c r="T45" s="49" t="str">
        <f t="shared" si="1"/>
        <v>BU-B|OH</v>
      </c>
    </row>
    <row r="46" spans="1:20" x14ac:dyDescent="0.25">
      <c r="A46" s="5" t="s">
        <v>148</v>
      </c>
      <c r="B46" s="5" t="s">
        <v>145</v>
      </c>
      <c r="C46" s="22">
        <v>0.59599999999999997</v>
      </c>
      <c r="D46" s="5" t="s">
        <v>127</v>
      </c>
      <c r="E46" s="43">
        <v>0.05</v>
      </c>
      <c r="F46" s="44">
        <v>0.92</v>
      </c>
      <c r="G46" s="44">
        <v>0.91</v>
      </c>
      <c r="H46" s="45">
        <v>46295</v>
      </c>
      <c r="I46" s="44">
        <v>0.92500000000000004</v>
      </c>
      <c r="J46" s="46"/>
      <c r="K46" s="46"/>
      <c r="L46" s="47">
        <v>17600</v>
      </c>
      <c r="M46" s="43"/>
      <c r="N46" s="48">
        <v>1</v>
      </c>
      <c r="O46" s="7"/>
      <c r="P46" s="5" t="s">
        <v>77</v>
      </c>
      <c r="Q46" s="43"/>
      <c r="R46" s="43"/>
      <c r="T46" s="49" t="str">
        <f t="shared" si="1"/>
        <v>BU-B|PA</v>
      </c>
    </row>
    <row r="47" spans="1:20" x14ac:dyDescent="0.25">
      <c r="A47" s="5" t="s">
        <v>148</v>
      </c>
      <c r="B47" s="5" t="s">
        <v>146</v>
      </c>
      <c r="C47" s="22">
        <v>0.57999999999999996</v>
      </c>
      <c r="D47" s="5" t="s">
        <v>127</v>
      </c>
      <c r="E47" s="43">
        <v>0.05</v>
      </c>
      <c r="F47" s="44">
        <v>0.92</v>
      </c>
      <c r="G47" s="44">
        <v>0.91</v>
      </c>
      <c r="H47" s="45">
        <v>46295</v>
      </c>
      <c r="I47" s="44">
        <v>0.90500000000000003</v>
      </c>
      <c r="J47" s="46"/>
      <c r="K47" s="46"/>
      <c r="L47" s="47">
        <v>14400</v>
      </c>
      <c r="M47" s="43"/>
      <c r="N47" s="48">
        <v>1</v>
      </c>
      <c r="O47" s="7"/>
      <c r="P47" s="5" t="s">
        <v>77</v>
      </c>
      <c r="Q47" s="43"/>
      <c r="R47" s="43"/>
      <c r="T47" s="49" t="str">
        <f t="shared" si="1"/>
        <v>BU-B|TN</v>
      </c>
    </row>
    <row r="48" spans="1:20" x14ac:dyDescent="0.25">
      <c r="A48" s="5" t="s">
        <v>148</v>
      </c>
      <c r="B48" s="5" t="s">
        <v>147</v>
      </c>
      <c r="C48" s="22">
        <v>0.56399999999999995</v>
      </c>
      <c r="D48" s="5" t="s">
        <v>127</v>
      </c>
      <c r="E48" s="43">
        <v>0.05</v>
      </c>
      <c r="F48" s="44">
        <v>0.92</v>
      </c>
      <c r="G48" s="44">
        <v>0.91</v>
      </c>
      <c r="H48" s="45">
        <v>46295</v>
      </c>
      <c r="I48" s="44">
        <v>0.92</v>
      </c>
      <c r="J48" s="46"/>
      <c r="K48" s="46"/>
      <c r="L48" s="47">
        <v>11200</v>
      </c>
      <c r="M48" s="43"/>
      <c r="N48" s="48">
        <v>1</v>
      </c>
      <c r="O48" s="7"/>
      <c r="P48" s="5" t="s">
        <v>77</v>
      </c>
      <c r="Q48" s="43"/>
      <c r="R48" s="43"/>
      <c r="T48" s="49" t="str">
        <f t="shared" si="1"/>
        <v>BU-B|TX</v>
      </c>
    </row>
    <row r="49" spans="1:20" x14ac:dyDescent="0.25">
      <c r="A49" s="5" t="s">
        <v>151</v>
      </c>
      <c r="B49" s="5" t="s">
        <v>66</v>
      </c>
      <c r="C49" s="22">
        <v>0.59199999999999997</v>
      </c>
      <c r="D49" s="5" t="s">
        <v>127</v>
      </c>
      <c r="E49" s="43">
        <v>0.05</v>
      </c>
      <c r="F49" s="44">
        <v>0.92</v>
      </c>
      <c r="G49" s="44">
        <v>0.91</v>
      </c>
      <c r="H49" s="45">
        <v>46295</v>
      </c>
      <c r="I49" s="44">
        <v>0.9</v>
      </c>
      <c r="J49" s="46"/>
      <c r="K49" s="46"/>
      <c r="L49" s="47">
        <v>8000</v>
      </c>
      <c r="M49" s="43"/>
      <c r="N49" s="48">
        <v>1</v>
      </c>
      <c r="O49" s="7"/>
      <c r="P49" s="5" t="s">
        <v>77</v>
      </c>
      <c r="Q49" s="43"/>
      <c r="R49" s="43"/>
      <c r="T49" s="49" t="str">
        <f t="shared" si="1"/>
        <v>BU-C|AZ</v>
      </c>
    </row>
    <row r="50" spans="1:20" x14ac:dyDescent="0.25">
      <c r="A50" s="5" t="s">
        <v>151</v>
      </c>
      <c r="B50" s="5" t="s">
        <v>128</v>
      </c>
      <c r="C50" s="22">
        <v>0.57599999999999996</v>
      </c>
      <c r="D50" s="5" t="s">
        <v>127</v>
      </c>
      <c r="E50" s="43">
        <v>0.05</v>
      </c>
      <c r="F50" s="44">
        <v>0.92</v>
      </c>
      <c r="G50" s="44">
        <v>0.91</v>
      </c>
      <c r="H50" s="45">
        <v>46295</v>
      </c>
      <c r="I50" s="44">
        <v>0.91500000000000004</v>
      </c>
      <c r="J50" s="46"/>
      <c r="K50" s="46"/>
      <c r="L50" s="47">
        <v>18400</v>
      </c>
      <c r="M50" s="43"/>
      <c r="N50" s="48">
        <v>1</v>
      </c>
      <c r="O50" s="7"/>
      <c r="P50" s="5" t="s">
        <v>77</v>
      </c>
      <c r="Q50" s="43"/>
      <c r="R50" s="43"/>
      <c r="T50" s="49" t="str">
        <f t="shared" si="1"/>
        <v>BU-C|CA</v>
      </c>
    </row>
    <row r="51" spans="1:20" x14ac:dyDescent="0.25">
      <c r="A51" s="5" t="s">
        <v>151</v>
      </c>
      <c r="B51" s="5" t="s">
        <v>129</v>
      </c>
      <c r="C51" s="22">
        <v>0.56000000000000005</v>
      </c>
      <c r="D51" s="5" t="s">
        <v>127</v>
      </c>
      <c r="E51" s="43">
        <v>0.05</v>
      </c>
      <c r="F51" s="44">
        <v>0.92</v>
      </c>
      <c r="G51" s="44">
        <v>0.91</v>
      </c>
      <c r="H51" s="45">
        <v>46295</v>
      </c>
      <c r="I51" s="44">
        <v>0.93</v>
      </c>
      <c r="J51" s="46"/>
      <c r="K51" s="46"/>
      <c r="L51" s="47">
        <v>15200</v>
      </c>
      <c r="M51" s="43"/>
      <c r="N51" s="48">
        <v>1</v>
      </c>
      <c r="O51" s="7"/>
      <c r="P51" s="5" t="s">
        <v>77</v>
      </c>
      <c r="Q51" s="43"/>
      <c r="R51" s="43"/>
      <c r="T51" s="49" t="str">
        <f t="shared" si="1"/>
        <v>BU-C|CO</v>
      </c>
    </row>
    <row r="52" spans="1:20" x14ac:dyDescent="0.25">
      <c r="A52" s="5" t="s">
        <v>151</v>
      </c>
      <c r="B52" s="5" t="s">
        <v>130</v>
      </c>
      <c r="C52" s="22">
        <v>0.58799999999999997</v>
      </c>
      <c r="D52" s="5" t="s">
        <v>127</v>
      </c>
      <c r="E52" s="43">
        <v>0.05</v>
      </c>
      <c r="F52" s="44">
        <v>0.92</v>
      </c>
      <c r="G52" s="44">
        <v>0.91</v>
      </c>
      <c r="H52" s="45">
        <v>46295</v>
      </c>
      <c r="I52" s="44">
        <v>0.91</v>
      </c>
      <c r="J52" s="46"/>
      <c r="K52" s="46"/>
      <c r="L52" s="47">
        <v>12000</v>
      </c>
      <c r="M52" s="43"/>
      <c r="N52" s="48">
        <v>1</v>
      </c>
      <c r="O52" s="7"/>
      <c r="P52" s="5" t="s">
        <v>77</v>
      </c>
      <c r="Q52" s="43"/>
      <c r="R52" s="43"/>
      <c r="T52" s="49" t="str">
        <f t="shared" si="1"/>
        <v>BU-C|CT</v>
      </c>
    </row>
    <row r="53" spans="1:20" x14ac:dyDescent="0.25">
      <c r="A53" s="5" t="s">
        <v>151</v>
      </c>
      <c r="B53" s="5" t="s">
        <v>131</v>
      </c>
      <c r="C53" s="22">
        <v>0.57199999999999995</v>
      </c>
      <c r="D53" s="5" t="s">
        <v>127</v>
      </c>
      <c r="E53" s="43">
        <v>0.05</v>
      </c>
      <c r="F53" s="44">
        <v>0.92</v>
      </c>
      <c r="G53" s="44">
        <v>0.91</v>
      </c>
      <c r="H53" s="45">
        <v>46295</v>
      </c>
      <c r="I53" s="44">
        <v>0.92500000000000004</v>
      </c>
      <c r="J53" s="46"/>
      <c r="K53" s="46"/>
      <c r="L53" s="47">
        <v>8800</v>
      </c>
      <c r="M53" s="43"/>
      <c r="N53" s="48">
        <v>1</v>
      </c>
      <c r="O53" s="7"/>
      <c r="P53" s="5" t="s">
        <v>77</v>
      </c>
      <c r="Q53" s="43"/>
      <c r="R53" s="43"/>
      <c r="T53" s="49" t="str">
        <f t="shared" si="1"/>
        <v>BU-C|FL</v>
      </c>
    </row>
    <row r="54" spans="1:20" x14ac:dyDescent="0.25">
      <c r="A54" s="5" t="s">
        <v>151</v>
      </c>
      <c r="B54" s="5" t="s">
        <v>132</v>
      </c>
      <c r="C54" s="22">
        <v>0.6</v>
      </c>
      <c r="D54" s="5" t="s">
        <v>127</v>
      </c>
      <c r="E54" s="43">
        <v>0.05</v>
      </c>
      <c r="F54" s="44">
        <v>0.92</v>
      </c>
      <c r="G54" s="44">
        <v>0.91</v>
      </c>
      <c r="H54" s="45">
        <v>46295</v>
      </c>
      <c r="I54" s="44">
        <v>0.90500000000000003</v>
      </c>
      <c r="J54" s="46"/>
      <c r="K54" s="46"/>
      <c r="L54" s="47">
        <v>19200</v>
      </c>
      <c r="M54" s="43"/>
      <c r="N54" s="48">
        <v>1</v>
      </c>
      <c r="O54" s="7"/>
      <c r="P54" s="5" t="s">
        <v>77</v>
      </c>
      <c r="Q54" s="43"/>
      <c r="R54" s="43"/>
      <c r="T54" s="49" t="str">
        <f t="shared" si="1"/>
        <v>BU-C|GA</v>
      </c>
    </row>
    <row r="55" spans="1:20" x14ac:dyDescent="0.25">
      <c r="A55" s="5" t="s">
        <v>151</v>
      </c>
      <c r="B55" s="5" t="s">
        <v>133</v>
      </c>
      <c r="C55" s="22">
        <v>0.58399999999999996</v>
      </c>
      <c r="D55" s="5" t="s">
        <v>127</v>
      </c>
      <c r="E55" s="43">
        <v>6.5000000000000002E-2</v>
      </c>
      <c r="F55" s="44">
        <v>0.92</v>
      </c>
      <c r="G55" s="44">
        <v>0.91</v>
      </c>
      <c r="H55" s="45">
        <v>46295</v>
      </c>
      <c r="I55" s="44">
        <v>0.92</v>
      </c>
      <c r="J55" s="46"/>
      <c r="K55" s="46"/>
      <c r="L55" s="47">
        <v>16000</v>
      </c>
      <c r="M55" s="43"/>
      <c r="N55" s="48">
        <v>1</v>
      </c>
      <c r="O55" s="7"/>
      <c r="P55" s="5" t="s">
        <v>77</v>
      </c>
      <c r="Q55" s="43"/>
      <c r="R55" s="43"/>
      <c r="T55" s="49" t="str">
        <f t="shared" si="1"/>
        <v>BU-C|IL</v>
      </c>
    </row>
    <row r="56" spans="1:20" x14ac:dyDescent="0.25">
      <c r="A56" s="5" t="s">
        <v>151</v>
      </c>
      <c r="B56" s="5" t="s">
        <v>134</v>
      </c>
      <c r="C56" s="22">
        <v>0.56799999999999995</v>
      </c>
      <c r="D56" s="5" t="s">
        <v>127</v>
      </c>
      <c r="E56" s="43">
        <v>0.05</v>
      </c>
      <c r="F56" s="44">
        <v>0.92</v>
      </c>
      <c r="G56" s="44">
        <v>0.91</v>
      </c>
      <c r="H56" s="45">
        <v>46295</v>
      </c>
      <c r="I56" s="44">
        <v>0.9</v>
      </c>
      <c r="J56" s="46"/>
      <c r="K56" s="46"/>
      <c r="L56" s="47">
        <v>12800</v>
      </c>
      <c r="M56" s="43"/>
      <c r="N56" s="48">
        <v>1</v>
      </c>
      <c r="O56" s="7"/>
      <c r="P56" s="5" t="s">
        <v>77</v>
      </c>
      <c r="Q56" s="43"/>
      <c r="R56" s="43"/>
      <c r="T56" s="49" t="str">
        <f t="shared" si="1"/>
        <v>BU-C|IN</v>
      </c>
    </row>
    <row r="57" spans="1:20" x14ac:dyDescent="0.25">
      <c r="A57" s="5" t="s">
        <v>151</v>
      </c>
      <c r="B57" s="5" t="s">
        <v>135</v>
      </c>
      <c r="C57" s="22">
        <v>0.59599999999999997</v>
      </c>
      <c r="D57" s="5" t="s">
        <v>127</v>
      </c>
      <c r="E57" s="43">
        <v>0.05</v>
      </c>
      <c r="F57" s="44">
        <v>0.92</v>
      </c>
      <c r="G57" s="44">
        <v>0.91</v>
      </c>
      <c r="H57" s="45">
        <v>46295</v>
      </c>
      <c r="I57" s="44">
        <v>0.91500000000000004</v>
      </c>
      <c r="J57" s="46"/>
      <c r="K57" s="46"/>
      <c r="L57" s="47">
        <v>9600</v>
      </c>
      <c r="M57" s="43"/>
      <c r="N57" s="48">
        <v>1</v>
      </c>
      <c r="O57" s="7"/>
      <c r="P57" s="5" t="s">
        <v>77</v>
      </c>
      <c r="Q57" s="43">
        <v>0.1</v>
      </c>
      <c r="R57" s="43"/>
      <c r="T57" s="49" t="str">
        <f t="shared" si="1"/>
        <v>BU-C|IA</v>
      </c>
    </row>
    <row r="58" spans="1:20" x14ac:dyDescent="0.25">
      <c r="A58" s="5" t="s">
        <v>151</v>
      </c>
      <c r="B58" s="5" t="s">
        <v>136</v>
      </c>
      <c r="C58" s="22">
        <v>0.57999999999999996</v>
      </c>
      <c r="D58" s="5" t="s">
        <v>127</v>
      </c>
      <c r="E58" s="43">
        <v>0.05</v>
      </c>
      <c r="F58" s="44">
        <v>0.92</v>
      </c>
      <c r="G58" s="44">
        <v>0.91</v>
      </c>
      <c r="H58" s="45">
        <v>46295</v>
      </c>
      <c r="I58" s="44">
        <v>0.93</v>
      </c>
      <c r="J58" s="46"/>
      <c r="K58" s="46"/>
      <c r="L58" s="47">
        <v>6400</v>
      </c>
      <c r="M58" s="43"/>
      <c r="N58" s="48">
        <v>1</v>
      </c>
      <c r="O58" s="7"/>
      <c r="P58" s="5" t="s">
        <v>77</v>
      </c>
      <c r="Q58" s="43"/>
      <c r="R58" s="43"/>
      <c r="T58" s="49" t="str">
        <f t="shared" si="1"/>
        <v>BU-C|KY</v>
      </c>
    </row>
    <row r="59" spans="1:20" x14ac:dyDescent="0.25">
      <c r="A59" s="5" t="s">
        <v>151</v>
      </c>
      <c r="B59" s="5" t="s">
        <v>137</v>
      </c>
      <c r="C59" s="22">
        <v>0.56399999999999995</v>
      </c>
      <c r="D59" s="5" t="s">
        <v>127</v>
      </c>
      <c r="E59" s="43">
        <v>0.05</v>
      </c>
      <c r="F59" s="44">
        <v>0.92</v>
      </c>
      <c r="G59" s="44">
        <v>0.91</v>
      </c>
      <c r="H59" s="45">
        <v>46295</v>
      </c>
      <c r="I59" s="44">
        <v>0.91</v>
      </c>
      <c r="J59" s="46"/>
      <c r="K59" s="46"/>
      <c r="L59" s="47">
        <v>16800</v>
      </c>
      <c r="M59" s="43"/>
      <c r="N59" s="48">
        <v>1</v>
      </c>
      <c r="O59" s="7"/>
      <c r="P59" s="5" t="s">
        <v>77</v>
      </c>
      <c r="Q59" s="43"/>
      <c r="R59" s="43"/>
      <c r="T59" s="49" t="str">
        <f t="shared" si="1"/>
        <v>BU-C|MD</v>
      </c>
    </row>
    <row r="60" spans="1:20" x14ac:dyDescent="0.25">
      <c r="A60" s="5" t="s">
        <v>151</v>
      </c>
      <c r="B60" s="5" t="s">
        <v>138</v>
      </c>
      <c r="C60" s="22">
        <v>0.59199999999999997</v>
      </c>
      <c r="D60" s="5" t="s">
        <v>127</v>
      </c>
      <c r="E60" s="43">
        <v>0.05</v>
      </c>
      <c r="F60" s="44">
        <v>0.92</v>
      </c>
      <c r="G60" s="44">
        <v>0.91</v>
      </c>
      <c r="H60" s="45">
        <v>46295</v>
      </c>
      <c r="I60" s="44">
        <v>0.92500000000000004</v>
      </c>
      <c r="J60" s="46"/>
      <c r="K60" s="46"/>
      <c r="L60" s="47">
        <v>13600</v>
      </c>
      <c r="M60" s="43"/>
      <c r="N60" s="48">
        <v>1</v>
      </c>
      <c r="O60" s="7"/>
      <c r="P60" s="5" t="s">
        <v>77</v>
      </c>
      <c r="Q60" s="43"/>
      <c r="R60" s="43"/>
      <c r="T60" s="49" t="str">
        <f t="shared" si="1"/>
        <v>BU-C|MI</v>
      </c>
    </row>
    <row r="61" spans="1:20" x14ac:dyDescent="0.25">
      <c r="A61" s="5" t="s">
        <v>151</v>
      </c>
      <c r="B61" s="5" t="s">
        <v>139</v>
      </c>
      <c r="C61" s="22">
        <v>0.57599999999999996</v>
      </c>
      <c r="D61" s="5" t="s">
        <v>127</v>
      </c>
      <c r="E61" s="43">
        <v>0.05</v>
      </c>
      <c r="F61" s="44">
        <v>0.92</v>
      </c>
      <c r="G61" s="44">
        <v>0.91</v>
      </c>
      <c r="H61" s="45">
        <v>46295</v>
      </c>
      <c r="I61" s="44">
        <v>0.90500000000000003</v>
      </c>
      <c r="J61" s="46"/>
      <c r="K61" s="46"/>
      <c r="L61" s="47">
        <v>10400</v>
      </c>
      <c r="M61" s="43"/>
      <c r="N61" s="48">
        <v>1</v>
      </c>
      <c r="O61" s="7"/>
      <c r="P61" s="5" t="s">
        <v>77</v>
      </c>
      <c r="Q61" s="43"/>
      <c r="R61" s="43"/>
      <c r="T61" s="49" t="str">
        <f t="shared" si="1"/>
        <v>BU-C|MN</v>
      </c>
    </row>
    <row r="62" spans="1:20" x14ac:dyDescent="0.25">
      <c r="A62" s="5" t="s">
        <v>151</v>
      </c>
      <c r="B62" s="5" t="s">
        <v>140</v>
      </c>
      <c r="C62" s="22">
        <v>0.56000000000000005</v>
      </c>
      <c r="D62" s="5" t="s">
        <v>127</v>
      </c>
      <c r="E62" s="43">
        <v>0.05</v>
      </c>
      <c r="F62" s="44">
        <v>0.92</v>
      </c>
      <c r="G62" s="44">
        <v>0.91</v>
      </c>
      <c r="H62" s="45">
        <v>46295</v>
      </c>
      <c r="I62" s="44">
        <v>0.92</v>
      </c>
      <c r="J62" s="46"/>
      <c r="K62" s="46"/>
      <c r="L62" s="47">
        <v>7200</v>
      </c>
      <c r="M62" s="43"/>
      <c r="N62" s="48">
        <v>1</v>
      </c>
      <c r="O62" s="7"/>
      <c r="P62" s="5" t="s">
        <v>77</v>
      </c>
      <c r="Q62" s="43"/>
      <c r="R62" s="43"/>
      <c r="T62" s="49" t="str">
        <f t="shared" si="1"/>
        <v>BU-C|MO</v>
      </c>
    </row>
    <row r="63" spans="1:20" x14ac:dyDescent="0.25">
      <c r="A63" s="5" t="s">
        <v>151</v>
      </c>
      <c r="B63" s="5" t="s">
        <v>141</v>
      </c>
      <c r="C63" s="22">
        <v>0.58799999999999997</v>
      </c>
      <c r="D63" s="5" t="s">
        <v>127</v>
      </c>
      <c r="E63" s="43">
        <v>0.05</v>
      </c>
      <c r="F63" s="44">
        <v>0.92</v>
      </c>
      <c r="G63" s="44">
        <v>0.91</v>
      </c>
      <c r="H63" s="45">
        <v>46295</v>
      </c>
      <c r="I63" s="44">
        <v>0.9</v>
      </c>
      <c r="J63" s="46"/>
      <c r="K63" s="46"/>
      <c r="L63" s="47">
        <v>17600</v>
      </c>
      <c r="M63" s="43"/>
      <c r="N63" s="48">
        <v>1</v>
      </c>
      <c r="O63" s="7"/>
      <c r="P63" s="5" t="s">
        <v>77</v>
      </c>
      <c r="Q63" s="43"/>
      <c r="R63" s="43"/>
      <c r="T63" s="49" t="str">
        <f t="shared" si="1"/>
        <v>BU-C|NC</v>
      </c>
    </row>
    <row r="64" spans="1:20" x14ac:dyDescent="0.25">
      <c r="A64" s="5" t="s">
        <v>151</v>
      </c>
      <c r="B64" s="5" t="s">
        <v>142</v>
      </c>
      <c r="C64" s="22">
        <v>0.57199999999999995</v>
      </c>
      <c r="D64" s="5" t="s">
        <v>127</v>
      </c>
      <c r="E64" s="43">
        <v>0.05</v>
      </c>
      <c r="F64" s="44">
        <v>0.92</v>
      </c>
      <c r="G64" s="44">
        <v>0.91</v>
      </c>
      <c r="H64" s="45">
        <v>46295</v>
      </c>
      <c r="I64" s="44">
        <v>0.91500000000000004</v>
      </c>
      <c r="J64" s="46"/>
      <c r="K64" s="46"/>
      <c r="L64" s="47">
        <v>14400</v>
      </c>
      <c r="M64" s="43"/>
      <c r="N64" s="48">
        <v>1</v>
      </c>
      <c r="O64" s="7"/>
      <c r="P64" s="5" t="s">
        <v>77</v>
      </c>
      <c r="Q64" s="43"/>
      <c r="R64" s="43"/>
      <c r="T64" s="49" t="str">
        <f t="shared" si="1"/>
        <v>BU-C|NJ</v>
      </c>
    </row>
    <row r="65" spans="1:20" x14ac:dyDescent="0.25">
      <c r="A65" s="5" t="s">
        <v>151</v>
      </c>
      <c r="B65" s="5" t="s">
        <v>143</v>
      </c>
      <c r="C65" s="22">
        <v>0.6</v>
      </c>
      <c r="D65" s="5" t="s">
        <v>127</v>
      </c>
      <c r="E65" s="43">
        <v>0.05</v>
      </c>
      <c r="F65" s="44">
        <v>0.92</v>
      </c>
      <c r="G65" s="44">
        <v>0.91</v>
      </c>
      <c r="H65" s="45">
        <v>46295</v>
      </c>
      <c r="I65" s="44">
        <v>0.93</v>
      </c>
      <c r="J65" s="46"/>
      <c r="K65" s="46"/>
      <c r="L65" s="47">
        <v>11200</v>
      </c>
      <c r="M65" s="43"/>
      <c r="N65" s="48">
        <v>1</v>
      </c>
      <c r="O65" s="7"/>
      <c r="P65" s="5" t="s">
        <v>77</v>
      </c>
      <c r="Q65" s="43"/>
      <c r="R65" s="43"/>
      <c r="T65" s="49" t="str">
        <f t="shared" si="1"/>
        <v>BU-C|NY</v>
      </c>
    </row>
    <row r="66" spans="1:20" x14ac:dyDescent="0.25">
      <c r="A66" s="5" t="s">
        <v>151</v>
      </c>
      <c r="B66" s="5" t="s">
        <v>144</v>
      </c>
      <c r="C66" s="22">
        <v>0.58399999999999996</v>
      </c>
      <c r="D66" s="5" t="s">
        <v>127</v>
      </c>
      <c r="E66" s="43">
        <v>0.05</v>
      </c>
      <c r="F66" s="44">
        <v>0.92</v>
      </c>
      <c r="G66" s="44">
        <v>0.91</v>
      </c>
      <c r="H66" s="45">
        <v>46295</v>
      </c>
      <c r="I66" s="44">
        <v>0.91</v>
      </c>
      <c r="J66" s="46"/>
      <c r="K66" s="46"/>
      <c r="L66" s="47">
        <v>8000</v>
      </c>
      <c r="M66" s="43"/>
      <c r="N66" s="48">
        <v>1</v>
      </c>
      <c r="O66" s="7"/>
      <c r="P66" s="5" t="s">
        <v>77</v>
      </c>
      <c r="Q66" s="43"/>
      <c r="R66" s="43"/>
      <c r="T66" s="49" t="str">
        <f t="shared" si="1"/>
        <v>BU-C|OH</v>
      </c>
    </row>
    <row r="67" spans="1:20" x14ac:dyDescent="0.25">
      <c r="A67" s="5" t="s">
        <v>151</v>
      </c>
      <c r="B67" s="5" t="s">
        <v>145</v>
      </c>
      <c r="C67" s="22">
        <v>0.56799999999999995</v>
      </c>
      <c r="D67" s="5" t="s">
        <v>127</v>
      </c>
      <c r="E67" s="43">
        <v>0.05</v>
      </c>
      <c r="F67" s="44">
        <v>0.92</v>
      </c>
      <c r="G67" s="44">
        <v>0.91</v>
      </c>
      <c r="H67" s="45">
        <v>46295</v>
      </c>
      <c r="I67" s="44">
        <v>0.92500000000000004</v>
      </c>
      <c r="J67" s="46"/>
      <c r="K67" s="46"/>
      <c r="L67" s="47">
        <v>18400</v>
      </c>
      <c r="M67" s="43"/>
      <c r="N67" s="48">
        <v>1</v>
      </c>
      <c r="O67" s="7"/>
      <c r="P67" s="5" t="s">
        <v>77</v>
      </c>
      <c r="Q67" s="43"/>
      <c r="R67" s="43"/>
      <c r="T67" s="49" t="str">
        <f t="shared" si="1"/>
        <v>BU-C|PA</v>
      </c>
    </row>
    <row r="68" spans="1:20" x14ac:dyDescent="0.25">
      <c r="A68" s="5" t="s">
        <v>151</v>
      </c>
      <c r="B68" s="5" t="s">
        <v>146</v>
      </c>
      <c r="C68" s="22">
        <v>0.59599999999999997</v>
      </c>
      <c r="D68" s="5" t="s">
        <v>127</v>
      </c>
      <c r="E68" s="43">
        <v>0.05</v>
      </c>
      <c r="F68" s="44">
        <v>0.92</v>
      </c>
      <c r="G68" s="44">
        <v>0.91</v>
      </c>
      <c r="H68" s="45">
        <v>46295</v>
      </c>
      <c r="I68" s="44">
        <v>0.90500000000000003</v>
      </c>
      <c r="J68" s="46"/>
      <c r="K68" s="46"/>
      <c r="L68" s="47">
        <v>15200</v>
      </c>
      <c r="M68" s="43"/>
      <c r="N68" s="48">
        <v>1</v>
      </c>
      <c r="O68" s="7"/>
      <c r="P68" s="5" t="s">
        <v>77</v>
      </c>
      <c r="Q68" s="43"/>
      <c r="R68" s="43"/>
      <c r="T68" s="49" t="str">
        <f t="shared" si="1"/>
        <v>BU-C|TN</v>
      </c>
    </row>
    <row r="69" spans="1:20" x14ac:dyDescent="0.25">
      <c r="A69" s="5" t="s">
        <v>151</v>
      </c>
      <c r="B69" s="5" t="s">
        <v>147</v>
      </c>
      <c r="C69" s="22">
        <v>0.57999999999999996</v>
      </c>
      <c r="D69" s="5" t="s">
        <v>127</v>
      </c>
      <c r="E69" s="43">
        <v>0.05</v>
      </c>
      <c r="F69" s="44">
        <v>0.92</v>
      </c>
      <c r="G69" s="44">
        <v>0.91</v>
      </c>
      <c r="H69" s="45">
        <v>46295</v>
      </c>
      <c r="I69" s="44">
        <v>0.92</v>
      </c>
      <c r="J69" s="46"/>
      <c r="K69" s="46"/>
      <c r="L69" s="47">
        <v>12000</v>
      </c>
      <c r="M69" s="43"/>
      <c r="N69" s="48">
        <v>1</v>
      </c>
      <c r="O69" s="7"/>
      <c r="P69" s="5" t="s">
        <v>77</v>
      </c>
      <c r="Q69" s="43"/>
      <c r="R69" s="43"/>
      <c r="T69" s="49" t="str">
        <f t="shared" si="1"/>
        <v>BU-C|TX</v>
      </c>
    </row>
    <row r="70" spans="1:20" x14ac:dyDescent="0.25">
      <c r="A70" s="5"/>
      <c r="B70" s="5"/>
      <c r="C70" s="22"/>
      <c r="D70" s="5"/>
      <c r="E70" s="43"/>
      <c r="F70" s="44"/>
      <c r="G70" s="44"/>
      <c r="H70" s="45"/>
      <c r="I70" s="44"/>
      <c r="J70" s="46"/>
      <c r="K70" s="46"/>
      <c r="L70" s="47"/>
      <c r="M70" s="43"/>
      <c r="N70" s="48"/>
      <c r="O70" s="7"/>
      <c r="P70" s="5"/>
      <c r="Q70" s="43"/>
      <c r="R70" s="43"/>
      <c r="T70" s="49" t="str">
        <f t="shared" si="1"/>
        <v/>
      </c>
    </row>
    <row r="71" spans="1:20" x14ac:dyDescent="0.25">
      <c r="A71" s="5"/>
      <c r="B71" s="5"/>
      <c r="C71" s="22"/>
      <c r="D71" s="5"/>
      <c r="E71" s="43"/>
      <c r="F71" s="44"/>
      <c r="G71" s="44"/>
      <c r="H71" s="45"/>
      <c r="I71" s="44"/>
      <c r="J71" s="46"/>
      <c r="K71" s="46"/>
      <c r="L71" s="47"/>
      <c r="M71" s="43"/>
      <c r="N71" s="48"/>
      <c r="O71" s="7"/>
      <c r="P71" s="5"/>
      <c r="Q71" s="43"/>
      <c r="R71" s="43"/>
      <c r="T71" s="49" t="str">
        <f t="shared" si="1"/>
        <v/>
      </c>
    </row>
    <row r="72" spans="1:20" x14ac:dyDescent="0.25">
      <c r="A72" s="5"/>
      <c r="B72" s="5"/>
      <c r="C72" s="22"/>
      <c r="D72" s="5"/>
      <c r="E72" s="43"/>
      <c r="F72" s="44"/>
      <c r="G72" s="44"/>
      <c r="H72" s="45"/>
      <c r="I72" s="44"/>
      <c r="J72" s="46"/>
      <c r="K72" s="46"/>
      <c r="L72" s="47"/>
      <c r="M72" s="43"/>
      <c r="N72" s="48"/>
      <c r="O72" s="7"/>
      <c r="P72" s="5"/>
      <c r="Q72" s="43"/>
      <c r="R72" s="43"/>
      <c r="T72" s="49" t="str">
        <f t="shared" si="1"/>
        <v/>
      </c>
    </row>
    <row r="73" spans="1:20" x14ac:dyDescent="0.25">
      <c r="A73" s="5"/>
      <c r="B73" s="5"/>
      <c r="C73" s="22"/>
      <c r="D73" s="5"/>
      <c r="E73" s="43"/>
      <c r="F73" s="44"/>
      <c r="G73" s="44"/>
      <c r="H73" s="45"/>
      <c r="I73" s="44"/>
      <c r="J73" s="46"/>
      <c r="K73" s="46"/>
      <c r="L73" s="47"/>
      <c r="M73" s="43"/>
      <c r="N73" s="48"/>
      <c r="O73" s="7"/>
      <c r="P73" s="5"/>
      <c r="Q73" s="43"/>
      <c r="R73" s="43"/>
      <c r="T73" s="49" t="str">
        <f t="shared" si="1"/>
        <v/>
      </c>
    </row>
    <row r="74" spans="1:20" x14ac:dyDescent="0.25">
      <c r="A74" s="5"/>
      <c r="B74" s="5"/>
      <c r="C74" s="22"/>
      <c r="D74" s="5"/>
      <c r="E74" s="43"/>
      <c r="F74" s="44"/>
      <c r="G74" s="44"/>
      <c r="H74" s="45"/>
      <c r="I74" s="44"/>
      <c r="J74" s="46"/>
      <c r="K74" s="46"/>
      <c r="L74" s="47"/>
      <c r="M74" s="43"/>
      <c r="N74" s="48"/>
      <c r="O74" s="7"/>
      <c r="P74" s="5"/>
      <c r="Q74" s="43"/>
      <c r="R74" s="43"/>
      <c r="T74" s="49" t="str">
        <f t="shared" si="1"/>
        <v/>
      </c>
    </row>
    <row r="75" spans="1:20" x14ac:dyDescent="0.25">
      <c r="A75" s="5"/>
      <c r="B75" s="5"/>
      <c r="C75" s="22"/>
      <c r="D75" s="5"/>
      <c r="E75" s="43"/>
      <c r="F75" s="44"/>
      <c r="G75" s="44"/>
      <c r="H75" s="45"/>
      <c r="I75" s="44"/>
      <c r="J75" s="46"/>
      <c r="K75" s="46"/>
      <c r="L75" s="47"/>
      <c r="M75" s="43"/>
      <c r="N75" s="48"/>
      <c r="O75" s="7"/>
      <c r="P75" s="5"/>
      <c r="Q75" s="43"/>
      <c r="R75" s="43"/>
      <c r="T75" s="49" t="str">
        <f t="shared" si="1"/>
        <v/>
      </c>
    </row>
    <row r="78" spans="1:20" ht="15.75" x14ac:dyDescent="0.25">
      <c r="A78" s="3" t="s">
        <v>152</v>
      </c>
      <c r="J78" s="40" t="s">
        <v>153</v>
      </c>
    </row>
    <row r="79" spans="1:20" ht="30" customHeight="1" x14ac:dyDescent="0.25">
      <c r="A79" s="41" t="s">
        <v>109</v>
      </c>
      <c r="B79" s="41" t="s">
        <v>65</v>
      </c>
      <c r="C79" s="41" t="s">
        <v>154</v>
      </c>
      <c r="D79" s="41" t="s">
        <v>155</v>
      </c>
      <c r="E79" s="41" t="s">
        <v>156</v>
      </c>
      <c r="F79" s="41" t="s">
        <v>157</v>
      </c>
      <c r="G79" s="41" t="s">
        <v>158</v>
      </c>
      <c r="H79" s="41" t="s">
        <v>159</v>
      </c>
      <c r="J79" s="50" t="s">
        <v>126</v>
      </c>
      <c r="K79" s="50" t="s">
        <v>160</v>
      </c>
      <c r="L79" s="50" t="s">
        <v>161</v>
      </c>
      <c r="M79" s="50" t="s">
        <v>162</v>
      </c>
      <c r="N79" s="50" t="s">
        <v>163</v>
      </c>
      <c r="O79" s="50" t="s">
        <v>164</v>
      </c>
      <c r="P79" s="50" t="s">
        <v>165</v>
      </c>
      <c r="Q79" s="50" t="s">
        <v>166</v>
      </c>
      <c r="R79" s="50" t="s">
        <v>167</v>
      </c>
      <c r="S79" s="50" t="s">
        <v>168</v>
      </c>
    </row>
    <row r="80" spans="1:20" x14ac:dyDescent="0.25">
      <c r="A80" s="5" t="s">
        <v>63</v>
      </c>
      <c r="B80" s="5" t="s">
        <v>66</v>
      </c>
      <c r="C80" s="45">
        <v>45839</v>
      </c>
      <c r="D80" s="22">
        <v>0.04</v>
      </c>
      <c r="E80" s="5" t="s">
        <v>169</v>
      </c>
      <c r="F80" s="5" t="s">
        <v>170</v>
      </c>
      <c r="G80" s="43"/>
      <c r="H80" s="51" t="s">
        <v>171</v>
      </c>
      <c r="J80" s="49" t="str">
        <f t="shared" ref="J80:J143" si="2">IF(OR($A80="",$B80=""),"",$A80&amp;"|"&amp;$B80)</f>
        <v>BU-A|AZ</v>
      </c>
      <c r="K80" s="52">
        <f t="shared" ref="K80:K143" si="3">IF($C80="","",$D80*IF($E80="planned",IF($G80="",1,$G80),1))</f>
        <v>0.04</v>
      </c>
      <c r="L80" s="53">
        <f t="shared" ref="L80:L143" si="4">IF($C80="",0,IF(1+$K80&gt;0,LN(1+$K80),0))</f>
        <v>3.9220713153281329E-2</v>
      </c>
      <c r="M80" s="54">
        <f t="shared" ref="M80:M143" si="5">IF($C80="","",DATE(YEAR($C80),MONTH($C80),1))</f>
        <v>45839</v>
      </c>
      <c r="N80" s="55">
        <f t="shared" ref="N80:N143" si="6">IF($C80="",0,EOMONTH($C80,0)-$C80+1)</f>
        <v>31</v>
      </c>
      <c r="O80" s="55">
        <f t="shared" ref="O80:O143" si="7">IF($C80="",0,COUNTIFS(rl_key,$J80,rl_effmonth,$M80,rl_eff,"&lt;"&amp;$C80))</f>
        <v>0</v>
      </c>
      <c r="P80" s="55">
        <f>IF($C80="",0,COUNTIFS($J$80:$J80,$J80,$M$80:$M80,$M80,$C$80:$C80,$C80))</f>
        <v>1</v>
      </c>
      <c r="Q80" s="55">
        <f t="shared" ref="Q80:Q143" si="8">IF($C80="",0,IF(AND($O80=0,$P80=1),1,0))</f>
        <v>1</v>
      </c>
      <c r="R80" s="55">
        <f t="shared" ref="R80:R143" si="9">IF($C80="",0,IF(COUNTIFS(rl_key,$J80,rl_effmonth,$M80)&gt;1,1,0))</f>
        <v>0</v>
      </c>
      <c r="S80" s="55">
        <f>IF($C80="",0,COUNTIFS(rl_key,$J80,rl_eff,"&lt;"&amp;$C80)+COUNTIFS($J$80:$J80,$J80,$C$80:$C80,$C80))</f>
        <v>1</v>
      </c>
    </row>
    <row r="81" spans="1:19" x14ac:dyDescent="0.25">
      <c r="A81" s="5" t="s">
        <v>63</v>
      </c>
      <c r="B81" s="5" t="s">
        <v>66</v>
      </c>
      <c r="C81" s="45">
        <v>46204</v>
      </c>
      <c r="D81" s="22">
        <v>0.06</v>
      </c>
      <c r="E81" s="5" t="s">
        <v>169</v>
      </c>
      <c r="F81" s="5" t="s">
        <v>170</v>
      </c>
      <c r="G81" s="43"/>
      <c r="H81" s="51" t="s">
        <v>171</v>
      </c>
      <c r="J81" s="49" t="str">
        <f t="shared" si="2"/>
        <v>BU-A|AZ</v>
      </c>
      <c r="K81" s="52">
        <f t="shared" si="3"/>
        <v>0.06</v>
      </c>
      <c r="L81" s="53">
        <f t="shared" si="4"/>
        <v>5.8268908123975824E-2</v>
      </c>
      <c r="M81" s="54">
        <f t="shared" si="5"/>
        <v>46204</v>
      </c>
      <c r="N81" s="55">
        <f t="shared" si="6"/>
        <v>31</v>
      </c>
      <c r="O81" s="55">
        <f t="shared" si="7"/>
        <v>0</v>
      </c>
      <c r="P81" s="55">
        <f>IF($C81="",0,COUNTIFS($J$80:$J81,$J81,$M$80:$M81,$M81,$C$80:$C81,$C81))</f>
        <v>1</v>
      </c>
      <c r="Q81" s="55">
        <f t="shared" si="8"/>
        <v>1</v>
      </c>
      <c r="R81" s="55">
        <f t="shared" si="9"/>
        <v>0</v>
      </c>
      <c r="S81" s="55">
        <f>IF($C81="",0,COUNTIFS(rl_key,$J81,rl_eff,"&lt;"&amp;$C81)+COUNTIFS($J$80:$J81,$J81,$C$80:$C81,$C81))</f>
        <v>2</v>
      </c>
    </row>
    <row r="82" spans="1:19" x14ac:dyDescent="0.25">
      <c r="A82" s="5" t="s">
        <v>63</v>
      </c>
      <c r="B82" s="5" t="s">
        <v>66</v>
      </c>
      <c r="C82" s="45">
        <v>46478</v>
      </c>
      <c r="D82" s="22">
        <v>0.05</v>
      </c>
      <c r="E82" s="5" t="s">
        <v>172</v>
      </c>
      <c r="F82" s="5" t="s">
        <v>173</v>
      </c>
      <c r="G82" s="43">
        <v>1</v>
      </c>
      <c r="H82" s="51" t="s">
        <v>174</v>
      </c>
      <c r="J82" s="49" t="str">
        <f t="shared" si="2"/>
        <v>BU-A|AZ</v>
      </c>
      <c r="K82" s="52">
        <f t="shared" si="3"/>
        <v>0.05</v>
      </c>
      <c r="L82" s="53">
        <f t="shared" si="4"/>
        <v>4.8790164169432049E-2</v>
      </c>
      <c r="M82" s="54">
        <f t="shared" si="5"/>
        <v>46478</v>
      </c>
      <c r="N82" s="55">
        <f t="shared" si="6"/>
        <v>30</v>
      </c>
      <c r="O82" s="55">
        <f t="shared" si="7"/>
        <v>0</v>
      </c>
      <c r="P82" s="55">
        <f>IF($C82="",0,COUNTIFS($J$80:$J82,$J82,$M$80:$M82,$M82,$C$80:$C82,$C82))</f>
        <v>1</v>
      </c>
      <c r="Q82" s="55">
        <f t="shared" si="8"/>
        <v>1</v>
      </c>
      <c r="R82" s="55">
        <f t="shared" si="9"/>
        <v>0</v>
      </c>
      <c r="S82" s="55">
        <f>IF($C82="",0,COUNTIFS(rl_key,$J82,rl_eff,"&lt;"&amp;$C82)+COUNTIFS($J$80:$J82,$J82,$C$80:$C82,$C82))</f>
        <v>3</v>
      </c>
    </row>
    <row r="83" spans="1:19" x14ac:dyDescent="0.25">
      <c r="A83" s="5" t="s">
        <v>151</v>
      </c>
      <c r="B83" s="5" t="s">
        <v>133</v>
      </c>
      <c r="C83" s="45">
        <v>46204</v>
      </c>
      <c r="D83" s="22">
        <v>6.5000000000000002E-2</v>
      </c>
      <c r="E83" s="5" t="s">
        <v>172</v>
      </c>
      <c r="F83" s="5" t="s">
        <v>173</v>
      </c>
      <c r="G83" s="43">
        <v>1</v>
      </c>
      <c r="H83" s="51" t="s">
        <v>175</v>
      </c>
      <c r="J83" s="49" t="str">
        <f t="shared" si="2"/>
        <v>BU-C|IL</v>
      </c>
      <c r="K83" s="52">
        <f t="shared" si="3"/>
        <v>6.5000000000000002E-2</v>
      </c>
      <c r="L83" s="53">
        <f t="shared" si="4"/>
        <v>6.2974799161388387E-2</v>
      </c>
      <c r="M83" s="54">
        <f t="shared" si="5"/>
        <v>46204</v>
      </c>
      <c r="N83" s="55">
        <f t="shared" si="6"/>
        <v>31</v>
      </c>
      <c r="O83" s="55">
        <f t="shared" si="7"/>
        <v>0</v>
      </c>
      <c r="P83" s="55">
        <f>IF($C83="",0,COUNTIFS($J$80:$J83,$J83,$M$80:$M83,$M83,$C$80:$C83,$C83))</f>
        <v>1</v>
      </c>
      <c r="Q83" s="55">
        <f t="shared" si="8"/>
        <v>1</v>
      </c>
      <c r="R83" s="55">
        <f t="shared" si="9"/>
        <v>0</v>
      </c>
      <c r="S83" s="55">
        <f>IF($C83="",0,COUNTIFS(rl_key,$J83,rl_eff,"&lt;"&amp;$C83)+COUNTIFS($J$80:$J83,$J83,$C$80:$C83,$C83))</f>
        <v>1</v>
      </c>
    </row>
    <row r="84" spans="1:19" x14ac:dyDescent="0.25">
      <c r="A84" s="5" t="s">
        <v>148</v>
      </c>
      <c r="B84" s="5" t="s">
        <v>129</v>
      </c>
      <c r="C84" s="45">
        <v>46113</v>
      </c>
      <c r="D84" s="22">
        <v>0.05</v>
      </c>
      <c r="E84" s="5" t="s">
        <v>169</v>
      </c>
      <c r="F84" s="5" t="s">
        <v>170</v>
      </c>
      <c r="G84" s="43"/>
      <c r="H84" s="51"/>
      <c r="J84" s="49" t="str">
        <f t="shared" si="2"/>
        <v>BU-B|CO</v>
      </c>
      <c r="K84" s="52">
        <f t="shared" si="3"/>
        <v>0.05</v>
      </c>
      <c r="L84" s="53">
        <f t="shared" si="4"/>
        <v>4.8790164169432049E-2</v>
      </c>
      <c r="M84" s="54">
        <f t="shared" si="5"/>
        <v>46113</v>
      </c>
      <c r="N84" s="55">
        <f t="shared" si="6"/>
        <v>30</v>
      </c>
      <c r="O84" s="55">
        <f t="shared" si="7"/>
        <v>0</v>
      </c>
      <c r="P84" s="55">
        <f>IF($C84="",0,COUNTIFS($J$80:$J84,$J84,$M$80:$M84,$M84,$C$80:$C84,$C84))</f>
        <v>1</v>
      </c>
      <c r="Q84" s="55">
        <f t="shared" si="8"/>
        <v>1</v>
      </c>
      <c r="R84" s="55">
        <f t="shared" si="9"/>
        <v>0</v>
      </c>
      <c r="S84" s="55">
        <f>IF($C84="",0,COUNTIFS(rl_key,$J84,rl_eff,"&lt;"&amp;$C84)+COUNTIFS($J$80:$J84,$J84,$C$80:$C84,$C84))</f>
        <v>1</v>
      </c>
    </row>
    <row r="85" spans="1:19" x14ac:dyDescent="0.25">
      <c r="A85" s="5" t="s">
        <v>148</v>
      </c>
      <c r="B85" s="5" t="s">
        <v>129</v>
      </c>
      <c r="C85" s="45">
        <v>46522</v>
      </c>
      <c r="D85" s="22">
        <v>0.03</v>
      </c>
      <c r="E85" s="5" t="s">
        <v>172</v>
      </c>
      <c r="F85" s="5" t="s">
        <v>173</v>
      </c>
      <c r="G85" s="43">
        <v>1</v>
      </c>
      <c r="H85" s="51" t="s">
        <v>176</v>
      </c>
      <c r="J85" s="49" t="str">
        <f t="shared" si="2"/>
        <v>BU-B|CO</v>
      </c>
      <c r="K85" s="52">
        <f t="shared" si="3"/>
        <v>0.03</v>
      </c>
      <c r="L85" s="53">
        <f t="shared" si="4"/>
        <v>2.9558802241544429E-2</v>
      </c>
      <c r="M85" s="54">
        <f t="shared" si="5"/>
        <v>46508</v>
      </c>
      <c r="N85" s="55">
        <f t="shared" si="6"/>
        <v>17</v>
      </c>
      <c r="O85" s="55">
        <f t="shared" si="7"/>
        <v>0</v>
      </c>
      <c r="P85" s="55">
        <f>IF($C85="",0,COUNTIFS($J$80:$J85,$J85,$M$80:$M85,$M85,$C$80:$C85,$C85))</f>
        <v>1</v>
      </c>
      <c r="Q85" s="55">
        <f t="shared" si="8"/>
        <v>1</v>
      </c>
      <c r="R85" s="55">
        <f t="shared" si="9"/>
        <v>0</v>
      </c>
      <c r="S85" s="55">
        <f>IF($C85="",0,COUNTIFS(rl_key,$J85,rl_eff,"&lt;"&amp;$C85)+COUNTIFS($J$80:$J85,$J85,$C$80:$C85,$C85))</f>
        <v>2</v>
      </c>
    </row>
    <row r="86" spans="1:19" x14ac:dyDescent="0.25">
      <c r="A86" s="5" t="s">
        <v>148</v>
      </c>
      <c r="B86" s="5" t="s">
        <v>130</v>
      </c>
      <c r="C86" s="45">
        <v>46296</v>
      </c>
      <c r="D86" s="22">
        <v>0.08</v>
      </c>
      <c r="E86" s="5" t="s">
        <v>169</v>
      </c>
      <c r="F86" s="5" t="s">
        <v>170</v>
      </c>
      <c r="G86" s="43"/>
      <c r="H86" s="51"/>
      <c r="J86" s="49" t="str">
        <f t="shared" si="2"/>
        <v>BU-B|CT</v>
      </c>
      <c r="K86" s="52">
        <f t="shared" si="3"/>
        <v>0.08</v>
      </c>
      <c r="L86" s="53">
        <f t="shared" si="4"/>
        <v>7.6961041136128394E-2</v>
      </c>
      <c r="M86" s="54">
        <f t="shared" si="5"/>
        <v>46296</v>
      </c>
      <c r="N86" s="55">
        <f t="shared" si="6"/>
        <v>31</v>
      </c>
      <c r="O86" s="55">
        <f t="shared" si="7"/>
        <v>0</v>
      </c>
      <c r="P86" s="55">
        <f>IF($C86="",0,COUNTIFS($J$80:$J86,$J86,$M$80:$M86,$M86,$C$80:$C86,$C86))</f>
        <v>1</v>
      </c>
      <c r="Q86" s="55">
        <f t="shared" si="8"/>
        <v>1</v>
      </c>
      <c r="R86" s="55">
        <f t="shared" si="9"/>
        <v>0</v>
      </c>
      <c r="S86" s="55">
        <f>IF($C86="",0,COUNTIFS(rl_key,$J86,rl_eff,"&lt;"&amp;$C86)+COUNTIFS($J$80:$J86,$J86,$C$80:$C86,$C86))</f>
        <v>1</v>
      </c>
    </row>
    <row r="87" spans="1:19" x14ac:dyDescent="0.25">
      <c r="A87" s="5" t="s">
        <v>148</v>
      </c>
      <c r="B87" s="5" t="s">
        <v>130</v>
      </c>
      <c r="C87" s="45">
        <v>46447</v>
      </c>
      <c r="D87" s="22">
        <v>0.06</v>
      </c>
      <c r="E87" s="5" t="s">
        <v>172</v>
      </c>
      <c r="F87" s="5" t="s">
        <v>173</v>
      </c>
      <c r="G87" s="43">
        <v>0.8</v>
      </c>
      <c r="H87" s="51" t="s">
        <v>177</v>
      </c>
      <c r="J87" s="49" t="str">
        <f t="shared" si="2"/>
        <v>BU-B|CT</v>
      </c>
      <c r="K87" s="52">
        <f t="shared" si="3"/>
        <v>4.8000000000000001E-2</v>
      </c>
      <c r="L87" s="53">
        <f t="shared" si="4"/>
        <v>4.6883585898850458E-2</v>
      </c>
      <c r="M87" s="54">
        <f t="shared" si="5"/>
        <v>46447</v>
      </c>
      <c r="N87" s="55">
        <f t="shared" si="6"/>
        <v>31</v>
      </c>
      <c r="O87" s="55">
        <f t="shared" si="7"/>
        <v>0</v>
      </c>
      <c r="P87" s="55">
        <f>IF($C87="",0,COUNTIFS($J$80:$J87,$J87,$M$80:$M87,$M87,$C$80:$C87,$C87))</f>
        <v>1</v>
      </c>
      <c r="Q87" s="55">
        <f t="shared" si="8"/>
        <v>1</v>
      </c>
      <c r="R87" s="55">
        <f t="shared" si="9"/>
        <v>0</v>
      </c>
      <c r="S87" s="55">
        <f>IF($C87="",0,COUNTIFS(rl_key,$J87,rl_eff,"&lt;"&amp;$C87)+COUNTIFS($J$80:$J87,$J87,$C$80:$C87,$C87))</f>
        <v>2</v>
      </c>
    </row>
    <row r="88" spans="1:19" x14ac:dyDescent="0.25">
      <c r="A88" s="5" t="s">
        <v>63</v>
      </c>
      <c r="B88" s="5" t="s">
        <v>132</v>
      </c>
      <c r="C88" s="45">
        <v>46174</v>
      </c>
      <c r="D88" s="22">
        <v>4.4999999999999998E-2</v>
      </c>
      <c r="E88" s="5" t="s">
        <v>169</v>
      </c>
      <c r="F88" s="5" t="s">
        <v>170</v>
      </c>
      <c r="G88" s="43"/>
      <c r="H88" s="51"/>
      <c r="J88" s="49" t="str">
        <f t="shared" si="2"/>
        <v>BU-A|GA</v>
      </c>
      <c r="K88" s="52">
        <f t="shared" si="3"/>
        <v>4.4999999999999998E-2</v>
      </c>
      <c r="L88" s="53">
        <f t="shared" si="4"/>
        <v>4.401688541677426E-2</v>
      </c>
      <c r="M88" s="54">
        <f t="shared" si="5"/>
        <v>46174</v>
      </c>
      <c r="N88" s="55">
        <f t="shared" si="6"/>
        <v>30</v>
      </c>
      <c r="O88" s="55">
        <f t="shared" si="7"/>
        <v>0</v>
      </c>
      <c r="P88" s="55">
        <f>IF($C88="",0,COUNTIFS($J$80:$J88,$J88,$M$80:$M88,$M88,$C$80:$C88,$C88))</f>
        <v>1</v>
      </c>
      <c r="Q88" s="55">
        <f t="shared" si="8"/>
        <v>1</v>
      </c>
      <c r="R88" s="55">
        <f t="shared" si="9"/>
        <v>0</v>
      </c>
      <c r="S88" s="55">
        <f>IF($C88="",0,COUNTIFS(rl_key,$J88,rl_eff,"&lt;"&amp;$C88)+COUNTIFS($J$80:$J88,$J88,$C$80:$C88,$C88))</f>
        <v>1</v>
      </c>
    </row>
    <row r="89" spans="1:19" x14ac:dyDescent="0.25">
      <c r="A89" s="5" t="s">
        <v>151</v>
      </c>
      <c r="B89" s="5" t="s">
        <v>135</v>
      </c>
      <c r="C89" s="45">
        <v>46296</v>
      </c>
      <c r="D89" s="22">
        <v>0.1</v>
      </c>
      <c r="E89" s="5" t="s">
        <v>169</v>
      </c>
      <c r="F89" s="5" t="s">
        <v>173</v>
      </c>
      <c r="G89" s="43"/>
      <c r="H89" s="51" t="s">
        <v>178</v>
      </c>
      <c r="J89" s="49" t="str">
        <f t="shared" si="2"/>
        <v>BU-C|IA</v>
      </c>
      <c r="K89" s="52">
        <f t="shared" si="3"/>
        <v>0.1</v>
      </c>
      <c r="L89" s="53">
        <f t="shared" si="4"/>
        <v>9.5310179804324935E-2</v>
      </c>
      <c r="M89" s="54">
        <f t="shared" si="5"/>
        <v>46296</v>
      </c>
      <c r="N89" s="55">
        <f t="shared" si="6"/>
        <v>31</v>
      </c>
      <c r="O89" s="55">
        <f t="shared" si="7"/>
        <v>0</v>
      </c>
      <c r="P89" s="55">
        <f>IF($C89="",0,COUNTIFS($J$80:$J89,$J89,$M$80:$M89,$M89,$C$80:$C89,$C89))</f>
        <v>1</v>
      </c>
      <c r="Q89" s="55">
        <f t="shared" si="8"/>
        <v>1</v>
      </c>
      <c r="R89" s="55">
        <f t="shared" si="9"/>
        <v>0</v>
      </c>
      <c r="S89" s="55">
        <f>IF($C89="",0,COUNTIFS(rl_key,$J89,rl_eff,"&lt;"&amp;$C89)+COUNTIFS($J$80:$J89,$J89,$C$80:$C89,$C89))</f>
        <v>1</v>
      </c>
    </row>
    <row r="90" spans="1:19" x14ac:dyDescent="0.25">
      <c r="A90" s="5" t="s">
        <v>63</v>
      </c>
      <c r="B90" s="5" t="s">
        <v>128</v>
      </c>
      <c r="C90" s="45">
        <v>46054</v>
      </c>
      <c r="D90" s="22">
        <v>0.03</v>
      </c>
      <c r="E90" s="5" t="s">
        <v>169</v>
      </c>
      <c r="F90" s="5" t="s">
        <v>170</v>
      </c>
      <c r="G90" s="43"/>
      <c r="H90" s="51"/>
      <c r="J90" s="49" t="str">
        <f t="shared" si="2"/>
        <v>BU-A|CA</v>
      </c>
      <c r="K90" s="52">
        <f t="shared" si="3"/>
        <v>0.03</v>
      </c>
      <c r="L90" s="53">
        <f t="shared" si="4"/>
        <v>2.9558802241544429E-2</v>
      </c>
      <c r="M90" s="54">
        <f t="shared" si="5"/>
        <v>46054</v>
      </c>
      <c r="N90" s="55">
        <f t="shared" si="6"/>
        <v>28</v>
      </c>
      <c r="O90" s="55">
        <f t="shared" si="7"/>
        <v>0</v>
      </c>
      <c r="P90" s="55">
        <f>IF($C90="",0,COUNTIFS($J$80:$J90,$J90,$M$80:$M90,$M90,$C$80:$C90,$C90))</f>
        <v>1</v>
      </c>
      <c r="Q90" s="55">
        <f t="shared" si="8"/>
        <v>1</v>
      </c>
      <c r="R90" s="55">
        <f t="shared" si="9"/>
        <v>0</v>
      </c>
      <c r="S90" s="55">
        <f>IF($C90="",0,COUNTIFS(rl_key,$J90,rl_eff,"&lt;"&amp;$C90)+COUNTIFS($J$80:$J90,$J90,$C$80:$C90,$C90))</f>
        <v>1</v>
      </c>
    </row>
    <row r="91" spans="1:19" x14ac:dyDescent="0.25">
      <c r="A91" s="5" t="s">
        <v>63</v>
      </c>
      <c r="B91" s="5" t="s">
        <v>128</v>
      </c>
      <c r="C91" s="45">
        <v>46419</v>
      </c>
      <c r="D91" s="22">
        <v>0.04</v>
      </c>
      <c r="E91" s="5" t="s">
        <v>172</v>
      </c>
      <c r="F91" s="5" t="s">
        <v>173</v>
      </c>
      <c r="G91" s="43">
        <v>1</v>
      </c>
      <c r="H91" s="51"/>
      <c r="J91" s="49" t="str">
        <f t="shared" si="2"/>
        <v>BU-A|CA</v>
      </c>
      <c r="K91" s="52">
        <f t="shared" si="3"/>
        <v>0.04</v>
      </c>
      <c r="L91" s="53">
        <f t="shared" si="4"/>
        <v>3.9220713153281329E-2</v>
      </c>
      <c r="M91" s="54">
        <f t="shared" si="5"/>
        <v>46419</v>
      </c>
      <c r="N91" s="55">
        <f t="shared" si="6"/>
        <v>28</v>
      </c>
      <c r="O91" s="55">
        <f t="shared" si="7"/>
        <v>0</v>
      </c>
      <c r="P91" s="55">
        <f>IF($C91="",0,COUNTIFS($J$80:$J91,$J91,$M$80:$M91,$M91,$C$80:$C91,$C91))</f>
        <v>1</v>
      </c>
      <c r="Q91" s="55">
        <f t="shared" si="8"/>
        <v>1</v>
      </c>
      <c r="R91" s="55">
        <f t="shared" si="9"/>
        <v>0</v>
      </c>
      <c r="S91" s="55">
        <f>IF($C91="",0,COUNTIFS(rl_key,$J91,rl_eff,"&lt;"&amp;$C91)+COUNTIFS($J$80:$J91,$J91,$C$80:$C91,$C91))</f>
        <v>2</v>
      </c>
    </row>
    <row r="92" spans="1:19" x14ac:dyDescent="0.25">
      <c r="A92" s="5" t="s">
        <v>63</v>
      </c>
      <c r="B92" s="5" t="s">
        <v>130</v>
      </c>
      <c r="C92" s="45">
        <v>46113</v>
      </c>
      <c r="D92" s="22">
        <v>0.05</v>
      </c>
      <c r="E92" s="5" t="s">
        <v>169</v>
      </c>
      <c r="F92" s="5" t="s">
        <v>170</v>
      </c>
      <c r="G92" s="43"/>
      <c r="H92" s="51"/>
      <c r="J92" s="49" t="str">
        <f t="shared" si="2"/>
        <v>BU-A|CT</v>
      </c>
      <c r="K92" s="52">
        <f t="shared" si="3"/>
        <v>0.05</v>
      </c>
      <c r="L92" s="53">
        <f t="shared" si="4"/>
        <v>4.8790164169432049E-2</v>
      </c>
      <c r="M92" s="54">
        <f t="shared" si="5"/>
        <v>46113</v>
      </c>
      <c r="N92" s="55">
        <f t="shared" si="6"/>
        <v>30</v>
      </c>
      <c r="O92" s="55">
        <f t="shared" si="7"/>
        <v>0</v>
      </c>
      <c r="P92" s="55">
        <f>IF($C92="",0,COUNTIFS($J$80:$J92,$J92,$M$80:$M92,$M92,$C$80:$C92,$C92))</f>
        <v>1</v>
      </c>
      <c r="Q92" s="55">
        <f t="shared" si="8"/>
        <v>1</v>
      </c>
      <c r="R92" s="55">
        <f t="shared" si="9"/>
        <v>0</v>
      </c>
      <c r="S92" s="55">
        <f>IF($C92="",0,COUNTIFS(rl_key,$J92,rl_eff,"&lt;"&amp;$C92)+COUNTIFS($J$80:$J92,$J92,$C$80:$C92,$C92))</f>
        <v>1</v>
      </c>
    </row>
    <row r="93" spans="1:19" x14ac:dyDescent="0.25">
      <c r="A93" s="5" t="s">
        <v>63</v>
      </c>
      <c r="B93" s="5" t="s">
        <v>131</v>
      </c>
      <c r="C93" s="45">
        <v>46143</v>
      </c>
      <c r="D93" s="22">
        <v>0.06</v>
      </c>
      <c r="E93" s="5" t="s">
        <v>169</v>
      </c>
      <c r="F93" s="5" t="s">
        <v>170</v>
      </c>
      <c r="G93" s="43"/>
      <c r="H93" s="51"/>
      <c r="J93" s="49" t="str">
        <f t="shared" si="2"/>
        <v>BU-A|FL</v>
      </c>
      <c r="K93" s="52">
        <f t="shared" si="3"/>
        <v>0.06</v>
      </c>
      <c r="L93" s="53">
        <f t="shared" si="4"/>
        <v>5.8268908123975824E-2</v>
      </c>
      <c r="M93" s="54">
        <f t="shared" si="5"/>
        <v>46143</v>
      </c>
      <c r="N93" s="55">
        <f t="shared" si="6"/>
        <v>31</v>
      </c>
      <c r="O93" s="55">
        <f t="shared" si="7"/>
        <v>0</v>
      </c>
      <c r="P93" s="55">
        <f>IF($C93="",0,COUNTIFS($J$80:$J93,$J93,$M$80:$M93,$M93,$C$80:$C93,$C93))</f>
        <v>1</v>
      </c>
      <c r="Q93" s="55">
        <f t="shared" si="8"/>
        <v>1</v>
      </c>
      <c r="R93" s="55">
        <f t="shared" si="9"/>
        <v>0</v>
      </c>
      <c r="S93" s="55">
        <f>IF($C93="",0,COUNTIFS(rl_key,$J93,rl_eff,"&lt;"&amp;$C93)+COUNTIFS($J$80:$J93,$J93,$C$80:$C93,$C93))</f>
        <v>1</v>
      </c>
    </row>
    <row r="94" spans="1:19" x14ac:dyDescent="0.25">
      <c r="A94" s="5" t="s">
        <v>63</v>
      </c>
      <c r="B94" s="5" t="s">
        <v>132</v>
      </c>
      <c r="C94" s="45">
        <v>46539</v>
      </c>
      <c r="D94" s="22">
        <v>0.04</v>
      </c>
      <c r="E94" s="5" t="s">
        <v>172</v>
      </c>
      <c r="F94" s="5" t="s">
        <v>173</v>
      </c>
      <c r="G94" s="43">
        <v>1</v>
      </c>
      <c r="H94" s="51"/>
      <c r="J94" s="49" t="str">
        <f t="shared" si="2"/>
        <v>BU-A|GA</v>
      </c>
      <c r="K94" s="52">
        <f t="shared" si="3"/>
        <v>0.04</v>
      </c>
      <c r="L94" s="53">
        <f t="shared" si="4"/>
        <v>3.9220713153281329E-2</v>
      </c>
      <c r="M94" s="54">
        <f t="shared" si="5"/>
        <v>46539</v>
      </c>
      <c r="N94" s="55">
        <f t="shared" si="6"/>
        <v>30</v>
      </c>
      <c r="O94" s="55">
        <f t="shared" si="7"/>
        <v>0</v>
      </c>
      <c r="P94" s="55">
        <f>IF($C94="",0,COUNTIFS($J$80:$J94,$J94,$M$80:$M94,$M94,$C$80:$C94,$C94))</f>
        <v>1</v>
      </c>
      <c r="Q94" s="55">
        <f t="shared" si="8"/>
        <v>1</v>
      </c>
      <c r="R94" s="55">
        <f t="shared" si="9"/>
        <v>0</v>
      </c>
      <c r="S94" s="55">
        <f>IF($C94="",0,COUNTIFS(rl_key,$J94,rl_eff,"&lt;"&amp;$C94)+COUNTIFS($J$80:$J94,$J94,$C$80:$C94,$C94))</f>
        <v>2</v>
      </c>
    </row>
    <row r="95" spans="1:19" x14ac:dyDescent="0.25">
      <c r="A95" s="5" t="s">
        <v>63</v>
      </c>
      <c r="B95" s="5" t="s">
        <v>133</v>
      </c>
      <c r="C95" s="45">
        <v>46204</v>
      </c>
      <c r="D95" s="22">
        <v>0.03</v>
      </c>
      <c r="E95" s="5" t="s">
        <v>169</v>
      </c>
      <c r="F95" s="5" t="s">
        <v>170</v>
      </c>
      <c r="G95" s="43"/>
      <c r="H95" s="51"/>
      <c r="J95" s="49" t="str">
        <f t="shared" si="2"/>
        <v>BU-A|IL</v>
      </c>
      <c r="K95" s="52">
        <f t="shared" si="3"/>
        <v>0.03</v>
      </c>
      <c r="L95" s="53">
        <f t="shared" si="4"/>
        <v>2.9558802241544429E-2</v>
      </c>
      <c r="M95" s="54">
        <f t="shared" si="5"/>
        <v>46204</v>
      </c>
      <c r="N95" s="55">
        <f t="shared" si="6"/>
        <v>31</v>
      </c>
      <c r="O95" s="55">
        <f t="shared" si="7"/>
        <v>0</v>
      </c>
      <c r="P95" s="55">
        <f>IF($C95="",0,COUNTIFS($J$80:$J95,$J95,$M$80:$M95,$M95,$C$80:$C95,$C95))</f>
        <v>1</v>
      </c>
      <c r="Q95" s="55">
        <f t="shared" si="8"/>
        <v>1</v>
      </c>
      <c r="R95" s="55">
        <f t="shared" si="9"/>
        <v>0</v>
      </c>
      <c r="S95" s="55">
        <f>IF($C95="",0,COUNTIFS(rl_key,$J95,rl_eff,"&lt;"&amp;$C95)+COUNTIFS($J$80:$J95,$J95,$C$80:$C95,$C95))</f>
        <v>1</v>
      </c>
    </row>
    <row r="96" spans="1:19" x14ac:dyDescent="0.25">
      <c r="A96" s="5" t="s">
        <v>63</v>
      </c>
      <c r="B96" s="5" t="s">
        <v>134</v>
      </c>
      <c r="C96" s="45">
        <v>46235</v>
      </c>
      <c r="D96" s="22">
        <v>0.04</v>
      </c>
      <c r="E96" s="5" t="s">
        <v>169</v>
      </c>
      <c r="F96" s="5" t="s">
        <v>170</v>
      </c>
      <c r="G96" s="43"/>
      <c r="H96" s="51"/>
      <c r="J96" s="49" t="str">
        <f t="shared" si="2"/>
        <v>BU-A|IN</v>
      </c>
      <c r="K96" s="52">
        <f t="shared" si="3"/>
        <v>0.04</v>
      </c>
      <c r="L96" s="53">
        <f t="shared" si="4"/>
        <v>3.9220713153281329E-2</v>
      </c>
      <c r="M96" s="54">
        <f t="shared" si="5"/>
        <v>46235</v>
      </c>
      <c r="N96" s="55">
        <f t="shared" si="6"/>
        <v>31</v>
      </c>
      <c r="O96" s="55">
        <f t="shared" si="7"/>
        <v>0</v>
      </c>
      <c r="P96" s="55">
        <f>IF($C96="",0,COUNTIFS($J$80:$J96,$J96,$M$80:$M96,$M96,$C$80:$C96,$C96))</f>
        <v>1</v>
      </c>
      <c r="Q96" s="55">
        <f t="shared" si="8"/>
        <v>1</v>
      </c>
      <c r="R96" s="55">
        <f t="shared" si="9"/>
        <v>0</v>
      </c>
      <c r="S96" s="55">
        <f>IF($C96="",0,COUNTIFS(rl_key,$J96,rl_eff,"&lt;"&amp;$C96)+COUNTIFS($J$80:$J96,$J96,$C$80:$C96,$C96))</f>
        <v>1</v>
      </c>
    </row>
    <row r="97" spans="1:19" x14ac:dyDescent="0.25">
      <c r="A97" s="5" t="s">
        <v>63</v>
      </c>
      <c r="B97" s="5" t="s">
        <v>136</v>
      </c>
      <c r="C97" s="45">
        <v>46296</v>
      </c>
      <c r="D97" s="22">
        <v>0.06</v>
      </c>
      <c r="E97" s="5" t="s">
        <v>169</v>
      </c>
      <c r="F97" s="5" t="s">
        <v>170</v>
      </c>
      <c r="G97" s="43"/>
      <c r="H97" s="51"/>
      <c r="J97" s="49" t="str">
        <f t="shared" si="2"/>
        <v>BU-A|KY</v>
      </c>
      <c r="K97" s="52">
        <f t="shared" si="3"/>
        <v>0.06</v>
      </c>
      <c r="L97" s="53">
        <f t="shared" si="4"/>
        <v>5.8268908123975824E-2</v>
      </c>
      <c r="M97" s="54">
        <f t="shared" si="5"/>
        <v>46296</v>
      </c>
      <c r="N97" s="55">
        <f t="shared" si="6"/>
        <v>31</v>
      </c>
      <c r="O97" s="55">
        <f t="shared" si="7"/>
        <v>0</v>
      </c>
      <c r="P97" s="55">
        <f>IF($C97="",0,COUNTIFS($J$80:$J97,$J97,$M$80:$M97,$M97,$C$80:$C97,$C97))</f>
        <v>1</v>
      </c>
      <c r="Q97" s="55">
        <f t="shared" si="8"/>
        <v>1</v>
      </c>
      <c r="R97" s="55">
        <f t="shared" si="9"/>
        <v>0</v>
      </c>
      <c r="S97" s="55">
        <f>IF($C97="",0,COUNTIFS(rl_key,$J97,rl_eff,"&lt;"&amp;$C97)+COUNTIFS($J$80:$J97,$J97,$C$80:$C97,$C97))</f>
        <v>1</v>
      </c>
    </row>
    <row r="98" spans="1:19" x14ac:dyDescent="0.25">
      <c r="A98" s="5" t="s">
        <v>63</v>
      </c>
      <c r="B98" s="5" t="s">
        <v>136</v>
      </c>
      <c r="C98" s="45">
        <v>46661</v>
      </c>
      <c r="D98" s="22">
        <v>0.04</v>
      </c>
      <c r="E98" s="5" t="s">
        <v>172</v>
      </c>
      <c r="F98" s="5" t="s">
        <v>173</v>
      </c>
      <c r="G98" s="43">
        <v>1</v>
      </c>
      <c r="H98" s="51"/>
      <c r="J98" s="49" t="str">
        <f t="shared" si="2"/>
        <v>BU-A|KY</v>
      </c>
      <c r="K98" s="52">
        <f t="shared" si="3"/>
        <v>0.04</v>
      </c>
      <c r="L98" s="53">
        <f t="shared" si="4"/>
        <v>3.9220713153281329E-2</v>
      </c>
      <c r="M98" s="54">
        <f t="shared" si="5"/>
        <v>46661</v>
      </c>
      <c r="N98" s="55">
        <f t="shared" si="6"/>
        <v>31</v>
      </c>
      <c r="O98" s="55">
        <f t="shared" si="7"/>
        <v>0</v>
      </c>
      <c r="P98" s="55">
        <f>IF($C98="",0,COUNTIFS($J$80:$J98,$J98,$M$80:$M98,$M98,$C$80:$C98,$C98))</f>
        <v>1</v>
      </c>
      <c r="Q98" s="55">
        <f t="shared" si="8"/>
        <v>1</v>
      </c>
      <c r="R98" s="55">
        <f t="shared" si="9"/>
        <v>0</v>
      </c>
      <c r="S98" s="55">
        <f>IF($C98="",0,COUNTIFS(rl_key,$J98,rl_eff,"&lt;"&amp;$C98)+COUNTIFS($J$80:$J98,$J98,$C$80:$C98,$C98))</f>
        <v>2</v>
      </c>
    </row>
    <row r="99" spans="1:19" x14ac:dyDescent="0.25">
      <c r="A99" s="5" t="s">
        <v>63</v>
      </c>
      <c r="B99" s="5" t="s">
        <v>137</v>
      </c>
      <c r="C99" s="45">
        <v>46327</v>
      </c>
      <c r="D99" s="22">
        <v>0.02</v>
      </c>
      <c r="E99" s="5" t="s">
        <v>169</v>
      </c>
      <c r="F99" s="5" t="s">
        <v>170</v>
      </c>
      <c r="G99" s="43"/>
      <c r="H99" s="51"/>
      <c r="J99" s="49" t="str">
        <f t="shared" si="2"/>
        <v>BU-A|MD</v>
      </c>
      <c r="K99" s="52">
        <f t="shared" si="3"/>
        <v>0.02</v>
      </c>
      <c r="L99" s="53">
        <f t="shared" si="4"/>
        <v>1.980262729617973E-2</v>
      </c>
      <c r="M99" s="54">
        <f t="shared" si="5"/>
        <v>46327</v>
      </c>
      <c r="N99" s="55">
        <f t="shared" si="6"/>
        <v>30</v>
      </c>
      <c r="O99" s="55">
        <f t="shared" si="7"/>
        <v>0</v>
      </c>
      <c r="P99" s="55">
        <f>IF($C99="",0,COUNTIFS($J$80:$J99,$J99,$M$80:$M99,$M99,$C$80:$C99,$C99))</f>
        <v>1</v>
      </c>
      <c r="Q99" s="55">
        <f t="shared" si="8"/>
        <v>1</v>
      </c>
      <c r="R99" s="55">
        <f t="shared" si="9"/>
        <v>0</v>
      </c>
      <c r="S99" s="55">
        <f>IF($C99="",0,COUNTIFS(rl_key,$J99,rl_eff,"&lt;"&amp;$C99)+COUNTIFS($J$80:$J99,$J99,$C$80:$C99,$C99))</f>
        <v>1</v>
      </c>
    </row>
    <row r="100" spans="1:19" x14ac:dyDescent="0.25">
      <c r="A100" s="5" t="s">
        <v>63</v>
      </c>
      <c r="B100" s="5" t="s">
        <v>139</v>
      </c>
      <c r="C100" s="45">
        <v>46023</v>
      </c>
      <c r="D100" s="22">
        <v>0.04</v>
      </c>
      <c r="E100" s="5" t="s">
        <v>169</v>
      </c>
      <c r="F100" s="5" t="s">
        <v>170</v>
      </c>
      <c r="G100" s="43"/>
      <c r="H100" s="51"/>
      <c r="J100" s="49" t="str">
        <f t="shared" si="2"/>
        <v>BU-A|MN</v>
      </c>
      <c r="K100" s="52">
        <f t="shared" si="3"/>
        <v>0.04</v>
      </c>
      <c r="L100" s="53">
        <f t="shared" si="4"/>
        <v>3.9220713153281329E-2</v>
      </c>
      <c r="M100" s="54">
        <f t="shared" si="5"/>
        <v>46023</v>
      </c>
      <c r="N100" s="55">
        <f t="shared" si="6"/>
        <v>31</v>
      </c>
      <c r="O100" s="55">
        <f t="shared" si="7"/>
        <v>0</v>
      </c>
      <c r="P100" s="55">
        <f>IF($C100="",0,COUNTIFS($J$80:$J100,$J100,$M$80:$M100,$M100,$C$80:$C100,$C100))</f>
        <v>1</v>
      </c>
      <c r="Q100" s="55">
        <f t="shared" si="8"/>
        <v>1</v>
      </c>
      <c r="R100" s="55">
        <f t="shared" si="9"/>
        <v>0</v>
      </c>
      <c r="S100" s="55">
        <f>IF($C100="",0,COUNTIFS(rl_key,$J100,rl_eff,"&lt;"&amp;$C100)+COUNTIFS($J$80:$J100,$J100,$C$80:$C100,$C100))</f>
        <v>1</v>
      </c>
    </row>
    <row r="101" spans="1:19" x14ac:dyDescent="0.25">
      <c r="A101" s="5" t="s">
        <v>63</v>
      </c>
      <c r="B101" s="5" t="s">
        <v>140</v>
      </c>
      <c r="C101" s="45">
        <v>46054</v>
      </c>
      <c r="D101" s="22">
        <v>0.05</v>
      </c>
      <c r="E101" s="5" t="s">
        <v>169</v>
      </c>
      <c r="F101" s="5" t="s">
        <v>170</v>
      </c>
      <c r="G101" s="43"/>
      <c r="H101" s="51"/>
      <c r="J101" s="49" t="str">
        <f t="shared" si="2"/>
        <v>BU-A|MO</v>
      </c>
      <c r="K101" s="52">
        <f t="shared" si="3"/>
        <v>0.05</v>
      </c>
      <c r="L101" s="53">
        <f t="shared" si="4"/>
        <v>4.8790164169432049E-2</v>
      </c>
      <c r="M101" s="54">
        <f t="shared" si="5"/>
        <v>46054</v>
      </c>
      <c r="N101" s="55">
        <f t="shared" si="6"/>
        <v>28</v>
      </c>
      <c r="O101" s="55">
        <f t="shared" si="7"/>
        <v>0</v>
      </c>
      <c r="P101" s="55">
        <f>IF($C101="",0,COUNTIFS($J$80:$J101,$J101,$M$80:$M101,$M101,$C$80:$C101,$C101))</f>
        <v>1</v>
      </c>
      <c r="Q101" s="55">
        <f t="shared" si="8"/>
        <v>1</v>
      </c>
      <c r="R101" s="55">
        <f t="shared" si="9"/>
        <v>0</v>
      </c>
      <c r="S101" s="55">
        <f>IF($C101="",0,COUNTIFS(rl_key,$J101,rl_eff,"&lt;"&amp;$C101)+COUNTIFS($J$80:$J101,$J101,$C$80:$C101,$C101))</f>
        <v>1</v>
      </c>
    </row>
    <row r="102" spans="1:19" x14ac:dyDescent="0.25">
      <c r="A102" s="5" t="s">
        <v>63</v>
      </c>
      <c r="B102" s="5" t="s">
        <v>140</v>
      </c>
      <c r="C102" s="45">
        <v>46478</v>
      </c>
      <c r="D102" s="22">
        <v>0.04</v>
      </c>
      <c r="E102" s="5" t="s">
        <v>172</v>
      </c>
      <c r="F102" s="5" t="s">
        <v>173</v>
      </c>
      <c r="G102" s="43">
        <v>1</v>
      </c>
      <c r="H102" s="51"/>
      <c r="J102" s="49" t="str">
        <f t="shared" si="2"/>
        <v>BU-A|MO</v>
      </c>
      <c r="K102" s="52">
        <f t="shared" si="3"/>
        <v>0.04</v>
      </c>
      <c r="L102" s="53">
        <f t="shared" si="4"/>
        <v>3.9220713153281329E-2</v>
      </c>
      <c r="M102" s="54">
        <f t="shared" si="5"/>
        <v>46478</v>
      </c>
      <c r="N102" s="55">
        <f t="shared" si="6"/>
        <v>30</v>
      </c>
      <c r="O102" s="55">
        <f t="shared" si="7"/>
        <v>0</v>
      </c>
      <c r="P102" s="55">
        <f>IF($C102="",0,COUNTIFS($J$80:$J102,$J102,$M$80:$M102,$M102,$C$80:$C102,$C102))</f>
        <v>1</v>
      </c>
      <c r="Q102" s="55">
        <f t="shared" si="8"/>
        <v>1</v>
      </c>
      <c r="R102" s="55">
        <f t="shared" si="9"/>
        <v>0</v>
      </c>
      <c r="S102" s="55">
        <f>IF($C102="",0,COUNTIFS(rl_key,$J102,rl_eff,"&lt;"&amp;$C102)+COUNTIFS($J$80:$J102,$J102,$C$80:$C102,$C102))</f>
        <v>2</v>
      </c>
    </row>
    <row r="103" spans="1:19" x14ac:dyDescent="0.25">
      <c r="A103" s="5" t="s">
        <v>63</v>
      </c>
      <c r="B103" s="5" t="s">
        <v>142</v>
      </c>
      <c r="C103" s="45">
        <v>46113</v>
      </c>
      <c r="D103" s="22">
        <v>0.02</v>
      </c>
      <c r="E103" s="5" t="s">
        <v>169</v>
      </c>
      <c r="F103" s="5" t="s">
        <v>170</v>
      </c>
      <c r="G103" s="43"/>
      <c r="H103" s="51"/>
      <c r="J103" s="49" t="str">
        <f t="shared" si="2"/>
        <v>BU-A|NJ</v>
      </c>
      <c r="K103" s="52">
        <f t="shared" si="3"/>
        <v>0.02</v>
      </c>
      <c r="L103" s="53">
        <f t="shared" si="4"/>
        <v>1.980262729617973E-2</v>
      </c>
      <c r="M103" s="54">
        <f t="shared" si="5"/>
        <v>46113</v>
      </c>
      <c r="N103" s="55">
        <f t="shared" si="6"/>
        <v>30</v>
      </c>
      <c r="O103" s="55">
        <f t="shared" si="7"/>
        <v>0</v>
      </c>
      <c r="P103" s="55">
        <f>IF($C103="",0,COUNTIFS($J$80:$J103,$J103,$M$80:$M103,$M103,$C$80:$C103,$C103))</f>
        <v>1</v>
      </c>
      <c r="Q103" s="55">
        <f t="shared" si="8"/>
        <v>1</v>
      </c>
      <c r="R103" s="55">
        <f t="shared" si="9"/>
        <v>0</v>
      </c>
      <c r="S103" s="55">
        <f>IF($C103="",0,COUNTIFS(rl_key,$J103,rl_eff,"&lt;"&amp;$C103)+COUNTIFS($J$80:$J103,$J103,$C$80:$C103,$C103))</f>
        <v>1</v>
      </c>
    </row>
    <row r="104" spans="1:19" x14ac:dyDescent="0.25">
      <c r="A104" s="5" t="s">
        <v>63</v>
      </c>
      <c r="B104" s="5" t="s">
        <v>143</v>
      </c>
      <c r="C104" s="45">
        <v>46143</v>
      </c>
      <c r="D104" s="22">
        <v>0.03</v>
      </c>
      <c r="E104" s="5" t="s">
        <v>169</v>
      </c>
      <c r="F104" s="5" t="s">
        <v>170</v>
      </c>
      <c r="G104" s="43"/>
      <c r="H104" s="51"/>
      <c r="J104" s="49" t="str">
        <f t="shared" si="2"/>
        <v>BU-A|NY</v>
      </c>
      <c r="K104" s="52">
        <f t="shared" si="3"/>
        <v>0.03</v>
      </c>
      <c r="L104" s="53">
        <f t="shared" si="4"/>
        <v>2.9558802241544429E-2</v>
      </c>
      <c r="M104" s="54">
        <f t="shared" si="5"/>
        <v>46143</v>
      </c>
      <c r="N104" s="55">
        <f t="shared" si="6"/>
        <v>31</v>
      </c>
      <c r="O104" s="55">
        <f t="shared" si="7"/>
        <v>0</v>
      </c>
      <c r="P104" s="55">
        <f>IF($C104="",0,COUNTIFS($J$80:$J104,$J104,$M$80:$M104,$M104,$C$80:$C104,$C104))</f>
        <v>1</v>
      </c>
      <c r="Q104" s="55">
        <f t="shared" si="8"/>
        <v>1</v>
      </c>
      <c r="R104" s="55">
        <f t="shared" si="9"/>
        <v>0</v>
      </c>
      <c r="S104" s="55">
        <f>IF($C104="",0,COUNTIFS(rl_key,$J104,rl_eff,"&lt;"&amp;$C104)+COUNTIFS($J$80:$J104,$J104,$C$80:$C104,$C104))</f>
        <v>1</v>
      </c>
    </row>
    <row r="105" spans="1:19" x14ac:dyDescent="0.25">
      <c r="A105" s="5" t="s">
        <v>63</v>
      </c>
      <c r="B105" s="5" t="s">
        <v>144</v>
      </c>
      <c r="C105" s="45">
        <v>46600</v>
      </c>
      <c r="D105" s="22">
        <v>0.04</v>
      </c>
      <c r="E105" s="5" t="s">
        <v>172</v>
      </c>
      <c r="F105" s="5" t="s">
        <v>173</v>
      </c>
      <c r="G105" s="43">
        <v>1</v>
      </c>
      <c r="H105" s="51"/>
      <c r="J105" s="49" t="str">
        <f t="shared" si="2"/>
        <v>BU-A|OH</v>
      </c>
      <c r="K105" s="52">
        <f t="shared" si="3"/>
        <v>0.04</v>
      </c>
      <c r="L105" s="53">
        <f t="shared" si="4"/>
        <v>3.9220713153281329E-2</v>
      </c>
      <c r="M105" s="54">
        <f t="shared" si="5"/>
        <v>46600</v>
      </c>
      <c r="N105" s="55">
        <f t="shared" si="6"/>
        <v>31</v>
      </c>
      <c r="O105" s="55">
        <f t="shared" si="7"/>
        <v>0</v>
      </c>
      <c r="P105" s="55">
        <f>IF($C105="",0,COUNTIFS($J$80:$J105,$J105,$M$80:$M105,$M105,$C$80:$C105,$C105))</f>
        <v>1</v>
      </c>
      <c r="Q105" s="55">
        <f t="shared" si="8"/>
        <v>1</v>
      </c>
      <c r="R105" s="55">
        <f t="shared" si="9"/>
        <v>0</v>
      </c>
      <c r="S105" s="55">
        <f>IF($C105="",0,COUNTIFS(rl_key,$J105,rl_eff,"&lt;"&amp;$C105)+COUNTIFS($J$80:$J105,$J105,$C$80:$C105,$C105))</f>
        <v>1</v>
      </c>
    </row>
    <row r="106" spans="1:19" x14ac:dyDescent="0.25">
      <c r="A106" s="5" t="s">
        <v>63</v>
      </c>
      <c r="B106" s="5" t="s">
        <v>145</v>
      </c>
      <c r="C106" s="45">
        <v>46204</v>
      </c>
      <c r="D106" s="22">
        <v>0.05</v>
      </c>
      <c r="E106" s="5" t="s">
        <v>169</v>
      </c>
      <c r="F106" s="5" t="s">
        <v>170</v>
      </c>
      <c r="G106" s="43"/>
      <c r="H106" s="51"/>
      <c r="J106" s="49" t="str">
        <f t="shared" si="2"/>
        <v>BU-A|PA</v>
      </c>
      <c r="K106" s="52">
        <f t="shared" si="3"/>
        <v>0.05</v>
      </c>
      <c r="L106" s="53">
        <f t="shared" si="4"/>
        <v>4.8790164169432049E-2</v>
      </c>
      <c r="M106" s="54">
        <f t="shared" si="5"/>
        <v>46204</v>
      </c>
      <c r="N106" s="55">
        <f t="shared" si="6"/>
        <v>31</v>
      </c>
      <c r="O106" s="55">
        <f t="shared" si="7"/>
        <v>0</v>
      </c>
      <c r="P106" s="55">
        <f>IF($C106="",0,COUNTIFS($J$80:$J106,$J106,$M$80:$M106,$M106,$C$80:$C106,$C106))</f>
        <v>1</v>
      </c>
      <c r="Q106" s="55">
        <f t="shared" si="8"/>
        <v>1</v>
      </c>
      <c r="R106" s="55">
        <f t="shared" si="9"/>
        <v>0</v>
      </c>
      <c r="S106" s="55">
        <f>IF($C106="",0,COUNTIFS(rl_key,$J106,rl_eff,"&lt;"&amp;$C106)+COUNTIFS($J$80:$J106,$J106,$C$80:$C106,$C106))</f>
        <v>1</v>
      </c>
    </row>
    <row r="107" spans="1:19" x14ac:dyDescent="0.25">
      <c r="A107" s="5" t="s">
        <v>63</v>
      </c>
      <c r="B107" s="5" t="s">
        <v>146</v>
      </c>
      <c r="C107" s="45">
        <v>46235</v>
      </c>
      <c r="D107" s="22">
        <v>0.06</v>
      </c>
      <c r="E107" s="5" t="s">
        <v>169</v>
      </c>
      <c r="F107" s="5" t="s">
        <v>170</v>
      </c>
      <c r="G107" s="43"/>
      <c r="H107" s="51"/>
      <c r="J107" s="49" t="str">
        <f t="shared" si="2"/>
        <v>BU-A|TN</v>
      </c>
      <c r="K107" s="52">
        <f t="shared" si="3"/>
        <v>0.06</v>
      </c>
      <c r="L107" s="53">
        <f t="shared" si="4"/>
        <v>5.8268908123975824E-2</v>
      </c>
      <c r="M107" s="54">
        <f t="shared" si="5"/>
        <v>46235</v>
      </c>
      <c r="N107" s="55">
        <f t="shared" si="6"/>
        <v>31</v>
      </c>
      <c r="O107" s="55">
        <f t="shared" si="7"/>
        <v>0</v>
      </c>
      <c r="P107" s="55">
        <f>IF($C107="",0,COUNTIFS($J$80:$J107,$J107,$M$80:$M107,$M107,$C$80:$C107,$C107))</f>
        <v>1</v>
      </c>
      <c r="Q107" s="55">
        <f t="shared" si="8"/>
        <v>1</v>
      </c>
      <c r="R107" s="55">
        <f t="shared" si="9"/>
        <v>0</v>
      </c>
      <c r="S107" s="55">
        <f>IF($C107="",0,COUNTIFS(rl_key,$J107,rl_eff,"&lt;"&amp;$C107)+COUNTIFS($J$80:$J107,$J107,$C$80:$C107,$C107))</f>
        <v>1</v>
      </c>
    </row>
    <row r="108" spans="1:19" x14ac:dyDescent="0.25">
      <c r="A108" s="5" t="s">
        <v>148</v>
      </c>
      <c r="B108" s="5" t="s">
        <v>66</v>
      </c>
      <c r="C108" s="45">
        <v>46296</v>
      </c>
      <c r="D108" s="22">
        <v>0.03</v>
      </c>
      <c r="E108" s="5" t="s">
        <v>169</v>
      </c>
      <c r="F108" s="5" t="s">
        <v>170</v>
      </c>
      <c r="G108" s="43"/>
      <c r="H108" s="51"/>
      <c r="J108" s="49" t="str">
        <f t="shared" si="2"/>
        <v>BU-B|AZ</v>
      </c>
      <c r="K108" s="52">
        <f t="shared" si="3"/>
        <v>0.03</v>
      </c>
      <c r="L108" s="53">
        <f t="shared" si="4"/>
        <v>2.9558802241544429E-2</v>
      </c>
      <c r="M108" s="54">
        <f t="shared" si="5"/>
        <v>46296</v>
      </c>
      <c r="N108" s="55">
        <f t="shared" si="6"/>
        <v>31</v>
      </c>
      <c r="O108" s="55">
        <f t="shared" si="7"/>
        <v>0</v>
      </c>
      <c r="P108" s="55">
        <f>IF($C108="",0,COUNTIFS($J$80:$J108,$J108,$M$80:$M108,$M108,$C$80:$C108,$C108))</f>
        <v>1</v>
      </c>
      <c r="Q108" s="55">
        <f t="shared" si="8"/>
        <v>1</v>
      </c>
      <c r="R108" s="55">
        <f t="shared" si="9"/>
        <v>0</v>
      </c>
      <c r="S108" s="55">
        <f>IF($C108="",0,COUNTIFS(rl_key,$J108,rl_eff,"&lt;"&amp;$C108)+COUNTIFS($J$80:$J108,$J108,$C$80:$C108,$C108))</f>
        <v>1</v>
      </c>
    </row>
    <row r="109" spans="1:19" x14ac:dyDescent="0.25">
      <c r="A109" s="5" t="s">
        <v>148</v>
      </c>
      <c r="B109" s="5" t="s">
        <v>66</v>
      </c>
      <c r="C109" s="45">
        <v>46419</v>
      </c>
      <c r="D109" s="22">
        <v>0.04</v>
      </c>
      <c r="E109" s="5" t="s">
        <v>172</v>
      </c>
      <c r="F109" s="5" t="s">
        <v>173</v>
      </c>
      <c r="G109" s="43">
        <v>1</v>
      </c>
      <c r="H109" s="51"/>
      <c r="J109" s="49" t="str">
        <f t="shared" si="2"/>
        <v>BU-B|AZ</v>
      </c>
      <c r="K109" s="52">
        <f t="shared" si="3"/>
        <v>0.04</v>
      </c>
      <c r="L109" s="53">
        <f t="shared" si="4"/>
        <v>3.9220713153281329E-2</v>
      </c>
      <c r="M109" s="54">
        <f t="shared" si="5"/>
        <v>46419</v>
      </c>
      <c r="N109" s="55">
        <f t="shared" si="6"/>
        <v>28</v>
      </c>
      <c r="O109" s="55">
        <f t="shared" si="7"/>
        <v>0</v>
      </c>
      <c r="P109" s="55">
        <f>IF($C109="",0,COUNTIFS($J$80:$J109,$J109,$M$80:$M109,$M109,$C$80:$C109,$C109))</f>
        <v>1</v>
      </c>
      <c r="Q109" s="55">
        <f t="shared" si="8"/>
        <v>1</v>
      </c>
      <c r="R109" s="55">
        <f t="shared" si="9"/>
        <v>0</v>
      </c>
      <c r="S109" s="55">
        <f>IF($C109="",0,COUNTIFS(rl_key,$J109,rl_eff,"&lt;"&amp;$C109)+COUNTIFS($J$80:$J109,$J109,$C$80:$C109,$C109))</f>
        <v>2</v>
      </c>
    </row>
    <row r="110" spans="1:19" x14ac:dyDescent="0.25">
      <c r="A110" s="5" t="s">
        <v>148</v>
      </c>
      <c r="B110" s="5" t="s">
        <v>128</v>
      </c>
      <c r="C110" s="45">
        <v>46327</v>
      </c>
      <c r="D110" s="22">
        <v>0.04</v>
      </c>
      <c r="E110" s="5" t="s">
        <v>169</v>
      </c>
      <c r="F110" s="5" t="s">
        <v>170</v>
      </c>
      <c r="G110" s="43"/>
      <c r="H110" s="51"/>
      <c r="J110" s="49" t="str">
        <f t="shared" si="2"/>
        <v>BU-B|CA</v>
      </c>
      <c r="K110" s="52">
        <f t="shared" si="3"/>
        <v>0.04</v>
      </c>
      <c r="L110" s="53">
        <f t="shared" si="4"/>
        <v>3.9220713153281329E-2</v>
      </c>
      <c r="M110" s="54">
        <f t="shared" si="5"/>
        <v>46327</v>
      </c>
      <c r="N110" s="55">
        <f t="shared" si="6"/>
        <v>30</v>
      </c>
      <c r="O110" s="55">
        <f t="shared" si="7"/>
        <v>0</v>
      </c>
      <c r="P110" s="55">
        <f>IF($C110="",0,COUNTIFS($J$80:$J110,$J110,$M$80:$M110,$M110,$C$80:$C110,$C110))</f>
        <v>1</v>
      </c>
      <c r="Q110" s="55">
        <f t="shared" si="8"/>
        <v>1</v>
      </c>
      <c r="R110" s="55">
        <f t="shared" si="9"/>
        <v>0</v>
      </c>
      <c r="S110" s="55">
        <f>IF($C110="",0,COUNTIFS(rl_key,$J110,rl_eff,"&lt;"&amp;$C110)+COUNTIFS($J$80:$J110,$J110,$C$80:$C110,$C110))</f>
        <v>1</v>
      </c>
    </row>
    <row r="111" spans="1:19" x14ac:dyDescent="0.25">
      <c r="A111" s="5" t="s">
        <v>148</v>
      </c>
      <c r="B111" s="5" t="s">
        <v>131</v>
      </c>
      <c r="C111" s="45">
        <v>46054</v>
      </c>
      <c r="D111" s="22">
        <v>0.02</v>
      </c>
      <c r="E111" s="5" t="s">
        <v>169</v>
      </c>
      <c r="F111" s="5" t="s">
        <v>170</v>
      </c>
      <c r="G111" s="43"/>
      <c r="H111" s="51"/>
      <c r="J111" s="49" t="str">
        <f t="shared" si="2"/>
        <v>BU-B|FL</v>
      </c>
      <c r="K111" s="52">
        <f t="shared" si="3"/>
        <v>0.02</v>
      </c>
      <c r="L111" s="53">
        <f t="shared" si="4"/>
        <v>1.980262729617973E-2</v>
      </c>
      <c r="M111" s="54">
        <f t="shared" si="5"/>
        <v>46054</v>
      </c>
      <c r="N111" s="55">
        <f t="shared" si="6"/>
        <v>28</v>
      </c>
      <c r="O111" s="55">
        <f t="shared" si="7"/>
        <v>0</v>
      </c>
      <c r="P111" s="55">
        <f>IF($C111="",0,COUNTIFS($J$80:$J111,$J111,$M$80:$M111,$M111,$C$80:$C111,$C111))</f>
        <v>1</v>
      </c>
      <c r="Q111" s="55">
        <f t="shared" si="8"/>
        <v>1</v>
      </c>
      <c r="R111" s="55">
        <f t="shared" si="9"/>
        <v>0</v>
      </c>
      <c r="S111" s="55">
        <f>IF($C111="",0,COUNTIFS(rl_key,$J111,rl_eff,"&lt;"&amp;$C111)+COUNTIFS($J$80:$J111,$J111,$C$80:$C111,$C111))</f>
        <v>1</v>
      </c>
    </row>
    <row r="112" spans="1:19" x14ac:dyDescent="0.25">
      <c r="A112" s="5" t="s">
        <v>148</v>
      </c>
      <c r="B112" s="5" t="s">
        <v>131</v>
      </c>
      <c r="C112" s="45">
        <v>46539</v>
      </c>
      <c r="D112" s="22">
        <v>0.04</v>
      </c>
      <c r="E112" s="5" t="s">
        <v>172</v>
      </c>
      <c r="F112" s="5" t="s">
        <v>173</v>
      </c>
      <c r="G112" s="43">
        <v>1</v>
      </c>
      <c r="H112" s="51"/>
      <c r="J112" s="49" t="str">
        <f t="shared" si="2"/>
        <v>BU-B|FL</v>
      </c>
      <c r="K112" s="52">
        <f t="shared" si="3"/>
        <v>0.04</v>
      </c>
      <c r="L112" s="53">
        <f t="shared" si="4"/>
        <v>3.9220713153281329E-2</v>
      </c>
      <c r="M112" s="54">
        <f t="shared" si="5"/>
        <v>46539</v>
      </c>
      <c r="N112" s="55">
        <f t="shared" si="6"/>
        <v>30</v>
      </c>
      <c r="O112" s="55">
        <f t="shared" si="7"/>
        <v>0</v>
      </c>
      <c r="P112" s="55">
        <f>IF($C112="",0,COUNTIFS($J$80:$J112,$J112,$M$80:$M112,$M112,$C$80:$C112,$C112))</f>
        <v>1</v>
      </c>
      <c r="Q112" s="55">
        <f t="shared" si="8"/>
        <v>1</v>
      </c>
      <c r="R112" s="55">
        <f t="shared" si="9"/>
        <v>0</v>
      </c>
      <c r="S112" s="55">
        <f>IF($C112="",0,COUNTIFS(rl_key,$J112,rl_eff,"&lt;"&amp;$C112)+COUNTIFS($J$80:$J112,$J112,$C$80:$C112,$C112))</f>
        <v>2</v>
      </c>
    </row>
    <row r="113" spans="1:19" x14ac:dyDescent="0.25">
      <c r="A113" s="5" t="s">
        <v>148</v>
      </c>
      <c r="B113" s="5" t="s">
        <v>133</v>
      </c>
      <c r="C113" s="45">
        <v>46113</v>
      </c>
      <c r="D113" s="22">
        <v>0.04</v>
      </c>
      <c r="E113" s="5" t="s">
        <v>169</v>
      </c>
      <c r="F113" s="5" t="s">
        <v>170</v>
      </c>
      <c r="G113" s="43"/>
      <c r="H113" s="51"/>
      <c r="J113" s="49" t="str">
        <f t="shared" si="2"/>
        <v>BU-B|IL</v>
      </c>
      <c r="K113" s="52">
        <f t="shared" si="3"/>
        <v>0.04</v>
      </c>
      <c r="L113" s="53">
        <f t="shared" si="4"/>
        <v>3.9220713153281329E-2</v>
      </c>
      <c r="M113" s="54">
        <f t="shared" si="5"/>
        <v>46113</v>
      </c>
      <c r="N113" s="55">
        <f t="shared" si="6"/>
        <v>30</v>
      </c>
      <c r="O113" s="55">
        <f t="shared" si="7"/>
        <v>0</v>
      </c>
      <c r="P113" s="55">
        <f>IF($C113="",0,COUNTIFS($J$80:$J113,$J113,$M$80:$M113,$M113,$C$80:$C113,$C113))</f>
        <v>1</v>
      </c>
      <c r="Q113" s="55">
        <f t="shared" si="8"/>
        <v>1</v>
      </c>
      <c r="R113" s="55">
        <f t="shared" si="9"/>
        <v>0</v>
      </c>
      <c r="S113" s="55">
        <f>IF($C113="",0,COUNTIFS(rl_key,$J113,rl_eff,"&lt;"&amp;$C113)+COUNTIFS($J$80:$J113,$J113,$C$80:$C113,$C113))</f>
        <v>1</v>
      </c>
    </row>
    <row r="114" spans="1:19" x14ac:dyDescent="0.25">
      <c r="A114" s="5" t="s">
        <v>148</v>
      </c>
      <c r="B114" s="5" t="s">
        <v>134</v>
      </c>
      <c r="C114" s="45">
        <v>46143</v>
      </c>
      <c r="D114" s="22">
        <v>0.05</v>
      </c>
      <c r="E114" s="5" t="s">
        <v>169</v>
      </c>
      <c r="F114" s="5" t="s">
        <v>170</v>
      </c>
      <c r="G114" s="43"/>
      <c r="H114" s="51"/>
      <c r="J114" s="49" t="str">
        <f t="shared" si="2"/>
        <v>BU-B|IN</v>
      </c>
      <c r="K114" s="52">
        <f t="shared" si="3"/>
        <v>0.05</v>
      </c>
      <c r="L114" s="53">
        <f t="shared" si="4"/>
        <v>4.8790164169432049E-2</v>
      </c>
      <c r="M114" s="54">
        <f t="shared" si="5"/>
        <v>46143</v>
      </c>
      <c r="N114" s="55">
        <f t="shared" si="6"/>
        <v>31</v>
      </c>
      <c r="O114" s="55">
        <f t="shared" si="7"/>
        <v>0</v>
      </c>
      <c r="P114" s="55">
        <f>IF($C114="",0,COUNTIFS($J$80:$J114,$J114,$M$80:$M114,$M114,$C$80:$C114,$C114))</f>
        <v>1</v>
      </c>
      <c r="Q114" s="55">
        <f t="shared" si="8"/>
        <v>1</v>
      </c>
      <c r="R114" s="55">
        <f t="shared" si="9"/>
        <v>0</v>
      </c>
      <c r="S114" s="55">
        <f>IF($C114="",0,COUNTIFS(rl_key,$J114,rl_eff,"&lt;"&amp;$C114)+COUNTIFS($J$80:$J114,$J114,$C$80:$C114,$C114))</f>
        <v>1</v>
      </c>
    </row>
    <row r="115" spans="1:19" x14ac:dyDescent="0.25">
      <c r="A115" s="5" t="s">
        <v>148</v>
      </c>
      <c r="B115" s="5" t="s">
        <v>135</v>
      </c>
      <c r="C115" s="45">
        <v>46661</v>
      </c>
      <c r="D115" s="22">
        <v>0.04</v>
      </c>
      <c r="E115" s="5" t="s">
        <v>172</v>
      </c>
      <c r="F115" s="5" t="s">
        <v>173</v>
      </c>
      <c r="G115" s="43">
        <v>1</v>
      </c>
      <c r="H115" s="51"/>
      <c r="J115" s="49" t="str">
        <f t="shared" si="2"/>
        <v>BU-B|IA</v>
      </c>
      <c r="K115" s="52">
        <f t="shared" si="3"/>
        <v>0.04</v>
      </c>
      <c r="L115" s="53">
        <f t="shared" si="4"/>
        <v>3.9220713153281329E-2</v>
      </c>
      <c r="M115" s="54">
        <f t="shared" si="5"/>
        <v>46661</v>
      </c>
      <c r="N115" s="55">
        <f t="shared" si="6"/>
        <v>31</v>
      </c>
      <c r="O115" s="55">
        <f t="shared" si="7"/>
        <v>0</v>
      </c>
      <c r="P115" s="55">
        <f>IF($C115="",0,COUNTIFS($J$80:$J115,$J115,$M$80:$M115,$M115,$C$80:$C115,$C115))</f>
        <v>1</v>
      </c>
      <c r="Q115" s="55">
        <f t="shared" si="8"/>
        <v>1</v>
      </c>
      <c r="R115" s="55">
        <f t="shared" si="9"/>
        <v>0</v>
      </c>
      <c r="S115" s="55">
        <f>IF($C115="",0,COUNTIFS(rl_key,$J115,rl_eff,"&lt;"&amp;$C115)+COUNTIFS($J$80:$J115,$J115,$C$80:$C115,$C115))</f>
        <v>1</v>
      </c>
    </row>
    <row r="116" spans="1:19" x14ac:dyDescent="0.25">
      <c r="A116" s="5" t="s">
        <v>148</v>
      </c>
      <c r="B116" s="5" t="s">
        <v>136</v>
      </c>
      <c r="C116" s="45">
        <v>46204</v>
      </c>
      <c r="D116" s="22">
        <v>0.02</v>
      </c>
      <c r="E116" s="5" t="s">
        <v>169</v>
      </c>
      <c r="F116" s="5" t="s">
        <v>170</v>
      </c>
      <c r="G116" s="43"/>
      <c r="H116" s="51"/>
      <c r="J116" s="49" t="str">
        <f t="shared" si="2"/>
        <v>BU-B|KY</v>
      </c>
      <c r="K116" s="52">
        <f t="shared" si="3"/>
        <v>0.02</v>
      </c>
      <c r="L116" s="53">
        <f t="shared" si="4"/>
        <v>1.980262729617973E-2</v>
      </c>
      <c r="M116" s="54">
        <f t="shared" si="5"/>
        <v>46204</v>
      </c>
      <c r="N116" s="55">
        <f t="shared" si="6"/>
        <v>31</v>
      </c>
      <c r="O116" s="55">
        <f t="shared" si="7"/>
        <v>0</v>
      </c>
      <c r="P116" s="55">
        <f>IF($C116="",0,COUNTIFS($J$80:$J116,$J116,$M$80:$M116,$M116,$C$80:$C116,$C116))</f>
        <v>1</v>
      </c>
      <c r="Q116" s="55">
        <f t="shared" si="8"/>
        <v>1</v>
      </c>
      <c r="R116" s="55">
        <f t="shared" si="9"/>
        <v>0</v>
      </c>
      <c r="S116" s="55">
        <f>IF($C116="",0,COUNTIFS(rl_key,$J116,rl_eff,"&lt;"&amp;$C116)+COUNTIFS($J$80:$J116,$J116,$C$80:$C116,$C116))</f>
        <v>1</v>
      </c>
    </row>
    <row r="117" spans="1:19" x14ac:dyDescent="0.25">
      <c r="A117" s="5" t="s">
        <v>148</v>
      </c>
      <c r="B117" s="5" t="s">
        <v>137</v>
      </c>
      <c r="C117" s="45">
        <v>46235</v>
      </c>
      <c r="D117" s="22">
        <v>0.03</v>
      </c>
      <c r="E117" s="5" t="s">
        <v>169</v>
      </c>
      <c r="F117" s="5" t="s">
        <v>170</v>
      </c>
      <c r="G117" s="43"/>
      <c r="H117" s="51"/>
      <c r="J117" s="49" t="str">
        <f t="shared" si="2"/>
        <v>BU-B|MD</v>
      </c>
      <c r="K117" s="52">
        <f t="shared" si="3"/>
        <v>0.03</v>
      </c>
      <c r="L117" s="53">
        <f t="shared" si="4"/>
        <v>2.9558802241544429E-2</v>
      </c>
      <c r="M117" s="54">
        <f t="shared" si="5"/>
        <v>46235</v>
      </c>
      <c r="N117" s="55">
        <f t="shared" si="6"/>
        <v>31</v>
      </c>
      <c r="O117" s="55">
        <f t="shared" si="7"/>
        <v>0</v>
      </c>
      <c r="P117" s="55">
        <f>IF($C117="",0,COUNTIFS($J$80:$J117,$J117,$M$80:$M117,$M117,$C$80:$C117,$C117))</f>
        <v>1</v>
      </c>
      <c r="Q117" s="55">
        <f t="shared" si="8"/>
        <v>1</v>
      </c>
      <c r="R117" s="55">
        <f t="shared" si="9"/>
        <v>0</v>
      </c>
      <c r="S117" s="55">
        <f>IF($C117="",0,COUNTIFS(rl_key,$J117,rl_eff,"&lt;"&amp;$C117)+COUNTIFS($J$80:$J117,$J117,$C$80:$C117,$C117))</f>
        <v>1</v>
      </c>
    </row>
    <row r="118" spans="1:19" x14ac:dyDescent="0.25">
      <c r="A118" s="5" t="s">
        <v>148</v>
      </c>
      <c r="B118" s="5" t="s">
        <v>139</v>
      </c>
      <c r="C118" s="45">
        <v>46296</v>
      </c>
      <c r="D118" s="22">
        <v>0.05</v>
      </c>
      <c r="E118" s="5" t="s">
        <v>169</v>
      </c>
      <c r="F118" s="5" t="s">
        <v>170</v>
      </c>
      <c r="G118" s="43"/>
      <c r="H118" s="51"/>
      <c r="J118" s="49" t="str">
        <f t="shared" si="2"/>
        <v>BU-B|MN</v>
      </c>
      <c r="K118" s="52">
        <f t="shared" si="3"/>
        <v>0.05</v>
      </c>
      <c r="L118" s="53">
        <f t="shared" si="4"/>
        <v>4.8790164169432049E-2</v>
      </c>
      <c r="M118" s="54">
        <f t="shared" si="5"/>
        <v>46296</v>
      </c>
      <c r="N118" s="55">
        <f t="shared" si="6"/>
        <v>31</v>
      </c>
      <c r="O118" s="55">
        <f t="shared" si="7"/>
        <v>0</v>
      </c>
      <c r="P118" s="55">
        <f>IF($C118="",0,COUNTIFS($J$80:$J118,$J118,$M$80:$M118,$M118,$C$80:$C118,$C118))</f>
        <v>1</v>
      </c>
      <c r="Q118" s="55">
        <f t="shared" si="8"/>
        <v>1</v>
      </c>
      <c r="R118" s="55">
        <f t="shared" si="9"/>
        <v>0</v>
      </c>
      <c r="S118" s="55">
        <f>IF($C118="",0,COUNTIFS(rl_key,$J118,rl_eff,"&lt;"&amp;$C118)+COUNTIFS($J$80:$J118,$J118,$C$80:$C118,$C118))</f>
        <v>1</v>
      </c>
    </row>
    <row r="119" spans="1:19" x14ac:dyDescent="0.25">
      <c r="A119" s="5" t="s">
        <v>148</v>
      </c>
      <c r="B119" s="5" t="s">
        <v>139</v>
      </c>
      <c r="C119" s="45">
        <v>46478</v>
      </c>
      <c r="D119" s="22">
        <v>0.04</v>
      </c>
      <c r="E119" s="5" t="s">
        <v>172</v>
      </c>
      <c r="F119" s="5" t="s">
        <v>173</v>
      </c>
      <c r="G119" s="43">
        <v>1</v>
      </c>
      <c r="H119" s="51"/>
      <c r="J119" s="49" t="str">
        <f t="shared" si="2"/>
        <v>BU-B|MN</v>
      </c>
      <c r="K119" s="52">
        <f t="shared" si="3"/>
        <v>0.04</v>
      </c>
      <c r="L119" s="53">
        <f t="shared" si="4"/>
        <v>3.9220713153281329E-2</v>
      </c>
      <c r="M119" s="54">
        <f t="shared" si="5"/>
        <v>46478</v>
      </c>
      <c r="N119" s="55">
        <f t="shared" si="6"/>
        <v>30</v>
      </c>
      <c r="O119" s="55">
        <f t="shared" si="7"/>
        <v>0</v>
      </c>
      <c r="P119" s="55">
        <f>IF($C119="",0,COUNTIFS($J$80:$J119,$J119,$M$80:$M119,$M119,$C$80:$C119,$C119))</f>
        <v>1</v>
      </c>
      <c r="Q119" s="55">
        <f t="shared" si="8"/>
        <v>1</v>
      </c>
      <c r="R119" s="55">
        <f t="shared" si="9"/>
        <v>0</v>
      </c>
      <c r="S119" s="55">
        <f>IF($C119="",0,COUNTIFS(rl_key,$J119,rl_eff,"&lt;"&amp;$C119)+COUNTIFS($J$80:$J119,$J119,$C$80:$C119,$C119))</f>
        <v>2</v>
      </c>
    </row>
    <row r="120" spans="1:19" x14ac:dyDescent="0.25">
      <c r="A120" s="5" t="s">
        <v>148</v>
      </c>
      <c r="B120" s="5" t="s">
        <v>140</v>
      </c>
      <c r="C120" s="45">
        <v>46327</v>
      </c>
      <c r="D120" s="22">
        <v>0.06</v>
      </c>
      <c r="E120" s="5" t="s">
        <v>169</v>
      </c>
      <c r="F120" s="5" t="s">
        <v>170</v>
      </c>
      <c r="G120" s="43"/>
      <c r="H120" s="51"/>
      <c r="J120" s="49" t="str">
        <f t="shared" si="2"/>
        <v>BU-B|MO</v>
      </c>
      <c r="K120" s="52">
        <f t="shared" si="3"/>
        <v>0.06</v>
      </c>
      <c r="L120" s="53">
        <f t="shared" si="4"/>
        <v>5.8268908123975824E-2</v>
      </c>
      <c r="M120" s="54">
        <f t="shared" si="5"/>
        <v>46327</v>
      </c>
      <c r="N120" s="55">
        <f t="shared" si="6"/>
        <v>30</v>
      </c>
      <c r="O120" s="55">
        <f t="shared" si="7"/>
        <v>0</v>
      </c>
      <c r="P120" s="55">
        <f>IF($C120="",0,COUNTIFS($J$80:$J120,$J120,$M$80:$M120,$M120,$C$80:$C120,$C120))</f>
        <v>1</v>
      </c>
      <c r="Q120" s="55">
        <f t="shared" si="8"/>
        <v>1</v>
      </c>
      <c r="R120" s="55">
        <f t="shared" si="9"/>
        <v>0</v>
      </c>
      <c r="S120" s="55">
        <f>IF($C120="",0,COUNTIFS(rl_key,$J120,rl_eff,"&lt;"&amp;$C120)+COUNTIFS($J$80:$J120,$J120,$C$80:$C120,$C120))</f>
        <v>1</v>
      </c>
    </row>
    <row r="121" spans="1:19" x14ac:dyDescent="0.25">
      <c r="A121" s="5" t="s">
        <v>148</v>
      </c>
      <c r="B121" s="5" t="s">
        <v>142</v>
      </c>
      <c r="C121" s="45">
        <v>46023</v>
      </c>
      <c r="D121" s="22">
        <v>0.03</v>
      </c>
      <c r="E121" s="5" t="s">
        <v>169</v>
      </c>
      <c r="F121" s="5" t="s">
        <v>170</v>
      </c>
      <c r="G121" s="43"/>
      <c r="H121" s="51"/>
      <c r="J121" s="49" t="str">
        <f t="shared" si="2"/>
        <v>BU-B|NJ</v>
      </c>
      <c r="K121" s="52">
        <f t="shared" si="3"/>
        <v>0.03</v>
      </c>
      <c r="L121" s="53">
        <f t="shared" si="4"/>
        <v>2.9558802241544429E-2</v>
      </c>
      <c r="M121" s="54">
        <f t="shared" si="5"/>
        <v>46023</v>
      </c>
      <c r="N121" s="55">
        <f t="shared" si="6"/>
        <v>31</v>
      </c>
      <c r="O121" s="55">
        <f t="shared" si="7"/>
        <v>0</v>
      </c>
      <c r="P121" s="55">
        <f>IF($C121="",0,COUNTIFS($J$80:$J121,$J121,$M$80:$M121,$M121,$C$80:$C121,$C121))</f>
        <v>1</v>
      </c>
      <c r="Q121" s="55">
        <f t="shared" si="8"/>
        <v>1</v>
      </c>
      <c r="R121" s="55">
        <f t="shared" si="9"/>
        <v>0</v>
      </c>
      <c r="S121" s="55">
        <f>IF($C121="",0,COUNTIFS(rl_key,$J121,rl_eff,"&lt;"&amp;$C121)+COUNTIFS($J$80:$J121,$J121,$C$80:$C121,$C121))</f>
        <v>1</v>
      </c>
    </row>
    <row r="122" spans="1:19" x14ac:dyDescent="0.25">
      <c r="A122" s="5" t="s">
        <v>148</v>
      </c>
      <c r="B122" s="5" t="s">
        <v>143</v>
      </c>
      <c r="C122" s="45">
        <v>46054</v>
      </c>
      <c r="D122" s="22">
        <v>0.04</v>
      </c>
      <c r="E122" s="5" t="s">
        <v>169</v>
      </c>
      <c r="F122" s="5" t="s">
        <v>170</v>
      </c>
      <c r="G122" s="43"/>
      <c r="H122" s="51"/>
      <c r="J122" s="49" t="str">
        <f t="shared" si="2"/>
        <v>BU-B|NY</v>
      </c>
      <c r="K122" s="52">
        <f t="shared" si="3"/>
        <v>0.04</v>
      </c>
      <c r="L122" s="53">
        <f t="shared" si="4"/>
        <v>3.9220713153281329E-2</v>
      </c>
      <c r="M122" s="54">
        <f t="shared" si="5"/>
        <v>46054</v>
      </c>
      <c r="N122" s="55">
        <f t="shared" si="6"/>
        <v>28</v>
      </c>
      <c r="O122" s="55">
        <f t="shared" si="7"/>
        <v>0</v>
      </c>
      <c r="P122" s="55">
        <f>IF($C122="",0,COUNTIFS($J$80:$J122,$J122,$M$80:$M122,$M122,$C$80:$C122,$C122))</f>
        <v>1</v>
      </c>
      <c r="Q122" s="55">
        <f t="shared" si="8"/>
        <v>1</v>
      </c>
      <c r="R122" s="55">
        <f t="shared" si="9"/>
        <v>0</v>
      </c>
      <c r="S122" s="55">
        <f>IF($C122="",0,COUNTIFS(rl_key,$J122,rl_eff,"&lt;"&amp;$C122)+COUNTIFS($J$80:$J122,$J122,$C$80:$C122,$C122))</f>
        <v>1</v>
      </c>
    </row>
    <row r="123" spans="1:19" x14ac:dyDescent="0.25">
      <c r="A123" s="5" t="s">
        <v>148</v>
      </c>
      <c r="B123" s="5" t="s">
        <v>143</v>
      </c>
      <c r="C123" s="45">
        <v>46600</v>
      </c>
      <c r="D123" s="22">
        <v>0.04</v>
      </c>
      <c r="E123" s="5" t="s">
        <v>172</v>
      </c>
      <c r="F123" s="5" t="s">
        <v>173</v>
      </c>
      <c r="G123" s="43">
        <v>1</v>
      </c>
      <c r="H123" s="51"/>
      <c r="J123" s="49" t="str">
        <f t="shared" si="2"/>
        <v>BU-B|NY</v>
      </c>
      <c r="K123" s="52">
        <f t="shared" si="3"/>
        <v>0.04</v>
      </c>
      <c r="L123" s="53">
        <f t="shared" si="4"/>
        <v>3.9220713153281329E-2</v>
      </c>
      <c r="M123" s="54">
        <f t="shared" si="5"/>
        <v>46600</v>
      </c>
      <c r="N123" s="55">
        <f t="shared" si="6"/>
        <v>31</v>
      </c>
      <c r="O123" s="55">
        <f t="shared" si="7"/>
        <v>0</v>
      </c>
      <c r="P123" s="55">
        <f>IF($C123="",0,COUNTIFS($J$80:$J123,$J123,$M$80:$M123,$M123,$C$80:$C123,$C123))</f>
        <v>1</v>
      </c>
      <c r="Q123" s="55">
        <f t="shared" si="8"/>
        <v>1</v>
      </c>
      <c r="R123" s="55">
        <f t="shared" si="9"/>
        <v>0</v>
      </c>
      <c r="S123" s="55">
        <f>IF($C123="",0,COUNTIFS(rl_key,$J123,rl_eff,"&lt;"&amp;$C123)+COUNTIFS($J$80:$J123,$J123,$C$80:$C123,$C123))</f>
        <v>2</v>
      </c>
    </row>
    <row r="124" spans="1:19" x14ac:dyDescent="0.25">
      <c r="A124" s="5" t="s">
        <v>148</v>
      </c>
      <c r="B124" s="5" t="s">
        <v>145</v>
      </c>
      <c r="C124" s="45">
        <v>46113</v>
      </c>
      <c r="D124" s="22">
        <v>0.06</v>
      </c>
      <c r="E124" s="5" t="s">
        <v>169</v>
      </c>
      <c r="F124" s="5" t="s">
        <v>170</v>
      </c>
      <c r="G124" s="43"/>
      <c r="H124" s="51"/>
      <c r="J124" s="49" t="str">
        <f t="shared" si="2"/>
        <v>BU-B|PA</v>
      </c>
      <c r="K124" s="52">
        <f t="shared" si="3"/>
        <v>0.06</v>
      </c>
      <c r="L124" s="53">
        <f t="shared" si="4"/>
        <v>5.8268908123975824E-2</v>
      </c>
      <c r="M124" s="54">
        <f t="shared" si="5"/>
        <v>46113</v>
      </c>
      <c r="N124" s="55">
        <f t="shared" si="6"/>
        <v>30</v>
      </c>
      <c r="O124" s="55">
        <f t="shared" si="7"/>
        <v>0</v>
      </c>
      <c r="P124" s="55">
        <f>IF($C124="",0,COUNTIFS($J$80:$J124,$J124,$M$80:$M124,$M124,$C$80:$C124,$C124))</f>
        <v>1</v>
      </c>
      <c r="Q124" s="55">
        <f t="shared" si="8"/>
        <v>1</v>
      </c>
      <c r="R124" s="55">
        <f t="shared" si="9"/>
        <v>0</v>
      </c>
      <c r="S124" s="55">
        <f>IF($C124="",0,COUNTIFS(rl_key,$J124,rl_eff,"&lt;"&amp;$C124)+COUNTIFS($J$80:$J124,$J124,$C$80:$C124,$C124))</f>
        <v>1</v>
      </c>
    </row>
    <row r="125" spans="1:19" x14ac:dyDescent="0.25">
      <c r="A125" s="5" t="s">
        <v>148</v>
      </c>
      <c r="B125" s="5" t="s">
        <v>146</v>
      </c>
      <c r="C125" s="45">
        <v>46143</v>
      </c>
      <c r="D125" s="22">
        <v>0.02</v>
      </c>
      <c r="E125" s="5" t="s">
        <v>169</v>
      </c>
      <c r="F125" s="5" t="s">
        <v>170</v>
      </c>
      <c r="G125" s="43"/>
      <c r="H125" s="51"/>
      <c r="J125" s="49" t="str">
        <f t="shared" si="2"/>
        <v>BU-B|TN</v>
      </c>
      <c r="K125" s="52">
        <f t="shared" si="3"/>
        <v>0.02</v>
      </c>
      <c r="L125" s="53">
        <f t="shared" si="4"/>
        <v>1.980262729617973E-2</v>
      </c>
      <c r="M125" s="54">
        <f t="shared" si="5"/>
        <v>46143</v>
      </c>
      <c r="N125" s="55">
        <f t="shared" si="6"/>
        <v>31</v>
      </c>
      <c r="O125" s="55">
        <f t="shared" si="7"/>
        <v>0</v>
      </c>
      <c r="P125" s="55">
        <f>IF($C125="",0,COUNTIFS($J$80:$J125,$J125,$M$80:$M125,$M125,$C$80:$C125,$C125))</f>
        <v>1</v>
      </c>
      <c r="Q125" s="55">
        <f t="shared" si="8"/>
        <v>1</v>
      </c>
      <c r="R125" s="55">
        <f t="shared" si="9"/>
        <v>0</v>
      </c>
      <c r="S125" s="55">
        <f>IF($C125="",0,COUNTIFS(rl_key,$J125,rl_eff,"&lt;"&amp;$C125)+COUNTIFS($J$80:$J125,$J125,$C$80:$C125,$C125))</f>
        <v>1</v>
      </c>
    </row>
    <row r="126" spans="1:19" x14ac:dyDescent="0.25">
      <c r="A126" s="5" t="s">
        <v>148</v>
      </c>
      <c r="B126" s="5" t="s">
        <v>147</v>
      </c>
      <c r="C126" s="45">
        <v>46419</v>
      </c>
      <c r="D126" s="22">
        <v>0.04</v>
      </c>
      <c r="E126" s="5" t="s">
        <v>172</v>
      </c>
      <c r="F126" s="5" t="s">
        <v>173</v>
      </c>
      <c r="G126" s="43">
        <v>1</v>
      </c>
      <c r="H126" s="51"/>
      <c r="J126" s="49" t="str">
        <f t="shared" si="2"/>
        <v>BU-B|TX</v>
      </c>
      <c r="K126" s="52">
        <f t="shared" si="3"/>
        <v>0.04</v>
      </c>
      <c r="L126" s="53">
        <f t="shared" si="4"/>
        <v>3.9220713153281329E-2</v>
      </c>
      <c r="M126" s="54">
        <f t="shared" si="5"/>
        <v>46419</v>
      </c>
      <c r="N126" s="55">
        <f t="shared" si="6"/>
        <v>28</v>
      </c>
      <c r="O126" s="55">
        <f t="shared" si="7"/>
        <v>0</v>
      </c>
      <c r="P126" s="55">
        <f>IF($C126="",0,COUNTIFS($J$80:$J126,$J126,$M$80:$M126,$M126,$C$80:$C126,$C126))</f>
        <v>1</v>
      </c>
      <c r="Q126" s="55">
        <f t="shared" si="8"/>
        <v>1</v>
      </c>
      <c r="R126" s="55">
        <f t="shared" si="9"/>
        <v>0</v>
      </c>
      <c r="S126" s="55">
        <f>IF($C126="",0,COUNTIFS(rl_key,$J126,rl_eff,"&lt;"&amp;$C126)+COUNTIFS($J$80:$J126,$J126,$C$80:$C126,$C126))</f>
        <v>1</v>
      </c>
    </row>
    <row r="127" spans="1:19" x14ac:dyDescent="0.25">
      <c r="A127" s="5" t="s">
        <v>151</v>
      </c>
      <c r="B127" s="5" t="s">
        <v>66</v>
      </c>
      <c r="C127" s="45">
        <v>46204</v>
      </c>
      <c r="D127" s="22">
        <v>0.04</v>
      </c>
      <c r="E127" s="5" t="s">
        <v>169</v>
      </c>
      <c r="F127" s="5" t="s">
        <v>170</v>
      </c>
      <c r="G127" s="43"/>
      <c r="H127" s="51"/>
      <c r="J127" s="49" t="str">
        <f t="shared" si="2"/>
        <v>BU-C|AZ</v>
      </c>
      <c r="K127" s="52">
        <f t="shared" si="3"/>
        <v>0.04</v>
      </c>
      <c r="L127" s="53">
        <f t="shared" si="4"/>
        <v>3.9220713153281329E-2</v>
      </c>
      <c r="M127" s="54">
        <f t="shared" si="5"/>
        <v>46204</v>
      </c>
      <c r="N127" s="55">
        <f t="shared" si="6"/>
        <v>31</v>
      </c>
      <c r="O127" s="55">
        <f t="shared" si="7"/>
        <v>0</v>
      </c>
      <c r="P127" s="55">
        <f>IF($C127="",0,COUNTIFS($J$80:$J127,$J127,$M$80:$M127,$M127,$C$80:$C127,$C127))</f>
        <v>1</v>
      </c>
      <c r="Q127" s="55">
        <f t="shared" si="8"/>
        <v>1</v>
      </c>
      <c r="R127" s="55">
        <f t="shared" si="9"/>
        <v>0</v>
      </c>
      <c r="S127" s="55">
        <f>IF($C127="",0,COUNTIFS(rl_key,$J127,rl_eff,"&lt;"&amp;$C127)+COUNTIFS($J$80:$J127,$J127,$C$80:$C127,$C127))</f>
        <v>1</v>
      </c>
    </row>
    <row r="128" spans="1:19" x14ac:dyDescent="0.25">
      <c r="A128" s="5" t="s">
        <v>151</v>
      </c>
      <c r="B128" s="5" t="s">
        <v>128</v>
      </c>
      <c r="C128" s="45">
        <v>46235</v>
      </c>
      <c r="D128" s="22">
        <v>0.05</v>
      </c>
      <c r="E128" s="5" t="s">
        <v>169</v>
      </c>
      <c r="F128" s="5" t="s">
        <v>170</v>
      </c>
      <c r="G128" s="43"/>
      <c r="H128" s="51"/>
      <c r="J128" s="49" t="str">
        <f t="shared" si="2"/>
        <v>BU-C|CA</v>
      </c>
      <c r="K128" s="52">
        <f t="shared" si="3"/>
        <v>0.05</v>
      </c>
      <c r="L128" s="53">
        <f t="shared" si="4"/>
        <v>4.8790164169432049E-2</v>
      </c>
      <c r="M128" s="54">
        <f t="shared" si="5"/>
        <v>46235</v>
      </c>
      <c r="N128" s="55">
        <f t="shared" si="6"/>
        <v>31</v>
      </c>
      <c r="O128" s="55">
        <f t="shared" si="7"/>
        <v>0</v>
      </c>
      <c r="P128" s="55">
        <f>IF($C128="",0,COUNTIFS($J$80:$J128,$J128,$M$80:$M128,$M128,$C$80:$C128,$C128))</f>
        <v>1</v>
      </c>
      <c r="Q128" s="55">
        <f t="shared" si="8"/>
        <v>1</v>
      </c>
      <c r="R128" s="55">
        <f t="shared" si="9"/>
        <v>0</v>
      </c>
      <c r="S128" s="55">
        <f>IF($C128="",0,COUNTIFS(rl_key,$J128,rl_eff,"&lt;"&amp;$C128)+COUNTIFS($J$80:$J128,$J128,$C$80:$C128,$C128))</f>
        <v>1</v>
      </c>
    </row>
    <row r="129" spans="1:19" x14ac:dyDescent="0.25">
      <c r="A129" s="5" t="s">
        <v>151</v>
      </c>
      <c r="B129" s="5" t="s">
        <v>130</v>
      </c>
      <c r="C129" s="45">
        <v>46296</v>
      </c>
      <c r="D129" s="22">
        <v>0.02</v>
      </c>
      <c r="E129" s="5" t="s">
        <v>169</v>
      </c>
      <c r="F129" s="5" t="s">
        <v>170</v>
      </c>
      <c r="G129" s="43"/>
      <c r="H129" s="51"/>
      <c r="J129" s="49" t="str">
        <f t="shared" si="2"/>
        <v>BU-C|CT</v>
      </c>
      <c r="K129" s="52">
        <f t="shared" si="3"/>
        <v>0.02</v>
      </c>
      <c r="L129" s="53">
        <f t="shared" si="4"/>
        <v>1.980262729617973E-2</v>
      </c>
      <c r="M129" s="54">
        <f t="shared" si="5"/>
        <v>46296</v>
      </c>
      <c r="N129" s="55">
        <f t="shared" si="6"/>
        <v>31</v>
      </c>
      <c r="O129" s="55">
        <f t="shared" si="7"/>
        <v>0</v>
      </c>
      <c r="P129" s="55">
        <f>IF($C129="",0,COUNTIFS($J$80:$J129,$J129,$M$80:$M129,$M129,$C$80:$C129,$C129))</f>
        <v>1</v>
      </c>
      <c r="Q129" s="55">
        <f t="shared" si="8"/>
        <v>1</v>
      </c>
      <c r="R129" s="55">
        <f t="shared" si="9"/>
        <v>0</v>
      </c>
      <c r="S129" s="55">
        <f>IF($C129="",0,COUNTIFS(rl_key,$J129,rl_eff,"&lt;"&amp;$C129)+COUNTIFS($J$80:$J129,$J129,$C$80:$C129,$C129))</f>
        <v>1</v>
      </c>
    </row>
    <row r="130" spans="1:19" x14ac:dyDescent="0.25">
      <c r="A130" s="5" t="s">
        <v>151</v>
      </c>
      <c r="B130" s="5" t="s">
        <v>130</v>
      </c>
      <c r="C130" s="45">
        <v>46539</v>
      </c>
      <c r="D130" s="22">
        <v>0.04</v>
      </c>
      <c r="E130" s="5" t="s">
        <v>172</v>
      </c>
      <c r="F130" s="5" t="s">
        <v>173</v>
      </c>
      <c r="G130" s="43">
        <v>1</v>
      </c>
      <c r="H130" s="51"/>
      <c r="J130" s="49" t="str">
        <f t="shared" si="2"/>
        <v>BU-C|CT</v>
      </c>
      <c r="K130" s="52">
        <f t="shared" si="3"/>
        <v>0.04</v>
      </c>
      <c r="L130" s="53">
        <f t="shared" si="4"/>
        <v>3.9220713153281329E-2</v>
      </c>
      <c r="M130" s="54">
        <f t="shared" si="5"/>
        <v>46539</v>
      </c>
      <c r="N130" s="55">
        <f t="shared" si="6"/>
        <v>30</v>
      </c>
      <c r="O130" s="55">
        <f t="shared" si="7"/>
        <v>0</v>
      </c>
      <c r="P130" s="55">
        <f>IF($C130="",0,COUNTIFS($J$80:$J130,$J130,$M$80:$M130,$M130,$C$80:$C130,$C130))</f>
        <v>1</v>
      </c>
      <c r="Q130" s="55">
        <f t="shared" si="8"/>
        <v>1</v>
      </c>
      <c r="R130" s="55">
        <f t="shared" si="9"/>
        <v>0</v>
      </c>
      <c r="S130" s="55">
        <f>IF($C130="",0,COUNTIFS(rl_key,$J130,rl_eff,"&lt;"&amp;$C130)+COUNTIFS($J$80:$J130,$J130,$C$80:$C130,$C130))</f>
        <v>2</v>
      </c>
    </row>
    <row r="131" spans="1:19" x14ac:dyDescent="0.25">
      <c r="A131" s="5" t="s">
        <v>151</v>
      </c>
      <c r="B131" s="5" t="s">
        <v>134</v>
      </c>
      <c r="C131" s="45">
        <v>46054</v>
      </c>
      <c r="D131" s="22">
        <v>0.06</v>
      </c>
      <c r="E131" s="5" t="s">
        <v>169</v>
      </c>
      <c r="F131" s="5" t="s">
        <v>170</v>
      </c>
      <c r="G131" s="43"/>
      <c r="H131" s="51"/>
      <c r="J131" s="49" t="str">
        <f t="shared" si="2"/>
        <v>BU-C|IN</v>
      </c>
      <c r="K131" s="52">
        <f t="shared" si="3"/>
        <v>0.06</v>
      </c>
      <c r="L131" s="53">
        <f t="shared" si="4"/>
        <v>5.8268908123975824E-2</v>
      </c>
      <c r="M131" s="54">
        <f t="shared" si="5"/>
        <v>46054</v>
      </c>
      <c r="N131" s="55">
        <f t="shared" si="6"/>
        <v>28</v>
      </c>
      <c r="O131" s="55">
        <f t="shared" si="7"/>
        <v>0</v>
      </c>
      <c r="P131" s="55">
        <f>IF($C131="",0,COUNTIFS($J$80:$J131,$J131,$M$80:$M131,$M131,$C$80:$C131,$C131))</f>
        <v>1</v>
      </c>
      <c r="Q131" s="55">
        <f t="shared" si="8"/>
        <v>1</v>
      </c>
      <c r="R131" s="55">
        <f t="shared" si="9"/>
        <v>0</v>
      </c>
      <c r="S131" s="55">
        <f>IF($C131="",0,COUNTIFS(rl_key,$J131,rl_eff,"&lt;"&amp;$C131)+COUNTIFS($J$80:$J131,$J131,$C$80:$C131,$C131))</f>
        <v>1</v>
      </c>
    </row>
    <row r="132" spans="1:19" x14ac:dyDescent="0.25">
      <c r="A132" s="5" t="s">
        <v>151</v>
      </c>
      <c r="B132" s="5" t="s">
        <v>134</v>
      </c>
      <c r="C132" s="45">
        <v>46661</v>
      </c>
      <c r="D132" s="22">
        <v>0.04</v>
      </c>
      <c r="E132" s="5" t="s">
        <v>172</v>
      </c>
      <c r="F132" s="5" t="s">
        <v>173</v>
      </c>
      <c r="G132" s="43">
        <v>1</v>
      </c>
      <c r="H132" s="51"/>
      <c r="J132" s="49" t="str">
        <f t="shared" si="2"/>
        <v>BU-C|IN</v>
      </c>
      <c r="K132" s="52">
        <f t="shared" si="3"/>
        <v>0.04</v>
      </c>
      <c r="L132" s="53">
        <f t="shared" si="4"/>
        <v>3.9220713153281329E-2</v>
      </c>
      <c r="M132" s="54">
        <f t="shared" si="5"/>
        <v>46661</v>
      </c>
      <c r="N132" s="55">
        <f t="shared" si="6"/>
        <v>31</v>
      </c>
      <c r="O132" s="55">
        <f t="shared" si="7"/>
        <v>0</v>
      </c>
      <c r="P132" s="55">
        <f>IF($C132="",0,COUNTIFS($J$80:$J132,$J132,$M$80:$M132,$M132,$C$80:$C132,$C132))</f>
        <v>1</v>
      </c>
      <c r="Q132" s="55">
        <f t="shared" si="8"/>
        <v>1</v>
      </c>
      <c r="R132" s="55">
        <f t="shared" si="9"/>
        <v>0</v>
      </c>
      <c r="S132" s="55">
        <f>IF($C132="",0,COUNTIFS(rl_key,$J132,rl_eff,"&lt;"&amp;$C132)+COUNTIFS($J$80:$J132,$J132,$C$80:$C132,$C132))</f>
        <v>2</v>
      </c>
    </row>
    <row r="133" spans="1:19" x14ac:dyDescent="0.25">
      <c r="A133" s="5" t="s">
        <v>151</v>
      </c>
      <c r="B133" s="5" t="s">
        <v>136</v>
      </c>
      <c r="C133" s="45">
        <v>46113</v>
      </c>
      <c r="D133" s="22">
        <v>0.03</v>
      </c>
      <c r="E133" s="5" t="s">
        <v>169</v>
      </c>
      <c r="F133" s="5" t="s">
        <v>170</v>
      </c>
      <c r="G133" s="43"/>
      <c r="H133" s="51"/>
      <c r="J133" s="49" t="str">
        <f t="shared" si="2"/>
        <v>BU-C|KY</v>
      </c>
      <c r="K133" s="52">
        <f t="shared" si="3"/>
        <v>0.03</v>
      </c>
      <c r="L133" s="53">
        <f t="shared" si="4"/>
        <v>2.9558802241544429E-2</v>
      </c>
      <c r="M133" s="54">
        <f t="shared" si="5"/>
        <v>46113</v>
      </c>
      <c r="N133" s="55">
        <f t="shared" si="6"/>
        <v>30</v>
      </c>
      <c r="O133" s="55">
        <f t="shared" si="7"/>
        <v>0</v>
      </c>
      <c r="P133" s="55">
        <f>IF($C133="",0,COUNTIFS($J$80:$J133,$J133,$M$80:$M133,$M133,$C$80:$C133,$C133))</f>
        <v>1</v>
      </c>
      <c r="Q133" s="55">
        <f t="shared" si="8"/>
        <v>1</v>
      </c>
      <c r="R133" s="55">
        <f t="shared" si="9"/>
        <v>0</v>
      </c>
      <c r="S133" s="55">
        <f>IF($C133="",0,COUNTIFS(rl_key,$J133,rl_eff,"&lt;"&amp;$C133)+COUNTIFS($J$80:$J133,$J133,$C$80:$C133,$C133))</f>
        <v>1</v>
      </c>
    </row>
    <row r="134" spans="1:19" x14ac:dyDescent="0.25">
      <c r="A134" s="5" t="s">
        <v>151</v>
      </c>
      <c r="B134" s="5" t="s">
        <v>137</v>
      </c>
      <c r="C134" s="45">
        <v>46143</v>
      </c>
      <c r="D134" s="22">
        <v>0.04</v>
      </c>
      <c r="E134" s="5" t="s">
        <v>169</v>
      </c>
      <c r="F134" s="5" t="s">
        <v>170</v>
      </c>
      <c r="G134" s="43"/>
      <c r="H134" s="51"/>
      <c r="J134" s="49" t="str">
        <f t="shared" si="2"/>
        <v>BU-C|MD</v>
      </c>
      <c r="K134" s="52">
        <f t="shared" si="3"/>
        <v>0.04</v>
      </c>
      <c r="L134" s="53">
        <f t="shared" si="4"/>
        <v>3.9220713153281329E-2</v>
      </c>
      <c r="M134" s="54">
        <f t="shared" si="5"/>
        <v>46143</v>
      </c>
      <c r="N134" s="55">
        <f t="shared" si="6"/>
        <v>31</v>
      </c>
      <c r="O134" s="55">
        <f t="shared" si="7"/>
        <v>0</v>
      </c>
      <c r="P134" s="55">
        <f>IF($C134="",0,COUNTIFS($J$80:$J134,$J134,$M$80:$M134,$M134,$C$80:$C134,$C134))</f>
        <v>1</v>
      </c>
      <c r="Q134" s="55">
        <f t="shared" si="8"/>
        <v>1</v>
      </c>
      <c r="R134" s="55">
        <f t="shared" si="9"/>
        <v>0</v>
      </c>
      <c r="S134" s="55">
        <f>IF($C134="",0,COUNTIFS(rl_key,$J134,rl_eff,"&lt;"&amp;$C134)+COUNTIFS($J$80:$J134,$J134,$C$80:$C134,$C134))</f>
        <v>1</v>
      </c>
    </row>
    <row r="135" spans="1:19" x14ac:dyDescent="0.25">
      <c r="A135" s="5" t="s">
        <v>151</v>
      </c>
      <c r="B135" s="5" t="s">
        <v>138</v>
      </c>
      <c r="C135" s="45">
        <v>46478</v>
      </c>
      <c r="D135" s="22">
        <v>0.04</v>
      </c>
      <c r="E135" s="5" t="s">
        <v>172</v>
      </c>
      <c r="F135" s="5" t="s">
        <v>173</v>
      </c>
      <c r="G135" s="43">
        <v>1</v>
      </c>
      <c r="H135" s="51"/>
      <c r="J135" s="49" t="str">
        <f t="shared" si="2"/>
        <v>BU-C|MI</v>
      </c>
      <c r="K135" s="52">
        <f t="shared" si="3"/>
        <v>0.04</v>
      </c>
      <c r="L135" s="53">
        <f t="shared" si="4"/>
        <v>3.9220713153281329E-2</v>
      </c>
      <c r="M135" s="54">
        <f t="shared" si="5"/>
        <v>46478</v>
      </c>
      <c r="N135" s="55">
        <f t="shared" si="6"/>
        <v>30</v>
      </c>
      <c r="O135" s="55">
        <f t="shared" si="7"/>
        <v>0</v>
      </c>
      <c r="P135" s="55">
        <f>IF($C135="",0,COUNTIFS($J$80:$J135,$J135,$M$80:$M135,$M135,$C$80:$C135,$C135))</f>
        <v>1</v>
      </c>
      <c r="Q135" s="55">
        <f t="shared" si="8"/>
        <v>1</v>
      </c>
      <c r="R135" s="55">
        <f t="shared" si="9"/>
        <v>0</v>
      </c>
      <c r="S135" s="55">
        <f>IF($C135="",0,COUNTIFS(rl_key,$J135,rl_eff,"&lt;"&amp;$C135)+COUNTIFS($J$80:$J135,$J135,$C$80:$C135,$C135))</f>
        <v>1</v>
      </c>
    </row>
    <row r="136" spans="1:19" x14ac:dyDescent="0.25">
      <c r="A136" s="5" t="s">
        <v>151</v>
      </c>
      <c r="B136" s="5" t="s">
        <v>139</v>
      </c>
      <c r="C136" s="45">
        <v>46204</v>
      </c>
      <c r="D136" s="22">
        <v>0.06</v>
      </c>
      <c r="E136" s="5" t="s">
        <v>169</v>
      </c>
      <c r="F136" s="5" t="s">
        <v>170</v>
      </c>
      <c r="G136" s="43"/>
      <c r="H136" s="51"/>
      <c r="J136" s="49" t="str">
        <f t="shared" si="2"/>
        <v>BU-C|MN</v>
      </c>
      <c r="K136" s="52">
        <f t="shared" si="3"/>
        <v>0.06</v>
      </c>
      <c r="L136" s="53">
        <f t="shared" si="4"/>
        <v>5.8268908123975824E-2</v>
      </c>
      <c r="M136" s="54">
        <f t="shared" si="5"/>
        <v>46204</v>
      </c>
      <c r="N136" s="55">
        <f t="shared" si="6"/>
        <v>31</v>
      </c>
      <c r="O136" s="55">
        <f t="shared" si="7"/>
        <v>0</v>
      </c>
      <c r="P136" s="55">
        <f>IF($C136="",0,COUNTIFS($J$80:$J136,$J136,$M$80:$M136,$M136,$C$80:$C136,$C136))</f>
        <v>1</v>
      </c>
      <c r="Q136" s="55">
        <f t="shared" si="8"/>
        <v>1</v>
      </c>
      <c r="R136" s="55">
        <f t="shared" si="9"/>
        <v>0</v>
      </c>
      <c r="S136" s="55">
        <f>IF($C136="",0,COUNTIFS(rl_key,$J136,rl_eff,"&lt;"&amp;$C136)+COUNTIFS($J$80:$J136,$J136,$C$80:$C136,$C136))</f>
        <v>1</v>
      </c>
    </row>
    <row r="137" spans="1:19" x14ac:dyDescent="0.25">
      <c r="A137" s="5" t="s">
        <v>151</v>
      </c>
      <c r="B137" s="5" t="s">
        <v>140</v>
      </c>
      <c r="C137" s="45">
        <v>46235</v>
      </c>
      <c r="D137" s="22">
        <v>0.02</v>
      </c>
      <c r="E137" s="5" t="s">
        <v>169</v>
      </c>
      <c r="F137" s="5" t="s">
        <v>170</v>
      </c>
      <c r="G137" s="43"/>
      <c r="H137" s="51"/>
      <c r="J137" s="49" t="str">
        <f t="shared" si="2"/>
        <v>BU-C|MO</v>
      </c>
      <c r="K137" s="52">
        <f t="shared" si="3"/>
        <v>0.02</v>
      </c>
      <c r="L137" s="53">
        <f t="shared" si="4"/>
        <v>1.980262729617973E-2</v>
      </c>
      <c r="M137" s="54">
        <f t="shared" si="5"/>
        <v>46235</v>
      </c>
      <c r="N137" s="55">
        <f t="shared" si="6"/>
        <v>31</v>
      </c>
      <c r="O137" s="55">
        <f t="shared" si="7"/>
        <v>0</v>
      </c>
      <c r="P137" s="55">
        <f>IF($C137="",0,COUNTIFS($J$80:$J137,$J137,$M$80:$M137,$M137,$C$80:$C137,$C137))</f>
        <v>1</v>
      </c>
      <c r="Q137" s="55">
        <f t="shared" si="8"/>
        <v>1</v>
      </c>
      <c r="R137" s="55">
        <f t="shared" si="9"/>
        <v>0</v>
      </c>
      <c r="S137" s="55">
        <f>IF($C137="",0,COUNTIFS(rl_key,$J137,rl_eff,"&lt;"&amp;$C137)+COUNTIFS($J$80:$J137,$J137,$C$80:$C137,$C137))</f>
        <v>1</v>
      </c>
    </row>
    <row r="138" spans="1:19" x14ac:dyDescent="0.25">
      <c r="A138" s="5" t="s">
        <v>151</v>
      </c>
      <c r="B138" s="5" t="s">
        <v>142</v>
      </c>
      <c r="C138" s="45">
        <v>46296</v>
      </c>
      <c r="D138" s="22">
        <v>0.04</v>
      </c>
      <c r="E138" s="5" t="s">
        <v>169</v>
      </c>
      <c r="F138" s="5" t="s">
        <v>170</v>
      </c>
      <c r="G138" s="43"/>
      <c r="H138" s="51"/>
      <c r="J138" s="49" t="str">
        <f t="shared" si="2"/>
        <v>BU-C|NJ</v>
      </c>
      <c r="K138" s="52">
        <f t="shared" si="3"/>
        <v>0.04</v>
      </c>
      <c r="L138" s="53">
        <f t="shared" si="4"/>
        <v>3.9220713153281329E-2</v>
      </c>
      <c r="M138" s="54">
        <f t="shared" si="5"/>
        <v>46296</v>
      </c>
      <c r="N138" s="55">
        <f t="shared" si="6"/>
        <v>31</v>
      </c>
      <c r="O138" s="55">
        <f t="shared" si="7"/>
        <v>0</v>
      </c>
      <c r="P138" s="55">
        <f>IF($C138="",0,COUNTIFS($J$80:$J138,$J138,$M$80:$M138,$M138,$C$80:$C138,$C138))</f>
        <v>1</v>
      </c>
      <c r="Q138" s="55">
        <f t="shared" si="8"/>
        <v>1</v>
      </c>
      <c r="R138" s="55">
        <f t="shared" si="9"/>
        <v>0</v>
      </c>
      <c r="S138" s="55">
        <f>IF($C138="",0,COUNTIFS(rl_key,$J138,rl_eff,"&lt;"&amp;$C138)+COUNTIFS($J$80:$J138,$J138,$C$80:$C138,$C138))</f>
        <v>1</v>
      </c>
    </row>
    <row r="139" spans="1:19" x14ac:dyDescent="0.25">
      <c r="A139" s="5" t="s">
        <v>151</v>
      </c>
      <c r="B139" s="5" t="s">
        <v>142</v>
      </c>
      <c r="C139" s="45">
        <v>46600</v>
      </c>
      <c r="D139" s="22">
        <v>0.04</v>
      </c>
      <c r="E139" s="5" t="s">
        <v>172</v>
      </c>
      <c r="F139" s="5" t="s">
        <v>173</v>
      </c>
      <c r="G139" s="43">
        <v>1</v>
      </c>
      <c r="H139" s="51"/>
      <c r="J139" s="49" t="str">
        <f t="shared" si="2"/>
        <v>BU-C|NJ</v>
      </c>
      <c r="K139" s="52">
        <f t="shared" si="3"/>
        <v>0.04</v>
      </c>
      <c r="L139" s="53">
        <f t="shared" si="4"/>
        <v>3.9220713153281329E-2</v>
      </c>
      <c r="M139" s="54">
        <f t="shared" si="5"/>
        <v>46600</v>
      </c>
      <c r="N139" s="55">
        <f t="shared" si="6"/>
        <v>31</v>
      </c>
      <c r="O139" s="55">
        <f t="shared" si="7"/>
        <v>0</v>
      </c>
      <c r="P139" s="55">
        <f>IF($C139="",0,COUNTIFS($J$80:$J139,$J139,$M$80:$M139,$M139,$C$80:$C139,$C139))</f>
        <v>1</v>
      </c>
      <c r="Q139" s="55">
        <f t="shared" si="8"/>
        <v>1</v>
      </c>
      <c r="R139" s="55">
        <f t="shared" si="9"/>
        <v>0</v>
      </c>
      <c r="S139" s="55">
        <f>IF($C139="",0,COUNTIFS(rl_key,$J139,rl_eff,"&lt;"&amp;$C139)+COUNTIFS($J$80:$J139,$J139,$C$80:$C139,$C139))</f>
        <v>2</v>
      </c>
    </row>
    <row r="140" spans="1:19" x14ac:dyDescent="0.25">
      <c r="A140" s="5" t="s">
        <v>151</v>
      </c>
      <c r="B140" s="5" t="s">
        <v>143</v>
      </c>
      <c r="C140" s="45">
        <v>46327</v>
      </c>
      <c r="D140" s="22">
        <v>0.05</v>
      </c>
      <c r="E140" s="5" t="s">
        <v>169</v>
      </c>
      <c r="F140" s="5" t="s">
        <v>170</v>
      </c>
      <c r="G140" s="43"/>
      <c r="H140" s="51"/>
      <c r="J140" s="49" t="str">
        <f t="shared" si="2"/>
        <v>BU-C|NY</v>
      </c>
      <c r="K140" s="52">
        <f t="shared" si="3"/>
        <v>0.05</v>
      </c>
      <c r="L140" s="53">
        <f t="shared" si="4"/>
        <v>4.8790164169432049E-2</v>
      </c>
      <c r="M140" s="54">
        <f t="shared" si="5"/>
        <v>46327</v>
      </c>
      <c r="N140" s="55">
        <f t="shared" si="6"/>
        <v>30</v>
      </c>
      <c r="O140" s="55">
        <f t="shared" si="7"/>
        <v>0</v>
      </c>
      <c r="P140" s="55">
        <f>IF($C140="",0,COUNTIFS($J$80:$J140,$J140,$M$80:$M140,$M140,$C$80:$C140,$C140))</f>
        <v>1</v>
      </c>
      <c r="Q140" s="55">
        <f t="shared" si="8"/>
        <v>1</v>
      </c>
      <c r="R140" s="55">
        <f t="shared" si="9"/>
        <v>0</v>
      </c>
      <c r="S140" s="55">
        <f>IF($C140="",0,COUNTIFS(rl_key,$J140,rl_eff,"&lt;"&amp;$C140)+COUNTIFS($J$80:$J140,$J140,$C$80:$C140,$C140))</f>
        <v>1</v>
      </c>
    </row>
    <row r="141" spans="1:19" x14ac:dyDescent="0.25">
      <c r="A141" s="5" t="s">
        <v>151</v>
      </c>
      <c r="B141" s="5" t="s">
        <v>145</v>
      </c>
      <c r="C141" s="45">
        <v>46023</v>
      </c>
      <c r="D141" s="22">
        <v>0.02</v>
      </c>
      <c r="E141" s="5" t="s">
        <v>169</v>
      </c>
      <c r="F141" s="5" t="s">
        <v>170</v>
      </c>
      <c r="G141" s="43"/>
      <c r="H141" s="51"/>
      <c r="J141" s="49" t="str">
        <f t="shared" si="2"/>
        <v>BU-C|PA</v>
      </c>
      <c r="K141" s="52">
        <f t="shared" si="3"/>
        <v>0.02</v>
      </c>
      <c r="L141" s="53">
        <f t="shared" si="4"/>
        <v>1.980262729617973E-2</v>
      </c>
      <c r="M141" s="54">
        <f t="shared" si="5"/>
        <v>46023</v>
      </c>
      <c r="N141" s="55">
        <f t="shared" si="6"/>
        <v>31</v>
      </c>
      <c r="O141" s="55">
        <f t="shared" si="7"/>
        <v>0</v>
      </c>
      <c r="P141" s="55">
        <f>IF($C141="",0,COUNTIFS($J$80:$J141,$J141,$M$80:$M141,$M141,$C$80:$C141,$C141))</f>
        <v>1</v>
      </c>
      <c r="Q141" s="55">
        <f t="shared" si="8"/>
        <v>1</v>
      </c>
      <c r="R141" s="55">
        <f t="shared" si="9"/>
        <v>0</v>
      </c>
      <c r="S141" s="55">
        <f>IF($C141="",0,COUNTIFS(rl_key,$J141,rl_eff,"&lt;"&amp;$C141)+COUNTIFS($J$80:$J141,$J141,$C$80:$C141,$C141))</f>
        <v>1</v>
      </c>
    </row>
    <row r="142" spans="1:19" x14ac:dyDescent="0.25">
      <c r="A142" s="5" t="s">
        <v>151</v>
      </c>
      <c r="B142" s="5" t="s">
        <v>146</v>
      </c>
      <c r="C142" s="45">
        <v>46054</v>
      </c>
      <c r="D142" s="22">
        <v>0.03</v>
      </c>
      <c r="E142" s="5" t="s">
        <v>169</v>
      </c>
      <c r="F142" s="5" t="s">
        <v>170</v>
      </c>
      <c r="G142" s="43"/>
      <c r="H142" s="51"/>
      <c r="J142" s="49" t="str">
        <f t="shared" si="2"/>
        <v>BU-C|TN</v>
      </c>
      <c r="K142" s="52">
        <f t="shared" si="3"/>
        <v>0.03</v>
      </c>
      <c r="L142" s="53">
        <f t="shared" si="4"/>
        <v>2.9558802241544429E-2</v>
      </c>
      <c r="M142" s="54">
        <f t="shared" si="5"/>
        <v>46054</v>
      </c>
      <c r="N142" s="55">
        <f t="shared" si="6"/>
        <v>28</v>
      </c>
      <c r="O142" s="55">
        <f t="shared" si="7"/>
        <v>0</v>
      </c>
      <c r="P142" s="55">
        <f>IF($C142="",0,COUNTIFS($J$80:$J142,$J142,$M$80:$M142,$M142,$C$80:$C142,$C142))</f>
        <v>1</v>
      </c>
      <c r="Q142" s="55">
        <f t="shared" si="8"/>
        <v>1</v>
      </c>
      <c r="R142" s="55">
        <f t="shared" si="9"/>
        <v>0</v>
      </c>
      <c r="S142" s="55">
        <f>IF($C142="",0,COUNTIFS(rl_key,$J142,rl_eff,"&lt;"&amp;$C142)+COUNTIFS($J$80:$J142,$J142,$C$80:$C142,$C142))</f>
        <v>1</v>
      </c>
    </row>
    <row r="143" spans="1:19" x14ac:dyDescent="0.25">
      <c r="A143" s="5" t="s">
        <v>151</v>
      </c>
      <c r="B143" s="5" t="s">
        <v>146</v>
      </c>
      <c r="C143" s="45">
        <v>46419</v>
      </c>
      <c r="D143" s="22">
        <v>0.04</v>
      </c>
      <c r="E143" s="5" t="s">
        <v>172</v>
      </c>
      <c r="F143" s="5" t="s">
        <v>173</v>
      </c>
      <c r="G143" s="43">
        <v>1</v>
      </c>
      <c r="H143" s="51"/>
      <c r="J143" s="49" t="str">
        <f t="shared" si="2"/>
        <v>BU-C|TN</v>
      </c>
      <c r="K143" s="52">
        <f t="shared" si="3"/>
        <v>0.04</v>
      </c>
      <c r="L143" s="53">
        <f t="shared" si="4"/>
        <v>3.9220713153281329E-2</v>
      </c>
      <c r="M143" s="54">
        <f t="shared" si="5"/>
        <v>46419</v>
      </c>
      <c r="N143" s="55">
        <f t="shared" si="6"/>
        <v>28</v>
      </c>
      <c r="O143" s="55">
        <f t="shared" si="7"/>
        <v>0</v>
      </c>
      <c r="P143" s="55">
        <f>IF($C143="",0,COUNTIFS($J$80:$J143,$J143,$M$80:$M143,$M143,$C$80:$C143,$C143))</f>
        <v>1</v>
      </c>
      <c r="Q143" s="55">
        <f t="shared" si="8"/>
        <v>1</v>
      </c>
      <c r="R143" s="55">
        <f t="shared" si="9"/>
        <v>0</v>
      </c>
      <c r="S143" s="55">
        <f>IF($C143="",0,COUNTIFS(rl_key,$J143,rl_eff,"&lt;"&amp;$C143)+COUNTIFS($J$80:$J143,$J143,$C$80:$C143,$C143))</f>
        <v>2</v>
      </c>
    </row>
    <row r="144" spans="1:19" x14ac:dyDescent="0.25">
      <c r="A144" s="5"/>
      <c r="B144" s="5"/>
      <c r="C144" s="45"/>
      <c r="D144" s="22"/>
      <c r="E144" s="5"/>
      <c r="F144" s="5"/>
      <c r="G144" s="43"/>
      <c r="H144" s="51"/>
      <c r="J144" s="49" t="str">
        <f t="shared" ref="J144:J207" si="10">IF(OR($A144="",$B144=""),"",$A144&amp;"|"&amp;$B144)</f>
        <v/>
      </c>
      <c r="K144" s="52" t="str">
        <f t="shared" ref="K144:K207" si="11">IF($C144="","",$D144*IF($E144="planned",IF($G144="",1,$G144),1))</f>
        <v/>
      </c>
      <c r="L144" s="53">
        <f t="shared" ref="L144:L207" si="12">IF($C144="",0,IF(1+$K144&gt;0,LN(1+$K144),0))</f>
        <v>0</v>
      </c>
      <c r="M144" s="54" t="str">
        <f t="shared" ref="M144:M207" si="13">IF($C144="","",DATE(YEAR($C144),MONTH($C144),1))</f>
        <v/>
      </c>
      <c r="N144" s="55">
        <f t="shared" ref="N144:N207" si="14">IF($C144="",0,EOMONTH($C144,0)-$C144+1)</f>
        <v>0</v>
      </c>
      <c r="O144" s="55">
        <f t="shared" ref="O144:O207" si="15">IF($C144="",0,COUNTIFS(rl_key,$J144,rl_effmonth,$M144,rl_eff,"&lt;"&amp;$C144))</f>
        <v>0</v>
      </c>
      <c r="P144" s="55">
        <f>IF($C144="",0,COUNTIFS($J$80:$J144,$J144,$M$80:$M144,$M144,$C$80:$C144,$C144))</f>
        <v>0</v>
      </c>
      <c r="Q144" s="55">
        <f t="shared" ref="Q144:Q207" si="16">IF($C144="",0,IF(AND($O144=0,$P144=1),1,0))</f>
        <v>0</v>
      </c>
      <c r="R144" s="55">
        <f t="shared" ref="R144:R207" si="17">IF($C144="",0,IF(COUNTIFS(rl_key,$J144,rl_effmonth,$M144)&gt;1,1,0))</f>
        <v>0</v>
      </c>
      <c r="S144" s="55">
        <f>IF($C144="",0,COUNTIFS(rl_key,$J144,rl_eff,"&lt;"&amp;$C144)+COUNTIFS($J$80:$J144,$J144,$C$80:$C144,$C144))</f>
        <v>0</v>
      </c>
    </row>
    <row r="145" spans="1:19" x14ac:dyDescent="0.25">
      <c r="A145" s="5"/>
      <c r="B145" s="5"/>
      <c r="C145" s="45"/>
      <c r="D145" s="22"/>
      <c r="E145" s="5"/>
      <c r="F145" s="5"/>
      <c r="G145" s="43"/>
      <c r="H145" s="51"/>
      <c r="J145" s="49" t="str">
        <f t="shared" si="10"/>
        <v/>
      </c>
      <c r="K145" s="52" t="str">
        <f t="shared" si="11"/>
        <v/>
      </c>
      <c r="L145" s="53">
        <f t="shared" si="12"/>
        <v>0</v>
      </c>
      <c r="M145" s="54" t="str">
        <f t="shared" si="13"/>
        <v/>
      </c>
      <c r="N145" s="55">
        <f t="shared" si="14"/>
        <v>0</v>
      </c>
      <c r="O145" s="55">
        <f t="shared" si="15"/>
        <v>0</v>
      </c>
      <c r="P145" s="55">
        <f>IF($C145="",0,COUNTIFS($J$80:$J145,$J145,$M$80:$M145,$M145,$C$80:$C145,$C145))</f>
        <v>0</v>
      </c>
      <c r="Q145" s="55">
        <f t="shared" si="16"/>
        <v>0</v>
      </c>
      <c r="R145" s="55">
        <f t="shared" si="17"/>
        <v>0</v>
      </c>
      <c r="S145" s="55">
        <f>IF($C145="",0,COUNTIFS(rl_key,$J145,rl_eff,"&lt;"&amp;$C145)+COUNTIFS($J$80:$J145,$J145,$C$80:$C145,$C145))</f>
        <v>0</v>
      </c>
    </row>
    <row r="146" spans="1:19" x14ac:dyDescent="0.25">
      <c r="A146" s="5"/>
      <c r="B146" s="5"/>
      <c r="C146" s="45"/>
      <c r="D146" s="22"/>
      <c r="E146" s="5"/>
      <c r="F146" s="5"/>
      <c r="G146" s="43"/>
      <c r="H146" s="51"/>
      <c r="J146" s="49" t="str">
        <f t="shared" si="10"/>
        <v/>
      </c>
      <c r="K146" s="52" t="str">
        <f t="shared" si="11"/>
        <v/>
      </c>
      <c r="L146" s="53">
        <f t="shared" si="12"/>
        <v>0</v>
      </c>
      <c r="M146" s="54" t="str">
        <f t="shared" si="13"/>
        <v/>
      </c>
      <c r="N146" s="55">
        <f t="shared" si="14"/>
        <v>0</v>
      </c>
      <c r="O146" s="55">
        <f t="shared" si="15"/>
        <v>0</v>
      </c>
      <c r="P146" s="55">
        <f>IF($C146="",0,COUNTIFS($J$80:$J146,$J146,$M$80:$M146,$M146,$C$80:$C146,$C146))</f>
        <v>0</v>
      </c>
      <c r="Q146" s="55">
        <f t="shared" si="16"/>
        <v>0</v>
      </c>
      <c r="R146" s="55">
        <f t="shared" si="17"/>
        <v>0</v>
      </c>
      <c r="S146" s="55">
        <f>IF($C146="",0,COUNTIFS(rl_key,$J146,rl_eff,"&lt;"&amp;$C146)+COUNTIFS($J$80:$J146,$J146,$C$80:$C146,$C146))</f>
        <v>0</v>
      </c>
    </row>
    <row r="147" spans="1:19" x14ac:dyDescent="0.25">
      <c r="A147" s="5"/>
      <c r="B147" s="5"/>
      <c r="C147" s="45"/>
      <c r="D147" s="22"/>
      <c r="E147" s="5"/>
      <c r="F147" s="5"/>
      <c r="G147" s="43"/>
      <c r="H147" s="51"/>
      <c r="J147" s="49" t="str">
        <f t="shared" si="10"/>
        <v/>
      </c>
      <c r="K147" s="52" t="str">
        <f t="shared" si="11"/>
        <v/>
      </c>
      <c r="L147" s="53">
        <f t="shared" si="12"/>
        <v>0</v>
      </c>
      <c r="M147" s="54" t="str">
        <f t="shared" si="13"/>
        <v/>
      </c>
      <c r="N147" s="55">
        <f t="shared" si="14"/>
        <v>0</v>
      </c>
      <c r="O147" s="55">
        <f t="shared" si="15"/>
        <v>0</v>
      </c>
      <c r="P147" s="55">
        <f>IF($C147="",0,COUNTIFS($J$80:$J147,$J147,$M$80:$M147,$M147,$C$80:$C147,$C147))</f>
        <v>0</v>
      </c>
      <c r="Q147" s="55">
        <f t="shared" si="16"/>
        <v>0</v>
      </c>
      <c r="R147" s="55">
        <f t="shared" si="17"/>
        <v>0</v>
      </c>
      <c r="S147" s="55">
        <f>IF($C147="",0,COUNTIFS(rl_key,$J147,rl_eff,"&lt;"&amp;$C147)+COUNTIFS($J$80:$J147,$J147,$C$80:$C147,$C147))</f>
        <v>0</v>
      </c>
    </row>
    <row r="148" spans="1:19" x14ac:dyDescent="0.25">
      <c r="A148" s="5"/>
      <c r="B148" s="5"/>
      <c r="C148" s="45"/>
      <c r="D148" s="22"/>
      <c r="E148" s="5"/>
      <c r="F148" s="5"/>
      <c r="G148" s="43"/>
      <c r="H148" s="51"/>
      <c r="J148" s="49" t="str">
        <f t="shared" si="10"/>
        <v/>
      </c>
      <c r="K148" s="52" t="str">
        <f t="shared" si="11"/>
        <v/>
      </c>
      <c r="L148" s="53">
        <f t="shared" si="12"/>
        <v>0</v>
      </c>
      <c r="M148" s="54" t="str">
        <f t="shared" si="13"/>
        <v/>
      </c>
      <c r="N148" s="55">
        <f t="shared" si="14"/>
        <v>0</v>
      </c>
      <c r="O148" s="55">
        <f t="shared" si="15"/>
        <v>0</v>
      </c>
      <c r="P148" s="55">
        <f>IF($C148="",0,COUNTIFS($J$80:$J148,$J148,$M$80:$M148,$M148,$C$80:$C148,$C148))</f>
        <v>0</v>
      </c>
      <c r="Q148" s="55">
        <f t="shared" si="16"/>
        <v>0</v>
      </c>
      <c r="R148" s="55">
        <f t="shared" si="17"/>
        <v>0</v>
      </c>
      <c r="S148" s="55">
        <f>IF($C148="",0,COUNTIFS(rl_key,$J148,rl_eff,"&lt;"&amp;$C148)+COUNTIFS($J$80:$J148,$J148,$C$80:$C148,$C148))</f>
        <v>0</v>
      </c>
    </row>
    <row r="149" spans="1:19" x14ac:dyDescent="0.25">
      <c r="A149" s="5"/>
      <c r="B149" s="5"/>
      <c r="C149" s="45"/>
      <c r="D149" s="22"/>
      <c r="E149" s="5"/>
      <c r="F149" s="5"/>
      <c r="G149" s="43"/>
      <c r="H149" s="51"/>
      <c r="J149" s="49" t="str">
        <f t="shared" si="10"/>
        <v/>
      </c>
      <c r="K149" s="52" t="str">
        <f t="shared" si="11"/>
        <v/>
      </c>
      <c r="L149" s="53">
        <f t="shared" si="12"/>
        <v>0</v>
      </c>
      <c r="M149" s="54" t="str">
        <f t="shared" si="13"/>
        <v/>
      </c>
      <c r="N149" s="55">
        <f t="shared" si="14"/>
        <v>0</v>
      </c>
      <c r="O149" s="55">
        <f t="shared" si="15"/>
        <v>0</v>
      </c>
      <c r="P149" s="55">
        <f>IF($C149="",0,COUNTIFS($J$80:$J149,$J149,$M$80:$M149,$M149,$C$80:$C149,$C149))</f>
        <v>0</v>
      </c>
      <c r="Q149" s="55">
        <f t="shared" si="16"/>
        <v>0</v>
      </c>
      <c r="R149" s="55">
        <f t="shared" si="17"/>
        <v>0</v>
      </c>
      <c r="S149" s="55">
        <f>IF($C149="",0,COUNTIFS(rl_key,$J149,rl_eff,"&lt;"&amp;$C149)+COUNTIFS($J$80:$J149,$J149,$C$80:$C149,$C149))</f>
        <v>0</v>
      </c>
    </row>
    <row r="150" spans="1:19" x14ac:dyDescent="0.25">
      <c r="A150" s="5"/>
      <c r="B150" s="5"/>
      <c r="C150" s="45"/>
      <c r="D150" s="22"/>
      <c r="E150" s="5"/>
      <c r="F150" s="5"/>
      <c r="G150" s="43"/>
      <c r="H150" s="51"/>
      <c r="J150" s="49" t="str">
        <f t="shared" si="10"/>
        <v/>
      </c>
      <c r="K150" s="52" t="str">
        <f t="shared" si="11"/>
        <v/>
      </c>
      <c r="L150" s="53">
        <f t="shared" si="12"/>
        <v>0</v>
      </c>
      <c r="M150" s="54" t="str">
        <f t="shared" si="13"/>
        <v/>
      </c>
      <c r="N150" s="55">
        <f t="shared" si="14"/>
        <v>0</v>
      </c>
      <c r="O150" s="55">
        <f t="shared" si="15"/>
        <v>0</v>
      </c>
      <c r="P150" s="55">
        <f>IF($C150="",0,COUNTIFS($J$80:$J150,$J150,$M$80:$M150,$M150,$C$80:$C150,$C150))</f>
        <v>0</v>
      </c>
      <c r="Q150" s="55">
        <f t="shared" si="16"/>
        <v>0</v>
      </c>
      <c r="R150" s="55">
        <f t="shared" si="17"/>
        <v>0</v>
      </c>
      <c r="S150" s="55">
        <f>IF($C150="",0,COUNTIFS(rl_key,$J150,rl_eff,"&lt;"&amp;$C150)+COUNTIFS($J$80:$J150,$J150,$C$80:$C150,$C150))</f>
        <v>0</v>
      </c>
    </row>
    <row r="151" spans="1:19" x14ac:dyDescent="0.25">
      <c r="A151" s="5"/>
      <c r="B151" s="5"/>
      <c r="C151" s="45"/>
      <c r="D151" s="22"/>
      <c r="E151" s="5"/>
      <c r="F151" s="5"/>
      <c r="G151" s="43"/>
      <c r="H151" s="51"/>
      <c r="J151" s="49" t="str">
        <f t="shared" si="10"/>
        <v/>
      </c>
      <c r="K151" s="52" t="str">
        <f t="shared" si="11"/>
        <v/>
      </c>
      <c r="L151" s="53">
        <f t="shared" si="12"/>
        <v>0</v>
      </c>
      <c r="M151" s="54" t="str">
        <f t="shared" si="13"/>
        <v/>
      </c>
      <c r="N151" s="55">
        <f t="shared" si="14"/>
        <v>0</v>
      </c>
      <c r="O151" s="55">
        <f t="shared" si="15"/>
        <v>0</v>
      </c>
      <c r="P151" s="55">
        <f>IF($C151="",0,COUNTIFS($J$80:$J151,$J151,$M$80:$M151,$M151,$C$80:$C151,$C151))</f>
        <v>0</v>
      </c>
      <c r="Q151" s="55">
        <f t="shared" si="16"/>
        <v>0</v>
      </c>
      <c r="R151" s="55">
        <f t="shared" si="17"/>
        <v>0</v>
      </c>
      <c r="S151" s="55">
        <f>IF($C151="",0,COUNTIFS(rl_key,$J151,rl_eff,"&lt;"&amp;$C151)+COUNTIFS($J$80:$J151,$J151,$C$80:$C151,$C151))</f>
        <v>0</v>
      </c>
    </row>
    <row r="152" spans="1:19" x14ac:dyDescent="0.25">
      <c r="A152" s="5"/>
      <c r="B152" s="5"/>
      <c r="C152" s="45"/>
      <c r="D152" s="22"/>
      <c r="E152" s="5"/>
      <c r="F152" s="5"/>
      <c r="G152" s="43"/>
      <c r="H152" s="51"/>
      <c r="J152" s="49" t="str">
        <f t="shared" si="10"/>
        <v/>
      </c>
      <c r="K152" s="52" t="str">
        <f t="shared" si="11"/>
        <v/>
      </c>
      <c r="L152" s="53">
        <f t="shared" si="12"/>
        <v>0</v>
      </c>
      <c r="M152" s="54" t="str">
        <f t="shared" si="13"/>
        <v/>
      </c>
      <c r="N152" s="55">
        <f t="shared" si="14"/>
        <v>0</v>
      </c>
      <c r="O152" s="55">
        <f t="shared" si="15"/>
        <v>0</v>
      </c>
      <c r="P152" s="55">
        <f>IF($C152="",0,COUNTIFS($J$80:$J152,$J152,$M$80:$M152,$M152,$C$80:$C152,$C152))</f>
        <v>0</v>
      </c>
      <c r="Q152" s="55">
        <f t="shared" si="16"/>
        <v>0</v>
      </c>
      <c r="R152" s="55">
        <f t="shared" si="17"/>
        <v>0</v>
      </c>
      <c r="S152" s="55">
        <f>IF($C152="",0,COUNTIFS(rl_key,$J152,rl_eff,"&lt;"&amp;$C152)+COUNTIFS($J$80:$J152,$J152,$C$80:$C152,$C152))</f>
        <v>0</v>
      </c>
    </row>
    <row r="153" spans="1:19" x14ac:dyDescent="0.25">
      <c r="A153" s="5"/>
      <c r="B153" s="5"/>
      <c r="C153" s="45"/>
      <c r="D153" s="22"/>
      <c r="E153" s="5"/>
      <c r="F153" s="5"/>
      <c r="G153" s="43"/>
      <c r="H153" s="51"/>
      <c r="J153" s="49" t="str">
        <f t="shared" si="10"/>
        <v/>
      </c>
      <c r="K153" s="52" t="str">
        <f t="shared" si="11"/>
        <v/>
      </c>
      <c r="L153" s="53">
        <f t="shared" si="12"/>
        <v>0</v>
      </c>
      <c r="M153" s="54" t="str">
        <f t="shared" si="13"/>
        <v/>
      </c>
      <c r="N153" s="55">
        <f t="shared" si="14"/>
        <v>0</v>
      </c>
      <c r="O153" s="55">
        <f t="shared" si="15"/>
        <v>0</v>
      </c>
      <c r="P153" s="55">
        <f>IF($C153="",0,COUNTIFS($J$80:$J153,$J153,$M$80:$M153,$M153,$C$80:$C153,$C153))</f>
        <v>0</v>
      </c>
      <c r="Q153" s="55">
        <f t="shared" si="16"/>
        <v>0</v>
      </c>
      <c r="R153" s="55">
        <f t="shared" si="17"/>
        <v>0</v>
      </c>
      <c r="S153" s="55">
        <f>IF($C153="",0,COUNTIFS(rl_key,$J153,rl_eff,"&lt;"&amp;$C153)+COUNTIFS($J$80:$J153,$J153,$C$80:$C153,$C153))</f>
        <v>0</v>
      </c>
    </row>
    <row r="154" spans="1:19" x14ac:dyDescent="0.25">
      <c r="A154" s="5"/>
      <c r="B154" s="5"/>
      <c r="C154" s="45"/>
      <c r="D154" s="22"/>
      <c r="E154" s="5"/>
      <c r="F154" s="5"/>
      <c r="G154" s="43"/>
      <c r="H154" s="51"/>
      <c r="J154" s="49" t="str">
        <f t="shared" si="10"/>
        <v/>
      </c>
      <c r="K154" s="52" t="str">
        <f t="shared" si="11"/>
        <v/>
      </c>
      <c r="L154" s="53">
        <f t="shared" si="12"/>
        <v>0</v>
      </c>
      <c r="M154" s="54" t="str">
        <f t="shared" si="13"/>
        <v/>
      </c>
      <c r="N154" s="55">
        <f t="shared" si="14"/>
        <v>0</v>
      </c>
      <c r="O154" s="55">
        <f t="shared" si="15"/>
        <v>0</v>
      </c>
      <c r="P154" s="55">
        <f>IF($C154="",0,COUNTIFS($J$80:$J154,$J154,$M$80:$M154,$M154,$C$80:$C154,$C154))</f>
        <v>0</v>
      </c>
      <c r="Q154" s="55">
        <f t="shared" si="16"/>
        <v>0</v>
      </c>
      <c r="R154" s="55">
        <f t="shared" si="17"/>
        <v>0</v>
      </c>
      <c r="S154" s="55">
        <f>IF($C154="",0,COUNTIFS(rl_key,$J154,rl_eff,"&lt;"&amp;$C154)+COUNTIFS($J$80:$J154,$J154,$C$80:$C154,$C154))</f>
        <v>0</v>
      </c>
    </row>
    <row r="155" spans="1:19" x14ac:dyDescent="0.25">
      <c r="A155" s="5"/>
      <c r="B155" s="5"/>
      <c r="C155" s="45"/>
      <c r="D155" s="22"/>
      <c r="E155" s="5"/>
      <c r="F155" s="5"/>
      <c r="G155" s="43"/>
      <c r="H155" s="51"/>
      <c r="J155" s="49" t="str">
        <f t="shared" si="10"/>
        <v/>
      </c>
      <c r="K155" s="52" t="str">
        <f t="shared" si="11"/>
        <v/>
      </c>
      <c r="L155" s="53">
        <f t="shared" si="12"/>
        <v>0</v>
      </c>
      <c r="M155" s="54" t="str">
        <f t="shared" si="13"/>
        <v/>
      </c>
      <c r="N155" s="55">
        <f t="shared" si="14"/>
        <v>0</v>
      </c>
      <c r="O155" s="55">
        <f t="shared" si="15"/>
        <v>0</v>
      </c>
      <c r="P155" s="55">
        <f>IF($C155="",0,COUNTIFS($J$80:$J155,$J155,$M$80:$M155,$M155,$C$80:$C155,$C155))</f>
        <v>0</v>
      </c>
      <c r="Q155" s="55">
        <f t="shared" si="16"/>
        <v>0</v>
      </c>
      <c r="R155" s="55">
        <f t="shared" si="17"/>
        <v>0</v>
      </c>
      <c r="S155" s="55">
        <f>IF($C155="",0,COUNTIFS(rl_key,$J155,rl_eff,"&lt;"&amp;$C155)+COUNTIFS($J$80:$J155,$J155,$C$80:$C155,$C155))</f>
        <v>0</v>
      </c>
    </row>
    <row r="156" spans="1:19" x14ac:dyDescent="0.25">
      <c r="A156" s="5"/>
      <c r="B156" s="5"/>
      <c r="C156" s="45"/>
      <c r="D156" s="22"/>
      <c r="E156" s="5"/>
      <c r="F156" s="5"/>
      <c r="G156" s="43"/>
      <c r="H156" s="51"/>
      <c r="J156" s="49" t="str">
        <f t="shared" si="10"/>
        <v/>
      </c>
      <c r="K156" s="52" t="str">
        <f t="shared" si="11"/>
        <v/>
      </c>
      <c r="L156" s="53">
        <f t="shared" si="12"/>
        <v>0</v>
      </c>
      <c r="M156" s="54" t="str">
        <f t="shared" si="13"/>
        <v/>
      </c>
      <c r="N156" s="55">
        <f t="shared" si="14"/>
        <v>0</v>
      </c>
      <c r="O156" s="55">
        <f t="shared" si="15"/>
        <v>0</v>
      </c>
      <c r="P156" s="55">
        <f>IF($C156="",0,COUNTIFS($J$80:$J156,$J156,$M$80:$M156,$M156,$C$80:$C156,$C156))</f>
        <v>0</v>
      </c>
      <c r="Q156" s="55">
        <f t="shared" si="16"/>
        <v>0</v>
      </c>
      <c r="R156" s="55">
        <f t="shared" si="17"/>
        <v>0</v>
      </c>
      <c r="S156" s="55">
        <f>IF($C156="",0,COUNTIFS(rl_key,$J156,rl_eff,"&lt;"&amp;$C156)+COUNTIFS($J$80:$J156,$J156,$C$80:$C156,$C156))</f>
        <v>0</v>
      </c>
    </row>
    <row r="157" spans="1:19" x14ac:dyDescent="0.25">
      <c r="A157" s="5"/>
      <c r="B157" s="5"/>
      <c r="C157" s="45"/>
      <c r="D157" s="22"/>
      <c r="E157" s="5"/>
      <c r="F157" s="5"/>
      <c r="G157" s="43"/>
      <c r="H157" s="51"/>
      <c r="J157" s="49" t="str">
        <f t="shared" si="10"/>
        <v/>
      </c>
      <c r="K157" s="52" t="str">
        <f t="shared" si="11"/>
        <v/>
      </c>
      <c r="L157" s="53">
        <f t="shared" si="12"/>
        <v>0</v>
      </c>
      <c r="M157" s="54" t="str">
        <f t="shared" si="13"/>
        <v/>
      </c>
      <c r="N157" s="55">
        <f t="shared" si="14"/>
        <v>0</v>
      </c>
      <c r="O157" s="55">
        <f t="shared" si="15"/>
        <v>0</v>
      </c>
      <c r="P157" s="55">
        <f>IF($C157="",0,COUNTIFS($J$80:$J157,$J157,$M$80:$M157,$M157,$C$80:$C157,$C157))</f>
        <v>0</v>
      </c>
      <c r="Q157" s="55">
        <f t="shared" si="16"/>
        <v>0</v>
      </c>
      <c r="R157" s="55">
        <f t="shared" si="17"/>
        <v>0</v>
      </c>
      <c r="S157" s="55">
        <f>IF($C157="",0,COUNTIFS(rl_key,$J157,rl_eff,"&lt;"&amp;$C157)+COUNTIFS($J$80:$J157,$J157,$C$80:$C157,$C157))</f>
        <v>0</v>
      </c>
    </row>
    <row r="158" spans="1:19" x14ac:dyDescent="0.25">
      <c r="A158" s="5"/>
      <c r="B158" s="5"/>
      <c r="C158" s="45"/>
      <c r="D158" s="22"/>
      <c r="E158" s="5"/>
      <c r="F158" s="5"/>
      <c r="G158" s="43"/>
      <c r="H158" s="51"/>
      <c r="J158" s="49" t="str">
        <f t="shared" si="10"/>
        <v/>
      </c>
      <c r="K158" s="52" t="str">
        <f t="shared" si="11"/>
        <v/>
      </c>
      <c r="L158" s="53">
        <f t="shared" si="12"/>
        <v>0</v>
      </c>
      <c r="M158" s="54" t="str">
        <f t="shared" si="13"/>
        <v/>
      </c>
      <c r="N158" s="55">
        <f t="shared" si="14"/>
        <v>0</v>
      </c>
      <c r="O158" s="55">
        <f t="shared" si="15"/>
        <v>0</v>
      </c>
      <c r="P158" s="55">
        <f>IF($C158="",0,COUNTIFS($J$80:$J158,$J158,$M$80:$M158,$M158,$C$80:$C158,$C158))</f>
        <v>0</v>
      </c>
      <c r="Q158" s="55">
        <f t="shared" si="16"/>
        <v>0</v>
      </c>
      <c r="R158" s="55">
        <f t="shared" si="17"/>
        <v>0</v>
      </c>
      <c r="S158" s="55">
        <f>IF($C158="",0,COUNTIFS(rl_key,$J158,rl_eff,"&lt;"&amp;$C158)+COUNTIFS($J$80:$J158,$J158,$C$80:$C158,$C158))</f>
        <v>0</v>
      </c>
    </row>
    <row r="159" spans="1:19" x14ac:dyDescent="0.25">
      <c r="A159" s="5"/>
      <c r="B159" s="5"/>
      <c r="C159" s="45"/>
      <c r="D159" s="22"/>
      <c r="E159" s="5"/>
      <c r="F159" s="5"/>
      <c r="G159" s="43"/>
      <c r="H159" s="51"/>
      <c r="J159" s="49" t="str">
        <f t="shared" si="10"/>
        <v/>
      </c>
      <c r="K159" s="52" t="str">
        <f t="shared" si="11"/>
        <v/>
      </c>
      <c r="L159" s="53">
        <f t="shared" si="12"/>
        <v>0</v>
      </c>
      <c r="M159" s="54" t="str">
        <f t="shared" si="13"/>
        <v/>
      </c>
      <c r="N159" s="55">
        <f t="shared" si="14"/>
        <v>0</v>
      </c>
      <c r="O159" s="55">
        <f t="shared" si="15"/>
        <v>0</v>
      </c>
      <c r="P159" s="55">
        <f>IF($C159="",0,COUNTIFS($J$80:$J159,$J159,$M$80:$M159,$M159,$C$80:$C159,$C159))</f>
        <v>0</v>
      </c>
      <c r="Q159" s="55">
        <f t="shared" si="16"/>
        <v>0</v>
      </c>
      <c r="R159" s="55">
        <f t="shared" si="17"/>
        <v>0</v>
      </c>
      <c r="S159" s="55">
        <f>IF($C159="",0,COUNTIFS(rl_key,$J159,rl_eff,"&lt;"&amp;$C159)+COUNTIFS($J$80:$J159,$J159,$C$80:$C159,$C159))</f>
        <v>0</v>
      </c>
    </row>
    <row r="160" spans="1:19" x14ac:dyDescent="0.25">
      <c r="A160" s="5"/>
      <c r="B160" s="5"/>
      <c r="C160" s="45"/>
      <c r="D160" s="22"/>
      <c r="E160" s="5"/>
      <c r="F160" s="5"/>
      <c r="G160" s="43"/>
      <c r="H160" s="51"/>
      <c r="J160" s="49" t="str">
        <f t="shared" si="10"/>
        <v/>
      </c>
      <c r="K160" s="52" t="str">
        <f t="shared" si="11"/>
        <v/>
      </c>
      <c r="L160" s="53">
        <f t="shared" si="12"/>
        <v>0</v>
      </c>
      <c r="M160" s="54" t="str">
        <f t="shared" si="13"/>
        <v/>
      </c>
      <c r="N160" s="55">
        <f t="shared" si="14"/>
        <v>0</v>
      </c>
      <c r="O160" s="55">
        <f t="shared" si="15"/>
        <v>0</v>
      </c>
      <c r="P160" s="55">
        <f>IF($C160="",0,COUNTIFS($J$80:$J160,$J160,$M$80:$M160,$M160,$C$80:$C160,$C160))</f>
        <v>0</v>
      </c>
      <c r="Q160" s="55">
        <f t="shared" si="16"/>
        <v>0</v>
      </c>
      <c r="R160" s="55">
        <f t="shared" si="17"/>
        <v>0</v>
      </c>
      <c r="S160" s="55">
        <f>IF($C160="",0,COUNTIFS(rl_key,$J160,rl_eff,"&lt;"&amp;$C160)+COUNTIFS($J$80:$J160,$J160,$C$80:$C160,$C160))</f>
        <v>0</v>
      </c>
    </row>
    <row r="161" spans="1:19" x14ac:dyDescent="0.25">
      <c r="A161" s="5"/>
      <c r="B161" s="5"/>
      <c r="C161" s="45"/>
      <c r="D161" s="22"/>
      <c r="E161" s="5"/>
      <c r="F161" s="5"/>
      <c r="G161" s="43"/>
      <c r="H161" s="51"/>
      <c r="J161" s="49" t="str">
        <f t="shared" si="10"/>
        <v/>
      </c>
      <c r="K161" s="52" t="str">
        <f t="shared" si="11"/>
        <v/>
      </c>
      <c r="L161" s="53">
        <f t="shared" si="12"/>
        <v>0</v>
      </c>
      <c r="M161" s="54" t="str">
        <f t="shared" si="13"/>
        <v/>
      </c>
      <c r="N161" s="55">
        <f t="shared" si="14"/>
        <v>0</v>
      </c>
      <c r="O161" s="55">
        <f t="shared" si="15"/>
        <v>0</v>
      </c>
      <c r="P161" s="55">
        <f>IF($C161="",0,COUNTIFS($J$80:$J161,$J161,$M$80:$M161,$M161,$C$80:$C161,$C161))</f>
        <v>0</v>
      </c>
      <c r="Q161" s="55">
        <f t="shared" si="16"/>
        <v>0</v>
      </c>
      <c r="R161" s="55">
        <f t="shared" si="17"/>
        <v>0</v>
      </c>
      <c r="S161" s="55">
        <f>IF($C161="",0,COUNTIFS(rl_key,$J161,rl_eff,"&lt;"&amp;$C161)+COUNTIFS($J$80:$J161,$J161,$C$80:$C161,$C161))</f>
        <v>0</v>
      </c>
    </row>
    <row r="162" spans="1:19" x14ac:dyDescent="0.25">
      <c r="A162" s="5"/>
      <c r="B162" s="5"/>
      <c r="C162" s="45"/>
      <c r="D162" s="22"/>
      <c r="E162" s="5"/>
      <c r="F162" s="5"/>
      <c r="G162" s="43"/>
      <c r="H162" s="51"/>
      <c r="J162" s="49" t="str">
        <f t="shared" si="10"/>
        <v/>
      </c>
      <c r="K162" s="52" t="str">
        <f t="shared" si="11"/>
        <v/>
      </c>
      <c r="L162" s="53">
        <f t="shared" si="12"/>
        <v>0</v>
      </c>
      <c r="M162" s="54" t="str">
        <f t="shared" si="13"/>
        <v/>
      </c>
      <c r="N162" s="55">
        <f t="shared" si="14"/>
        <v>0</v>
      </c>
      <c r="O162" s="55">
        <f t="shared" si="15"/>
        <v>0</v>
      </c>
      <c r="P162" s="55">
        <f>IF($C162="",0,COUNTIFS($J$80:$J162,$J162,$M$80:$M162,$M162,$C$80:$C162,$C162))</f>
        <v>0</v>
      </c>
      <c r="Q162" s="55">
        <f t="shared" si="16"/>
        <v>0</v>
      </c>
      <c r="R162" s="55">
        <f t="shared" si="17"/>
        <v>0</v>
      </c>
      <c r="S162" s="55">
        <f>IF($C162="",0,COUNTIFS(rl_key,$J162,rl_eff,"&lt;"&amp;$C162)+COUNTIFS($J$80:$J162,$J162,$C$80:$C162,$C162))</f>
        <v>0</v>
      </c>
    </row>
    <row r="163" spans="1:19" x14ac:dyDescent="0.25">
      <c r="A163" s="5"/>
      <c r="B163" s="5"/>
      <c r="C163" s="45"/>
      <c r="D163" s="22"/>
      <c r="E163" s="5"/>
      <c r="F163" s="5"/>
      <c r="G163" s="43"/>
      <c r="H163" s="51"/>
      <c r="J163" s="49" t="str">
        <f t="shared" si="10"/>
        <v/>
      </c>
      <c r="K163" s="52" t="str">
        <f t="shared" si="11"/>
        <v/>
      </c>
      <c r="L163" s="53">
        <f t="shared" si="12"/>
        <v>0</v>
      </c>
      <c r="M163" s="54" t="str">
        <f t="shared" si="13"/>
        <v/>
      </c>
      <c r="N163" s="55">
        <f t="shared" si="14"/>
        <v>0</v>
      </c>
      <c r="O163" s="55">
        <f t="shared" si="15"/>
        <v>0</v>
      </c>
      <c r="P163" s="55">
        <f>IF($C163="",0,COUNTIFS($J$80:$J163,$J163,$M$80:$M163,$M163,$C$80:$C163,$C163))</f>
        <v>0</v>
      </c>
      <c r="Q163" s="55">
        <f t="shared" si="16"/>
        <v>0</v>
      </c>
      <c r="R163" s="55">
        <f t="shared" si="17"/>
        <v>0</v>
      </c>
      <c r="S163" s="55">
        <f>IF($C163="",0,COUNTIFS(rl_key,$J163,rl_eff,"&lt;"&amp;$C163)+COUNTIFS($J$80:$J163,$J163,$C$80:$C163,$C163))</f>
        <v>0</v>
      </c>
    </row>
    <row r="164" spans="1:19" x14ac:dyDescent="0.25">
      <c r="A164" s="5"/>
      <c r="B164" s="5"/>
      <c r="C164" s="45"/>
      <c r="D164" s="22"/>
      <c r="E164" s="5"/>
      <c r="F164" s="5"/>
      <c r="G164" s="43"/>
      <c r="H164" s="51"/>
      <c r="J164" s="49" t="str">
        <f t="shared" si="10"/>
        <v/>
      </c>
      <c r="K164" s="52" t="str">
        <f t="shared" si="11"/>
        <v/>
      </c>
      <c r="L164" s="53">
        <f t="shared" si="12"/>
        <v>0</v>
      </c>
      <c r="M164" s="54" t="str">
        <f t="shared" si="13"/>
        <v/>
      </c>
      <c r="N164" s="55">
        <f t="shared" si="14"/>
        <v>0</v>
      </c>
      <c r="O164" s="55">
        <f t="shared" si="15"/>
        <v>0</v>
      </c>
      <c r="P164" s="55">
        <f>IF($C164="",0,COUNTIFS($J$80:$J164,$J164,$M$80:$M164,$M164,$C$80:$C164,$C164))</f>
        <v>0</v>
      </c>
      <c r="Q164" s="55">
        <f t="shared" si="16"/>
        <v>0</v>
      </c>
      <c r="R164" s="55">
        <f t="shared" si="17"/>
        <v>0</v>
      </c>
      <c r="S164" s="55">
        <f>IF($C164="",0,COUNTIFS(rl_key,$J164,rl_eff,"&lt;"&amp;$C164)+COUNTIFS($J$80:$J164,$J164,$C$80:$C164,$C164))</f>
        <v>0</v>
      </c>
    </row>
    <row r="165" spans="1:19" x14ac:dyDescent="0.25">
      <c r="A165" s="5"/>
      <c r="B165" s="5"/>
      <c r="C165" s="45"/>
      <c r="D165" s="22"/>
      <c r="E165" s="5"/>
      <c r="F165" s="5"/>
      <c r="G165" s="43"/>
      <c r="H165" s="51"/>
      <c r="J165" s="49" t="str">
        <f t="shared" si="10"/>
        <v/>
      </c>
      <c r="K165" s="52" t="str">
        <f t="shared" si="11"/>
        <v/>
      </c>
      <c r="L165" s="53">
        <f t="shared" si="12"/>
        <v>0</v>
      </c>
      <c r="M165" s="54" t="str">
        <f t="shared" si="13"/>
        <v/>
      </c>
      <c r="N165" s="55">
        <f t="shared" si="14"/>
        <v>0</v>
      </c>
      <c r="O165" s="55">
        <f t="shared" si="15"/>
        <v>0</v>
      </c>
      <c r="P165" s="55">
        <f>IF($C165="",0,COUNTIFS($J$80:$J165,$J165,$M$80:$M165,$M165,$C$80:$C165,$C165))</f>
        <v>0</v>
      </c>
      <c r="Q165" s="55">
        <f t="shared" si="16"/>
        <v>0</v>
      </c>
      <c r="R165" s="55">
        <f t="shared" si="17"/>
        <v>0</v>
      </c>
      <c r="S165" s="55">
        <f>IF($C165="",0,COUNTIFS(rl_key,$J165,rl_eff,"&lt;"&amp;$C165)+COUNTIFS($J$80:$J165,$J165,$C$80:$C165,$C165))</f>
        <v>0</v>
      </c>
    </row>
    <row r="166" spans="1:19" x14ac:dyDescent="0.25">
      <c r="A166" s="5"/>
      <c r="B166" s="5"/>
      <c r="C166" s="45"/>
      <c r="D166" s="22"/>
      <c r="E166" s="5"/>
      <c r="F166" s="5"/>
      <c r="G166" s="43"/>
      <c r="H166" s="51"/>
      <c r="J166" s="49" t="str">
        <f t="shared" si="10"/>
        <v/>
      </c>
      <c r="K166" s="52" t="str">
        <f t="shared" si="11"/>
        <v/>
      </c>
      <c r="L166" s="53">
        <f t="shared" si="12"/>
        <v>0</v>
      </c>
      <c r="M166" s="54" t="str">
        <f t="shared" si="13"/>
        <v/>
      </c>
      <c r="N166" s="55">
        <f t="shared" si="14"/>
        <v>0</v>
      </c>
      <c r="O166" s="55">
        <f t="shared" si="15"/>
        <v>0</v>
      </c>
      <c r="P166" s="55">
        <f>IF($C166="",0,COUNTIFS($J$80:$J166,$J166,$M$80:$M166,$M166,$C$80:$C166,$C166))</f>
        <v>0</v>
      </c>
      <c r="Q166" s="55">
        <f t="shared" si="16"/>
        <v>0</v>
      </c>
      <c r="R166" s="55">
        <f t="shared" si="17"/>
        <v>0</v>
      </c>
      <c r="S166" s="55">
        <f>IF($C166="",0,COUNTIFS(rl_key,$J166,rl_eff,"&lt;"&amp;$C166)+COUNTIFS($J$80:$J166,$J166,$C$80:$C166,$C166))</f>
        <v>0</v>
      </c>
    </row>
    <row r="167" spans="1:19" x14ac:dyDescent="0.25">
      <c r="A167" s="5"/>
      <c r="B167" s="5"/>
      <c r="C167" s="45"/>
      <c r="D167" s="22"/>
      <c r="E167" s="5"/>
      <c r="F167" s="5"/>
      <c r="G167" s="43"/>
      <c r="H167" s="51"/>
      <c r="J167" s="49" t="str">
        <f t="shared" si="10"/>
        <v/>
      </c>
      <c r="K167" s="52" t="str">
        <f t="shared" si="11"/>
        <v/>
      </c>
      <c r="L167" s="53">
        <f t="shared" si="12"/>
        <v>0</v>
      </c>
      <c r="M167" s="54" t="str">
        <f t="shared" si="13"/>
        <v/>
      </c>
      <c r="N167" s="55">
        <f t="shared" si="14"/>
        <v>0</v>
      </c>
      <c r="O167" s="55">
        <f t="shared" si="15"/>
        <v>0</v>
      </c>
      <c r="P167" s="55">
        <f>IF($C167="",0,COUNTIFS($J$80:$J167,$J167,$M$80:$M167,$M167,$C$80:$C167,$C167))</f>
        <v>0</v>
      </c>
      <c r="Q167" s="55">
        <f t="shared" si="16"/>
        <v>0</v>
      </c>
      <c r="R167" s="55">
        <f t="shared" si="17"/>
        <v>0</v>
      </c>
      <c r="S167" s="55">
        <f>IF($C167="",0,COUNTIFS(rl_key,$J167,rl_eff,"&lt;"&amp;$C167)+COUNTIFS($J$80:$J167,$J167,$C$80:$C167,$C167))</f>
        <v>0</v>
      </c>
    </row>
    <row r="168" spans="1:19" x14ac:dyDescent="0.25">
      <c r="A168" s="5"/>
      <c r="B168" s="5"/>
      <c r="C168" s="45"/>
      <c r="D168" s="22"/>
      <c r="E168" s="5"/>
      <c r="F168" s="5"/>
      <c r="G168" s="43"/>
      <c r="H168" s="51"/>
      <c r="J168" s="49" t="str">
        <f t="shared" si="10"/>
        <v/>
      </c>
      <c r="K168" s="52" t="str">
        <f t="shared" si="11"/>
        <v/>
      </c>
      <c r="L168" s="53">
        <f t="shared" si="12"/>
        <v>0</v>
      </c>
      <c r="M168" s="54" t="str">
        <f t="shared" si="13"/>
        <v/>
      </c>
      <c r="N168" s="55">
        <f t="shared" si="14"/>
        <v>0</v>
      </c>
      <c r="O168" s="55">
        <f t="shared" si="15"/>
        <v>0</v>
      </c>
      <c r="P168" s="55">
        <f>IF($C168="",0,COUNTIFS($J$80:$J168,$J168,$M$80:$M168,$M168,$C$80:$C168,$C168))</f>
        <v>0</v>
      </c>
      <c r="Q168" s="55">
        <f t="shared" si="16"/>
        <v>0</v>
      </c>
      <c r="R168" s="55">
        <f t="shared" si="17"/>
        <v>0</v>
      </c>
      <c r="S168" s="55">
        <f>IF($C168="",0,COUNTIFS(rl_key,$J168,rl_eff,"&lt;"&amp;$C168)+COUNTIFS($J$80:$J168,$J168,$C$80:$C168,$C168))</f>
        <v>0</v>
      </c>
    </row>
    <row r="169" spans="1:19" x14ac:dyDescent="0.25">
      <c r="A169" s="5"/>
      <c r="B169" s="5"/>
      <c r="C169" s="45"/>
      <c r="D169" s="22"/>
      <c r="E169" s="5"/>
      <c r="F169" s="5"/>
      <c r="G169" s="43"/>
      <c r="H169" s="51"/>
      <c r="J169" s="49" t="str">
        <f t="shared" si="10"/>
        <v/>
      </c>
      <c r="K169" s="52" t="str">
        <f t="shared" si="11"/>
        <v/>
      </c>
      <c r="L169" s="53">
        <f t="shared" si="12"/>
        <v>0</v>
      </c>
      <c r="M169" s="54" t="str">
        <f t="shared" si="13"/>
        <v/>
      </c>
      <c r="N169" s="55">
        <f t="shared" si="14"/>
        <v>0</v>
      </c>
      <c r="O169" s="55">
        <f t="shared" si="15"/>
        <v>0</v>
      </c>
      <c r="P169" s="55">
        <f>IF($C169="",0,COUNTIFS($J$80:$J169,$J169,$M$80:$M169,$M169,$C$80:$C169,$C169))</f>
        <v>0</v>
      </c>
      <c r="Q169" s="55">
        <f t="shared" si="16"/>
        <v>0</v>
      </c>
      <c r="R169" s="55">
        <f t="shared" si="17"/>
        <v>0</v>
      </c>
      <c r="S169" s="55">
        <f>IF($C169="",0,COUNTIFS(rl_key,$J169,rl_eff,"&lt;"&amp;$C169)+COUNTIFS($J$80:$J169,$J169,$C$80:$C169,$C169))</f>
        <v>0</v>
      </c>
    </row>
    <row r="170" spans="1:19" x14ac:dyDescent="0.25">
      <c r="A170" s="5"/>
      <c r="B170" s="5"/>
      <c r="C170" s="45"/>
      <c r="D170" s="22"/>
      <c r="E170" s="5"/>
      <c r="F170" s="5"/>
      <c r="G170" s="43"/>
      <c r="H170" s="51"/>
      <c r="J170" s="49" t="str">
        <f t="shared" si="10"/>
        <v/>
      </c>
      <c r="K170" s="52" t="str">
        <f t="shared" si="11"/>
        <v/>
      </c>
      <c r="L170" s="53">
        <f t="shared" si="12"/>
        <v>0</v>
      </c>
      <c r="M170" s="54" t="str">
        <f t="shared" si="13"/>
        <v/>
      </c>
      <c r="N170" s="55">
        <f t="shared" si="14"/>
        <v>0</v>
      </c>
      <c r="O170" s="55">
        <f t="shared" si="15"/>
        <v>0</v>
      </c>
      <c r="P170" s="55">
        <f>IF($C170="",0,COUNTIFS($J$80:$J170,$J170,$M$80:$M170,$M170,$C$80:$C170,$C170))</f>
        <v>0</v>
      </c>
      <c r="Q170" s="55">
        <f t="shared" si="16"/>
        <v>0</v>
      </c>
      <c r="R170" s="55">
        <f t="shared" si="17"/>
        <v>0</v>
      </c>
      <c r="S170" s="55">
        <f>IF($C170="",0,COUNTIFS(rl_key,$J170,rl_eff,"&lt;"&amp;$C170)+COUNTIFS($J$80:$J170,$J170,$C$80:$C170,$C170))</f>
        <v>0</v>
      </c>
    </row>
    <row r="171" spans="1:19" x14ac:dyDescent="0.25">
      <c r="A171" s="5"/>
      <c r="B171" s="5"/>
      <c r="C171" s="45"/>
      <c r="D171" s="22"/>
      <c r="E171" s="5"/>
      <c r="F171" s="5"/>
      <c r="G171" s="43"/>
      <c r="H171" s="51"/>
      <c r="J171" s="49" t="str">
        <f t="shared" si="10"/>
        <v/>
      </c>
      <c r="K171" s="52" t="str">
        <f t="shared" si="11"/>
        <v/>
      </c>
      <c r="L171" s="53">
        <f t="shared" si="12"/>
        <v>0</v>
      </c>
      <c r="M171" s="54" t="str">
        <f t="shared" si="13"/>
        <v/>
      </c>
      <c r="N171" s="55">
        <f t="shared" si="14"/>
        <v>0</v>
      </c>
      <c r="O171" s="55">
        <f t="shared" si="15"/>
        <v>0</v>
      </c>
      <c r="P171" s="55">
        <f>IF($C171="",0,COUNTIFS($J$80:$J171,$J171,$M$80:$M171,$M171,$C$80:$C171,$C171))</f>
        <v>0</v>
      </c>
      <c r="Q171" s="55">
        <f t="shared" si="16"/>
        <v>0</v>
      </c>
      <c r="R171" s="55">
        <f t="shared" si="17"/>
        <v>0</v>
      </c>
      <c r="S171" s="55">
        <f>IF($C171="",0,COUNTIFS(rl_key,$J171,rl_eff,"&lt;"&amp;$C171)+COUNTIFS($J$80:$J171,$J171,$C$80:$C171,$C171))</f>
        <v>0</v>
      </c>
    </row>
    <row r="172" spans="1:19" x14ac:dyDescent="0.25">
      <c r="A172" s="5"/>
      <c r="B172" s="5"/>
      <c r="C172" s="45"/>
      <c r="D172" s="22"/>
      <c r="E172" s="5"/>
      <c r="F172" s="5"/>
      <c r="G172" s="43"/>
      <c r="H172" s="51"/>
      <c r="J172" s="49" t="str">
        <f t="shared" si="10"/>
        <v/>
      </c>
      <c r="K172" s="52" t="str">
        <f t="shared" si="11"/>
        <v/>
      </c>
      <c r="L172" s="53">
        <f t="shared" si="12"/>
        <v>0</v>
      </c>
      <c r="M172" s="54" t="str">
        <f t="shared" si="13"/>
        <v/>
      </c>
      <c r="N172" s="55">
        <f t="shared" si="14"/>
        <v>0</v>
      </c>
      <c r="O172" s="55">
        <f t="shared" si="15"/>
        <v>0</v>
      </c>
      <c r="P172" s="55">
        <f>IF($C172="",0,COUNTIFS($J$80:$J172,$J172,$M$80:$M172,$M172,$C$80:$C172,$C172))</f>
        <v>0</v>
      </c>
      <c r="Q172" s="55">
        <f t="shared" si="16"/>
        <v>0</v>
      </c>
      <c r="R172" s="55">
        <f t="shared" si="17"/>
        <v>0</v>
      </c>
      <c r="S172" s="55">
        <f>IF($C172="",0,COUNTIFS(rl_key,$J172,rl_eff,"&lt;"&amp;$C172)+COUNTIFS($J$80:$J172,$J172,$C$80:$C172,$C172))</f>
        <v>0</v>
      </c>
    </row>
    <row r="173" spans="1:19" x14ac:dyDescent="0.25">
      <c r="A173" s="5"/>
      <c r="B173" s="5"/>
      <c r="C173" s="45"/>
      <c r="D173" s="22"/>
      <c r="E173" s="5"/>
      <c r="F173" s="5"/>
      <c r="G173" s="43"/>
      <c r="H173" s="51"/>
      <c r="J173" s="49" t="str">
        <f t="shared" si="10"/>
        <v/>
      </c>
      <c r="K173" s="52" t="str">
        <f t="shared" si="11"/>
        <v/>
      </c>
      <c r="L173" s="53">
        <f t="shared" si="12"/>
        <v>0</v>
      </c>
      <c r="M173" s="54" t="str">
        <f t="shared" si="13"/>
        <v/>
      </c>
      <c r="N173" s="55">
        <f t="shared" si="14"/>
        <v>0</v>
      </c>
      <c r="O173" s="55">
        <f t="shared" si="15"/>
        <v>0</v>
      </c>
      <c r="P173" s="55">
        <f>IF($C173="",0,COUNTIFS($J$80:$J173,$J173,$M$80:$M173,$M173,$C$80:$C173,$C173))</f>
        <v>0</v>
      </c>
      <c r="Q173" s="55">
        <f t="shared" si="16"/>
        <v>0</v>
      </c>
      <c r="R173" s="55">
        <f t="shared" si="17"/>
        <v>0</v>
      </c>
      <c r="S173" s="55">
        <f>IF($C173="",0,COUNTIFS(rl_key,$J173,rl_eff,"&lt;"&amp;$C173)+COUNTIFS($J$80:$J173,$J173,$C$80:$C173,$C173))</f>
        <v>0</v>
      </c>
    </row>
    <row r="174" spans="1:19" x14ac:dyDescent="0.25">
      <c r="A174" s="5"/>
      <c r="B174" s="5"/>
      <c r="C174" s="45"/>
      <c r="D174" s="22"/>
      <c r="E174" s="5"/>
      <c r="F174" s="5"/>
      <c r="G174" s="43"/>
      <c r="H174" s="51"/>
      <c r="J174" s="49" t="str">
        <f t="shared" si="10"/>
        <v/>
      </c>
      <c r="K174" s="52" t="str">
        <f t="shared" si="11"/>
        <v/>
      </c>
      <c r="L174" s="53">
        <f t="shared" si="12"/>
        <v>0</v>
      </c>
      <c r="M174" s="54" t="str">
        <f t="shared" si="13"/>
        <v/>
      </c>
      <c r="N174" s="55">
        <f t="shared" si="14"/>
        <v>0</v>
      </c>
      <c r="O174" s="55">
        <f t="shared" si="15"/>
        <v>0</v>
      </c>
      <c r="P174" s="55">
        <f>IF($C174="",0,COUNTIFS($J$80:$J174,$J174,$M$80:$M174,$M174,$C$80:$C174,$C174))</f>
        <v>0</v>
      </c>
      <c r="Q174" s="55">
        <f t="shared" si="16"/>
        <v>0</v>
      </c>
      <c r="R174" s="55">
        <f t="shared" si="17"/>
        <v>0</v>
      </c>
      <c r="S174" s="55">
        <f>IF($C174="",0,COUNTIFS(rl_key,$J174,rl_eff,"&lt;"&amp;$C174)+COUNTIFS($J$80:$J174,$J174,$C$80:$C174,$C174))</f>
        <v>0</v>
      </c>
    </row>
    <row r="175" spans="1:19" x14ac:dyDescent="0.25">
      <c r="A175" s="5"/>
      <c r="B175" s="5"/>
      <c r="C175" s="45"/>
      <c r="D175" s="22"/>
      <c r="E175" s="5"/>
      <c r="F175" s="5"/>
      <c r="G175" s="43"/>
      <c r="H175" s="51"/>
      <c r="J175" s="49" t="str">
        <f t="shared" si="10"/>
        <v/>
      </c>
      <c r="K175" s="52" t="str">
        <f t="shared" si="11"/>
        <v/>
      </c>
      <c r="L175" s="53">
        <f t="shared" si="12"/>
        <v>0</v>
      </c>
      <c r="M175" s="54" t="str">
        <f t="shared" si="13"/>
        <v/>
      </c>
      <c r="N175" s="55">
        <f t="shared" si="14"/>
        <v>0</v>
      </c>
      <c r="O175" s="55">
        <f t="shared" si="15"/>
        <v>0</v>
      </c>
      <c r="P175" s="55">
        <f>IF($C175="",0,COUNTIFS($J$80:$J175,$J175,$M$80:$M175,$M175,$C$80:$C175,$C175))</f>
        <v>0</v>
      </c>
      <c r="Q175" s="55">
        <f t="shared" si="16"/>
        <v>0</v>
      </c>
      <c r="R175" s="55">
        <f t="shared" si="17"/>
        <v>0</v>
      </c>
      <c r="S175" s="55">
        <f>IF($C175="",0,COUNTIFS(rl_key,$J175,rl_eff,"&lt;"&amp;$C175)+COUNTIFS($J$80:$J175,$J175,$C$80:$C175,$C175))</f>
        <v>0</v>
      </c>
    </row>
    <row r="176" spans="1:19" x14ac:dyDescent="0.25">
      <c r="A176" s="5"/>
      <c r="B176" s="5"/>
      <c r="C176" s="45"/>
      <c r="D176" s="22"/>
      <c r="E176" s="5"/>
      <c r="F176" s="5"/>
      <c r="G176" s="43"/>
      <c r="H176" s="51"/>
      <c r="J176" s="49" t="str">
        <f t="shared" si="10"/>
        <v/>
      </c>
      <c r="K176" s="52" t="str">
        <f t="shared" si="11"/>
        <v/>
      </c>
      <c r="L176" s="53">
        <f t="shared" si="12"/>
        <v>0</v>
      </c>
      <c r="M176" s="54" t="str">
        <f t="shared" si="13"/>
        <v/>
      </c>
      <c r="N176" s="55">
        <f t="shared" si="14"/>
        <v>0</v>
      </c>
      <c r="O176" s="55">
        <f t="shared" si="15"/>
        <v>0</v>
      </c>
      <c r="P176" s="55">
        <f>IF($C176="",0,COUNTIFS($J$80:$J176,$J176,$M$80:$M176,$M176,$C$80:$C176,$C176))</f>
        <v>0</v>
      </c>
      <c r="Q176" s="55">
        <f t="shared" si="16"/>
        <v>0</v>
      </c>
      <c r="R176" s="55">
        <f t="shared" si="17"/>
        <v>0</v>
      </c>
      <c r="S176" s="55">
        <f>IF($C176="",0,COUNTIFS(rl_key,$J176,rl_eff,"&lt;"&amp;$C176)+COUNTIFS($J$80:$J176,$J176,$C$80:$C176,$C176))</f>
        <v>0</v>
      </c>
    </row>
    <row r="177" spans="1:19" x14ac:dyDescent="0.25">
      <c r="A177" s="5"/>
      <c r="B177" s="5"/>
      <c r="C177" s="45"/>
      <c r="D177" s="22"/>
      <c r="E177" s="5"/>
      <c r="F177" s="5"/>
      <c r="G177" s="43"/>
      <c r="H177" s="51"/>
      <c r="J177" s="49" t="str">
        <f t="shared" si="10"/>
        <v/>
      </c>
      <c r="K177" s="52" t="str">
        <f t="shared" si="11"/>
        <v/>
      </c>
      <c r="L177" s="53">
        <f t="shared" si="12"/>
        <v>0</v>
      </c>
      <c r="M177" s="54" t="str">
        <f t="shared" si="13"/>
        <v/>
      </c>
      <c r="N177" s="55">
        <f t="shared" si="14"/>
        <v>0</v>
      </c>
      <c r="O177" s="55">
        <f t="shared" si="15"/>
        <v>0</v>
      </c>
      <c r="P177" s="55">
        <f>IF($C177="",0,COUNTIFS($J$80:$J177,$J177,$M$80:$M177,$M177,$C$80:$C177,$C177))</f>
        <v>0</v>
      </c>
      <c r="Q177" s="55">
        <f t="shared" si="16"/>
        <v>0</v>
      </c>
      <c r="R177" s="55">
        <f t="shared" si="17"/>
        <v>0</v>
      </c>
      <c r="S177" s="55">
        <f>IF($C177="",0,COUNTIFS(rl_key,$J177,rl_eff,"&lt;"&amp;$C177)+COUNTIFS($J$80:$J177,$J177,$C$80:$C177,$C177))</f>
        <v>0</v>
      </c>
    </row>
    <row r="178" spans="1:19" x14ac:dyDescent="0.25">
      <c r="A178" s="5"/>
      <c r="B178" s="5"/>
      <c r="C178" s="45"/>
      <c r="D178" s="22"/>
      <c r="E178" s="5"/>
      <c r="F178" s="5"/>
      <c r="G178" s="43"/>
      <c r="H178" s="51"/>
      <c r="J178" s="49" t="str">
        <f t="shared" si="10"/>
        <v/>
      </c>
      <c r="K178" s="52" t="str">
        <f t="shared" si="11"/>
        <v/>
      </c>
      <c r="L178" s="53">
        <f t="shared" si="12"/>
        <v>0</v>
      </c>
      <c r="M178" s="54" t="str">
        <f t="shared" si="13"/>
        <v/>
      </c>
      <c r="N178" s="55">
        <f t="shared" si="14"/>
        <v>0</v>
      </c>
      <c r="O178" s="55">
        <f t="shared" si="15"/>
        <v>0</v>
      </c>
      <c r="P178" s="55">
        <f>IF($C178="",0,COUNTIFS($J$80:$J178,$J178,$M$80:$M178,$M178,$C$80:$C178,$C178))</f>
        <v>0</v>
      </c>
      <c r="Q178" s="55">
        <f t="shared" si="16"/>
        <v>0</v>
      </c>
      <c r="R178" s="55">
        <f t="shared" si="17"/>
        <v>0</v>
      </c>
      <c r="S178" s="55">
        <f>IF($C178="",0,COUNTIFS(rl_key,$J178,rl_eff,"&lt;"&amp;$C178)+COUNTIFS($J$80:$J178,$J178,$C$80:$C178,$C178))</f>
        <v>0</v>
      </c>
    </row>
    <row r="179" spans="1:19" x14ac:dyDescent="0.25">
      <c r="A179" s="5"/>
      <c r="B179" s="5"/>
      <c r="C179" s="45"/>
      <c r="D179" s="22"/>
      <c r="E179" s="5"/>
      <c r="F179" s="5"/>
      <c r="G179" s="43"/>
      <c r="H179" s="51"/>
      <c r="J179" s="49" t="str">
        <f t="shared" si="10"/>
        <v/>
      </c>
      <c r="K179" s="52" t="str">
        <f t="shared" si="11"/>
        <v/>
      </c>
      <c r="L179" s="53">
        <f t="shared" si="12"/>
        <v>0</v>
      </c>
      <c r="M179" s="54" t="str">
        <f t="shared" si="13"/>
        <v/>
      </c>
      <c r="N179" s="55">
        <f t="shared" si="14"/>
        <v>0</v>
      </c>
      <c r="O179" s="55">
        <f t="shared" si="15"/>
        <v>0</v>
      </c>
      <c r="P179" s="55">
        <f>IF($C179="",0,COUNTIFS($J$80:$J179,$J179,$M$80:$M179,$M179,$C$80:$C179,$C179))</f>
        <v>0</v>
      </c>
      <c r="Q179" s="55">
        <f t="shared" si="16"/>
        <v>0</v>
      </c>
      <c r="R179" s="55">
        <f t="shared" si="17"/>
        <v>0</v>
      </c>
      <c r="S179" s="55">
        <f>IF($C179="",0,COUNTIFS(rl_key,$J179,rl_eff,"&lt;"&amp;$C179)+COUNTIFS($J$80:$J179,$J179,$C$80:$C179,$C179))</f>
        <v>0</v>
      </c>
    </row>
    <row r="180" spans="1:19" x14ac:dyDescent="0.25">
      <c r="A180" s="5"/>
      <c r="B180" s="5"/>
      <c r="C180" s="45"/>
      <c r="D180" s="22"/>
      <c r="E180" s="5"/>
      <c r="F180" s="5"/>
      <c r="G180" s="43"/>
      <c r="H180" s="51"/>
      <c r="J180" s="49" t="str">
        <f t="shared" si="10"/>
        <v/>
      </c>
      <c r="K180" s="52" t="str">
        <f t="shared" si="11"/>
        <v/>
      </c>
      <c r="L180" s="53">
        <f t="shared" si="12"/>
        <v>0</v>
      </c>
      <c r="M180" s="54" t="str">
        <f t="shared" si="13"/>
        <v/>
      </c>
      <c r="N180" s="55">
        <f t="shared" si="14"/>
        <v>0</v>
      </c>
      <c r="O180" s="55">
        <f t="shared" si="15"/>
        <v>0</v>
      </c>
      <c r="P180" s="55">
        <f>IF($C180="",0,COUNTIFS($J$80:$J180,$J180,$M$80:$M180,$M180,$C$80:$C180,$C180))</f>
        <v>0</v>
      </c>
      <c r="Q180" s="55">
        <f t="shared" si="16"/>
        <v>0</v>
      </c>
      <c r="R180" s="55">
        <f t="shared" si="17"/>
        <v>0</v>
      </c>
      <c r="S180" s="55">
        <f>IF($C180="",0,COUNTIFS(rl_key,$J180,rl_eff,"&lt;"&amp;$C180)+COUNTIFS($J$80:$J180,$J180,$C$80:$C180,$C180))</f>
        <v>0</v>
      </c>
    </row>
    <row r="181" spans="1:19" x14ac:dyDescent="0.25">
      <c r="A181" s="5"/>
      <c r="B181" s="5"/>
      <c r="C181" s="45"/>
      <c r="D181" s="22"/>
      <c r="E181" s="5"/>
      <c r="F181" s="5"/>
      <c r="G181" s="43"/>
      <c r="H181" s="51"/>
      <c r="J181" s="49" t="str">
        <f t="shared" si="10"/>
        <v/>
      </c>
      <c r="K181" s="52" t="str">
        <f t="shared" si="11"/>
        <v/>
      </c>
      <c r="L181" s="53">
        <f t="shared" si="12"/>
        <v>0</v>
      </c>
      <c r="M181" s="54" t="str">
        <f t="shared" si="13"/>
        <v/>
      </c>
      <c r="N181" s="55">
        <f t="shared" si="14"/>
        <v>0</v>
      </c>
      <c r="O181" s="55">
        <f t="shared" si="15"/>
        <v>0</v>
      </c>
      <c r="P181" s="55">
        <f>IF($C181="",0,COUNTIFS($J$80:$J181,$J181,$M$80:$M181,$M181,$C$80:$C181,$C181))</f>
        <v>0</v>
      </c>
      <c r="Q181" s="55">
        <f t="shared" si="16"/>
        <v>0</v>
      </c>
      <c r="R181" s="55">
        <f t="shared" si="17"/>
        <v>0</v>
      </c>
      <c r="S181" s="55">
        <f>IF($C181="",0,COUNTIFS(rl_key,$J181,rl_eff,"&lt;"&amp;$C181)+COUNTIFS($J$80:$J181,$J181,$C$80:$C181,$C181))</f>
        <v>0</v>
      </c>
    </row>
    <row r="182" spans="1:19" x14ac:dyDescent="0.25">
      <c r="A182" s="5"/>
      <c r="B182" s="5"/>
      <c r="C182" s="45"/>
      <c r="D182" s="22"/>
      <c r="E182" s="5"/>
      <c r="F182" s="5"/>
      <c r="G182" s="43"/>
      <c r="H182" s="51"/>
      <c r="J182" s="49" t="str">
        <f t="shared" si="10"/>
        <v/>
      </c>
      <c r="K182" s="52" t="str">
        <f t="shared" si="11"/>
        <v/>
      </c>
      <c r="L182" s="53">
        <f t="shared" si="12"/>
        <v>0</v>
      </c>
      <c r="M182" s="54" t="str">
        <f t="shared" si="13"/>
        <v/>
      </c>
      <c r="N182" s="55">
        <f t="shared" si="14"/>
        <v>0</v>
      </c>
      <c r="O182" s="55">
        <f t="shared" si="15"/>
        <v>0</v>
      </c>
      <c r="P182" s="55">
        <f>IF($C182="",0,COUNTIFS($J$80:$J182,$J182,$M$80:$M182,$M182,$C$80:$C182,$C182))</f>
        <v>0</v>
      </c>
      <c r="Q182" s="55">
        <f t="shared" si="16"/>
        <v>0</v>
      </c>
      <c r="R182" s="55">
        <f t="shared" si="17"/>
        <v>0</v>
      </c>
      <c r="S182" s="55">
        <f>IF($C182="",0,COUNTIFS(rl_key,$J182,rl_eff,"&lt;"&amp;$C182)+COUNTIFS($J$80:$J182,$J182,$C$80:$C182,$C182))</f>
        <v>0</v>
      </c>
    </row>
    <row r="183" spans="1:19" x14ac:dyDescent="0.25">
      <c r="A183" s="5"/>
      <c r="B183" s="5"/>
      <c r="C183" s="45"/>
      <c r="D183" s="22"/>
      <c r="E183" s="5"/>
      <c r="F183" s="5"/>
      <c r="G183" s="43"/>
      <c r="H183" s="51"/>
      <c r="J183" s="49" t="str">
        <f t="shared" si="10"/>
        <v/>
      </c>
      <c r="K183" s="52" t="str">
        <f t="shared" si="11"/>
        <v/>
      </c>
      <c r="L183" s="53">
        <f t="shared" si="12"/>
        <v>0</v>
      </c>
      <c r="M183" s="54" t="str">
        <f t="shared" si="13"/>
        <v/>
      </c>
      <c r="N183" s="55">
        <f t="shared" si="14"/>
        <v>0</v>
      </c>
      <c r="O183" s="55">
        <f t="shared" si="15"/>
        <v>0</v>
      </c>
      <c r="P183" s="55">
        <f>IF($C183="",0,COUNTIFS($J$80:$J183,$J183,$M$80:$M183,$M183,$C$80:$C183,$C183))</f>
        <v>0</v>
      </c>
      <c r="Q183" s="55">
        <f t="shared" si="16"/>
        <v>0</v>
      </c>
      <c r="R183" s="55">
        <f t="shared" si="17"/>
        <v>0</v>
      </c>
      <c r="S183" s="55">
        <f>IF($C183="",0,COUNTIFS(rl_key,$J183,rl_eff,"&lt;"&amp;$C183)+COUNTIFS($J$80:$J183,$J183,$C$80:$C183,$C183))</f>
        <v>0</v>
      </c>
    </row>
    <row r="184" spans="1:19" x14ac:dyDescent="0.25">
      <c r="A184" s="5"/>
      <c r="B184" s="5"/>
      <c r="C184" s="45"/>
      <c r="D184" s="22"/>
      <c r="E184" s="5"/>
      <c r="F184" s="5"/>
      <c r="G184" s="43"/>
      <c r="H184" s="51"/>
      <c r="J184" s="49" t="str">
        <f t="shared" si="10"/>
        <v/>
      </c>
      <c r="K184" s="52" t="str">
        <f t="shared" si="11"/>
        <v/>
      </c>
      <c r="L184" s="53">
        <f t="shared" si="12"/>
        <v>0</v>
      </c>
      <c r="M184" s="54" t="str">
        <f t="shared" si="13"/>
        <v/>
      </c>
      <c r="N184" s="55">
        <f t="shared" si="14"/>
        <v>0</v>
      </c>
      <c r="O184" s="55">
        <f t="shared" si="15"/>
        <v>0</v>
      </c>
      <c r="P184" s="55">
        <f>IF($C184="",0,COUNTIFS($J$80:$J184,$J184,$M$80:$M184,$M184,$C$80:$C184,$C184))</f>
        <v>0</v>
      </c>
      <c r="Q184" s="55">
        <f t="shared" si="16"/>
        <v>0</v>
      </c>
      <c r="R184" s="55">
        <f t="shared" si="17"/>
        <v>0</v>
      </c>
      <c r="S184" s="55">
        <f>IF($C184="",0,COUNTIFS(rl_key,$J184,rl_eff,"&lt;"&amp;$C184)+COUNTIFS($J$80:$J184,$J184,$C$80:$C184,$C184))</f>
        <v>0</v>
      </c>
    </row>
    <row r="185" spans="1:19" x14ac:dyDescent="0.25">
      <c r="A185" s="5"/>
      <c r="B185" s="5"/>
      <c r="C185" s="45"/>
      <c r="D185" s="22"/>
      <c r="E185" s="5"/>
      <c r="F185" s="5"/>
      <c r="G185" s="43"/>
      <c r="H185" s="51"/>
      <c r="J185" s="49" t="str">
        <f t="shared" si="10"/>
        <v/>
      </c>
      <c r="K185" s="52" t="str">
        <f t="shared" si="11"/>
        <v/>
      </c>
      <c r="L185" s="53">
        <f t="shared" si="12"/>
        <v>0</v>
      </c>
      <c r="M185" s="54" t="str">
        <f t="shared" si="13"/>
        <v/>
      </c>
      <c r="N185" s="55">
        <f t="shared" si="14"/>
        <v>0</v>
      </c>
      <c r="O185" s="55">
        <f t="shared" si="15"/>
        <v>0</v>
      </c>
      <c r="P185" s="55">
        <f>IF($C185="",0,COUNTIFS($J$80:$J185,$J185,$M$80:$M185,$M185,$C$80:$C185,$C185))</f>
        <v>0</v>
      </c>
      <c r="Q185" s="55">
        <f t="shared" si="16"/>
        <v>0</v>
      </c>
      <c r="R185" s="55">
        <f t="shared" si="17"/>
        <v>0</v>
      </c>
      <c r="S185" s="55">
        <f>IF($C185="",0,COUNTIFS(rl_key,$J185,rl_eff,"&lt;"&amp;$C185)+COUNTIFS($J$80:$J185,$J185,$C$80:$C185,$C185))</f>
        <v>0</v>
      </c>
    </row>
    <row r="186" spans="1:19" x14ac:dyDescent="0.25">
      <c r="A186" s="5"/>
      <c r="B186" s="5"/>
      <c r="C186" s="45"/>
      <c r="D186" s="22"/>
      <c r="E186" s="5"/>
      <c r="F186" s="5"/>
      <c r="G186" s="43"/>
      <c r="H186" s="51"/>
      <c r="J186" s="49" t="str">
        <f t="shared" si="10"/>
        <v/>
      </c>
      <c r="K186" s="52" t="str">
        <f t="shared" si="11"/>
        <v/>
      </c>
      <c r="L186" s="53">
        <f t="shared" si="12"/>
        <v>0</v>
      </c>
      <c r="M186" s="54" t="str">
        <f t="shared" si="13"/>
        <v/>
      </c>
      <c r="N186" s="55">
        <f t="shared" si="14"/>
        <v>0</v>
      </c>
      <c r="O186" s="55">
        <f t="shared" si="15"/>
        <v>0</v>
      </c>
      <c r="P186" s="55">
        <f>IF($C186="",0,COUNTIFS($J$80:$J186,$J186,$M$80:$M186,$M186,$C$80:$C186,$C186))</f>
        <v>0</v>
      </c>
      <c r="Q186" s="55">
        <f t="shared" si="16"/>
        <v>0</v>
      </c>
      <c r="R186" s="55">
        <f t="shared" si="17"/>
        <v>0</v>
      </c>
      <c r="S186" s="55">
        <f>IF($C186="",0,COUNTIFS(rl_key,$J186,rl_eff,"&lt;"&amp;$C186)+COUNTIFS($J$80:$J186,$J186,$C$80:$C186,$C186))</f>
        <v>0</v>
      </c>
    </row>
    <row r="187" spans="1:19" x14ac:dyDescent="0.25">
      <c r="A187" s="5"/>
      <c r="B187" s="5"/>
      <c r="C187" s="45"/>
      <c r="D187" s="22"/>
      <c r="E187" s="5"/>
      <c r="F187" s="5"/>
      <c r="G187" s="43"/>
      <c r="H187" s="51"/>
      <c r="J187" s="49" t="str">
        <f t="shared" si="10"/>
        <v/>
      </c>
      <c r="K187" s="52" t="str">
        <f t="shared" si="11"/>
        <v/>
      </c>
      <c r="L187" s="53">
        <f t="shared" si="12"/>
        <v>0</v>
      </c>
      <c r="M187" s="54" t="str">
        <f t="shared" si="13"/>
        <v/>
      </c>
      <c r="N187" s="55">
        <f t="shared" si="14"/>
        <v>0</v>
      </c>
      <c r="O187" s="55">
        <f t="shared" si="15"/>
        <v>0</v>
      </c>
      <c r="P187" s="55">
        <f>IF($C187="",0,COUNTIFS($J$80:$J187,$J187,$M$80:$M187,$M187,$C$80:$C187,$C187))</f>
        <v>0</v>
      </c>
      <c r="Q187" s="55">
        <f t="shared" si="16"/>
        <v>0</v>
      </c>
      <c r="R187" s="55">
        <f t="shared" si="17"/>
        <v>0</v>
      </c>
      <c r="S187" s="55">
        <f>IF($C187="",0,COUNTIFS(rl_key,$J187,rl_eff,"&lt;"&amp;$C187)+COUNTIFS($J$80:$J187,$J187,$C$80:$C187,$C187))</f>
        <v>0</v>
      </c>
    </row>
    <row r="188" spans="1:19" x14ac:dyDescent="0.25">
      <c r="A188" s="5"/>
      <c r="B188" s="5"/>
      <c r="C188" s="45"/>
      <c r="D188" s="22"/>
      <c r="E188" s="5"/>
      <c r="F188" s="5"/>
      <c r="G188" s="43"/>
      <c r="H188" s="51"/>
      <c r="J188" s="49" t="str">
        <f t="shared" si="10"/>
        <v/>
      </c>
      <c r="K188" s="52" t="str">
        <f t="shared" si="11"/>
        <v/>
      </c>
      <c r="L188" s="53">
        <f t="shared" si="12"/>
        <v>0</v>
      </c>
      <c r="M188" s="54" t="str">
        <f t="shared" si="13"/>
        <v/>
      </c>
      <c r="N188" s="55">
        <f t="shared" si="14"/>
        <v>0</v>
      </c>
      <c r="O188" s="55">
        <f t="shared" si="15"/>
        <v>0</v>
      </c>
      <c r="P188" s="55">
        <f>IF($C188="",0,COUNTIFS($J$80:$J188,$J188,$M$80:$M188,$M188,$C$80:$C188,$C188))</f>
        <v>0</v>
      </c>
      <c r="Q188" s="55">
        <f t="shared" si="16"/>
        <v>0</v>
      </c>
      <c r="R188" s="55">
        <f t="shared" si="17"/>
        <v>0</v>
      </c>
      <c r="S188" s="55">
        <f>IF($C188="",0,COUNTIFS(rl_key,$J188,rl_eff,"&lt;"&amp;$C188)+COUNTIFS($J$80:$J188,$J188,$C$80:$C188,$C188))</f>
        <v>0</v>
      </c>
    </row>
    <row r="189" spans="1:19" x14ac:dyDescent="0.25">
      <c r="A189" s="5"/>
      <c r="B189" s="5"/>
      <c r="C189" s="45"/>
      <c r="D189" s="22"/>
      <c r="E189" s="5"/>
      <c r="F189" s="5"/>
      <c r="G189" s="43"/>
      <c r="H189" s="51"/>
      <c r="J189" s="49" t="str">
        <f t="shared" si="10"/>
        <v/>
      </c>
      <c r="K189" s="52" t="str">
        <f t="shared" si="11"/>
        <v/>
      </c>
      <c r="L189" s="53">
        <f t="shared" si="12"/>
        <v>0</v>
      </c>
      <c r="M189" s="54" t="str">
        <f t="shared" si="13"/>
        <v/>
      </c>
      <c r="N189" s="55">
        <f t="shared" si="14"/>
        <v>0</v>
      </c>
      <c r="O189" s="55">
        <f t="shared" si="15"/>
        <v>0</v>
      </c>
      <c r="P189" s="55">
        <f>IF($C189="",0,COUNTIFS($J$80:$J189,$J189,$M$80:$M189,$M189,$C$80:$C189,$C189))</f>
        <v>0</v>
      </c>
      <c r="Q189" s="55">
        <f t="shared" si="16"/>
        <v>0</v>
      </c>
      <c r="R189" s="55">
        <f t="shared" si="17"/>
        <v>0</v>
      </c>
      <c r="S189" s="55">
        <f>IF($C189="",0,COUNTIFS(rl_key,$J189,rl_eff,"&lt;"&amp;$C189)+COUNTIFS($J$80:$J189,$J189,$C$80:$C189,$C189))</f>
        <v>0</v>
      </c>
    </row>
    <row r="190" spans="1:19" x14ac:dyDescent="0.25">
      <c r="A190" s="5"/>
      <c r="B190" s="5"/>
      <c r="C190" s="45"/>
      <c r="D190" s="22"/>
      <c r="E190" s="5"/>
      <c r="F190" s="5"/>
      <c r="G190" s="43"/>
      <c r="H190" s="51"/>
      <c r="J190" s="49" t="str">
        <f t="shared" si="10"/>
        <v/>
      </c>
      <c r="K190" s="52" t="str">
        <f t="shared" si="11"/>
        <v/>
      </c>
      <c r="L190" s="53">
        <f t="shared" si="12"/>
        <v>0</v>
      </c>
      <c r="M190" s="54" t="str">
        <f t="shared" si="13"/>
        <v/>
      </c>
      <c r="N190" s="55">
        <f t="shared" si="14"/>
        <v>0</v>
      </c>
      <c r="O190" s="55">
        <f t="shared" si="15"/>
        <v>0</v>
      </c>
      <c r="P190" s="55">
        <f>IF($C190="",0,COUNTIFS($J$80:$J190,$J190,$M$80:$M190,$M190,$C$80:$C190,$C190))</f>
        <v>0</v>
      </c>
      <c r="Q190" s="55">
        <f t="shared" si="16"/>
        <v>0</v>
      </c>
      <c r="R190" s="55">
        <f t="shared" si="17"/>
        <v>0</v>
      </c>
      <c r="S190" s="55">
        <f>IF($C190="",0,COUNTIFS(rl_key,$J190,rl_eff,"&lt;"&amp;$C190)+COUNTIFS($J$80:$J190,$J190,$C$80:$C190,$C190))</f>
        <v>0</v>
      </c>
    </row>
    <row r="191" spans="1:19" x14ac:dyDescent="0.25">
      <c r="A191" s="5"/>
      <c r="B191" s="5"/>
      <c r="C191" s="45"/>
      <c r="D191" s="22"/>
      <c r="E191" s="5"/>
      <c r="F191" s="5"/>
      <c r="G191" s="43"/>
      <c r="H191" s="51"/>
      <c r="J191" s="49" t="str">
        <f t="shared" si="10"/>
        <v/>
      </c>
      <c r="K191" s="52" t="str">
        <f t="shared" si="11"/>
        <v/>
      </c>
      <c r="L191" s="53">
        <f t="shared" si="12"/>
        <v>0</v>
      </c>
      <c r="M191" s="54" t="str">
        <f t="shared" si="13"/>
        <v/>
      </c>
      <c r="N191" s="55">
        <f t="shared" si="14"/>
        <v>0</v>
      </c>
      <c r="O191" s="55">
        <f t="shared" si="15"/>
        <v>0</v>
      </c>
      <c r="P191" s="55">
        <f>IF($C191="",0,COUNTIFS($J$80:$J191,$J191,$M$80:$M191,$M191,$C$80:$C191,$C191))</f>
        <v>0</v>
      </c>
      <c r="Q191" s="55">
        <f t="shared" si="16"/>
        <v>0</v>
      </c>
      <c r="R191" s="55">
        <f t="shared" si="17"/>
        <v>0</v>
      </c>
      <c r="S191" s="55">
        <f>IF($C191="",0,COUNTIFS(rl_key,$J191,rl_eff,"&lt;"&amp;$C191)+COUNTIFS($J$80:$J191,$J191,$C$80:$C191,$C191))</f>
        <v>0</v>
      </c>
    </row>
    <row r="192" spans="1:19" x14ac:dyDescent="0.25">
      <c r="A192" s="5"/>
      <c r="B192" s="5"/>
      <c r="C192" s="45"/>
      <c r="D192" s="22"/>
      <c r="E192" s="5"/>
      <c r="F192" s="5"/>
      <c r="G192" s="43"/>
      <c r="H192" s="51"/>
      <c r="J192" s="49" t="str">
        <f t="shared" si="10"/>
        <v/>
      </c>
      <c r="K192" s="52" t="str">
        <f t="shared" si="11"/>
        <v/>
      </c>
      <c r="L192" s="53">
        <f t="shared" si="12"/>
        <v>0</v>
      </c>
      <c r="M192" s="54" t="str">
        <f t="shared" si="13"/>
        <v/>
      </c>
      <c r="N192" s="55">
        <f t="shared" si="14"/>
        <v>0</v>
      </c>
      <c r="O192" s="55">
        <f t="shared" si="15"/>
        <v>0</v>
      </c>
      <c r="P192" s="55">
        <f>IF($C192="",0,COUNTIFS($J$80:$J192,$J192,$M$80:$M192,$M192,$C$80:$C192,$C192))</f>
        <v>0</v>
      </c>
      <c r="Q192" s="55">
        <f t="shared" si="16"/>
        <v>0</v>
      </c>
      <c r="R192" s="55">
        <f t="shared" si="17"/>
        <v>0</v>
      </c>
      <c r="S192" s="55">
        <f>IF($C192="",0,COUNTIFS(rl_key,$J192,rl_eff,"&lt;"&amp;$C192)+COUNTIFS($J$80:$J192,$J192,$C$80:$C192,$C192))</f>
        <v>0</v>
      </c>
    </row>
    <row r="193" spans="1:19" x14ac:dyDescent="0.25">
      <c r="A193" s="5"/>
      <c r="B193" s="5"/>
      <c r="C193" s="45"/>
      <c r="D193" s="22"/>
      <c r="E193" s="5"/>
      <c r="F193" s="5"/>
      <c r="G193" s="43"/>
      <c r="H193" s="51"/>
      <c r="J193" s="49" t="str">
        <f t="shared" si="10"/>
        <v/>
      </c>
      <c r="K193" s="52" t="str">
        <f t="shared" si="11"/>
        <v/>
      </c>
      <c r="L193" s="53">
        <f t="shared" si="12"/>
        <v>0</v>
      </c>
      <c r="M193" s="54" t="str">
        <f t="shared" si="13"/>
        <v/>
      </c>
      <c r="N193" s="55">
        <f t="shared" si="14"/>
        <v>0</v>
      </c>
      <c r="O193" s="55">
        <f t="shared" si="15"/>
        <v>0</v>
      </c>
      <c r="P193" s="55">
        <f>IF($C193="",0,COUNTIFS($J$80:$J193,$J193,$M$80:$M193,$M193,$C$80:$C193,$C193))</f>
        <v>0</v>
      </c>
      <c r="Q193" s="55">
        <f t="shared" si="16"/>
        <v>0</v>
      </c>
      <c r="R193" s="55">
        <f t="shared" si="17"/>
        <v>0</v>
      </c>
      <c r="S193" s="55">
        <f>IF($C193="",0,COUNTIFS(rl_key,$J193,rl_eff,"&lt;"&amp;$C193)+COUNTIFS($J$80:$J193,$J193,$C$80:$C193,$C193))</f>
        <v>0</v>
      </c>
    </row>
    <row r="194" spans="1:19" x14ac:dyDescent="0.25">
      <c r="A194" s="5"/>
      <c r="B194" s="5"/>
      <c r="C194" s="45"/>
      <c r="D194" s="22"/>
      <c r="E194" s="5"/>
      <c r="F194" s="5"/>
      <c r="G194" s="43"/>
      <c r="H194" s="51"/>
      <c r="J194" s="49" t="str">
        <f t="shared" si="10"/>
        <v/>
      </c>
      <c r="K194" s="52" t="str">
        <f t="shared" si="11"/>
        <v/>
      </c>
      <c r="L194" s="53">
        <f t="shared" si="12"/>
        <v>0</v>
      </c>
      <c r="M194" s="54" t="str">
        <f t="shared" si="13"/>
        <v/>
      </c>
      <c r="N194" s="55">
        <f t="shared" si="14"/>
        <v>0</v>
      </c>
      <c r="O194" s="55">
        <f t="shared" si="15"/>
        <v>0</v>
      </c>
      <c r="P194" s="55">
        <f>IF($C194="",0,COUNTIFS($J$80:$J194,$J194,$M$80:$M194,$M194,$C$80:$C194,$C194))</f>
        <v>0</v>
      </c>
      <c r="Q194" s="55">
        <f t="shared" si="16"/>
        <v>0</v>
      </c>
      <c r="R194" s="55">
        <f t="shared" si="17"/>
        <v>0</v>
      </c>
      <c r="S194" s="55">
        <f>IF($C194="",0,COUNTIFS(rl_key,$J194,rl_eff,"&lt;"&amp;$C194)+COUNTIFS($J$80:$J194,$J194,$C$80:$C194,$C194))</f>
        <v>0</v>
      </c>
    </row>
    <row r="195" spans="1:19" x14ac:dyDescent="0.25">
      <c r="A195" s="5"/>
      <c r="B195" s="5"/>
      <c r="C195" s="45"/>
      <c r="D195" s="22"/>
      <c r="E195" s="5"/>
      <c r="F195" s="5"/>
      <c r="G195" s="43"/>
      <c r="H195" s="51"/>
      <c r="J195" s="49" t="str">
        <f t="shared" si="10"/>
        <v/>
      </c>
      <c r="K195" s="52" t="str">
        <f t="shared" si="11"/>
        <v/>
      </c>
      <c r="L195" s="53">
        <f t="shared" si="12"/>
        <v>0</v>
      </c>
      <c r="M195" s="54" t="str">
        <f t="shared" si="13"/>
        <v/>
      </c>
      <c r="N195" s="55">
        <f t="shared" si="14"/>
        <v>0</v>
      </c>
      <c r="O195" s="55">
        <f t="shared" si="15"/>
        <v>0</v>
      </c>
      <c r="P195" s="55">
        <f>IF($C195="",0,COUNTIFS($J$80:$J195,$J195,$M$80:$M195,$M195,$C$80:$C195,$C195))</f>
        <v>0</v>
      </c>
      <c r="Q195" s="55">
        <f t="shared" si="16"/>
        <v>0</v>
      </c>
      <c r="R195" s="55">
        <f t="shared" si="17"/>
        <v>0</v>
      </c>
      <c r="S195" s="55">
        <f>IF($C195="",0,COUNTIFS(rl_key,$J195,rl_eff,"&lt;"&amp;$C195)+COUNTIFS($J$80:$J195,$J195,$C$80:$C195,$C195))</f>
        <v>0</v>
      </c>
    </row>
    <row r="196" spans="1:19" x14ac:dyDescent="0.25">
      <c r="A196" s="5"/>
      <c r="B196" s="5"/>
      <c r="C196" s="45"/>
      <c r="D196" s="22"/>
      <c r="E196" s="5"/>
      <c r="F196" s="5"/>
      <c r="G196" s="43"/>
      <c r="H196" s="51"/>
      <c r="J196" s="49" t="str">
        <f t="shared" si="10"/>
        <v/>
      </c>
      <c r="K196" s="52" t="str">
        <f t="shared" si="11"/>
        <v/>
      </c>
      <c r="L196" s="53">
        <f t="shared" si="12"/>
        <v>0</v>
      </c>
      <c r="M196" s="54" t="str">
        <f t="shared" si="13"/>
        <v/>
      </c>
      <c r="N196" s="55">
        <f t="shared" si="14"/>
        <v>0</v>
      </c>
      <c r="O196" s="55">
        <f t="shared" si="15"/>
        <v>0</v>
      </c>
      <c r="P196" s="55">
        <f>IF($C196="",0,COUNTIFS($J$80:$J196,$J196,$M$80:$M196,$M196,$C$80:$C196,$C196))</f>
        <v>0</v>
      </c>
      <c r="Q196" s="55">
        <f t="shared" si="16"/>
        <v>0</v>
      </c>
      <c r="R196" s="55">
        <f t="shared" si="17"/>
        <v>0</v>
      </c>
      <c r="S196" s="55">
        <f>IF($C196="",0,COUNTIFS(rl_key,$J196,rl_eff,"&lt;"&amp;$C196)+COUNTIFS($J$80:$J196,$J196,$C$80:$C196,$C196))</f>
        <v>0</v>
      </c>
    </row>
    <row r="197" spans="1:19" x14ac:dyDescent="0.25">
      <c r="A197" s="5"/>
      <c r="B197" s="5"/>
      <c r="C197" s="45"/>
      <c r="D197" s="22"/>
      <c r="E197" s="5"/>
      <c r="F197" s="5"/>
      <c r="G197" s="43"/>
      <c r="H197" s="51"/>
      <c r="J197" s="49" t="str">
        <f t="shared" si="10"/>
        <v/>
      </c>
      <c r="K197" s="52" t="str">
        <f t="shared" si="11"/>
        <v/>
      </c>
      <c r="L197" s="53">
        <f t="shared" si="12"/>
        <v>0</v>
      </c>
      <c r="M197" s="54" t="str">
        <f t="shared" si="13"/>
        <v/>
      </c>
      <c r="N197" s="55">
        <f t="shared" si="14"/>
        <v>0</v>
      </c>
      <c r="O197" s="55">
        <f t="shared" si="15"/>
        <v>0</v>
      </c>
      <c r="P197" s="55">
        <f>IF($C197="",0,COUNTIFS($J$80:$J197,$J197,$M$80:$M197,$M197,$C$80:$C197,$C197))</f>
        <v>0</v>
      </c>
      <c r="Q197" s="55">
        <f t="shared" si="16"/>
        <v>0</v>
      </c>
      <c r="R197" s="55">
        <f t="shared" si="17"/>
        <v>0</v>
      </c>
      <c r="S197" s="55">
        <f>IF($C197="",0,COUNTIFS(rl_key,$J197,rl_eff,"&lt;"&amp;$C197)+COUNTIFS($J$80:$J197,$J197,$C$80:$C197,$C197))</f>
        <v>0</v>
      </c>
    </row>
    <row r="198" spans="1:19" x14ac:dyDescent="0.25">
      <c r="A198" s="5"/>
      <c r="B198" s="5"/>
      <c r="C198" s="45"/>
      <c r="D198" s="22"/>
      <c r="E198" s="5"/>
      <c r="F198" s="5"/>
      <c r="G198" s="43"/>
      <c r="H198" s="51"/>
      <c r="J198" s="49" t="str">
        <f t="shared" si="10"/>
        <v/>
      </c>
      <c r="K198" s="52" t="str">
        <f t="shared" si="11"/>
        <v/>
      </c>
      <c r="L198" s="53">
        <f t="shared" si="12"/>
        <v>0</v>
      </c>
      <c r="M198" s="54" t="str">
        <f t="shared" si="13"/>
        <v/>
      </c>
      <c r="N198" s="55">
        <f t="shared" si="14"/>
        <v>0</v>
      </c>
      <c r="O198" s="55">
        <f t="shared" si="15"/>
        <v>0</v>
      </c>
      <c r="P198" s="55">
        <f>IF($C198="",0,COUNTIFS($J$80:$J198,$J198,$M$80:$M198,$M198,$C$80:$C198,$C198))</f>
        <v>0</v>
      </c>
      <c r="Q198" s="55">
        <f t="shared" si="16"/>
        <v>0</v>
      </c>
      <c r="R198" s="55">
        <f t="shared" si="17"/>
        <v>0</v>
      </c>
      <c r="S198" s="55">
        <f>IF($C198="",0,COUNTIFS(rl_key,$J198,rl_eff,"&lt;"&amp;$C198)+COUNTIFS($J$80:$J198,$J198,$C$80:$C198,$C198))</f>
        <v>0</v>
      </c>
    </row>
    <row r="199" spans="1:19" x14ac:dyDescent="0.25">
      <c r="A199" s="5"/>
      <c r="B199" s="5"/>
      <c r="C199" s="45"/>
      <c r="D199" s="22"/>
      <c r="E199" s="5"/>
      <c r="F199" s="5"/>
      <c r="G199" s="43"/>
      <c r="H199" s="51"/>
      <c r="J199" s="49" t="str">
        <f t="shared" si="10"/>
        <v/>
      </c>
      <c r="K199" s="52" t="str">
        <f t="shared" si="11"/>
        <v/>
      </c>
      <c r="L199" s="53">
        <f t="shared" si="12"/>
        <v>0</v>
      </c>
      <c r="M199" s="54" t="str">
        <f t="shared" si="13"/>
        <v/>
      </c>
      <c r="N199" s="55">
        <f t="shared" si="14"/>
        <v>0</v>
      </c>
      <c r="O199" s="55">
        <f t="shared" si="15"/>
        <v>0</v>
      </c>
      <c r="P199" s="55">
        <f>IF($C199="",0,COUNTIFS($J$80:$J199,$J199,$M$80:$M199,$M199,$C$80:$C199,$C199))</f>
        <v>0</v>
      </c>
      <c r="Q199" s="55">
        <f t="shared" si="16"/>
        <v>0</v>
      </c>
      <c r="R199" s="55">
        <f t="shared" si="17"/>
        <v>0</v>
      </c>
      <c r="S199" s="55">
        <f>IF($C199="",0,COUNTIFS(rl_key,$J199,rl_eff,"&lt;"&amp;$C199)+COUNTIFS($J$80:$J199,$J199,$C$80:$C199,$C199))</f>
        <v>0</v>
      </c>
    </row>
    <row r="200" spans="1:19" x14ac:dyDescent="0.25">
      <c r="A200" s="5"/>
      <c r="B200" s="5"/>
      <c r="C200" s="45"/>
      <c r="D200" s="22"/>
      <c r="E200" s="5"/>
      <c r="F200" s="5"/>
      <c r="G200" s="43"/>
      <c r="H200" s="51"/>
      <c r="J200" s="49" t="str">
        <f t="shared" si="10"/>
        <v/>
      </c>
      <c r="K200" s="52" t="str">
        <f t="shared" si="11"/>
        <v/>
      </c>
      <c r="L200" s="53">
        <f t="shared" si="12"/>
        <v>0</v>
      </c>
      <c r="M200" s="54" t="str">
        <f t="shared" si="13"/>
        <v/>
      </c>
      <c r="N200" s="55">
        <f t="shared" si="14"/>
        <v>0</v>
      </c>
      <c r="O200" s="55">
        <f t="shared" si="15"/>
        <v>0</v>
      </c>
      <c r="P200" s="55">
        <f>IF($C200="",0,COUNTIFS($J$80:$J200,$J200,$M$80:$M200,$M200,$C$80:$C200,$C200))</f>
        <v>0</v>
      </c>
      <c r="Q200" s="55">
        <f t="shared" si="16"/>
        <v>0</v>
      </c>
      <c r="R200" s="55">
        <f t="shared" si="17"/>
        <v>0</v>
      </c>
      <c r="S200" s="55">
        <f>IF($C200="",0,COUNTIFS(rl_key,$J200,rl_eff,"&lt;"&amp;$C200)+COUNTIFS($J$80:$J200,$J200,$C$80:$C200,$C200))</f>
        <v>0</v>
      </c>
    </row>
    <row r="201" spans="1:19" x14ac:dyDescent="0.25">
      <c r="A201" s="5"/>
      <c r="B201" s="5"/>
      <c r="C201" s="45"/>
      <c r="D201" s="22"/>
      <c r="E201" s="5"/>
      <c r="F201" s="5"/>
      <c r="G201" s="43"/>
      <c r="H201" s="51"/>
      <c r="J201" s="49" t="str">
        <f t="shared" si="10"/>
        <v/>
      </c>
      <c r="K201" s="52" t="str">
        <f t="shared" si="11"/>
        <v/>
      </c>
      <c r="L201" s="53">
        <f t="shared" si="12"/>
        <v>0</v>
      </c>
      <c r="M201" s="54" t="str">
        <f t="shared" si="13"/>
        <v/>
      </c>
      <c r="N201" s="55">
        <f t="shared" si="14"/>
        <v>0</v>
      </c>
      <c r="O201" s="55">
        <f t="shared" si="15"/>
        <v>0</v>
      </c>
      <c r="P201" s="55">
        <f>IF($C201="",0,COUNTIFS($J$80:$J201,$J201,$M$80:$M201,$M201,$C$80:$C201,$C201))</f>
        <v>0</v>
      </c>
      <c r="Q201" s="55">
        <f t="shared" si="16"/>
        <v>0</v>
      </c>
      <c r="R201" s="55">
        <f t="shared" si="17"/>
        <v>0</v>
      </c>
      <c r="S201" s="55">
        <f>IF($C201="",0,COUNTIFS(rl_key,$J201,rl_eff,"&lt;"&amp;$C201)+COUNTIFS($J$80:$J201,$J201,$C$80:$C201,$C201))</f>
        <v>0</v>
      </c>
    </row>
    <row r="202" spans="1:19" x14ac:dyDescent="0.25">
      <c r="A202" s="5"/>
      <c r="B202" s="5"/>
      <c r="C202" s="45"/>
      <c r="D202" s="22"/>
      <c r="E202" s="5"/>
      <c r="F202" s="5"/>
      <c r="G202" s="43"/>
      <c r="H202" s="51"/>
      <c r="J202" s="49" t="str">
        <f t="shared" si="10"/>
        <v/>
      </c>
      <c r="K202" s="52" t="str">
        <f t="shared" si="11"/>
        <v/>
      </c>
      <c r="L202" s="53">
        <f t="shared" si="12"/>
        <v>0</v>
      </c>
      <c r="M202" s="54" t="str">
        <f t="shared" si="13"/>
        <v/>
      </c>
      <c r="N202" s="55">
        <f t="shared" si="14"/>
        <v>0</v>
      </c>
      <c r="O202" s="55">
        <f t="shared" si="15"/>
        <v>0</v>
      </c>
      <c r="P202" s="55">
        <f>IF($C202="",0,COUNTIFS($J$80:$J202,$J202,$M$80:$M202,$M202,$C$80:$C202,$C202))</f>
        <v>0</v>
      </c>
      <c r="Q202" s="55">
        <f t="shared" si="16"/>
        <v>0</v>
      </c>
      <c r="R202" s="55">
        <f t="shared" si="17"/>
        <v>0</v>
      </c>
      <c r="S202" s="55">
        <f>IF($C202="",0,COUNTIFS(rl_key,$J202,rl_eff,"&lt;"&amp;$C202)+COUNTIFS($J$80:$J202,$J202,$C$80:$C202,$C202))</f>
        <v>0</v>
      </c>
    </row>
    <row r="203" spans="1:19" x14ac:dyDescent="0.25">
      <c r="A203" s="5"/>
      <c r="B203" s="5"/>
      <c r="C203" s="45"/>
      <c r="D203" s="22"/>
      <c r="E203" s="5"/>
      <c r="F203" s="5"/>
      <c r="G203" s="43"/>
      <c r="H203" s="51"/>
      <c r="J203" s="49" t="str">
        <f t="shared" si="10"/>
        <v/>
      </c>
      <c r="K203" s="52" t="str">
        <f t="shared" si="11"/>
        <v/>
      </c>
      <c r="L203" s="53">
        <f t="shared" si="12"/>
        <v>0</v>
      </c>
      <c r="M203" s="54" t="str">
        <f t="shared" si="13"/>
        <v/>
      </c>
      <c r="N203" s="55">
        <f t="shared" si="14"/>
        <v>0</v>
      </c>
      <c r="O203" s="55">
        <f t="shared" si="15"/>
        <v>0</v>
      </c>
      <c r="P203" s="55">
        <f>IF($C203="",0,COUNTIFS($J$80:$J203,$J203,$M$80:$M203,$M203,$C$80:$C203,$C203))</f>
        <v>0</v>
      </c>
      <c r="Q203" s="55">
        <f t="shared" si="16"/>
        <v>0</v>
      </c>
      <c r="R203" s="55">
        <f t="shared" si="17"/>
        <v>0</v>
      </c>
      <c r="S203" s="55">
        <f>IF($C203="",0,COUNTIFS(rl_key,$J203,rl_eff,"&lt;"&amp;$C203)+COUNTIFS($J$80:$J203,$J203,$C$80:$C203,$C203))</f>
        <v>0</v>
      </c>
    </row>
    <row r="204" spans="1:19" x14ac:dyDescent="0.25">
      <c r="A204" s="5"/>
      <c r="B204" s="5"/>
      <c r="C204" s="45"/>
      <c r="D204" s="22"/>
      <c r="E204" s="5"/>
      <c r="F204" s="5"/>
      <c r="G204" s="43"/>
      <c r="H204" s="51"/>
      <c r="J204" s="49" t="str">
        <f t="shared" si="10"/>
        <v/>
      </c>
      <c r="K204" s="52" t="str">
        <f t="shared" si="11"/>
        <v/>
      </c>
      <c r="L204" s="53">
        <f t="shared" si="12"/>
        <v>0</v>
      </c>
      <c r="M204" s="54" t="str">
        <f t="shared" si="13"/>
        <v/>
      </c>
      <c r="N204" s="55">
        <f t="shared" si="14"/>
        <v>0</v>
      </c>
      <c r="O204" s="55">
        <f t="shared" si="15"/>
        <v>0</v>
      </c>
      <c r="P204" s="55">
        <f>IF($C204="",0,COUNTIFS($J$80:$J204,$J204,$M$80:$M204,$M204,$C$80:$C204,$C204))</f>
        <v>0</v>
      </c>
      <c r="Q204" s="55">
        <f t="shared" si="16"/>
        <v>0</v>
      </c>
      <c r="R204" s="55">
        <f t="shared" si="17"/>
        <v>0</v>
      </c>
      <c r="S204" s="55">
        <f>IF($C204="",0,COUNTIFS(rl_key,$J204,rl_eff,"&lt;"&amp;$C204)+COUNTIFS($J$80:$J204,$J204,$C$80:$C204,$C204))</f>
        <v>0</v>
      </c>
    </row>
    <row r="205" spans="1:19" x14ac:dyDescent="0.25">
      <c r="A205" s="5"/>
      <c r="B205" s="5"/>
      <c r="C205" s="45"/>
      <c r="D205" s="22"/>
      <c r="E205" s="5"/>
      <c r="F205" s="5"/>
      <c r="G205" s="43"/>
      <c r="H205" s="51"/>
      <c r="J205" s="49" t="str">
        <f t="shared" si="10"/>
        <v/>
      </c>
      <c r="K205" s="52" t="str">
        <f t="shared" si="11"/>
        <v/>
      </c>
      <c r="L205" s="53">
        <f t="shared" si="12"/>
        <v>0</v>
      </c>
      <c r="M205" s="54" t="str">
        <f t="shared" si="13"/>
        <v/>
      </c>
      <c r="N205" s="55">
        <f t="shared" si="14"/>
        <v>0</v>
      </c>
      <c r="O205" s="55">
        <f t="shared" si="15"/>
        <v>0</v>
      </c>
      <c r="P205" s="55">
        <f>IF($C205="",0,COUNTIFS($J$80:$J205,$J205,$M$80:$M205,$M205,$C$80:$C205,$C205))</f>
        <v>0</v>
      </c>
      <c r="Q205" s="55">
        <f t="shared" si="16"/>
        <v>0</v>
      </c>
      <c r="R205" s="55">
        <f t="shared" si="17"/>
        <v>0</v>
      </c>
      <c r="S205" s="55">
        <f>IF($C205="",0,COUNTIFS(rl_key,$J205,rl_eff,"&lt;"&amp;$C205)+COUNTIFS($J$80:$J205,$J205,$C$80:$C205,$C205))</f>
        <v>0</v>
      </c>
    </row>
    <row r="206" spans="1:19" x14ac:dyDescent="0.25">
      <c r="A206" s="5"/>
      <c r="B206" s="5"/>
      <c r="C206" s="45"/>
      <c r="D206" s="22"/>
      <c r="E206" s="5"/>
      <c r="F206" s="5"/>
      <c r="G206" s="43"/>
      <c r="H206" s="51"/>
      <c r="J206" s="49" t="str">
        <f t="shared" si="10"/>
        <v/>
      </c>
      <c r="K206" s="52" t="str">
        <f t="shared" si="11"/>
        <v/>
      </c>
      <c r="L206" s="53">
        <f t="shared" si="12"/>
        <v>0</v>
      </c>
      <c r="M206" s="54" t="str">
        <f t="shared" si="13"/>
        <v/>
      </c>
      <c r="N206" s="55">
        <f t="shared" si="14"/>
        <v>0</v>
      </c>
      <c r="O206" s="55">
        <f t="shared" si="15"/>
        <v>0</v>
      </c>
      <c r="P206" s="55">
        <f>IF($C206="",0,COUNTIFS($J$80:$J206,$J206,$M$80:$M206,$M206,$C$80:$C206,$C206))</f>
        <v>0</v>
      </c>
      <c r="Q206" s="55">
        <f t="shared" si="16"/>
        <v>0</v>
      </c>
      <c r="R206" s="55">
        <f t="shared" si="17"/>
        <v>0</v>
      </c>
      <c r="S206" s="55">
        <f>IF($C206="",0,COUNTIFS(rl_key,$J206,rl_eff,"&lt;"&amp;$C206)+COUNTIFS($J$80:$J206,$J206,$C$80:$C206,$C206))</f>
        <v>0</v>
      </c>
    </row>
    <row r="207" spans="1:19" x14ac:dyDescent="0.25">
      <c r="A207" s="5"/>
      <c r="B207" s="5"/>
      <c r="C207" s="45"/>
      <c r="D207" s="22"/>
      <c r="E207" s="5"/>
      <c r="F207" s="5"/>
      <c r="G207" s="43"/>
      <c r="H207" s="51"/>
      <c r="J207" s="49" t="str">
        <f t="shared" si="10"/>
        <v/>
      </c>
      <c r="K207" s="52" t="str">
        <f t="shared" si="11"/>
        <v/>
      </c>
      <c r="L207" s="53">
        <f t="shared" si="12"/>
        <v>0</v>
      </c>
      <c r="M207" s="54" t="str">
        <f t="shared" si="13"/>
        <v/>
      </c>
      <c r="N207" s="55">
        <f t="shared" si="14"/>
        <v>0</v>
      </c>
      <c r="O207" s="55">
        <f t="shared" si="15"/>
        <v>0</v>
      </c>
      <c r="P207" s="55">
        <f>IF($C207="",0,COUNTIFS($J$80:$J207,$J207,$M$80:$M207,$M207,$C$80:$C207,$C207))</f>
        <v>0</v>
      </c>
      <c r="Q207" s="55">
        <f t="shared" si="16"/>
        <v>0</v>
      </c>
      <c r="R207" s="55">
        <f t="shared" si="17"/>
        <v>0</v>
      </c>
      <c r="S207" s="55">
        <f>IF($C207="",0,COUNTIFS(rl_key,$J207,rl_eff,"&lt;"&amp;$C207)+COUNTIFS($J$80:$J207,$J207,$C$80:$C207,$C207))</f>
        <v>0</v>
      </c>
    </row>
    <row r="208" spans="1:19" x14ac:dyDescent="0.25">
      <c r="A208" s="5"/>
      <c r="B208" s="5"/>
      <c r="C208" s="45"/>
      <c r="D208" s="22"/>
      <c r="E208" s="5"/>
      <c r="F208" s="5"/>
      <c r="G208" s="43"/>
      <c r="H208" s="51"/>
      <c r="J208" s="49" t="str">
        <f t="shared" ref="J208:J271" si="18">IF(OR($A208="",$B208=""),"",$A208&amp;"|"&amp;$B208)</f>
        <v/>
      </c>
      <c r="K208" s="52" t="str">
        <f t="shared" ref="K208:K271" si="19">IF($C208="","",$D208*IF($E208="planned",IF($G208="",1,$G208),1))</f>
        <v/>
      </c>
      <c r="L208" s="53">
        <f t="shared" ref="L208:L271" si="20">IF($C208="",0,IF(1+$K208&gt;0,LN(1+$K208),0))</f>
        <v>0</v>
      </c>
      <c r="M208" s="54" t="str">
        <f t="shared" ref="M208:M271" si="21">IF($C208="","",DATE(YEAR($C208),MONTH($C208),1))</f>
        <v/>
      </c>
      <c r="N208" s="55">
        <f t="shared" ref="N208:N271" si="22">IF($C208="",0,EOMONTH($C208,0)-$C208+1)</f>
        <v>0</v>
      </c>
      <c r="O208" s="55">
        <f t="shared" ref="O208:O271" si="23">IF($C208="",0,COUNTIFS(rl_key,$J208,rl_effmonth,$M208,rl_eff,"&lt;"&amp;$C208))</f>
        <v>0</v>
      </c>
      <c r="P208" s="55">
        <f>IF($C208="",0,COUNTIFS($J$80:$J208,$J208,$M$80:$M208,$M208,$C$80:$C208,$C208))</f>
        <v>0</v>
      </c>
      <c r="Q208" s="55">
        <f t="shared" ref="Q208:Q271" si="24">IF($C208="",0,IF(AND($O208=0,$P208=1),1,0))</f>
        <v>0</v>
      </c>
      <c r="R208" s="55">
        <f t="shared" ref="R208:R271" si="25">IF($C208="",0,IF(COUNTIFS(rl_key,$J208,rl_effmonth,$M208)&gt;1,1,0))</f>
        <v>0</v>
      </c>
      <c r="S208" s="55">
        <f>IF($C208="",0,COUNTIFS(rl_key,$J208,rl_eff,"&lt;"&amp;$C208)+COUNTIFS($J$80:$J208,$J208,$C$80:$C208,$C208))</f>
        <v>0</v>
      </c>
    </row>
    <row r="209" spans="1:19" x14ac:dyDescent="0.25">
      <c r="A209" s="5"/>
      <c r="B209" s="5"/>
      <c r="C209" s="45"/>
      <c r="D209" s="22"/>
      <c r="E209" s="5"/>
      <c r="F209" s="5"/>
      <c r="G209" s="43"/>
      <c r="H209" s="51"/>
      <c r="J209" s="49" t="str">
        <f t="shared" si="18"/>
        <v/>
      </c>
      <c r="K209" s="52" t="str">
        <f t="shared" si="19"/>
        <v/>
      </c>
      <c r="L209" s="53">
        <f t="shared" si="20"/>
        <v>0</v>
      </c>
      <c r="M209" s="54" t="str">
        <f t="shared" si="21"/>
        <v/>
      </c>
      <c r="N209" s="55">
        <f t="shared" si="22"/>
        <v>0</v>
      </c>
      <c r="O209" s="55">
        <f t="shared" si="23"/>
        <v>0</v>
      </c>
      <c r="P209" s="55">
        <f>IF($C209="",0,COUNTIFS($J$80:$J209,$J209,$M$80:$M209,$M209,$C$80:$C209,$C209))</f>
        <v>0</v>
      </c>
      <c r="Q209" s="55">
        <f t="shared" si="24"/>
        <v>0</v>
      </c>
      <c r="R209" s="55">
        <f t="shared" si="25"/>
        <v>0</v>
      </c>
      <c r="S209" s="55">
        <f>IF($C209="",0,COUNTIFS(rl_key,$J209,rl_eff,"&lt;"&amp;$C209)+COUNTIFS($J$80:$J209,$J209,$C$80:$C209,$C209))</f>
        <v>0</v>
      </c>
    </row>
    <row r="210" spans="1:19" x14ac:dyDescent="0.25">
      <c r="A210" s="5"/>
      <c r="B210" s="5"/>
      <c r="C210" s="45"/>
      <c r="D210" s="22"/>
      <c r="E210" s="5"/>
      <c r="F210" s="5"/>
      <c r="G210" s="43"/>
      <c r="H210" s="51"/>
      <c r="J210" s="49" t="str">
        <f t="shared" si="18"/>
        <v/>
      </c>
      <c r="K210" s="52" t="str">
        <f t="shared" si="19"/>
        <v/>
      </c>
      <c r="L210" s="53">
        <f t="shared" si="20"/>
        <v>0</v>
      </c>
      <c r="M210" s="54" t="str">
        <f t="shared" si="21"/>
        <v/>
      </c>
      <c r="N210" s="55">
        <f t="shared" si="22"/>
        <v>0</v>
      </c>
      <c r="O210" s="55">
        <f t="shared" si="23"/>
        <v>0</v>
      </c>
      <c r="P210" s="55">
        <f>IF($C210="",0,COUNTIFS($J$80:$J210,$J210,$M$80:$M210,$M210,$C$80:$C210,$C210))</f>
        <v>0</v>
      </c>
      <c r="Q210" s="55">
        <f t="shared" si="24"/>
        <v>0</v>
      </c>
      <c r="R210" s="55">
        <f t="shared" si="25"/>
        <v>0</v>
      </c>
      <c r="S210" s="55">
        <f>IF($C210="",0,COUNTIFS(rl_key,$J210,rl_eff,"&lt;"&amp;$C210)+COUNTIFS($J$80:$J210,$J210,$C$80:$C210,$C210))</f>
        <v>0</v>
      </c>
    </row>
    <row r="211" spans="1:19" x14ac:dyDescent="0.25">
      <c r="A211" s="5"/>
      <c r="B211" s="5"/>
      <c r="C211" s="45"/>
      <c r="D211" s="22"/>
      <c r="E211" s="5"/>
      <c r="F211" s="5"/>
      <c r="G211" s="43"/>
      <c r="H211" s="51"/>
      <c r="J211" s="49" t="str">
        <f t="shared" si="18"/>
        <v/>
      </c>
      <c r="K211" s="52" t="str">
        <f t="shared" si="19"/>
        <v/>
      </c>
      <c r="L211" s="53">
        <f t="shared" si="20"/>
        <v>0</v>
      </c>
      <c r="M211" s="54" t="str">
        <f t="shared" si="21"/>
        <v/>
      </c>
      <c r="N211" s="55">
        <f t="shared" si="22"/>
        <v>0</v>
      </c>
      <c r="O211" s="55">
        <f t="shared" si="23"/>
        <v>0</v>
      </c>
      <c r="P211" s="55">
        <f>IF($C211="",0,COUNTIFS($J$80:$J211,$J211,$M$80:$M211,$M211,$C$80:$C211,$C211))</f>
        <v>0</v>
      </c>
      <c r="Q211" s="55">
        <f t="shared" si="24"/>
        <v>0</v>
      </c>
      <c r="R211" s="55">
        <f t="shared" si="25"/>
        <v>0</v>
      </c>
      <c r="S211" s="55">
        <f>IF($C211="",0,COUNTIFS(rl_key,$J211,rl_eff,"&lt;"&amp;$C211)+COUNTIFS($J$80:$J211,$J211,$C$80:$C211,$C211))</f>
        <v>0</v>
      </c>
    </row>
    <row r="212" spans="1:19" x14ac:dyDescent="0.25">
      <c r="A212" s="5"/>
      <c r="B212" s="5"/>
      <c r="C212" s="45"/>
      <c r="D212" s="22"/>
      <c r="E212" s="5"/>
      <c r="F212" s="5"/>
      <c r="G212" s="43"/>
      <c r="H212" s="51"/>
      <c r="J212" s="49" t="str">
        <f t="shared" si="18"/>
        <v/>
      </c>
      <c r="K212" s="52" t="str">
        <f t="shared" si="19"/>
        <v/>
      </c>
      <c r="L212" s="53">
        <f t="shared" si="20"/>
        <v>0</v>
      </c>
      <c r="M212" s="54" t="str">
        <f t="shared" si="21"/>
        <v/>
      </c>
      <c r="N212" s="55">
        <f t="shared" si="22"/>
        <v>0</v>
      </c>
      <c r="O212" s="55">
        <f t="shared" si="23"/>
        <v>0</v>
      </c>
      <c r="P212" s="55">
        <f>IF($C212="",0,COUNTIFS($J$80:$J212,$J212,$M$80:$M212,$M212,$C$80:$C212,$C212))</f>
        <v>0</v>
      </c>
      <c r="Q212" s="55">
        <f t="shared" si="24"/>
        <v>0</v>
      </c>
      <c r="R212" s="55">
        <f t="shared" si="25"/>
        <v>0</v>
      </c>
      <c r="S212" s="55">
        <f>IF($C212="",0,COUNTIFS(rl_key,$J212,rl_eff,"&lt;"&amp;$C212)+COUNTIFS($J$80:$J212,$J212,$C$80:$C212,$C212))</f>
        <v>0</v>
      </c>
    </row>
    <row r="213" spans="1:19" x14ac:dyDescent="0.25">
      <c r="A213" s="5"/>
      <c r="B213" s="5"/>
      <c r="C213" s="45"/>
      <c r="D213" s="22"/>
      <c r="E213" s="5"/>
      <c r="F213" s="5"/>
      <c r="G213" s="43"/>
      <c r="H213" s="51"/>
      <c r="J213" s="49" t="str">
        <f t="shared" si="18"/>
        <v/>
      </c>
      <c r="K213" s="52" t="str">
        <f t="shared" si="19"/>
        <v/>
      </c>
      <c r="L213" s="53">
        <f t="shared" si="20"/>
        <v>0</v>
      </c>
      <c r="M213" s="54" t="str">
        <f t="shared" si="21"/>
        <v/>
      </c>
      <c r="N213" s="55">
        <f t="shared" si="22"/>
        <v>0</v>
      </c>
      <c r="O213" s="55">
        <f t="shared" si="23"/>
        <v>0</v>
      </c>
      <c r="P213" s="55">
        <f>IF($C213="",0,COUNTIFS($J$80:$J213,$J213,$M$80:$M213,$M213,$C$80:$C213,$C213))</f>
        <v>0</v>
      </c>
      <c r="Q213" s="55">
        <f t="shared" si="24"/>
        <v>0</v>
      </c>
      <c r="R213" s="55">
        <f t="shared" si="25"/>
        <v>0</v>
      </c>
      <c r="S213" s="55">
        <f>IF($C213="",0,COUNTIFS(rl_key,$J213,rl_eff,"&lt;"&amp;$C213)+COUNTIFS($J$80:$J213,$J213,$C$80:$C213,$C213))</f>
        <v>0</v>
      </c>
    </row>
    <row r="214" spans="1:19" x14ac:dyDescent="0.25">
      <c r="A214" s="5"/>
      <c r="B214" s="5"/>
      <c r="C214" s="45"/>
      <c r="D214" s="22"/>
      <c r="E214" s="5"/>
      <c r="F214" s="5"/>
      <c r="G214" s="43"/>
      <c r="H214" s="51"/>
      <c r="J214" s="49" t="str">
        <f t="shared" si="18"/>
        <v/>
      </c>
      <c r="K214" s="52" t="str">
        <f t="shared" si="19"/>
        <v/>
      </c>
      <c r="L214" s="53">
        <f t="shared" si="20"/>
        <v>0</v>
      </c>
      <c r="M214" s="54" t="str">
        <f t="shared" si="21"/>
        <v/>
      </c>
      <c r="N214" s="55">
        <f t="shared" si="22"/>
        <v>0</v>
      </c>
      <c r="O214" s="55">
        <f t="shared" si="23"/>
        <v>0</v>
      </c>
      <c r="P214" s="55">
        <f>IF($C214="",0,COUNTIFS($J$80:$J214,$J214,$M$80:$M214,$M214,$C$80:$C214,$C214))</f>
        <v>0</v>
      </c>
      <c r="Q214" s="55">
        <f t="shared" si="24"/>
        <v>0</v>
      </c>
      <c r="R214" s="55">
        <f t="shared" si="25"/>
        <v>0</v>
      </c>
      <c r="S214" s="55">
        <f>IF($C214="",0,COUNTIFS(rl_key,$J214,rl_eff,"&lt;"&amp;$C214)+COUNTIFS($J$80:$J214,$J214,$C$80:$C214,$C214))</f>
        <v>0</v>
      </c>
    </row>
    <row r="215" spans="1:19" x14ac:dyDescent="0.25">
      <c r="A215" s="5"/>
      <c r="B215" s="5"/>
      <c r="C215" s="45"/>
      <c r="D215" s="22"/>
      <c r="E215" s="5"/>
      <c r="F215" s="5"/>
      <c r="G215" s="43"/>
      <c r="H215" s="51"/>
      <c r="J215" s="49" t="str">
        <f t="shared" si="18"/>
        <v/>
      </c>
      <c r="K215" s="52" t="str">
        <f t="shared" si="19"/>
        <v/>
      </c>
      <c r="L215" s="53">
        <f t="shared" si="20"/>
        <v>0</v>
      </c>
      <c r="M215" s="54" t="str">
        <f t="shared" si="21"/>
        <v/>
      </c>
      <c r="N215" s="55">
        <f t="shared" si="22"/>
        <v>0</v>
      </c>
      <c r="O215" s="55">
        <f t="shared" si="23"/>
        <v>0</v>
      </c>
      <c r="P215" s="55">
        <f>IF($C215="",0,COUNTIFS($J$80:$J215,$J215,$M$80:$M215,$M215,$C$80:$C215,$C215))</f>
        <v>0</v>
      </c>
      <c r="Q215" s="55">
        <f t="shared" si="24"/>
        <v>0</v>
      </c>
      <c r="R215" s="55">
        <f t="shared" si="25"/>
        <v>0</v>
      </c>
      <c r="S215" s="55">
        <f>IF($C215="",0,COUNTIFS(rl_key,$J215,rl_eff,"&lt;"&amp;$C215)+COUNTIFS($J$80:$J215,$J215,$C$80:$C215,$C215))</f>
        <v>0</v>
      </c>
    </row>
    <row r="216" spans="1:19" x14ac:dyDescent="0.25">
      <c r="A216" s="5"/>
      <c r="B216" s="5"/>
      <c r="C216" s="45"/>
      <c r="D216" s="22"/>
      <c r="E216" s="5"/>
      <c r="F216" s="5"/>
      <c r="G216" s="43"/>
      <c r="H216" s="51"/>
      <c r="J216" s="49" t="str">
        <f t="shared" si="18"/>
        <v/>
      </c>
      <c r="K216" s="52" t="str">
        <f t="shared" si="19"/>
        <v/>
      </c>
      <c r="L216" s="53">
        <f t="shared" si="20"/>
        <v>0</v>
      </c>
      <c r="M216" s="54" t="str">
        <f t="shared" si="21"/>
        <v/>
      </c>
      <c r="N216" s="55">
        <f t="shared" si="22"/>
        <v>0</v>
      </c>
      <c r="O216" s="55">
        <f t="shared" si="23"/>
        <v>0</v>
      </c>
      <c r="P216" s="55">
        <f>IF($C216="",0,COUNTIFS($J$80:$J216,$J216,$M$80:$M216,$M216,$C$80:$C216,$C216))</f>
        <v>0</v>
      </c>
      <c r="Q216" s="55">
        <f t="shared" si="24"/>
        <v>0</v>
      </c>
      <c r="R216" s="55">
        <f t="shared" si="25"/>
        <v>0</v>
      </c>
      <c r="S216" s="55">
        <f>IF($C216="",0,COUNTIFS(rl_key,$J216,rl_eff,"&lt;"&amp;$C216)+COUNTIFS($J$80:$J216,$J216,$C$80:$C216,$C216))</f>
        <v>0</v>
      </c>
    </row>
    <row r="217" spans="1:19" x14ac:dyDescent="0.25">
      <c r="A217" s="5"/>
      <c r="B217" s="5"/>
      <c r="C217" s="45"/>
      <c r="D217" s="22"/>
      <c r="E217" s="5"/>
      <c r="F217" s="5"/>
      <c r="G217" s="43"/>
      <c r="H217" s="51"/>
      <c r="J217" s="49" t="str">
        <f t="shared" si="18"/>
        <v/>
      </c>
      <c r="K217" s="52" t="str">
        <f t="shared" si="19"/>
        <v/>
      </c>
      <c r="L217" s="53">
        <f t="shared" si="20"/>
        <v>0</v>
      </c>
      <c r="M217" s="54" t="str">
        <f t="shared" si="21"/>
        <v/>
      </c>
      <c r="N217" s="55">
        <f t="shared" si="22"/>
        <v>0</v>
      </c>
      <c r="O217" s="55">
        <f t="shared" si="23"/>
        <v>0</v>
      </c>
      <c r="P217" s="55">
        <f>IF($C217="",0,COUNTIFS($J$80:$J217,$J217,$M$80:$M217,$M217,$C$80:$C217,$C217))</f>
        <v>0</v>
      </c>
      <c r="Q217" s="55">
        <f t="shared" si="24"/>
        <v>0</v>
      </c>
      <c r="R217" s="55">
        <f t="shared" si="25"/>
        <v>0</v>
      </c>
      <c r="S217" s="55">
        <f>IF($C217="",0,COUNTIFS(rl_key,$J217,rl_eff,"&lt;"&amp;$C217)+COUNTIFS($J$80:$J217,$J217,$C$80:$C217,$C217))</f>
        <v>0</v>
      </c>
    </row>
    <row r="218" spans="1:19" x14ac:dyDescent="0.25">
      <c r="A218" s="5"/>
      <c r="B218" s="5"/>
      <c r="C218" s="45"/>
      <c r="D218" s="22"/>
      <c r="E218" s="5"/>
      <c r="F218" s="5"/>
      <c r="G218" s="43"/>
      <c r="H218" s="51"/>
      <c r="J218" s="49" t="str">
        <f t="shared" si="18"/>
        <v/>
      </c>
      <c r="K218" s="52" t="str">
        <f t="shared" si="19"/>
        <v/>
      </c>
      <c r="L218" s="53">
        <f t="shared" si="20"/>
        <v>0</v>
      </c>
      <c r="M218" s="54" t="str">
        <f t="shared" si="21"/>
        <v/>
      </c>
      <c r="N218" s="55">
        <f t="shared" si="22"/>
        <v>0</v>
      </c>
      <c r="O218" s="55">
        <f t="shared" si="23"/>
        <v>0</v>
      </c>
      <c r="P218" s="55">
        <f>IF($C218="",0,COUNTIFS($J$80:$J218,$J218,$M$80:$M218,$M218,$C$80:$C218,$C218))</f>
        <v>0</v>
      </c>
      <c r="Q218" s="55">
        <f t="shared" si="24"/>
        <v>0</v>
      </c>
      <c r="R218" s="55">
        <f t="shared" si="25"/>
        <v>0</v>
      </c>
      <c r="S218" s="55">
        <f>IF($C218="",0,COUNTIFS(rl_key,$J218,rl_eff,"&lt;"&amp;$C218)+COUNTIFS($J$80:$J218,$J218,$C$80:$C218,$C218))</f>
        <v>0</v>
      </c>
    </row>
    <row r="219" spans="1:19" x14ac:dyDescent="0.25">
      <c r="A219" s="5"/>
      <c r="B219" s="5"/>
      <c r="C219" s="45"/>
      <c r="D219" s="22"/>
      <c r="E219" s="5"/>
      <c r="F219" s="5"/>
      <c r="G219" s="43"/>
      <c r="H219" s="51"/>
      <c r="J219" s="49" t="str">
        <f t="shared" si="18"/>
        <v/>
      </c>
      <c r="K219" s="52" t="str">
        <f t="shared" si="19"/>
        <v/>
      </c>
      <c r="L219" s="53">
        <f t="shared" si="20"/>
        <v>0</v>
      </c>
      <c r="M219" s="54" t="str">
        <f t="shared" si="21"/>
        <v/>
      </c>
      <c r="N219" s="55">
        <f t="shared" si="22"/>
        <v>0</v>
      </c>
      <c r="O219" s="55">
        <f t="shared" si="23"/>
        <v>0</v>
      </c>
      <c r="P219" s="55">
        <f>IF($C219="",0,COUNTIFS($J$80:$J219,$J219,$M$80:$M219,$M219,$C$80:$C219,$C219))</f>
        <v>0</v>
      </c>
      <c r="Q219" s="55">
        <f t="shared" si="24"/>
        <v>0</v>
      </c>
      <c r="R219" s="55">
        <f t="shared" si="25"/>
        <v>0</v>
      </c>
      <c r="S219" s="55">
        <f>IF($C219="",0,COUNTIFS(rl_key,$J219,rl_eff,"&lt;"&amp;$C219)+COUNTIFS($J$80:$J219,$J219,$C$80:$C219,$C219))</f>
        <v>0</v>
      </c>
    </row>
    <row r="220" spans="1:19" x14ac:dyDescent="0.25">
      <c r="A220" s="5"/>
      <c r="B220" s="5"/>
      <c r="C220" s="45"/>
      <c r="D220" s="22"/>
      <c r="E220" s="5"/>
      <c r="F220" s="5"/>
      <c r="G220" s="43"/>
      <c r="H220" s="51"/>
      <c r="J220" s="49" t="str">
        <f t="shared" si="18"/>
        <v/>
      </c>
      <c r="K220" s="52" t="str">
        <f t="shared" si="19"/>
        <v/>
      </c>
      <c r="L220" s="53">
        <f t="shared" si="20"/>
        <v>0</v>
      </c>
      <c r="M220" s="54" t="str">
        <f t="shared" si="21"/>
        <v/>
      </c>
      <c r="N220" s="55">
        <f t="shared" si="22"/>
        <v>0</v>
      </c>
      <c r="O220" s="55">
        <f t="shared" si="23"/>
        <v>0</v>
      </c>
      <c r="P220" s="55">
        <f>IF($C220="",0,COUNTIFS($J$80:$J220,$J220,$M$80:$M220,$M220,$C$80:$C220,$C220))</f>
        <v>0</v>
      </c>
      <c r="Q220" s="55">
        <f t="shared" si="24"/>
        <v>0</v>
      </c>
      <c r="R220" s="55">
        <f t="shared" si="25"/>
        <v>0</v>
      </c>
      <c r="S220" s="55">
        <f>IF($C220="",0,COUNTIFS(rl_key,$J220,rl_eff,"&lt;"&amp;$C220)+COUNTIFS($J$80:$J220,$J220,$C$80:$C220,$C220))</f>
        <v>0</v>
      </c>
    </row>
    <row r="221" spans="1:19" x14ac:dyDescent="0.25">
      <c r="A221" s="5"/>
      <c r="B221" s="5"/>
      <c r="C221" s="45"/>
      <c r="D221" s="22"/>
      <c r="E221" s="5"/>
      <c r="F221" s="5"/>
      <c r="G221" s="43"/>
      <c r="H221" s="51"/>
      <c r="J221" s="49" t="str">
        <f t="shared" si="18"/>
        <v/>
      </c>
      <c r="K221" s="52" t="str">
        <f t="shared" si="19"/>
        <v/>
      </c>
      <c r="L221" s="53">
        <f t="shared" si="20"/>
        <v>0</v>
      </c>
      <c r="M221" s="54" t="str">
        <f t="shared" si="21"/>
        <v/>
      </c>
      <c r="N221" s="55">
        <f t="shared" si="22"/>
        <v>0</v>
      </c>
      <c r="O221" s="55">
        <f t="shared" si="23"/>
        <v>0</v>
      </c>
      <c r="P221" s="55">
        <f>IF($C221="",0,COUNTIFS($J$80:$J221,$J221,$M$80:$M221,$M221,$C$80:$C221,$C221))</f>
        <v>0</v>
      </c>
      <c r="Q221" s="55">
        <f t="shared" si="24"/>
        <v>0</v>
      </c>
      <c r="R221" s="55">
        <f t="shared" si="25"/>
        <v>0</v>
      </c>
      <c r="S221" s="55">
        <f>IF($C221="",0,COUNTIFS(rl_key,$J221,rl_eff,"&lt;"&amp;$C221)+COUNTIFS($J$80:$J221,$J221,$C$80:$C221,$C221))</f>
        <v>0</v>
      </c>
    </row>
    <row r="222" spans="1:19" x14ac:dyDescent="0.25">
      <c r="A222" s="5"/>
      <c r="B222" s="5"/>
      <c r="C222" s="45"/>
      <c r="D222" s="22"/>
      <c r="E222" s="5"/>
      <c r="F222" s="5"/>
      <c r="G222" s="43"/>
      <c r="H222" s="51"/>
      <c r="J222" s="49" t="str">
        <f t="shared" si="18"/>
        <v/>
      </c>
      <c r="K222" s="52" t="str">
        <f t="shared" si="19"/>
        <v/>
      </c>
      <c r="L222" s="53">
        <f t="shared" si="20"/>
        <v>0</v>
      </c>
      <c r="M222" s="54" t="str">
        <f t="shared" si="21"/>
        <v/>
      </c>
      <c r="N222" s="55">
        <f t="shared" si="22"/>
        <v>0</v>
      </c>
      <c r="O222" s="55">
        <f t="shared" si="23"/>
        <v>0</v>
      </c>
      <c r="P222" s="55">
        <f>IF($C222="",0,COUNTIFS($J$80:$J222,$J222,$M$80:$M222,$M222,$C$80:$C222,$C222))</f>
        <v>0</v>
      </c>
      <c r="Q222" s="55">
        <f t="shared" si="24"/>
        <v>0</v>
      </c>
      <c r="R222" s="55">
        <f t="shared" si="25"/>
        <v>0</v>
      </c>
      <c r="S222" s="55">
        <f>IF($C222="",0,COUNTIFS(rl_key,$J222,rl_eff,"&lt;"&amp;$C222)+COUNTIFS($J$80:$J222,$J222,$C$80:$C222,$C222))</f>
        <v>0</v>
      </c>
    </row>
    <row r="223" spans="1:19" x14ac:dyDescent="0.25">
      <c r="A223" s="5"/>
      <c r="B223" s="5"/>
      <c r="C223" s="45"/>
      <c r="D223" s="22"/>
      <c r="E223" s="5"/>
      <c r="F223" s="5"/>
      <c r="G223" s="43"/>
      <c r="H223" s="51"/>
      <c r="J223" s="49" t="str">
        <f t="shared" si="18"/>
        <v/>
      </c>
      <c r="K223" s="52" t="str">
        <f t="shared" si="19"/>
        <v/>
      </c>
      <c r="L223" s="53">
        <f t="shared" si="20"/>
        <v>0</v>
      </c>
      <c r="M223" s="54" t="str">
        <f t="shared" si="21"/>
        <v/>
      </c>
      <c r="N223" s="55">
        <f t="shared" si="22"/>
        <v>0</v>
      </c>
      <c r="O223" s="55">
        <f t="shared" si="23"/>
        <v>0</v>
      </c>
      <c r="P223" s="55">
        <f>IF($C223="",0,COUNTIFS($J$80:$J223,$J223,$M$80:$M223,$M223,$C$80:$C223,$C223))</f>
        <v>0</v>
      </c>
      <c r="Q223" s="55">
        <f t="shared" si="24"/>
        <v>0</v>
      </c>
      <c r="R223" s="55">
        <f t="shared" si="25"/>
        <v>0</v>
      </c>
      <c r="S223" s="55">
        <f>IF($C223="",0,COUNTIFS(rl_key,$J223,rl_eff,"&lt;"&amp;$C223)+COUNTIFS($J$80:$J223,$J223,$C$80:$C223,$C223))</f>
        <v>0</v>
      </c>
    </row>
    <row r="224" spans="1:19" x14ac:dyDescent="0.25">
      <c r="A224" s="5"/>
      <c r="B224" s="5"/>
      <c r="C224" s="45"/>
      <c r="D224" s="22"/>
      <c r="E224" s="5"/>
      <c r="F224" s="5"/>
      <c r="G224" s="43"/>
      <c r="H224" s="51"/>
      <c r="J224" s="49" t="str">
        <f t="shared" si="18"/>
        <v/>
      </c>
      <c r="K224" s="52" t="str">
        <f t="shared" si="19"/>
        <v/>
      </c>
      <c r="L224" s="53">
        <f t="shared" si="20"/>
        <v>0</v>
      </c>
      <c r="M224" s="54" t="str">
        <f t="shared" si="21"/>
        <v/>
      </c>
      <c r="N224" s="55">
        <f t="shared" si="22"/>
        <v>0</v>
      </c>
      <c r="O224" s="55">
        <f t="shared" si="23"/>
        <v>0</v>
      </c>
      <c r="P224" s="55">
        <f>IF($C224="",0,COUNTIFS($J$80:$J224,$J224,$M$80:$M224,$M224,$C$80:$C224,$C224))</f>
        <v>0</v>
      </c>
      <c r="Q224" s="55">
        <f t="shared" si="24"/>
        <v>0</v>
      </c>
      <c r="R224" s="55">
        <f t="shared" si="25"/>
        <v>0</v>
      </c>
      <c r="S224" s="55">
        <f>IF($C224="",0,COUNTIFS(rl_key,$J224,rl_eff,"&lt;"&amp;$C224)+COUNTIFS($J$80:$J224,$J224,$C$80:$C224,$C224))</f>
        <v>0</v>
      </c>
    </row>
    <row r="225" spans="1:19" x14ac:dyDescent="0.25">
      <c r="A225" s="5"/>
      <c r="B225" s="5"/>
      <c r="C225" s="45"/>
      <c r="D225" s="22"/>
      <c r="E225" s="5"/>
      <c r="F225" s="5"/>
      <c r="G225" s="43"/>
      <c r="H225" s="51"/>
      <c r="J225" s="49" t="str">
        <f t="shared" si="18"/>
        <v/>
      </c>
      <c r="K225" s="52" t="str">
        <f t="shared" si="19"/>
        <v/>
      </c>
      <c r="L225" s="53">
        <f t="shared" si="20"/>
        <v>0</v>
      </c>
      <c r="M225" s="54" t="str">
        <f t="shared" si="21"/>
        <v/>
      </c>
      <c r="N225" s="55">
        <f t="shared" si="22"/>
        <v>0</v>
      </c>
      <c r="O225" s="55">
        <f t="shared" si="23"/>
        <v>0</v>
      </c>
      <c r="P225" s="55">
        <f>IF($C225="",0,COUNTIFS($J$80:$J225,$J225,$M$80:$M225,$M225,$C$80:$C225,$C225))</f>
        <v>0</v>
      </c>
      <c r="Q225" s="55">
        <f t="shared" si="24"/>
        <v>0</v>
      </c>
      <c r="R225" s="55">
        <f t="shared" si="25"/>
        <v>0</v>
      </c>
      <c r="S225" s="55">
        <f>IF($C225="",0,COUNTIFS(rl_key,$J225,rl_eff,"&lt;"&amp;$C225)+COUNTIFS($J$80:$J225,$J225,$C$80:$C225,$C225))</f>
        <v>0</v>
      </c>
    </row>
    <row r="226" spans="1:19" x14ac:dyDescent="0.25">
      <c r="A226" s="5"/>
      <c r="B226" s="5"/>
      <c r="C226" s="45"/>
      <c r="D226" s="22"/>
      <c r="E226" s="5"/>
      <c r="F226" s="5"/>
      <c r="G226" s="43"/>
      <c r="H226" s="51"/>
      <c r="J226" s="49" t="str">
        <f t="shared" si="18"/>
        <v/>
      </c>
      <c r="K226" s="52" t="str">
        <f t="shared" si="19"/>
        <v/>
      </c>
      <c r="L226" s="53">
        <f t="shared" si="20"/>
        <v>0</v>
      </c>
      <c r="M226" s="54" t="str">
        <f t="shared" si="21"/>
        <v/>
      </c>
      <c r="N226" s="55">
        <f t="shared" si="22"/>
        <v>0</v>
      </c>
      <c r="O226" s="55">
        <f t="shared" si="23"/>
        <v>0</v>
      </c>
      <c r="P226" s="55">
        <f>IF($C226="",0,COUNTIFS($J$80:$J226,$J226,$M$80:$M226,$M226,$C$80:$C226,$C226))</f>
        <v>0</v>
      </c>
      <c r="Q226" s="55">
        <f t="shared" si="24"/>
        <v>0</v>
      </c>
      <c r="R226" s="55">
        <f t="shared" si="25"/>
        <v>0</v>
      </c>
      <c r="S226" s="55">
        <f>IF($C226="",0,COUNTIFS(rl_key,$J226,rl_eff,"&lt;"&amp;$C226)+COUNTIFS($J$80:$J226,$J226,$C$80:$C226,$C226))</f>
        <v>0</v>
      </c>
    </row>
    <row r="227" spans="1:19" x14ac:dyDescent="0.25">
      <c r="A227" s="5"/>
      <c r="B227" s="5"/>
      <c r="C227" s="45"/>
      <c r="D227" s="22"/>
      <c r="E227" s="5"/>
      <c r="F227" s="5"/>
      <c r="G227" s="43"/>
      <c r="H227" s="51"/>
      <c r="J227" s="49" t="str">
        <f t="shared" si="18"/>
        <v/>
      </c>
      <c r="K227" s="52" t="str">
        <f t="shared" si="19"/>
        <v/>
      </c>
      <c r="L227" s="53">
        <f t="shared" si="20"/>
        <v>0</v>
      </c>
      <c r="M227" s="54" t="str">
        <f t="shared" si="21"/>
        <v/>
      </c>
      <c r="N227" s="55">
        <f t="shared" si="22"/>
        <v>0</v>
      </c>
      <c r="O227" s="55">
        <f t="shared" si="23"/>
        <v>0</v>
      </c>
      <c r="P227" s="55">
        <f>IF($C227="",0,COUNTIFS($J$80:$J227,$J227,$M$80:$M227,$M227,$C$80:$C227,$C227))</f>
        <v>0</v>
      </c>
      <c r="Q227" s="55">
        <f t="shared" si="24"/>
        <v>0</v>
      </c>
      <c r="R227" s="55">
        <f t="shared" si="25"/>
        <v>0</v>
      </c>
      <c r="S227" s="55">
        <f>IF($C227="",0,COUNTIFS(rl_key,$J227,rl_eff,"&lt;"&amp;$C227)+COUNTIFS($J$80:$J227,$J227,$C$80:$C227,$C227))</f>
        <v>0</v>
      </c>
    </row>
    <row r="228" spans="1:19" x14ac:dyDescent="0.25">
      <c r="A228" s="5"/>
      <c r="B228" s="5"/>
      <c r="C228" s="45"/>
      <c r="D228" s="22"/>
      <c r="E228" s="5"/>
      <c r="F228" s="5"/>
      <c r="G228" s="43"/>
      <c r="H228" s="51"/>
      <c r="J228" s="49" t="str">
        <f t="shared" si="18"/>
        <v/>
      </c>
      <c r="K228" s="52" t="str">
        <f t="shared" si="19"/>
        <v/>
      </c>
      <c r="L228" s="53">
        <f t="shared" si="20"/>
        <v>0</v>
      </c>
      <c r="M228" s="54" t="str">
        <f t="shared" si="21"/>
        <v/>
      </c>
      <c r="N228" s="55">
        <f t="shared" si="22"/>
        <v>0</v>
      </c>
      <c r="O228" s="55">
        <f t="shared" si="23"/>
        <v>0</v>
      </c>
      <c r="P228" s="55">
        <f>IF($C228="",0,COUNTIFS($J$80:$J228,$J228,$M$80:$M228,$M228,$C$80:$C228,$C228))</f>
        <v>0</v>
      </c>
      <c r="Q228" s="55">
        <f t="shared" si="24"/>
        <v>0</v>
      </c>
      <c r="R228" s="55">
        <f t="shared" si="25"/>
        <v>0</v>
      </c>
      <c r="S228" s="55">
        <f>IF($C228="",0,COUNTIFS(rl_key,$J228,rl_eff,"&lt;"&amp;$C228)+COUNTIFS($J$80:$J228,$J228,$C$80:$C228,$C228))</f>
        <v>0</v>
      </c>
    </row>
    <row r="229" spans="1:19" x14ac:dyDescent="0.25">
      <c r="A229" s="5"/>
      <c r="B229" s="5"/>
      <c r="C229" s="45"/>
      <c r="D229" s="22"/>
      <c r="E229" s="5"/>
      <c r="F229" s="5"/>
      <c r="G229" s="43"/>
      <c r="H229" s="51"/>
      <c r="J229" s="49" t="str">
        <f t="shared" si="18"/>
        <v/>
      </c>
      <c r="K229" s="52" t="str">
        <f t="shared" si="19"/>
        <v/>
      </c>
      <c r="L229" s="53">
        <f t="shared" si="20"/>
        <v>0</v>
      </c>
      <c r="M229" s="54" t="str">
        <f t="shared" si="21"/>
        <v/>
      </c>
      <c r="N229" s="55">
        <f t="shared" si="22"/>
        <v>0</v>
      </c>
      <c r="O229" s="55">
        <f t="shared" si="23"/>
        <v>0</v>
      </c>
      <c r="P229" s="55">
        <f>IF($C229="",0,COUNTIFS($J$80:$J229,$J229,$M$80:$M229,$M229,$C$80:$C229,$C229))</f>
        <v>0</v>
      </c>
      <c r="Q229" s="55">
        <f t="shared" si="24"/>
        <v>0</v>
      </c>
      <c r="R229" s="55">
        <f t="shared" si="25"/>
        <v>0</v>
      </c>
      <c r="S229" s="55">
        <f>IF($C229="",0,COUNTIFS(rl_key,$J229,rl_eff,"&lt;"&amp;$C229)+COUNTIFS($J$80:$J229,$J229,$C$80:$C229,$C229))</f>
        <v>0</v>
      </c>
    </row>
    <row r="230" spans="1:19" x14ac:dyDescent="0.25">
      <c r="A230" s="5"/>
      <c r="B230" s="5"/>
      <c r="C230" s="45"/>
      <c r="D230" s="22"/>
      <c r="E230" s="5"/>
      <c r="F230" s="5"/>
      <c r="G230" s="43"/>
      <c r="H230" s="51"/>
      <c r="J230" s="49" t="str">
        <f t="shared" si="18"/>
        <v/>
      </c>
      <c r="K230" s="52" t="str">
        <f t="shared" si="19"/>
        <v/>
      </c>
      <c r="L230" s="53">
        <f t="shared" si="20"/>
        <v>0</v>
      </c>
      <c r="M230" s="54" t="str">
        <f t="shared" si="21"/>
        <v/>
      </c>
      <c r="N230" s="55">
        <f t="shared" si="22"/>
        <v>0</v>
      </c>
      <c r="O230" s="55">
        <f t="shared" si="23"/>
        <v>0</v>
      </c>
      <c r="P230" s="55">
        <f>IF($C230="",0,COUNTIFS($J$80:$J230,$J230,$M$80:$M230,$M230,$C$80:$C230,$C230))</f>
        <v>0</v>
      </c>
      <c r="Q230" s="55">
        <f t="shared" si="24"/>
        <v>0</v>
      </c>
      <c r="R230" s="55">
        <f t="shared" si="25"/>
        <v>0</v>
      </c>
      <c r="S230" s="55">
        <f>IF($C230="",0,COUNTIFS(rl_key,$J230,rl_eff,"&lt;"&amp;$C230)+COUNTIFS($J$80:$J230,$J230,$C$80:$C230,$C230))</f>
        <v>0</v>
      </c>
    </row>
    <row r="231" spans="1:19" x14ac:dyDescent="0.25">
      <c r="A231" s="5"/>
      <c r="B231" s="5"/>
      <c r="C231" s="45"/>
      <c r="D231" s="22"/>
      <c r="E231" s="5"/>
      <c r="F231" s="5"/>
      <c r="G231" s="43"/>
      <c r="H231" s="51"/>
      <c r="J231" s="49" t="str">
        <f t="shared" si="18"/>
        <v/>
      </c>
      <c r="K231" s="52" t="str">
        <f t="shared" si="19"/>
        <v/>
      </c>
      <c r="L231" s="53">
        <f t="shared" si="20"/>
        <v>0</v>
      </c>
      <c r="M231" s="54" t="str">
        <f t="shared" si="21"/>
        <v/>
      </c>
      <c r="N231" s="55">
        <f t="shared" si="22"/>
        <v>0</v>
      </c>
      <c r="O231" s="55">
        <f t="shared" si="23"/>
        <v>0</v>
      </c>
      <c r="P231" s="55">
        <f>IF($C231="",0,COUNTIFS($J$80:$J231,$J231,$M$80:$M231,$M231,$C$80:$C231,$C231))</f>
        <v>0</v>
      </c>
      <c r="Q231" s="55">
        <f t="shared" si="24"/>
        <v>0</v>
      </c>
      <c r="R231" s="55">
        <f t="shared" si="25"/>
        <v>0</v>
      </c>
      <c r="S231" s="55">
        <f>IF($C231="",0,COUNTIFS(rl_key,$J231,rl_eff,"&lt;"&amp;$C231)+COUNTIFS($J$80:$J231,$J231,$C$80:$C231,$C231))</f>
        <v>0</v>
      </c>
    </row>
    <row r="232" spans="1:19" x14ac:dyDescent="0.25">
      <c r="A232" s="5"/>
      <c r="B232" s="5"/>
      <c r="C232" s="45"/>
      <c r="D232" s="22"/>
      <c r="E232" s="5"/>
      <c r="F232" s="5"/>
      <c r="G232" s="43"/>
      <c r="H232" s="51"/>
      <c r="J232" s="49" t="str">
        <f t="shared" si="18"/>
        <v/>
      </c>
      <c r="K232" s="52" t="str">
        <f t="shared" si="19"/>
        <v/>
      </c>
      <c r="L232" s="53">
        <f t="shared" si="20"/>
        <v>0</v>
      </c>
      <c r="M232" s="54" t="str">
        <f t="shared" si="21"/>
        <v/>
      </c>
      <c r="N232" s="55">
        <f t="shared" si="22"/>
        <v>0</v>
      </c>
      <c r="O232" s="55">
        <f t="shared" si="23"/>
        <v>0</v>
      </c>
      <c r="P232" s="55">
        <f>IF($C232="",0,COUNTIFS($J$80:$J232,$J232,$M$80:$M232,$M232,$C$80:$C232,$C232))</f>
        <v>0</v>
      </c>
      <c r="Q232" s="55">
        <f t="shared" si="24"/>
        <v>0</v>
      </c>
      <c r="R232" s="55">
        <f t="shared" si="25"/>
        <v>0</v>
      </c>
      <c r="S232" s="55">
        <f>IF($C232="",0,COUNTIFS(rl_key,$J232,rl_eff,"&lt;"&amp;$C232)+COUNTIFS($J$80:$J232,$J232,$C$80:$C232,$C232))</f>
        <v>0</v>
      </c>
    </row>
    <row r="233" spans="1:19" x14ac:dyDescent="0.25">
      <c r="A233" s="5"/>
      <c r="B233" s="5"/>
      <c r="C233" s="45"/>
      <c r="D233" s="22"/>
      <c r="E233" s="5"/>
      <c r="F233" s="5"/>
      <c r="G233" s="43"/>
      <c r="H233" s="51"/>
      <c r="J233" s="49" t="str">
        <f t="shared" si="18"/>
        <v/>
      </c>
      <c r="K233" s="52" t="str">
        <f t="shared" si="19"/>
        <v/>
      </c>
      <c r="L233" s="53">
        <f t="shared" si="20"/>
        <v>0</v>
      </c>
      <c r="M233" s="54" t="str">
        <f t="shared" si="21"/>
        <v/>
      </c>
      <c r="N233" s="55">
        <f t="shared" si="22"/>
        <v>0</v>
      </c>
      <c r="O233" s="55">
        <f t="shared" si="23"/>
        <v>0</v>
      </c>
      <c r="P233" s="55">
        <f>IF($C233="",0,COUNTIFS($J$80:$J233,$J233,$M$80:$M233,$M233,$C$80:$C233,$C233))</f>
        <v>0</v>
      </c>
      <c r="Q233" s="55">
        <f t="shared" si="24"/>
        <v>0</v>
      </c>
      <c r="R233" s="55">
        <f t="shared" si="25"/>
        <v>0</v>
      </c>
      <c r="S233" s="55">
        <f>IF($C233="",0,COUNTIFS(rl_key,$J233,rl_eff,"&lt;"&amp;$C233)+COUNTIFS($J$80:$J233,$J233,$C$80:$C233,$C233))</f>
        <v>0</v>
      </c>
    </row>
    <row r="234" spans="1:19" x14ac:dyDescent="0.25">
      <c r="A234" s="5"/>
      <c r="B234" s="5"/>
      <c r="C234" s="45"/>
      <c r="D234" s="22"/>
      <c r="E234" s="5"/>
      <c r="F234" s="5"/>
      <c r="G234" s="43"/>
      <c r="H234" s="51"/>
      <c r="J234" s="49" t="str">
        <f t="shared" si="18"/>
        <v/>
      </c>
      <c r="K234" s="52" t="str">
        <f t="shared" si="19"/>
        <v/>
      </c>
      <c r="L234" s="53">
        <f t="shared" si="20"/>
        <v>0</v>
      </c>
      <c r="M234" s="54" t="str">
        <f t="shared" si="21"/>
        <v/>
      </c>
      <c r="N234" s="55">
        <f t="shared" si="22"/>
        <v>0</v>
      </c>
      <c r="O234" s="55">
        <f t="shared" si="23"/>
        <v>0</v>
      </c>
      <c r="P234" s="55">
        <f>IF($C234="",0,COUNTIFS($J$80:$J234,$J234,$M$80:$M234,$M234,$C$80:$C234,$C234))</f>
        <v>0</v>
      </c>
      <c r="Q234" s="55">
        <f t="shared" si="24"/>
        <v>0</v>
      </c>
      <c r="R234" s="55">
        <f t="shared" si="25"/>
        <v>0</v>
      </c>
      <c r="S234" s="55">
        <f>IF($C234="",0,COUNTIFS(rl_key,$J234,rl_eff,"&lt;"&amp;$C234)+COUNTIFS($J$80:$J234,$J234,$C$80:$C234,$C234))</f>
        <v>0</v>
      </c>
    </row>
    <row r="235" spans="1:19" x14ac:dyDescent="0.25">
      <c r="A235" s="5"/>
      <c r="B235" s="5"/>
      <c r="C235" s="45"/>
      <c r="D235" s="22"/>
      <c r="E235" s="5"/>
      <c r="F235" s="5"/>
      <c r="G235" s="43"/>
      <c r="H235" s="51"/>
      <c r="J235" s="49" t="str">
        <f t="shared" si="18"/>
        <v/>
      </c>
      <c r="K235" s="52" t="str">
        <f t="shared" si="19"/>
        <v/>
      </c>
      <c r="L235" s="53">
        <f t="shared" si="20"/>
        <v>0</v>
      </c>
      <c r="M235" s="54" t="str">
        <f t="shared" si="21"/>
        <v/>
      </c>
      <c r="N235" s="55">
        <f t="shared" si="22"/>
        <v>0</v>
      </c>
      <c r="O235" s="55">
        <f t="shared" si="23"/>
        <v>0</v>
      </c>
      <c r="P235" s="55">
        <f>IF($C235="",0,COUNTIFS($J$80:$J235,$J235,$M$80:$M235,$M235,$C$80:$C235,$C235))</f>
        <v>0</v>
      </c>
      <c r="Q235" s="55">
        <f t="shared" si="24"/>
        <v>0</v>
      </c>
      <c r="R235" s="55">
        <f t="shared" si="25"/>
        <v>0</v>
      </c>
      <c r="S235" s="55">
        <f>IF($C235="",0,COUNTIFS(rl_key,$J235,rl_eff,"&lt;"&amp;$C235)+COUNTIFS($J$80:$J235,$J235,$C$80:$C235,$C235))</f>
        <v>0</v>
      </c>
    </row>
    <row r="236" spans="1:19" x14ac:dyDescent="0.25">
      <c r="A236" s="5"/>
      <c r="B236" s="5"/>
      <c r="C236" s="45"/>
      <c r="D236" s="22"/>
      <c r="E236" s="5"/>
      <c r="F236" s="5"/>
      <c r="G236" s="43"/>
      <c r="H236" s="51"/>
      <c r="J236" s="49" t="str">
        <f t="shared" si="18"/>
        <v/>
      </c>
      <c r="K236" s="52" t="str">
        <f t="shared" si="19"/>
        <v/>
      </c>
      <c r="L236" s="53">
        <f t="shared" si="20"/>
        <v>0</v>
      </c>
      <c r="M236" s="54" t="str">
        <f t="shared" si="21"/>
        <v/>
      </c>
      <c r="N236" s="55">
        <f t="shared" si="22"/>
        <v>0</v>
      </c>
      <c r="O236" s="55">
        <f t="shared" si="23"/>
        <v>0</v>
      </c>
      <c r="P236" s="55">
        <f>IF($C236="",0,COUNTIFS($J$80:$J236,$J236,$M$80:$M236,$M236,$C$80:$C236,$C236))</f>
        <v>0</v>
      </c>
      <c r="Q236" s="55">
        <f t="shared" si="24"/>
        <v>0</v>
      </c>
      <c r="R236" s="55">
        <f t="shared" si="25"/>
        <v>0</v>
      </c>
      <c r="S236" s="55">
        <f>IF($C236="",0,COUNTIFS(rl_key,$J236,rl_eff,"&lt;"&amp;$C236)+COUNTIFS($J$80:$J236,$J236,$C$80:$C236,$C236))</f>
        <v>0</v>
      </c>
    </row>
    <row r="237" spans="1:19" x14ac:dyDescent="0.25">
      <c r="A237" s="5"/>
      <c r="B237" s="5"/>
      <c r="C237" s="45"/>
      <c r="D237" s="22"/>
      <c r="E237" s="5"/>
      <c r="F237" s="5"/>
      <c r="G237" s="43"/>
      <c r="H237" s="51"/>
      <c r="J237" s="49" t="str">
        <f t="shared" si="18"/>
        <v/>
      </c>
      <c r="K237" s="52" t="str">
        <f t="shared" si="19"/>
        <v/>
      </c>
      <c r="L237" s="53">
        <f t="shared" si="20"/>
        <v>0</v>
      </c>
      <c r="M237" s="54" t="str">
        <f t="shared" si="21"/>
        <v/>
      </c>
      <c r="N237" s="55">
        <f t="shared" si="22"/>
        <v>0</v>
      </c>
      <c r="O237" s="55">
        <f t="shared" si="23"/>
        <v>0</v>
      </c>
      <c r="P237" s="55">
        <f>IF($C237="",0,COUNTIFS($J$80:$J237,$J237,$M$80:$M237,$M237,$C$80:$C237,$C237))</f>
        <v>0</v>
      </c>
      <c r="Q237" s="55">
        <f t="shared" si="24"/>
        <v>0</v>
      </c>
      <c r="R237" s="55">
        <f t="shared" si="25"/>
        <v>0</v>
      </c>
      <c r="S237" s="55">
        <f>IF($C237="",0,COUNTIFS(rl_key,$J237,rl_eff,"&lt;"&amp;$C237)+COUNTIFS($J$80:$J237,$J237,$C$80:$C237,$C237))</f>
        <v>0</v>
      </c>
    </row>
    <row r="238" spans="1:19" x14ac:dyDescent="0.25">
      <c r="A238" s="5"/>
      <c r="B238" s="5"/>
      <c r="C238" s="45"/>
      <c r="D238" s="22"/>
      <c r="E238" s="5"/>
      <c r="F238" s="5"/>
      <c r="G238" s="43"/>
      <c r="H238" s="51"/>
      <c r="J238" s="49" t="str">
        <f t="shared" si="18"/>
        <v/>
      </c>
      <c r="K238" s="52" t="str">
        <f t="shared" si="19"/>
        <v/>
      </c>
      <c r="L238" s="53">
        <f t="shared" si="20"/>
        <v>0</v>
      </c>
      <c r="M238" s="54" t="str">
        <f t="shared" si="21"/>
        <v/>
      </c>
      <c r="N238" s="55">
        <f t="shared" si="22"/>
        <v>0</v>
      </c>
      <c r="O238" s="55">
        <f t="shared" si="23"/>
        <v>0</v>
      </c>
      <c r="P238" s="55">
        <f>IF($C238="",0,COUNTIFS($J$80:$J238,$J238,$M$80:$M238,$M238,$C$80:$C238,$C238))</f>
        <v>0</v>
      </c>
      <c r="Q238" s="55">
        <f t="shared" si="24"/>
        <v>0</v>
      </c>
      <c r="R238" s="55">
        <f t="shared" si="25"/>
        <v>0</v>
      </c>
      <c r="S238" s="55">
        <f>IF($C238="",0,COUNTIFS(rl_key,$J238,rl_eff,"&lt;"&amp;$C238)+COUNTIFS($J$80:$J238,$J238,$C$80:$C238,$C238))</f>
        <v>0</v>
      </c>
    </row>
    <row r="239" spans="1:19" x14ac:dyDescent="0.25">
      <c r="A239" s="5"/>
      <c r="B239" s="5"/>
      <c r="C239" s="45"/>
      <c r="D239" s="22"/>
      <c r="E239" s="5"/>
      <c r="F239" s="5"/>
      <c r="G239" s="43"/>
      <c r="H239" s="51"/>
      <c r="J239" s="49" t="str">
        <f t="shared" si="18"/>
        <v/>
      </c>
      <c r="K239" s="52" t="str">
        <f t="shared" si="19"/>
        <v/>
      </c>
      <c r="L239" s="53">
        <f t="shared" si="20"/>
        <v>0</v>
      </c>
      <c r="M239" s="54" t="str">
        <f t="shared" si="21"/>
        <v/>
      </c>
      <c r="N239" s="55">
        <f t="shared" si="22"/>
        <v>0</v>
      </c>
      <c r="O239" s="55">
        <f t="shared" si="23"/>
        <v>0</v>
      </c>
      <c r="P239" s="55">
        <f>IF($C239="",0,COUNTIFS($J$80:$J239,$J239,$M$80:$M239,$M239,$C$80:$C239,$C239))</f>
        <v>0</v>
      </c>
      <c r="Q239" s="55">
        <f t="shared" si="24"/>
        <v>0</v>
      </c>
      <c r="R239" s="55">
        <f t="shared" si="25"/>
        <v>0</v>
      </c>
      <c r="S239" s="55">
        <f>IF($C239="",0,COUNTIFS(rl_key,$J239,rl_eff,"&lt;"&amp;$C239)+COUNTIFS($J$80:$J239,$J239,$C$80:$C239,$C239))</f>
        <v>0</v>
      </c>
    </row>
    <row r="240" spans="1:19" x14ac:dyDescent="0.25">
      <c r="A240" s="5"/>
      <c r="B240" s="5"/>
      <c r="C240" s="45"/>
      <c r="D240" s="22"/>
      <c r="E240" s="5"/>
      <c r="F240" s="5"/>
      <c r="G240" s="43"/>
      <c r="H240" s="51"/>
      <c r="J240" s="49" t="str">
        <f t="shared" si="18"/>
        <v/>
      </c>
      <c r="K240" s="52" t="str">
        <f t="shared" si="19"/>
        <v/>
      </c>
      <c r="L240" s="53">
        <f t="shared" si="20"/>
        <v>0</v>
      </c>
      <c r="M240" s="54" t="str">
        <f t="shared" si="21"/>
        <v/>
      </c>
      <c r="N240" s="55">
        <f t="shared" si="22"/>
        <v>0</v>
      </c>
      <c r="O240" s="55">
        <f t="shared" si="23"/>
        <v>0</v>
      </c>
      <c r="P240" s="55">
        <f>IF($C240="",0,COUNTIFS($J$80:$J240,$J240,$M$80:$M240,$M240,$C$80:$C240,$C240))</f>
        <v>0</v>
      </c>
      <c r="Q240" s="55">
        <f t="shared" si="24"/>
        <v>0</v>
      </c>
      <c r="R240" s="55">
        <f t="shared" si="25"/>
        <v>0</v>
      </c>
      <c r="S240" s="55">
        <f>IF($C240="",0,COUNTIFS(rl_key,$J240,rl_eff,"&lt;"&amp;$C240)+COUNTIFS($J$80:$J240,$J240,$C$80:$C240,$C240))</f>
        <v>0</v>
      </c>
    </row>
    <row r="241" spans="1:19" x14ac:dyDescent="0.25">
      <c r="A241" s="5"/>
      <c r="B241" s="5"/>
      <c r="C241" s="45"/>
      <c r="D241" s="22"/>
      <c r="E241" s="5"/>
      <c r="F241" s="5"/>
      <c r="G241" s="43"/>
      <c r="H241" s="51"/>
      <c r="J241" s="49" t="str">
        <f t="shared" si="18"/>
        <v/>
      </c>
      <c r="K241" s="52" t="str">
        <f t="shared" si="19"/>
        <v/>
      </c>
      <c r="L241" s="53">
        <f t="shared" si="20"/>
        <v>0</v>
      </c>
      <c r="M241" s="54" t="str">
        <f t="shared" si="21"/>
        <v/>
      </c>
      <c r="N241" s="55">
        <f t="shared" si="22"/>
        <v>0</v>
      </c>
      <c r="O241" s="55">
        <f t="shared" si="23"/>
        <v>0</v>
      </c>
      <c r="P241" s="55">
        <f>IF($C241="",0,COUNTIFS($J$80:$J241,$J241,$M$80:$M241,$M241,$C$80:$C241,$C241))</f>
        <v>0</v>
      </c>
      <c r="Q241" s="55">
        <f t="shared" si="24"/>
        <v>0</v>
      </c>
      <c r="R241" s="55">
        <f t="shared" si="25"/>
        <v>0</v>
      </c>
      <c r="S241" s="55">
        <f>IF($C241="",0,COUNTIFS(rl_key,$J241,rl_eff,"&lt;"&amp;$C241)+COUNTIFS($J$80:$J241,$J241,$C$80:$C241,$C241))</f>
        <v>0</v>
      </c>
    </row>
    <row r="242" spans="1:19" x14ac:dyDescent="0.25">
      <c r="A242" s="5"/>
      <c r="B242" s="5"/>
      <c r="C242" s="45"/>
      <c r="D242" s="22"/>
      <c r="E242" s="5"/>
      <c r="F242" s="5"/>
      <c r="G242" s="43"/>
      <c r="H242" s="51"/>
      <c r="J242" s="49" t="str">
        <f t="shared" si="18"/>
        <v/>
      </c>
      <c r="K242" s="52" t="str">
        <f t="shared" si="19"/>
        <v/>
      </c>
      <c r="L242" s="53">
        <f t="shared" si="20"/>
        <v>0</v>
      </c>
      <c r="M242" s="54" t="str">
        <f t="shared" si="21"/>
        <v/>
      </c>
      <c r="N242" s="55">
        <f t="shared" si="22"/>
        <v>0</v>
      </c>
      <c r="O242" s="55">
        <f t="shared" si="23"/>
        <v>0</v>
      </c>
      <c r="P242" s="55">
        <f>IF($C242="",0,COUNTIFS($J$80:$J242,$J242,$M$80:$M242,$M242,$C$80:$C242,$C242))</f>
        <v>0</v>
      </c>
      <c r="Q242" s="55">
        <f t="shared" si="24"/>
        <v>0</v>
      </c>
      <c r="R242" s="55">
        <f t="shared" si="25"/>
        <v>0</v>
      </c>
      <c r="S242" s="55">
        <f>IF($C242="",0,COUNTIFS(rl_key,$J242,rl_eff,"&lt;"&amp;$C242)+COUNTIFS($J$80:$J242,$J242,$C$80:$C242,$C242))</f>
        <v>0</v>
      </c>
    </row>
    <row r="243" spans="1:19" x14ac:dyDescent="0.25">
      <c r="A243" s="5"/>
      <c r="B243" s="5"/>
      <c r="C243" s="45"/>
      <c r="D243" s="22"/>
      <c r="E243" s="5"/>
      <c r="F243" s="5"/>
      <c r="G243" s="43"/>
      <c r="H243" s="51"/>
      <c r="J243" s="49" t="str">
        <f t="shared" si="18"/>
        <v/>
      </c>
      <c r="K243" s="52" t="str">
        <f t="shared" si="19"/>
        <v/>
      </c>
      <c r="L243" s="53">
        <f t="shared" si="20"/>
        <v>0</v>
      </c>
      <c r="M243" s="54" t="str">
        <f t="shared" si="21"/>
        <v/>
      </c>
      <c r="N243" s="55">
        <f t="shared" si="22"/>
        <v>0</v>
      </c>
      <c r="O243" s="55">
        <f t="shared" si="23"/>
        <v>0</v>
      </c>
      <c r="P243" s="55">
        <f>IF($C243="",0,COUNTIFS($J$80:$J243,$J243,$M$80:$M243,$M243,$C$80:$C243,$C243))</f>
        <v>0</v>
      </c>
      <c r="Q243" s="55">
        <f t="shared" si="24"/>
        <v>0</v>
      </c>
      <c r="R243" s="55">
        <f t="shared" si="25"/>
        <v>0</v>
      </c>
      <c r="S243" s="55">
        <f>IF($C243="",0,COUNTIFS(rl_key,$J243,rl_eff,"&lt;"&amp;$C243)+COUNTIFS($J$80:$J243,$J243,$C$80:$C243,$C243))</f>
        <v>0</v>
      </c>
    </row>
    <row r="244" spans="1:19" x14ac:dyDescent="0.25">
      <c r="A244" s="5"/>
      <c r="B244" s="5"/>
      <c r="C244" s="45"/>
      <c r="D244" s="22"/>
      <c r="E244" s="5"/>
      <c r="F244" s="5"/>
      <c r="G244" s="43"/>
      <c r="H244" s="51"/>
      <c r="J244" s="49" t="str">
        <f t="shared" si="18"/>
        <v/>
      </c>
      <c r="K244" s="52" t="str">
        <f t="shared" si="19"/>
        <v/>
      </c>
      <c r="L244" s="53">
        <f t="shared" si="20"/>
        <v>0</v>
      </c>
      <c r="M244" s="54" t="str">
        <f t="shared" si="21"/>
        <v/>
      </c>
      <c r="N244" s="55">
        <f t="shared" si="22"/>
        <v>0</v>
      </c>
      <c r="O244" s="55">
        <f t="shared" si="23"/>
        <v>0</v>
      </c>
      <c r="P244" s="55">
        <f>IF($C244="",0,COUNTIFS($J$80:$J244,$J244,$M$80:$M244,$M244,$C$80:$C244,$C244))</f>
        <v>0</v>
      </c>
      <c r="Q244" s="55">
        <f t="shared" si="24"/>
        <v>0</v>
      </c>
      <c r="R244" s="55">
        <f t="shared" si="25"/>
        <v>0</v>
      </c>
      <c r="S244" s="55">
        <f>IF($C244="",0,COUNTIFS(rl_key,$J244,rl_eff,"&lt;"&amp;$C244)+COUNTIFS($J$80:$J244,$J244,$C$80:$C244,$C244))</f>
        <v>0</v>
      </c>
    </row>
    <row r="245" spans="1:19" x14ac:dyDescent="0.25">
      <c r="A245" s="5"/>
      <c r="B245" s="5"/>
      <c r="C245" s="45"/>
      <c r="D245" s="22"/>
      <c r="E245" s="5"/>
      <c r="F245" s="5"/>
      <c r="G245" s="43"/>
      <c r="H245" s="51"/>
      <c r="J245" s="49" t="str">
        <f t="shared" si="18"/>
        <v/>
      </c>
      <c r="K245" s="52" t="str">
        <f t="shared" si="19"/>
        <v/>
      </c>
      <c r="L245" s="53">
        <f t="shared" si="20"/>
        <v>0</v>
      </c>
      <c r="M245" s="54" t="str">
        <f t="shared" si="21"/>
        <v/>
      </c>
      <c r="N245" s="55">
        <f t="shared" si="22"/>
        <v>0</v>
      </c>
      <c r="O245" s="55">
        <f t="shared" si="23"/>
        <v>0</v>
      </c>
      <c r="P245" s="55">
        <f>IF($C245="",0,COUNTIFS($J$80:$J245,$J245,$M$80:$M245,$M245,$C$80:$C245,$C245))</f>
        <v>0</v>
      </c>
      <c r="Q245" s="55">
        <f t="shared" si="24"/>
        <v>0</v>
      </c>
      <c r="R245" s="55">
        <f t="shared" si="25"/>
        <v>0</v>
      </c>
      <c r="S245" s="55">
        <f>IF($C245="",0,COUNTIFS(rl_key,$J245,rl_eff,"&lt;"&amp;$C245)+COUNTIFS($J$80:$J245,$J245,$C$80:$C245,$C245))</f>
        <v>0</v>
      </c>
    </row>
    <row r="246" spans="1:19" x14ac:dyDescent="0.25">
      <c r="A246" s="5"/>
      <c r="B246" s="5"/>
      <c r="C246" s="45"/>
      <c r="D246" s="22"/>
      <c r="E246" s="5"/>
      <c r="F246" s="5"/>
      <c r="G246" s="43"/>
      <c r="H246" s="51"/>
      <c r="J246" s="49" t="str">
        <f t="shared" si="18"/>
        <v/>
      </c>
      <c r="K246" s="52" t="str">
        <f t="shared" si="19"/>
        <v/>
      </c>
      <c r="L246" s="53">
        <f t="shared" si="20"/>
        <v>0</v>
      </c>
      <c r="M246" s="54" t="str">
        <f t="shared" si="21"/>
        <v/>
      </c>
      <c r="N246" s="55">
        <f t="shared" si="22"/>
        <v>0</v>
      </c>
      <c r="O246" s="55">
        <f t="shared" si="23"/>
        <v>0</v>
      </c>
      <c r="P246" s="55">
        <f>IF($C246="",0,COUNTIFS($J$80:$J246,$J246,$M$80:$M246,$M246,$C$80:$C246,$C246))</f>
        <v>0</v>
      </c>
      <c r="Q246" s="55">
        <f t="shared" si="24"/>
        <v>0</v>
      </c>
      <c r="R246" s="55">
        <f t="shared" si="25"/>
        <v>0</v>
      </c>
      <c r="S246" s="55">
        <f>IF($C246="",0,COUNTIFS(rl_key,$J246,rl_eff,"&lt;"&amp;$C246)+COUNTIFS($J$80:$J246,$J246,$C$80:$C246,$C246))</f>
        <v>0</v>
      </c>
    </row>
    <row r="247" spans="1:19" x14ac:dyDescent="0.25">
      <c r="A247" s="5"/>
      <c r="B247" s="5"/>
      <c r="C247" s="45"/>
      <c r="D247" s="22"/>
      <c r="E247" s="5"/>
      <c r="F247" s="5"/>
      <c r="G247" s="43"/>
      <c r="H247" s="51"/>
      <c r="J247" s="49" t="str">
        <f t="shared" si="18"/>
        <v/>
      </c>
      <c r="K247" s="52" t="str">
        <f t="shared" si="19"/>
        <v/>
      </c>
      <c r="L247" s="53">
        <f t="shared" si="20"/>
        <v>0</v>
      </c>
      <c r="M247" s="54" t="str">
        <f t="shared" si="21"/>
        <v/>
      </c>
      <c r="N247" s="55">
        <f t="shared" si="22"/>
        <v>0</v>
      </c>
      <c r="O247" s="55">
        <f t="shared" si="23"/>
        <v>0</v>
      </c>
      <c r="P247" s="55">
        <f>IF($C247="",0,COUNTIFS($J$80:$J247,$J247,$M$80:$M247,$M247,$C$80:$C247,$C247))</f>
        <v>0</v>
      </c>
      <c r="Q247" s="55">
        <f t="shared" si="24"/>
        <v>0</v>
      </c>
      <c r="R247" s="55">
        <f t="shared" si="25"/>
        <v>0</v>
      </c>
      <c r="S247" s="55">
        <f>IF($C247="",0,COUNTIFS(rl_key,$J247,rl_eff,"&lt;"&amp;$C247)+COUNTIFS($J$80:$J247,$J247,$C$80:$C247,$C247))</f>
        <v>0</v>
      </c>
    </row>
    <row r="248" spans="1:19" x14ac:dyDescent="0.25">
      <c r="A248" s="5"/>
      <c r="B248" s="5"/>
      <c r="C248" s="45"/>
      <c r="D248" s="22"/>
      <c r="E248" s="5"/>
      <c r="F248" s="5"/>
      <c r="G248" s="43"/>
      <c r="H248" s="51"/>
      <c r="J248" s="49" t="str">
        <f t="shared" si="18"/>
        <v/>
      </c>
      <c r="K248" s="52" t="str">
        <f t="shared" si="19"/>
        <v/>
      </c>
      <c r="L248" s="53">
        <f t="shared" si="20"/>
        <v>0</v>
      </c>
      <c r="M248" s="54" t="str">
        <f t="shared" si="21"/>
        <v/>
      </c>
      <c r="N248" s="55">
        <f t="shared" si="22"/>
        <v>0</v>
      </c>
      <c r="O248" s="55">
        <f t="shared" si="23"/>
        <v>0</v>
      </c>
      <c r="P248" s="55">
        <f>IF($C248="",0,COUNTIFS($J$80:$J248,$J248,$M$80:$M248,$M248,$C$80:$C248,$C248))</f>
        <v>0</v>
      </c>
      <c r="Q248" s="55">
        <f t="shared" si="24"/>
        <v>0</v>
      </c>
      <c r="R248" s="55">
        <f t="shared" si="25"/>
        <v>0</v>
      </c>
      <c r="S248" s="55">
        <f>IF($C248="",0,COUNTIFS(rl_key,$J248,rl_eff,"&lt;"&amp;$C248)+COUNTIFS($J$80:$J248,$J248,$C$80:$C248,$C248))</f>
        <v>0</v>
      </c>
    </row>
    <row r="249" spans="1:19" x14ac:dyDescent="0.25">
      <c r="A249" s="5"/>
      <c r="B249" s="5"/>
      <c r="C249" s="45"/>
      <c r="D249" s="22"/>
      <c r="E249" s="5"/>
      <c r="F249" s="5"/>
      <c r="G249" s="43"/>
      <c r="H249" s="51"/>
      <c r="J249" s="49" t="str">
        <f t="shared" si="18"/>
        <v/>
      </c>
      <c r="K249" s="52" t="str">
        <f t="shared" si="19"/>
        <v/>
      </c>
      <c r="L249" s="53">
        <f t="shared" si="20"/>
        <v>0</v>
      </c>
      <c r="M249" s="54" t="str">
        <f t="shared" si="21"/>
        <v/>
      </c>
      <c r="N249" s="55">
        <f t="shared" si="22"/>
        <v>0</v>
      </c>
      <c r="O249" s="55">
        <f t="shared" si="23"/>
        <v>0</v>
      </c>
      <c r="P249" s="55">
        <f>IF($C249="",0,COUNTIFS($J$80:$J249,$J249,$M$80:$M249,$M249,$C$80:$C249,$C249))</f>
        <v>0</v>
      </c>
      <c r="Q249" s="55">
        <f t="shared" si="24"/>
        <v>0</v>
      </c>
      <c r="R249" s="55">
        <f t="shared" si="25"/>
        <v>0</v>
      </c>
      <c r="S249" s="55">
        <f>IF($C249="",0,COUNTIFS(rl_key,$J249,rl_eff,"&lt;"&amp;$C249)+COUNTIFS($J$80:$J249,$J249,$C$80:$C249,$C249))</f>
        <v>0</v>
      </c>
    </row>
    <row r="250" spans="1:19" x14ac:dyDescent="0.25">
      <c r="A250" s="5"/>
      <c r="B250" s="5"/>
      <c r="C250" s="45"/>
      <c r="D250" s="22"/>
      <c r="E250" s="5"/>
      <c r="F250" s="5"/>
      <c r="G250" s="43"/>
      <c r="H250" s="51"/>
      <c r="J250" s="49" t="str">
        <f t="shared" si="18"/>
        <v/>
      </c>
      <c r="K250" s="52" t="str">
        <f t="shared" si="19"/>
        <v/>
      </c>
      <c r="L250" s="53">
        <f t="shared" si="20"/>
        <v>0</v>
      </c>
      <c r="M250" s="54" t="str">
        <f t="shared" si="21"/>
        <v/>
      </c>
      <c r="N250" s="55">
        <f t="shared" si="22"/>
        <v>0</v>
      </c>
      <c r="O250" s="55">
        <f t="shared" si="23"/>
        <v>0</v>
      </c>
      <c r="P250" s="55">
        <f>IF($C250="",0,COUNTIFS($J$80:$J250,$J250,$M$80:$M250,$M250,$C$80:$C250,$C250))</f>
        <v>0</v>
      </c>
      <c r="Q250" s="55">
        <f t="shared" si="24"/>
        <v>0</v>
      </c>
      <c r="R250" s="55">
        <f t="shared" si="25"/>
        <v>0</v>
      </c>
      <c r="S250" s="55">
        <f>IF($C250="",0,COUNTIFS(rl_key,$J250,rl_eff,"&lt;"&amp;$C250)+COUNTIFS($J$80:$J250,$J250,$C$80:$C250,$C250))</f>
        <v>0</v>
      </c>
    </row>
    <row r="251" spans="1:19" x14ac:dyDescent="0.25">
      <c r="A251" s="5"/>
      <c r="B251" s="5"/>
      <c r="C251" s="45"/>
      <c r="D251" s="22"/>
      <c r="E251" s="5"/>
      <c r="F251" s="5"/>
      <c r="G251" s="43"/>
      <c r="H251" s="51"/>
      <c r="J251" s="49" t="str">
        <f t="shared" si="18"/>
        <v/>
      </c>
      <c r="K251" s="52" t="str">
        <f t="shared" si="19"/>
        <v/>
      </c>
      <c r="L251" s="53">
        <f t="shared" si="20"/>
        <v>0</v>
      </c>
      <c r="M251" s="54" t="str">
        <f t="shared" si="21"/>
        <v/>
      </c>
      <c r="N251" s="55">
        <f t="shared" si="22"/>
        <v>0</v>
      </c>
      <c r="O251" s="55">
        <f t="shared" si="23"/>
        <v>0</v>
      </c>
      <c r="P251" s="55">
        <f>IF($C251="",0,COUNTIFS($J$80:$J251,$J251,$M$80:$M251,$M251,$C$80:$C251,$C251))</f>
        <v>0</v>
      </c>
      <c r="Q251" s="55">
        <f t="shared" si="24"/>
        <v>0</v>
      </c>
      <c r="R251" s="55">
        <f t="shared" si="25"/>
        <v>0</v>
      </c>
      <c r="S251" s="55">
        <f>IF($C251="",0,COUNTIFS(rl_key,$J251,rl_eff,"&lt;"&amp;$C251)+COUNTIFS($J$80:$J251,$J251,$C$80:$C251,$C251))</f>
        <v>0</v>
      </c>
    </row>
    <row r="252" spans="1:19" x14ac:dyDescent="0.25">
      <c r="A252" s="5"/>
      <c r="B252" s="5"/>
      <c r="C252" s="45"/>
      <c r="D252" s="22"/>
      <c r="E252" s="5"/>
      <c r="F252" s="5"/>
      <c r="G252" s="43"/>
      <c r="H252" s="51"/>
      <c r="J252" s="49" t="str">
        <f t="shared" si="18"/>
        <v/>
      </c>
      <c r="K252" s="52" t="str">
        <f t="shared" si="19"/>
        <v/>
      </c>
      <c r="L252" s="53">
        <f t="shared" si="20"/>
        <v>0</v>
      </c>
      <c r="M252" s="54" t="str">
        <f t="shared" si="21"/>
        <v/>
      </c>
      <c r="N252" s="55">
        <f t="shared" si="22"/>
        <v>0</v>
      </c>
      <c r="O252" s="55">
        <f t="shared" si="23"/>
        <v>0</v>
      </c>
      <c r="P252" s="55">
        <f>IF($C252="",0,COUNTIFS($J$80:$J252,$J252,$M$80:$M252,$M252,$C$80:$C252,$C252))</f>
        <v>0</v>
      </c>
      <c r="Q252" s="55">
        <f t="shared" si="24"/>
        <v>0</v>
      </c>
      <c r="R252" s="55">
        <f t="shared" si="25"/>
        <v>0</v>
      </c>
      <c r="S252" s="55">
        <f>IF($C252="",0,COUNTIFS(rl_key,$J252,rl_eff,"&lt;"&amp;$C252)+COUNTIFS($J$80:$J252,$J252,$C$80:$C252,$C252))</f>
        <v>0</v>
      </c>
    </row>
    <row r="253" spans="1:19" x14ac:dyDescent="0.25">
      <c r="A253" s="5"/>
      <c r="B253" s="5"/>
      <c r="C253" s="45"/>
      <c r="D253" s="22"/>
      <c r="E253" s="5"/>
      <c r="F253" s="5"/>
      <c r="G253" s="43"/>
      <c r="H253" s="51"/>
      <c r="J253" s="49" t="str">
        <f t="shared" si="18"/>
        <v/>
      </c>
      <c r="K253" s="52" t="str">
        <f t="shared" si="19"/>
        <v/>
      </c>
      <c r="L253" s="53">
        <f t="shared" si="20"/>
        <v>0</v>
      </c>
      <c r="M253" s="54" t="str">
        <f t="shared" si="21"/>
        <v/>
      </c>
      <c r="N253" s="55">
        <f t="shared" si="22"/>
        <v>0</v>
      </c>
      <c r="O253" s="55">
        <f t="shared" si="23"/>
        <v>0</v>
      </c>
      <c r="P253" s="55">
        <f>IF($C253="",0,COUNTIFS($J$80:$J253,$J253,$M$80:$M253,$M253,$C$80:$C253,$C253))</f>
        <v>0</v>
      </c>
      <c r="Q253" s="55">
        <f t="shared" si="24"/>
        <v>0</v>
      </c>
      <c r="R253" s="55">
        <f t="shared" si="25"/>
        <v>0</v>
      </c>
      <c r="S253" s="55">
        <f>IF($C253="",0,COUNTIFS(rl_key,$J253,rl_eff,"&lt;"&amp;$C253)+COUNTIFS($J$80:$J253,$J253,$C$80:$C253,$C253))</f>
        <v>0</v>
      </c>
    </row>
    <row r="254" spans="1:19" x14ac:dyDescent="0.25">
      <c r="A254" s="5"/>
      <c r="B254" s="5"/>
      <c r="C254" s="45"/>
      <c r="D254" s="22"/>
      <c r="E254" s="5"/>
      <c r="F254" s="5"/>
      <c r="G254" s="43"/>
      <c r="H254" s="51"/>
      <c r="J254" s="49" t="str">
        <f t="shared" si="18"/>
        <v/>
      </c>
      <c r="K254" s="52" t="str">
        <f t="shared" si="19"/>
        <v/>
      </c>
      <c r="L254" s="53">
        <f t="shared" si="20"/>
        <v>0</v>
      </c>
      <c r="M254" s="54" t="str">
        <f t="shared" si="21"/>
        <v/>
      </c>
      <c r="N254" s="55">
        <f t="shared" si="22"/>
        <v>0</v>
      </c>
      <c r="O254" s="55">
        <f t="shared" si="23"/>
        <v>0</v>
      </c>
      <c r="P254" s="55">
        <f>IF($C254="",0,COUNTIFS($J$80:$J254,$J254,$M$80:$M254,$M254,$C$80:$C254,$C254))</f>
        <v>0</v>
      </c>
      <c r="Q254" s="55">
        <f t="shared" si="24"/>
        <v>0</v>
      </c>
      <c r="R254" s="55">
        <f t="shared" si="25"/>
        <v>0</v>
      </c>
      <c r="S254" s="55">
        <f>IF($C254="",0,COUNTIFS(rl_key,$J254,rl_eff,"&lt;"&amp;$C254)+COUNTIFS($J$80:$J254,$J254,$C$80:$C254,$C254))</f>
        <v>0</v>
      </c>
    </row>
    <row r="255" spans="1:19" x14ac:dyDescent="0.25">
      <c r="A255" s="5"/>
      <c r="B255" s="5"/>
      <c r="C255" s="45"/>
      <c r="D255" s="22"/>
      <c r="E255" s="5"/>
      <c r="F255" s="5"/>
      <c r="G255" s="43"/>
      <c r="H255" s="51"/>
      <c r="J255" s="49" t="str">
        <f t="shared" si="18"/>
        <v/>
      </c>
      <c r="K255" s="52" t="str">
        <f t="shared" si="19"/>
        <v/>
      </c>
      <c r="L255" s="53">
        <f t="shared" si="20"/>
        <v>0</v>
      </c>
      <c r="M255" s="54" t="str">
        <f t="shared" si="21"/>
        <v/>
      </c>
      <c r="N255" s="55">
        <f t="shared" si="22"/>
        <v>0</v>
      </c>
      <c r="O255" s="55">
        <f t="shared" si="23"/>
        <v>0</v>
      </c>
      <c r="P255" s="55">
        <f>IF($C255="",0,COUNTIFS($J$80:$J255,$J255,$M$80:$M255,$M255,$C$80:$C255,$C255))</f>
        <v>0</v>
      </c>
      <c r="Q255" s="55">
        <f t="shared" si="24"/>
        <v>0</v>
      </c>
      <c r="R255" s="55">
        <f t="shared" si="25"/>
        <v>0</v>
      </c>
      <c r="S255" s="55">
        <f>IF($C255="",0,COUNTIFS(rl_key,$J255,rl_eff,"&lt;"&amp;$C255)+COUNTIFS($J$80:$J255,$J255,$C$80:$C255,$C255))</f>
        <v>0</v>
      </c>
    </row>
    <row r="256" spans="1:19" x14ac:dyDescent="0.25">
      <c r="A256" s="5"/>
      <c r="B256" s="5"/>
      <c r="C256" s="45"/>
      <c r="D256" s="22"/>
      <c r="E256" s="5"/>
      <c r="F256" s="5"/>
      <c r="G256" s="43"/>
      <c r="H256" s="51"/>
      <c r="J256" s="49" t="str">
        <f t="shared" si="18"/>
        <v/>
      </c>
      <c r="K256" s="52" t="str">
        <f t="shared" si="19"/>
        <v/>
      </c>
      <c r="L256" s="53">
        <f t="shared" si="20"/>
        <v>0</v>
      </c>
      <c r="M256" s="54" t="str">
        <f t="shared" si="21"/>
        <v/>
      </c>
      <c r="N256" s="55">
        <f t="shared" si="22"/>
        <v>0</v>
      </c>
      <c r="O256" s="55">
        <f t="shared" si="23"/>
        <v>0</v>
      </c>
      <c r="P256" s="55">
        <f>IF($C256="",0,COUNTIFS($J$80:$J256,$J256,$M$80:$M256,$M256,$C$80:$C256,$C256))</f>
        <v>0</v>
      </c>
      <c r="Q256" s="55">
        <f t="shared" si="24"/>
        <v>0</v>
      </c>
      <c r="R256" s="55">
        <f t="shared" si="25"/>
        <v>0</v>
      </c>
      <c r="S256" s="55">
        <f>IF($C256="",0,COUNTIFS(rl_key,$J256,rl_eff,"&lt;"&amp;$C256)+COUNTIFS($J$80:$J256,$J256,$C$80:$C256,$C256))</f>
        <v>0</v>
      </c>
    </row>
    <row r="257" spans="1:19" x14ac:dyDescent="0.25">
      <c r="A257" s="5"/>
      <c r="B257" s="5"/>
      <c r="C257" s="45"/>
      <c r="D257" s="22"/>
      <c r="E257" s="5"/>
      <c r="F257" s="5"/>
      <c r="G257" s="43"/>
      <c r="H257" s="51"/>
      <c r="J257" s="49" t="str">
        <f t="shared" si="18"/>
        <v/>
      </c>
      <c r="K257" s="52" t="str">
        <f t="shared" si="19"/>
        <v/>
      </c>
      <c r="L257" s="53">
        <f t="shared" si="20"/>
        <v>0</v>
      </c>
      <c r="M257" s="54" t="str">
        <f t="shared" si="21"/>
        <v/>
      </c>
      <c r="N257" s="55">
        <f t="shared" si="22"/>
        <v>0</v>
      </c>
      <c r="O257" s="55">
        <f t="shared" si="23"/>
        <v>0</v>
      </c>
      <c r="P257" s="55">
        <f>IF($C257="",0,COUNTIFS($J$80:$J257,$J257,$M$80:$M257,$M257,$C$80:$C257,$C257))</f>
        <v>0</v>
      </c>
      <c r="Q257" s="55">
        <f t="shared" si="24"/>
        <v>0</v>
      </c>
      <c r="R257" s="55">
        <f t="shared" si="25"/>
        <v>0</v>
      </c>
      <c r="S257" s="55">
        <f>IF($C257="",0,COUNTIFS(rl_key,$J257,rl_eff,"&lt;"&amp;$C257)+COUNTIFS($J$80:$J257,$J257,$C$80:$C257,$C257))</f>
        <v>0</v>
      </c>
    </row>
    <row r="258" spans="1:19" x14ac:dyDescent="0.25">
      <c r="A258" s="5"/>
      <c r="B258" s="5"/>
      <c r="C258" s="45"/>
      <c r="D258" s="22"/>
      <c r="E258" s="5"/>
      <c r="F258" s="5"/>
      <c r="G258" s="43"/>
      <c r="H258" s="51"/>
      <c r="J258" s="49" t="str">
        <f t="shared" si="18"/>
        <v/>
      </c>
      <c r="K258" s="52" t="str">
        <f t="shared" si="19"/>
        <v/>
      </c>
      <c r="L258" s="53">
        <f t="shared" si="20"/>
        <v>0</v>
      </c>
      <c r="M258" s="54" t="str">
        <f t="shared" si="21"/>
        <v/>
      </c>
      <c r="N258" s="55">
        <f t="shared" si="22"/>
        <v>0</v>
      </c>
      <c r="O258" s="55">
        <f t="shared" si="23"/>
        <v>0</v>
      </c>
      <c r="P258" s="55">
        <f>IF($C258="",0,COUNTIFS($J$80:$J258,$J258,$M$80:$M258,$M258,$C$80:$C258,$C258))</f>
        <v>0</v>
      </c>
      <c r="Q258" s="55">
        <f t="shared" si="24"/>
        <v>0</v>
      </c>
      <c r="R258" s="55">
        <f t="shared" si="25"/>
        <v>0</v>
      </c>
      <c r="S258" s="55">
        <f>IF($C258="",0,COUNTIFS(rl_key,$J258,rl_eff,"&lt;"&amp;$C258)+COUNTIFS($J$80:$J258,$J258,$C$80:$C258,$C258))</f>
        <v>0</v>
      </c>
    </row>
    <row r="259" spans="1:19" x14ac:dyDescent="0.25">
      <c r="A259" s="5"/>
      <c r="B259" s="5"/>
      <c r="C259" s="45"/>
      <c r="D259" s="22"/>
      <c r="E259" s="5"/>
      <c r="F259" s="5"/>
      <c r="G259" s="43"/>
      <c r="H259" s="51"/>
      <c r="J259" s="49" t="str">
        <f t="shared" si="18"/>
        <v/>
      </c>
      <c r="K259" s="52" t="str">
        <f t="shared" si="19"/>
        <v/>
      </c>
      <c r="L259" s="53">
        <f t="shared" si="20"/>
        <v>0</v>
      </c>
      <c r="M259" s="54" t="str">
        <f t="shared" si="21"/>
        <v/>
      </c>
      <c r="N259" s="55">
        <f t="shared" si="22"/>
        <v>0</v>
      </c>
      <c r="O259" s="55">
        <f t="shared" si="23"/>
        <v>0</v>
      </c>
      <c r="P259" s="55">
        <f>IF($C259="",0,COUNTIFS($J$80:$J259,$J259,$M$80:$M259,$M259,$C$80:$C259,$C259))</f>
        <v>0</v>
      </c>
      <c r="Q259" s="55">
        <f t="shared" si="24"/>
        <v>0</v>
      </c>
      <c r="R259" s="55">
        <f t="shared" si="25"/>
        <v>0</v>
      </c>
      <c r="S259" s="55">
        <f>IF($C259="",0,COUNTIFS(rl_key,$J259,rl_eff,"&lt;"&amp;$C259)+COUNTIFS($J$80:$J259,$J259,$C$80:$C259,$C259))</f>
        <v>0</v>
      </c>
    </row>
    <row r="260" spans="1:19" x14ac:dyDescent="0.25">
      <c r="A260" s="5"/>
      <c r="B260" s="5"/>
      <c r="C260" s="45"/>
      <c r="D260" s="22"/>
      <c r="E260" s="5"/>
      <c r="F260" s="5"/>
      <c r="G260" s="43"/>
      <c r="H260" s="51"/>
      <c r="J260" s="49" t="str">
        <f t="shared" si="18"/>
        <v/>
      </c>
      <c r="K260" s="52" t="str">
        <f t="shared" si="19"/>
        <v/>
      </c>
      <c r="L260" s="53">
        <f t="shared" si="20"/>
        <v>0</v>
      </c>
      <c r="M260" s="54" t="str">
        <f t="shared" si="21"/>
        <v/>
      </c>
      <c r="N260" s="55">
        <f t="shared" si="22"/>
        <v>0</v>
      </c>
      <c r="O260" s="55">
        <f t="shared" si="23"/>
        <v>0</v>
      </c>
      <c r="P260" s="55">
        <f>IF($C260="",0,COUNTIFS($J$80:$J260,$J260,$M$80:$M260,$M260,$C$80:$C260,$C260))</f>
        <v>0</v>
      </c>
      <c r="Q260" s="55">
        <f t="shared" si="24"/>
        <v>0</v>
      </c>
      <c r="R260" s="55">
        <f t="shared" si="25"/>
        <v>0</v>
      </c>
      <c r="S260" s="55">
        <f>IF($C260="",0,COUNTIFS(rl_key,$J260,rl_eff,"&lt;"&amp;$C260)+COUNTIFS($J$80:$J260,$J260,$C$80:$C260,$C260))</f>
        <v>0</v>
      </c>
    </row>
    <row r="261" spans="1:19" x14ac:dyDescent="0.25">
      <c r="A261" s="5"/>
      <c r="B261" s="5"/>
      <c r="C261" s="45"/>
      <c r="D261" s="22"/>
      <c r="E261" s="5"/>
      <c r="F261" s="5"/>
      <c r="G261" s="43"/>
      <c r="H261" s="51"/>
      <c r="J261" s="49" t="str">
        <f t="shared" si="18"/>
        <v/>
      </c>
      <c r="K261" s="52" t="str">
        <f t="shared" si="19"/>
        <v/>
      </c>
      <c r="L261" s="53">
        <f t="shared" si="20"/>
        <v>0</v>
      </c>
      <c r="M261" s="54" t="str">
        <f t="shared" si="21"/>
        <v/>
      </c>
      <c r="N261" s="55">
        <f t="shared" si="22"/>
        <v>0</v>
      </c>
      <c r="O261" s="55">
        <f t="shared" si="23"/>
        <v>0</v>
      </c>
      <c r="P261" s="55">
        <f>IF($C261="",0,COUNTIFS($J$80:$J261,$J261,$M$80:$M261,$M261,$C$80:$C261,$C261))</f>
        <v>0</v>
      </c>
      <c r="Q261" s="55">
        <f t="shared" si="24"/>
        <v>0</v>
      </c>
      <c r="R261" s="55">
        <f t="shared" si="25"/>
        <v>0</v>
      </c>
      <c r="S261" s="55">
        <f>IF($C261="",0,COUNTIFS(rl_key,$J261,rl_eff,"&lt;"&amp;$C261)+COUNTIFS($J$80:$J261,$J261,$C$80:$C261,$C261))</f>
        <v>0</v>
      </c>
    </row>
    <row r="262" spans="1:19" x14ac:dyDescent="0.25">
      <c r="A262" s="5"/>
      <c r="B262" s="5"/>
      <c r="C262" s="45"/>
      <c r="D262" s="22"/>
      <c r="E262" s="5"/>
      <c r="F262" s="5"/>
      <c r="G262" s="43"/>
      <c r="H262" s="51"/>
      <c r="J262" s="49" t="str">
        <f t="shared" si="18"/>
        <v/>
      </c>
      <c r="K262" s="52" t="str">
        <f t="shared" si="19"/>
        <v/>
      </c>
      <c r="L262" s="53">
        <f t="shared" si="20"/>
        <v>0</v>
      </c>
      <c r="M262" s="54" t="str">
        <f t="shared" si="21"/>
        <v/>
      </c>
      <c r="N262" s="55">
        <f t="shared" si="22"/>
        <v>0</v>
      </c>
      <c r="O262" s="55">
        <f t="shared" si="23"/>
        <v>0</v>
      </c>
      <c r="P262" s="55">
        <f>IF($C262="",0,COUNTIFS($J$80:$J262,$J262,$M$80:$M262,$M262,$C$80:$C262,$C262))</f>
        <v>0</v>
      </c>
      <c r="Q262" s="55">
        <f t="shared" si="24"/>
        <v>0</v>
      </c>
      <c r="R262" s="55">
        <f t="shared" si="25"/>
        <v>0</v>
      </c>
      <c r="S262" s="55">
        <f>IF($C262="",0,COUNTIFS(rl_key,$J262,rl_eff,"&lt;"&amp;$C262)+COUNTIFS($J$80:$J262,$J262,$C$80:$C262,$C262))</f>
        <v>0</v>
      </c>
    </row>
    <row r="263" spans="1:19" x14ac:dyDescent="0.25">
      <c r="A263" s="5"/>
      <c r="B263" s="5"/>
      <c r="C263" s="45"/>
      <c r="D263" s="22"/>
      <c r="E263" s="5"/>
      <c r="F263" s="5"/>
      <c r="G263" s="43"/>
      <c r="H263" s="51"/>
      <c r="J263" s="49" t="str">
        <f t="shared" si="18"/>
        <v/>
      </c>
      <c r="K263" s="52" t="str">
        <f t="shared" si="19"/>
        <v/>
      </c>
      <c r="L263" s="53">
        <f t="shared" si="20"/>
        <v>0</v>
      </c>
      <c r="M263" s="54" t="str">
        <f t="shared" si="21"/>
        <v/>
      </c>
      <c r="N263" s="55">
        <f t="shared" si="22"/>
        <v>0</v>
      </c>
      <c r="O263" s="55">
        <f t="shared" si="23"/>
        <v>0</v>
      </c>
      <c r="P263" s="55">
        <f>IF($C263="",0,COUNTIFS($J$80:$J263,$J263,$M$80:$M263,$M263,$C$80:$C263,$C263))</f>
        <v>0</v>
      </c>
      <c r="Q263" s="55">
        <f t="shared" si="24"/>
        <v>0</v>
      </c>
      <c r="R263" s="55">
        <f t="shared" si="25"/>
        <v>0</v>
      </c>
      <c r="S263" s="55">
        <f>IF($C263="",0,COUNTIFS(rl_key,$J263,rl_eff,"&lt;"&amp;$C263)+COUNTIFS($J$80:$J263,$J263,$C$80:$C263,$C263))</f>
        <v>0</v>
      </c>
    </row>
    <row r="264" spans="1:19" x14ac:dyDescent="0.25">
      <c r="A264" s="5"/>
      <c r="B264" s="5"/>
      <c r="C264" s="45"/>
      <c r="D264" s="22"/>
      <c r="E264" s="5"/>
      <c r="F264" s="5"/>
      <c r="G264" s="43"/>
      <c r="H264" s="51"/>
      <c r="J264" s="49" t="str">
        <f t="shared" si="18"/>
        <v/>
      </c>
      <c r="K264" s="52" t="str">
        <f t="shared" si="19"/>
        <v/>
      </c>
      <c r="L264" s="53">
        <f t="shared" si="20"/>
        <v>0</v>
      </c>
      <c r="M264" s="54" t="str">
        <f t="shared" si="21"/>
        <v/>
      </c>
      <c r="N264" s="55">
        <f t="shared" si="22"/>
        <v>0</v>
      </c>
      <c r="O264" s="55">
        <f t="shared" si="23"/>
        <v>0</v>
      </c>
      <c r="P264" s="55">
        <f>IF($C264="",0,COUNTIFS($J$80:$J264,$J264,$M$80:$M264,$M264,$C$80:$C264,$C264))</f>
        <v>0</v>
      </c>
      <c r="Q264" s="55">
        <f t="shared" si="24"/>
        <v>0</v>
      </c>
      <c r="R264" s="55">
        <f t="shared" si="25"/>
        <v>0</v>
      </c>
      <c r="S264" s="55">
        <f>IF($C264="",0,COUNTIFS(rl_key,$J264,rl_eff,"&lt;"&amp;$C264)+COUNTIFS($J$80:$J264,$J264,$C$80:$C264,$C264))</f>
        <v>0</v>
      </c>
    </row>
    <row r="265" spans="1:19" x14ac:dyDescent="0.25">
      <c r="A265" s="5"/>
      <c r="B265" s="5"/>
      <c r="C265" s="45"/>
      <c r="D265" s="22"/>
      <c r="E265" s="5"/>
      <c r="F265" s="5"/>
      <c r="G265" s="43"/>
      <c r="H265" s="51"/>
      <c r="J265" s="49" t="str">
        <f t="shared" si="18"/>
        <v/>
      </c>
      <c r="K265" s="52" t="str">
        <f t="shared" si="19"/>
        <v/>
      </c>
      <c r="L265" s="53">
        <f t="shared" si="20"/>
        <v>0</v>
      </c>
      <c r="M265" s="54" t="str">
        <f t="shared" si="21"/>
        <v/>
      </c>
      <c r="N265" s="55">
        <f t="shared" si="22"/>
        <v>0</v>
      </c>
      <c r="O265" s="55">
        <f t="shared" si="23"/>
        <v>0</v>
      </c>
      <c r="P265" s="55">
        <f>IF($C265="",0,COUNTIFS($J$80:$J265,$J265,$M$80:$M265,$M265,$C$80:$C265,$C265))</f>
        <v>0</v>
      </c>
      <c r="Q265" s="55">
        <f t="shared" si="24"/>
        <v>0</v>
      </c>
      <c r="R265" s="55">
        <f t="shared" si="25"/>
        <v>0</v>
      </c>
      <c r="S265" s="55">
        <f>IF($C265="",0,COUNTIFS(rl_key,$J265,rl_eff,"&lt;"&amp;$C265)+COUNTIFS($J$80:$J265,$J265,$C$80:$C265,$C265))</f>
        <v>0</v>
      </c>
    </row>
    <row r="266" spans="1:19" x14ac:dyDescent="0.25">
      <c r="A266" s="5"/>
      <c r="B266" s="5"/>
      <c r="C266" s="45"/>
      <c r="D266" s="22"/>
      <c r="E266" s="5"/>
      <c r="F266" s="5"/>
      <c r="G266" s="43"/>
      <c r="H266" s="51"/>
      <c r="J266" s="49" t="str">
        <f t="shared" si="18"/>
        <v/>
      </c>
      <c r="K266" s="52" t="str">
        <f t="shared" si="19"/>
        <v/>
      </c>
      <c r="L266" s="53">
        <f t="shared" si="20"/>
        <v>0</v>
      </c>
      <c r="M266" s="54" t="str">
        <f t="shared" si="21"/>
        <v/>
      </c>
      <c r="N266" s="55">
        <f t="shared" si="22"/>
        <v>0</v>
      </c>
      <c r="O266" s="55">
        <f t="shared" si="23"/>
        <v>0</v>
      </c>
      <c r="P266" s="55">
        <f>IF($C266="",0,COUNTIFS($J$80:$J266,$J266,$M$80:$M266,$M266,$C$80:$C266,$C266))</f>
        <v>0</v>
      </c>
      <c r="Q266" s="55">
        <f t="shared" si="24"/>
        <v>0</v>
      </c>
      <c r="R266" s="55">
        <f t="shared" si="25"/>
        <v>0</v>
      </c>
      <c r="S266" s="55">
        <f>IF($C266="",0,COUNTIFS(rl_key,$J266,rl_eff,"&lt;"&amp;$C266)+COUNTIFS($J$80:$J266,$J266,$C$80:$C266,$C266))</f>
        <v>0</v>
      </c>
    </row>
    <row r="267" spans="1:19" x14ac:dyDescent="0.25">
      <c r="A267" s="5"/>
      <c r="B267" s="5"/>
      <c r="C267" s="45"/>
      <c r="D267" s="22"/>
      <c r="E267" s="5"/>
      <c r="F267" s="5"/>
      <c r="G267" s="43"/>
      <c r="H267" s="51"/>
      <c r="J267" s="49" t="str">
        <f t="shared" si="18"/>
        <v/>
      </c>
      <c r="K267" s="52" t="str">
        <f t="shared" si="19"/>
        <v/>
      </c>
      <c r="L267" s="53">
        <f t="shared" si="20"/>
        <v>0</v>
      </c>
      <c r="M267" s="54" t="str">
        <f t="shared" si="21"/>
        <v/>
      </c>
      <c r="N267" s="55">
        <f t="shared" si="22"/>
        <v>0</v>
      </c>
      <c r="O267" s="55">
        <f t="shared" si="23"/>
        <v>0</v>
      </c>
      <c r="P267" s="55">
        <f>IF($C267="",0,COUNTIFS($J$80:$J267,$J267,$M$80:$M267,$M267,$C$80:$C267,$C267))</f>
        <v>0</v>
      </c>
      <c r="Q267" s="55">
        <f t="shared" si="24"/>
        <v>0</v>
      </c>
      <c r="R267" s="55">
        <f t="shared" si="25"/>
        <v>0</v>
      </c>
      <c r="S267" s="55">
        <f>IF($C267="",0,COUNTIFS(rl_key,$J267,rl_eff,"&lt;"&amp;$C267)+COUNTIFS($J$80:$J267,$J267,$C$80:$C267,$C267))</f>
        <v>0</v>
      </c>
    </row>
    <row r="268" spans="1:19" x14ac:dyDescent="0.25">
      <c r="A268" s="5"/>
      <c r="B268" s="5"/>
      <c r="C268" s="45"/>
      <c r="D268" s="22"/>
      <c r="E268" s="5"/>
      <c r="F268" s="5"/>
      <c r="G268" s="43"/>
      <c r="H268" s="51"/>
      <c r="J268" s="49" t="str">
        <f t="shared" si="18"/>
        <v/>
      </c>
      <c r="K268" s="52" t="str">
        <f t="shared" si="19"/>
        <v/>
      </c>
      <c r="L268" s="53">
        <f t="shared" si="20"/>
        <v>0</v>
      </c>
      <c r="M268" s="54" t="str">
        <f t="shared" si="21"/>
        <v/>
      </c>
      <c r="N268" s="55">
        <f t="shared" si="22"/>
        <v>0</v>
      </c>
      <c r="O268" s="55">
        <f t="shared" si="23"/>
        <v>0</v>
      </c>
      <c r="P268" s="55">
        <f>IF($C268="",0,COUNTIFS($J$80:$J268,$J268,$M$80:$M268,$M268,$C$80:$C268,$C268))</f>
        <v>0</v>
      </c>
      <c r="Q268" s="55">
        <f t="shared" si="24"/>
        <v>0</v>
      </c>
      <c r="R268" s="55">
        <f t="shared" si="25"/>
        <v>0</v>
      </c>
      <c r="S268" s="55">
        <f>IF($C268="",0,COUNTIFS(rl_key,$J268,rl_eff,"&lt;"&amp;$C268)+COUNTIFS($J$80:$J268,$J268,$C$80:$C268,$C268))</f>
        <v>0</v>
      </c>
    </row>
    <row r="269" spans="1:19" x14ac:dyDescent="0.25">
      <c r="A269" s="5"/>
      <c r="B269" s="5"/>
      <c r="C269" s="45"/>
      <c r="D269" s="22"/>
      <c r="E269" s="5"/>
      <c r="F269" s="5"/>
      <c r="G269" s="43"/>
      <c r="H269" s="51"/>
      <c r="J269" s="49" t="str">
        <f t="shared" si="18"/>
        <v/>
      </c>
      <c r="K269" s="52" t="str">
        <f t="shared" si="19"/>
        <v/>
      </c>
      <c r="L269" s="53">
        <f t="shared" si="20"/>
        <v>0</v>
      </c>
      <c r="M269" s="54" t="str">
        <f t="shared" si="21"/>
        <v/>
      </c>
      <c r="N269" s="55">
        <f t="shared" si="22"/>
        <v>0</v>
      </c>
      <c r="O269" s="55">
        <f t="shared" si="23"/>
        <v>0</v>
      </c>
      <c r="P269" s="55">
        <f>IF($C269="",0,COUNTIFS($J$80:$J269,$J269,$M$80:$M269,$M269,$C$80:$C269,$C269))</f>
        <v>0</v>
      </c>
      <c r="Q269" s="55">
        <f t="shared" si="24"/>
        <v>0</v>
      </c>
      <c r="R269" s="55">
        <f t="shared" si="25"/>
        <v>0</v>
      </c>
      <c r="S269" s="55">
        <f>IF($C269="",0,COUNTIFS(rl_key,$J269,rl_eff,"&lt;"&amp;$C269)+COUNTIFS($J$80:$J269,$J269,$C$80:$C269,$C269))</f>
        <v>0</v>
      </c>
    </row>
    <row r="270" spans="1:19" x14ac:dyDescent="0.25">
      <c r="A270" s="5"/>
      <c r="B270" s="5"/>
      <c r="C270" s="45"/>
      <c r="D270" s="22"/>
      <c r="E270" s="5"/>
      <c r="F270" s="5"/>
      <c r="G270" s="43"/>
      <c r="H270" s="51"/>
      <c r="J270" s="49" t="str">
        <f t="shared" si="18"/>
        <v/>
      </c>
      <c r="K270" s="52" t="str">
        <f t="shared" si="19"/>
        <v/>
      </c>
      <c r="L270" s="53">
        <f t="shared" si="20"/>
        <v>0</v>
      </c>
      <c r="M270" s="54" t="str">
        <f t="shared" si="21"/>
        <v/>
      </c>
      <c r="N270" s="55">
        <f t="shared" si="22"/>
        <v>0</v>
      </c>
      <c r="O270" s="55">
        <f t="shared" si="23"/>
        <v>0</v>
      </c>
      <c r="P270" s="55">
        <f>IF($C270="",0,COUNTIFS($J$80:$J270,$J270,$M$80:$M270,$M270,$C$80:$C270,$C270))</f>
        <v>0</v>
      </c>
      <c r="Q270" s="55">
        <f t="shared" si="24"/>
        <v>0</v>
      </c>
      <c r="R270" s="55">
        <f t="shared" si="25"/>
        <v>0</v>
      </c>
      <c r="S270" s="55">
        <f>IF($C270="",0,COUNTIFS(rl_key,$J270,rl_eff,"&lt;"&amp;$C270)+COUNTIFS($J$80:$J270,$J270,$C$80:$C270,$C270))</f>
        <v>0</v>
      </c>
    </row>
    <row r="271" spans="1:19" x14ac:dyDescent="0.25">
      <c r="A271" s="5"/>
      <c r="B271" s="5"/>
      <c r="C271" s="45"/>
      <c r="D271" s="22"/>
      <c r="E271" s="5"/>
      <c r="F271" s="5"/>
      <c r="G271" s="43"/>
      <c r="H271" s="51"/>
      <c r="J271" s="49" t="str">
        <f t="shared" si="18"/>
        <v/>
      </c>
      <c r="K271" s="52" t="str">
        <f t="shared" si="19"/>
        <v/>
      </c>
      <c r="L271" s="53">
        <f t="shared" si="20"/>
        <v>0</v>
      </c>
      <c r="M271" s="54" t="str">
        <f t="shared" si="21"/>
        <v/>
      </c>
      <c r="N271" s="55">
        <f t="shared" si="22"/>
        <v>0</v>
      </c>
      <c r="O271" s="55">
        <f t="shared" si="23"/>
        <v>0</v>
      </c>
      <c r="P271" s="55">
        <f>IF($C271="",0,COUNTIFS($J$80:$J271,$J271,$M$80:$M271,$M271,$C$80:$C271,$C271))</f>
        <v>0</v>
      </c>
      <c r="Q271" s="55">
        <f t="shared" si="24"/>
        <v>0</v>
      </c>
      <c r="R271" s="55">
        <f t="shared" si="25"/>
        <v>0</v>
      </c>
      <c r="S271" s="55">
        <f>IF($C271="",0,COUNTIFS(rl_key,$J271,rl_eff,"&lt;"&amp;$C271)+COUNTIFS($J$80:$J271,$J271,$C$80:$C271,$C271))</f>
        <v>0</v>
      </c>
    </row>
    <row r="272" spans="1:19" x14ac:dyDescent="0.25">
      <c r="A272" s="5"/>
      <c r="B272" s="5"/>
      <c r="C272" s="45"/>
      <c r="D272" s="22"/>
      <c r="E272" s="5"/>
      <c r="F272" s="5"/>
      <c r="G272" s="43"/>
      <c r="H272" s="51"/>
      <c r="J272" s="49" t="str">
        <f t="shared" ref="J272:J319" si="26">IF(OR($A272="",$B272=""),"",$A272&amp;"|"&amp;$B272)</f>
        <v/>
      </c>
      <c r="K272" s="52" t="str">
        <f t="shared" ref="K272:K319" si="27">IF($C272="","",$D272*IF($E272="planned",IF($G272="",1,$G272),1))</f>
        <v/>
      </c>
      <c r="L272" s="53">
        <f t="shared" ref="L272:L319" si="28">IF($C272="",0,IF(1+$K272&gt;0,LN(1+$K272),0))</f>
        <v>0</v>
      </c>
      <c r="M272" s="54" t="str">
        <f t="shared" ref="M272:M319" si="29">IF($C272="","",DATE(YEAR($C272),MONTH($C272),1))</f>
        <v/>
      </c>
      <c r="N272" s="55">
        <f t="shared" ref="N272:N319" si="30">IF($C272="",0,EOMONTH($C272,0)-$C272+1)</f>
        <v>0</v>
      </c>
      <c r="O272" s="55">
        <f t="shared" ref="O272:O319" si="31">IF($C272="",0,COUNTIFS(rl_key,$J272,rl_effmonth,$M272,rl_eff,"&lt;"&amp;$C272))</f>
        <v>0</v>
      </c>
      <c r="P272" s="55">
        <f>IF($C272="",0,COUNTIFS($J$80:$J272,$J272,$M$80:$M272,$M272,$C$80:$C272,$C272))</f>
        <v>0</v>
      </c>
      <c r="Q272" s="55">
        <f t="shared" ref="Q272:Q319" si="32">IF($C272="",0,IF(AND($O272=0,$P272=1),1,0))</f>
        <v>0</v>
      </c>
      <c r="R272" s="55">
        <f t="shared" ref="R272:R319" si="33">IF($C272="",0,IF(COUNTIFS(rl_key,$J272,rl_effmonth,$M272)&gt;1,1,0))</f>
        <v>0</v>
      </c>
      <c r="S272" s="55">
        <f>IF($C272="",0,COUNTIFS(rl_key,$J272,rl_eff,"&lt;"&amp;$C272)+COUNTIFS($J$80:$J272,$J272,$C$80:$C272,$C272))</f>
        <v>0</v>
      </c>
    </row>
    <row r="273" spans="1:19" x14ac:dyDescent="0.25">
      <c r="A273" s="5"/>
      <c r="B273" s="5"/>
      <c r="C273" s="45"/>
      <c r="D273" s="22"/>
      <c r="E273" s="5"/>
      <c r="F273" s="5"/>
      <c r="G273" s="43"/>
      <c r="H273" s="51"/>
      <c r="J273" s="49" t="str">
        <f t="shared" si="26"/>
        <v/>
      </c>
      <c r="K273" s="52" t="str">
        <f t="shared" si="27"/>
        <v/>
      </c>
      <c r="L273" s="53">
        <f t="shared" si="28"/>
        <v>0</v>
      </c>
      <c r="M273" s="54" t="str">
        <f t="shared" si="29"/>
        <v/>
      </c>
      <c r="N273" s="55">
        <f t="shared" si="30"/>
        <v>0</v>
      </c>
      <c r="O273" s="55">
        <f t="shared" si="31"/>
        <v>0</v>
      </c>
      <c r="P273" s="55">
        <f>IF($C273="",0,COUNTIFS($J$80:$J273,$J273,$M$80:$M273,$M273,$C$80:$C273,$C273))</f>
        <v>0</v>
      </c>
      <c r="Q273" s="55">
        <f t="shared" si="32"/>
        <v>0</v>
      </c>
      <c r="R273" s="55">
        <f t="shared" si="33"/>
        <v>0</v>
      </c>
      <c r="S273" s="55">
        <f>IF($C273="",0,COUNTIFS(rl_key,$J273,rl_eff,"&lt;"&amp;$C273)+COUNTIFS($J$80:$J273,$J273,$C$80:$C273,$C273))</f>
        <v>0</v>
      </c>
    </row>
    <row r="274" spans="1:19" x14ac:dyDescent="0.25">
      <c r="A274" s="5"/>
      <c r="B274" s="5"/>
      <c r="C274" s="45"/>
      <c r="D274" s="22"/>
      <c r="E274" s="5"/>
      <c r="F274" s="5"/>
      <c r="G274" s="43"/>
      <c r="H274" s="51"/>
      <c r="J274" s="49" t="str">
        <f t="shared" si="26"/>
        <v/>
      </c>
      <c r="K274" s="52" t="str">
        <f t="shared" si="27"/>
        <v/>
      </c>
      <c r="L274" s="53">
        <f t="shared" si="28"/>
        <v>0</v>
      </c>
      <c r="M274" s="54" t="str">
        <f t="shared" si="29"/>
        <v/>
      </c>
      <c r="N274" s="55">
        <f t="shared" si="30"/>
        <v>0</v>
      </c>
      <c r="O274" s="55">
        <f t="shared" si="31"/>
        <v>0</v>
      </c>
      <c r="P274" s="55">
        <f>IF($C274="",0,COUNTIFS($J$80:$J274,$J274,$M$80:$M274,$M274,$C$80:$C274,$C274))</f>
        <v>0</v>
      </c>
      <c r="Q274" s="55">
        <f t="shared" si="32"/>
        <v>0</v>
      </c>
      <c r="R274" s="55">
        <f t="shared" si="33"/>
        <v>0</v>
      </c>
      <c r="S274" s="55">
        <f>IF($C274="",0,COUNTIFS(rl_key,$J274,rl_eff,"&lt;"&amp;$C274)+COUNTIFS($J$80:$J274,$J274,$C$80:$C274,$C274))</f>
        <v>0</v>
      </c>
    </row>
    <row r="275" spans="1:19" x14ac:dyDescent="0.25">
      <c r="A275" s="5"/>
      <c r="B275" s="5"/>
      <c r="C275" s="45"/>
      <c r="D275" s="22"/>
      <c r="E275" s="5"/>
      <c r="F275" s="5"/>
      <c r="G275" s="43"/>
      <c r="H275" s="51"/>
      <c r="J275" s="49" t="str">
        <f t="shared" si="26"/>
        <v/>
      </c>
      <c r="K275" s="52" t="str">
        <f t="shared" si="27"/>
        <v/>
      </c>
      <c r="L275" s="53">
        <f t="shared" si="28"/>
        <v>0</v>
      </c>
      <c r="M275" s="54" t="str">
        <f t="shared" si="29"/>
        <v/>
      </c>
      <c r="N275" s="55">
        <f t="shared" si="30"/>
        <v>0</v>
      </c>
      <c r="O275" s="55">
        <f t="shared" si="31"/>
        <v>0</v>
      </c>
      <c r="P275" s="55">
        <f>IF($C275="",0,COUNTIFS($J$80:$J275,$J275,$M$80:$M275,$M275,$C$80:$C275,$C275))</f>
        <v>0</v>
      </c>
      <c r="Q275" s="55">
        <f t="shared" si="32"/>
        <v>0</v>
      </c>
      <c r="R275" s="55">
        <f t="shared" si="33"/>
        <v>0</v>
      </c>
      <c r="S275" s="55">
        <f>IF($C275="",0,COUNTIFS(rl_key,$J275,rl_eff,"&lt;"&amp;$C275)+COUNTIFS($J$80:$J275,$J275,$C$80:$C275,$C275))</f>
        <v>0</v>
      </c>
    </row>
    <row r="276" spans="1:19" x14ac:dyDescent="0.25">
      <c r="A276" s="5"/>
      <c r="B276" s="5"/>
      <c r="C276" s="45"/>
      <c r="D276" s="22"/>
      <c r="E276" s="5"/>
      <c r="F276" s="5"/>
      <c r="G276" s="43"/>
      <c r="H276" s="51"/>
      <c r="J276" s="49" t="str">
        <f t="shared" si="26"/>
        <v/>
      </c>
      <c r="K276" s="52" t="str">
        <f t="shared" si="27"/>
        <v/>
      </c>
      <c r="L276" s="53">
        <f t="shared" si="28"/>
        <v>0</v>
      </c>
      <c r="M276" s="54" t="str">
        <f t="shared" si="29"/>
        <v/>
      </c>
      <c r="N276" s="55">
        <f t="shared" si="30"/>
        <v>0</v>
      </c>
      <c r="O276" s="55">
        <f t="shared" si="31"/>
        <v>0</v>
      </c>
      <c r="P276" s="55">
        <f>IF($C276="",0,COUNTIFS($J$80:$J276,$J276,$M$80:$M276,$M276,$C$80:$C276,$C276))</f>
        <v>0</v>
      </c>
      <c r="Q276" s="55">
        <f t="shared" si="32"/>
        <v>0</v>
      </c>
      <c r="R276" s="55">
        <f t="shared" si="33"/>
        <v>0</v>
      </c>
      <c r="S276" s="55">
        <f>IF($C276="",0,COUNTIFS(rl_key,$J276,rl_eff,"&lt;"&amp;$C276)+COUNTIFS($J$80:$J276,$J276,$C$80:$C276,$C276))</f>
        <v>0</v>
      </c>
    </row>
    <row r="277" spans="1:19" x14ac:dyDescent="0.25">
      <c r="A277" s="5"/>
      <c r="B277" s="5"/>
      <c r="C277" s="45"/>
      <c r="D277" s="22"/>
      <c r="E277" s="5"/>
      <c r="F277" s="5"/>
      <c r="G277" s="43"/>
      <c r="H277" s="51"/>
      <c r="J277" s="49" t="str">
        <f t="shared" si="26"/>
        <v/>
      </c>
      <c r="K277" s="52" t="str">
        <f t="shared" si="27"/>
        <v/>
      </c>
      <c r="L277" s="53">
        <f t="shared" si="28"/>
        <v>0</v>
      </c>
      <c r="M277" s="54" t="str">
        <f t="shared" si="29"/>
        <v/>
      </c>
      <c r="N277" s="55">
        <f t="shared" si="30"/>
        <v>0</v>
      </c>
      <c r="O277" s="55">
        <f t="shared" si="31"/>
        <v>0</v>
      </c>
      <c r="P277" s="55">
        <f>IF($C277="",0,COUNTIFS($J$80:$J277,$J277,$M$80:$M277,$M277,$C$80:$C277,$C277))</f>
        <v>0</v>
      </c>
      <c r="Q277" s="55">
        <f t="shared" si="32"/>
        <v>0</v>
      </c>
      <c r="R277" s="55">
        <f t="shared" si="33"/>
        <v>0</v>
      </c>
      <c r="S277" s="55">
        <f>IF($C277="",0,COUNTIFS(rl_key,$J277,rl_eff,"&lt;"&amp;$C277)+COUNTIFS($J$80:$J277,$J277,$C$80:$C277,$C277))</f>
        <v>0</v>
      </c>
    </row>
    <row r="278" spans="1:19" x14ac:dyDescent="0.25">
      <c r="A278" s="5"/>
      <c r="B278" s="5"/>
      <c r="C278" s="45"/>
      <c r="D278" s="22"/>
      <c r="E278" s="5"/>
      <c r="F278" s="5"/>
      <c r="G278" s="43"/>
      <c r="H278" s="51"/>
      <c r="J278" s="49" t="str">
        <f t="shared" si="26"/>
        <v/>
      </c>
      <c r="K278" s="52" t="str">
        <f t="shared" si="27"/>
        <v/>
      </c>
      <c r="L278" s="53">
        <f t="shared" si="28"/>
        <v>0</v>
      </c>
      <c r="M278" s="54" t="str">
        <f t="shared" si="29"/>
        <v/>
      </c>
      <c r="N278" s="55">
        <f t="shared" si="30"/>
        <v>0</v>
      </c>
      <c r="O278" s="55">
        <f t="shared" si="31"/>
        <v>0</v>
      </c>
      <c r="P278" s="55">
        <f>IF($C278="",0,COUNTIFS($J$80:$J278,$J278,$M$80:$M278,$M278,$C$80:$C278,$C278))</f>
        <v>0</v>
      </c>
      <c r="Q278" s="55">
        <f t="shared" si="32"/>
        <v>0</v>
      </c>
      <c r="R278" s="55">
        <f t="shared" si="33"/>
        <v>0</v>
      </c>
      <c r="S278" s="55">
        <f>IF($C278="",0,COUNTIFS(rl_key,$J278,rl_eff,"&lt;"&amp;$C278)+COUNTIFS($J$80:$J278,$J278,$C$80:$C278,$C278))</f>
        <v>0</v>
      </c>
    </row>
    <row r="279" spans="1:19" x14ac:dyDescent="0.25">
      <c r="A279" s="5"/>
      <c r="B279" s="5"/>
      <c r="C279" s="45"/>
      <c r="D279" s="22"/>
      <c r="E279" s="5"/>
      <c r="F279" s="5"/>
      <c r="G279" s="43"/>
      <c r="H279" s="51"/>
      <c r="J279" s="49" t="str">
        <f t="shared" si="26"/>
        <v/>
      </c>
      <c r="K279" s="52" t="str">
        <f t="shared" si="27"/>
        <v/>
      </c>
      <c r="L279" s="53">
        <f t="shared" si="28"/>
        <v>0</v>
      </c>
      <c r="M279" s="54" t="str">
        <f t="shared" si="29"/>
        <v/>
      </c>
      <c r="N279" s="55">
        <f t="shared" si="30"/>
        <v>0</v>
      </c>
      <c r="O279" s="55">
        <f t="shared" si="31"/>
        <v>0</v>
      </c>
      <c r="P279" s="55">
        <f>IF($C279="",0,COUNTIFS($J$80:$J279,$J279,$M$80:$M279,$M279,$C$80:$C279,$C279))</f>
        <v>0</v>
      </c>
      <c r="Q279" s="55">
        <f t="shared" si="32"/>
        <v>0</v>
      </c>
      <c r="R279" s="55">
        <f t="shared" si="33"/>
        <v>0</v>
      </c>
      <c r="S279" s="55">
        <f>IF($C279="",0,COUNTIFS(rl_key,$J279,rl_eff,"&lt;"&amp;$C279)+COUNTIFS($J$80:$J279,$J279,$C$80:$C279,$C279))</f>
        <v>0</v>
      </c>
    </row>
    <row r="280" spans="1:19" x14ac:dyDescent="0.25">
      <c r="A280" s="5"/>
      <c r="B280" s="5"/>
      <c r="C280" s="45"/>
      <c r="D280" s="22"/>
      <c r="E280" s="5"/>
      <c r="F280" s="5"/>
      <c r="G280" s="43"/>
      <c r="H280" s="51"/>
      <c r="J280" s="49" t="str">
        <f t="shared" si="26"/>
        <v/>
      </c>
      <c r="K280" s="52" t="str">
        <f t="shared" si="27"/>
        <v/>
      </c>
      <c r="L280" s="53">
        <f t="shared" si="28"/>
        <v>0</v>
      </c>
      <c r="M280" s="54" t="str">
        <f t="shared" si="29"/>
        <v/>
      </c>
      <c r="N280" s="55">
        <f t="shared" si="30"/>
        <v>0</v>
      </c>
      <c r="O280" s="55">
        <f t="shared" si="31"/>
        <v>0</v>
      </c>
      <c r="P280" s="55">
        <f>IF($C280="",0,COUNTIFS($J$80:$J280,$J280,$M$80:$M280,$M280,$C$80:$C280,$C280))</f>
        <v>0</v>
      </c>
      <c r="Q280" s="55">
        <f t="shared" si="32"/>
        <v>0</v>
      </c>
      <c r="R280" s="55">
        <f t="shared" si="33"/>
        <v>0</v>
      </c>
      <c r="S280" s="55">
        <f>IF($C280="",0,COUNTIFS(rl_key,$J280,rl_eff,"&lt;"&amp;$C280)+COUNTIFS($J$80:$J280,$J280,$C$80:$C280,$C280))</f>
        <v>0</v>
      </c>
    </row>
    <row r="281" spans="1:19" x14ac:dyDescent="0.25">
      <c r="A281" s="5"/>
      <c r="B281" s="5"/>
      <c r="C281" s="45"/>
      <c r="D281" s="22"/>
      <c r="E281" s="5"/>
      <c r="F281" s="5"/>
      <c r="G281" s="43"/>
      <c r="H281" s="51"/>
      <c r="J281" s="49" t="str">
        <f t="shared" si="26"/>
        <v/>
      </c>
      <c r="K281" s="52" t="str">
        <f t="shared" si="27"/>
        <v/>
      </c>
      <c r="L281" s="53">
        <f t="shared" si="28"/>
        <v>0</v>
      </c>
      <c r="M281" s="54" t="str">
        <f t="shared" si="29"/>
        <v/>
      </c>
      <c r="N281" s="55">
        <f t="shared" si="30"/>
        <v>0</v>
      </c>
      <c r="O281" s="55">
        <f t="shared" si="31"/>
        <v>0</v>
      </c>
      <c r="P281" s="55">
        <f>IF($C281="",0,COUNTIFS($J$80:$J281,$J281,$M$80:$M281,$M281,$C$80:$C281,$C281))</f>
        <v>0</v>
      </c>
      <c r="Q281" s="55">
        <f t="shared" si="32"/>
        <v>0</v>
      </c>
      <c r="R281" s="55">
        <f t="shared" si="33"/>
        <v>0</v>
      </c>
      <c r="S281" s="55">
        <f>IF($C281="",0,COUNTIFS(rl_key,$J281,rl_eff,"&lt;"&amp;$C281)+COUNTIFS($J$80:$J281,$J281,$C$80:$C281,$C281))</f>
        <v>0</v>
      </c>
    </row>
    <row r="282" spans="1:19" x14ac:dyDescent="0.25">
      <c r="A282" s="5"/>
      <c r="B282" s="5"/>
      <c r="C282" s="45"/>
      <c r="D282" s="22"/>
      <c r="E282" s="5"/>
      <c r="F282" s="5"/>
      <c r="G282" s="43"/>
      <c r="H282" s="51"/>
      <c r="J282" s="49" t="str">
        <f t="shared" si="26"/>
        <v/>
      </c>
      <c r="K282" s="52" t="str">
        <f t="shared" si="27"/>
        <v/>
      </c>
      <c r="L282" s="53">
        <f t="shared" si="28"/>
        <v>0</v>
      </c>
      <c r="M282" s="54" t="str">
        <f t="shared" si="29"/>
        <v/>
      </c>
      <c r="N282" s="55">
        <f t="shared" si="30"/>
        <v>0</v>
      </c>
      <c r="O282" s="55">
        <f t="shared" si="31"/>
        <v>0</v>
      </c>
      <c r="P282" s="55">
        <f>IF($C282="",0,COUNTIFS($J$80:$J282,$J282,$M$80:$M282,$M282,$C$80:$C282,$C282))</f>
        <v>0</v>
      </c>
      <c r="Q282" s="55">
        <f t="shared" si="32"/>
        <v>0</v>
      </c>
      <c r="R282" s="55">
        <f t="shared" si="33"/>
        <v>0</v>
      </c>
      <c r="S282" s="55">
        <f>IF($C282="",0,COUNTIFS(rl_key,$J282,rl_eff,"&lt;"&amp;$C282)+COUNTIFS($J$80:$J282,$J282,$C$80:$C282,$C282))</f>
        <v>0</v>
      </c>
    </row>
    <row r="283" spans="1:19" x14ac:dyDescent="0.25">
      <c r="A283" s="5"/>
      <c r="B283" s="5"/>
      <c r="C283" s="45"/>
      <c r="D283" s="22"/>
      <c r="E283" s="5"/>
      <c r="F283" s="5"/>
      <c r="G283" s="43"/>
      <c r="H283" s="51"/>
      <c r="J283" s="49" t="str">
        <f t="shared" si="26"/>
        <v/>
      </c>
      <c r="K283" s="52" t="str">
        <f t="shared" si="27"/>
        <v/>
      </c>
      <c r="L283" s="53">
        <f t="shared" si="28"/>
        <v>0</v>
      </c>
      <c r="M283" s="54" t="str">
        <f t="shared" si="29"/>
        <v/>
      </c>
      <c r="N283" s="55">
        <f t="shared" si="30"/>
        <v>0</v>
      </c>
      <c r="O283" s="55">
        <f t="shared" si="31"/>
        <v>0</v>
      </c>
      <c r="P283" s="55">
        <f>IF($C283="",0,COUNTIFS($J$80:$J283,$J283,$M$80:$M283,$M283,$C$80:$C283,$C283))</f>
        <v>0</v>
      </c>
      <c r="Q283" s="55">
        <f t="shared" si="32"/>
        <v>0</v>
      </c>
      <c r="R283" s="55">
        <f t="shared" si="33"/>
        <v>0</v>
      </c>
      <c r="S283" s="55">
        <f>IF($C283="",0,COUNTIFS(rl_key,$J283,rl_eff,"&lt;"&amp;$C283)+COUNTIFS($J$80:$J283,$J283,$C$80:$C283,$C283))</f>
        <v>0</v>
      </c>
    </row>
    <row r="284" spans="1:19" x14ac:dyDescent="0.25">
      <c r="A284" s="5"/>
      <c r="B284" s="5"/>
      <c r="C284" s="45"/>
      <c r="D284" s="22"/>
      <c r="E284" s="5"/>
      <c r="F284" s="5"/>
      <c r="G284" s="43"/>
      <c r="H284" s="51"/>
      <c r="J284" s="49" t="str">
        <f t="shared" si="26"/>
        <v/>
      </c>
      <c r="K284" s="52" t="str">
        <f t="shared" si="27"/>
        <v/>
      </c>
      <c r="L284" s="53">
        <f t="shared" si="28"/>
        <v>0</v>
      </c>
      <c r="M284" s="54" t="str">
        <f t="shared" si="29"/>
        <v/>
      </c>
      <c r="N284" s="55">
        <f t="shared" si="30"/>
        <v>0</v>
      </c>
      <c r="O284" s="55">
        <f t="shared" si="31"/>
        <v>0</v>
      </c>
      <c r="P284" s="55">
        <f>IF($C284="",0,COUNTIFS($J$80:$J284,$J284,$M$80:$M284,$M284,$C$80:$C284,$C284))</f>
        <v>0</v>
      </c>
      <c r="Q284" s="55">
        <f t="shared" si="32"/>
        <v>0</v>
      </c>
      <c r="R284" s="55">
        <f t="shared" si="33"/>
        <v>0</v>
      </c>
      <c r="S284" s="55">
        <f>IF($C284="",0,COUNTIFS(rl_key,$J284,rl_eff,"&lt;"&amp;$C284)+COUNTIFS($J$80:$J284,$J284,$C$80:$C284,$C284))</f>
        <v>0</v>
      </c>
    </row>
    <row r="285" spans="1:19" x14ac:dyDescent="0.25">
      <c r="A285" s="5"/>
      <c r="B285" s="5"/>
      <c r="C285" s="45"/>
      <c r="D285" s="22"/>
      <c r="E285" s="5"/>
      <c r="F285" s="5"/>
      <c r="G285" s="43"/>
      <c r="H285" s="51"/>
      <c r="J285" s="49" t="str">
        <f t="shared" si="26"/>
        <v/>
      </c>
      <c r="K285" s="52" t="str">
        <f t="shared" si="27"/>
        <v/>
      </c>
      <c r="L285" s="53">
        <f t="shared" si="28"/>
        <v>0</v>
      </c>
      <c r="M285" s="54" t="str">
        <f t="shared" si="29"/>
        <v/>
      </c>
      <c r="N285" s="55">
        <f t="shared" si="30"/>
        <v>0</v>
      </c>
      <c r="O285" s="55">
        <f t="shared" si="31"/>
        <v>0</v>
      </c>
      <c r="P285" s="55">
        <f>IF($C285="",0,COUNTIFS($J$80:$J285,$J285,$M$80:$M285,$M285,$C$80:$C285,$C285))</f>
        <v>0</v>
      </c>
      <c r="Q285" s="55">
        <f t="shared" si="32"/>
        <v>0</v>
      </c>
      <c r="R285" s="55">
        <f t="shared" si="33"/>
        <v>0</v>
      </c>
      <c r="S285" s="55">
        <f>IF($C285="",0,COUNTIFS(rl_key,$J285,rl_eff,"&lt;"&amp;$C285)+COUNTIFS($J$80:$J285,$J285,$C$80:$C285,$C285))</f>
        <v>0</v>
      </c>
    </row>
    <row r="286" spans="1:19" x14ac:dyDescent="0.25">
      <c r="A286" s="5"/>
      <c r="B286" s="5"/>
      <c r="C286" s="45"/>
      <c r="D286" s="22"/>
      <c r="E286" s="5"/>
      <c r="F286" s="5"/>
      <c r="G286" s="43"/>
      <c r="H286" s="51"/>
      <c r="J286" s="49" t="str">
        <f t="shared" si="26"/>
        <v/>
      </c>
      <c r="K286" s="52" t="str">
        <f t="shared" si="27"/>
        <v/>
      </c>
      <c r="L286" s="53">
        <f t="shared" si="28"/>
        <v>0</v>
      </c>
      <c r="M286" s="54" t="str">
        <f t="shared" si="29"/>
        <v/>
      </c>
      <c r="N286" s="55">
        <f t="shared" si="30"/>
        <v>0</v>
      </c>
      <c r="O286" s="55">
        <f t="shared" si="31"/>
        <v>0</v>
      </c>
      <c r="P286" s="55">
        <f>IF($C286="",0,COUNTIFS($J$80:$J286,$J286,$M$80:$M286,$M286,$C$80:$C286,$C286))</f>
        <v>0</v>
      </c>
      <c r="Q286" s="55">
        <f t="shared" si="32"/>
        <v>0</v>
      </c>
      <c r="R286" s="55">
        <f t="shared" si="33"/>
        <v>0</v>
      </c>
      <c r="S286" s="55">
        <f>IF($C286="",0,COUNTIFS(rl_key,$J286,rl_eff,"&lt;"&amp;$C286)+COUNTIFS($J$80:$J286,$J286,$C$80:$C286,$C286))</f>
        <v>0</v>
      </c>
    </row>
    <row r="287" spans="1:19" x14ac:dyDescent="0.25">
      <c r="A287" s="5"/>
      <c r="B287" s="5"/>
      <c r="C287" s="45"/>
      <c r="D287" s="22"/>
      <c r="E287" s="5"/>
      <c r="F287" s="5"/>
      <c r="G287" s="43"/>
      <c r="H287" s="51"/>
      <c r="J287" s="49" t="str">
        <f t="shared" si="26"/>
        <v/>
      </c>
      <c r="K287" s="52" t="str">
        <f t="shared" si="27"/>
        <v/>
      </c>
      <c r="L287" s="53">
        <f t="shared" si="28"/>
        <v>0</v>
      </c>
      <c r="M287" s="54" t="str">
        <f t="shared" si="29"/>
        <v/>
      </c>
      <c r="N287" s="55">
        <f t="shared" si="30"/>
        <v>0</v>
      </c>
      <c r="O287" s="55">
        <f t="shared" si="31"/>
        <v>0</v>
      </c>
      <c r="P287" s="55">
        <f>IF($C287="",0,COUNTIFS($J$80:$J287,$J287,$M$80:$M287,$M287,$C$80:$C287,$C287))</f>
        <v>0</v>
      </c>
      <c r="Q287" s="55">
        <f t="shared" si="32"/>
        <v>0</v>
      </c>
      <c r="R287" s="55">
        <f t="shared" si="33"/>
        <v>0</v>
      </c>
      <c r="S287" s="55">
        <f>IF($C287="",0,COUNTIFS(rl_key,$J287,rl_eff,"&lt;"&amp;$C287)+COUNTIFS($J$80:$J287,$J287,$C$80:$C287,$C287))</f>
        <v>0</v>
      </c>
    </row>
    <row r="288" spans="1:19" x14ac:dyDescent="0.25">
      <c r="A288" s="5"/>
      <c r="B288" s="5"/>
      <c r="C288" s="45"/>
      <c r="D288" s="22"/>
      <c r="E288" s="5"/>
      <c r="F288" s="5"/>
      <c r="G288" s="43"/>
      <c r="H288" s="51"/>
      <c r="J288" s="49" t="str">
        <f t="shared" si="26"/>
        <v/>
      </c>
      <c r="K288" s="52" t="str">
        <f t="shared" si="27"/>
        <v/>
      </c>
      <c r="L288" s="53">
        <f t="shared" si="28"/>
        <v>0</v>
      </c>
      <c r="M288" s="54" t="str">
        <f t="shared" si="29"/>
        <v/>
      </c>
      <c r="N288" s="55">
        <f t="shared" si="30"/>
        <v>0</v>
      </c>
      <c r="O288" s="55">
        <f t="shared" si="31"/>
        <v>0</v>
      </c>
      <c r="P288" s="55">
        <f>IF($C288="",0,COUNTIFS($J$80:$J288,$J288,$M$80:$M288,$M288,$C$80:$C288,$C288))</f>
        <v>0</v>
      </c>
      <c r="Q288" s="55">
        <f t="shared" si="32"/>
        <v>0</v>
      </c>
      <c r="R288" s="55">
        <f t="shared" si="33"/>
        <v>0</v>
      </c>
      <c r="S288" s="55">
        <f>IF($C288="",0,COUNTIFS(rl_key,$J288,rl_eff,"&lt;"&amp;$C288)+COUNTIFS($J$80:$J288,$J288,$C$80:$C288,$C288))</f>
        <v>0</v>
      </c>
    </row>
    <row r="289" spans="1:19" x14ac:dyDescent="0.25">
      <c r="A289" s="5"/>
      <c r="B289" s="5"/>
      <c r="C289" s="45"/>
      <c r="D289" s="22"/>
      <c r="E289" s="5"/>
      <c r="F289" s="5"/>
      <c r="G289" s="43"/>
      <c r="H289" s="51"/>
      <c r="J289" s="49" t="str">
        <f t="shared" si="26"/>
        <v/>
      </c>
      <c r="K289" s="52" t="str">
        <f t="shared" si="27"/>
        <v/>
      </c>
      <c r="L289" s="53">
        <f t="shared" si="28"/>
        <v>0</v>
      </c>
      <c r="M289" s="54" t="str">
        <f t="shared" si="29"/>
        <v/>
      </c>
      <c r="N289" s="55">
        <f t="shared" si="30"/>
        <v>0</v>
      </c>
      <c r="O289" s="55">
        <f t="shared" si="31"/>
        <v>0</v>
      </c>
      <c r="P289" s="55">
        <f>IF($C289="",0,COUNTIFS($J$80:$J289,$J289,$M$80:$M289,$M289,$C$80:$C289,$C289))</f>
        <v>0</v>
      </c>
      <c r="Q289" s="55">
        <f t="shared" si="32"/>
        <v>0</v>
      </c>
      <c r="R289" s="55">
        <f t="shared" si="33"/>
        <v>0</v>
      </c>
      <c r="S289" s="55">
        <f>IF($C289="",0,COUNTIFS(rl_key,$J289,rl_eff,"&lt;"&amp;$C289)+COUNTIFS($J$80:$J289,$J289,$C$80:$C289,$C289))</f>
        <v>0</v>
      </c>
    </row>
    <row r="290" spans="1:19" x14ac:dyDescent="0.25">
      <c r="A290" s="5"/>
      <c r="B290" s="5"/>
      <c r="C290" s="45"/>
      <c r="D290" s="22"/>
      <c r="E290" s="5"/>
      <c r="F290" s="5"/>
      <c r="G290" s="43"/>
      <c r="H290" s="51"/>
      <c r="J290" s="49" t="str">
        <f t="shared" si="26"/>
        <v/>
      </c>
      <c r="K290" s="52" t="str">
        <f t="shared" si="27"/>
        <v/>
      </c>
      <c r="L290" s="53">
        <f t="shared" si="28"/>
        <v>0</v>
      </c>
      <c r="M290" s="54" t="str">
        <f t="shared" si="29"/>
        <v/>
      </c>
      <c r="N290" s="55">
        <f t="shared" si="30"/>
        <v>0</v>
      </c>
      <c r="O290" s="55">
        <f t="shared" si="31"/>
        <v>0</v>
      </c>
      <c r="P290" s="55">
        <f>IF($C290="",0,COUNTIFS($J$80:$J290,$J290,$M$80:$M290,$M290,$C$80:$C290,$C290))</f>
        <v>0</v>
      </c>
      <c r="Q290" s="55">
        <f t="shared" si="32"/>
        <v>0</v>
      </c>
      <c r="R290" s="55">
        <f t="shared" si="33"/>
        <v>0</v>
      </c>
      <c r="S290" s="55">
        <f>IF($C290="",0,COUNTIFS(rl_key,$J290,rl_eff,"&lt;"&amp;$C290)+COUNTIFS($J$80:$J290,$J290,$C$80:$C290,$C290))</f>
        <v>0</v>
      </c>
    </row>
    <row r="291" spans="1:19" x14ac:dyDescent="0.25">
      <c r="A291" s="5"/>
      <c r="B291" s="5"/>
      <c r="C291" s="45"/>
      <c r="D291" s="22"/>
      <c r="E291" s="5"/>
      <c r="F291" s="5"/>
      <c r="G291" s="43"/>
      <c r="H291" s="51"/>
      <c r="J291" s="49" t="str">
        <f t="shared" si="26"/>
        <v/>
      </c>
      <c r="K291" s="52" t="str">
        <f t="shared" si="27"/>
        <v/>
      </c>
      <c r="L291" s="53">
        <f t="shared" si="28"/>
        <v>0</v>
      </c>
      <c r="M291" s="54" t="str">
        <f t="shared" si="29"/>
        <v/>
      </c>
      <c r="N291" s="55">
        <f t="shared" si="30"/>
        <v>0</v>
      </c>
      <c r="O291" s="55">
        <f t="shared" si="31"/>
        <v>0</v>
      </c>
      <c r="P291" s="55">
        <f>IF($C291="",0,COUNTIFS($J$80:$J291,$J291,$M$80:$M291,$M291,$C$80:$C291,$C291))</f>
        <v>0</v>
      </c>
      <c r="Q291" s="55">
        <f t="shared" si="32"/>
        <v>0</v>
      </c>
      <c r="R291" s="55">
        <f t="shared" si="33"/>
        <v>0</v>
      </c>
      <c r="S291" s="55">
        <f>IF($C291="",0,COUNTIFS(rl_key,$J291,rl_eff,"&lt;"&amp;$C291)+COUNTIFS($J$80:$J291,$J291,$C$80:$C291,$C291))</f>
        <v>0</v>
      </c>
    </row>
    <row r="292" spans="1:19" x14ac:dyDescent="0.25">
      <c r="A292" s="5"/>
      <c r="B292" s="5"/>
      <c r="C292" s="45"/>
      <c r="D292" s="22"/>
      <c r="E292" s="5"/>
      <c r="F292" s="5"/>
      <c r="G292" s="43"/>
      <c r="H292" s="51"/>
      <c r="J292" s="49" t="str">
        <f t="shared" si="26"/>
        <v/>
      </c>
      <c r="K292" s="52" t="str">
        <f t="shared" si="27"/>
        <v/>
      </c>
      <c r="L292" s="53">
        <f t="shared" si="28"/>
        <v>0</v>
      </c>
      <c r="M292" s="54" t="str">
        <f t="shared" si="29"/>
        <v/>
      </c>
      <c r="N292" s="55">
        <f t="shared" si="30"/>
        <v>0</v>
      </c>
      <c r="O292" s="55">
        <f t="shared" si="31"/>
        <v>0</v>
      </c>
      <c r="P292" s="55">
        <f>IF($C292="",0,COUNTIFS($J$80:$J292,$J292,$M$80:$M292,$M292,$C$80:$C292,$C292))</f>
        <v>0</v>
      </c>
      <c r="Q292" s="55">
        <f t="shared" si="32"/>
        <v>0</v>
      </c>
      <c r="R292" s="55">
        <f t="shared" si="33"/>
        <v>0</v>
      </c>
      <c r="S292" s="55">
        <f>IF($C292="",0,COUNTIFS(rl_key,$J292,rl_eff,"&lt;"&amp;$C292)+COUNTIFS($J$80:$J292,$J292,$C$80:$C292,$C292))</f>
        <v>0</v>
      </c>
    </row>
    <row r="293" spans="1:19" x14ac:dyDescent="0.25">
      <c r="A293" s="5"/>
      <c r="B293" s="5"/>
      <c r="C293" s="45"/>
      <c r="D293" s="22"/>
      <c r="E293" s="5"/>
      <c r="F293" s="5"/>
      <c r="G293" s="43"/>
      <c r="H293" s="51"/>
      <c r="J293" s="49" t="str">
        <f t="shared" si="26"/>
        <v/>
      </c>
      <c r="K293" s="52" t="str">
        <f t="shared" si="27"/>
        <v/>
      </c>
      <c r="L293" s="53">
        <f t="shared" si="28"/>
        <v>0</v>
      </c>
      <c r="M293" s="54" t="str">
        <f t="shared" si="29"/>
        <v/>
      </c>
      <c r="N293" s="55">
        <f t="shared" si="30"/>
        <v>0</v>
      </c>
      <c r="O293" s="55">
        <f t="shared" si="31"/>
        <v>0</v>
      </c>
      <c r="P293" s="55">
        <f>IF($C293="",0,COUNTIFS($J$80:$J293,$J293,$M$80:$M293,$M293,$C$80:$C293,$C293))</f>
        <v>0</v>
      </c>
      <c r="Q293" s="55">
        <f t="shared" si="32"/>
        <v>0</v>
      </c>
      <c r="R293" s="55">
        <f t="shared" si="33"/>
        <v>0</v>
      </c>
      <c r="S293" s="55">
        <f>IF($C293="",0,COUNTIFS(rl_key,$J293,rl_eff,"&lt;"&amp;$C293)+COUNTIFS($J$80:$J293,$J293,$C$80:$C293,$C293))</f>
        <v>0</v>
      </c>
    </row>
    <row r="294" spans="1:19" x14ac:dyDescent="0.25">
      <c r="A294" s="5"/>
      <c r="B294" s="5"/>
      <c r="C294" s="45"/>
      <c r="D294" s="22"/>
      <c r="E294" s="5"/>
      <c r="F294" s="5"/>
      <c r="G294" s="43"/>
      <c r="H294" s="51"/>
      <c r="J294" s="49" t="str">
        <f t="shared" si="26"/>
        <v/>
      </c>
      <c r="K294" s="52" t="str">
        <f t="shared" si="27"/>
        <v/>
      </c>
      <c r="L294" s="53">
        <f t="shared" si="28"/>
        <v>0</v>
      </c>
      <c r="M294" s="54" t="str">
        <f t="shared" si="29"/>
        <v/>
      </c>
      <c r="N294" s="55">
        <f t="shared" si="30"/>
        <v>0</v>
      </c>
      <c r="O294" s="55">
        <f t="shared" si="31"/>
        <v>0</v>
      </c>
      <c r="P294" s="55">
        <f>IF($C294="",0,COUNTIFS($J$80:$J294,$J294,$M$80:$M294,$M294,$C$80:$C294,$C294))</f>
        <v>0</v>
      </c>
      <c r="Q294" s="55">
        <f t="shared" si="32"/>
        <v>0</v>
      </c>
      <c r="R294" s="55">
        <f t="shared" si="33"/>
        <v>0</v>
      </c>
      <c r="S294" s="55">
        <f>IF($C294="",0,COUNTIFS(rl_key,$J294,rl_eff,"&lt;"&amp;$C294)+COUNTIFS($J$80:$J294,$J294,$C$80:$C294,$C294))</f>
        <v>0</v>
      </c>
    </row>
    <row r="295" spans="1:19" x14ac:dyDescent="0.25">
      <c r="A295" s="5"/>
      <c r="B295" s="5"/>
      <c r="C295" s="45"/>
      <c r="D295" s="22"/>
      <c r="E295" s="5"/>
      <c r="F295" s="5"/>
      <c r="G295" s="43"/>
      <c r="H295" s="51"/>
      <c r="J295" s="49" t="str">
        <f t="shared" si="26"/>
        <v/>
      </c>
      <c r="K295" s="52" t="str">
        <f t="shared" si="27"/>
        <v/>
      </c>
      <c r="L295" s="53">
        <f t="shared" si="28"/>
        <v>0</v>
      </c>
      <c r="M295" s="54" t="str">
        <f t="shared" si="29"/>
        <v/>
      </c>
      <c r="N295" s="55">
        <f t="shared" si="30"/>
        <v>0</v>
      </c>
      <c r="O295" s="55">
        <f t="shared" si="31"/>
        <v>0</v>
      </c>
      <c r="P295" s="55">
        <f>IF($C295="",0,COUNTIFS($J$80:$J295,$J295,$M$80:$M295,$M295,$C$80:$C295,$C295))</f>
        <v>0</v>
      </c>
      <c r="Q295" s="55">
        <f t="shared" si="32"/>
        <v>0</v>
      </c>
      <c r="R295" s="55">
        <f t="shared" si="33"/>
        <v>0</v>
      </c>
      <c r="S295" s="55">
        <f>IF($C295="",0,COUNTIFS(rl_key,$J295,rl_eff,"&lt;"&amp;$C295)+COUNTIFS($J$80:$J295,$J295,$C$80:$C295,$C295))</f>
        <v>0</v>
      </c>
    </row>
    <row r="296" spans="1:19" x14ac:dyDescent="0.25">
      <c r="A296" s="5"/>
      <c r="B296" s="5"/>
      <c r="C296" s="45"/>
      <c r="D296" s="22"/>
      <c r="E296" s="5"/>
      <c r="F296" s="5"/>
      <c r="G296" s="43"/>
      <c r="H296" s="51"/>
      <c r="J296" s="49" t="str">
        <f t="shared" si="26"/>
        <v/>
      </c>
      <c r="K296" s="52" t="str">
        <f t="shared" si="27"/>
        <v/>
      </c>
      <c r="L296" s="53">
        <f t="shared" si="28"/>
        <v>0</v>
      </c>
      <c r="M296" s="54" t="str">
        <f t="shared" si="29"/>
        <v/>
      </c>
      <c r="N296" s="55">
        <f t="shared" si="30"/>
        <v>0</v>
      </c>
      <c r="O296" s="55">
        <f t="shared" si="31"/>
        <v>0</v>
      </c>
      <c r="P296" s="55">
        <f>IF($C296="",0,COUNTIFS($J$80:$J296,$J296,$M$80:$M296,$M296,$C$80:$C296,$C296))</f>
        <v>0</v>
      </c>
      <c r="Q296" s="55">
        <f t="shared" si="32"/>
        <v>0</v>
      </c>
      <c r="R296" s="55">
        <f t="shared" si="33"/>
        <v>0</v>
      </c>
      <c r="S296" s="55">
        <f>IF($C296="",0,COUNTIFS(rl_key,$J296,rl_eff,"&lt;"&amp;$C296)+COUNTIFS($J$80:$J296,$J296,$C$80:$C296,$C296))</f>
        <v>0</v>
      </c>
    </row>
    <row r="297" spans="1:19" x14ac:dyDescent="0.25">
      <c r="A297" s="5"/>
      <c r="B297" s="5"/>
      <c r="C297" s="45"/>
      <c r="D297" s="22"/>
      <c r="E297" s="5"/>
      <c r="F297" s="5"/>
      <c r="G297" s="43"/>
      <c r="H297" s="51"/>
      <c r="J297" s="49" t="str">
        <f t="shared" si="26"/>
        <v/>
      </c>
      <c r="K297" s="52" t="str">
        <f t="shared" si="27"/>
        <v/>
      </c>
      <c r="L297" s="53">
        <f t="shared" si="28"/>
        <v>0</v>
      </c>
      <c r="M297" s="54" t="str">
        <f t="shared" si="29"/>
        <v/>
      </c>
      <c r="N297" s="55">
        <f t="shared" si="30"/>
        <v>0</v>
      </c>
      <c r="O297" s="55">
        <f t="shared" si="31"/>
        <v>0</v>
      </c>
      <c r="P297" s="55">
        <f>IF($C297="",0,COUNTIFS($J$80:$J297,$J297,$M$80:$M297,$M297,$C$80:$C297,$C297))</f>
        <v>0</v>
      </c>
      <c r="Q297" s="55">
        <f t="shared" si="32"/>
        <v>0</v>
      </c>
      <c r="R297" s="55">
        <f t="shared" si="33"/>
        <v>0</v>
      </c>
      <c r="S297" s="55">
        <f>IF($C297="",0,COUNTIFS(rl_key,$J297,rl_eff,"&lt;"&amp;$C297)+COUNTIFS($J$80:$J297,$J297,$C$80:$C297,$C297))</f>
        <v>0</v>
      </c>
    </row>
    <row r="298" spans="1:19" x14ac:dyDescent="0.25">
      <c r="A298" s="5"/>
      <c r="B298" s="5"/>
      <c r="C298" s="45"/>
      <c r="D298" s="22"/>
      <c r="E298" s="5"/>
      <c r="F298" s="5"/>
      <c r="G298" s="43"/>
      <c r="H298" s="51"/>
      <c r="J298" s="49" t="str">
        <f t="shared" si="26"/>
        <v/>
      </c>
      <c r="K298" s="52" t="str">
        <f t="shared" si="27"/>
        <v/>
      </c>
      <c r="L298" s="53">
        <f t="shared" si="28"/>
        <v>0</v>
      </c>
      <c r="M298" s="54" t="str">
        <f t="shared" si="29"/>
        <v/>
      </c>
      <c r="N298" s="55">
        <f t="shared" si="30"/>
        <v>0</v>
      </c>
      <c r="O298" s="55">
        <f t="shared" si="31"/>
        <v>0</v>
      </c>
      <c r="P298" s="55">
        <f>IF($C298="",0,COUNTIFS($J$80:$J298,$J298,$M$80:$M298,$M298,$C$80:$C298,$C298))</f>
        <v>0</v>
      </c>
      <c r="Q298" s="55">
        <f t="shared" si="32"/>
        <v>0</v>
      </c>
      <c r="R298" s="55">
        <f t="shared" si="33"/>
        <v>0</v>
      </c>
      <c r="S298" s="55">
        <f>IF($C298="",0,COUNTIFS(rl_key,$J298,rl_eff,"&lt;"&amp;$C298)+COUNTIFS($J$80:$J298,$J298,$C$80:$C298,$C298))</f>
        <v>0</v>
      </c>
    </row>
    <row r="299" spans="1:19" x14ac:dyDescent="0.25">
      <c r="A299" s="5"/>
      <c r="B299" s="5"/>
      <c r="C299" s="45"/>
      <c r="D299" s="22"/>
      <c r="E299" s="5"/>
      <c r="F299" s="5"/>
      <c r="G299" s="43"/>
      <c r="H299" s="51"/>
      <c r="J299" s="49" t="str">
        <f t="shared" si="26"/>
        <v/>
      </c>
      <c r="K299" s="52" t="str">
        <f t="shared" si="27"/>
        <v/>
      </c>
      <c r="L299" s="53">
        <f t="shared" si="28"/>
        <v>0</v>
      </c>
      <c r="M299" s="54" t="str">
        <f t="shared" si="29"/>
        <v/>
      </c>
      <c r="N299" s="55">
        <f t="shared" si="30"/>
        <v>0</v>
      </c>
      <c r="O299" s="55">
        <f t="shared" si="31"/>
        <v>0</v>
      </c>
      <c r="P299" s="55">
        <f>IF($C299="",0,COUNTIFS($J$80:$J299,$J299,$M$80:$M299,$M299,$C$80:$C299,$C299))</f>
        <v>0</v>
      </c>
      <c r="Q299" s="55">
        <f t="shared" si="32"/>
        <v>0</v>
      </c>
      <c r="R299" s="55">
        <f t="shared" si="33"/>
        <v>0</v>
      </c>
      <c r="S299" s="55">
        <f>IF($C299="",0,COUNTIFS(rl_key,$J299,rl_eff,"&lt;"&amp;$C299)+COUNTIFS($J$80:$J299,$J299,$C$80:$C299,$C299))</f>
        <v>0</v>
      </c>
    </row>
    <row r="300" spans="1:19" x14ac:dyDescent="0.25">
      <c r="A300" s="5"/>
      <c r="B300" s="5"/>
      <c r="C300" s="45"/>
      <c r="D300" s="22"/>
      <c r="E300" s="5"/>
      <c r="F300" s="5"/>
      <c r="G300" s="43"/>
      <c r="H300" s="51"/>
      <c r="J300" s="49" t="str">
        <f t="shared" si="26"/>
        <v/>
      </c>
      <c r="K300" s="52" t="str">
        <f t="shared" si="27"/>
        <v/>
      </c>
      <c r="L300" s="53">
        <f t="shared" si="28"/>
        <v>0</v>
      </c>
      <c r="M300" s="54" t="str">
        <f t="shared" si="29"/>
        <v/>
      </c>
      <c r="N300" s="55">
        <f t="shared" si="30"/>
        <v>0</v>
      </c>
      <c r="O300" s="55">
        <f t="shared" si="31"/>
        <v>0</v>
      </c>
      <c r="P300" s="55">
        <f>IF($C300="",0,COUNTIFS($J$80:$J300,$J300,$M$80:$M300,$M300,$C$80:$C300,$C300))</f>
        <v>0</v>
      </c>
      <c r="Q300" s="55">
        <f t="shared" si="32"/>
        <v>0</v>
      </c>
      <c r="R300" s="55">
        <f t="shared" si="33"/>
        <v>0</v>
      </c>
      <c r="S300" s="55">
        <f>IF($C300="",0,COUNTIFS(rl_key,$J300,rl_eff,"&lt;"&amp;$C300)+COUNTIFS($J$80:$J300,$J300,$C$80:$C300,$C300))</f>
        <v>0</v>
      </c>
    </row>
    <row r="301" spans="1:19" x14ac:dyDescent="0.25">
      <c r="A301" s="5"/>
      <c r="B301" s="5"/>
      <c r="C301" s="45"/>
      <c r="D301" s="22"/>
      <c r="E301" s="5"/>
      <c r="F301" s="5"/>
      <c r="G301" s="43"/>
      <c r="H301" s="51"/>
      <c r="J301" s="49" t="str">
        <f t="shared" si="26"/>
        <v/>
      </c>
      <c r="K301" s="52" t="str">
        <f t="shared" si="27"/>
        <v/>
      </c>
      <c r="L301" s="53">
        <f t="shared" si="28"/>
        <v>0</v>
      </c>
      <c r="M301" s="54" t="str">
        <f t="shared" si="29"/>
        <v/>
      </c>
      <c r="N301" s="55">
        <f t="shared" si="30"/>
        <v>0</v>
      </c>
      <c r="O301" s="55">
        <f t="shared" si="31"/>
        <v>0</v>
      </c>
      <c r="P301" s="55">
        <f>IF($C301="",0,COUNTIFS($J$80:$J301,$J301,$M$80:$M301,$M301,$C$80:$C301,$C301))</f>
        <v>0</v>
      </c>
      <c r="Q301" s="55">
        <f t="shared" si="32"/>
        <v>0</v>
      </c>
      <c r="R301" s="55">
        <f t="shared" si="33"/>
        <v>0</v>
      </c>
      <c r="S301" s="55">
        <f>IF($C301="",0,COUNTIFS(rl_key,$J301,rl_eff,"&lt;"&amp;$C301)+COUNTIFS($J$80:$J301,$J301,$C$80:$C301,$C301))</f>
        <v>0</v>
      </c>
    </row>
    <row r="302" spans="1:19" x14ac:dyDescent="0.25">
      <c r="A302" s="5"/>
      <c r="B302" s="5"/>
      <c r="C302" s="45"/>
      <c r="D302" s="22"/>
      <c r="E302" s="5"/>
      <c r="F302" s="5"/>
      <c r="G302" s="43"/>
      <c r="H302" s="51"/>
      <c r="J302" s="49" t="str">
        <f t="shared" si="26"/>
        <v/>
      </c>
      <c r="K302" s="52" t="str">
        <f t="shared" si="27"/>
        <v/>
      </c>
      <c r="L302" s="53">
        <f t="shared" si="28"/>
        <v>0</v>
      </c>
      <c r="M302" s="54" t="str">
        <f t="shared" si="29"/>
        <v/>
      </c>
      <c r="N302" s="55">
        <f t="shared" si="30"/>
        <v>0</v>
      </c>
      <c r="O302" s="55">
        <f t="shared" si="31"/>
        <v>0</v>
      </c>
      <c r="P302" s="55">
        <f>IF($C302="",0,COUNTIFS($J$80:$J302,$J302,$M$80:$M302,$M302,$C$80:$C302,$C302))</f>
        <v>0</v>
      </c>
      <c r="Q302" s="55">
        <f t="shared" si="32"/>
        <v>0</v>
      </c>
      <c r="R302" s="55">
        <f t="shared" si="33"/>
        <v>0</v>
      </c>
      <c r="S302" s="55">
        <f>IF($C302="",0,COUNTIFS(rl_key,$J302,rl_eff,"&lt;"&amp;$C302)+COUNTIFS($J$80:$J302,$J302,$C$80:$C302,$C302))</f>
        <v>0</v>
      </c>
    </row>
    <row r="303" spans="1:19" x14ac:dyDescent="0.25">
      <c r="A303" s="5"/>
      <c r="B303" s="5"/>
      <c r="C303" s="45"/>
      <c r="D303" s="22"/>
      <c r="E303" s="5"/>
      <c r="F303" s="5"/>
      <c r="G303" s="43"/>
      <c r="H303" s="51"/>
      <c r="J303" s="49" t="str">
        <f t="shared" si="26"/>
        <v/>
      </c>
      <c r="K303" s="52" t="str">
        <f t="shared" si="27"/>
        <v/>
      </c>
      <c r="L303" s="53">
        <f t="shared" si="28"/>
        <v>0</v>
      </c>
      <c r="M303" s="54" t="str">
        <f t="shared" si="29"/>
        <v/>
      </c>
      <c r="N303" s="55">
        <f t="shared" si="30"/>
        <v>0</v>
      </c>
      <c r="O303" s="55">
        <f t="shared" si="31"/>
        <v>0</v>
      </c>
      <c r="P303" s="55">
        <f>IF($C303="",0,COUNTIFS($J$80:$J303,$J303,$M$80:$M303,$M303,$C$80:$C303,$C303))</f>
        <v>0</v>
      </c>
      <c r="Q303" s="55">
        <f t="shared" si="32"/>
        <v>0</v>
      </c>
      <c r="R303" s="55">
        <f t="shared" si="33"/>
        <v>0</v>
      </c>
      <c r="S303" s="55">
        <f>IF($C303="",0,COUNTIFS(rl_key,$J303,rl_eff,"&lt;"&amp;$C303)+COUNTIFS($J$80:$J303,$J303,$C$80:$C303,$C303))</f>
        <v>0</v>
      </c>
    </row>
    <row r="304" spans="1:19" x14ac:dyDescent="0.25">
      <c r="A304" s="5"/>
      <c r="B304" s="5"/>
      <c r="C304" s="45"/>
      <c r="D304" s="22"/>
      <c r="E304" s="5"/>
      <c r="F304" s="5"/>
      <c r="G304" s="43"/>
      <c r="H304" s="51"/>
      <c r="J304" s="49" t="str">
        <f t="shared" si="26"/>
        <v/>
      </c>
      <c r="K304" s="52" t="str">
        <f t="shared" si="27"/>
        <v/>
      </c>
      <c r="L304" s="53">
        <f t="shared" si="28"/>
        <v>0</v>
      </c>
      <c r="M304" s="54" t="str">
        <f t="shared" si="29"/>
        <v/>
      </c>
      <c r="N304" s="55">
        <f t="shared" si="30"/>
        <v>0</v>
      </c>
      <c r="O304" s="55">
        <f t="shared" si="31"/>
        <v>0</v>
      </c>
      <c r="P304" s="55">
        <f>IF($C304="",0,COUNTIFS($J$80:$J304,$J304,$M$80:$M304,$M304,$C$80:$C304,$C304))</f>
        <v>0</v>
      </c>
      <c r="Q304" s="55">
        <f t="shared" si="32"/>
        <v>0</v>
      </c>
      <c r="R304" s="55">
        <f t="shared" si="33"/>
        <v>0</v>
      </c>
      <c r="S304" s="55">
        <f>IF($C304="",0,COUNTIFS(rl_key,$J304,rl_eff,"&lt;"&amp;$C304)+COUNTIFS($J$80:$J304,$J304,$C$80:$C304,$C304))</f>
        <v>0</v>
      </c>
    </row>
    <row r="305" spans="1:19" x14ac:dyDescent="0.25">
      <c r="A305" s="5"/>
      <c r="B305" s="5"/>
      <c r="C305" s="45"/>
      <c r="D305" s="22"/>
      <c r="E305" s="5"/>
      <c r="F305" s="5"/>
      <c r="G305" s="43"/>
      <c r="H305" s="51"/>
      <c r="J305" s="49" t="str">
        <f t="shared" si="26"/>
        <v/>
      </c>
      <c r="K305" s="52" t="str">
        <f t="shared" si="27"/>
        <v/>
      </c>
      <c r="L305" s="53">
        <f t="shared" si="28"/>
        <v>0</v>
      </c>
      <c r="M305" s="54" t="str">
        <f t="shared" si="29"/>
        <v/>
      </c>
      <c r="N305" s="55">
        <f t="shared" si="30"/>
        <v>0</v>
      </c>
      <c r="O305" s="55">
        <f t="shared" si="31"/>
        <v>0</v>
      </c>
      <c r="P305" s="55">
        <f>IF($C305="",0,COUNTIFS($J$80:$J305,$J305,$M$80:$M305,$M305,$C$80:$C305,$C305))</f>
        <v>0</v>
      </c>
      <c r="Q305" s="55">
        <f t="shared" si="32"/>
        <v>0</v>
      </c>
      <c r="R305" s="55">
        <f t="shared" si="33"/>
        <v>0</v>
      </c>
      <c r="S305" s="55">
        <f>IF($C305="",0,COUNTIFS(rl_key,$J305,rl_eff,"&lt;"&amp;$C305)+COUNTIFS($J$80:$J305,$J305,$C$80:$C305,$C305))</f>
        <v>0</v>
      </c>
    </row>
    <row r="306" spans="1:19" x14ac:dyDescent="0.25">
      <c r="A306" s="5"/>
      <c r="B306" s="5"/>
      <c r="C306" s="45"/>
      <c r="D306" s="22"/>
      <c r="E306" s="5"/>
      <c r="F306" s="5"/>
      <c r="G306" s="43"/>
      <c r="H306" s="51"/>
      <c r="J306" s="49" t="str">
        <f t="shared" si="26"/>
        <v/>
      </c>
      <c r="K306" s="52" t="str">
        <f t="shared" si="27"/>
        <v/>
      </c>
      <c r="L306" s="53">
        <f t="shared" si="28"/>
        <v>0</v>
      </c>
      <c r="M306" s="54" t="str">
        <f t="shared" si="29"/>
        <v/>
      </c>
      <c r="N306" s="55">
        <f t="shared" si="30"/>
        <v>0</v>
      </c>
      <c r="O306" s="55">
        <f t="shared" si="31"/>
        <v>0</v>
      </c>
      <c r="P306" s="55">
        <f>IF($C306="",0,COUNTIFS($J$80:$J306,$J306,$M$80:$M306,$M306,$C$80:$C306,$C306))</f>
        <v>0</v>
      </c>
      <c r="Q306" s="55">
        <f t="shared" si="32"/>
        <v>0</v>
      </c>
      <c r="R306" s="55">
        <f t="shared" si="33"/>
        <v>0</v>
      </c>
      <c r="S306" s="55">
        <f>IF($C306="",0,COUNTIFS(rl_key,$J306,rl_eff,"&lt;"&amp;$C306)+COUNTIFS($J$80:$J306,$J306,$C$80:$C306,$C306))</f>
        <v>0</v>
      </c>
    </row>
    <row r="307" spans="1:19" x14ac:dyDescent="0.25">
      <c r="A307" s="5"/>
      <c r="B307" s="5"/>
      <c r="C307" s="45"/>
      <c r="D307" s="22"/>
      <c r="E307" s="5"/>
      <c r="F307" s="5"/>
      <c r="G307" s="43"/>
      <c r="H307" s="51"/>
      <c r="J307" s="49" t="str">
        <f t="shared" si="26"/>
        <v/>
      </c>
      <c r="K307" s="52" t="str">
        <f t="shared" si="27"/>
        <v/>
      </c>
      <c r="L307" s="53">
        <f t="shared" si="28"/>
        <v>0</v>
      </c>
      <c r="M307" s="54" t="str">
        <f t="shared" si="29"/>
        <v/>
      </c>
      <c r="N307" s="55">
        <f t="shared" si="30"/>
        <v>0</v>
      </c>
      <c r="O307" s="55">
        <f t="shared" si="31"/>
        <v>0</v>
      </c>
      <c r="P307" s="55">
        <f>IF($C307="",0,COUNTIFS($J$80:$J307,$J307,$M$80:$M307,$M307,$C$80:$C307,$C307))</f>
        <v>0</v>
      </c>
      <c r="Q307" s="55">
        <f t="shared" si="32"/>
        <v>0</v>
      </c>
      <c r="R307" s="55">
        <f t="shared" si="33"/>
        <v>0</v>
      </c>
      <c r="S307" s="55">
        <f>IF($C307="",0,COUNTIFS(rl_key,$J307,rl_eff,"&lt;"&amp;$C307)+COUNTIFS($J$80:$J307,$J307,$C$80:$C307,$C307))</f>
        <v>0</v>
      </c>
    </row>
    <row r="308" spans="1:19" x14ac:dyDescent="0.25">
      <c r="A308" s="5"/>
      <c r="B308" s="5"/>
      <c r="C308" s="45"/>
      <c r="D308" s="22"/>
      <c r="E308" s="5"/>
      <c r="F308" s="5"/>
      <c r="G308" s="43"/>
      <c r="H308" s="51"/>
      <c r="J308" s="49" t="str">
        <f t="shared" si="26"/>
        <v/>
      </c>
      <c r="K308" s="52" t="str">
        <f t="shared" si="27"/>
        <v/>
      </c>
      <c r="L308" s="53">
        <f t="shared" si="28"/>
        <v>0</v>
      </c>
      <c r="M308" s="54" t="str">
        <f t="shared" si="29"/>
        <v/>
      </c>
      <c r="N308" s="55">
        <f t="shared" si="30"/>
        <v>0</v>
      </c>
      <c r="O308" s="55">
        <f t="shared" si="31"/>
        <v>0</v>
      </c>
      <c r="P308" s="55">
        <f>IF($C308="",0,COUNTIFS($J$80:$J308,$J308,$M$80:$M308,$M308,$C$80:$C308,$C308))</f>
        <v>0</v>
      </c>
      <c r="Q308" s="55">
        <f t="shared" si="32"/>
        <v>0</v>
      </c>
      <c r="R308" s="55">
        <f t="shared" si="33"/>
        <v>0</v>
      </c>
      <c r="S308" s="55">
        <f>IF($C308="",0,COUNTIFS(rl_key,$J308,rl_eff,"&lt;"&amp;$C308)+COUNTIFS($J$80:$J308,$J308,$C$80:$C308,$C308))</f>
        <v>0</v>
      </c>
    </row>
    <row r="309" spans="1:19" x14ac:dyDescent="0.25">
      <c r="A309" s="5"/>
      <c r="B309" s="5"/>
      <c r="C309" s="45"/>
      <c r="D309" s="22"/>
      <c r="E309" s="5"/>
      <c r="F309" s="5"/>
      <c r="G309" s="43"/>
      <c r="H309" s="51"/>
      <c r="J309" s="49" t="str">
        <f t="shared" si="26"/>
        <v/>
      </c>
      <c r="K309" s="52" t="str">
        <f t="shared" si="27"/>
        <v/>
      </c>
      <c r="L309" s="53">
        <f t="shared" si="28"/>
        <v>0</v>
      </c>
      <c r="M309" s="54" t="str">
        <f t="shared" si="29"/>
        <v/>
      </c>
      <c r="N309" s="55">
        <f t="shared" si="30"/>
        <v>0</v>
      </c>
      <c r="O309" s="55">
        <f t="shared" si="31"/>
        <v>0</v>
      </c>
      <c r="P309" s="55">
        <f>IF($C309="",0,COUNTIFS($J$80:$J309,$J309,$M$80:$M309,$M309,$C$80:$C309,$C309))</f>
        <v>0</v>
      </c>
      <c r="Q309" s="55">
        <f t="shared" si="32"/>
        <v>0</v>
      </c>
      <c r="R309" s="55">
        <f t="shared" si="33"/>
        <v>0</v>
      </c>
      <c r="S309" s="55">
        <f>IF($C309="",0,COUNTIFS(rl_key,$J309,rl_eff,"&lt;"&amp;$C309)+COUNTIFS($J$80:$J309,$J309,$C$80:$C309,$C309))</f>
        <v>0</v>
      </c>
    </row>
    <row r="310" spans="1:19" x14ac:dyDescent="0.25">
      <c r="A310" s="5"/>
      <c r="B310" s="5"/>
      <c r="C310" s="45"/>
      <c r="D310" s="22"/>
      <c r="E310" s="5"/>
      <c r="F310" s="5"/>
      <c r="G310" s="43"/>
      <c r="H310" s="51"/>
      <c r="J310" s="49" t="str">
        <f t="shared" si="26"/>
        <v/>
      </c>
      <c r="K310" s="52" t="str">
        <f t="shared" si="27"/>
        <v/>
      </c>
      <c r="L310" s="53">
        <f t="shared" si="28"/>
        <v>0</v>
      </c>
      <c r="M310" s="54" t="str">
        <f t="shared" si="29"/>
        <v/>
      </c>
      <c r="N310" s="55">
        <f t="shared" si="30"/>
        <v>0</v>
      </c>
      <c r="O310" s="55">
        <f t="shared" si="31"/>
        <v>0</v>
      </c>
      <c r="P310" s="55">
        <f>IF($C310="",0,COUNTIFS($J$80:$J310,$J310,$M$80:$M310,$M310,$C$80:$C310,$C310))</f>
        <v>0</v>
      </c>
      <c r="Q310" s="55">
        <f t="shared" si="32"/>
        <v>0</v>
      </c>
      <c r="R310" s="55">
        <f t="shared" si="33"/>
        <v>0</v>
      </c>
      <c r="S310" s="55">
        <f>IF($C310="",0,COUNTIFS(rl_key,$J310,rl_eff,"&lt;"&amp;$C310)+COUNTIFS($J$80:$J310,$J310,$C$80:$C310,$C310))</f>
        <v>0</v>
      </c>
    </row>
    <row r="311" spans="1:19" x14ac:dyDescent="0.25">
      <c r="A311" s="5"/>
      <c r="B311" s="5"/>
      <c r="C311" s="45"/>
      <c r="D311" s="22"/>
      <c r="E311" s="5"/>
      <c r="F311" s="5"/>
      <c r="G311" s="43"/>
      <c r="H311" s="51"/>
      <c r="J311" s="49" t="str">
        <f t="shared" si="26"/>
        <v/>
      </c>
      <c r="K311" s="52" t="str">
        <f t="shared" si="27"/>
        <v/>
      </c>
      <c r="L311" s="53">
        <f t="shared" si="28"/>
        <v>0</v>
      </c>
      <c r="M311" s="54" t="str">
        <f t="shared" si="29"/>
        <v/>
      </c>
      <c r="N311" s="55">
        <f t="shared" si="30"/>
        <v>0</v>
      </c>
      <c r="O311" s="55">
        <f t="shared" si="31"/>
        <v>0</v>
      </c>
      <c r="P311" s="55">
        <f>IF($C311="",0,COUNTIFS($J$80:$J311,$J311,$M$80:$M311,$M311,$C$80:$C311,$C311))</f>
        <v>0</v>
      </c>
      <c r="Q311" s="55">
        <f t="shared" si="32"/>
        <v>0</v>
      </c>
      <c r="R311" s="55">
        <f t="shared" si="33"/>
        <v>0</v>
      </c>
      <c r="S311" s="55">
        <f>IF($C311="",0,COUNTIFS(rl_key,$J311,rl_eff,"&lt;"&amp;$C311)+COUNTIFS($J$80:$J311,$J311,$C$80:$C311,$C311))</f>
        <v>0</v>
      </c>
    </row>
    <row r="312" spans="1:19" x14ac:dyDescent="0.25">
      <c r="A312" s="5"/>
      <c r="B312" s="5"/>
      <c r="C312" s="45"/>
      <c r="D312" s="22"/>
      <c r="E312" s="5"/>
      <c r="F312" s="5"/>
      <c r="G312" s="43"/>
      <c r="H312" s="51"/>
      <c r="J312" s="49" t="str">
        <f t="shared" si="26"/>
        <v/>
      </c>
      <c r="K312" s="52" t="str">
        <f t="shared" si="27"/>
        <v/>
      </c>
      <c r="L312" s="53">
        <f t="shared" si="28"/>
        <v>0</v>
      </c>
      <c r="M312" s="54" t="str">
        <f t="shared" si="29"/>
        <v/>
      </c>
      <c r="N312" s="55">
        <f t="shared" si="30"/>
        <v>0</v>
      </c>
      <c r="O312" s="55">
        <f t="shared" si="31"/>
        <v>0</v>
      </c>
      <c r="P312" s="55">
        <f>IF($C312="",0,COUNTIFS($J$80:$J312,$J312,$M$80:$M312,$M312,$C$80:$C312,$C312))</f>
        <v>0</v>
      </c>
      <c r="Q312" s="55">
        <f t="shared" si="32"/>
        <v>0</v>
      </c>
      <c r="R312" s="55">
        <f t="shared" si="33"/>
        <v>0</v>
      </c>
      <c r="S312" s="55">
        <f>IF($C312="",0,COUNTIFS(rl_key,$J312,rl_eff,"&lt;"&amp;$C312)+COUNTIFS($J$80:$J312,$J312,$C$80:$C312,$C312))</f>
        <v>0</v>
      </c>
    </row>
    <row r="313" spans="1:19" x14ac:dyDescent="0.25">
      <c r="A313" s="5"/>
      <c r="B313" s="5"/>
      <c r="C313" s="45"/>
      <c r="D313" s="22"/>
      <c r="E313" s="5"/>
      <c r="F313" s="5"/>
      <c r="G313" s="43"/>
      <c r="H313" s="51"/>
      <c r="J313" s="49" t="str">
        <f t="shared" si="26"/>
        <v/>
      </c>
      <c r="K313" s="52" t="str">
        <f t="shared" si="27"/>
        <v/>
      </c>
      <c r="L313" s="53">
        <f t="shared" si="28"/>
        <v>0</v>
      </c>
      <c r="M313" s="54" t="str">
        <f t="shared" si="29"/>
        <v/>
      </c>
      <c r="N313" s="55">
        <f t="shared" si="30"/>
        <v>0</v>
      </c>
      <c r="O313" s="55">
        <f t="shared" si="31"/>
        <v>0</v>
      </c>
      <c r="P313" s="55">
        <f>IF($C313="",0,COUNTIFS($J$80:$J313,$J313,$M$80:$M313,$M313,$C$80:$C313,$C313))</f>
        <v>0</v>
      </c>
      <c r="Q313" s="55">
        <f t="shared" si="32"/>
        <v>0</v>
      </c>
      <c r="R313" s="55">
        <f t="shared" si="33"/>
        <v>0</v>
      </c>
      <c r="S313" s="55">
        <f>IF($C313="",0,COUNTIFS(rl_key,$J313,rl_eff,"&lt;"&amp;$C313)+COUNTIFS($J$80:$J313,$J313,$C$80:$C313,$C313))</f>
        <v>0</v>
      </c>
    </row>
    <row r="314" spans="1:19" x14ac:dyDescent="0.25">
      <c r="A314" s="5"/>
      <c r="B314" s="5"/>
      <c r="C314" s="45"/>
      <c r="D314" s="22"/>
      <c r="E314" s="5"/>
      <c r="F314" s="5"/>
      <c r="G314" s="43"/>
      <c r="H314" s="51"/>
      <c r="J314" s="49" t="str">
        <f t="shared" si="26"/>
        <v/>
      </c>
      <c r="K314" s="52" t="str">
        <f t="shared" si="27"/>
        <v/>
      </c>
      <c r="L314" s="53">
        <f t="shared" si="28"/>
        <v>0</v>
      </c>
      <c r="M314" s="54" t="str">
        <f t="shared" si="29"/>
        <v/>
      </c>
      <c r="N314" s="55">
        <f t="shared" si="30"/>
        <v>0</v>
      </c>
      <c r="O314" s="55">
        <f t="shared" si="31"/>
        <v>0</v>
      </c>
      <c r="P314" s="55">
        <f>IF($C314="",0,COUNTIFS($J$80:$J314,$J314,$M$80:$M314,$M314,$C$80:$C314,$C314))</f>
        <v>0</v>
      </c>
      <c r="Q314" s="55">
        <f t="shared" si="32"/>
        <v>0</v>
      </c>
      <c r="R314" s="55">
        <f t="shared" si="33"/>
        <v>0</v>
      </c>
      <c r="S314" s="55">
        <f>IF($C314="",0,COUNTIFS(rl_key,$J314,rl_eff,"&lt;"&amp;$C314)+COUNTIFS($J$80:$J314,$J314,$C$80:$C314,$C314))</f>
        <v>0</v>
      </c>
    </row>
    <row r="315" spans="1:19" x14ac:dyDescent="0.25">
      <c r="A315" s="5"/>
      <c r="B315" s="5"/>
      <c r="C315" s="45"/>
      <c r="D315" s="22"/>
      <c r="E315" s="5"/>
      <c r="F315" s="5"/>
      <c r="G315" s="43"/>
      <c r="H315" s="51"/>
      <c r="J315" s="49" t="str">
        <f t="shared" si="26"/>
        <v/>
      </c>
      <c r="K315" s="52" t="str">
        <f t="shared" si="27"/>
        <v/>
      </c>
      <c r="L315" s="53">
        <f t="shared" si="28"/>
        <v>0</v>
      </c>
      <c r="M315" s="54" t="str">
        <f t="shared" si="29"/>
        <v/>
      </c>
      <c r="N315" s="55">
        <f t="shared" si="30"/>
        <v>0</v>
      </c>
      <c r="O315" s="55">
        <f t="shared" si="31"/>
        <v>0</v>
      </c>
      <c r="P315" s="55">
        <f>IF($C315="",0,COUNTIFS($J$80:$J315,$J315,$M$80:$M315,$M315,$C$80:$C315,$C315))</f>
        <v>0</v>
      </c>
      <c r="Q315" s="55">
        <f t="shared" si="32"/>
        <v>0</v>
      </c>
      <c r="R315" s="55">
        <f t="shared" si="33"/>
        <v>0</v>
      </c>
      <c r="S315" s="55">
        <f>IF($C315="",0,COUNTIFS(rl_key,$J315,rl_eff,"&lt;"&amp;$C315)+COUNTIFS($J$80:$J315,$J315,$C$80:$C315,$C315))</f>
        <v>0</v>
      </c>
    </row>
    <row r="316" spans="1:19" x14ac:dyDescent="0.25">
      <c r="A316" s="5"/>
      <c r="B316" s="5"/>
      <c r="C316" s="45"/>
      <c r="D316" s="22"/>
      <c r="E316" s="5"/>
      <c r="F316" s="5"/>
      <c r="G316" s="43"/>
      <c r="H316" s="51"/>
      <c r="J316" s="49" t="str">
        <f t="shared" si="26"/>
        <v/>
      </c>
      <c r="K316" s="52" t="str">
        <f t="shared" si="27"/>
        <v/>
      </c>
      <c r="L316" s="53">
        <f t="shared" si="28"/>
        <v>0</v>
      </c>
      <c r="M316" s="54" t="str">
        <f t="shared" si="29"/>
        <v/>
      </c>
      <c r="N316" s="55">
        <f t="shared" si="30"/>
        <v>0</v>
      </c>
      <c r="O316" s="55">
        <f t="shared" si="31"/>
        <v>0</v>
      </c>
      <c r="P316" s="55">
        <f>IF($C316="",0,COUNTIFS($J$80:$J316,$J316,$M$80:$M316,$M316,$C$80:$C316,$C316))</f>
        <v>0</v>
      </c>
      <c r="Q316" s="55">
        <f t="shared" si="32"/>
        <v>0</v>
      </c>
      <c r="R316" s="55">
        <f t="shared" si="33"/>
        <v>0</v>
      </c>
      <c r="S316" s="55">
        <f>IF($C316="",0,COUNTIFS(rl_key,$J316,rl_eff,"&lt;"&amp;$C316)+COUNTIFS($J$80:$J316,$J316,$C$80:$C316,$C316))</f>
        <v>0</v>
      </c>
    </row>
    <row r="317" spans="1:19" x14ac:dyDescent="0.25">
      <c r="A317" s="5"/>
      <c r="B317" s="5"/>
      <c r="C317" s="45"/>
      <c r="D317" s="22"/>
      <c r="E317" s="5"/>
      <c r="F317" s="5"/>
      <c r="G317" s="43"/>
      <c r="H317" s="51"/>
      <c r="J317" s="49" t="str">
        <f t="shared" si="26"/>
        <v/>
      </c>
      <c r="K317" s="52" t="str">
        <f t="shared" si="27"/>
        <v/>
      </c>
      <c r="L317" s="53">
        <f t="shared" si="28"/>
        <v>0</v>
      </c>
      <c r="M317" s="54" t="str">
        <f t="shared" si="29"/>
        <v/>
      </c>
      <c r="N317" s="55">
        <f t="shared" si="30"/>
        <v>0</v>
      </c>
      <c r="O317" s="55">
        <f t="shared" si="31"/>
        <v>0</v>
      </c>
      <c r="P317" s="55">
        <f>IF($C317="",0,COUNTIFS($J$80:$J317,$J317,$M$80:$M317,$M317,$C$80:$C317,$C317))</f>
        <v>0</v>
      </c>
      <c r="Q317" s="55">
        <f t="shared" si="32"/>
        <v>0</v>
      </c>
      <c r="R317" s="55">
        <f t="shared" si="33"/>
        <v>0</v>
      </c>
      <c r="S317" s="55">
        <f>IF($C317="",0,COUNTIFS(rl_key,$J317,rl_eff,"&lt;"&amp;$C317)+COUNTIFS($J$80:$J317,$J317,$C$80:$C317,$C317))</f>
        <v>0</v>
      </c>
    </row>
    <row r="318" spans="1:19" x14ac:dyDescent="0.25">
      <c r="A318" s="5"/>
      <c r="B318" s="5"/>
      <c r="C318" s="45"/>
      <c r="D318" s="22"/>
      <c r="E318" s="5"/>
      <c r="F318" s="5"/>
      <c r="G318" s="43"/>
      <c r="H318" s="51"/>
      <c r="J318" s="49" t="str">
        <f t="shared" si="26"/>
        <v/>
      </c>
      <c r="K318" s="52" t="str">
        <f t="shared" si="27"/>
        <v/>
      </c>
      <c r="L318" s="53">
        <f t="shared" si="28"/>
        <v>0</v>
      </c>
      <c r="M318" s="54" t="str">
        <f t="shared" si="29"/>
        <v/>
      </c>
      <c r="N318" s="55">
        <f t="shared" si="30"/>
        <v>0</v>
      </c>
      <c r="O318" s="55">
        <f t="shared" si="31"/>
        <v>0</v>
      </c>
      <c r="P318" s="55">
        <f>IF($C318="",0,COUNTIFS($J$80:$J318,$J318,$M$80:$M318,$M318,$C$80:$C318,$C318))</f>
        <v>0</v>
      </c>
      <c r="Q318" s="55">
        <f t="shared" si="32"/>
        <v>0</v>
      </c>
      <c r="R318" s="55">
        <f t="shared" si="33"/>
        <v>0</v>
      </c>
      <c r="S318" s="55">
        <f>IF($C318="",0,COUNTIFS(rl_key,$J318,rl_eff,"&lt;"&amp;$C318)+COUNTIFS($J$80:$J318,$J318,$C$80:$C318,$C318))</f>
        <v>0</v>
      </c>
    </row>
    <row r="319" spans="1:19" x14ac:dyDescent="0.25">
      <c r="A319" s="5"/>
      <c r="B319" s="5"/>
      <c r="C319" s="45"/>
      <c r="D319" s="22"/>
      <c r="E319" s="5"/>
      <c r="F319" s="5"/>
      <c r="G319" s="43"/>
      <c r="H319" s="51"/>
      <c r="J319" s="49" t="str">
        <f t="shared" si="26"/>
        <v/>
      </c>
      <c r="K319" s="52" t="str">
        <f t="shared" si="27"/>
        <v/>
      </c>
      <c r="L319" s="53">
        <f t="shared" si="28"/>
        <v>0</v>
      </c>
      <c r="M319" s="54" t="str">
        <f t="shared" si="29"/>
        <v/>
      </c>
      <c r="N319" s="55">
        <f t="shared" si="30"/>
        <v>0</v>
      </c>
      <c r="O319" s="55">
        <f t="shared" si="31"/>
        <v>0</v>
      </c>
      <c r="P319" s="55">
        <f>IF($C319="",0,COUNTIFS($J$80:$J319,$J319,$M$80:$M319,$M319,$C$80:$C319,$C319))</f>
        <v>0</v>
      </c>
      <c r="Q319" s="55">
        <f t="shared" si="32"/>
        <v>0</v>
      </c>
      <c r="R319" s="55">
        <f t="shared" si="33"/>
        <v>0</v>
      </c>
      <c r="S319" s="55">
        <f>IF($C319="",0,COUNTIFS(rl_key,$J319,rl_eff,"&lt;"&amp;$C319)+COUNTIFS($J$80:$J319,$J319,$C$80:$C319,$C319))</f>
        <v>0</v>
      </c>
    </row>
    <row r="322" spans="1:14" ht="15.75" x14ac:dyDescent="0.25">
      <c r="A322" s="3" t="s">
        <v>179</v>
      </c>
    </row>
    <row r="323" spans="1:14" x14ac:dyDescent="0.25">
      <c r="A323" s="41" t="s">
        <v>65</v>
      </c>
      <c r="B323" s="41" t="s">
        <v>180</v>
      </c>
      <c r="C323" s="41" t="s">
        <v>181</v>
      </c>
      <c r="D323" s="41" t="s">
        <v>182</v>
      </c>
      <c r="E323" s="41" t="s">
        <v>183</v>
      </c>
      <c r="F323" s="41" t="s">
        <v>184</v>
      </c>
      <c r="G323" s="41" t="s">
        <v>185</v>
      </c>
      <c r="H323" s="41" t="s">
        <v>186</v>
      </c>
      <c r="I323" s="41" t="s">
        <v>187</v>
      </c>
      <c r="J323" s="41" t="s">
        <v>188</v>
      </c>
      <c r="K323" s="41" t="s">
        <v>189</v>
      </c>
      <c r="L323" s="41" t="s">
        <v>190</v>
      </c>
      <c r="M323" s="41" t="s">
        <v>191</v>
      </c>
      <c r="N323" s="41" t="s">
        <v>192</v>
      </c>
    </row>
    <row r="324" spans="1:14" x14ac:dyDescent="0.25">
      <c r="A324" s="7" t="s">
        <v>133</v>
      </c>
      <c r="B324" s="56">
        <v>2</v>
      </c>
      <c r="C324" s="56">
        <v>0.6</v>
      </c>
      <c r="D324" s="56">
        <v>0.6</v>
      </c>
      <c r="E324" s="56">
        <v>0.8</v>
      </c>
      <c r="F324" s="56">
        <v>0.8</v>
      </c>
      <c r="G324" s="56">
        <v>1</v>
      </c>
      <c r="H324" s="56">
        <v>2</v>
      </c>
      <c r="I324" s="56">
        <v>0.8</v>
      </c>
      <c r="J324" s="56">
        <v>0.6</v>
      </c>
      <c r="K324" s="56">
        <v>0.6</v>
      </c>
      <c r="L324" s="56">
        <v>0.6</v>
      </c>
      <c r="M324" s="56">
        <v>1.6</v>
      </c>
      <c r="N324" s="57">
        <f t="shared" ref="N324:N347" si="34">IF($A324="","",SUM($B324:$M324))</f>
        <v>11.999999999999998</v>
      </c>
    </row>
    <row r="325" spans="1:14" x14ac:dyDescent="0.25">
      <c r="A325" s="7" t="s">
        <v>134</v>
      </c>
      <c r="B325" s="56">
        <v>2</v>
      </c>
      <c r="C325" s="56">
        <v>0.6</v>
      </c>
      <c r="D325" s="56">
        <v>0.6</v>
      </c>
      <c r="E325" s="56">
        <v>0.8</v>
      </c>
      <c r="F325" s="56">
        <v>0.8</v>
      </c>
      <c r="G325" s="56">
        <v>1</v>
      </c>
      <c r="H325" s="56">
        <v>2</v>
      </c>
      <c r="I325" s="56">
        <v>0.8</v>
      </c>
      <c r="J325" s="56">
        <v>0.6</v>
      </c>
      <c r="K325" s="56">
        <v>0.6</v>
      </c>
      <c r="L325" s="56">
        <v>0.6</v>
      </c>
      <c r="M325" s="56">
        <v>1.6</v>
      </c>
      <c r="N325" s="57">
        <f t="shared" si="34"/>
        <v>11.999999999999998</v>
      </c>
    </row>
    <row r="326" spans="1:14" x14ac:dyDescent="0.25">
      <c r="A326" s="7"/>
      <c r="B326" s="56"/>
      <c r="C326" s="56"/>
      <c r="D326" s="56"/>
      <c r="E326" s="56"/>
      <c r="F326" s="56"/>
      <c r="G326" s="56"/>
      <c r="H326" s="56"/>
      <c r="I326" s="56"/>
      <c r="J326" s="56"/>
      <c r="K326" s="56"/>
      <c r="L326" s="56"/>
      <c r="M326" s="56"/>
      <c r="N326" s="57" t="str">
        <f t="shared" si="34"/>
        <v/>
      </c>
    </row>
    <row r="327" spans="1:14" x14ac:dyDescent="0.25">
      <c r="A327" s="7"/>
      <c r="B327" s="56"/>
      <c r="C327" s="56"/>
      <c r="D327" s="56"/>
      <c r="E327" s="56"/>
      <c r="F327" s="56"/>
      <c r="G327" s="56"/>
      <c r="H327" s="56"/>
      <c r="I327" s="56"/>
      <c r="J327" s="56"/>
      <c r="K327" s="56"/>
      <c r="L327" s="56"/>
      <c r="M327" s="56"/>
      <c r="N327" s="57" t="str">
        <f t="shared" si="34"/>
        <v/>
      </c>
    </row>
    <row r="328" spans="1:14" x14ac:dyDescent="0.25">
      <c r="A328" s="7"/>
      <c r="B328" s="56"/>
      <c r="C328" s="56"/>
      <c r="D328" s="56"/>
      <c r="E328" s="56"/>
      <c r="F328" s="56"/>
      <c r="G328" s="56"/>
      <c r="H328" s="56"/>
      <c r="I328" s="56"/>
      <c r="J328" s="56"/>
      <c r="K328" s="56"/>
      <c r="L328" s="56"/>
      <c r="M328" s="56"/>
      <c r="N328" s="57" t="str">
        <f t="shared" si="34"/>
        <v/>
      </c>
    </row>
    <row r="329" spans="1:14" x14ac:dyDescent="0.25">
      <c r="A329" s="7"/>
      <c r="B329" s="56"/>
      <c r="C329" s="56"/>
      <c r="D329" s="56"/>
      <c r="E329" s="56"/>
      <c r="F329" s="56"/>
      <c r="G329" s="56"/>
      <c r="H329" s="56"/>
      <c r="I329" s="56"/>
      <c r="J329" s="56"/>
      <c r="K329" s="56"/>
      <c r="L329" s="56"/>
      <c r="M329" s="56"/>
      <c r="N329" s="57" t="str">
        <f t="shared" si="34"/>
        <v/>
      </c>
    </row>
    <row r="330" spans="1:14" x14ac:dyDescent="0.25">
      <c r="A330" s="7"/>
      <c r="B330" s="56"/>
      <c r="C330" s="56"/>
      <c r="D330" s="56"/>
      <c r="E330" s="56"/>
      <c r="F330" s="56"/>
      <c r="G330" s="56"/>
      <c r="H330" s="56"/>
      <c r="I330" s="56"/>
      <c r="J330" s="56"/>
      <c r="K330" s="56"/>
      <c r="L330" s="56"/>
      <c r="M330" s="56"/>
      <c r="N330" s="57" t="str">
        <f t="shared" si="34"/>
        <v/>
      </c>
    </row>
    <row r="331" spans="1:14" x14ac:dyDescent="0.25">
      <c r="A331" s="7"/>
      <c r="B331" s="56"/>
      <c r="C331" s="56"/>
      <c r="D331" s="56"/>
      <c r="E331" s="56"/>
      <c r="F331" s="56"/>
      <c r="G331" s="56"/>
      <c r="H331" s="56"/>
      <c r="I331" s="56"/>
      <c r="J331" s="56"/>
      <c r="K331" s="56"/>
      <c r="L331" s="56"/>
      <c r="M331" s="56"/>
      <c r="N331" s="57" t="str">
        <f t="shared" si="34"/>
        <v/>
      </c>
    </row>
    <row r="332" spans="1:14" x14ac:dyDescent="0.25">
      <c r="A332" s="7"/>
      <c r="B332" s="56"/>
      <c r="C332" s="56"/>
      <c r="D332" s="56"/>
      <c r="E332" s="56"/>
      <c r="F332" s="56"/>
      <c r="G332" s="56"/>
      <c r="H332" s="56"/>
      <c r="I332" s="56"/>
      <c r="J332" s="56"/>
      <c r="K332" s="56"/>
      <c r="L332" s="56"/>
      <c r="M332" s="56"/>
      <c r="N332" s="57" t="str">
        <f t="shared" si="34"/>
        <v/>
      </c>
    </row>
    <row r="333" spans="1:14" x14ac:dyDescent="0.25">
      <c r="A333" s="7"/>
      <c r="B333" s="56"/>
      <c r="C333" s="56"/>
      <c r="D333" s="56"/>
      <c r="E333" s="56"/>
      <c r="F333" s="56"/>
      <c r="G333" s="56"/>
      <c r="H333" s="56"/>
      <c r="I333" s="56"/>
      <c r="J333" s="56"/>
      <c r="K333" s="56"/>
      <c r="L333" s="56"/>
      <c r="M333" s="56"/>
      <c r="N333" s="57" t="str">
        <f t="shared" si="34"/>
        <v/>
      </c>
    </row>
    <row r="334" spans="1:14" x14ac:dyDescent="0.25">
      <c r="A334" s="7"/>
      <c r="B334" s="56"/>
      <c r="C334" s="56"/>
      <c r="D334" s="56"/>
      <c r="E334" s="56"/>
      <c r="F334" s="56"/>
      <c r="G334" s="56"/>
      <c r="H334" s="56"/>
      <c r="I334" s="56"/>
      <c r="J334" s="56"/>
      <c r="K334" s="56"/>
      <c r="L334" s="56"/>
      <c r="M334" s="56"/>
      <c r="N334" s="57" t="str">
        <f t="shared" si="34"/>
        <v/>
      </c>
    </row>
    <row r="335" spans="1:14" x14ac:dyDescent="0.25">
      <c r="A335" s="7"/>
      <c r="B335" s="56"/>
      <c r="C335" s="56"/>
      <c r="D335" s="56"/>
      <c r="E335" s="56"/>
      <c r="F335" s="56"/>
      <c r="G335" s="56"/>
      <c r="H335" s="56"/>
      <c r="I335" s="56"/>
      <c r="J335" s="56"/>
      <c r="K335" s="56"/>
      <c r="L335" s="56"/>
      <c r="M335" s="56"/>
      <c r="N335" s="57" t="str">
        <f t="shared" si="34"/>
        <v/>
      </c>
    </row>
    <row r="336" spans="1:14" x14ac:dyDescent="0.25">
      <c r="A336" s="7"/>
      <c r="B336" s="56"/>
      <c r="C336" s="56"/>
      <c r="D336" s="56"/>
      <c r="E336" s="56"/>
      <c r="F336" s="56"/>
      <c r="G336" s="56"/>
      <c r="H336" s="56"/>
      <c r="I336" s="56"/>
      <c r="J336" s="56"/>
      <c r="K336" s="56"/>
      <c r="L336" s="56"/>
      <c r="M336" s="56"/>
      <c r="N336" s="57" t="str">
        <f t="shared" si="34"/>
        <v/>
      </c>
    </row>
    <row r="337" spans="1:14" x14ac:dyDescent="0.25">
      <c r="A337" s="7"/>
      <c r="B337" s="56"/>
      <c r="C337" s="56"/>
      <c r="D337" s="56"/>
      <c r="E337" s="56"/>
      <c r="F337" s="56"/>
      <c r="G337" s="56"/>
      <c r="H337" s="56"/>
      <c r="I337" s="56"/>
      <c r="J337" s="56"/>
      <c r="K337" s="56"/>
      <c r="L337" s="56"/>
      <c r="M337" s="56"/>
      <c r="N337" s="57" t="str">
        <f t="shared" si="34"/>
        <v/>
      </c>
    </row>
    <row r="338" spans="1:14" x14ac:dyDescent="0.25">
      <c r="A338" s="7"/>
      <c r="B338" s="56"/>
      <c r="C338" s="56"/>
      <c r="D338" s="56"/>
      <c r="E338" s="56"/>
      <c r="F338" s="56"/>
      <c r="G338" s="56"/>
      <c r="H338" s="56"/>
      <c r="I338" s="56"/>
      <c r="J338" s="56"/>
      <c r="K338" s="56"/>
      <c r="L338" s="56"/>
      <c r="M338" s="56"/>
      <c r="N338" s="57" t="str">
        <f t="shared" si="34"/>
        <v/>
      </c>
    </row>
    <row r="339" spans="1:14" x14ac:dyDescent="0.25">
      <c r="A339" s="7"/>
      <c r="B339" s="56"/>
      <c r="C339" s="56"/>
      <c r="D339" s="56"/>
      <c r="E339" s="56"/>
      <c r="F339" s="56"/>
      <c r="G339" s="56"/>
      <c r="H339" s="56"/>
      <c r="I339" s="56"/>
      <c r="J339" s="56"/>
      <c r="K339" s="56"/>
      <c r="L339" s="56"/>
      <c r="M339" s="56"/>
      <c r="N339" s="57" t="str">
        <f t="shared" si="34"/>
        <v/>
      </c>
    </row>
    <row r="340" spans="1:14" x14ac:dyDescent="0.25">
      <c r="A340" s="7"/>
      <c r="B340" s="56"/>
      <c r="C340" s="56"/>
      <c r="D340" s="56"/>
      <c r="E340" s="56"/>
      <c r="F340" s="56"/>
      <c r="G340" s="56"/>
      <c r="H340" s="56"/>
      <c r="I340" s="56"/>
      <c r="J340" s="56"/>
      <c r="K340" s="56"/>
      <c r="L340" s="56"/>
      <c r="M340" s="56"/>
      <c r="N340" s="57" t="str">
        <f t="shared" si="34"/>
        <v/>
      </c>
    </row>
    <row r="341" spans="1:14" x14ac:dyDescent="0.25">
      <c r="A341" s="7"/>
      <c r="B341" s="56"/>
      <c r="C341" s="56"/>
      <c r="D341" s="56"/>
      <c r="E341" s="56"/>
      <c r="F341" s="56"/>
      <c r="G341" s="56"/>
      <c r="H341" s="56"/>
      <c r="I341" s="56"/>
      <c r="J341" s="56"/>
      <c r="K341" s="56"/>
      <c r="L341" s="56"/>
      <c r="M341" s="56"/>
      <c r="N341" s="57" t="str">
        <f t="shared" si="34"/>
        <v/>
      </c>
    </row>
    <row r="342" spans="1:14" x14ac:dyDescent="0.25">
      <c r="A342" s="7"/>
      <c r="B342" s="56"/>
      <c r="C342" s="56"/>
      <c r="D342" s="56"/>
      <c r="E342" s="56"/>
      <c r="F342" s="56"/>
      <c r="G342" s="56"/>
      <c r="H342" s="56"/>
      <c r="I342" s="56"/>
      <c r="J342" s="56"/>
      <c r="K342" s="56"/>
      <c r="L342" s="56"/>
      <c r="M342" s="56"/>
      <c r="N342" s="57" t="str">
        <f t="shared" si="34"/>
        <v/>
      </c>
    </row>
    <row r="343" spans="1:14" x14ac:dyDescent="0.25">
      <c r="A343" s="7"/>
      <c r="B343" s="56"/>
      <c r="C343" s="56"/>
      <c r="D343" s="56"/>
      <c r="E343" s="56"/>
      <c r="F343" s="56"/>
      <c r="G343" s="56"/>
      <c r="H343" s="56"/>
      <c r="I343" s="56"/>
      <c r="J343" s="56"/>
      <c r="K343" s="56"/>
      <c r="L343" s="56"/>
      <c r="M343" s="56"/>
      <c r="N343" s="57" t="str">
        <f t="shared" si="34"/>
        <v/>
      </c>
    </row>
    <row r="344" spans="1:14" x14ac:dyDescent="0.25">
      <c r="A344" s="7"/>
      <c r="B344" s="56"/>
      <c r="C344" s="56"/>
      <c r="D344" s="56"/>
      <c r="E344" s="56"/>
      <c r="F344" s="56"/>
      <c r="G344" s="56"/>
      <c r="H344" s="56"/>
      <c r="I344" s="56"/>
      <c r="J344" s="56"/>
      <c r="K344" s="56"/>
      <c r="L344" s="56"/>
      <c r="M344" s="56"/>
      <c r="N344" s="57" t="str">
        <f t="shared" si="34"/>
        <v/>
      </c>
    </row>
    <row r="345" spans="1:14" x14ac:dyDescent="0.25">
      <c r="A345" s="7"/>
      <c r="B345" s="56"/>
      <c r="C345" s="56"/>
      <c r="D345" s="56"/>
      <c r="E345" s="56"/>
      <c r="F345" s="56"/>
      <c r="G345" s="56"/>
      <c r="H345" s="56"/>
      <c r="I345" s="56"/>
      <c r="J345" s="56"/>
      <c r="K345" s="56"/>
      <c r="L345" s="56"/>
      <c r="M345" s="56"/>
      <c r="N345" s="57" t="str">
        <f t="shared" si="34"/>
        <v/>
      </c>
    </row>
    <row r="346" spans="1:14" x14ac:dyDescent="0.25">
      <c r="A346" s="7"/>
      <c r="B346" s="56"/>
      <c r="C346" s="56"/>
      <c r="D346" s="56"/>
      <c r="E346" s="56"/>
      <c r="F346" s="56"/>
      <c r="G346" s="56"/>
      <c r="H346" s="56"/>
      <c r="I346" s="56"/>
      <c r="J346" s="56"/>
      <c r="K346" s="56"/>
      <c r="L346" s="56"/>
      <c r="M346" s="56"/>
      <c r="N346" s="57" t="str">
        <f t="shared" si="34"/>
        <v/>
      </c>
    </row>
    <row r="347" spans="1:14" x14ac:dyDescent="0.25">
      <c r="A347" s="7"/>
      <c r="B347" s="56"/>
      <c r="C347" s="56"/>
      <c r="D347" s="56"/>
      <c r="E347" s="56"/>
      <c r="F347" s="56"/>
      <c r="G347" s="56"/>
      <c r="H347" s="56"/>
      <c r="I347" s="56"/>
      <c r="J347" s="56"/>
      <c r="K347" s="56"/>
      <c r="L347" s="56"/>
      <c r="M347" s="56"/>
      <c r="N347" s="57" t="str">
        <f t="shared" si="34"/>
        <v/>
      </c>
    </row>
    <row r="350" spans="1:14" ht="15.75" x14ac:dyDescent="0.25">
      <c r="A350" s="3" t="s">
        <v>193</v>
      </c>
    </row>
    <row r="351" spans="1:14" x14ac:dyDescent="0.25">
      <c r="A351" s="14" t="s">
        <v>70</v>
      </c>
      <c r="B351" s="18" t="s">
        <v>71</v>
      </c>
    </row>
    <row r="352" spans="1:14" ht="132" x14ac:dyDescent="0.25">
      <c r="A352" s="14" t="s">
        <v>67</v>
      </c>
      <c r="B352" s="15">
        <v>6</v>
      </c>
      <c r="C352" s="20" t="s">
        <v>194</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195</v>
      </c>
    </row>
    <row r="2" spans="1:58" x14ac:dyDescent="0.25">
      <c r="A2" s="2" t="s">
        <v>196</v>
      </c>
    </row>
    <row r="3" spans="1:58" x14ac:dyDescent="0.25">
      <c r="A3" s="14" t="s">
        <v>197</v>
      </c>
      <c r="B3" s="58" t="str">
        <f>nr_SelKey</f>
        <v>BU-A|AZ</v>
      </c>
      <c r="D3" s="59" t="str">
        <f>HYPERLINK("#Control!C7","Change BU/state selection &gt;")</f>
        <v>Change BU/state selection &gt;</v>
      </c>
      <c r="H3" s="60" t="str">
        <f>IF(nr_NetMode,"NET RATE SELECTION ACTIVE: index, E_CY, and A_rate are the COMBINED rate x mod path from column U (A_mod = 1).","")</f>
        <v/>
      </c>
    </row>
    <row r="4" spans="1:58" ht="15.75" x14ac:dyDescent="0.25">
      <c r="A4" s="3" t="s">
        <v>198</v>
      </c>
    </row>
    <row r="5" spans="1:58" x14ac:dyDescent="0.25">
      <c r="A5" s="14" t="s">
        <v>199</v>
      </c>
      <c r="C5" s="61">
        <f>EXP(SUMPRODUCT((rl_key=nr_SelKey)*(rl_cons="Y")*rl_ln1p))</f>
        <v>1.1024</v>
      </c>
      <c r="E5" s="14" t="s">
        <v>200</v>
      </c>
      <c r="F5" s="62">
        <f>nr_TermMonths</f>
        <v>6</v>
      </c>
    </row>
    <row r="6" spans="1:58" x14ac:dyDescent="0.25">
      <c r="A6" s="14" t="str">
        <f>"CY "&amp;(nr_PlanYear-1)&amp;" earned rate level  E_CY(P-1)"</f>
        <v>CY 2026 earned rate level  E_CY(P-1)</v>
      </c>
      <c r="C6" s="61">
        <f>SUMPRODUCT($H$17:$H$64,$P$17:$P$64,$U$17:$U$64)/SUMPRODUCT($H$17:$H$64,$P$17:$P$64)</f>
        <v>1.0555999999999999</v>
      </c>
      <c r="E6" s="14" t="s">
        <v>201</v>
      </c>
      <c r="F6" s="63">
        <f>IF(COUNTIF(se_state,nr_SelState)=0,0,MATCH(nr_SelState,se_state,0))</f>
        <v>0</v>
      </c>
    </row>
    <row r="7" spans="1:58" x14ac:dyDescent="0.25">
      <c r="A7" s="14" t="str">
        <f>"CY "&amp;nr_PlanYear&amp;" earned rate level  E_CY(P)"</f>
        <v>CY 2027 earned rate level  E_CY(P)</v>
      </c>
      <c r="C7" s="64">
        <f>SUMPRODUCT($H$17:$H$64,$Q$17:$Q$64,$U$17:$U$64)/SUMPRODUCT($H$17:$H$64,$Q$17:$Q$64)</f>
        <v>1.1299600000000001</v>
      </c>
      <c r="E7" s="14" t="s">
        <v>202</v>
      </c>
      <c r="F7" s="65">
        <f>IF($F$6=0,0,INDEX(se_sum,$F$6))</f>
        <v>0</v>
      </c>
    </row>
    <row r="8" spans="1:58" x14ac:dyDescent="0.25">
      <c r="A8" s="14" t="str">
        <f>"CY "&amp;(nr_PlanYear+1)&amp;" earned rate level  E_CY(P+1)"</f>
        <v>CY 2028 earned rate level  E_CY(P+1)</v>
      </c>
      <c r="C8" s="61">
        <f>SUMPRODUCT($H$17:$H$64,$R$17:$R$64,$U$17:$U$64)/SUMPRODUCT($H$17:$H$64,$R$17:$R$64)</f>
        <v>1.1575200000000001</v>
      </c>
      <c r="E8" s="14" t="s">
        <v>203</v>
      </c>
      <c r="F8" s="66" t="b">
        <f>AND(nr_SeasonOn="ON",$F$6&gt;0,$F$7&gt;0)</f>
        <v>0</v>
      </c>
    </row>
    <row r="9" spans="1:58" x14ac:dyDescent="0.25">
      <c r="A9" s="14" t="str">
        <f>"Rate earn-in factor  A_rate("&amp;nr_PlanYear&amp;") = CRL / E_CY"</f>
        <v>Rate earn-in factor  A_rate(2027) = CRL / E_CY</v>
      </c>
      <c r="C9" s="64">
        <f>nr_CRLind/nr_ECY_P</f>
        <v>0.97560975609756095</v>
      </c>
      <c r="E9" s="14" t="s">
        <v>204</v>
      </c>
      <c r="F9" s="63">
        <f>(nr_PlanYear-1)*12</f>
        <v>24312</v>
      </c>
      <c r="G9" s="67">
        <f>$F$9+11</f>
        <v>24323</v>
      </c>
    </row>
    <row r="10" spans="1:58" x14ac:dyDescent="0.25">
      <c r="A10" s="14" t="str">
        <f>"Rate earn-in factor  A_rate("&amp;(nr_PlanYear+1)&amp;")"</f>
        <v>Rate earn-in factor  A_rate(2028)</v>
      </c>
      <c r="C10" s="61">
        <f>nr_CRLind/nr_ECY_P1</f>
        <v>0.95238095238095233</v>
      </c>
      <c r="E10" s="14" t="s">
        <v>205</v>
      </c>
      <c r="F10" s="63">
        <f>nr_PlanYear*12</f>
        <v>24324</v>
      </c>
      <c r="G10" s="67">
        <f>$F$10+11</f>
        <v>24335</v>
      </c>
    </row>
    <row r="11" spans="1:58" x14ac:dyDescent="0.25">
      <c r="A11" s="14" t="s">
        <v>206</v>
      </c>
      <c r="C11" s="68">
        <f>nr_ECY_P/nr_CRLind-1</f>
        <v>2.5000000000000133E-2</v>
      </c>
      <c r="E11" s="14" t="s">
        <v>207</v>
      </c>
      <c r="F11" s="63">
        <f>(nr_PlanYear+1)*12</f>
        <v>24336</v>
      </c>
      <c r="G11" s="67">
        <f>$F$11+11</f>
        <v>24347</v>
      </c>
    </row>
    <row r="12" spans="1:58" x14ac:dyDescent="0.25">
      <c r="A12" s="14" t="str">
        <f>"Earned rate chg "&amp;(nr_PlanYear-1)&amp;" -&gt; "&amp;nr_PlanYear</f>
        <v>Earned rate chg 2026 -&gt; 2027</v>
      </c>
      <c r="C12" s="68">
        <f>nr_ECY_P/nr_ECY_Pm1-1</f>
        <v>7.0443349753694706E-2</v>
      </c>
      <c r="E12" s="14" t="s">
        <v>208</v>
      </c>
      <c r="F12" s="61">
        <f>SUM(AH66:AS66)/SUM(AH67:AS67)</f>
        <v>1.1299599999999999</v>
      </c>
    </row>
    <row r="13" spans="1:58" x14ac:dyDescent="0.25">
      <c r="A13" s="14" t="str">
        <f>"Earned rate chg "&amp;nr_PlanYear&amp;" -&gt; "&amp;(nr_PlanYear+1)&amp;" (carryover + new)"</f>
        <v>Earned rate chg 2027 -&gt; 2028 (carryover + new)</v>
      </c>
      <c r="C13" s="68">
        <f>nr_ECY_P1/nr_ECY_P-1</f>
        <v>2.4390243902439046E-2</v>
      </c>
    </row>
    <row r="14" spans="1:58" x14ac:dyDescent="0.25">
      <c r="V14" s="60" t="s">
        <v>209</v>
      </c>
    </row>
    <row r="15" spans="1:58" ht="15.75" x14ac:dyDescent="0.25">
      <c r="A15" s="3" t="s">
        <v>210</v>
      </c>
      <c r="V15" s="69">
        <f>(nr_PlanYear-1)*12</f>
        <v>24312</v>
      </c>
      <c r="W15" s="69">
        <f t="shared" ref="W15:BE15" si="0">V15+1</f>
        <v>24313</v>
      </c>
      <c r="X15" s="69">
        <f t="shared" si="0"/>
        <v>24314</v>
      </c>
      <c r="Y15" s="69">
        <f t="shared" si="0"/>
        <v>24315</v>
      </c>
      <c r="Z15" s="69">
        <f t="shared" si="0"/>
        <v>24316</v>
      </c>
      <c r="AA15" s="69">
        <f t="shared" si="0"/>
        <v>24317</v>
      </c>
      <c r="AB15" s="69">
        <f t="shared" si="0"/>
        <v>24318</v>
      </c>
      <c r="AC15" s="69">
        <f t="shared" si="0"/>
        <v>24319</v>
      </c>
      <c r="AD15" s="69">
        <f t="shared" si="0"/>
        <v>24320</v>
      </c>
      <c r="AE15" s="69">
        <f t="shared" si="0"/>
        <v>24321</v>
      </c>
      <c r="AF15" s="69">
        <f t="shared" si="0"/>
        <v>24322</v>
      </c>
      <c r="AG15" s="69">
        <f t="shared" si="0"/>
        <v>24323</v>
      </c>
      <c r="AH15" s="69">
        <f t="shared" si="0"/>
        <v>24324</v>
      </c>
      <c r="AI15" s="69">
        <f t="shared" si="0"/>
        <v>24325</v>
      </c>
      <c r="AJ15" s="69">
        <f t="shared" si="0"/>
        <v>24326</v>
      </c>
      <c r="AK15" s="69">
        <f t="shared" si="0"/>
        <v>24327</v>
      </c>
      <c r="AL15" s="69">
        <f t="shared" si="0"/>
        <v>24328</v>
      </c>
      <c r="AM15" s="69">
        <f t="shared" si="0"/>
        <v>24329</v>
      </c>
      <c r="AN15" s="69">
        <f t="shared" si="0"/>
        <v>24330</v>
      </c>
      <c r="AO15" s="69">
        <f t="shared" si="0"/>
        <v>24331</v>
      </c>
      <c r="AP15" s="69">
        <f t="shared" si="0"/>
        <v>24332</v>
      </c>
      <c r="AQ15" s="69">
        <f t="shared" si="0"/>
        <v>24333</v>
      </c>
      <c r="AR15" s="69">
        <f t="shared" si="0"/>
        <v>24334</v>
      </c>
      <c r="AS15" s="69">
        <f t="shared" si="0"/>
        <v>24335</v>
      </c>
      <c r="AT15" s="69">
        <f t="shared" si="0"/>
        <v>24336</v>
      </c>
      <c r="AU15" s="69">
        <f t="shared" si="0"/>
        <v>24337</v>
      </c>
      <c r="AV15" s="69">
        <f t="shared" si="0"/>
        <v>24338</v>
      </c>
      <c r="AW15" s="69">
        <f t="shared" si="0"/>
        <v>24339</v>
      </c>
      <c r="AX15" s="69">
        <f t="shared" si="0"/>
        <v>24340</v>
      </c>
      <c r="AY15" s="69">
        <f t="shared" si="0"/>
        <v>24341</v>
      </c>
      <c r="AZ15" s="69">
        <f t="shared" si="0"/>
        <v>24342</v>
      </c>
      <c r="BA15" s="69">
        <f t="shared" si="0"/>
        <v>24343</v>
      </c>
      <c r="BB15" s="69">
        <f t="shared" si="0"/>
        <v>24344</v>
      </c>
      <c r="BC15" s="69">
        <f t="shared" si="0"/>
        <v>24345</v>
      </c>
      <c r="BD15" s="69">
        <f t="shared" si="0"/>
        <v>24346</v>
      </c>
      <c r="BE15" s="69">
        <f t="shared" si="0"/>
        <v>24347</v>
      </c>
    </row>
    <row r="16" spans="1:58" ht="42" customHeight="1" x14ac:dyDescent="0.25">
      <c r="A16" s="50" t="s">
        <v>211</v>
      </c>
      <c r="B16" s="50" t="s">
        <v>212</v>
      </c>
      <c r="C16" s="50" t="s">
        <v>213</v>
      </c>
      <c r="D16" s="50" t="s">
        <v>214</v>
      </c>
      <c r="E16" s="50" t="s">
        <v>215</v>
      </c>
      <c r="F16" s="50" t="s">
        <v>216</v>
      </c>
      <c r="G16" s="50" t="s">
        <v>217</v>
      </c>
      <c r="H16" s="50" t="s">
        <v>218</v>
      </c>
      <c r="I16" s="50" t="s">
        <v>219</v>
      </c>
      <c r="J16" s="50" t="s">
        <v>220</v>
      </c>
      <c r="K16" s="50" t="s">
        <v>221</v>
      </c>
      <c r="L16" s="50" t="s">
        <v>222</v>
      </c>
      <c r="M16" s="50" t="s">
        <v>223</v>
      </c>
      <c r="N16" s="50" t="s">
        <v>224</v>
      </c>
      <c r="O16" s="50" t="s">
        <v>225</v>
      </c>
      <c r="P16" s="50" t="s">
        <v>226</v>
      </c>
      <c r="Q16" s="50" t="s">
        <v>227</v>
      </c>
      <c r="R16" s="50" t="s">
        <v>228</v>
      </c>
      <c r="S16" s="50" t="s">
        <v>229</v>
      </c>
      <c r="T16" s="50" t="s">
        <v>230</v>
      </c>
      <c r="U16" s="50" t="s">
        <v>231</v>
      </c>
      <c r="V16" s="70">
        <f>DATE(nr_PlanYear-1,1,1)</f>
        <v>46023</v>
      </c>
      <c r="W16" s="70">
        <f t="shared" ref="W16:BE16" si="1">EDATE(V16,1)</f>
        <v>46054</v>
      </c>
      <c r="X16" s="70">
        <f t="shared" si="1"/>
        <v>46082</v>
      </c>
      <c r="Y16" s="70">
        <f t="shared" si="1"/>
        <v>46113</v>
      </c>
      <c r="Z16" s="70">
        <f t="shared" si="1"/>
        <v>46143</v>
      </c>
      <c r="AA16" s="70">
        <f t="shared" si="1"/>
        <v>46174</v>
      </c>
      <c r="AB16" s="70">
        <f t="shared" si="1"/>
        <v>46204</v>
      </c>
      <c r="AC16" s="70">
        <f t="shared" si="1"/>
        <v>46235</v>
      </c>
      <c r="AD16" s="70">
        <f t="shared" si="1"/>
        <v>46266</v>
      </c>
      <c r="AE16" s="70">
        <f t="shared" si="1"/>
        <v>46296</v>
      </c>
      <c r="AF16" s="70">
        <f t="shared" si="1"/>
        <v>46327</v>
      </c>
      <c r="AG16" s="70">
        <f t="shared" si="1"/>
        <v>46357</v>
      </c>
      <c r="AH16" s="70">
        <f t="shared" si="1"/>
        <v>46388</v>
      </c>
      <c r="AI16" s="70">
        <f t="shared" si="1"/>
        <v>46419</v>
      </c>
      <c r="AJ16" s="70">
        <f t="shared" si="1"/>
        <v>46447</v>
      </c>
      <c r="AK16" s="70">
        <f t="shared" si="1"/>
        <v>46478</v>
      </c>
      <c r="AL16" s="70">
        <f t="shared" si="1"/>
        <v>46508</v>
      </c>
      <c r="AM16" s="70">
        <f t="shared" si="1"/>
        <v>46539</v>
      </c>
      <c r="AN16" s="70">
        <f t="shared" si="1"/>
        <v>46569</v>
      </c>
      <c r="AO16" s="70">
        <f t="shared" si="1"/>
        <v>46600</v>
      </c>
      <c r="AP16" s="70">
        <f t="shared" si="1"/>
        <v>46631</v>
      </c>
      <c r="AQ16" s="70">
        <f t="shared" si="1"/>
        <v>46661</v>
      </c>
      <c r="AR16" s="70">
        <f t="shared" si="1"/>
        <v>46692</v>
      </c>
      <c r="AS16" s="70">
        <f t="shared" si="1"/>
        <v>46722</v>
      </c>
      <c r="AT16" s="70">
        <f t="shared" si="1"/>
        <v>46753</v>
      </c>
      <c r="AU16" s="70">
        <f t="shared" si="1"/>
        <v>46784</v>
      </c>
      <c r="AV16" s="70">
        <f t="shared" si="1"/>
        <v>46813</v>
      </c>
      <c r="AW16" s="70">
        <f t="shared" si="1"/>
        <v>46844</v>
      </c>
      <c r="AX16" s="70">
        <f t="shared" si="1"/>
        <v>46874</v>
      </c>
      <c r="AY16" s="70">
        <f t="shared" si="1"/>
        <v>46905</v>
      </c>
      <c r="AZ16" s="70">
        <f t="shared" si="1"/>
        <v>46935</v>
      </c>
      <c r="BA16" s="70">
        <f t="shared" si="1"/>
        <v>46966</v>
      </c>
      <c r="BB16" s="70">
        <f t="shared" si="1"/>
        <v>46997</v>
      </c>
      <c r="BC16" s="70">
        <f t="shared" si="1"/>
        <v>47027</v>
      </c>
      <c r="BD16" s="70">
        <f t="shared" si="1"/>
        <v>47058</v>
      </c>
      <c r="BE16" s="70">
        <f t="shared" si="1"/>
        <v>47088</v>
      </c>
      <c r="BF16" s="42" t="s">
        <v>232</v>
      </c>
    </row>
    <row r="17" spans="1:58" x14ac:dyDescent="0.25">
      <c r="A17" s="71">
        <v>1</v>
      </c>
      <c r="B17" s="72">
        <f>DATE(nr_PlanYear-2,1,1)</f>
        <v>45658</v>
      </c>
      <c r="C17" s="73">
        <f t="shared" ref="C17:C64" si="2">EOMONTH($B17,0)</f>
        <v>45688</v>
      </c>
      <c r="D17" s="67">
        <f t="shared" ref="D17:D64" si="3">$C17-$B17+1</f>
        <v>31</v>
      </c>
      <c r="E17" s="67">
        <f t="shared" ref="E17:E64" si="4">MONTH($B17)</f>
        <v>1</v>
      </c>
      <c r="F17" s="74">
        <f t="shared" ref="F17:F64" si="5">($B17+$C17+1)/2</f>
        <v>45673.5</v>
      </c>
      <c r="G17" s="67">
        <f t="shared" ref="G17:G64" si="6">YEAR($B17)*12+MONTH($B17)-1</f>
        <v>24300</v>
      </c>
      <c r="H17" s="75">
        <f t="shared" ref="H17:H64" si="7">IF(OR(nr_SeasonOn="OFF",$F$6=0,$F$7=0),1,12*INDEX(se_block,$F$6,$E17)/$F$7)</f>
        <v>1</v>
      </c>
      <c r="I17" s="76">
        <f t="shared" ref="I17:I64" si="8">EXP(SUMPRODUCT((rl_eff&lt;$B17)*(rl_key=nr_SelKey)*rl_ln1p))</f>
        <v>1</v>
      </c>
      <c r="J17" s="76">
        <f t="shared" ref="J17:J64" si="9">EXP(SUMPRODUCT((rl_eff&lt;=$C17)*(rl_key=nr_SelKey)*rl_ln1p))</f>
        <v>1</v>
      </c>
      <c r="K17" s="67">
        <f t="shared" ref="K17:K64" si="10">COUNTIFS(rl_key,nr_SelKey,rl_eff,"&gt;="&amp;$B17,rl_eff,"&lt;="&amp;$C17)</f>
        <v>0</v>
      </c>
      <c r="L17" s="67">
        <f t="shared" ref="L17:L64" si="11">SUMIFS(rl_daysafter,rl_key,nr_SelKey,rl_effmonth,$B17,rl_first,1)</f>
        <v>0</v>
      </c>
      <c r="M17" s="77">
        <f t="shared" ref="M17:M64" si="12">IF($K17=0,0,MIN(1,$L17/$D17))</f>
        <v>0</v>
      </c>
      <c r="N17" s="76">
        <f t="shared" ref="N17:N64" si="13">IF($K17=0,$J17,(1-$M17)*$I17+$M17*$J17)</f>
        <v>1</v>
      </c>
      <c r="O17" s="78">
        <f>'Mod Engine'!$E17</f>
        <v>0.81913566739606125</v>
      </c>
      <c r="P17" s="76">
        <f t="shared" ref="P17:P64" si="14">MIN(1,MAX(0,(nr_MEndPm1-$G17+0.5)/$F$5))-MIN(1,MAX(0,(nr_MStartPm1-1-$G17+0.5)/$F$5))</f>
        <v>0</v>
      </c>
      <c r="Q17" s="76">
        <f t="shared" ref="Q17:Q64" si="15">MIN(1,MAX(0,(nr_MEndP-$G17+0.5)/$F$5))-MIN(1,MAX(0,(nr_MStartP-1-$G17+0.5)/$F$5))</f>
        <v>0</v>
      </c>
      <c r="R17" s="76">
        <f t="shared" ref="R17:R64" si="16">MIN(1,MAX(0,(nr_MEndP1-$G17+0.5)/$F$5))-MIN(1,MAX(0,(nr_MStartP1-1-$G17+0.5)/$F$5))</f>
        <v>0</v>
      </c>
      <c r="S17" s="76">
        <f t="shared" ref="S17:S64" si="17">$N17*IF(nr_ModAdjEff="ON",$O17/nr_MInd,1)</f>
        <v>0.96368902046595439</v>
      </c>
      <c r="T17" s="76">
        <f t="shared" ref="T17:T64" si="18">IF($G17&lt;nr_MStartP,$S17,$T5*(1+IF($G17&lt;nr_MStartP1,nr_NetSelP,nr_NetSelP1)))</f>
        <v>0.96368902046595439</v>
      </c>
      <c r="U17" s="76">
        <f t="shared" ref="U17:U64" si="19">IF(nr_NetMode,$T17,$N17)</f>
        <v>1</v>
      </c>
      <c r="V17" s="79">
        <f t="shared" ref="V17:AE26" si="20">IF(OR(V$15&lt;$G17,V$15&gt;$G17+$F$5),0,IF(OR(V$15=$G17,V$15=$G17+$F$5),0.5,1)/$F$5)</f>
        <v>0</v>
      </c>
      <c r="W17" s="79">
        <f t="shared" si="20"/>
        <v>0</v>
      </c>
      <c r="X17" s="79">
        <f t="shared" si="20"/>
        <v>0</v>
      </c>
      <c r="Y17" s="79">
        <f t="shared" si="20"/>
        <v>0</v>
      </c>
      <c r="Z17" s="79">
        <f t="shared" si="20"/>
        <v>0</v>
      </c>
      <c r="AA17" s="79">
        <f t="shared" si="20"/>
        <v>0</v>
      </c>
      <c r="AB17" s="79">
        <f t="shared" si="20"/>
        <v>0</v>
      </c>
      <c r="AC17" s="79">
        <f t="shared" si="20"/>
        <v>0</v>
      </c>
      <c r="AD17" s="79">
        <f t="shared" si="20"/>
        <v>0</v>
      </c>
      <c r="AE17" s="79">
        <f t="shared" si="20"/>
        <v>0</v>
      </c>
      <c r="AF17" s="79">
        <f t="shared" ref="AF17:AO26" si="21">IF(OR(AF$15&lt;$G17,AF$15&gt;$G17+$F$5),0,IF(OR(AF$15=$G17,AF$15=$G17+$F$5),0.5,1)/$F$5)</f>
        <v>0</v>
      </c>
      <c r="AG17" s="79">
        <f t="shared" si="21"/>
        <v>0</v>
      </c>
      <c r="AH17" s="79">
        <f t="shared" si="21"/>
        <v>0</v>
      </c>
      <c r="AI17" s="79">
        <f t="shared" si="21"/>
        <v>0</v>
      </c>
      <c r="AJ17" s="79">
        <f t="shared" si="21"/>
        <v>0</v>
      </c>
      <c r="AK17" s="79">
        <f t="shared" si="21"/>
        <v>0</v>
      </c>
      <c r="AL17" s="79">
        <f t="shared" si="21"/>
        <v>0</v>
      </c>
      <c r="AM17" s="79">
        <f t="shared" si="21"/>
        <v>0</v>
      </c>
      <c r="AN17" s="79">
        <f t="shared" si="21"/>
        <v>0</v>
      </c>
      <c r="AO17" s="79">
        <f t="shared" si="21"/>
        <v>0</v>
      </c>
      <c r="AP17" s="79">
        <f t="shared" ref="AP17:AY26" si="22">IF(OR(AP$15&lt;$G17,AP$15&gt;$G17+$F$5),0,IF(OR(AP$15=$G17,AP$15=$G17+$F$5),0.5,1)/$F$5)</f>
        <v>0</v>
      </c>
      <c r="AQ17" s="79">
        <f t="shared" si="22"/>
        <v>0</v>
      </c>
      <c r="AR17" s="79">
        <f t="shared" si="22"/>
        <v>0</v>
      </c>
      <c r="AS17" s="79">
        <f t="shared" si="22"/>
        <v>0</v>
      </c>
      <c r="AT17" s="79">
        <f t="shared" si="22"/>
        <v>0</v>
      </c>
      <c r="AU17" s="79">
        <f t="shared" si="22"/>
        <v>0</v>
      </c>
      <c r="AV17" s="79">
        <f t="shared" si="22"/>
        <v>0</v>
      </c>
      <c r="AW17" s="79">
        <f t="shared" si="22"/>
        <v>0</v>
      </c>
      <c r="AX17" s="79">
        <f t="shared" si="22"/>
        <v>0</v>
      </c>
      <c r="AY17" s="79">
        <f t="shared" si="22"/>
        <v>0</v>
      </c>
      <c r="AZ17" s="79">
        <f t="shared" ref="AZ17:BE26" si="23">IF(OR(AZ$15&lt;$G17,AZ$15&gt;$G17+$F$5),0,IF(OR(AZ$15=$G17,AZ$15=$G17+$F$5),0.5,1)/$F$5)</f>
        <v>0</v>
      </c>
      <c r="BA17" s="79">
        <f t="shared" si="23"/>
        <v>0</v>
      </c>
      <c r="BB17" s="79">
        <f t="shared" si="23"/>
        <v>0</v>
      </c>
      <c r="BC17" s="79">
        <f t="shared" si="23"/>
        <v>0</v>
      </c>
      <c r="BD17" s="79">
        <f t="shared" si="23"/>
        <v>0</v>
      </c>
      <c r="BE17" s="79">
        <f t="shared" si="23"/>
        <v>0</v>
      </c>
      <c r="BF17" s="80">
        <f t="shared" ref="BF17:BF64" si="24">IF(OR($G17&lt;V$15,$G17+$F$5&gt;BE$15),0,ABS(SUM(V17:BE17)-1))</f>
        <v>0</v>
      </c>
    </row>
    <row r="18" spans="1:58" x14ac:dyDescent="0.25">
      <c r="A18" s="71">
        <v>2</v>
      </c>
      <c r="B18" s="72">
        <f t="shared" ref="B18:B64" si="25">EDATE($B17,1)</f>
        <v>45689</v>
      </c>
      <c r="C18" s="73">
        <f t="shared" si="2"/>
        <v>45716</v>
      </c>
      <c r="D18" s="67">
        <f t="shared" si="3"/>
        <v>28</v>
      </c>
      <c r="E18" s="67">
        <f t="shared" si="4"/>
        <v>2</v>
      </c>
      <c r="F18" s="74">
        <f t="shared" si="5"/>
        <v>45703</v>
      </c>
      <c r="G18" s="67">
        <f t="shared" si="6"/>
        <v>24301</v>
      </c>
      <c r="H18" s="75">
        <f t="shared" si="7"/>
        <v>1</v>
      </c>
      <c r="I18" s="76">
        <f t="shared" si="8"/>
        <v>1</v>
      </c>
      <c r="J18" s="76">
        <f t="shared" si="9"/>
        <v>1</v>
      </c>
      <c r="K18" s="67">
        <f t="shared" si="10"/>
        <v>0</v>
      </c>
      <c r="L18" s="67">
        <f t="shared" si="11"/>
        <v>0</v>
      </c>
      <c r="M18" s="77">
        <f t="shared" si="12"/>
        <v>0</v>
      </c>
      <c r="N18" s="76">
        <f t="shared" si="13"/>
        <v>1</v>
      </c>
      <c r="O18" s="78">
        <f>'Mod Engine'!$E18</f>
        <v>0.82107221006564546</v>
      </c>
      <c r="P18" s="76">
        <f t="shared" si="14"/>
        <v>0</v>
      </c>
      <c r="Q18" s="76">
        <f t="shared" si="15"/>
        <v>0</v>
      </c>
      <c r="R18" s="76">
        <f t="shared" si="16"/>
        <v>0</v>
      </c>
      <c r="S18" s="76">
        <f t="shared" si="17"/>
        <v>0.96596730595958291</v>
      </c>
      <c r="T18" s="76">
        <f t="shared" si="18"/>
        <v>0.96596730595958291</v>
      </c>
      <c r="U18" s="76">
        <f t="shared" si="19"/>
        <v>1</v>
      </c>
      <c r="V18" s="79">
        <f t="shared" si="20"/>
        <v>0</v>
      </c>
      <c r="W18" s="79">
        <f t="shared" si="20"/>
        <v>0</v>
      </c>
      <c r="X18" s="79">
        <f t="shared" si="20"/>
        <v>0</v>
      </c>
      <c r="Y18" s="79">
        <f t="shared" si="20"/>
        <v>0</v>
      </c>
      <c r="Z18" s="79">
        <f t="shared" si="20"/>
        <v>0</v>
      </c>
      <c r="AA18" s="79">
        <f t="shared" si="20"/>
        <v>0</v>
      </c>
      <c r="AB18" s="79">
        <f t="shared" si="20"/>
        <v>0</v>
      </c>
      <c r="AC18" s="79">
        <f t="shared" si="20"/>
        <v>0</v>
      </c>
      <c r="AD18" s="79">
        <f t="shared" si="20"/>
        <v>0</v>
      </c>
      <c r="AE18" s="79">
        <f t="shared" si="20"/>
        <v>0</v>
      </c>
      <c r="AF18" s="79">
        <f t="shared" si="21"/>
        <v>0</v>
      </c>
      <c r="AG18" s="79">
        <f t="shared" si="21"/>
        <v>0</v>
      </c>
      <c r="AH18" s="79">
        <f t="shared" si="21"/>
        <v>0</v>
      </c>
      <c r="AI18" s="79">
        <f t="shared" si="21"/>
        <v>0</v>
      </c>
      <c r="AJ18" s="79">
        <f t="shared" si="21"/>
        <v>0</v>
      </c>
      <c r="AK18" s="79">
        <f t="shared" si="21"/>
        <v>0</v>
      </c>
      <c r="AL18" s="79">
        <f t="shared" si="21"/>
        <v>0</v>
      </c>
      <c r="AM18" s="79">
        <f t="shared" si="21"/>
        <v>0</v>
      </c>
      <c r="AN18" s="79">
        <f t="shared" si="21"/>
        <v>0</v>
      </c>
      <c r="AO18" s="79">
        <f t="shared" si="21"/>
        <v>0</v>
      </c>
      <c r="AP18" s="79">
        <f t="shared" si="22"/>
        <v>0</v>
      </c>
      <c r="AQ18" s="79">
        <f t="shared" si="22"/>
        <v>0</v>
      </c>
      <c r="AR18" s="79">
        <f t="shared" si="22"/>
        <v>0</v>
      </c>
      <c r="AS18" s="79">
        <f t="shared" si="22"/>
        <v>0</v>
      </c>
      <c r="AT18" s="79">
        <f t="shared" si="22"/>
        <v>0</v>
      </c>
      <c r="AU18" s="79">
        <f t="shared" si="22"/>
        <v>0</v>
      </c>
      <c r="AV18" s="79">
        <f t="shared" si="22"/>
        <v>0</v>
      </c>
      <c r="AW18" s="79">
        <f t="shared" si="22"/>
        <v>0</v>
      </c>
      <c r="AX18" s="79">
        <f t="shared" si="22"/>
        <v>0</v>
      </c>
      <c r="AY18" s="79">
        <f t="shared" si="22"/>
        <v>0</v>
      </c>
      <c r="AZ18" s="79">
        <f t="shared" si="23"/>
        <v>0</v>
      </c>
      <c r="BA18" s="79">
        <f t="shared" si="23"/>
        <v>0</v>
      </c>
      <c r="BB18" s="79">
        <f t="shared" si="23"/>
        <v>0</v>
      </c>
      <c r="BC18" s="79">
        <f t="shared" si="23"/>
        <v>0</v>
      </c>
      <c r="BD18" s="79">
        <f t="shared" si="23"/>
        <v>0</v>
      </c>
      <c r="BE18" s="79">
        <f t="shared" si="23"/>
        <v>0</v>
      </c>
      <c r="BF18" s="80">
        <f t="shared" si="24"/>
        <v>0</v>
      </c>
    </row>
    <row r="19" spans="1:58" x14ac:dyDescent="0.25">
      <c r="A19" s="71">
        <v>3</v>
      </c>
      <c r="B19" s="72">
        <f t="shared" si="25"/>
        <v>45717</v>
      </c>
      <c r="C19" s="73">
        <f t="shared" si="2"/>
        <v>45747</v>
      </c>
      <c r="D19" s="67">
        <f t="shared" si="3"/>
        <v>31</v>
      </c>
      <c r="E19" s="67">
        <f t="shared" si="4"/>
        <v>3</v>
      </c>
      <c r="F19" s="74">
        <f t="shared" si="5"/>
        <v>45732.5</v>
      </c>
      <c r="G19" s="67">
        <f t="shared" si="6"/>
        <v>24302</v>
      </c>
      <c r="H19" s="75">
        <f t="shared" si="7"/>
        <v>1</v>
      </c>
      <c r="I19" s="76">
        <f t="shared" si="8"/>
        <v>1</v>
      </c>
      <c r="J19" s="76">
        <f t="shared" si="9"/>
        <v>1</v>
      </c>
      <c r="K19" s="67">
        <f t="shared" si="10"/>
        <v>0</v>
      </c>
      <c r="L19" s="67">
        <f t="shared" si="11"/>
        <v>0</v>
      </c>
      <c r="M19" s="77">
        <f t="shared" si="12"/>
        <v>0</v>
      </c>
      <c r="N19" s="76">
        <f t="shared" si="13"/>
        <v>1</v>
      </c>
      <c r="O19" s="78">
        <f>'Mod Engine'!$E19</f>
        <v>0.82300875273522978</v>
      </c>
      <c r="P19" s="76">
        <f t="shared" si="14"/>
        <v>0</v>
      </c>
      <c r="Q19" s="76">
        <f t="shared" si="15"/>
        <v>0</v>
      </c>
      <c r="R19" s="76">
        <f t="shared" si="16"/>
        <v>0</v>
      </c>
      <c r="S19" s="76">
        <f t="shared" si="17"/>
        <v>0.96824559145321154</v>
      </c>
      <c r="T19" s="76">
        <f t="shared" si="18"/>
        <v>0.96824559145321154</v>
      </c>
      <c r="U19" s="76">
        <f t="shared" si="19"/>
        <v>1</v>
      </c>
      <c r="V19" s="79">
        <f t="shared" si="20"/>
        <v>0</v>
      </c>
      <c r="W19" s="79">
        <f t="shared" si="20"/>
        <v>0</v>
      </c>
      <c r="X19" s="79">
        <f t="shared" si="20"/>
        <v>0</v>
      </c>
      <c r="Y19" s="79">
        <f t="shared" si="20"/>
        <v>0</v>
      </c>
      <c r="Z19" s="79">
        <f t="shared" si="20"/>
        <v>0</v>
      </c>
      <c r="AA19" s="79">
        <f t="shared" si="20"/>
        <v>0</v>
      </c>
      <c r="AB19" s="79">
        <f t="shared" si="20"/>
        <v>0</v>
      </c>
      <c r="AC19" s="79">
        <f t="shared" si="20"/>
        <v>0</v>
      </c>
      <c r="AD19" s="79">
        <f t="shared" si="20"/>
        <v>0</v>
      </c>
      <c r="AE19" s="79">
        <f t="shared" si="20"/>
        <v>0</v>
      </c>
      <c r="AF19" s="79">
        <f t="shared" si="21"/>
        <v>0</v>
      </c>
      <c r="AG19" s="79">
        <f t="shared" si="21"/>
        <v>0</v>
      </c>
      <c r="AH19" s="79">
        <f t="shared" si="21"/>
        <v>0</v>
      </c>
      <c r="AI19" s="79">
        <f t="shared" si="21"/>
        <v>0</v>
      </c>
      <c r="AJ19" s="79">
        <f t="shared" si="21"/>
        <v>0</v>
      </c>
      <c r="AK19" s="79">
        <f t="shared" si="21"/>
        <v>0</v>
      </c>
      <c r="AL19" s="79">
        <f t="shared" si="21"/>
        <v>0</v>
      </c>
      <c r="AM19" s="79">
        <f t="shared" si="21"/>
        <v>0</v>
      </c>
      <c r="AN19" s="79">
        <f t="shared" si="21"/>
        <v>0</v>
      </c>
      <c r="AO19" s="79">
        <f t="shared" si="21"/>
        <v>0</v>
      </c>
      <c r="AP19" s="79">
        <f t="shared" si="22"/>
        <v>0</v>
      </c>
      <c r="AQ19" s="79">
        <f t="shared" si="22"/>
        <v>0</v>
      </c>
      <c r="AR19" s="79">
        <f t="shared" si="22"/>
        <v>0</v>
      </c>
      <c r="AS19" s="79">
        <f t="shared" si="22"/>
        <v>0</v>
      </c>
      <c r="AT19" s="79">
        <f t="shared" si="22"/>
        <v>0</v>
      </c>
      <c r="AU19" s="79">
        <f t="shared" si="22"/>
        <v>0</v>
      </c>
      <c r="AV19" s="79">
        <f t="shared" si="22"/>
        <v>0</v>
      </c>
      <c r="AW19" s="79">
        <f t="shared" si="22"/>
        <v>0</v>
      </c>
      <c r="AX19" s="79">
        <f t="shared" si="22"/>
        <v>0</v>
      </c>
      <c r="AY19" s="79">
        <f t="shared" si="22"/>
        <v>0</v>
      </c>
      <c r="AZ19" s="79">
        <f t="shared" si="23"/>
        <v>0</v>
      </c>
      <c r="BA19" s="79">
        <f t="shared" si="23"/>
        <v>0</v>
      </c>
      <c r="BB19" s="79">
        <f t="shared" si="23"/>
        <v>0</v>
      </c>
      <c r="BC19" s="79">
        <f t="shared" si="23"/>
        <v>0</v>
      </c>
      <c r="BD19" s="79">
        <f t="shared" si="23"/>
        <v>0</v>
      </c>
      <c r="BE19" s="79">
        <f t="shared" si="23"/>
        <v>0</v>
      </c>
      <c r="BF19" s="80">
        <f t="shared" si="24"/>
        <v>0</v>
      </c>
    </row>
    <row r="20" spans="1:58" x14ac:dyDescent="0.25">
      <c r="A20" s="71">
        <v>4</v>
      </c>
      <c r="B20" s="72">
        <f t="shared" si="25"/>
        <v>45748</v>
      </c>
      <c r="C20" s="73">
        <f t="shared" si="2"/>
        <v>45777</v>
      </c>
      <c r="D20" s="67">
        <f t="shared" si="3"/>
        <v>30</v>
      </c>
      <c r="E20" s="67">
        <f t="shared" si="4"/>
        <v>4</v>
      </c>
      <c r="F20" s="74">
        <f t="shared" si="5"/>
        <v>45763</v>
      </c>
      <c r="G20" s="67">
        <f t="shared" si="6"/>
        <v>24303</v>
      </c>
      <c r="H20" s="75">
        <f t="shared" si="7"/>
        <v>1</v>
      </c>
      <c r="I20" s="76">
        <f t="shared" si="8"/>
        <v>1</v>
      </c>
      <c r="J20" s="76">
        <f t="shared" si="9"/>
        <v>1</v>
      </c>
      <c r="K20" s="67">
        <f t="shared" si="10"/>
        <v>0</v>
      </c>
      <c r="L20" s="67">
        <f t="shared" si="11"/>
        <v>0</v>
      </c>
      <c r="M20" s="77">
        <f t="shared" si="12"/>
        <v>0</v>
      </c>
      <c r="N20" s="76">
        <f t="shared" si="13"/>
        <v>1</v>
      </c>
      <c r="O20" s="78">
        <f>'Mod Engine'!$E20</f>
        <v>0.82501094091903715</v>
      </c>
      <c r="P20" s="76">
        <f t="shared" si="14"/>
        <v>0</v>
      </c>
      <c r="Q20" s="76">
        <f t="shared" si="15"/>
        <v>0</v>
      </c>
      <c r="R20" s="76">
        <f t="shared" si="16"/>
        <v>0</v>
      </c>
      <c r="S20" s="76">
        <f t="shared" si="17"/>
        <v>0.97060110696357316</v>
      </c>
      <c r="T20" s="76">
        <f t="shared" si="18"/>
        <v>0.97060110696357316</v>
      </c>
      <c r="U20" s="76">
        <f t="shared" si="19"/>
        <v>1</v>
      </c>
      <c r="V20" s="79">
        <f t="shared" si="20"/>
        <v>0</v>
      </c>
      <c r="W20" s="79">
        <f t="shared" si="20"/>
        <v>0</v>
      </c>
      <c r="X20" s="79">
        <f t="shared" si="20"/>
        <v>0</v>
      </c>
      <c r="Y20" s="79">
        <f t="shared" si="20"/>
        <v>0</v>
      </c>
      <c r="Z20" s="79">
        <f t="shared" si="20"/>
        <v>0</v>
      </c>
      <c r="AA20" s="79">
        <f t="shared" si="20"/>
        <v>0</v>
      </c>
      <c r="AB20" s="79">
        <f t="shared" si="20"/>
        <v>0</v>
      </c>
      <c r="AC20" s="79">
        <f t="shared" si="20"/>
        <v>0</v>
      </c>
      <c r="AD20" s="79">
        <f t="shared" si="20"/>
        <v>0</v>
      </c>
      <c r="AE20" s="79">
        <f t="shared" si="20"/>
        <v>0</v>
      </c>
      <c r="AF20" s="79">
        <f t="shared" si="21"/>
        <v>0</v>
      </c>
      <c r="AG20" s="79">
        <f t="shared" si="21"/>
        <v>0</v>
      </c>
      <c r="AH20" s="79">
        <f t="shared" si="21"/>
        <v>0</v>
      </c>
      <c r="AI20" s="79">
        <f t="shared" si="21"/>
        <v>0</v>
      </c>
      <c r="AJ20" s="79">
        <f t="shared" si="21"/>
        <v>0</v>
      </c>
      <c r="AK20" s="79">
        <f t="shared" si="21"/>
        <v>0</v>
      </c>
      <c r="AL20" s="79">
        <f t="shared" si="21"/>
        <v>0</v>
      </c>
      <c r="AM20" s="79">
        <f t="shared" si="21"/>
        <v>0</v>
      </c>
      <c r="AN20" s="79">
        <f t="shared" si="21"/>
        <v>0</v>
      </c>
      <c r="AO20" s="79">
        <f t="shared" si="21"/>
        <v>0</v>
      </c>
      <c r="AP20" s="79">
        <f t="shared" si="22"/>
        <v>0</v>
      </c>
      <c r="AQ20" s="79">
        <f t="shared" si="22"/>
        <v>0</v>
      </c>
      <c r="AR20" s="79">
        <f t="shared" si="22"/>
        <v>0</v>
      </c>
      <c r="AS20" s="79">
        <f t="shared" si="22"/>
        <v>0</v>
      </c>
      <c r="AT20" s="79">
        <f t="shared" si="22"/>
        <v>0</v>
      </c>
      <c r="AU20" s="79">
        <f t="shared" si="22"/>
        <v>0</v>
      </c>
      <c r="AV20" s="79">
        <f t="shared" si="22"/>
        <v>0</v>
      </c>
      <c r="AW20" s="79">
        <f t="shared" si="22"/>
        <v>0</v>
      </c>
      <c r="AX20" s="79">
        <f t="shared" si="22"/>
        <v>0</v>
      </c>
      <c r="AY20" s="79">
        <f t="shared" si="22"/>
        <v>0</v>
      </c>
      <c r="AZ20" s="79">
        <f t="shared" si="23"/>
        <v>0</v>
      </c>
      <c r="BA20" s="79">
        <f t="shared" si="23"/>
        <v>0</v>
      </c>
      <c r="BB20" s="79">
        <f t="shared" si="23"/>
        <v>0</v>
      </c>
      <c r="BC20" s="79">
        <f t="shared" si="23"/>
        <v>0</v>
      </c>
      <c r="BD20" s="79">
        <f t="shared" si="23"/>
        <v>0</v>
      </c>
      <c r="BE20" s="79">
        <f t="shared" si="23"/>
        <v>0</v>
      </c>
      <c r="BF20" s="80">
        <f t="shared" si="24"/>
        <v>0</v>
      </c>
    </row>
    <row r="21" spans="1:58" x14ac:dyDescent="0.25">
      <c r="A21" s="71">
        <v>5</v>
      </c>
      <c r="B21" s="72">
        <f t="shared" si="25"/>
        <v>45778</v>
      </c>
      <c r="C21" s="73">
        <f t="shared" si="2"/>
        <v>45808</v>
      </c>
      <c r="D21" s="67">
        <f t="shared" si="3"/>
        <v>31</v>
      </c>
      <c r="E21" s="67">
        <f t="shared" si="4"/>
        <v>5</v>
      </c>
      <c r="F21" s="74">
        <f t="shared" si="5"/>
        <v>45793.5</v>
      </c>
      <c r="G21" s="67">
        <f t="shared" si="6"/>
        <v>24304</v>
      </c>
      <c r="H21" s="75">
        <f t="shared" si="7"/>
        <v>1</v>
      </c>
      <c r="I21" s="76">
        <f t="shared" si="8"/>
        <v>1</v>
      </c>
      <c r="J21" s="76">
        <f t="shared" si="9"/>
        <v>1</v>
      </c>
      <c r="K21" s="67">
        <f t="shared" si="10"/>
        <v>0</v>
      </c>
      <c r="L21" s="67">
        <f t="shared" si="11"/>
        <v>0</v>
      </c>
      <c r="M21" s="77">
        <f t="shared" si="12"/>
        <v>0</v>
      </c>
      <c r="N21" s="76">
        <f t="shared" si="13"/>
        <v>1</v>
      </c>
      <c r="O21" s="78">
        <f>'Mod Engine'!$E21</f>
        <v>0.82701312910284464</v>
      </c>
      <c r="P21" s="76">
        <f t="shared" si="14"/>
        <v>0</v>
      </c>
      <c r="Q21" s="76">
        <f t="shared" si="15"/>
        <v>0</v>
      </c>
      <c r="R21" s="76">
        <f t="shared" si="16"/>
        <v>0</v>
      </c>
      <c r="S21" s="76">
        <f t="shared" si="17"/>
        <v>0.97295662247393488</v>
      </c>
      <c r="T21" s="76">
        <f t="shared" si="18"/>
        <v>0.97295662247393488</v>
      </c>
      <c r="U21" s="76">
        <f t="shared" si="19"/>
        <v>1</v>
      </c>
      <c r="V21" s="79">
        <f t="shared" si="20"/>
        <v>0</v>
      </c>
      <c r="W21" s="79">
        <f t="shared" si="20"/>
        <v>0</v>
      </c>
      <c r="X21" s="79">
        <f t="shared" si="20"/>
        <v>0</v>
      </c>
      <c r="Y21" s="79">
        <f t="shared" si="20"/>
        <v>0</v>
      </c>
      <c r="Z21" s="79">
        <f t="shared" si="20"/>
        <v>0</v>
      </c>
      <c r="AA21" s="79">
        <f t="shared" si="20"/>
        <v>0</v>
      </c>
      <c r="AB21" s="79">
        <f t="shared" si="20"/>
        <v>0</v>
      </c>
      <c r="AC21" s="79">
        <f t="shared" si="20"/>
        <v>0</v>
      </c>
      <c r="AD21" s="79">
        <f t="shared" si="20"/>
        <v>0</v>
      </c>
      <c r="AE21" s="79">
        <f t="shared" si="20"/>
        <v>0</v>
      </c>
      <c r="AF21" s="79">
        <f t="shared" si="21"/>
        <v>0</v>
      </c>
      <c r="AG21" s="79">
        <f t="shared" si="21"/>
        <v>0</v>
      </c>
      <c r="AH21" s="79">
        <f t="shared" si="21"/>
        <v>0</v>
      </c>
      <c r="AI21" s="79">
        <f t="shared" si="21"/>
        <v>0</v>
      </c>
      <c r="AJ21" s="79">
        <f t="shared" si="21"/>
        <v>0</v>
      </c>
      <c r="AK21" s="79">
        <f t="shared" si="21"/>
        <v>0</v>
      </c>
      <c r="AL21" s="79">
        <f t="shared" si="21"/>
        <v>0</v>
      </c>
      <c r="AM21" s="79">
        <f t="shared" si="21"/>
        <v>0</v>
      </c>
      <c r="AN21" s="79">
        <f t="shared" si="21"/>
        <v>0</v>
      </c>
      <c r="AO21" s="79">
        <f t="shared" si="21"/>
        <v>0</v>
      </c>
      <c r="AP21" s="79">
        <f t="shared" si="22"/>
        <v>0</v>
      </c>
      <c r="AQ21" s="79">
        <f t="shared" si="22"/>
        <v>0</v>
      </c>
      <c r="AR21" s="79">
        <f t="shared" si="22"/>
        <v>0</v>
      </c>
      <c r="AS21" s="79">
        <f t="shared" si="22"/>
        <v>0</v>
      </c>
      <c r="AT21" s="79">
        <f t="shared" si="22"/>
        <v>0</v>
      </c>
      <c r="AU21" s="79">
        <f t="shared" si="22"/>
        <v>0</v>
      </c>
      <c r="AV21" s="79">
        <f t="shared" si="22"/>
        <v>0</v>
      </c>
      <c r="AW21" s="79">
        <f t="shared" si="22"/>
        <v>0</v>
      </c>
      <c r="AX21" s="79">
        <f t="shared" si="22"/>
        <v>0</v>
      </c>
      <c r="AY21" s="79">
        <f t="shared" si="22"/>
        <v>0</v>
      </c>
      <c r="AZ21" s="79">
        <f t="shared" si="23"/>
        <v>0</v>
      </c>
      <c r="BA21" s="79">
        <f t="shared" si="23"/>
        <v>0</v>
      </c>
      <c r="BB21" s="79">
        <f t="shared" si="23"/>
        <v>0</v>
      </c>
      <c r="BC21" s="79">
        <f t="shared" si="23"/>
        <v>0</v>
      </c>
      <c r="BD21" s="79">
        <f t="shared" si="23"/>
        <v>0</v>
      </c>
      <c r="BE21" s="79">
        <f t="shared" si="23"/>
        <v>0</v>
      </c>
      <c r="BF21" s="80">
        <f t="shared" si="24"/>
        <v>0</v>
      </c>
    </row>
    <row r="22" spans="1:58" x14ac:dyDescent="0.25">
      <c r="A22" s="71">
        <v>6</v>
      </c>
      <c r="B22" s="72">
        <f t="shared" si="25"/>
        <v>45809</v>
      </c>
      <c r="C22" s="73">
        <f t="shared" si="2"/>
        <v>45838</v>
      </c>
      <c r="D22" s="67">
        <f t="shared" si="3"/>
        <v>30</v>
      </c>
      <c r="E22" s="67">
        <f t="shared" si="4"/>
        <v>6</v>
      </c>
      <c r="F22" s="74">
        <f t="shared" si="5"/>
        <v>45824</v>
      </c>
      <c r="G22" s="67">
        <f t="shared" si="6"/>
        <v>24305</v>
      </c>
      <c r="H22" s="75">
        <f t="shared" si="7"/>
        <v>1</v>
      </c>
      <c r="I22" s="76">
        <f t="shared" si="8"/>
        <v>1</v>
      </c>
      <c r="J22" s="76">
        <f t="shared" si="9"/>
        <v>1</v>
      </c>
      <c r="K22" s="67">
        <f t="shared" si="10"/>
        <v>0</v>
      </c>
      <c r="L22" s="67">
        <f t="shared" si="11"/>
        <v>0</v>
      </c>
      <c r="M22" s="77">
        <f t="shared" si="12"/>
        <v>0</v>
      </c>
      <c r="N22" s="76">
        <f t="shared" si="13"/>
        <v>1</v>
      </c>
      <c r="O22" s="78">
        <f>'Mod Engine'!$E22</f>
        <v>0.82901531728665201</v>
      </c>
      <c r="P22" s="76">
        <f t="shared" si="14"/>
        <v>0</v>
      </c>
      <c r="Q22" s="76">
        <f t="shared" si="15"/>
        <v>0</v>
      </c>
      <c r="R22" s="76">
        <f t="shared" si="16"/>
        <v>0</v>
      </c>
      <c r="S22" s="76">
        <f t="shared" si="17"/>
        <v>0.9753121379842965</v>
      </c>
      <c r="T22" s="76">
        <f t="shared" si="18"/>
        <v>0.9753121379842965</v>
      </c>
      <c r="U22" s="76">
        <f t="shared" si="19"/>
        <v>1</v>
      </c>
      <c r="V22" s="79">
        <f t="shared" si="20"/>
        <v>0</v>
      </c>
      <c r="W22" s="79">
        <f t="shared" si="20"/>
        <v>0</v>
      </c>
      <c r="X22" s="79">
        <f t="shared" si="20"/>
        <v>0</v>
      </c>
      <c r="Y22" s="79">
        <f t="shared" si="20"/>
        <v>0</v>
      </c>
      <c r="Z22" s="79">
        <f t="shared" si="20"/>
        <v>0</v>
      </c>
      <c r="AA22" s="79">
        <f t="shared" si="20"/>
        <v>0</v>
      </c>
      <c r="AB22" s="79">
        <f t="shared" si="20"/>
        <v>0</v>
      </c>
      <c r="AC22" s="79">
        <f t="shared" si="20"/>
        <v>0</v>
      </c>
      <c r="AD22" s="79">
        <f t="shared" si="20"/>
        <v>0</v>
      </c>
      <c r="AE22" s="79">
        <f t="shared" si="20"/>
        <v>0</v>
      </c>
      <c r="AF22" s="79">
        <f t="shared" si="21"/>
        <v>0</v>
      </c>
      <c r="AG22" s="79">
        <f t="shared" si="21"/>
        <v>0</v>
      </c>
      <c r="AH22" s="79">
        <f t="shared" si="21"/>
        <v>0</v>
      </c>
      <c r="AI22" s="79">
        <f t="shared" si="21"/>
        <v>0</v>
      </c>
      <c r="AJ22" s="79">
        <f t="shared" si="21"/>
        <v>0</v>
      </c>
      <c r="AK22" s="79">
        <f t="shared" si="21"/>
        <v>0</v>
      </c>
      <c r="AL22" s="79">
        <f t="shared" si="21"/>
        <v>0</v>
      </c>
      <c r="AM22" s="79">
        <f t="shared" si="21"/>
        <v>0</v>
      </c>
      <c r="AN22" s="79">
        <f t="shared" si="21"/>
        <v>0</v>
      </c>
      <c r="AO22" s="79">
        <f t="shared" si="21"/>
        <v>0</v>
      </c>
      <c r="AP22" s="79">
        <f t="shared" si="22"/>
        <v>0</v>
      </c>
      <c r="AQ22" s="79">
        <f t="shared" si="22"/>
        <v>0</v>
      </c>
      <c r="AR22" s="79">
        <f t="shared" si="22"/>
        <v>0</v>
      </c>
      <c r="AS22" s="79">
        <f t="shared" si="22"/>
        <v>0</v>
      </c>
      <c r="AT22" s="79">
        <f t="shared" si="22"/>
        <v>0</v>
      </c>
      <c r="AU22" s="79">
        <f t="shared" si="22"/>
        <v>0</v>
      </c>
      <c r="AV22" s="79">
        <f t="shared" si="22"/>
        <v>0</v>
      </c>
      <c r="AW22" s="79">
        <f t="shared" si="22"/>
        <v>0</v>
      </c>
      <c r="AX22" s="79">
        <f t="shared" si="22"/>
        <v>0</v>
      </c>
      <c r="AY22" s="79">
        <f t="shared" si="22"/>
        <v>0</v>
      </c>
      <c r="AZ22" s="79">
        <f t="shared" si="23"/>
        <v>0</v>
      </c>
      <c r="BA22" s="79">
        <f t="shared" si="23"/>
        <v>0</v>
      </c>
      <c r="BB22" s="79">
        <f t="shared" si="23"/>
        <v>0</v>
      </c>
      <c r="BC22" s="79">
        <f t="shared" si="23"/>
        <v>0</v>
      </c>
      <c r="BD22" s="79">
        <f t="shared" si="23"/>
        <v>0</v>
      </c>
      <c r="BE22" s="79">
        <f t="shared" si="23"/>
        <v>0</v>
      </c>
      <c r="BF22" s="80">
        <f t="shared" si="24"/>
        <v>0</v>
      </c>
    </row>
    <row r="23" spans="1:58" x14ac:dyDescent="0.25">
      <c r="A23" s="71">
        <v>7</v>
      </c>
      <c r="B23" s="72">
        <f t="shared" si="25"/>
        <v>45839</v>
      </c>
      <c r="C23" s="73">
        <f t="shared" si="2"/>
        <v>45869</v>
      </c>
      <c r="D23" s="67">
        <f t="shared" si="3"/>
        <v>31</v>
      </c>
      <c r="E23" s="67">
        <f t="shared" si="4"/>
        <v>7</v>
      </c>
      <c r="F23" s="74">
        <f t="shared" si="5"/>
        <v>45854.5</v>
      </c>
      <c r="G23" s="67">
        <f t="shared" si="6"/>
        <v>24306</v>
      </c>
      <c r="H23" s="75">
        <f t="shared" si="7"/>
        <v>1</v>
      </c>
      <c r="I23" s="76">
        <f t="shared" si="8"/>
        <v>1</v>
      </c>
      <c r="J23" s="76">
        <f t="shared" si="9"/>
        <v>1.04</v>
      </c>
      <c r="K23" s="67">
        <f t="shared" si="10"/>
        <v>1</v>
      </c>
      <c r="L23" s="67">
        <f t="shared" si="11"/>
        <v>31</v>
      </c>
      <c r="M23" s="77">
        <f t="shared" si="12"/>
        <v>1</v>
      </c>
      <c r="N23" s="76">
        <f t="shared" si="13"/>
        <v>1.04</v>
      </c>
      <c r="O23" s="78">
        <f>'Mod Engine'!$E23</f>
        <v>0.83101750547045949</v>
      </c>
      <c r="P23" s="76">
        <f t="shared" si="14"/>
        <v>8.333333333333337E-2</v>
      </c>
      <c r="Q23" s="76">
        <f t="shared" si="15"/>
        <v>0</v>
      </c>
      <c r="R23" s="76">
        <f t="shared" si="16"/>
        <v>0</v>
      </c>
      <c r="S23" s="76">
        <f t="shared" si="17"/>
        <v>1.0167743596344445</v>
      </c>
      <c r="T23" s="76">
        <f t="shared" si="18"/>
        <v>1.0167743596344445</v>
      </c>
      <c r="U23" s="76">
        <f t="shared" si="19"/>
        <v>1.04</v>
      </c>
      <c r="V23" s="79">
        <f t="shared" si="20"/>
        <v>8.3333333333333329E-2</v>
      </c>
      <c r="W23" s="79">
        <f t="shared" si="20"/>
        <v>0</v>
      </c>
      <c r="X23" s="79">
        <f t="shared" si="20"/>
        <v>0</v>
      </c>
      <c r="Y23" s="79">
        <f t="shared" si="20"/>
        <v>0</v>
      </c>
      <c r="Z23" s="79">
        <f t="shared" si="20"/>
        <v>0</v>
      </c>
      <c r="AA23" s="79">
        <f t="shared" si="20"/>
        <v>0</v>
      </c>
      <c r="AB23" s="79">
        <f t="shared" si="20"/>
        <v>0</v>
      </c>
      <c r="AC23" s="79">
        <f t="shared" si="20"/>
        <v>0</v>
      </c>
      <c r="AD23" s="79">
        <f t="shared" si="20"/>
        <v>0</v>
      </c>
      <c r="AE23" s="79">
        <f t="shared" si="20"/>
        <v>0</v>
      </c>
      <c r="AF23" s="79">
        <f t="shared" si="21"/>
        <v>0</v>
      </c>
      <c r="AG23" s="79">
        <f t="shared" si="21"/>
        <v>0</v>
      </c>
      <c r="AH23" s="79">
        <f t="shared" si="21"/>
        <v>0</v>
      </c>
      <c r="AI23" s="79">
        <f t="shared" si="21"/>
        <v>0</v>
      </c>
      <c r="AJ23" s="79">
        <f t="shared" si="21"/>
        <v>0</v>
      </c>
      <c r="AK23" s="79">
        <f t="shared" si="21"/>
        <v>0</v>
      </c>
      <c r="AL23" s="79">
        <f t="shared" si="21"/>
        <v>0</v>
      </c>
      <c r="AM23" s="79">
        <f t="shared" si="21"/>
        <v>0</v>
      </c>
      <c r="AN23" s="79">
        <f t="shared" si="21"/>
        <v>0</v>
      </c>
      <c r="AO23" s="79">
        <f t="shared" si="21"/>
        <v>0</v>
      </c>
      <c r="AP23" s="79">
        <f t="shared" si="22"/>
        <v>0</v>
      </c>
      <c r="AQ23" s="79">
        <f t="shared" si="22"/>
        <v>0</v>
      </c>
      <c r="AR23" s="79">
        <f t="shared" si="22"/>
        <v>0</v>
      </c>
      <c r="AS23" s="79">
        <f t="shared" si="22"/>
        <v>0</v>
      </c>
      <c r="AT23" s="79">
        <f t="shared" si="22"/>
        <v>0</v>
      </c>
      <c r="AU23" s="79">
        <f t="shared" si="22"/>
        <v>0</v>
      </c>
      <c r="AV23" s="79">
        <f t="shared" si="22"/>
        <v>0</v>
      </c>
      <c r="AW23" s="79">
        <f t="shared" si="22"/>
        <v>0</v>
      </c>
      <c r="AX23" s="79">
        <f t="shared" si="22"/>
        <v>0</v>
      </c>
      <c r="AY23" s="79">
        <f t="shared" si="22"/>
        <v>0</v>
      </c>
      <c r="AZ23" s="79">
        <f t="shared" si="23"/>
        <v>0</v>
      </c>
      <c r="BA23" s="79">
        <f t="shared" si="23"/>
        <v>0</v>
      </c>
      <c r="BB23" s="79">
        <f t="shared" si="23"/>
        <v>0</v>
      </c>
      <c r="BC23" s="79">
        <f t="shared" si="23"/>
        <v>0</v>
      </c>
      <c r="BD23" s="79">
        <f t="shared" si="23"/>
        <v>0</v>
      </c>
      <c r="BE23" s="79">
        <f t="shared" si="23"/>
        <v>0</v>
      </c>
      <c r="BF23" s="80">
        <f t="shared" si="24"/>
        <v>0</v>
      </c>
    </row>
    <row r="24" spans="1:58" x14ac:dyDescent="0.25">
      <c r="A24" s="71">
        <v>8</v>
      </c>
      <c r="B24" s="72">
        <f t="shared" si="25"/>
        <v>45870</v>
      </c>
      <c r="C24" s="73">
        <f t="shared" si="2"/>
        <v>45900</v>
      </c>
      <c r="D24" s="67">
        <f t="shared" si="3"/>
        <v>31</v>
      </c>
      <c r="E24" s="67">
        <f t="shared" si="4"/>
        <v>8</v>
      </c>
      <c r="F24" s="74">
        <f t="shared" si="5"/>
        <v>45885.5</v>
      </c>
      <c r="G24" s="67">
        <f t="shared" si="6"/>
        <v>24307</v>
      </c>
      <c r="H24" s="75">
        <f t="shared" si="7"/>
        <v>1</v>
      </c>
      <c r="I24" s="76">
        <f t="shared" si="8"/>
        <v>1.04</v>
      </c>
      <c r="J24" s="76">
        <f t="shared" si="9"/>
        <v>1.04</v>
      </c>
      <c r="K24" s="67">
        <f t="shared" si="10"/>
        <v>0</v>
      </c>
      <c r="L24" s="67">
        <f t="shared" si="11"/>
        <v>0</v>
      </c>
      <c r="M24" s="77">
        <f t="shared" si="12"/>
        <v>0</v>
      </c>
      <c r="N24" s="76">
        <f t="shared" si="13"/>
        <v>1.04</v>
      </c>
      <c r="O24" s="78">
        <f>'Mod Engine'!$E24</f>
        <v>0.83305251641137856</v>
      </c>
      <c r="P24" s="76">
        <f t="shared" si="14"/>
        <v>0.25</v>
      </c>
      <c r="Q24" s="76">
        <f t="shared" si="15"/>
        <v>0</v>
      </c>
      <c r="R24" s="76">
        <f t="shared" si="16"/>
        <v>0</v>
      </c>
      <c r="S24" s="76">
        <f t="shared" si="17"/>
        <v>1.0192642553739222</v>
      </c>
      <c r="T24" s="76">
        <f t="shared" si="18"/>
        <v>1.0192642553739222</v>
      </c>
      <c r="U24" s="76">
        <f t="shared" si="19"/>
        <v>1.04</v>
      </c>
      <c r="V24" s="79">
        <f t="shared" si="20"/>
        <v>0.16666666666666666</v>
      </c>
      <c r="W24" s="79">
        <f t="shared" si="20"/>
        <v>8.3333333333333329E-2</v>
      </c>
      <c r="X24" s="79">
        <f t="shared" si="20"/>
        <v>0</v>
      </c>
      <c r="Y24" s="79">
        <f t="shared" si="20"/>
        <v>0</v>
      </c>
      <c r="Z24" s="79">
        <f t="shared" si="20"/>
        <v>0</v>
      </c>
      <c r="AA24" s="79">
        <f t="shared" si="20"/>
        <v>0</v>
      </c>
      <c r="AB24" s="79">
        <f t="shared" si="20"/>
        <v>0</v>
      </c>
      <c r="AC24" s="79">
        <f t="shared" si="20"/>
        <v>0</v>
      </c>
      <c r="AD24" s="79">
        <f t="shared" si="20"/>
        <v>0</v>
      </c>
      <c r="AE24" s="79">
        <f t="shared" si="20"/>
        <v>0</v>
      </c>
      <c r="AF24" s="79">
        <f t="shared" si="21"/>
        <v>0</v>
      </c>
      <c r="AG24" s="79">
        <f t="shared" si="21"/>
        <v>0</v>
      </c>
      <c r="AH24" s="79">
        <f t="shared" si="21"/>
        <v>0</v>
      </c>
      <c r="AI24" s="79">
        <f t="shared" si="21"/>
        <v>0</v>
      </c>
      <c r="AJ24" s="79">
        <f t="shared" si="21"/>
        <v>0</v>
      </c>
      <c r="AK24" s="79">
        <f t="shared" si="21"/>
        <v>0</v>
      </c>
      <c r="AL24" s="79">
        <f t="shared" si="21"/>
        <v>0</v>
      </c>
      <c r="AM24" s="79">
        <f t="shared" si="21"/>
        <v>0</v>
      </c>
      <c r="AN24" s="79">
        <f t="shared" si="21"/>
        <v>0</v>
      </c>
      <c r="AO24" s="79">
        <f t="shared" si="21"/>
        <v>0</v>
      </c>
      <c r="AP24" s="79">
        <f t="shared" si="22"/>
        <v>0</v>
      </c>
      <c r="AQ24" s="79">
        <f t="shared" si="22"/>
        <v>0</v>
      </c>
      <c r="AR24" s="79">
        <f t="shared" si="22"/>
        <v>0</v>
      </c>
      <c r="AS24" s="79">
        <f t="shared" si="22"/>
        <v>0</v>
      </c>
      <c r="AT24" s="79">
        <f t="shared" si="22"/>
        <v>0</v>
      </c>
      <c r="AU24" s="79">
        <f t="shared" si="22"/>
        <v>0</v>
      </c>
      <c r="AV24" s="79">
        <f t="shared" si="22"/>
        <v>0</v>
      </c>
      <c r="AW24" s="79">
        <f t="shared" si="22"/>
        <v>0</v>
      </c>
      <c r="AX24" s="79">
        <f t="shared" si="22"/>
        <v>0</v>
      </c>
      <c r="AY24" s="79">
        <f t="shared" si="22"/>
        <v>0</v>
      </c>
      <c r="AZ24" s="79">
        <f t="shared" si="23"/>
        <v>0</v>
      </c>
      <c r="BA24" s="79">
        <f t="shared" si="23"/>
        <v>0</v>
      </c>
      <c r="BB24" s="79">
        <f t="shared" si="23"/>
        <v>0</v>
      </c>
      <c r="BC24" s="79">
        <f t="shared" si="23"/>
        <v>0</v>
      </c>
      <c r="BD24" s="79">
        <f t="shared" si="23"/>
        <v>0</v>
      </c>
      <c r="BE24" s="79">
        <f t="shared" si="23"/>
        <v>0</v>
      </c>
      <c r="BF24" s="80">
        <f t="shared" si="24"/>
        <v>0</v>
      </c>
    </row>
    <row r="25" spans="1:58" x14ac:dyDescent="0.25">
      <c r="A25" s="71">
        <v>9</v>
      </c>
      <c r="B25" s="72">
        <f t="shared" si="25"/>
        <v>45901</v>
      </c>
      <c r="C25" s="73">
        <f t="shared" si="2"/>
        <v>45930</v>
      </c>
      <c r="D25" s="67">
        <f t="shared" si="3"/>
        <v>30</v>
      </c>
      <c r="E25" s="67">
        <f t="shared" si="4"/>
        <v>9</v>
      </c>
      <c r="F25" s="74">
        <f t="shared" si="5"/>
        <v>45916</v>
      </c>
      <c r="G25" s="67">
        <f t="shared" si="6"/>
        <v>24308</v>
      </c>
      <c r="H25" s="75">
        <f t="shared" si="7"/>
        <v>1</v>
      </c>
      <c r="I25" s="76">
        <f t="shared" si="8"/>
        <v>1.04</v>
      </c>
      <c r="J25" s="76">
        <f t="shared" si="9"/>
        <v>1.04</v>
      </c>
      <c r="K25" s="67">
        <f t="shared" si="10"/>
        <v>0</v>
      </c>
      <c r="L25" s="67">
        <f t="shared" si="11"/>
        <v>0</v>
      </c>
      <c r="M25" s="77">
        <f t="shared" si="12"/>
        <v>0</v>
      </c>
      <c r="N25" s="76">
        <f t="shared" si="13"/>
        <v>1.04</v>
      </c>
      <c r="O25" s="78">
        <f>'Mod Engine'!$E25</f>
        <v>0.83505470459518594</v>
      </c>
      <c r="P25" s="76">
        <f t="shared" si="14"/>
        <v>0.41666666666666663</v>
      </c>
      <c r="Q25" s="76">
        <f t="shared" si="15"/>
        <v>0</v>
      </c>
      <c r="R25" s="76">
        <f t="shared" si="16"/>
        <v>0</v>
      </c>
      <c r="S25" s="76">
        <f t="shared" si="17"/>
        <v>1.0217139915046982</v>
      </c>
      <c r="T25" s="76">
        <f t="shared" si="18"/>
        <v>1.0217139915046982</v>
      </c>
      <c r="U25" s="76">
        <f t="shared" si="19"/>
        <v>1.04</v>
      </c>
      <c r="V25" s="79">
        <f t="shared" si="20"/>
        <v>0.16666666666666666</v>
      </c>
      <c r="W25" s="79">
        <f t="shared" si="20"/>
        <v>0.16666666666666666</v>
      </c>
      <c r="X25" s="79">
        <f t="shared" si="20"/>
        <v>8.3333333333333329E-2</v>
      </c>
      <c r="Y25" s="79">
        <f t="shared" si="20"/>
        <v>0</v>
      </c>
      <c r="Z25" s="79">
        <f t="shared" si="20"/>
        <v>0</v>
      </c>
      <c r="AA25" s="79">
        <f t="shared" si="20"/>
        <v>0</v>
      </c>
      <c r="AB25" s="79">
        <f t="shared" si="20"/>
        <v>0</v>
      </c>
      <c r="AC25" s="79">
        <f t="shared" si="20"/>
        <v>0</v>
      </c>
      <c r="AD25" s="79">
        <f t="shared" si="20"/>
        <v>0</v>
      </c>
      <c r="AE25" s="79">
        <f t="shared" si="20"/>
        <v>0</v>
      </c>
      <c r="AF25" s="79">
        <f t="shared" si="21"/>
        <v>0</v>
      </c>
      <c r="AG25" s="79">
        <f t="shared" si="21"/>
        <v>0</v>
      </c>
      <c r="AH25" s="79">
        <f t="shared" si="21"/>
        <v>0</v>
      </c>
      <c r="AI25" s="79">
        <f t="shared" si="21"/>
        <v>0</v>
      </c>
      <c r="AJ25" s="79">
        <f t="shared" si="21"/>
        <v>0</v>
      </c>
      <c r="AK25" s="79">
        <f t="shared" si="21"/>
        <v>0</v>
      </c>
      <c r="AL25" s="79">
        <f t="shared" si="21"/>
        <v>0</v>
      </c>
      <c r="AM25" s="79">
        <f t="shared" si="21"/>
        <v>0</v>
      </c>
      <c r="AN25" s="79">
        <f t="shared" si="21"/>
        <v>0</v>
      </c>
      <c r="AO25" s="79">
        <f t="shared" si="21"/>
        <v>0</v>
      </c>
      <c r="AP25" s="79">
        <f t="shared" si="22"/>
        <v>0</v>
      </c>
      <c r="AQ25" s="79">
        <f t="shared" si="22"/>
        <v>0</v>
      </c>
      <c r="AR25" s="79">
        <f t="shared" si="22"/>
        <v>0</v>
      </c>
      <c r="AS25" s="79">
        <f t="shared" si="22"/>
        <v>0</v>
      </c>
      <c r="AT25" s="79">
        <f t="shared" si="22"/>
        <v>0</v>
      </c>
      <c r="AU25" s="79">
        <f t="shared" si="22"/>
        <v>0</v>
      </c>
      <c r="AV25" s="79">
        <f t="shared" si="22"/>
        <v>0</v>
      </c>
      <c r="AW25" s="79">
        <f t="shared" si="22"/>
        <v>0</v>
      </c>
      <c r="AX25" s="79">
        <f t="shared" si="22"/>
        <v>0</v>
      </c>
      <c r="AY25" s="79">
        <f t="shared" si="22"/>
        <v>0</v>
      </c>
      <c r="AZ25" s="79">
        <f t="shared" si="23"/>
        <v>0</v>
      </c>
      <c r="BA25" s="79">
        <f t="shared" si="23"/>
        <v>0</v>
      </c>
      <c r="BB25" s="79">
        <f t="shared" si="23"/>
        <v>0</v>
      </c>
      <c r="BC25" s="79">
        <f t="shared" si="23"/>
        <v>0</v>
      </c>
      <c r="BD25" s="79">
        <f t="shared" si="23"/>
        <v>0</v>
      </c>
      <c r="BE25" s="79">
        <f t="shared" si="23"/>
        <v>0</v>
      </c>
      <c r="BF25" s="80">
        <f t="shared" si="24"/>
        <v>0</v>
      </c>
    </row>
    <row r="26" spans="1:58" x14ac:dyDescent="0.25">
      <c r="A26" s="71">
        <v>10</v>
      </c>
      <c r="B26" s="72">
        <f t="shared" si="25"/>
        <v>45931</v>
      </c>
      <c r="C26" s="73">
        <f t="shared" si="2"/>
        <v>45961</v>
      </c>
      <c r="D26" s="67">
        <f t="shared" si="3"/>
        <v>31</v>
      </c>
      <c r="E26" s="67">
        <f t="shared" si="4"/>
        <v>10</v>
      </c>
      <c r="F26" s="74">
        <f t="shared" si="5"/>
        <v>45946.5</v>
      </c>
      <c r="G26" s="67">
        <f t="shared" si="6"/>
        <v>24309</v>
      </c>
      <c r="H26" s="75">
        <f t="shared" si="7"/>
        <v>1</v>
      </c>
      <c r="I26" s="76">
        <f t="shared" si="8"/>
        <v>1.04</v>
      </c>
      <c r="J26" s="76">
        <f t="shared" si="9"/>
        <v>1.04</v>
      </c>
      <c r="K26" s="67">
        <f t="shared" si="10"/>
        <v>0</v>
      </c>
      <c r="L26" s="67">
        <f t="shared" si="11"/>
        <v>0</v>
      </c>
      <c r="M26" s="77">
        <f t="shared" si="12"/>
        <v>0</v>
      </c>
      <c r="N26" s="76">
        <f t="shared" si="13"/>
        <v>1.04</v>
      </c>
      <c r="O26" s="78">
        <f>'Mod Engine'!$E26</f>
        <v>0.83705689277899342</v>
      </c>
      <c r="P26" s="76">
        <f t="shared" si="14"/>
        <v>0.58333333333333326</v>
      </c>
      <c r="Q26" s="76">
        <f t="shared" si="15"/>
        <v>0</v>
      </c>
      <c r="R26" s="76">
        <f t="shared" si="16"/>
        <v>0</v>
      </c>
      <c r="S26" s="76">
        <f t="shared" si="17"/>
        <v>1.0241637276354745</v>
      </c>
      <c r="T26" s="76">
        <f t="shared" si="18"/>
        <v>1.0241637276354745</v>
      </c>
      <c r="U26" s="76">
        <f t="shared" si="19"/>
        <v>1.04</v>
      </c>
      <c r="V26" s="79">
        <f t="shared" si="20"/>
        <v>0.16666666666666666</v>
      </c>
      <c r="W26" s="79">
        <f t="shared" si="20"/>
        <v>0.16666666666666666</v>
      </c>
      <c r="X26" s="79">
        <f t="shared" si="20"/>
        <v>0.16666666666666666</v>
      </c>
      <c r="Y26" s="79">
        <f t="shared" si="20"/>
        <v>8.3333333333333329E-2</v>
      </c>
      <c r="Z26" s="79">
        <f t="shared" si="20"/>
        <v>0</v>
      </c>
      <c r="AA26" s="79">
        <f t="shared" si="20"/>
        <v>0</v>
      </c>
      <c r="AB26" s="79">
        <f t="shared" si="20"/>
        <v>0</v>
      </c>
      <c r="AC26" s="79">
        <f t="shared" si="20"/>
        <v>0</v>
      </c>
      <c r="AD26" s="79">
        <f t="shared" si="20"/>
        <v>0</v>
      </c>
      <c r="AE26" s="79">
        <f t="shared" si="20"/>
        <v>0</v>
      </c>
      <c r="AF26" s="79">
        <f t="shared" si="21"/>
        <v>0</v>
      </c>
      <c r="AG26" s="79">
        <f t="shared" si="21"/>
        <v>0</v>
      </c>
      <c r="AH26" s="79">
        <f t="shared" si="21"/>
        <v>0</v>
      </c>
      <c r="AI26" s="79">
        <f t="shared" si="21"/>
        <v>0</v>
      </c>
      <c r="AJ26" s="79">
        <f t="shared" si="21"/>
        <v>0</v>
      </c>
      <c r="AK26" s="79">
        <f t="shared" si="21"/>
        <v>0</v>
      </c>
      <c r="AL26" s="79">
        <f t="shared" si="21"/>
        <v>0</v>
      </c>
      <c r="AM26" s="79">
        <f t="shared" si="21"/>
        <v>0</v>
      </c>
      <c r="AN26" s="79">
        <f t="shared" si="21"/>
        <v>0</v>
      </c>
      <c r="AO26" s="79">
        <f t="shared" si="21"/>
        <v>0</v>
      </c>
      <c r="AP26" s="79">
        <f t="shared" si="22"/>
        <v>0</v>
      </c>
      <c r="AQ26" s="79">
        <f t="shared" si="22"/>
        <v>0</v>
      </c>
      <c r="AR26" s="79">
        <f t="shared" si="22"/>
        <v>0</v>
      </c>
      <c r="AS26" s="79">
        <f t="shared" si="22"/>
        <v>0</v>
      </c>
      <c r="AT26" s="79">
        <f t="shared" si="22"/>
        <v>0</v>
      </c>
      <c r="AU26" s="79">
        <f t="shared" si="22"/>
        <v>0</v>
      </c>
      <c r="AV26" s="79">
        <f t="shared" si="22"/>
        <v>0</v>
      </c>
      <c r="AW26" s="79">
        <f t="shared" si="22"/>
        <v>0</v>
      </c>
      <c r="AX26" s="79">
        <f t="shared" si="22"/>
        <v>0</v>
      </c>
      <c r="AY26" s="79">
        <f t="shared" si="22"/>
        <v>0</v>
      </c>
      <c r="AZ26" s="79">
        <f t="shared" si="23"/>
        <v>0</v>
      </c>
      <c r="BA26" s="79">
        <f t="shared" si="23"/>
        <v>0</v>
      </c>
      <c r="BB26" s="79">
        <f t="shared" si="23"/>
        <v>0</v>
      </c>
      <c r="BC26" s="79">
        <f t="shared" si="23"/>
        <v>0</v>
      </c>
      <c r="BD26" s="79">
        <f t="shared" si="23"/>
        <v>0</v>
      </c>
      <c r="BE26" s="79">
        <f t="shared" si="23"/>
        <v>0</v>
      </c>
      <c r="BF26" s="80">
        <f t="shared" si="24"/>
        <v>0</v>
      </c>
    </row>
    <row r="27" spans="1:58" x14ac:dyDescent="0.25">
      <c r="A27" s="71">
        <v>11</v>
      </c>
      <c r="B27" s="72">
        <f t="shared" si="25"/>
        <v>45962</v>
      </c>
      <c r="C27" s="73">
        <f t="shared" si="2"/>
        <v>45991</v>
      </c>
      <c r="D27" s="67">
        <f t="shared" si="3"/>
        <v>30</v>
      </c>
      <c r="E27" s="67">
        <f t="shared" si="4"/>
        <v>11</v>
      </c>
      <c r="F27" s="74">
        <f t="shared" si="5"/>
        <v>45977</v>
      </c>
      <c r="G27" s="67">
        <f t="shared" si="6"/>
        <v>24310</v>
      </c>
      <c r="H27" s="75">
        <f t="shared" si="7"/>
        <v>1</v>
      </c>
      <c r="I27" s="76">
        <f t="shared" si="8"/>
        <v>1.04</v>
      </c>
      <c r="J27" s="76">
        <f t="shared" si="9"/>
        <v>1.04</v>
      </c>
      <c r="K27" s="67">
        <f t="shared" si="10"/>
        <v>0</v>
      </c>
      <c r="L27" s="67">
        <f t="shared" si="11"/>
        <v>0</v>
      </c>
      <c r="M27" s="77">
        <f t="shared" si="12"/>
        <v>0</v>
      </c>
      <c r="N27" s="76">
        <f t="shared" si="13"/>
        <v>1.04</v>
      </c>
      <c r="O27" s="78">
        <f>'Mod Engine'!$E27</f>
        <v>0.8390590809628008</v>
      </c>
      <c r="P27" s="76">
        <f t="shared" si="14"/>
        <v>0.75</v>
      </c>
      <c r="Q27" s="76">
        <f t="shared" si="15"/>
        <v>0</v>
      </c>
      <c r="R27" s="76">
        <f t="shared" si="16"/>
        <v>0</v>
      </c>
      <c r="S27" s="76">
        <f t="shared" si="17"/>
        <v>1.0266134637662505</v>
      </c>
      <c r="T27" s="76">
        <f t="shared" si="18"/>
        <v>1.0266134637662505</v>
      </c>
      <c r="U27" s="76">
        <f t="shared" si="19"/>
        <v>1.04</v>
      </c>
      <c r="V27" s="79">
        <f t="shared" ref="V27:AE36" si="26">IF(OR(V$15&lt;$G27,V$15&gt;$G27+$F$5),0,IF(OR(V$15=$G27,V$15=$G27+$F$5),0.5,1)/$F$5)</f>
        <v>0.16666666666666666</v>
      </c>
      <c r="W27" s="79">
        <f t="shared" si="26"/>
        <v>0.16666666666666666</v>
      </c>
      <c r="X27" s="79">
        <f t="shared" si="26"/>
        <v>0.16666666666666666</v>
      </c>
      <c r="Y27" s="79">
        <f t="shared" si="26"/>
        <v>0.16666666666666666</v>
      </c>
      <c r="Z27" s="79">
        <f t="shared" si="26"/>
        <v>8.3333333333333329E-2</v>
      </c>
      <c r="AA27" s="79">
        <f t="shared" si="26"/>
        <v>0</v>
      </c>
      <c r="AB27" s="79">
        <f t="shared" si="26"/>
        <v>0</v>
      </c>
      <c r="AC27" s="79">
        <f t="shared" si="26"/>
        <v>0</v>
      </c>
      <c r="AD27" s="79">
        <f t="shared" si="26"/>
        <v>0</v>
      </c>
      <c r="AE27" s="79">
        <f t="shared" si="26"/>
        <v>0</v>
      </c>
      <c r="AF27" s="79">
        <f t="shared" ref="AF27:AO36" si="27">IF(OR(AF$15&lt;$G27,AF$15&gt;$G27+$F$5),0,IF(OR(AF$15=$G27,AF$15=$G27+$F$5),0.5,1)/$F$5)</f>
        <v>0</v>
      </c>
      <c r="AG27" s="79">
        <f t="shared" si="27"/>
        <v>0</v>
      </c>
      <c r="AH27" s="79">
        <f t="shared" si="27"/>
        <v>0</v>
      </c>
      <c r="AI27" s="79">
        <f t="shared" si="27"/>
        <v>0</v>
      </c>
      <c r="AJ27" s="79">
        <f t="shared" si="27"/>
        <v>0</v>
      </c>
      <c r="AK27" s="79">
        <f t="shared" si="27"/>
        <v>0</v>
      </c>
      <c r="AL27" s="79">
        <f t="shared" si="27"/>
        <v>0</v>
      </c>
      <c r="AM27" s="79">
        <f t="shared" si="27"/>
        <v>0</v>
      </c>
      <c r="AN27" s="79">
        <f t="shared" si="27"/>
        <v>0</v>
      </c>
      <c r="AO27" s="79">
        <f t="shared" si="27"/>
        <v>0</v>
      </c>
      <c r="AP27" s="79">
        <f t="shared" ref="AP27:AY36" si="28">IF(OR(AP$15&lt;$G27,AP$15&gt;$G27+$F$5),0,IF(OR(AP$15=$G27,AP$15=$G27+$F$5),0.5,1)/$F$5)</f>
        <v>0</v>
      </c>
      <c r="AQ27" s="79">
        <f t="shared" si="28"/>
        <v>0</v>
      </c>
      <c r="AR27" s="79">
        <f t="shared" si="28"/>
        <v>0</v>
      </c>
      <c r="AS27" s="79">
        <f t="shared" si="28"/>
        <v>0</v>
      </c>
      <c r="AT27" s="79">
        <f t="shared" si="28"/>
        <v>0</v>
      </c>
      <c r="AU27" s="79">
        <f t="shared" si="28"/>
        <v>0</v>
      </c>
      <c r="AV27" s="79">
        <f t="shared" si="28"/>
        <v>0</v>
      </c>
      <c r="AW27" s="79">
        <f t="shared" si="28"/>
        <v>0</v>
      </c>
      <c r="AX27" s="79">
        <f t="shared" si="28"/>
        <v>0</v>
      </c>
      <c r="AY27" s="79">
        <f t="shared" si="28"/>
        <v>0</v>
      </c>
      <c r="AZ27" s="79">
        <f t="shared" ref="AZ27:BE36" si="29">IF(OR(AZ$15&lt;$G27,AZ$15&gt;$G27+$F$5),0,IF(OR(AZ$15=$G27,AZ$15=$G27+$F$5),0.5,1)/$F$5)</f>
        <v>0</v>
      </c>
      <c r="BA27" s="79">
        <f t="shared" si="29"/>
        <v>0</v>
      </c>
      <c r="BB27" s="79">
        <f t="shared" si="29"/>
        <v>0</v>
      </c>
      <c r="BC27" s="79">
        <f t="shared" si="29"/>
        <v>0</v>
      </c>
      <c r="BD27" s="79">
        <f t="shared" si="29"/>
        <v>0</v>
      </c>
      <c r="BE27" s="79">
        <f t="shared" si="29"/>
        <v>0</v>
      </c>
      <c r="BF27" s="80">
        <f t="shared" si="24"/>
        <v>0</v>
      </c>
    </row>
    <row r="28" spans="1:58" x14ac:dyDescent="0.25">
      <c r="A28" s="71">
        <v>12</v>
      </c>
      <c r="B28" s="72">
        <f t="shared" si="25"/>
        <v>45992</v>
      </c>
      <c r="C28" s="73">
        <f t="shared" si="2"/>
        <v>46022</v>
      </c>
      <c r="D28" s="67">
        <f t="shared" si="3"/>
        <v>31</v>
      </c>
      <c r="E28" s="67">
        <f t="shared" si="4"/>
        <v>12</v>
      </c>
      <c r="F28" s="74">
        <f t="shared" si="5"/>
        <v>46007.5</v>
      </c>
      <c r="G28" s="67">
        <f t="shared" si="6"/>
        <v>24311</v>
      </c>
      <c r="H28" s="75">
        <f t="shared" si="7"/>
        <v>1</v>
      </c>
      <c r="I28" s="76">
        <f t="shared" si="8"/>
        <v>1.04</v>
      </c>
      <c r="J28" s="76">
        <f t="shared" si="9"/>
        <v>1.04</v>
      </c>
      <c r="K28" s="67">
        <f t="shared" si="10"/>
        <v>0</v>
      </c>
      <c r="L28" s="67">
        <f t="shared" si="11"/>
        <v>0</v>
      </c>
      <c r="M28" s="77">
        <f t="shared" si="12"/>
        <v>0</v>
      </c>
      <c r="N28" s="76">
        <f t="shared" si="13"/>
        <v>1.04</v>
      </c>
      <c r="O28" s="78">
        <f>'Mod Engine'!$E28</f>
        <v>0.84106126914660828</v>
      </c>
      <c r="P28" s="76">
        <f t="shared" si="14"/>
        <v>0.91666666666666663</v>
      </c>
      <c r="Q28" s="76">
        <f t="shared" si="15"/>
        <v>0</v>
      </c>
      <c r="R28" s="76">
        <f t="shared" si="16"/>
        <v>0</v>
      </c>
      <c r="S28" s="76">
        <f t="shared" si="17"/>
        <v>1.0290631998970268</v>
      </c>
      <c r="T28" s="76">
        <f t="shared" si="18"/>
        <v>1.0290631998970268</v>
      </c>
      <c r="U28" s="76">
        <f t="shared" si="19"/>
        <v>1.04</v>
      </c>
      <c r="V28" s="79">
        <f t="shared" si="26"/>
        <v>0.16666666666666666</v>
      </c>
      <c r="W28" s="79">
        <f t="shared" si="26"/>
        <v>0.16666666666666666</v>
      </c>
      <c r="X28" s="79">
        <f t="shared" si="26"/>
        <v>0.16666666666666666</v>
      </c>
      <c r="Y28" s="79">
        <f t="shared" si="26"/>
        <v>0.16666666666666666</v>
      </c>
      <c r="Z28" s="79">
        <f t="shared" si="26"/>
        <v>0.16666666666666666</v>
      </c>
      <c r="AA28" s="79">
        <f t="shared" si="26"/>
        <v>8.3333333333333329E-2</v>
      </c>
      <c r="AB28" s="79">
        <f t="shared" si="26"/>
        <v>0</v>
      </c>
      <c r="AC28" s="79">
        <f t="shared" si="26"/>
        <v>0</v>
      </c>
      <c r="AD28" s="79">
        <f t="shared" si="26"/>
        <v>0</v>
      </c>
      <c r="AE28" s="79">
        <f t="shared" si="26"/>
        <v>0</v>
      </c>
      <c r="AF28" s="79">
        <f t="shared" si="27"/>
        <v>0</v>
      </c>
      <c r="AG28" s="79">
        <f t="shared" si="27"/>
        <v>0</v>
      </c>
      <c r="AH28" s="79">
        <f t="shared" si="27"/>
        <v>0</v>
      </c>
      <c r="AI28" s="79">
        <f t="shared" si="27"/>
        <v>0</v>
      </c>
      <c r="AJ28" s="79">
        <f t="shared" si="27"/>
        <v>0</v>
      </c>
      <c r="AK28" s="79">
        <f t="shared" si="27"/>
        <v>0</v>
      </c>
      <c r="AL28" s="79">
        <f t="shared" si="27"/>
        <v>0</v>
      </c>
      <c r="AM28" s="79">
        <f t="shared" si="27"/>
        <v>0</v>
      </c>
      <c r="AN28" s="79">
        <f t="shared" si="27"/>
        <v>0</v>
      </c>
      <c r="AO28" s="79">
        <f t="shared" si="27"/>
        <v>0</v>
      </c>
      <c r="AP28" s="79">
        <f t="shared" si="28"/>
        <v>0</v>
      </c>
      <c r="AQ28" s="79">
        <f t="shared" si="28"/>
        <v>0</v>
      </c>
      <c r="AR28" s="79">
        <f t="shared" si="28"/>
        <v>0</v>
      </c>
      <c r="AS28" s="79">
        <f t="shared" si="28"/>
        <v>0</v>
      </c>
      <c r="AT28" s="79">
        <f t="shared" si="28"/>
        <v>0</v>
      </c>
      <c r="AU28" s="79">
        <f t="shared" si="28"/>
        <v>0</v>
      </c>
      <c r="AV28" s="79">
        <f t="shared" si="28"/>
        <v>0</v>
      </c>
      <c r="AW28" s="79">
        <f t="shared" si="28"/>
        <v>0</v>
      </c>
      <c r="AX28" s="79">
        <f t="shared" si="28"/>
        <v>0</v>
      </c>
      <c r="AY28" s="79">
        <f t="shared" si="28"/>
        <v>0</v>
      </c>
      <c r="AZ28" s="79">
        <f t="shared" si="29"/>
        <v>0</v>
      </c>
      <c r="BA28" s="79">
        <f t="shared" si="29"/>
        <v>0</v>
      </c>
      <c r="BB28" s="79">
        <f t="shared" si="29"/>
        <v>0</v>
      </c>
      <c r="BC28" s="79">
        <f t="shared" si="29"/>
        <v>0</v>
      </c>
      <c r="BD28" s="79">
        <f t="shared" si="29"/>
        <v>0</v>
      </c>
      <c r="BE28" s="79">
        <f t="shared" si="29"/>
        <v>0</v>
      </c>
      <c r="BF28" s="80">
        <f t="shared" si="24"/>
        <v>0</v>
      </c>
    </row>
    <row r="29" spans="1:58" x14ac:dyDescent="0.25">
      <c r="A29" s="71">
        <v>13</v>
      </c>
      <c r="B29" s="72">
        <f t="shared" si="25"/>
        <v>46023</v>
      </c>
      <c r="C29" s="73">
        <f t="shared" si="2"/>
        <v>46053</v>
      </c>
      <c r="D29" s="67">
        <f t="shared" si="3"/>
        <v>31</v>
      </c>
      <c r="E29" s="67">
        <f t="shared" si="4"/>
        <v>1</v>
      </c>
      <c r="F29" s="74">
        <f t="shared" si="5"/>
        <v>46038.5</v>
      </c>
      <c r="G29" s="67">
        <f t="shared" si="6"/>
        <v>24312</v>
      </c>
      <c r="H29" s="75">
        <f t="shared" si="7"/>
        <v>1</v>
      </c>
      <c r="I29" s="76">
        <f t="shared" si="8"/>
        <v>1.04</v>
      </c>
      <c r="J29" s="76">
        <f t="shared" si="9"/>
        <v>1.04</v>
      </c>
      <c r="K29" s="67">
        <f t="shared" si="10"/>
        <v>0</v>
      </c>
      <c r="L29" s="67">
        <f t="shared" si="11"/>
        <v>0</v>
      </c>
      <c r="M29" s="77">
        <f t="shared" si="12"/>
        <v>0</v>
      </c>
      <c r="N29" s="76">
        <f t="shared" si="13"/>
        <v>1.04</v>
      </c>
      <c r="O29" s="78">
        <f>'Mod Engine'!$E29</f>
        <v>0.84309628008752735</v>
      </c>
      <c r="P29" s="76">
        <f t="shared" si="14"/>
        <v>1</v>
      </c>
      <c r="Q29" s="76">
        <f t="shared" si="15"/>
        <v>0</v>
      </c>
      <c r="R29" s="76">
        <f t="shared" si="16"/>
        <v>0</v>
      </c>
      <c r="S29" s="76">
        <f t="shared" si="17"/>
        <v>1.031553095636504</v>
      </c>
      <c r="T29" s="76">
        <f t="shared" si="18"/>
        <v>1.031553095636504</v>
      </c>
      <c r="U29" s="76">
        <f t="shared" si="19"/>
        <v>1.04</v>
      </c>
      <c r="V29" s="79">
        <f t="shared" si="26"/>
        <v>8.3333333333333329E-2</v>
      </c>
      <c r="W29" s="79">
        <f t="shared" si="26"/>
        <v>0.16666666666666666</v>
      </c>
      <c r="X29" s="79">
        <f t="shared" si="26"/>
        <v>0.16666666666666666</v>
      </c>
      <c r="Y29" s="79">
        <f t="shared" si="26"/>
        <v>0.16666666666666666</v>
      </c>
      <c r="Z29" s="79">
        <f t="shared" si="26"/>
        <v>0.16666666666666666</v>
      </c>
      <c r="AA29" s="79">
        <f t="shared" si="26"/>
        <v>0.16666666666666666</v>
      </c>
      <c r="AB29" s="79">
        <f t="shared" si="26"/>
        <v>8.3333333333333329E-2</v>
      </c>
      <c r="AC29" s="79">
        <f t="shared" si="26"/>
        <v>0</v>
      </c>
      <c r="AD29" s="79">
        <f t="shared" si="26"/>
        <v>0</v>
      </c>
      <c r="AE29" s="79">
        <f t="shared" si="26"/>
        <v>0</v>
      </c>
      <c r="AF29" s="79">
        <f t="shared" si="27"/>
        <v>0</v>
      </c>
      <c r="AG29" s="79">
        <f t="shared" si="27"/>
        <v>0</v>
      </c>
      <c r="AH29" s="79">
        <f t="shared" si="27"/>
        <v>0</v>
      </c>
      <c r="AI29" s="79">
        <f t="shared" si="27"/>
        <v>0</v>
      </c>
      <c r="AJ29" s="79">
        <f t="shared" si="27"/>
        <v>0</v>
      </c>
      <c r="AK29" s="79">
        <f t="shared" si="27"/>
        <v>0</v>
      </c>
      <c r="AL29" s="79">
        <f t="shared" si="27"/>
        <v>0</v>
      </c>
      <c r="AM29" s="79">
        <f t="shared" si="27"/>
        <v>0</v>
      </c>
      <c r="AN29" s="79">
        <f t="shared" si="27"/>
        <v>0</v>
      </c>
      <c r="AO29" s="79">
        <f t="shared" si="27"/>
        <v>0</v>
      </c>
      <c r="AP29" s="79">
        <f t="shared" si="28"/>
        <v>0</v>
      </c>
      <c r="AQ29" s="79">
        <f t="shared" si="28"/>
        <v>0</v>
      </c>
      <c r="AR29" s="79">
        <f t="shared" si="28"/>
        <v>0</v>
      </c>
      <c r="AS29" s="79">
        <f t="shared" si="28"/>
        <v>0</v>
      </c>
      <c r="AT29" s="79">
        <f t="shared" si="28"/>
        <v>0</v>
      </c>
      <c r="AU29" s="79">
        <f t="shared" si="28"/>
        <v>0</v>
      </c>
      <c r="AV29" s="79">
        <f t="shared" si="28"/>
        <v>0</v>
      </c>
      <c r="AW29" s="79">
        <f t="shared" si="28"/>
        <v>0</v>
      </c>
      <c r="AX29" s="79">
        <f t="shared" si="28"/>
        <v>0</v>
      </c>
      <c r="AY29" s="79">
        <f t="shared" si="28"/>
        <v>0</v>
      </c>
      <c r="AZ29" s="79">
        <f t="shared" si="29"/>
        <v>0</v>
      </c>
      <c r="BA29" s="79">
        <f t="shared" si="29"/>
        <v>0</v>
      </c>
      <c r="BB29" s="79">
        <f t="shared" si="29"/>
        <v>0</v>
      </c>
      <c r="BC29" s="79">
        <f t="shared" si="29"/>
        <v>0</v>
      </c>
      <c r="BD29" s="79">
        <f t="shared" si="29"/>
        <v>0</v>
      </c>
      <c r="BE29" s="79">
        <f t="shared" si="29"/>
        <v>0</v>
      </c>
      <c r="BF29" s="80">
        <f t="shared" si="24"/>
        <v>1.1102230246251565E-16</v>
      </c>
    </row>
    <row r="30" spans="1:58" x14ac:dyDescent="0.25">
      <c r="A30" s="71">
        <v>14</v>
      </c>
      <c r="B30" s="72">
        <f t="shared" si="25"/>
        <v>46054</v>
      </c>
      <c r="C30" s="73">
        <f t="shared" si="2"/>
        <v>46081</v>
      </c>
      <c r="D30" s="67">
        <f t="shared" si="3"/>
        <v>28</v>
      </c>
      <c r="E30" s="67">
        <f t="shared" si="4"/>
        <v>2</v>
      </c>
      <c r="F30" s="74">
        <f t="shared" si="5"/>
        <v>46068</v>
      </c>
      <c r="G30" s="67">
        <f t="shared" si="6"/>
        <v>24313</v>
      </c>
      <c r="H30" s="75">
        <f t="shared" si="7"/>
        <v>1</v>
      </c>
      <c r="I30" s="76">
        <f t="shared" si="8"/>
        <v>1.04</v>
      </c>
      <c r="J30" s="76">
        <f t="shared" si="9"/>
        <v>1.04</v>
      </c>
      <c r="K30" s="67">
        <f t="shared" si="10"/>
        <v>0</v>
      </c>
      <c r="L30" s="67">
        <f t="shared" si="11"/>
        <v>0</v>
      </c>
      <c r="M30" s="77">
        <f t="shared" si="12"/>
        <v>0</v>
      </c>
      <c r="N30" s="76">
        <f t="shared" si="13"/>
        <v>1.04</v>
      </c>
      <c r="O30" s="78">
        <f>'Mod Engine'!$E30</f>
        <v>0.84503282275711156</v>
      </c>
      <c r="P30" s="76">
        <f t="shared" si="14"/>
        <v>1</v>
      </c>
      <c r="Q30" s="76">
        <f t="shared" si="15"/>
        <v>0</v>
      </c>
      <c r="R30" s="76">
        <f t="shared" si="16"/>
        <v>0</v>
      </c>
      <c r="S30" s="76">
        <f t="shared" si="17"/>
        <v>1.0339225125498777</v>
      </c>
      <c r="T30" s="76">
        <f t="shared" si="18"/>
        <v>1.0339225125498777</v>
      </c>
      <c r="U30" s="76">
        <f t="shared" si="19"/>
        <v>1.04</v>
      </c>
      <c r="V30" s="79">
        <f t="shared" si="26"/>
        <v>0</v>
      </c>
      <c r="W30" s="79">
        <f t="shared" si="26"/>
        <v>8.3333333333333329E-2</v>
      </c>
      <c r="X30" s="79">
        <f t="shared" si="26"/>
        <v>0.16666666666666666</v>
      </c>
      <c r="Y30" s="79">
        <f t="shared" si="26"/>
        <v>0.16666666666666666</v>
      </c>
      <c r="Z30" s="79">
        <f t="shared" si="26"/>
        <v>0.16666666666666666</v>
      </c>
      <c r="AA30" s="79">
        <f t="shared" si="26"/>
        <v>0.16666666666666666</v>
      </c>
      <c r="AB30" s="79">
        <f t="shared" si="26"/>
        <v>0.16666666666666666</v>
      </c>
      <c r="AC30" s="79">
        <f t="shared" si="26"/>
        <v>8.3333333333333329E-2</v>
      </c>
      <c r="AD30" s="79">
        <f t="shared" si="26"/>
        <v>0</v>
      </c>
      <c r="AE30" s="79">
        <f t="shared" si="26"/>
        <v>0</v>
      </c>
      <c r="AF30" s="79">
        <f t="shared" si="27"/>
        <v>0</v>
      </c>
      <c r="AG30" s="79">
        <f t="shared" si="27"/>
        <v>0</v>
      </c>
      <c r="AH30" s="79">
        <f t="shared" si="27"/>
        <v>0</v>
      </c>
      <c r="AI30" s="79">
        <f t="shared" si="27"/>
        <v>0</v>
      </c>
      <c r="AJ30" s="79">
        <f t="shared" si="27"/>
        <v>0</v>
      </c>
      <c r="AK30" s="79">
        <f t="shared" si="27"/>
        <v>0</v>
      </c>
      <c r="AL30" s="79">
        <f t="shared" si="27"/>
        <v>0</v>
      </c>
      <c r="AM30" s="79">
        <f t="shared" si="27"/>
        <v>0</v>
      </c>
      <c r="AN30" s="79">
        <f t="shared" si="27"/>
        <v>0</v>
      </c>
      <c r="AO30" s="79">
        <f t="shared" si="27"/>
        <v>0</v>
      </c>
      <c r="AP30" s="79">
        <f t="shared" si="28"/>
        <v>0</v>
      </c>
      <c r="AQ30" s="79">
        <f t="shared" si="28"/>
        <v>0</v>
      </c>
      <c r="AR30" s="79">
        <f t="shared" si="28"/>
        <v>0</v>
      </c>
      <c r="AS30" s="79">
        <f t="shared" si="28"/>
        <v>0</v>
      </c>
      <c r="AT30" s="79">
        <f t="shared" si="28"/>
        <v>0</v>
      </c>
      <c r="AU30" s="79">
        <f t="shared" si="28"/>
        <v>0</v>
      </c>
      <c r="AV30" s="79">
        <f t="shared" si="28"/>
        <v>0</v>
      </c>
      <c r="AW30" s="79">
        <f t="shared" si="28"/>
        <v>0</v>
      </c>
      <c r="AX30" s="79">
        <f t="shared" si="28"/>
        <v>0</v>
      </c>
      <c r="AY30" s="79">
        <f t="shared" si="28"/>
        <v>0</v>
      </c>
      <c r="AZ30" s="79">
        <f t="shared" si="29"/>
        <v>0</v>
      </c>
      <c r="BA30" s="79">
        <f t="shared" si="29"/>
        <v>0</v>
      </c>
      <c r="BB30" s="79">
        <f t="shared" si="29"/>
        <v>0</v>
      </c>
      <c r="BC30" s="79">
        <f t="shared" si="29"/>
        <v>0</v>
      </c>
      <c r="BD30" s="79">
        <f t="shared" si="29"/>
        <v>0</v>
      </c>
      <c r="BE30" s="79">
        <f t="shared" si="29"/>
        <v>0</v>
      </c>
      <c r="BF30" s="80">
        <f t="shared" si="24"/>
        <v>1.1102230246251565E-16</v>
      </c>
    </row>
    <row r="31" spans="1:58" x14ac:dyDescent="0.25">
      <c r="A31" s="71">
        <v>15</v>
      </c>
      <c r="B31" s="72">
        <f t="shared" si="25"/>
        <v>46082</v>
      </c>
      <c r="C31" s="73">
        <f t="shared" si="2"/>
        <v>46112</v>
      </c>
      <c r="D31" s="67">
        <f t="shared" si="3"/>
        <v>31</v>
      </c>
      <c r="E31" s="67">
        <f t="shared" si="4"/>
        <v>3</v>
      </c>
      <c r="F31" s="74">
        <f t="shared" si="5"/>
        <v>46097.5</v>
      </c>
      <c r="G31" s="67">
        <f t="shared" si="6"/>
        <v>24314</v>
      </c>
      <c r="H31" s="75">
        <f t="shared" si="7"/>
        <v>1</v>
      </c>
      <c r="I31" s="76">
        <f t="shared" si="8"/>
        <v>1.04</v>
      </c>
      <c r="J31" s="76">
        <f t="shared" si="9"/>
        <v>1.04</v>
      </c>
      <c r="K31" s="67">
        <f t="shared" si="10"/>
        <v>0</v>
      </c>
      <c r="L31" s="67">
        <f t="shared" si="11"/>
        <v>0</v>
      </c>
      <c r="M31" s="77">
        <f t="shared" si="12"/>
        <v>0</v>
      </c>
      <c r="N31" s="76">
        <f t="shared" si="13"/>
        <v>1.04</v>
      </c>
      <c r="O31" s="78">
        <f>'Mod Engine'!$E31</f>
        <v>0.84696936542669587</v>
      </c>
      <c r="P31" s="76">
        <f t="shared" si="14"/>
        <v>1</v>
      </c>
      <c r="Q31" s="76">
        <f t="shared" si="15"/>
        <v>0</v>
      </c>
      <c r="R31" s="76">
        <f t="shared" si="16"/>
        <v>0</v>
      </c>
      <c r="S31" s="76">
        <f t="shared" si="17"/>
        <v>1.0362919294632515</v>
      </c>
      <c r="T31" s="76">
        <f t="shared" si="18"/>
        <v>1.0362919294632515</v>
      </c>
      <c r="U31" s="76">
        <f t="shared" si="19"/>
        <v>1.04</v>
      </c>
      <c r="V31" s="79">
        <f t="shared" si="26"/>
        <v>0</v>
      </c>
      <c r="W31" s="79">
        <f t="shared" si="26"/>
        <v>0</v>
      </c>
      <c r="X31" s="79">
        <f t="shared" si="26"/>
        <v>8.3333333333333329E-2</v>
      </c>
      <c r="Y31" s="79">
        <f t="shared" si="26"/>
        <v>0.16666666666666666</v>
      </c>
      <c r="Z31" s="79">
        <f t="shared" si="26"/>
        <v>0.16666666666666666</v>
      </c>
      <c r="AA31" s="79">
        <f t="shared" si="26"/>
        <v>0.16666666666666666</v>
      </c>
      <c r="AB31" s="79">
        <f t="shared" si="26"/>
        <v>0.16666666666666666</v>
      </c>
      <c r="AC31" s="79">
        <f t="shared" si="26"/>
        <v>0.16666666666666666</v>
      </c>
      <c r="AD31" s="79">
        <f t="shared" si="26"/>
        <v>8.3333333333333329E-2</v>
      </c>
      <c r="AE31" s="79">
        <f t="shared" si="26"/>
        <v>0</v>
      </c>
      <c r="AF31" s="79">
        <f t="shared" si="27"/>
        <v>0</v>
      </c>
      <c r="AG31" s="79">
        <f t="shared" si="27"/>
        <v>0</v>
      </c>
      <c r="AH31" s="79">
        <f t="shared" si="27"/>
        <v>0</v>
      </c>
      <c r="AI31" s="79">
        <f t="shared" si="27"/>
        <v>0</v>
      </c>
      <c r="AJ31" s="79">
        <f t="shared" si="27"/>
        <v>0</v>
      </c>
      <c r="AK31" s="79">
        <f t="shared" si="27"/>
        <v>0</v>
      </c>
      <c r="AL31" s="79">
        <f t="shared" si="27"/>
        <v>0</v>
      </c>
      <c r="AM31" s="79">
        <f t="shared" si="27"/>
        <v>0</v>
      </c>
      <c r="AN31" s="79">
        <f t="shared" si="27"/>
        <v>0</v>
      </c>
      <c r="AO31" s="79">
        <f t="shared" si="27"/>
        <v>0</v>
      </c>
      <c r="AP31" s="79">
        <f t="shared" si="28"/>
        <v>0</v>
      </c>
      <c r="AQ31" s="79">
        <f t="shared" si="28"/>
        <v>0</v>
      </c>
      <c r="AR31" s="79">
        <f t="shared" si="28"/>
        <v>0</v>
      </c>
      <c r="AS31" s="79">
        <f t="shared" si="28"/>
        <v>0</v>
      </c>
      <c r="AT31" s="79">
        <f t="shared" si="28"/>
        <v>0</v>
      </c>
      <c r="AU31" s="79">
        <f t="shared" si="28"/>
        <v>0</v>
      </c>
      <c r="AV31" s="79">
        <f t="shared" si="28"/>
        <v>0</v>
      </c>
      <c r="AW31" s="79">
        <f t="shared" si="28"/>
        <v>0</v>
      </c>
      <c r="AX31" s="79">
        <f t="shared" si="28"/>
        <v>0</v>
      </c>
      <c r="AY31" s="79">
        <f t="shared" si="28"/>
        <v>0</v>
      </c>
      <c r="AZ31" s="79">
        <f t="shared" si="29"/>
        <v>0</v>
      </c>
      <c r="BA31" s="79">
        <f t="shared" si="29"/>
        <v>0</v>
      </c>
      <c r="BB31" s="79">
        <f t="shared" si="29"/>
        <v>0</v>
      </c>
      <c r="BC31" s="79">
        <f t="shared" si="29"/>
        <v>0</v>
      </c>
      <c r="BD31" s="79">
        <f t="shared" si="29"/>
        <v>0</v>
      </c>
      <c r="BE31" s="79">
        <f t="shared" si="29"/>
        <v>0</v>
      </c>
      <c r="BF31" s="80">
        <f t="shared" si="24"/>
        <v>1.1102230246251565E-16</v>
      </c>
    </row>
    <row r="32" spans="1:58" x14ac:dyDescent="0.25">
      <c r="A32" s="71">
        <v>16</v>
      </c>
      <c r="B32" s="72">
        <f t="shared" si="25"/>
        <v>46113</v>
      </c>
      <c r="C32" s="73">
        <f t="shared" si="2"/>
        <v>46142</v>
      </c>
      <c r="D32" s="67">
        <f t="shared" si="3"/>
        <v>30</v>
      </c>
      <c r="E32" s="67">
        <f t="shared" si="4"/>
        <v>4</v>
      </c>
      <c r="F32" s="74">
        <f t="shared" si="5"/>
        <v>46128</v>
      </c>
      <c r="G32" s="67">
        <f t="shared" si="6"/>
        <v>24315</v>
      </c>
      <c r="H32" s="75">
        <f t="shared" si="7"/>
        <v>1</v>
      </c>
      <c r="I32" s="76">
        <f t="shared" si="8"/>
        <v>1.04</v>
      </c>
      <c r="J32" s="76">
        <f t="shared" si="9"/>
        <v>1.04</v>
      </c>
      <c r="K32" s="67">
        <f t="shared" si="10"/>
        <v>0</v>
      </c>
      <c r="L32" s="67">
        <f t="shared" si="11"/>
        <v>0</v>
      </c>
      <c r="M32" s="77">
        <f t="shared" si="12"/>
        <v>0</v>
      </c>
      <c r="N32" s="76">
        <f t="shared" si="13"/>
        <v>1.04</v>
      </c>
      <c r="O32" s="78">
        <f>'Mod Engine'!$E32</f>
        <v>0.84897155361050325</v>
      </c>
      <c r="P32" s="76">
        <f t="shared" si="14"/>
        <v>1</v>
      </c>
      <c r="Q32" s="76">
        <f t="shared" si="15"/>
        <v>0</v>
      </c>
      <c r="R32" s="76">
        <f t="shared" si="16"/>
        <v>0</v>
      </c>
      <c r="S32" s="76">
        <f t="shared" si="17"/>
        <v>1.0387416655940276</v>
      </c>
      <c r="T32" s="76">
        <f t="shared" si="18"/>
        <v>1.0387416655940276</v>
      </c>
      <c r="U32" s="76">
        <f t="shared" si="19"/>
        <v>1.04</v>
      </c>
      <c r="V32" s="79">
        <f t="shared" si="26"/>
        <v>0</v>
      </c>
      <c r="W32" s="79">
        <f t="shared" si="26"/>
        <v>0</v>
      </c>
      <c r="X32" s="79">
        <f t="shared" si="26"/>
        <v>0</v>
      </c>
      <c r="Y32" s="79">
        <f t="shared" si="26"/>
        <v>8.3333333333333329E-2</v>
      </c>
      <c r="Z32" s="79">
        <f t="shared" si="26"/>
        <v>0.16666666666666666</v>
      </c>
      <c r="AA32" s="79">
        <f t="shared" si="26"/>
        <v>0.16666666666666666</v>
      </c>
      <c r="AB32" s="79">
        <f t="shared" si="26"/>
        <v>0.16666666666666666</v>
      </c>
      <c r="AC32" s="79">
        <f t="shared" si="26"/>
        <v>0.16666666666666666</v>
      </c>
      <c r="AD32" s="79">
        <f t="shared" si="26"/>
        <v>0.16666666666666666</v>
      </c>
      <c r="AE32" s="79">
        <f t="shared" si="26"/>
        <v>8.3333333333333329E-2</v>
      </c>
      <c r="AF32" s="79">
        <f t="shared" si="27"/>
        <v>0</v>
      </c>
      <c r="AG32" s="79">
        <f t="shared" si="27"/>
        <v>0</v>
      </c>
      <c r="AH32" s="79">
        <f t="shared" si="27"/>
        <v>0</v>
      </c>
      <c r="AI32" s="79">
        <f t="shared" si="27"/>
        <v>0</v>
      </c>
      <c r="AJ32" s="79">
        <f t="shared" si="27"/>
        <v>0</v>
      </c>
      <c r="AK32" s="79">
        <f t="shared" si="27"/>
        <v>0</v>
      </c>
      <c r="AL32" s="79">
        <f t="shared" si="27"/>
        <v>0</v>
      </c>
      <c r="AM32" s="79">
        <f t="shared" si="27"/>
        <v>0</v>
      </c>
      <c r="AN32" s="79">
        <f t="shared" si="27"/>
        <v>0</v>
      </c>
      <c r="AO32" s="79">
        <f t="shared" si="27"/>
        <v>0</v>
      </c>
      <c r="AP32" s="79">
        <f t="shared" si="28"/>
        <v>0</v>
      </c>
      <c r="AQ32" s="79">
        <f t="shared" si="28"/>
        <v>0</v>
      </c>
      <c r="AR32" s="79">
        <f t="shared" si="28"/>
        <v>0</v>
      </c>
      <c r="AS32" s="79">
        <f t="shared" si="28"/>
        <v>0</v>
      </c>
      <c r="AT32" s="79">
        <f t="shared" si="28"/>
        <v>0</v>
      </c>
      <c r="AU32" s="79">
        <f t="shared" si="28"/>
        <v>0</v>
      </c>
      <c r="AV32" s="79">
        <f t="shared" si="28"/>
        <v>0</v>
      </c>
      <c r="AW32" s="79">
        <f t="shared" si="28"/>
        <v>0</v>
      </c>
      <c r="AX32" s="79">
        <f t="shared" si="28"/>
        <v>0</v>
      </c>
      <c r="AY32" s="79">
        <f t="shared" si="28"/>
        <v>0</v>
      </c>
      <c r="AZ32" s="79">
        <f t="shared" si="29"/>
        <v>0</v>
      </c>
      <c r="BA32" s="79">
        <f t="shared" si="29"/>
        <v>0</v>
      </c>
      <c r="BB32" s="79">
        <f t="shared" si="29"/>
        <v>0</v>
      </c>
      <c r="BC32" s="79">
        <f t="shared" si="29"/>
        <v>0</v>
      </c>
      <c r="BD32" s="79">
        <f t="shared" si="29"/>
        <v>0</v>
      </c>
      <c r="BE32" s="79">
        <f t="shared" si="29"/>
        <v>0</v>
      </c>
      <c r="BF32" s="80">
        <f t="shared" si="24"/>
        <v>1.1102230246251565E-16</v>
      </c>
    </row>
    <row r="33" spans="1:58" x14ac:dyDescent="0.25">
      <c r="A33" s="71">
        <v>17</v>
      </c>
      <c r="B33" s="72">
        <f t="shared" si="25"/>
        <v>46143</v>
      </c>
      <c r="C33" s="73">
        <f t="shared" si="2"/>
        <v>46173</v>
      </c>
      <c r="D33" s="67">
        <f t="shared" si="3"/>
        <v>31</v>
      </c>
      <c r="E33" s="67">
        <f t="shared" si="4"/>
        <v>5</v>
      </c>
      <c r="F33" s="74">
        <f t="shared" si="5"/>
        <v>46158.5</v>
      </c>
      <c r="G33" s="67">
        <f t="shared" si="6"/>
        <v>24316</v>
      </c>
      <c r="H33" s="75">
        <f t="shared" si="7"/>
        <v>1</v>
      </c>
      <c r="I33" s="76">
        <f t="shared" si="8"/>
        <v>1.04</v>
      </c>
      <c r="J33" s="76">
        <f t="shared" si="9"/>
        <v>1.04</v>
      </c>
      <c r="K33" s="67">
        <f t="shared" si="10"/>
        <v>0</v>
      </c>
      <c r="L33" s="67">
        <f t="shared" si="11"/>
        <v>0</v>
      </c>
      <c r="M33" s="77">
        <f t="shared" si="12"/>
        <v>0</v>
      </c>
      <c r="N33" s="76">
        <f t="shared" si="13"/>
        <v>1.04</v>
      </c>
      <c r="O33" s="78">
        <f>'Mod Engine'!$E33</f>
        <v>0.85097374179431073</v>
      </c>
      <c r="P33" s="76">
        <f t="shared" si="14"/>
        <v>1</v>
      </c>
      <c r="Q33" s="76">
        <f t="shared" si="15"/>
        <v>0</v>
      </c>
      <c r="R33" s="76">
        <f t="shared" si="16"/>
        <v>0</v>
      </c>
      <c r="S33" s="76">
        <f t="shared" si="17"/>
        <v>1.0411914017248036</v>
      </c>
      <c r="T33" s="76">
        <f t="shared" si="18"/>
        <v>1.0411914017248036</v>
      </c>
      <c r="U33" s="76">
        <f t="shared" si="19"/>
        <v>1.04</v>
      </c>
      <c r="V33" s="79">
        <f t="shared" si="26"/>
        <v>0</v>
      </c>
      <c r="W33" s="79">
        <f t="shared" si="26"/>
        <v>0</v>
      </c>
      <c r="X33" s="79">
        <f t="shared" si="26"/>
        <v>0</v>
      </c>
      <c r="Y33" s="79">
        <f t="shared" si="26"/>
        <v>0</v>
      </c>
      <c r="Z33" s="79">
        <f t="shared" si="26"/>
        <v>8.3333333333333329E-2</v>
      </c>
      <c r="AA33" s="79">
        <f t="shared" si="26"/>
        <v>0.16666666666666666</v>
      </c>
      <c r="AB33" s="79">
        <f t="shared" si="26"/>
        <v>0.16666666666666666</v>
      </c>
      <c r="AC33" s="79">
        <f t="shared" si="26"/>
        <v>0.16666666666666666</v>
      </c>
      <c r="AD33" s="79">
        <f t="shared" si="26"/>
        <v>0.16666666666666666</v>
      </c>
      <c r="AE33" s="79">
        <f t="shared" si="26"/>
        <v>0.16666666666666666</v>
      </c>
      <c r="AF33" s="79">
        <f t="shared" si="27"/>
        <v>8.3333333333333329E-2</v>
      </c>
      <c r="AG33" s="79">
        <f t="shared" si="27"/>
        <v>0</v>
      </c>
      <c r="AH33" s="79">
        <f t="shared" si="27"/>
        <v>0</v>
      </c>
      <c r="AI33" s="79">
        <f t="shared" si="27"/>
        <v>0</v>
      </c>
      <c r="AJ33" s="79">
        <f t="shared" si="27"/>
        <v>0</v>
      </c>
      <c r="AK33" s="79">
        <f t="shared" si="27"/>
        <v>0</v>
      </c>
      <c r="AL33" s="79">
        <f t="shared" si="27"/>
        <v>0</v>
      </c>
      <c r="AM33" s="79">
        <f t="shared" si="27"/>
        <v>0</v>
      </c>
      <c r="AN33" s="79">
        <f t="shared" si="27"/>
        <v>0</v>
      </c>
      <c r="AO33" s="79">
        <f t="shared" si="27"/>
        <v>0</v>
      </c>
      <c r="AP33" s="79">
        <f t="shared" si="28"/>
        <v>0</v>
      </c>
      <c r="AQ33" s="79">
        <f t="shared" si="28"/>
        <v>0</v>
      </c>
      <c r="AR33" s="79">
        <f t="shared" si="28"/>
        <v>0</v>
      </c>
      <c r="AS33" s="79">
        <f t="shared" si="28"/>
        <v>0</v>
      </c>
      <c r="AT33" s="79">
        <f t="shared" si="28"/>
        <v>0</v>
      </c>
      <c r="AU33" s="79">
        <f t="shared" si="28"/>
        <v>0</v>
      </c>
      <c r="AV33" s="79">
        <f t="shared" si="28"/>
        <v>0</v>
      </c>
      <c r="AW33" s="79">
        <f t="shared" si="28"/>
        <v>0</v>
      </c>
      <c r="AX33" s="79">
        <f t="shared" si="28"/>
        <v>0</v>
      </c>
      <c r="AY33" s="79">
        <f t="shared" si="28"/>
        <v>0</v>
      </c>
      <c r="AZ33" s="79">
        <f t="shared" si="29"/>
        <v>0</v>
      </c>
      <c r="BA33" s="79">
        <f t="shared" si="29"/>
        <v>0</v>
      </c>
      <c r="BB33" s="79">
        <f t="shared" si="29"/>
        <v>0</v>
      </c>
      <c r="BC33" s="79">
        <f t="shared" si="29"/>
        <v>0</v>
      </c>
      <c r="BD33" s="79">
        <f t="shared" si="29"/>
        <v>0</v>
      </c>
      <c r="BE33" s="79">
        <f t="shared" si="29"/>
        <v>0</v>
      </c>
      <c r="BF33" s="80">
        <f t="shared" si="24"/>
        <v>1.1102230246251565E-16</v>
      </c>
    </row>
    <row r="34" spans="1:58" x14ac:dyDescent="0.25">
      <c r="A34" s="71">
        <v>18</v>
      </c>
      <c r="B34" s="72">
        <f t="shared" si="25"/>
        <v>46174</v>
      </c>
      <c r="C34" s="73">
        <f t="shared" si="2"/>
        <v>46203</v>
      </c>
      <c r="D34" s="67">
        <f t="shared" si="3"/>
        <v>30</v>
      </c>
      <c r="E34" s="67">
        <f t="shared" si="4"/>
        <v>6</v>
      </c>
      <c r="F34" s="74">
        <f t="shared" si="5"/>
        <v>46189</v>
      </c>
      <c r="G34" s="67">
        <f t="shared" si="6"/>
        <v>24317</v>
      </c>
      <c r="H34" s="75">
        <f t="shared" si="7"/>
        <v>1</v>
      </c>
      <c r="I34" s="76">
        <f t="shared" si="8"/>
        <v>1.04</v>
      </c>
      <c r="J34" s="76">
        <f t="shared" si="9"/>
        <v>1.04</v>
      </c>
      <c r="K34" s="67">
        <f t="shared" si="10"/>
        <v>0</v>
      </c>
      <c r="L34" s="67">
        <f t="shared" si="11"/>
        <v>0</v>
      </c>
      <c r="M34" s="77">
        <f t="shared" si="12"/>
        <v>0</v>
      </c>
      <c r="N34" s="76">
        <f t="shared" si="13"/>
        <v>1.04</v>
      </c>
      <c r="O34" s="78">
        <f>'Mod Engine'!$E34</f>
        <v>0.85297592997811811</v>
      </c>
      <c r="P34" s="76">
        <f t="shared" si="14"/>
        <v>1</v>
      </c>
      <c r="Q34" s="76">
        <f t="shared" si="15"/>
        <v>0</v>
      </c>
      <c r="R34" s="76">
        <f t="shared" si="16"/>
        <v>0</v>
      </c>
      <c r="S34" s="76">
        <f t="shared" si="17"/>
        <v>1.0436411378555797</v>
      </c>
      <c r="T34" s="76">
        <f t="shared" si="18"/>
        <v>1.0436411378555797</v>
      </c>
      <c r="U34" s="76">
        <f t="shared" si="19"/>
        <v>1.04</v>
      </c>
      <c r="V34" s="79">
        <f t="shared" si="26"/>
        <v>0</v>
      </c>
      <c r="W34" s="79">
        <f t="shared" si="26"/>
        <v>0</v>
      </c>
      <c r="X34" s="79">
        <f t="shared" si="26"/>
        <v>0</v>
      </c>
      <c r="Y34" s="79">
        <f t="shared" si="26"/>
        <v>0</v>
      </c>
      <c r="Z34" s="79">
        <f t="shared" si="26"/>
        <v>0</v>
      </c>
      <c r="AA34" s="79">
        <f t="shared" si="26"/>
        <v>8.3333333333333329E-2</v>
      </c>
      <c r="AB34" s="79">
        <f t="shared" si="26"/>
        <v>0.16666666666666666</v>
      </c>
      <c r="AC34" s="79">
        <f t="shared" si="26"/>
        <v>0.16666666666666666</v>
      </c>
      <c r="AD34" s="79">
        <f t="shared" si="26"/>
        <v>0.16666666666666666</v>
      </c>
      <c r="AE34" s="79">
        <f t="shared" si="26"/>
        <v>0.16666666666666666</v>
      </c>
      <c r="AF34" s="79">
        <f t="shared" si="27"/>
        <v>0.16666666666666666</v>
      </c>
      <c r="AG34" s="79">
        <f t="shared" si="27"/>
        <v>8.3333333333333329E-2</v>
      </c>
      <c r="AH34" s="79">
        <f t="shared" si="27"/>
        <v>0</v>
      </c>
      <c r="AI34" s="79">
        <f t="shared" si="27"/>
        <v>0</v>
      </c>
      <c r="AJ34" s="79">
        <f t="shared" si="27"/>
        <v>0</v>
      </c>
      <c r="AK34" s="79">
        <f t="shared" si="27"/>
        <v>0</v>
      </c>
      <c r="AL34" s="79">
        <f t="shared" si="27"/>
        <v>0</v>
      </c>
      <c r="AM34" s="79">
        <f t="shared" si="27"/>
        <v>0</v>
      </c>
      <c r="AN34" s="79">
        <f t="shared" si="27"/>
        <v>0</v>
      </c>
      <c r="AO34" s="79">
        <f t="shared" si="27"/>
        <v>0</v>
      </c>
      <c r="AP34" s="79">
        <f t="shared" si="28"/>
        <v>0</v>
      </c>
      <c r="AQ34" s="79">
        <f t="shared" si="28"/>
        <v>0</v>
      </c>
      <c r="AR34" s="79">
        <f t="shared" si="28"/>
        <v>0</v>
      </c>
      <c r="AS34" s="79">
        <f t="shared" si="28"/>
        <v>0</v>
      </c>
      <c r="AT34" s="79">
        <f t="shared" si="28"/>
        <v>0</v>
      </c>
      <c r="AU34" s="79">
        <f t="shared" si="28"/>
        <v>0</v>
      </c>
      <c r="AV34" s="79">
        <f t="shared" si="28"/>
        <v>0</v>
      </c>
      <c r="AW34" s="79">
        <f t="shared" si="28"/>
        <v>0</v>
      </c>
      <c r="AX34" s="79">
        <f t="shared" si="28"/>
        <v>0</v>
      </c>
      <c r="AY34" s="79">
        <f t="shared" si="28"/>
        <v>0</v>
      </c>
      <c r="AZ34" s="79">
        <f t="shared" si="29"/>
        <v>0</v>
      </c>
      <c r="BA34" s="79">
        <f t="shared" si="29"/>
        <v>0</v>
      </c>
      <c r="BB34" s="79">
        <f t="shared" si="29"/>
        <v>0</v>
      </c>
      <c r="BC34" s="79">
        <f t="shared" si="29"/>
        <v>0</v>
      </c>
      <c r="BD34" s="79">
        <f t="shared" si="29"/>
        <v>0</v>
      </c>
      <c r="BE34" s="79">
        <f t="shared" si="29"/>
        <v>0</v>
      </c>
      <c r="BF34" s="80">
        <f t="shared" si="24"/>
        <v>1.1102230246251565E-16</v>
      </c>
    </row>
    <row r="35" spans="1:58" x14ac:dyDescent="0.25">
      <c r="A35" s="71">
        <v>19</v>
      </c>
      <c r="B35" s="72">
        <f t="shared" si="25"/>
        <v>46204</v>
      </c>
      <c r="C35" s="73">
        <f t="shared" si="2"/>
        <v>46234</v>
      </c>
      <c r="D35" s="67">
        <f t="shared" si="3"/>
        <v>31</v>
      </c>
      <c r="E35" s="67">
        <f t="shared" si="4"/>
        <v>7</v>
      </c>
      <c r="F35" s="74">
        <f t="shared" si="5"/>
        <v>46219.5</v>
      </c>
      <c r="G35" s="67">
        <f t="shared" si="6"/>
        <v>24318</v>
      </c>
      <c r="H35" s="75">
        <f t="shared" si="7"/>
        <v>1</v>
      </c>
      <c r="I35" s="76">
        <f t="shared" si="8"/>
        <v>1.04</v>
      </c>
      <c r="J35" s="76">
        <f t="shared" si="9"/>
        <v>1.1024</v>
      </c>
      <c r="K35" s="67">
        <f t="shared" si="10"/>
        <v>1</v>
      </c>
      <c r="L35" s="67">
        <f t="shared" si="11"/>
        <v>31</v>
      </c>
      <c r="M35" s="77">
        <f t="shared" si="12"/>
        <v>1</v>
      </c>
      <c r="N35" s="76">
        <f t="shared" si="13"/>
        <v>1.1024</v>
      </c>
      <c r="O35" s="78">
        <f>'Mod Engine'!$E35</f>
        <v>0.85497811816192559</v>
      </c>
      <c r="P35" s="76">
        <f t="shared" si="14"/>
        <v>0.91666666666666663</v>
      </c>
      <c r="Q35" s="76">
        <f t="shared" si="15"/>
        <v>8.333333333333337E-2</v>
      </c>
      <c r="R35" s="76">
        <f t="shared" si="16"/>
        <v>0</v>
      </c>
      <c r="S35" s="76">
        <f t="shared" si="17"/>
        <v>1.1088563264255376</v>
      </c>
      <c r="T35" s="76">
        <f t="shared" si="18"/>
        <v>1.1088563264255376</v>
      </c>
      <c r="U35" s="76">
        <f t="shared" si="19"/>
        <v>1.1024</v>
      </c>
      <c r="V35" s="79">
        <f t="shared" si="26"/>
        <v>0</v>
      </c>
      <c r="W35" s="79">
        <f t="shared" si="26"/>
        <v>0</v>
      </c>
      <c r="X35" s="79">
        <f t="shared" si="26"/>
        <v>0</v>
      </c>
      <c r="Y35" s="79">
        <f t="shared" si="26"/>
        <v>0</v>
      </c>
      <c r="Z35" s="79">
        <f t="shared" si="26"/>
        <v>0</v>
      </c>
      <c r="AA35" s="79">
        <f t="shared" si="26"/>
        <v>0</v>
      </c>
      <c r="AB35" s="79">
        <f t="shared" si="26"/>
        <v>8.3333333333333329E-2</v>
      </c>
      <c r="AC35" s="79">
        <f t="shared" si="26"/>
        <v>0.16666666666666666</v>
      </c>
      <c r="AD35" s="79">
        <f t="shared" si="26"/>
        <v>0.16666666666666666</v>
      </c>
      <c r="AE35" s="79">
        <f t="shared" si="26"/>
        <v>0.16666666666666666</v>
      </c>
      <c r="AF35" s="79">
        <f t="shared" si="27"/>
        <v>0.16666666666666666</v>
      </c>
      <c r="AG35" s="79">
        <f t="shared" si="27"/>
        <v>0.16666666666666666</v>
      </c>
      <c r="AH35" s="79">
        <f t="shared" si="27"/>
        <v>8.3333333333333329E-2</v>
      </c>
      <c r="AI35" s="79">
        <f t="shared" si="27"/>
        <v>0</v>
      </c>
      <c r="AJ35" s="79">
        <f t="shared" si="27"/>
        <v>0</v>
      </c>
      <c r="AK35" s="79">
        <f t="shared" si="27"/>
        <v>0</v>
      </c>
      <c r="AL35" s="79">
        <f t="shared" si="27"/>
        <v>0</v>
      </c>
      <c r="AM35" s="79">
        <f t="shared" si="27"/>
        <v>0</v>
      </c>
      <c r="AN35" s="79">
        <f t="shared" si="27"/>
        <v>0</v>
      </c>
      <c r="AO35" s="79">
        <f t="shared" si="27"/>
        <v>0</v>
      </c>
      <c r="AP35" s="79">
        <f t="shared" si="28"/>
        <v>0</v>
      </c>
      <c r="AQ35" s="79">
        <f t="shared" si="28"/>
        <v>0</v>
      </c>
      <c r="AR35" s="79">
        <f t="shared" si="28"/>
        <v>0</v>
      </c>
      <c r="AS35" s="79">
        <f t="shared" si="28"/>
        <v>0</v>
      </c>
      <c r="AT35" s="79">
        <f t="shared" si="28"/>
        <v>0</v>
      </c>
      <c r="AU35" s="79">
        <f t="shared" si="28"/>
        <v>0</v>
      </c>
      <c r="AV35" s="79">
        <f t="shared" si="28"/>
        <v>0</v>
      </c>
      <c r="AW35" s="79">
        <f t="shared" si="28"/>
        <v>0</v>
      </c>
      <c r="AX35" s="79">
        <f t="shared" si="28"/>
        <v>0</v>
      </c>
      <c r="AY35" s="79">
        <f t="shared" si="28"/>
        <v>0</v>
      </c>
      <c r="AZ35" s="79">
        <f t="shared" si="29"/>
        <v>0</v>
      </c>
      <c r="BA35" s="79">
        <f t="shared" si="29"/>
        <v>0</v>
      </c>
      <c r="BB35" s="79">
        <f t="shared" si="29"/>
        <v>0</v>
      </c>
      <c r="BC35" s="79">
        <f t="shared" si="29"/>
        <v>0</v>
      </c>
      <c r="BD35" s="79">
        <f t="shared" si="29"/>
        <v>0</v>
      </c>
      <c r="BE35" s="79">
        <f t="shared" si="29"/>
        <v>0</v>
      </c>
      <c r="BF35" s="80">
        <f t="shared" si="24"/>
        <v>1.1102230246251565E-16</v>
      </c>
    </row>
    <row r="36" spans="1:58" x14ac:dyDescent="0.25">
      <c r="A36" s="71">
        <v>20</v>
      </c>
      <c r="B36" s="72">
        <f t="shared" si="25"/>
        <v>46235</v>
      </c>
      <c r="C36" s="73">
        <f t="shared" si="2"/>
        <v>46265</v>
      </c>
      <c r="D36" s="67">
        <f t="shared" si="3"/>
        <v>31</v>
      </c>
      <c r="E36" s="67">
        <f t="shared" si="4"/>
        <v>8</v>
      </c>
      <c r="F36" s="74">
        <f t="shared" si="5"/>
        <v>46250.5</v>
      </c>
      <c r="G36" s="67">
        <f t="shared" si="6"/>
        <v>24319</v>
      </c>
      <c r="H36" s="75">
        <f t="shared" si="7"/>
        <v>1</v>
      </c>
      <c r="I36" s="76">
        <f t="shared" si="8"/>
        <v>1.1024</v>
      </c>
      <c r="J36" s="76">
        <f t="shared" si="9"/>
        <v>1.1024</v>
      </c>
      <c r="K36" s="67">
        <f t="shared" si="10"/>
        <v>0</v>
      </c>
      <c r="L36" s="67">
        <f t="shared" si="11"/>
        <v>0</v>
      </c>
      <c r="M36" s="77">
        <f t="shared" si="12"/>
        <v>0</v>
      </c>
      <c r="N36" s="76">
        <f t="shared" si="13"/>
        <v>1.1024</v>
      </c>
      <c r="O36" s="78">
        <f>'Mod Engine'!$E36</f>
        <v>0.85701312910284466</v>
      </c>
      <c r="P36" s="76">
        <f t="shared" si="14"/>
        <v>0.75</v>
      </c>
      <c r="Q36" s="76">
        <f t="shared" si="15"/>
        <v>0.25</v>
      </c>
      <c r="R36" s="76">
        <f t="shared" si="16"/>
        <v>0</v>
      </c>
      <c r="S36" s="76">
        <f t="shared" si="17"/>
        <v>1.1114956159093834</v>
      </c>
      <c r="T36" s="76">
        <f t="shared" si="18"/>
        <v>1.1114956159093834</v>
      </c>
      <c r="U36" s="76">
        <f t="shared" si="19"/>
        <v>1.1024</v>
      </c>
      <c r="V36" s="79">
        <f t="shared" si="26"/>
        <v>0</v>
      </c>
      <c r="W36" s="79">
        <f t="shared" si="26"/>
        <v>0</v>
      </c>
      <c r="X36" s="79">
        <f t="shared" si="26"/>
        <v>0</v>
      </c>
      <c r="Y36" s="79">
        <f t="shared" si="26"/>
        <v>0</v>
      </c>
      <c r="Z36" s="79">
        <f t="shared" si="26"/>
        <v>0</v>
      </c>
      <c r="AA36" s="79">
        <f t="shared" si="26"/>
        <v>0</v>
      </c>
      <c r="AB36" s="79">
        <f t="shared" si="26"/>
        <v>0</v>
      </c>
      <c r="AC36" s="79">
        <f t="shared" si="26"/>
        <v>8.3333333333333329E-2</v>
      </c>
      <c r="AD36" s="79">
        <f t="shared" si="26"/>
        <v>0.16666666666666666</v>
      </c>
      <c r="AE36" s="79">
        <f t="shared" si="26"/>
        <v>0.16666666666666666</v>
      </c>
      <c r="AF36" s="79">
        <f t="shared" si="27"/>
        <v>0.16666666666666666</v>
      </c>
      <c r="AG36" s="79">
        <f t="shared" si="27"/>
        <v>0.16666666666666666</v>
      </c>
      <c r="AH36" s="79">
        <f t="shared" si="27"/>
        <v>0.16666666666666666</v>
      </c>
      <c r="AI36" s="79">
        <f t="shared" si="27"/>
        <v>8.3333333333333329E-2</v>
      </c>
      <c r="AJ36" s="79">
        <f t="shared" si="27"/>
        <v>0</v>
      </c>
      <c r="AK36" s="79">
        <f t="shared" si="27"/>
        <v>0</v>
      </c>
      <c r="AL36" s="79">
        <f t="shared" si="27"/>
        <v>0</v>
      </c>
      <c r="AM36" s="79">
        <f t="shared" si="27"/>
        <v>0</v>
      </c>
      <c r="AN36" s="79">
        <f t="shared" si="27"/>
        <v>0</v>
      </c>
      <c r="AO36" s="79">
        <f t="shared" si="27"/>
        <v>0</v>
      </c>
      <c r="AP36" s="79">
        <f t="shared" si="28"/>
        <v>0</v>
      </c>
      <c r="AQ36" s="79">
        <f t="shared" si="28"/>
        <v>0</v>
      </c>
      <c r="AR36" s="79">
        <f t="shared" si="28"/>
        <v>0</v>
      </c>
      <c r="AS36" s="79">
        <f t="shared" si="28"/>
        <v>0</v>
      </c>
      <c r="AT36" s="79">
        <f t="shared" si="28"/>
        <v>0</v>
      </c>
      <c r="AU36" s="79">
        <f t="shared" si="28"/>
        <v>0</v>
      </c>
      <c r="AV36" s="79">
        <f t="shared" si="28"/>
        <v>0</v>
      </c>
      <c r="AW36" s="79">
        <f t="shared" si="28"/>
        <v>0</v>
      </c>
      <c r="AX36" s="79">
        <f t="shared" si="28"/>
        <v>0</v>
      </c>
      <c r="AY36" s="79">
        <f t="shared" si="28"/>
        <v>0</v>
      </c>
      <c r="AZ36" s="79">
        <f t="shared" si="29"/>
        <v>0</v>
      </c>
      <c r="BA36" s="79">
        <f t="shared" si="29"/>
        <v>0</v>
      </c>
      <c r="BB36" s="79">
        <f t="shared" si="29"/>
        <v>0</v>
      </c>
      <c r="BC36" s="79">
        <f t="shared" si="29"/>
        <v>0</v>
      </c>
      <c r="BD36" s="79">
        <f t="shared" si="29"/>
        <v>0</v>
      </c>
      <c r="BE36" s="79">
        <f t="shared" si="29"/>
        <v>0</v>
      </c>
      <c r="BF36" s="80">
        <f t="shared" si="24"/>
        <v>1.1102230246251565E-16</v>
      </c>
    </row>
    <row r="37" spans="1:58" x14ac:dyDescent="0.25">
      <c r="A37" s="71">
        <v>21</v>
      </c>
      <c r="B37" s="72">
        <f t="shared" si="25"/>
        <v>46266</v>
      </c>
      <c r="C37" s="73">
        <f t="shared" si="2"/>
        <v>46295</v>
      </c>
      <c r="D37" s="67">
        <f t="shared" si="3"/>
        <v>30</v>
      </c>
      <c r="E37" s="67">
        <f t="shared" si="4"/>
        <v>9</v>
      </c>
      <c r="F37" s="74">
        <f t="shared" si="5"/>
        <v>46281</v>
      </c>
      <c r="G37" s="67">
        <f t="shared" si="6"/>
        <v>24320</v>
      </c>
      <c r="H37" s="75">
        <f t="shared" si="7"/>
        <v>1</v>
      </c>
      <c r="I37" s="76">
        <f t="shared" si="8"/>
        <v>1.1024</v>
      </c>
      <c r="J37" s="76">
        <f t="shared" si="9"/>
        <v>1.1024</v>
      </c>
      <c r="K37" s="67">
        <f t="shared" si="10"/>
        <v>0</v>
      </c>
      <c r="L37" s="67">
        <f t="shared" si="11"/>
        <v>0</v>
      </c>
      <c r="M37" s="77">
        <f t="shared" si="12"/>
        <v>0</v>
      </c>
      <c r="N37" s="76">
        <f t="shared" si="13"/>
        <v>1.1024</v>
      </c>
      <c r="O37" s="78">
        <f>'Mod Engine'!$E37</f>
        <v>0.85901531728665204</v>
      </c>
      <c r="P37" s="76">
        <f t="shared" si="14"/>
        <v>0.58333333333333337</v>
      </c>
      <c r="Q37" s="76">
        <f t="shared" si="15"/>
        <v>0.41666666666666663</v>
      </c>
      <c r="R37" s="76">
        <f t="shared" si="16"/>
        <v>0</v>
      </c>
      <c r="S37" s="76">
        <f t="shared" si="17"/>
        <v>1.1140923362080062</v>
      </c>
      <c r="T37" s="76">
        <f t="shared" si="18"/>
        <v>1.1140923362080062</v>
      </c>
      <c r="U37" s="76">
        <f t="shared" si="19"/>
        <v>1.1024</v>
      </c>
      <c r="V37" s="79">
        <f t="shared" ref="V37:AE46" si="30">IF(OR(V$15&lt;$G37,V$15&gt;$G37+$F$5),0,IF(OR(V$15=$G37,V$15=$G37+$F$5),0.5,1)/$F$5)</f>
        <v>0</v>
      </c>
      <c r="W37" s="79">
        <f t="shared" si="30"/>
        <v>0</v>
      </c>
      <c r="X37" s="79">
        <f t="shared" si="30"/>
        <v>0</v>
      </c>
      <c r="Y37" s="79">
        <f t="shared" si="30"/>
        <v>0</v>
      </c>
      <c r="Z37" s="79">
        <f t="shared" si="30"/>
        <v>0</v>
      </c>
      <c r="AA37" s="79">
        <f t="shared" si="30"/>
        <v>0</v>
      </c>
      <c r="AB37" s="79">
        <f t="shared" si="30"/>
        <v>0</v>
      </c>
      <c r="AC37" s="79">
        <f t="shared" si="30"/>
        <v>0</v>
      </c>
      <c r="AD37" s="79">
        <f t="shared" si="30"/>
        <v>8.3333333333333329E-2</v>
      </c>
      <c r="AE37" s="79">
        <f t="shared" si="30"/>
        <v>0.16666666666666666</v>
      </c>
      <c r="AF37" s="79">
        <f t="shared" ref="AF37:AO46" si="31">IF(OR(AF$15&lt;$G37,AF$15&gt;$G37+$F$5),0,IF(OR(AF$15=$G37,AF$15=$G37+$F$5),0.5,1)/$F$5)</f>
        <v>0.16666666666666666</v>
      </c>
      <c r="AG37" s="79">
        <f t="shared" si="31"/>
        <v>0.16666666666666666</v>
      </c>
      <c r="AH37" s="79">
        <f t="shared" si="31"/>
        <v>0.16666666666666666</v>
      </c>
      <c r="AI37" s="79">
        <f t="shared" si="31"/>
        <v>0.16666666666666666</v>
      </c>
      <c r="AJ37" s="79">
        <f t="shared" si="31"/>
        <v>8.3333333333333329E-2</v>
      </c>
      <c r="AK37" s="79">
        <f t="shared" si="31"/>
        <v>0</v>
      </c>
      <c r="AL37" s="79">
        <f t="shared" si="31"/>
        <v>0</v>
      </c>
      <c r="AM37" s="79">
        <f t="shared" si="31"/>
        <v>0</v>
      </c>
      <c r="AN37" s="79">
        <f t="shared" si="31"/>
        <v>0</v>
      </c>
      <c r="AO37" s="79">
        <f t="shared" si="31"/>
        <v>0</v>
      </c>
      <c r="AP37" s="79">
        <f t="shared" ref="AP37:AY46" si="32">IF(OR(AP$15&lt;$G37,AP$15&gt;$G37+$F$5),0,IF(OR(AP$15=$G37,AP$15=$G37+$F$5),0.5,1)/$F$5)</f>
        <v>0</v>
      </c>
      <c r="AQ37" s="79">
        <f t="shared" si="32"/>
        <v>0</v>
      </c>
      <c r="AR37" s="79">
        <f t="shared" si="32"/>
        <v>0</v>
      </c>
      <c r="AS37" s="79">
        <f t="shared" si="32"/>
        <v>0</v>
      </c>
      <c r="AT37" s="79">
        <f t="shared" si="32"/>
        <v>0</v>
      </c>
      <c r="AU37" s="79">
        <f t="shared" si="32"/>
        <v>0</v>
      </c>
      <c r="AV37" s="79">
        <f t="shared" si="32"/>
        <v>0</v>
      </c>
      <c r="AW37" s="79">
        <f t="shared" si="32"/>
        <v>0</v>
      </c>
      <c r="AX37" s="79">
        <f t="shared" si="32"/>
        <v>0</v>
      </c>
      <c r="AY37" s="79">
        <f t="shared" si="32"/>
        <v>0</v>
      </c>
      <c r="AZ37" s="79">
        <f t="shared" ref="AZ37:BE46" si="33">IF(OR(AZ$15&lt;$G37,AZ$15&gt;$G37+$F$5),0,IF(OR(AZ$15=$G37,AZ$15=$G37+$F$5),0.5,1)/$F$5)</f>
        <v>0</v>
      </c>
      <c r="BA37" s="79">
        <f t="shared" si="33"/>
        <v>0</v>
      </c>
      <c r="BB37" s="79">
        <f t="shared" si="33"/>
        <v>0</v>
      </c>
      <c r="BC37" s="79">
        <f t="shared" si="33"/>
        <v>0</v>
      </c>
      <c r="BD37" s="79">
        <f t="shared" si="33"/>
        <v>0</v>
      </c>
      <c r="BE37" s="79">
        <f t="shared" si="33"/>
        <v>0</v>
      </c>
      <c r="BF37" s="80">
        <f t="shared" si="24"/>
        <v>1.1102230246251565E-16</v>
      </c>
    </row>
    <row r="38" spans="1:58" x14ac:dyDescent="0.25">
      <c r="A38" s="71">
        <v>22</v>
      </c>
      <c r="B38" s="72">
        <f t="shared" si="25"/>
        <v>46296</v>
      </c>
      <c r="C38" s="73">
        <f t="shared" si="2"/>
        <v>46326</v>
      </c>
      <c r="D38" s="67">
        <f t="shared" si="3"/>
        <v>31</v>
      </c>
      <c r="E38" s="67">
        <f t="shared" si="4"/>
        <v>10</v>
      </c>
      <c r="F38" s="74">
        <f t="shared" si="5"/>
        <v>46311.5</v>
      </c>
      <c r="G38" s="67">
        <f t="shared" si="6"/>
        <v>24321</v>
      </c>
      <c r="H38" s="75">
        <f t="shared" si="7"/>
        <v>1</v>
      </c>
      <c r="I38" s="76">
        <f t="shared" si="8"/>
        <v>1.1024</v>
      </c>
      <c r="J38" s="76">
        <f t="shared" si="9"/>
        <v>1.1024</v>
      </c>
      <c r="K38" s="67">
        <f t="shared" si="10"/>
        <v>0</v>
      </c>
      <c r="L38" s="67">
        <f t="shared" si="11"/>
        <v>0</v>
      </c>
      <c r="M38" s="77">
        <f t="shared" si="12"/>
        <v>0</v>
      </c>
      <c r="N38" s="76">
        <f t="shared" si="13"/>
        <v>1.1024</v>
      </c>
      <c r="O38" s="78">
        <f>'Mod Engine'!$E38</f>
        <v>0.86101750547045952</v>
      </c>
      <c r="P38" s="76">
        <f t="shared" si="14"/>
        <v>0.41666666666666669</v>
      </c>
      <c r="Q38" s="76">
        <f t="shared" si="15"/>
        <v>0.58333333333333326</v>
      </c>
      <c r="R38" s="76">
        <f t="shared" si="16"/>
        <v>0</v>
      </c>
      <c r="S38" s="76">
        <f t="shared" si="17"/>
        <v>1.116689056506629</v>
      </c>
      <c r="T38" s="76">
        <f t="shared" si="18"/>
        <v>1.116689056506629</v>
      </c>
      <c r="U38" s="76">
        <f t="shared" si="19"/>
        <v>1.1024</v>
      </c>
      <c r="V38" s="79">
        <f t="shared" si="30"/>
        <v>0</v>
      </c>
      <c r="W38" s="79">
        <f t="shared" si="30"/>
        <v>0</v>
      </c>
      <c r="X38" s="79">
        <f t="shared" si="30"/>
        <v>0</v>
      </c>
      <c r="Y38" s="79">
        <f t="shared" si="30"/>
        <v>0</v>
      </c>
      <c r="Z38" s="79">
        <f t="shared" si="30"/>
        <v>0</v>
      </c>
      <c r="AA38" s="79">
        <f t="shared" si="30"/>
        <v>0</v>
      </c>
      <c r="AB38" s="79">
        <f t="shared" si="30"/>
        <v>0</v>
      </c>
      <c r="AC38" s="79">
        <f t="shared" si="30"/>
        <v>0</v>
      </c>
      <c r="AD38" s="79">
        <f t="shared" si="30"/>
        <v>0</v>
      </c>
      <c r="AE38" s="79">
        <f t="shared" si="30"/>
        <v>8.3333333333333329E-2</v>
      </c>
      <c r="AF38" s="79">
        <f t="shared" si="31"/>
        <v>0.16666666666666666</v>
      </c>
      <c r="AG38" s="79">
        <f t="shared" si="31"/>
        <v>0.16666666666666666</v>
      </c>
      <c r="AH38" s="79">
        <f t="shared" si="31"/>
        <v>0.16666666666666666</v>
      </c>
      <c r="AI38" s="79">
        <f t="shared" si="31"/>
        <v>0.16666666666666666</v>
      </c>
      <c r="AJ38" s="79">
        <f t="shared" si="31"/>
        <v>0.16666666666666666</v>
      </c>
      <c r="AK38" s="79">
        <f t="shared" si="31"/>
        <v>8.3333333333333329E-2</v>
      </c>
      <c r="AL38" s="79">
        <f t="shared" si="31"/>
        <v>0</v>
      </c>
      <c r="AM38" s="79">
        <f t="shared" si="31"/>
        <v>0</v>
      </c>
      <c r="AN38" s="79">
        <f t="shared" si="31"/>
        <v>0</v>
      </c>
      <c r="AO38" s="79">
        <f t="shared" si="31"/>
        <v>0</v>
      </c>
      <c r="AP38" s="79">
        <f t="shared" si="32"/>
        <v>0</v>
      </c>
      <c r="AQ38" s="79">
        <f t="shared" si="32"/>
        <v>0</v>
      </c>
      <c r="AR38" s="79">
        <f t="shared" si="32"/>
        <v>0</v>
      </c>
      <c r="AS38" s="79">
        <f t="shared" si="32"/>
        <v>0</v>
      </c>
      <c r="AT38" s="79">
        <f t="shared" si="32"/>
        <v>0</v>
      </c>
      <c r="AU38" s="79">
        <f t="shared" si="32"/>
        <v>0</v>
      </c>
      <c r="AV38" s="79">
        <f t="shared" si="32"/>
        <v>0</v>
      </c>
      <c r="AW38" s="79">
        <f t="shared" si="32"/>
        <v>0</v>
      </c>
      <c r="AX38" s="79">
        <f t="shared" si="32"/>
        <v>0</v>
      </c>
      <c r="AY38" s="79">
        <f t="shared" si="32"/>
        <v>0</v>
      </c>
      <c r="AZ38" s="79">
        <f t="shared" si="33"/>
        <v>0</v>
      </c>
      <c r="BA38" s="79">
        <f t="shared" si="33"/>
        <v>0</v>
      </c>
      <c r="BB38" s="79">
        <f t="shared" si="33"/>
        <v>0</v>
      </c>
      <c r="BC38" s="79">
        <f t="shared" si="33"/>
        <v>0</v>
      </c>
      <c r="BD38" s="79">
        <f t="shared" si="33"/>
        <v>0</v>
      </c>
      <c r="BE38" s="79">
        <f t="shared" si="33"/>
        <v>0</v>
      </c>
      <c r="BF38" s="80">
        <f t="shared" si="24"/>
        <v>1.1102230246251565E-16</v>
      </c>
    </row>
    <row r="39" spans="1:58" x14ac:dyDescent="0.25">
      <c r="A39" s="71">
        <v>23</v>
      </c>
      <c r="B39" s="72">
        <f t="shared" si="25"/>
        <v>46327</v>
      </c>
      <c r="C39" s="73">
        <f t="shared" si="2"/>
        <v>46356</v>
      </c>
      <c r="D39" s="67">
        <f t="shared" si="3"/>
        <v>30</v>
      </c>
      <c r="E39" s="67">
        <f t="shared" si="4"/>
        <v>11</v>
      </c>
      <c r="F39" s="74">
        <f t="shared" si="5"/>
        <v>46342</v>
      </c>
      <c r="G39" s="67">
        <f t="shared" si="6"/>
        <v>24322</v>
      </c>
      <c r="H39" s="75">
        <f t="shared" si="7"/>
        <v>1</v>
      </c>
      <c r="I39" s="76">
        <f t="shared" si="8"/>
        <v>1.1024</v>
      </c>
      <c r="J39" s="76">
        <f t="shared" si="9"/>
        <v>1.1024</v>
      </c>
      <c r="K39" s="67">
        <f t="shared" si="10"/>
        <v>0</v>
      </c>
      <c r="L39" s="67">
        <f t="shared" si="11"/>
        <v>0</v>
      </c>
      <c r="M39" s="77">
        <f t="shared" si="12"/>
        <v>0</v>
      </c>
      <c r="N39" s="76">
        <f t="shared" si="13"/>
        <v>1.1024</v>
      </c>
      <c r="O39" s="78">
        <f>'Mod Engine'!$E39</f>
        <v>0.8630196936542669</v>
      </c>
      <c r="P39" s="76">
        <f t="shared" si="14"/>
        <v>0.25</v>
      </c>
      <c r="Q39" s="76">
        <f t="shared" si="15"/>
        <v>0.75</v>
      </c>
      <c r="R39" s="76">
        <f t="shared" si="16"/>
        <v>0</v>
      </c>
      <c r="S39" s="76">
        <f t="shared" si="17"/>
        <v>1.1192857768052518</v>
      </c>
      <c r="T39" s="76">
        <f t="shared" si="18"/>
        <v>1.1192857768052518</v>
      </c>
      <c r="U39" s="76">
        <f t="shared" si="19"/>
        <v>1.1024</v>
      </c>
      <c r="V39" s="79">
        <f t="shared" si="30"/>
        <v>0</v>
      </c>
      <c r="W39" s="79">
        <f t="shared" si="30"/>
        <v>0</v>
      </c>
      <c r="X39" s="79">
        <f t="shared" si="30"/>
        <v>0</v>
      </c>
      <c r="Y39" s="79">
        <f t="shared" si="30"/>
        <v>0</v>
      </c>
      <c r="Z39" s="79">
        <f t="shared" si="30"/>
        <v>0</v>
      </c>
      <c r="AA39" s="79">
        <f t="shared" si="30"/>
        <v>0</v>
      </c>
      <c r="AB39" s="79">
        <f t="shared" si="30"/>
        <v>0</v>
      </c>
      <c r="AC39" s="79">
        <f t="shared" si="30"/>
        <v>0</v>
      </c>
      <c r="AD39" s="79">
        <f t="shared" si="30"/>
        <v>0</v>
      </c>
      <c r="AE39" s="79">
        <f t="shared" si="30"/>
        <v>0</v>
      </c>
      <c r="AF39" s="79">
        <f t="shared" si="31"/>
        <v>8.3333333333333329E-2</v>
      </c>
      <c r="AG39" s="79">
        <f t="shared" si="31"/>
        <v>0.16666666666666666</v>
      </c>
      <c r="AH39" s="79">
        <f t="shared" si="31"/>
        <v>0.16666666666666666</v>
      </c>
      <c r="AI39" s="79">
        <f t="shared" si="31"/>
        <v>0.16666666666666666</v>
      </c>
      <c r="AJ39" s="79">
        <f t="shared" si="31"/>
        <v>0.16666666666666666</v>
      </c>
      <c r="AK39" s="79">
        <f t="shared" si="31"/>
        <v>0.16666666666666666</v>
      </c>
      <c r="AL39" s="79">
        <f t="shared" si="31"/>
        <v>8.3333333333333329E-2</v>
      </c>
      <c r="AM39" s="79">
        <f t="shared" si="31"/>
        <v>0</v>
      </c>
      <c r="AN39" s="79">
        <f t="shared" si="31"/>
        <v>0</v>
      </c>
      <c r="AO39" s="79">
        <f t="shared" si="31"/>
        <v>0</v>
      </c>
      <c r="AP39" s="79">
        <f t="shared" si="32"/>
        <v>0</v>
      </c>
      <c r="AQ39" s="79">
        <f t="shared" si="32"/>
        <v>0</v>
      </c>
      <c r="AR39" s="79">
        <f t="shared" si="32"/>
        <v>0</v>
      </c>
      <c r="AS39" s="79">
        <f t="shared" si="32"/>
        <v>0</v>
      </c>
      <c r="AT39" s="79">
        <f t="shared" si="32"/>
        <v>0</v>
      </c>
      <c r="AU39" s="79">
        <f t="shared" si="32"/>
        <v>0</v>
      </c>
      <c r="AV39" s="79">
        <f t="shared" si="32"/>
        <v>0</v>
      </c>
      <c r="AW39" s="79">
        <f t="shared" si="32"/>
        <v>0</v>
      </c>
      <c r="AX39" s="79">
        <f t="shared" si="32"/>
        <v>0</v>
      </c>
      <c r="AY39" s="79">
        <f t="shared" si="32"/>
        <v>0</v>
      </c>
      <c r="AZ39" s="79">
        <f t="shared" si="33"/>
        <v>0</v>
      </c>
      <c r="BA39" s="79">
        <f t="shared" si="33"/>
        <v>0</v>
      </c>
      <c r="BB39" s="79">
        <f t="shared" si="33"/>
        <v>0</v>
      </c>
      <c r="BC39" s="79">
        <f t="shared" si="33"/>
        <v>0</v>
      </c>
      <c r="BD39" s="79">
        <f t="shared" si="33"/>
        <v>0</v>
      </c>
      <c r="BE39" s="79">
        <f t="shared" si="33"/>
        <v>0</v>
      </c>
      <c r="BF39" s="80">
        <f t="shared" si="24"/>
        <v>1.1102230246251565E-16</v>
      </c>
    </row>
    <row r="40" spans="1:58" x14ac:dyDescent="0.25">
      <c r="A40" s="71">
        <v>24</v>
      </c>
      <c r="B40" s="72">
        <f t="shared" si="25"/>
        <v>46357</v>
      </c>
      <c r="C40" s="73">
        <f t="shared" si="2"/>
        <v>46387</v>
      </c>
      <c r="D40" s="67">
        <f t="shared" si="3"/>
        <v>31</v>
      </c>
      <c r="E40" s="67">
        <f t="shared" si="4"/>
        <v>12</v>
      </c>
      <c r="F40" s="74">
        <f t="shared" si="5"/>
        <v>46372.5</v>
      </c>
      <c r="G40" s="67">
        <f t="shared" si="6"/>
        <v>24323</v>
      </c>
      <c r="H40" s="75">
        <f t="shared" si="7"/>
        <v>1</v>
      </c>
      <c r="I40" s="76">
        <f t="shared" si="8"/>
        <v>1.1024</v>
      </c>
      <c r="J40" s="76">
        <f t="shared" si="9"/>
        <v>1.1024</v>
      </c>
      <c r="K40" s="67">
        <f t="shared" si="10"/>
        <v>0</v>
      </c>
      <c r="L40" s="67">
        <f t="shared" si="11"/>
        <v>0</v>
      </c>
      <c r="M40" s="77">
        <f t="shared" si="12"/>
        <v>0</v>
      </c>
      <c r="N40" s="76">
        <f t="shared" si="13"/>
        <v>1.1024</v>
      </c>
      <c r="O40" s="78">
        <f>'Mod Engine'!$E40</f>
        <v>0.86502188183807438</v>
      </c>
      <c r="P40" s="76">
        <f t="shared" si="14"/>
        <v>8.3333333333333329E-2</v>
      </c>
      <c r="Q40" s="76">
        <f t="shared" si="15"/>
        <v>0.91666666666666663</v>
      </c>
      <c r="R40" s="76">
        <f t="shared" si="16"/>
        <v>0</v>
      </c>
      <c r="S40" s="76">
        <f t="shared" si="17"/>
        <v>1.1218824971038743</v>
      </c>
      <c r="T40" s="76">
        <f t="shared" si="18"/>
        <v>1.1218824971038743</v>
      </c>
      <c r="U40" s="76">
        <f t="shared" si="19"/>
        <v>1.1024</v>
      </c>
      <c r="V40" s="79">
        <f t="shared" si="30"/>
        <v>0</v>
      </c>
      <c r="W40" s="79">
        <f t="shared" si="30"/>
        <v>0</v>
      </c>
      <c r="X40" s="79">
        <f t="shared" si="30"/>
        <v>0</v>
      </c>
      <c r="Y40" s="79">
        <f t="shared" si="30"/>
        <v>0</v>
      </c>
      <c r="Z40" s="79">
        <f t="shared" si="30"/>
        <v>0</v>
      </c>
      <c r="AA40" s="79">
        <f t="shared" si="30"/>
        <v>0</v>
      </c>
      <c r="AB40" s="79">
        <f t="shared" si="30"/>
        <v>0</v>
      </c>
      <c r="AC40" s="79">
        <f t="shared" si="30"/>
        <v>0</v>
      </c>
      <c r="AD40" s="79">
        <f t="shared" si="30"/>
        <v>0</v>
      </c>
      <c r="AE40" s="79">
        <f t="shared" si="30"/>
        <v>0</v>
      </c>
      <c r="AF40" s="79">
        <f t="shared" si="31"/>
        <v>0</v>
      </c>
      <c r="AG40" s="79">
        <f t="shared" si="31"/>
        <v>8.3333333333333329E-2</v>
      </c>
      <c r="AH40" s="79">
        <f t="shared" si="31"/>
        <v>0.16666666666666666</v>
      </c>
      <c r="AI40" s="79">
        <f t="shared" si="31"/>
        <v>0.16666666666666666</v>
      </c>
      <c r="AJ40" s="79">
        <f t="shared" si="31"/>
        <v>0.16666666666666666</v>
      </c>
      <c r="AK40" s="79">
        <f t="shared" si="31"/>
        <v>0.16666666666666666</v>
      </c>
      <c r="AL40" s="79">
        <f t="shared" si="31"/>
        <v>0.16666666666666666</v>
      </c>
      <c r="AM40" s="79">
        <f t="shared" si="31"/>
        <v>8.3333333333333329E-2</v>
      </c>
      <c r="AN40" s="79">
        <f t="shared" si="31"/>
        <v>0</v>
      </c>
      <c r="AO40" s="79">
        <f t="shared" si="31"/>
        <v>0</v>
      </c>
      <c r="AP40" s="79">
        <f t="shared" si="32"/>
        <v>0</v>
      </c>
      <c r="AQ40" s="79">
        <f t="shared" si="32"/>
        <v>0</v>
      </c>
      <c r="AR40" s="79">
        <f t="shared" si="32"/>
        <v>0</v>
      </c>
      <c r="AS40" s="79">
        <f t="shared" si="32"/>
        <v>0</v>
      </c>
      <c r="AT40" s="79">
        <f t="shared" si="32"/>
        <v>0</v>
      </c>
      <c r="AU40" s="79">
        <f t="shared" si="32"/>
        <v>0</v>
      </c>
      <c r="AV40" s="79">
        <f t="shared" si="32"/>
        <v>0</v>
      </c>
      <c r="AW40" s="79">
        <f t="shared" si="32"/>
        <v>0</v>
      </c>
      <c r="AX40" s="79">
        <f t="shared" si="32"/>
        <v>0</v>
      </c>
      <c r="AY40" s="79">
        <f t="shared" si="32"/>
        <v>0</v>
      </c>
      <c r="AZ40" s="79">
        <f t="shared" si="33"/>
        <v>0</v>
      </c>
      <c r="BA40" s="79">
        <f t="shared" si="33"/>
        <v>0</v>
      </c>
      <c r="BB40" s="79">
        <f t="shared" si="33"/>
        <v>0</v>
      </c>
      <c r="BC40" s="79">
        <f t="shared" si="33"/>
        <v>0</v>
      </c>
      <c r="BD40" s="79">
        <f t="shared" si="33"/>
        <v>0</v>
      </c>
      <c r="BE40" s="79">
        <f t="shared" si="33"/>
        <v>0</v>
      </c>
      <c r="BF40" s="80">
        <f t="shared" si="24"/>
        <v>1.1102230246251565E-16</v>
      </c>
    </row>
    <row r="41" spans="1:58" x14ac:dyDescent="0.25">
      <c r="A41" s="71">
        <v>25</v>
      </c>
      <c r="B41" s="72">
        <f t="shared" si="25"/>
        <v>46388</v>
      </c>
      <c r="C41" s="73">
        <f t="shared" si="2"/>
        <v>46418</v>
      </c>
      <c r="D41" s="67">
        <f t="shared" si="3"/>
        <v>31</v>
      </c>
      <c r="E41" s="67">
        <f t="shared" si="4"/>
        <v>1</v>
      </c>
      <c r="F41" s="74">
        <f t="shared" si="5"/>
        <v>46403.5</v>
      </c>
      <c r="G41" s="67">
        <f t="shared" si="6"/>
        <v>24324</v>
      </c>
      <c r="H41" s="75">
        <f t="shared" si="7"/>
        <v>1</v>
      </c>
      <c r="I41" s="76">
        <f t="shared" si="8"/>
        <v>1.1024</v>
      </c>
      <c r="J41" s="76">
        <f t="shared" si="9"/>
        <v>1.1024</v>
      </c>
      <c r="K41" s="67">
        <f t="shared" si="10"/>
        <v>0</v>
      </c>
      <c r="L41" s="67">
        <f t="shared" si="11"/>
        <v>0</v>
      </c>
      <c r="M41" s="77">
        <f t="shared" si="12"/>
        <v>0</v>
      </c>
      <c r="N41" s="76">
        <f t="shared" si="13"/>
        <v>1.1024</v>
      </c>
      <c r="O41" s="78">
        <f>'Mod Engine'!$E41</f>
        <v>0.86705689277899345</v>
      </c>
      <c r="P41" s="76">
        <f t="shared" si="14"/>
        <v>0</v>
      </c>
      <c r="Q41" s="76">
        <f t="shared" si="15"/>
        <v>1</v>
      </c>
      <c r="R41" s="76">
        <f t="shared" si="16"/>
        <v>0</v>
      </c>
      <c r="S41" s="76">
        <f t="shared" si="17"/>
        <v>1.1245217865877206</v>
      </c>
      <c r="T41" s="76">
        <f t="shared" si="18"/>
        <v>1.031553095636504</v>
      </c>
      <c r="U41" s="76">
        <f t="shared" si="19"/>
        <v>1.1024</v>
      </c>
      <c r="V41" s="79">
        <f t="shared" si="30"/>
        <v>0</v>
      </c>
      <c r="W41" s="79">
        <f t="shared" si="30"/>
        <v>0</v>
      </c>
      <c r="X41" s="79">
        <f t="shared" si="30"/>
        <v>0</v>
      </c>
      <c r="Y41" s="79">
        <f t="shared" si="30"/>
        <v>0</v>
      </c>
      <c r="Z41" s="79">
        <f t="shared" si="30"/>
        <v>0</v>
      </c>
      <c r="AA41" s="79">
        <f t="shared" si="30"/>
        <v>0</v>
      </c>
      <c r="AB41" s="79">
        <f t="shared" si="30"/>
        <v>0</v>
      </c>
      <c r="AC41" s="79">
        <f t="shared" si="30"/>
        <v>0</v>
      </c>
      <c r="AD41" s="79">
        <f t="shared" si="30"/>
        <v>0</v>
      </c>
      <c r="AE41" s="79">
        <f t="shared" si="30"/>
        <v>0</v>
      </c>
      <c r="AF41" s="79">
        <f t="shared" si="31"/>
        <v>0</v>
      </c>
      <c r="AG41" s="79">
        <f t="shared" si="31"/>
        <v>0</v>
      </c>
      <c r="AH41" s="79">
        <f t="shared" si="31"/>
        <v>8.3333333333333329E-2</v>
      </c>
      <c r="AI41" s="79">
        <f t="shared" si="31"/>
        <v>0.16666666666666666</v>
      </c>
      <c r="AJ41" s="79">
        <f t="shared" si="31"/>
        <v>0.16666666666666666</v>
      </c>
      <c r="AK41" s="79">
        <f t="shared" si="31"/>
        <v>0.16666666666666666</v>
      </c>
      <c r="AL41" s="79">
        <f t="shared" si="31"/>
        <v>0.16666666666666666</v>
      </c>
      <c r="AM41" s="79">
        <f t="shared" si="31"/>
        <v>0.16666666666666666</v>
      </c>
      <c r="AN41" s="79">
        <f t="shared" si="31"/>
        <v>8.3333333333333329E-2</v>
      </c>
      <c r="AO41" s="79">
        <f t="shared" si="31"/>
        <v>0</v>
      </c>
      <c r="AP41" s="79">
        <f t="shared" si="32"/>
        <v>0</v>
      </c>
      <c r="AQ41" s="79">
        <f t="shared" si="32"/>
        <v>0</v>
      </c>
      <c r="AR41" s="79">
        <f t="shared" si="32"/>
        <v>0</v>
      </c>
      <c r="AS41" s="79">
        <f t="shared" si="32"/>
        <v>0</v>
      </c>
      <c r="AT41" s="79">
        <f t="shared" si="32"/>
        <v>0</v>
      </c>
      <c r="AU41" s="79">
        <f t="shared" si="32"/>
        <v>0</v>
      </c>
      <c r="AV41" s="79">
        <f t="shared" si="32"/>
        <v>0</v>
      </c>
      <c r="AW41" s="79">
        <f t="shared" si="32"/>
        <v>0</v>
      </c>
      <c r="AX41" s="79">
        <f t="shared" si="32"/>
        <v>0</v>
      </c>
      <c r="AY41" s="79">
        <f t="shared" si="32"/>
        <v>0</v>
      </c>
      <c r="AZ41" s="79">
        <f t="shared" si="33"/>
        <v>0</v>
      </c>
      <c r="BA41" s="79">
        <f t="shared" si="33"/>
        <v>0</v>
      </c>
      <c r="BB41" s="79">
        <f t="shared" si="33"/>
        <v>0</v>
      </c>
      <c r="BC41" s="79">
        <f t="shared" si="33"/>
        <v>0</v>
      </c>
      <c r="BD41" s="79">
        <f t="shared" si="33"/>
        <v>0</v>
      </c>
      <c r="BE41" s="79">
        <f t="shared" si="33"/>
        <v>0</v>
      </c>
      <c r="BF41" s="80">
        <f t="shared" si="24"/>
        <v>1.1102230246251565E-16</v>
      </c>
    </row>
    <row r="42" spans="1:58" x14ac:dyDescent="0.25">
      <c r="A42" s="71">
        <v>26</v>
      </c>
      <c r="B42" s="72">
        <f t="shared" si="25"/>
        <v>46419</v>
      </c>
      <c r="C42" s="73">
        <f t="shared" si="2"/>
        <v>46446</v>
      </c>
      <c r="D42" s="67">
        <f t="shared" si="3"/>
        <v>28</v>
      </c>
      <c r="E42" s="67">
        <f t="shared" si="4"/>
        <v>2</v>
      </c>
      <c r="F42" s="74">
        <f t="shared" si="5"/>
        <v>46433</v>
      </c>
      <c r="G42" s="67">
        <f t="shared" si="6"/>
        <v>24325</v>
      </c>
      <c r="H42" s="75">
        <f t="shared" si="7"/>
        <v>1</v>
      </c>
      <c r="I42" s="76">
        <f t="shared" si="8"/>
        <v>1.1024</v>
      </c>
      <c r="J42" s="76">
        <f t="shared" si="9"/>
        <v>1.1024</v>
      </c>
      <c r="K42" s="67">
        <f t="shared" si="10"/>
        <v>0</v>
      </c>
      <c r="L42" s="67">
        <f t="shared" si="11"/>
        <v>0</v>
      </c>
      <c r="M42" s="77">
        <f t="shared" si="12"/>
        <v>0</v>
      </c>
      <c r="N42" s="76">
        <f t="shared" si="13"/>
        <v>1.1024</v>
      </c>
      <c r="O42" s="78">
        <f>'Mod Engine'!$E42</f>
        <v>0.86899343544857766</v>
      </c>
      <c r="P42" s="76">
        <f t="shared" si="14"/>
        <v>0</v>
      </c>
      <c r="Q42" s="76">
        <f t="shared" si="15"/>
        <v>1</v>
      </c>
      <c r="R42" s="76">
        <f t="shared" si="16"/>
        <v>0</v>
      </c>
      <c r="S42" s="76">
        <f t="shared" si="17"/>
        <v>1.1270333685158964</v>
      </c>
      <c r="T42" s="76">
        <f t="shared" si="18"/>
        <v>1.0339225125498777</v>
      </c>
      <c r="U42" s="76">
        <f t="shared" si="19"/>
        <v>1.1024</v>
      </c>
      <c r="V42" s="79">
        <f t="shared" si="30"/>
        <v>0</v>
      </c>
      <c r="W42" s="79">
        <f t="shared" si="30"/>
        <v>0</v>
      </c>
      <c r="X42" s="79">
        <f t="shared" si="30"/>
        <v>0</v>
      </c>
      <c r="Y42" s="79">
        <f t="shared" si="30"/>
        <v>0</v>
      </c>
      <c r="Z42" s="79">
        <f t="shared" si="30"/>
        <v>0</v>
      </c>
      <c r="AA42" s="79">
        <f t="shared" si="30"/>
        <v>0</v>
      </c>
      <c r="AB42" s="79">
        <f t="shared" si="30"/>
        <v>0</v>
      </c>
      <c r="AC42" s="79">
        <f t="shared" si="30"/>
        <v>0</v>
      </c>
      <c r="AD42" s="79">
        <f t="shared" si="30"/>
        <v>0</v>
      </c>
      <c r="AE42" s="79">
        <f t="shared" si="30"/>
        <v>0</v>
      </c>
      <c r="AF42" s="79">
        <f t="shared" si="31"/>
        <v>0</v>
      </c>
      <c r="AG42" s="79">
        <f t="shared" si="31"/>
        <v>0</v>
      </c>
      <c r="AH42" s="79">
        <f t="shared" si="31"/>
        <v>0</v>
      </c>
      <c r="AI42" s="79">
        <f t="shared" si="31"/>
        <v>8.3333333333333329E-2</v>
      </c>
      <c r="AJ42" s="79">
        <f t="shared" si="31"/>
        <v>0.16666666666666666</v>
      </c>
      <c r="AK42" s="79">
        <f t="shared" si="31"/>
        <v>0.16666666666666666</v>
      </c>
      <c r="AL42" s="79">
        <f t="shared" si="31"/>
        <v>0.16666666666666666</v>
      </c>
      <c r="AM42" s="79">
        <f t="shared" si="31"/>
        <v>0.16666666666666666</v>
      </c>
      <c r="AN42" s="79">
        <f t="shared" si="31"/>
        <v>0.16666666666666666</v>
      </c>
      <c r="AO42" s="79">
        <f t="shared" si="31"/>
        <v>8.3333333333333329E-2</v>
      </c>
      <c r="AP42" s="79">
        <f t="shared" si="32"/>
        <v>0</v>
      </c>
      <c r="AQ42" s="79">
        <f t="shared" si="32"/>
        <v>0</v>
      </c>
      <c r="AR42" s="79">
        <f t="shared" si="32"/>
        <v>0</v>
      </c>
      <c r="AS42" s="79">
        <f t="shared" si="32"/>
        <v>0</v>
      </c>
      <c r="AT42" s="79">
        <f t="shared" si="32"/>
        <v>0</v>
      </c>
      <c r="AU42" s="79">
        <f t="shared" si="32"/>
        <v>0</v>
      </c>
      <c r="AV42" s="79">
        <f t="shared" si="32"/>
        <v>0</v>
      </c>
      <c r="AW42" s="79">
        <f t="shared" si="32"/>
        <v>0</v>
      </c>
      <c r="AX42" s="79">
        <f t="shared" si="32"/>
        <v>0</v>
      </c>
      <c r="AY42" s="79">
        <f t="shared" si="32"/>
        <v>0</v>
      </c>
      <c r="AZ42" s="79">
        <f t="shared" si="33"/>
        <v>0</v>
      </c>
      <c r="BA42" s="79">
        <f t="shared" si="33"/>
        <v>0</v>
      </c>
      <c r="BB42" s="79">
        <f t="shared" si="33"/>
        <v>0</v>
      </c>
      <c r="BC42" s="79">
        <f t="shared" si="33"/>
        <v>0</v>
      </c>
      <c r="BD42" s="79">
        <f t="shared" si="33"/>
        <v>0</v>
      </c>
      <c r="BE42" s="79">
        <f t="shared" si="33"/>
        <v>0</v>
      </c>
      <c r="BF42" s="80">
        <f t="shared" si="24"/>
        <v>1.1102230246251565E-16</v>
      </c>
    </row>
    <row r="43" spans="1:58" x14ac:dyDescent="0.25">
      <c r="A43" s="71">
        <v>27</v>
      </c>
      <c r="B43" s="72">
        <f t="shared" si="25"/>
        <v>46447</v>
      </c>
      <c r="C43" s="73">
        <f t="shared" si="2"/>
        <v>46477</v>
      </c>
      <c r="D43" s="67">
        <f t="shared" si="3"/>
        <v>31</v>
      </c>
      <c r="E43" s="67">
        <f t="shared" si="4"/>
        <v>3</v>
      </c>
      <c r="F43" s="74">
        <f t="shared" si="5"/>
        <v>46462.5</v>
      </c>
      <c r="G43" s="67">
        <f t="shared" si="6"/>
        <v>24326</v>
      </c>
      <c r="H43" s="75">
        <f t="shared" si="7"/>
        <v>1</v>
      </c>
      <c r="I43" s="76">
        <f t="shared" si="8"/>
        <v>1.1024</v>
      </c>
      <c r="J43" s="76">
        <f t="shared" si="9"/>
        <v>1.1024</v>
      </c>
      <c r="K43" s="67">
        <f t="shared" si="10"/>
        <v>0</v>
      </c>
      <c r="L43" s="67">
        <f t="shared" si="11"/>
        <v>0</v>
      </c>
      <c r="M43" s="77">
        <f t="shared" si="12"/>
        <v>0</v>
      </c>
      <c r="N43" s="76">
        <f t="shared" si="13"/>
        <v>1.1024</v>
      </c>
      <c r="O43" s="78">
        <f>'Mod Engine'!$E43</f>
        <v>0.87092997811816197</v>
      </c>
      <c r="P43" s="76">
        <f t="shared" si="14"/>
        <v>0</v>
      </c>
      <c r="Q43" s="76">
        <f t="shared" si="15"/>
        <v>1</v>
      </c>
      <c r="R43" s="76">
        <f t="shared" si="16"/>
        <v>0</v>
      </c>
      <c r="S43" s="76">
        <f t="shared" si="17"/>
        <v>1.1295449504440729</v>
      </c>
      <c r="T43" s="76">
        <f t="shared" si="18"/>
        <v>1.0362919294632515</v>
      </c>
      <c r="U43" s="76">
        <f t="shared" si="19"/>
        <v>1.1024</v>
      </c>
      <c r="V43" s="79">
        <f t="shared" si="30"/>
        <v>0</v>
      </c>
      <c r="W43" s="79">
        <f t="shared" si="30"/>
        <v>0</v>
      </c>
      <c r="X43" s="79">
        <f t="shared" si="30"/>
        <v>0</v>
      </c>
      <c r="Y43" s="79">
        <f t="shared" si="30"/>
        <v>0</v>
      </c>
      <c r="Z43" s="79">
        <f t="shared" si="30"/>
        <v>0</v>
      </c>
      <c r="AA43" s="79">
        <f t="shared" si="30"/>
        <v>0</v>
      </c>
      <c r="AB43" s="79">
        <f t="shared" si="30"/>
        <v>0</v>
      </c>
      <c r="AC43" s="79">
        <f t="shared" si="30"/>
        <v>0</v>
      </c>
      <c r="AD43" s="79">
        <f t="shared" si="30"/>
        <v>0</v>
      </c>
      <c r="AE43" s="79">
        <f t="shared" si="30"/>
        <v>0</v>
      </c>
      <c r="AF43" s="79">
        <f t="shared" si="31"/>
        <v>0</v>
      </c>
      <c r="AG43" s="79">
        <f t="shared" si="31"/>
        <v>0</v>
      </c>
      <c r="AH43" s="79">
        <f t="shared" si="31"/>
        <v>0</v>
      </c>
      <c r="AI43" s="79">
        <f t="shared" si="31"/>
        <v>0</v>
      </c>
      <c r="AJ43" s="79">
        <f t="shared" si="31"/>
        <v>8.3333333333333329E-2</v>
      </c>
      <c r="AK43" s="79">
        <f t="shared" si="31"/>
        <v>0.16666666666666666</v>
      </c>
      <c r="AL43" s="79">
        <f t="shared" si="31"/>
        <v>0.16666666666666666</v>
      </c>
      <c r="AM43" s="79">
        <f t="shared" si="31"/>
        <v>0.16666666666666666</v>
      </c>
      <c r="AN43" s="79">
        <f t="shared" si="31"/>
        <v>0.16666666666666666</v>
      </c>
      <c r="AO43" s="79">
        <f t="shared" si="31"/>
        <v>0.16666666666666666</v>
      </c>
      <c r="AP43" s="79">
        <f t="shared" si="32"/>
        <v>8.3333333333333329E-2</v>
      </c>
      <c r="AQ43" s="79">
        <f t="shared" si="32"/>
        <v>0</v>
      </c>
      <c r="AR43" s="79">
        <f t="shared" si="32"/>
        <v>0</v>
      </c>
      <c r="AS43" s="79">
        <f t="shared" si="32"/>
        <v>0</v>
      </c>
      <c r="AT43" s="79">
        <f t="shared" si="32"/>
        <v>0</v>
      </c>
      <c r="AU43" s="79">
        <f t="shared" si="32"/>
        <v>0</v>
      </c>
      <c r="AV43" s="79">
        <f t="shared" si="32"/>
        <v>0</v>
      </c>
      <c r="AW43" s="79">
        <f t="shared" si="32"/>
        <v>0</v>
      </c>
      <c r="AX43" s="79">
        <f t="shared" si="32"/>
        <v>0</v>
      </c>
      <c r="AY43" s="79">
        <f t="shared" si="32"/>
        <v>0</v>
      </c>
      <c r="AZ43" s="79">
        <f t="shared" si="33"/>
        <v>0</v>
      </c>
      <c r="BA43" s="79">
        <f t="shared" si="33"/>
        <v>0</v>
      </c>
      <c r="BB43" s="79">
        <f t="shared" si="33"/>
        <v>0</v>
      </c>
      <c r="BC43" s="79">
        <f t="shared" si="33"/>
        <v>0</v>
      </c>
      <c r="BD43" s="79">
        <f t="shared" si="33"/>
        <v>0</v>
      </c>
      <c r="BE43" s="79">
        <f t="shared" si="33"/>
        <v>0</v>
      </c>
      <c r="BF43" s="80">
        <f t="shared" si="24"/>
        <v>1.1102230246251565E-16</v>
      </c>
    </row>
    <row r="44" spans="1:58" x14ac:dyDescent="0.25">
      <c r="A44" s="71">
        <v>28</v>
      </c>
      <c r="B44" s="72">
        <f t="shared" si="25"/>
        <v>46478</v>
      </c>
      <c r="C44" s="73">
        <f t="shared" si="2"/>
        <v>46507</v>
      </c>
      <c r="D44" s="67">
        <f t="shared" si="3"/>
        <v>30</v>
      </c>
      <c r="E44" s="67">
        <f t="shared" si="4"/>
        <v>4</v>
      </c>
      <c r="F44" s="74">
        <f t="shared" si="5"/>
        <v>46493</v>
      </c>
      <c r="G44" s="67">
        <f t="shared" si="6"/>
        <v>24327</v>
      </c>
      <c r="H44" s="75">
        <f t="shared" si="7"/>
        <v>1</v>
      </c>
      <c r="I44" s="76">
        <f t="shared" si="8"/>
        <v>1.1024</v>
      </c>
      <c r="J44" s="76">
        <f t="shared" si="9"/>
        <v>1.1575200000000001</v>
      </c>
      <c r="K44" s="67">
        <f t="shared" si="10"/>
        <v>1</v>
      </c>
      <c r="L44" s="67">
        <f t="shared" si="11"/>
        <v>30</v>
      </c>
      <c r="M44" s="77">
        <f t="shared" si="12"/>
        <v>1</v>
      </c>
      <c r="N44" s="76">
        <f t="shared" si="13"/>
        <v>1.1575200000000001</v>
      </c>
      <c r="O44" s="78">
        <f>'Mod Engine'!$E44</f>
        <v>0.87293216630196935</v>
      </c>
      <c r="P44" s="76">
        <f t="shared" si="14"/>
        <v>0</v>
      </c>
      <c r="Q44" s="76">
        <f t="shared" si="15"/>
        <v>1</v>
      </c>
      <c r="R44" s="76">
        <f t="shared" si="16"/>
        <v>0</v>
      </c>
      <c r="S44" s="76">
        <f t="shared" si="17"/>
        <v>1.1887487542798303</v>
      </c>
      <c r="T44" s="76">
        <f t="shared" si="18"/>
        <v>1.0387416655940276</v>
      </c>
      <c r="U44" s="76">
        <f t="shared" si="19"/>
        <v>1.1575200000000001</v>
      </c>
      <c r="V44" s="79">
        <f t="shared" si="30"/>
        <v>0</v>
      </c>
      <c r="W44" s="79">
        <f t="shared" si="30"/>
        <v>0</v>
      </c>
      <c r="X44" s="79">
        <f t="shared" si="30"/>
        <v>0</v>
      </c>
      <c r="Y44" s="79">
        <f t="shared" si="30"/>
        <v>0</v>
      </c>
      <c r="Z44" s="79">
        <f t="shared" si="30"/>
        <v>0</v>
      </c>
      <c r="AA44" s="79">
        <f t="shared" si="30"/>
        <v>0</v>
      </c>
      <c r="AB44" s="79">
        <f t="shared" si="30"/>
        <v>0</v>
      </c>
      <c r="AC44" s="79">
        <f t="shared" si="30"/>
        <v>0</v>
      </c>
      <c r="AD44" s="79">
        <f t="shared" si="30"/>
        <v>0</v>
      </c>
      <c r="AE44" s="79">
        <f t="shared" si="30"/>
        <v>0</v>
      </c>
      <c r="AF44" s="79">
        <f t="shared" si="31"/>
        <v>0</v>
      </c>
      <c r="AG44" s="79">
        <f t="shared" si="31"/>
        <v>0</v>
      </c>
      <c r="AH44" s="79">
        <f t="shared" si="31"/>
        <v>0</v>
      </c>
      <c r="AI44" s="79">
        <f t="shared" si="31"/>
        <v>0</v>
      </c>
      <c r="AJ44" s="79">
        <f t="shared" si="31"/>
        <v>0</v>
      </c>
      <c r="AK44" s="79">
        <f t="shared" si="31"/>
        <v>8.3333333333333329E-2</v>
      </c>
      <c r="AL44" s="79">
        <f t="shared" si="31"/>
        <v>0.16666666666666666</v>
      </c>
      <c r="AM44" s="79">
        <f t="shared" si="31"/>
        <v>0.16666666666666666</v>
      </c>
      <c r="AN44" s="79">
        <f t="shared" si="31"/>
        <v>0.16666666666666666</v>
      </c>
      <c r="AO44" s="79">
        <f t="shared" si="31"/>
        <v>0.16666666666666666</v>
      </c>
      <c r="AP44" s="79">
        <f t="shared" si="32"/>
        <v>0.16666666666666666</v>
      </c>
      <c r="AQ44" s="79">
        <f t="shared" si="32"/>
        <v>8.3333333333333329E-2</v>
      </c>
      <c r="AR44" s="79">
        <f t="shared" si="32"/>
        <v>0</v>
      </c>
      <c r="AS44" s="79">
        <f t="shared" si="32"/>
        <v>0</v>
      </c>
      <c r="AT44" s="79">
        <f t="shared" si="32"/>
        <v>0</v>
      </c>
      <c r="AU44" s="79">
        <f t="shared" si="32"/>
        <v>0</v>
      </c>
      <c r="AV44" s="79">
        <f t="shared" si="32"/>
        <v>0</v>
      </c>
      <c r="AW44" s="79">
        <f t="shared" si="32"/>
        <v>0</v>
      </c>
      <c r="AX44" s="79">
        <f t="shared" si="32"/>
        <v>0</v>
      </c>
      <c r="AY44" s="79">
        <f t="shared" si="32"/>
        <v>0</v>
      </c>
      <c r="AZ44" s="79">
        <f t="shared" si="33"/>
        <v>0</v>
      </c>
      <c r="BA44" s="79">
        <f t="shared" si="33"/>
        <v>0</v>
      </c>
      <c r="BB44" s="79">
        <f t="shared" si="33"/>
        <v>0</v>
      </c>
      <c r="BC44" s="79">
        <f t="shared" si="33"/>
        <v>0</v>
      </c>
      <c r="BD44" s="79">
        <f t="shared" si="33"/>
        <v>0</v>
      </c>
      <c r="BE44" s="79">
        <f t="shared" si="33"/>
        <v>0</v>
      </c>
      <c r="BF44" s="80">
        <f t="shared" si="24"/>
        <v>1.1102230246251565E-16</v>
      </c>
    </row>
    <row r="45" spans="1:58" x14ac:dyDescent="0.25">
      <c r="A45" s="71">
        <v>29</v>
      </c>
      <c r="B45" s="72">
        <f t="shared" si="25"/>
        <v>46508</v>
      </c>
      <c r="C45" s="73">
        <f t="shared" si="2"/>
        <v>46538</v>
      </c>
      <c r="D45" s="67">
        <f t="shared" si="3"/>
        <v>31</v>
      </c>
      <c r="E45" s="67">
        <f t="shared" si="4"/>
        <v>5</v>
      </c>
      <c r="F45" s="74">
        <f t="shared" si="5"/>
        <v>46523.5</v>
      </c>
      <c r="G45" s="67">
        <f t="shared" si="6"/>
        <v>24328</v>
      </c>
      <c r="H45" s="75">
        <f t="shared" si="7"/>
        <v>1</v>
      </c>
      <c r="I45" s="76">
        <f t="shared" si="8"/>
        <v>1.1575200000000001</v>
      </c>
      <c r="J45" s="76">
        <f t="shared" si="9"/>
        <v>1.1575200000000001</v>
      </c>
      <c r="K45" s="67">
        <f t="shared" si="10"/>
        <v>0</v>
      </c>
      <c r="L45" s="67">
        <f t="shared" si="11"/>
        <v>0</v>
      </c>
      <c r="M45" s="77">
        <f t="shared" si="12"/>
        <v>0</v>
      </c>
      <c r="N45" s="76">
        <f t="shared" si="13"/>
        <v>1.1575200000000001</v>
      </c>
      <c r="O45" s="78">
        <f>'Mod Engine'!$E45</f>
        <v>0.87493435448577683</v>
      </c>
      <c r="P45" s="76">
        <f t="shared" si="14"/>
        <v>0</v>
      </c>
      <c r="Q45" s="76">
        <f t="shared" si="15"/>
        <v>1</v>
      </c>
      <c r="R45" s="76">
        <f t="shared" si="16"/>
        <v>0</v>
      </c>
      <c r="S45" s="76">
        <f t="shared" si="17"/>
        <v>1.191475310593384</v>
      </c>
      <c r="T45" s="76">
        <f t="shared" si="18"/>
        <v>1.0411914017248036</v>
      </c>
      <c r="U45" s="76">
        <f t="shared" si="19"/>
        <v>1.1575200000000001</v>
      </c>
      <c r="V45" s="79">
        <f t="shared" si="30"/>
        <v>0</v>
      </c>
      <c r="W45" s="79">
        <f t="shared" si="30"/>
        <v>0</v>
      </c>
      <c r="X45" s="79">
        <f t="shared" si="30"/>
        <v>0</v>
      </c>
      <c r="Y45" s="79">
        <f t="shared" si="30"/>
        <v>0</v>
      </c>
      <c r="Z45" s="79">
        <f t="shared" si="30"/>
        <v>0</v>
      </c>
      <c r="AA45" s="79">
        <f t="shared" si="30"/>
        <v>0</v>
      </c>
      <c r="AB45" s="79">
        <f t="shared" si="30"/>
        <v>0</v>
      </c>
      <c r="AC45" s="79">
        <f t="shared" si="30"/>
        <v>0</v>
      </c>
      <c r="AD45" s="79">
        <f t="shared" si="30"/>
        <v>0</v>
      </c>
      <c r="AE45" s="79">
        <f t="shared" si="30"/>
        <v>0</v>
      </c>
      <c r="AF45" s="79">
        <f t="shared" si="31"/>
        <v>0</v>
      </c>
      <c r="AG45" s="79">
        <f t="shared" si="31"/>
        <v>0</v>
      </c>
      <c r="AH45" s="79">
        <f t="shared" si="31"/>
        <v>0</v>
      </c>
      <c r="AI45" s="79">
        <f t="shared" si="31"/>
        <v>0</v>
      </c>
      <c r="AJ45" s="79">
        <f t="shared" si="31"/>
        <v>0</v>
      </c>
      <c r="AK45" s="79">
        <f t="shared" si="31"/>
        <v>0</v>
      </c>
      <c r="AL45" s="79">
        <f t="shared" si="31"/>
        <v>8.3333333333333329E-2</v>
      </c>
      <c r="AM45" s="79">
        <f t="shared" si="31"/>
        <v>0.16666666666666666</v>
      </c>
      <c r="AN45" s="79">
        <f t="shared" si="31"/>
        <v>0.16666666666666666</v>
      </c>
      <c r="AO45" s="79">
        <f t="shared" si="31"/>
        <v>0.16666666666666666</v>
      </c>
      <c r="AP45" s="79">
        <f t="shared" si="32"/>
        <v>0.16666666666666666</v>
      </c>
      <c r="AQ45" s="79">
        <f t="shared" si="32"/>
        <v>0.16666666666666666</v>
      </c>
      <c r="AR45" s="79">
        <f t="shared" si="32"/>
        <v>8.3333333333333329E-2</v>
      </c>
      <c r="AS45" s="79">
        <f t="shared" si="32"/>
        <v>0</v>
      </c>
      <c r="AT45" s="79">
        <f t="shared" si="32"/>
        <v>0</v>
      </c>
      <c r="AU45" s="79">
        <f t="shared" si="32"/>
        <v>0</v>
      </c>
      <c r="AV45" s="79">
        <f t="shared" si="32"/>
        <v>0</v>
      </c>
      <c r="AW45" s="79">
        <f t="shared" si="32"/>
        <v>0</v>
      </c>
      <c r="AX45" s="79">
        <f t="shared" si="32"/>
        <v>0</v>
      </c>
      <c r="AY45" s="79">
        <f t="shared" si="32"/>
        <v>0</v>
      </c>
      <c r="AZ45" s="79">
        <f t="shared" si="33"/>
        <v>0</v>
      </c>
      <c r="BA45" s="79">
        <f t="shared" si="33"/>
        <v>0</v>
      </c>
      <c r="BB45" s="79">
        <f t="shared" si="33"/>
        <v>0</v>
      </c>
      <c r="BC45" s="79">
        <f t="shared" si="33"/>
        <v>0</v>
      </c>
      <c r="BD45" s="79">
        <f t="shared" si="33"/>
        <v>0</v>
      </c>
      <c r="BE45" s="79">
        <f t="shared" si="33"/>
        <v>0</v>
      </c>
      <c r="BF45" s="80">
        <f t="shared" si="24"/>
        <v>1.1102230246251565E-16</v>
      </c>
    </row>
    <row r="46" spans="1:58" x14ac:dyDescent="0.25">
      <c r="A46" s="71">
        <v>30</v>
      </c>
      <c r="B46" s="72">
        <f t="shared" si="25"/>
        <v>46539</v>
      </c>
      <c r="C46" s="73">
        <f t="shared" si="2"/>
        <v>46568</v>
      </c>
      <c r="D46" s="67">
        <f t="shared" si="3"/>
        <v>30</v>
      </c>
      <c r="E46" s="67">
        <f t="shared" si="4"/>
        <v>6</v>
      </c>
      <c r="F46" s="74">
        <f t="shared" si="5"/>
        <v>46554</v>
      </c>
      <c r="G46" s="67">
        <f t="shared" si="6"/>
        <v>24329</v>
      </c>
      <c r="H46" s="75">
        <f t="shared" si="7"/>
        <v>1</v>
      </c>
      <c r="I46" s="76">
        <f t="shared" si="8"/>
        <v>1.1575200000000001</v>
      </c>
      <c r="J46" s="76">
        <f t="shared" si="9"/>
        <v>1.1575200000000001</v>
      </c>
      <c r="K46" s="67">
        <f t="shared" si="10"/>
        <v>0</v>
      </c>
      <c r="L46" s="67">
        <f t="shared" si="11"/>
        <v>0</v>
      </c>
      <c r="M46" s="77">
        <f t="shared" si="12"/>
        <v>0</v>
      </c>
      <c r="N46" s="76">
        <f t="shared" si="13"/>
        <v>1.1575200000000001</v>
      </c>
      <c r="O46" s="78">
        <f>'Mod Engine'!$E46</f>
        <v>0.87693654266958421</v>
      </c>
      <c r="P46" s="76">
        <f t="shared" si="14"/>
        <v>0</v>
      </c>
      <c r="Q46" s="76">
        <f t="shared" si="15"/>
        <v>1</v>
      </c>
      <c r="R46" s="76">
        <f t="shared" si="16"/>
        <v>0</v>
      </c>
      <c r="S46" s="76">
        <f t="shared" si="17"/>
        <v>1.1942018669069379</v>
      </c>
      <c r="T46" s="76">
        <f t="shared" si="18"/>
        <v>1.0436411378555797</v>
      </c>
      <c r="U46" s="76">
        <f t="shared" si="19"/>
        <v>1.1575200000000001</v>
      </c>
      <c r="V46" s="79">
        <f t="shared" si="30"/>
        <v>0</v>
      </c>
      <c r="W46" s="79">
        <f t="shared" si="30"/>
        <v>0</v>
      </c>
      <c r="X46" s="79">
        <f t="shared" si="30"/>
        <v>0</v>
      </c>
      <c r="Y46" s="79">
        <f t="shared" si="30"/>
        <v>0</v>
      </c>
      <c r="Z46" s="79">
        <f t="shared" si="30"/>
        <v>0</v>
      </c>
      <c r="AA46" s="79">
        <f t="shared" si="30"/>
        <v>0</v>
      </c>
      <c r="AB46" s="79">
        <f t="shared" si="30"/>
        <v>0</v>
      </c>
      <c r="AC46" s="79">
        <f t="shared" si="30"/>
        <v>0</v>
      </c>
      <c r="AD46" s="79">
        <f t="shared" si="30"/>
        <v>0</v>
      </c>
      <c r="AE46" s="79">
        <f t="shared" si="30"/>
        <v>0</v>
      </c>
      <c r="AF46" s="79">
        <f t="shared" si="31"/>
        <v>0</v>
      </c>
      <c r="AG46" s="79">
        <f t="shared" si="31"/>
        <v>0</v>
      </c>
      <c r="AH46" s="79">
        <f t="shared" si="31"/>
        <v>0</v>
      </c>
      <c r="AI46" s="79">
        <f t="shared" si="31"/>
        <v>0</v>
      </c>
      <c r="AJ46" s="79">
        <f t="shared" si="31"/>
        <v>0</v>
      </c>
      <c r="AK46" s="79">
        <f t="shared" si="31"/>
        <v>0</v>
      </c>
      <c r="AL46" s="79">
        <f t="shared" si="31"/>
        <v>0</v>
      </c>
      <c r="AM46" s="79">
        <f t="shared" si="31"/>
        <v>8.3333333333333329E-2</v>
      </c>
      <c r="AN46" s="79">
        <f t="shared" si="31"/>
        <v>0.16666666666666666</v>
      </c>
      <c r="AO46" s="79">
        <f t="shared" si="31"/>
        <v>0.16666666666666666</v>
      </c>
      <c r="AP46" s="79">
        <f t="shared" si="32"/>
        <v>0.16666666666666666</v>
      </c>
      <c r="AQ46" s="79">
        <f t="shared" si="32"/>
        <v>0.16666666666666666</v>
      </c>
      <c r="AR46" s="79">
        <f t="shared" si="32"/>
        <v>0.16666666666666666</v>
      </c>
      <c r="AS46" s="79">
        <f t="shared" si="32"/>
        <v>8.3333333333333329E-2</v>
      </c>
      <c r="AT46" s="79">
        <f t="shared" si="32"/>
        <v>0</v>
      </c>
      <c r="AU46" s="79">
        <f t="shared" si="32"/>
        <v>0</v>
      </c>
      <c r="AV46" s="79">
        <f t="shared" si="32"/>
        <v>0</v>
      </c>
      <c r="AW46" s="79">
        <f t="shared" si="32"/>
        <v>0</v>
      </c>
      <c r="AX46" s="79">
        <f t="shared" si="32"/>
        <v>0</v>
      </c>
      <c r="AY46" s="79">
        <f t="shared" si="32"/>
        <v>0</v>
      </c>
      <c r="AZ46" s="79">
        <f t="shared" si="33"/>
        <v>0</v>
      </c>
      <c r="BA46" s="79">
        <f t="shared" si="33"/>
        <v>0</v>
      </c>
      <c r="BB46" s="79">
        <f t="shared" si="33"/>
        <v>0</v>
      </c>
      <c r="BC46" s="79">
        <f t="shared" si="33"/>
        <v>0</v>
      </c>
      <c r="BD46" s="79">
        <f t="shared" si="33"/>
        <v>0</v>
      </c>
      <c r="BE46" s="79">
        <f t="shared" si="33"/>
        <v>0</v>
      </c>
      <c r="BF46" s="80">
        <f t="shared" si="24"/>
        <v>1.1102230246251565E-16</v>
      </c>
    </row>
    <row r="47" spans="1:58" x14ac:dyDescent="0.25">
      <c r="A47" s="71">
        <v>31</v>
      </c>
      <c r="B47" s="72">
        <f t="shared" si="25"/>
        <v>46569</v>
      </c>
      <c r="C47" s="73">
        <f t="shared" si="2"/>
        <v>46599</v>
      </c>
      <c r="D47" s="67">
        <f t="shared" si="3"/>
        <v>31</v>
      </c>
      <c r="E47" s="67">
        <f t="shared" si="4"/>
        <v>7</v>
      </c>
      <c r="F47" s="74">
        <f t="shared" si="5"/>
        <v>46584.5</v>
      </c>
      <c r="G47" s="67">
        <f t="shared" si="6"/>
        <v>24330</v>
      </c>
      <c r="H47" s="75">
        <f t="shared" si="7"/>
        <v>1</v>
      </c>
      <c r="I47" s="76">
        <f t="shared" si="8"/>
        <v>1.1575200000000001</v>
      </c>
      <c r="J47" s="76">
        <f t="shared" si="9"/>
        <v>1.1575200000000001</v>
      </c>
      <c r="K47" s="67">
        <f t="shared" si="10"/>
        <v>0</v>
      </c>
      <c r="L47" s="67">
        <f t="shared" si="11"/>
        <v>0</v>
      </c>
      <c r="M47" s="77">
        <f t="shared" si="12"/>
        <v>0</v>
      </c>
      <c r="N47" s="76">
        <f t="shared" si="13"/>
        <v>1.1575200000000001</v>
      </c>
      <c r="O47" s="78">
        <f>'Mod Engine'!$E47</f>
        <v>0.87893873085339169</v>
      </c>
      <c r="P47" s="76">
        <f t="shared" si="14"/>
        <v>0</v>
      </c>
      <c r="Q47" s="76">
        <f t="shared" si="15"/>
        <v>0.91666666666666663</v>
      </c>
      <c r="R47" s="76">
        <f t="shared" si="16"/>
        <v>8.333333333333337E-2</v>
      </c>
      <c r="S47" s="76">
        <f t="shared" si="17"/>
        <v>1.1969284232204918</v>
      </c>
      <c r="T47" s="76">
        <f t="shared" si="18"/>
        <v>1.1088563264255376</v>
      </c>
      <c r="U47" s="76">
        <f t="shared" si="19"/>
        <v>1.1575200000000001</v>
      </c>
      <c r="V47" s="79">
        <f t="shared" ref="V47:AE56" si="34">IF(OR(V$15&lt;$G47,V$15&gt;$G47+$F$5),0,IF(OR(V$15=$G47,V$15=$G47+$F$5),0.5,1)/$F$5)</f>
        <v>0</v>
      </c>
      <c r="W47" s="79">
        <f t="shared" si="34"/>
        <v>0</v>
      </c>
      <c r="X47" s="79">
        <f t="shared" si="34"/>
        <v>0</v>
      </c>
      <c r="Y47" s="79">
        <f t="shared" si="34"/>
        <v>0</v>
      </c>
      <c r="Z47" s="79">
        <f t="shared" si="34"/>
        <v>0</v>
      </c>
      <c r="AA47" s="79">
        <f t="shared" si="34"/>
        <v>0</v>
      </c>
      <c r="AB47" s="79">
        <f t="shared" si="34"/>
        <v>0</v>
      </c>
      <c r="AC47" s="79">
        <f t="shared" si="34"/>
        <v>0</v>
      </c>
      <c r="AD47" s="79">
        <f t="shared" si="34"/>
        <v>0</v>
      </c>
      <c r="AE47" s="79">
        <f t="shared" si="34"/>
        <v>0</v>
      </c>
      <c r="AF47" s="79">
        <f t="shared" ref="AF47:AO56" si="35">IF(OR(AF$15&lt;$G47,AF$15&gt;$G47+$F$5),0,IF(OR(AF$15=$G47,AF$15=$G47+$F$5),0.5,1)/$F$5)</f>
        <v>0</v>
      </c>
      <c r="AG47" s="79">
        <f t="shared" si="35"/>
        <v>0</v>
      </c>
      <c r="AH47" s="79">
        <f t="shared" si="35"/>
        <v>0</v>
      </c>
      <c r="AI47" s="79">
        <f t="shared" si="35"/>
        <v>0</v>
      </c>
      <c r="AJ47" s="79">
        <f t="shared" si="35"/>
        <v>0</v>
      </c>
      <c r="AK47" s="79">
        <f t="shared" si="35"/>
        <v>0</v>
      </c>
      <c r="AL47" s="79">
        <f t="shared" si="35"/>
        <v>0</v>
      </c>
      <c r="AM47" s="79">
        <f t="shared" si="35"/>
        <v>0</v>
      </c>
      <c r="AN47" s="79">
        <f t="shared" si="35"/>
        <v>8.3333333333333329E-2</v>
      </c>
      <c r="AO47" s="79">
        <f t="shared" si="35"/>
        <v>0.16666666666666666</v>
      </c>
      <c r="AP47" s="79">
        <f t="shared" ref="AP47:AY56" si="36">IF(OR(AP$15&lt;$G47,AP$15&gt;$G47+$F$5),0,IF(OR(AP$15=$G47,AP$15=$G47+$F$5),0.5,1)/$F$5)</f>
        <v>0.16666666666666666</v>
      </c>
      <c r="AQ47" s="79">
        <f t="shared" si="36"/>
        <v>0.16666666666666666</v>
      </c>
      <c r="AR47" s="79">
        <f t="shared" si="36"/>
        <v>0.16666666666666666</v>
      </c>
      <c r="AS47" s="79">
        <f t="shared" si="36"/>
        <v>0.16666666666666666</v>
      </c>
      <c r="AT47" s="79">
        <f t="shared" si="36"/>
        <v>8.3333333333333329E-2</v>
      </c>
      <c r="AU47" s="79">
        <f t="shared" si="36"/>
        <v>0</v>
      </c>
      <c r="AV47" s="79">
        <f t="shared" si="36"/>
        <v>0</v>
      </c>
      <c r="AW47" s="79">
        <f t="shared" si="36"/>
        <v>0</v>
      </c>
      <c r="AX47" s="79">
        <f t="shared" si="36"/>
        <v>0</v>
      </c>
      <c r="AY47" s="79">
        <f t="shared" si="36"/>
        <v>0</v>
      </c>
      <c r="AZ47" s="79">
        <f t="shared" ref="AZ47:BE56" si="37">IF(OR(AZ$15&lt;$G47,AZ$15&gt;$G47+$F$5),0,IF(OR(AZ$15=$G47,AZ$15=$G47+$F$5),0.5,1)/$F$5)</f>
        <v>0</v>
      </c>
      <c r="BA47" s="79">
        <f t="shared" si="37"/>
        <v>0</v>
      </c>
      <c r="BB47" s="79">
        <f t="shared" si="37"/>
        <v>0</v>
      </c>
      <c r="BC47" s="79">
        <f t="shared" si="37"/>
        <v>0</v>
      </c>
      <c r="BD47" s="79">
        <f t="shared" si="37"/>
        <v>0</v>
      </c>
      <c r="BE47" s="79">
        <f t="shared" si="37"/>
        <v>0</v>
      </c>
      <c r="BF47" s="80">
        <f t="shared" si="24"/>
        <v>1.1102230246251565E-16</v>
      </c>
    </row>
    <row r="48" spans="1:58" x14ac:dyDescent="0.25">
      <c r="A48" s="71">
        <v>32</v>
      </c>
      <c r="B48" s="72">
        <f t="shared" si="25"/>
        <v>46600</v>
      </c>
      <c r="C48" s="73">
        <f t="shared" si="2"/>
        <v>46630</v>
      </c>
      <c r="D48" s="67">
        <f t="shared" si="3"/>
        <v>31</v>
      </c>
      <c r="E48" s="67">
        <f t="shared" si="4"/>
        <v>8</v>
      </c>
      <c r="F48" s="74">
        <f t="shared" si="5"/>
        <v>46615.5</v>
      </c>
      <c r="G48" s="67">
        <f t="shared" si="6"/>
        <v>24331</v>
      </c>
      <c r="H48" s="75">
        <f t="shared" si="7"/>
        <v>1</v>
      </c>
      <c r="I48" s="76">
        <f t="shared" si="8"/>
        <v>1.1575200000000001</v>
      </c>
      <c r="J48" s="76">
        <f t="shared" si="9"/>
        <v>1.1575200000000001</v>
      </c>
      <c r="K48" s="67">
        <f t="shared" si="10"/>
        <v>0</v>
      </c>
      <c r="L48" s="67">
        <f t="shared" si="11"/>
        <v>0</v>
      </c>
      <c r="M48" s="77">
        <f t="shared" si="12"/>
        <v>0</v>
      </c>
      <c r="N48" s="76">
        <f t="shared" si="13"/>
        <v>1.1575200000000001</v>
      </c>
      <c r="O48" s="78">
        <f>'Mod Engine'!$E48</f>
        <v>0.88097374179431076</v>
      </c>
      <c r="P48" s="76">
        <f t="shared" si="14"/>
        <v>0</v>
      </c>
      <c r="Q48" s="76">
        <f t="shared" si="15"/>
        <v>0.75</v>
      </c>
      <c r="R48" s="76">
        <f t="shared" si="16"/>
        <v>0.25</v>
      </c>
      <c r="S48" s="76">
        <f t="shared" si="17"/>
        <v>1.1996996771785302</v>
      </c>
      <c r="T48" s="76">
        <f t="shared" si="18"/>
        <v>1.1114956159093834</v>
      </c>
      <c r="U48" s="76">
        <f t="shared" si="19"/>
        <v>1.1575200000000001</v>
      </c>
      <c r="V48" s="79">
        <f t="shared" si="34"/>
        <v>0</v>
      </c>
      <c r="W48" s="79">
        <f t="shared" si="34"/>
        <v>0</v>
      </c>
      <c r="X48" s="79">
        <f t="shared" si="34"/>
        <v>0</v>
      </c>
      <c r="Y48" s="79">
        <f t="shared" si="34"/>
        <v>0</v>
      </c>
      <c r="Z48" s="79">
        <f t="shared" si="34"/>
        <v>0</v>
      </c>
      <c r="AA48" s="79">
        <f t="shared" si="34"/>
        <v>0</v>
      </c>
      <c r="AB48" s="79">
        <f t="shared" si="34"/>
        <v>0</v>
      </c>
      <c r="AC48" s="79">
        <f t="shared" si="34"/>
        <v>0</v>
      </c>
      <c r="AD48" s="79">
        <f t="shared" si="34"/>
        <v>0</v>
      </c>
      <c r="AE48" s="79">
        <f t="shared" si="34"/>
        <v>0</v>
      </c>
      <c r="AF48" s="79">
        <f t="shared" si="35"/>
        <v>0</v>
      </c>
      <c r="AG48" s="79">
        <f t="shared" si="35"/>
        <v>0</v>
      </c>
      <c r="AH48" s="79">
        <f t="shared" si="35"/>
        <v>0</v>
      </c>
      <c r="AI48" s="79">
        <f t="shared" si="35"/>
        <v>0</v>
      </c>
      <c r="AJ48" s="79">
        <f t="shared" si="35"/>
        <v>0</v>
      </c>
      <c r="AK48" s="79">
        <f t="shared" si="35"/>
        <v>0</v>
      </c>
      <c r="AL48" s="79">
        <f t="shared" si="35"/>
        <v>0</v>
      </c>
      <c r="AM48" s="79">
        <f t="shared" si="35"/>
        <v>0</v>
      </c>
      <c r="AN48" s="79">
        <f t="shared" si="35"/>
        <v>0</v>
      </c>
      <c r="AO48" s="79">
        <f t="shared" si="35"/>
        <v>8.3333333333333329E-2</v>
      </c>
      <c r="AP48" s="79">
        <f t="shared" si="36"/>
        <v>0.16666666666666666</v>
      </c>
      <c r="AQ48" s="79">
        <f t="shared" si="36"/>
        <v>0.16666666666666666</v>
      </c>
      <c r="AR48" s="79">
        <f t="shared" si="36"/>
        <v>0.16666666666666666</v>
      </c>
      <c r="AS48" s="79">
        <f t="shared" si="36"/>
        <v>0.16666666666666666</v>
      </c>
      <c r="AT48" s="79">
        <f t="shared" si="36"/>
        <v>0.16666666666666666</v>
      </c>
      <c r="AU48" s="79">
        <f t="shared" si="36"/>
        <v>8.3333333333333329E-2</v>
      </c>
      <c r="AV48" s="79">
        <f t="shared" si="36"/>
        <v>0</v>
      </c>
      <c r="AW48" s="79">
        <f t="shared" si="36"/>
        <v>0</v>
      </c>
      <c r="AX48" s="79">
        <f t="shared" si="36"/>
        <v>0</v>
      </c>
      <c r="AY48" s="79">
        <f t="shared" si="36"/>
        <v>0</v>
      </c>
      <c r="AZ48" s="79">
        <f t="shared" si="37"/>
        <v>0</v>
      </c>
      <c r="BA48" s="79">
        <f t="shared" si="37"/>
        <v>0</v>
      </c>
      <c r="BB48" s="79">
        <f t="shared" si="37"/>
        <v>0</v>
      </c>
      <c r="BC48" s="79">
        <f t="shared" si="37"/>
        <v>0</v>
      </c>
      <c r="BD48" s="79">
        <f t="shared" si="37"/>
        <v>0</v>
      </c>
      <c r="BE48" s="79">
        <f t="shared" si="37"/>
        <v>0</v>
      </c>
      <c r="BF48" s="80">
        <f t="shared" si="24"/>
        <v>1.1102230246251565E-16</v>
      </c>
    </row>
    <row r="49" spans="1:58" x14ac:dyDescent="0.25">
      <c r="A49" s="71">
        <v>33</v>
      </c>
      <c r="B49" s="72">
        <f t="shared" si="25"/>
        <v>46631</v>
      </c>
      <c r="C49" s="73">
        <f t="shared" si="2"/>
        <v>46660</v>
      </c>
      <c r="D49" s="67">
        <f t="shared" si="3"/>
        <v>30</v>
      </c>
      <c r="E49" s="67">
        <f t="shared" si="4"/>
        <v>9</v>
      </c>
      <c r="F49" s="74">
        <f t="shared" si="5"/>
        <v>46646</v>
      </c>
      <c r="G49" s="67">
        <f t="shared" si="6"/>
        <v>24332</v>
      </c>
      <c r="H49" s="75">
        <f t="shared" si="7"/>
        <v>1</v>
      </c>
      <c r="I49" s="76">
        <f t="shared" si="8"/>
        <v>1.1575200000000001</v>
      </c>
      <c r="J49" s="76">
        <f t="shared" si="9"/>
        <v>1.1575200000000001</v>
      </c>
      <c r="K49" s="67">
        <f t="shared" si="10"/>
        <v>0</v>
      </c>
      <c r="L49" s="67">
        <f t="shared" si="11"/>
        <v>0</v>
      </c>
      <c r="M49" s="77">
        <f t="shared" si="12"/>
        <v>0</v>
      </c>
      <c r="N49" s="76">
        <f t="shared" si="13"/>
        <v>1.1575200000000001</v>
      </c>
      <c r="O49" s="78">
        <f>'Mod Engine'!$E49</f>
        <v>0.88297592997811813</v>
      </c>
      <c r="P49" s="76">
        <f t="shared" si="14"/>
        <v>0</v>
      </c>
      <c r="Q49" s="76">
        <f t="shared" si="15"/>
        <v>0.58333333333333337</v>
      </c>
      <c r="R49" s="76">
        <f t="shared" si="16"/>
        <v>0.41666666666666663</v>
      </c>
      <c r="S49" s="76">
        <f t="shared" si="17"/>
        <v>1.2024262334920839</v>
      </c>
      <c r="T49" s="76">
        <f t="shared" si="18"/>
        <v>1.1140923362080062</v>
      </c>
      <c r="U49" s="76">
        <f t="shared" si="19"/>
        <v>1.1575200000000001</v>
      </c>
      <c r="V49" s="79">
        <f t="shared" si="34"/>
        <v>0</v>
      </c>
      <c r="W49" s="79">
        <f t="shared" si="34"/>
        <v>0</v>
      </c>
      <c r="X49" s="79">
        <f t="shared" si="34"/>
        <v>0</v>
      </c>
      <c r="Y49" s="79">
        <f t="shared" si="34"/>
        <v>0</v>
      </c>
      <c r="Z49" s="79">
        <f t="shared" si="34"/>
        <v>0</v>
      </c>
      <c r="AA49" s="79">
        <f t="shared" si="34"/>
        <v>0</v>
      </c>
      <c r="AB49" s="79">
        <f t="shared" si="34"/>
        <v>0</v>
      </c>
      <c r="AC49" s="79">
        <f t="shared" si="34"/>
        <v>0</v>
      </c>
      <c r="AD49" s="79">
        <f t="shared" si="34"/>
        <v>0</v>
      </c>
      <c r="AE49" s="79">
        <f t="shared" si="34"/>
        <v>0</v>
      </c>
      <c r="AF49" s="79">
        <f t="shared" si="35"/>
        <v>0</v>
      </c>
      <c r="AG49" s="79">
        <f t="shared" si="35"/>
        <v>0</v>
      </c>
      <c r="AH49" s="79">
        <f t="shared" si="35"/>
        <v>0</v>
      </c>
      <c r="AI49" s="79">
        <f t="shared" si="35"/>
        <v>0</v>
      </c>
      <c r="AJ49" s="79">
        <f t="shared" si="35"/>
        <v>0</v>
      </c>
      <c r="AK49" s="79">
        <f t="shared" si="35"/>
        <v>0</v>
      </c>
      <c r="AL49" s="79">
        <f t="shared" si="35"/>
        <v>0</v>
      </c>
      <c r="AM49" s="79">
        <f t="shared" si="35"/>
        <v>0</v>
      </c>
      <c r="AN49" s="79">
        <f t="shared" si="35"/>
        <v>0</v>
      </c>
      <c r="AO49" s="79">
        <f t="shared" si="35"/>
        <v>0</v>
      </c>
      <c r="AP49" s="79">
        <f t="shared" si="36"/>
        <v>8.3333333333333329E-2</v>
      </c>
      <c r="AQ49" s="79">
        <f t="shared" si="36"/>
        <v>0.16666666666666666</v>
      </c>
      <c r="AR49" s="79">
        <f t="shared" si="36"/>
        <v>0.16666666666666666</v>
      </c>
      <c r="AS49" s="79">
        <f t="shared" si="36"/>
        <v>0.16666666666666666</v>
      </c>
      <c r="AT49" s="79">
        <f t="shared" si="36"/>
        <v>0.16666666666666666</v>
      </c>
      <c r="AU49" s="79">
        <f t="shared" si="36"/>
        <v>0.16666666666666666</v>
      </c>
      <c r="AV49" s="79">
        <f t="shared" si="36"/>
        <v>8.3333333333333329E-2</v>
      </c>
      <c r="AW49" s="79">
        <f t="shared" si="36"/>
        <v>0</v>
      </c>
      <c r="AX49" s="79">
        <f t="shared" si="36"/>
        <v>0</v>
      </c>
      <c r="AY49" s="79">
        <f t="shared" si="36"/>
        <v>0</v>
      </c>
      <c r="AZ49" s="79">
        <f t="shared" si="37"/>
        <v>0</v>
      </c>
      <c r="BA49" s="79">
        <f t="shared" si="37"/>
        <v>0</v>
      </c>
      <c r="BB49" s="79">
        <f t="shared" si="37"/>
        <v>0</v>
      </c>
      <c r="BC49" s="79">
        <f t="shared" si="37"/>
        <v>0</v>
      </c>
      <c r="BD49" s="79">
        <f t="shared" si="37"/>
        <v>0</v>
      </c>
      <c r="BE49" s="79">
        <f t="shared" si="37"/>
        <v>0</v>
      </c>
      <c r="BF49" s="80">
        <f t="shared" si="24"/>
        <v>1.1102230246251565E-16</v>
      </c>
    </row>
    <row r="50" spans="1:58" x14ac:dyDescent="0.25">
      <c r="A50" s="71">
        <v>34</v>
      </c>
      <c r="B50" s="72">
        <f t="shared" si="25"/>
        <v>46661</v>
      </c>
      <c r="C50" s="73">
        <f t="shared" si="2"/>
        <v>46691</v>
      </c>
      <c r="D50" s="67">
        <f t="shared" si="3"/>
        <v>31</v>
      </c>
      <c r="E50" s="67">
        <f t="shared" si="4"/>
        <v>10</v>
      </c>
      <c r="F50" s="74">
        <f t="shared" si="5"/>
        <v>46676.5</v>
      </c>
      <c r="G50" s="67">
        <f t="shared" si="6"/>
        <v>24333</v>
      </c>
      <c r="H50" s="75">
        <f t="shared" si="7"/>
        <v>1</v>
      </c>
      <c r="I50" s="76">
        <f t="shared" si="8"/>
        <v>1.1575200000000001</v>
      </c>
      <c r="J50" s="76">
        <f t="shared" si="9"/>
        <v>1.1575200000000001</v>
      </c>
      <c r="K50" s="67">
        <f t="shared" si="10"/>
        <v>0</v>
      </c>
      <c r="L50" s="67">
        <f t="shared" si="11"/>
        <v>0</v>
      </c>
      <c r="M50" s="77">
        <f t="shared" si="12"/>
        <v>0</v>
      </c>
      <c r="N50" s="76">
        <f t="shared" si="13"/>
        <v>1.1575200000000001</v>
      </c>
      <c r="O50" s="78">
        <f>'Mod Engine'!$E50</f>
        <v>0.88497811816192562</v>
      </c>
      <c r="P50" s="76">
        <f t="shared" si="14"/>
        <v>0</v>
      </c>
      <c r="Q50" s="76">
        <f t="shared" si="15"/>
        <v>0.41666666666666669</v>
      </c>
      <c r="R50" s="76">
        <f t="shared" si="16"/>
        <v>0.58333333333333326</v>
      </c>
      <c r="S50" s="76">
        <f t="shared" si="17"/>
        <v>1.205152789805638</v>
      </c>
      <c r="T50" s="76">
        <f t="shared" si="18"/>
        <v>1.116689056506629</v>
      </c>
      <c r="U50" s="76">
        <f t="shared" si="19"/>
        <v>1.1575200000000001</v>
      </c>
      <c r="V50" s="79">
        <f t="shared" si="34"/>
        <v>0</v>
      </c>
      <c r="W50" s="79">
        <f t="shared" si="34"/>
        <v>0</v>
      </c>
      <c r="X50" s="79">
        <f t="shared" si="34"/>
        <v>0</v>
      </c>
      <c r="Y50" s="79">
        <f t="shared" si="34"/>
        <v>0</v>
      </c>
      <c r="Z50" s="79">
        <f t="shared" si="34"/>
        <v>0</v>
      </c>
      <c r="AA50" s="79">
        <f t="shared" si="34"/>
        <v>0</v>
      </c>
      <c r="AB50" s="79">
        <f t="shared" si="34"/>
        <v>0</v>
      </c>
      <c r="AC50" s="79">
        <f t="shared" si="34"/>
        <v>0</v>
      </c>
      <c r="AD50" s="79">
        <f t="shared" si="34"/>
        <v>0</v>
      </c>
      <c r="AE50" s="79">
        <f t="shared" si="34"/>
        <v>0</v>
      </c>
      <c r="AF50" s="79">
        <f t="shared" si="35"/>
        <v>0</v>
      </c>
      <c r="AG50" s="79">
        <f t="shared" si="35"/>
        <v>0</v>
      </c>
      <c r="AH50" s="79">
        <f t="shared" si="35"/>
        <v>0</v>
      </c>
      <c r="AI50" s="79">
        <f t="shared" si="35"/>
        <v>0</v>
      </c>
      <c r="AJ50" s="79">
        <f t="shared" si="35"/>
        <v>0</v>
      </c>
      <c r="AK50" s="79">
        <f t="shared" si="35"/>
        <v>0</v>
      </c>
      <c r="AL50" s="79">
        <f t="shared" si="35"/>
        <v>0</v>
      </c>
      <c r="AM50" s="79">
        <f t="shared" si="35"/>
        <v>0</v>
      </c>
      <c r="AN50" s="79">
        <f t="shared" si="35"/>
        <v>0</v>
      </c>
      <c r="AO50" s="79">
        <f t="shared" si="35"/>
        <v>0</v>
      </c>
      <c r="AP50" s="79">
        <f t="shared" si="36"/>
        <v>0</v>
      </c>
      <c r="AQ50" s="79">
        <f t="shared" si="36"/>
        <v>8.3333333333333329E-2</v>
      </c>
      <c r="AR50" s="79">
        <f t="shared" si="36"/>
        <v>0.16666666666666666</v>
      </c>
      <c r="AS50" s="79">
        <f t="shared" si="36"/>
        <v>0.16666666666666666</v>
      </c>
      <c r="AT50" s="79">
        <f t="shared" si="36"/>
        <v>0.16666666666666666</v>
      </c>
      <c r="AU50" s="79">
        <f t="shared" si="36"/>
        <v>0.16666666666666666</v>
      </c>
      <c r="AV50" s="79">
        <f t="shared" si="36"/>
        <v>0.16666666666666666</v>
      </c>
      <c r="AW50" s="79">
        <f t="shared" si="36"/>
        <v>8.3333333333333329E-2</v>
      </c>
      <c r="AX50" s="79">
        <f t="shared" si="36"/>
        <v>0</v>
      </c>
      <c r="AY50" s="79">
        <f t="shared" si="36"/>
        <v>0</v>
      </c>
      <c r="AZ50" s="79">
        <f t="shared" si="37"/>
        <v>0</v>
      </c>
      <c r="BA50" s="79">
        <f t="shared" si="37"/>
        <v>0</v>
      </c>
      <c r="BB50" s="79">
        <f t="shared" si="37"/>
        <v>0</v>
      </c>
      <c r="BC50" s="79">
        <f t="shared" si="37"/>
        <v>0</v>
      </c>
      <c r="BD50" s="79">
        <f t="shared" si="37"/>
        <v>0</v>
      </c>
      <c r="BE50" s="79">
        <f t="shared" si="37"/>
        <v>0</v>
      </c>
      <c r="BF50" s="80">
        <f t="shared" si="24"/>
        <v>1.1102230246251565E-16</v>
      </c>
    </row>
    <row r="51" spans="1:58" x14ac:dyDescent="0.25">
      <c r="A51" s="71">
        <v>35</v>
      </c>
      <c r="B51" s="72">
        <f t="shared" si="25"/>
        <v>46692</v>
      </c>
      <c r="C51" s="73">
        <f t="shared" si="2"/>
        <v>46721</v>
      </c>
      <c r="D51" s="67">
        <f t="shared" si="3"/>
        <v>30</v>
      </c>
      <c r="E51" s="67">
        <f t="shared" si="4"/>
        <v>11</v>
      </c>
      <c r="F51" s="74">
        <f t="shared" si="5"/>
        <v>46707</v>
      </c>
      <c r="G51" s="67">
        <f t="shared" si="6"/>
        <v>24334</v>
      </c>
      <c r="H51" s="75">
        <f t="shared" si="7"/>
        <v>1</v>
      </c>
      <c r="I51" s="76">
        <f t="shared" si="8"/>
        <v>1.1575200000000001</v>
      </c>
      <c r="J51" s="76">
        <f t="shared" si="9"/>
        <v>1.1575200000000001</v>
      </c>
      <c r="K51" s="67">
        <f t="shared" si="10"/>
        <v>0</v>
      </c>
      <c r="L51" s="67">
        <f t="shared" si="11"/>
        <v>0</v>
      </c>
      <c r="M51" s="77">
        <f t="shared" si="12"/>
        <v>0</v>
      </c>
      <c r="N51" s="76">
        <f t="shared" si="13"/>
        <v>1.1575200000000001</v>
      </c>
      <c r="O51" s="78">
        <f>'Mod Engine'!$E51</f>
        <v>0.8869803063457331</v>
      </c>
      <c r="P51" s="76">
        <f t="shared" si="14"/>
        <v>0</v>
      </c>
      <c r="Q51" s="76">
        <f t="shared" si="15"/>
        <v>0.25</v>
      </c>
      <c r="R51" s="76">
        <f t="shared" si="16"/>
        <v>0.75</v>
      </c>
      <c r="S51" s="76">
        <f t="shared" si="17"/>
        <v>1.2078793461191919</v>
      </c>
      <c r="T51" s="76">
        <f t="shared" si="18"/>
        <v>1.1192857768052518</v>
      </c>
      <c r="U51" s="76">
        <f t="shared" si="19"/>
        <v>1.1575200000000001</v>
      </c>
      <c r="V51" s="79">
        <f t="shared" si="34"/>
        <v>0</v>
      </c>
      <c r="W51" s="79">
        <f t="shared" si="34"/>
        <v>0</v>
      </c>
      <c r="X51" s="79">
        <f t="shared" si="34"/>
        <v>0</v>
      </c>
      <c r="Y51" s="79">
        <f t="shared" si="34"/>
        <v>0</v>
      </c>
      <c r="Z51" s="79">
        <f t="shared" si="34"/>
        <v>0</v>
      </c>
      <c r="AA51" s="79">
        <f t="shared" si="34"/>
        <v>0</v>
      </c>
      <c r="AB51" s="79">
        <f t="shared" si="34"/>
        <v>0</v>
      </c>
      <c r="AC51" s="79">
        <f t="shared" si="34"/>
        <v>0</v>
      </c>
      <c r="AD51" s="79">
        <f t="shared" si="34"/>
        <v>0</v>
      </c>
      <c r="AE51" s="79">
        <f t="shared" si="34"/>
        <v>0</v>
      </c>
      <c r="AF51" s="79">
        <f t="shared" si="35"/>
        <v>0</v>
      </c>
      <c r="AG51" s="79">
        <f t="shared" si="35"/>
        <v>0</v>
      </c>
      <c r="AH51" s="79">
        <f t="shared" si="35"/>
        <v>0</v>
      </c>
      <c r="AI51" s="79">
        <f t="shared" si="35"/>
        <v>0</v>
      </c>
      <c r="AJ51" s="79">
        <f t="shared" si="35"/>
        <v>0</v>
      </c>
      <c r="AK51" s="79">
        <f t="shared" si="35"/>
        <v>0</v>
      </c>
      <c r="AL51" s="79">
        <f t="shared" si="35"/>
        <v>0</v>
      </c>
      <c r="AM51" s="79">
        <f t="shared" si="35"/>
        <v>0</v>
      </c>
      <c r="AN51" s="79">
        <f t="shared" si="35"/>
        <v>0</v>
      </c>
      <c r="AO51" s="79">
        <f t="shared" si="35"/>
        <v>0</v>
      </c>
      <c r="AP51" s="79">
        <f t="shared" si="36"/>
        <v>0</v>
      </c>
      <c r="AQ51" s="79">
        <f t="shared" si="36"/>
        <v>0</v>
      </c>
      <c r="AR51" s="79">
        <f t="shared" si="36"/>
        <v>8.3333333333333329E-2</v>
      </c>
      <c r="AS51" s="79">
        <f t="shared" si="36"/>
        <v>0.16666666666666666</v>
      </c>
      <c r="AT51" s="79">
        <f t="shared" si="36"/>
        <v>0.16666666666666666</v>
      </c>
      <c r="AU51" s="79">
        <f t="shared" si="36"/>
        <v>0.16666666666666666</v>
      </c>
      <c r="AV51" s="79">
        <f t="shared" si="36"/>
        <v>0.16666666666666666</v>
      </c>
      <c r="AW51" s="79">
        <f t="shared" si="36"/>
        <v>0.16666666666666666</v>
      </c>
      <c r="AX51" s="79">
        <f t="shared" si="36"/>
        <v>8.3333333333333329E-2</v>
      </c>
      <c r="AY51" s="79">
        <f t="shared" si="36"/>
        <v>0</v>
      </c>
      <c r="AZ51" s="79">
        <f t="shared" si="37"/>
        <v>0</v>
      </c>
      <c r="BA51" s="79">
        <f t="shared" si="37"/>
        <v>0</v>
      </c>
      <c r="BB51" s="79">
        <f t="shared" si="37"/>
        <v>0</v>
      </c>
      <c r="BC51" s="79">
        <f t="shared" si="37"/>
        <v>0</v>
      </c>
      <c r="BD51" s="79">
        <f t="shared" si="37"/>
        <v>0</v>
      </c>
      <c r="BE51" s="79">
        <f t="shared" si="37"/>
        <v>0</v>
      </c>
      <c r="BF51" s="80">
        <f t="shared" si="24"/>
        <v>1.1102230246251565E-16</v>
      </c>
    </row>
    <row r="52" spans="1:58" x14ac:dyDescent="0.25">
      <c r="A52" s="71">
        <v>36</v>
      </c>
      <c r="B52" s="72">
        <f t="shared" si="25"/>
        <v>46722</v>
      </c>
      <c r="C52" s="73">
        <f t="shared" si="2"/>
        <v>46752</v>
      </c>
      <c r="D52" s="67">
        <f t="shared" si="3"/>
        <v>31</v>
      </c>
      <c r="E52" s="67">
        <f t="shared" si="4"/>
        <v>12</v>
      </c>
      <c r="F52" s="74">
        <f t="shared" si="5"/>
        <v>46737.5</v>
      </c>
      <c r="G52" s="67">
        <f t="shared" si="6"/>
        <v>24335</v>
      </c>
      <c r="H52" s="75">
        <f t="shared" si="7"/>
        <v>1</v>
      </c>
      <c r="I52" s="76">
        <f t="shared" si="8"/>
        <v>1.1575200000000001</v>
      </c>
      <c r="J52" s="76">
        <f t="shared" si="9"/>
        <v>1.1575200000000001</v>
      </c>
      <c r="K52" s="67">
        <f t="shared" si="10"/>
        <v>0</v>
      </c>
      <c r="L52" s="67">
        <f t="shared" si="11"/>
        <v>0</v>
      </c>
      <c r="M52" s="77">
        <f t="shared" si="12"/>
        <v>0</v>
      </c>
      <c r="N52" s="76">
        <f t="shared" si="13"/>
        <v>1.1575200000000001</v>
      </c>
      <c r="O52" s="78">
        <f>'Mod Engine'!$E52</f>
        <v>0.88898249452954048</v>
      </c>
      <c r="P52" s="76">
        <f t="shared" si="14"/>
        <v>0</v>
      </c>
      <c r="Q52" s="76">
        <f t="shared" si="15"/>
        <v>8.3333333333333329E-2</v>
      </c>
      <c r="R52" s="76">
        <f t="shared" si="16"/>
        <v>0.91666666666666663</v>
      </c>
      <c r="S52" s="76">
        <f t="shared" si="17"/>
        <v>1.2106059024327456</v>
      </c>
      <c r="T52" s="76">
        <f t="shared" si="18"/>
        <v>1.1218824971038743</v>
      </c>
      <c r="U52" s="76">
        <f t="shared" si="19"/>
        <v>1.1575200000000001</v>
      </c>
      <c r="V52" s="79">
        <f t="shared" si="34"/>
        <v>0</v>
      </c>
      <c r="W52" s="79">
        <f t="shared" si="34"/>
        <v>0</v>
      </c>
      <c r="X52" s="79">
        <f t="shared" si="34"/>
        <v>0</v>
      </c>
      <c r="Y52" s="79">
        <f t="shared" si="34"/>
        <v>0</v>
      </c>
      <c r="Z52" s="79">
        <f t="shared" si="34"/>
        <v>0</v>
      </c>
      <c r="AA52" s="79">
        <f t="shared" si="34"/>
        <v>0</v>
      </c>
      <c r="AB52" s="79">
        <f t="shared" si="34"/>
        <v>0</v>
      </c>
      <c r="AC52" s="79">
        <f t="shared" si="34"/>
        <v>0</v>
      </c>
      <c r="AD52" s="79">
        <f t="shared" si="34"/>
        <v>0</v>
      </c>
      <c r="AE52" s="79">
        <f t="shared" si="34"/>
        <v>0</v>
      </c>
      <c r="AF52" s="79">
        <f t="shared" si="35"/>
        <v>0</v>
      </c>
      <c r="AG52" s="79">
        <f t="shared" si="35"/>
        <v>0</v>
      </c>
      <c r="AH52" s="79">
        <f t="shared" si="35"/>
        <v>0</v>
      </c>
      <c r="AI52" s="79">
        <f t="shared" si="35"/>
        <v>0</v>
      </c>
      <c r="AJ52" s="79">
        <f t="shared" si="35"/>
        <v>0</v>
      </c>
      <c r="AK52" s="79">
        <f t="shared" si="35"/>
        <v>0</v>
      </c>
      <c r="AL52" s="79">
        <f t="shared" si="35"/>
        <v>0</v>
      </c>
      <c r="AM52" s="79">
        <f t="shared" si="35"/>
        <v>0</v>
      </c>
      <c r="AN52" s="79">
        <f t="shared" si="35"/>
        <v>0</v>
      </c>
      <c r="AO52" s="79">
        <f t="shared" si="35"/>
        <v>0</v>
      </c>
      <c r="AP52" s="79">
        <f t="shared" si="36"/>
        <v>0</v>
      </c>
      <c r="AQ52" s="79">
        <f t="shared" si="36"/>
        <v>0</v>
      </c>
      <c r="AR52" s="79">
        <f t="shared" si="36"/>
        <v>0</v>
      </c>
      <c r="AS52" s="79">
        <f t="shared" si="36"/>
        <v>8.3333333333333329E-2</v>
      </c>
      <c r="AT52" s="79">
        <f t="shared" si="36"/>
        <v>0.16666666666666666</v>
      </c>
      <c r="AU52" s="79">
        <f t="shared" si="36"/>
        <v>0.16666666666666666</v>
      </c>
      <c r="AV52" s="79">
        <f t="shared" si="36"/>
        <v>0.16666666666666666</v>
      </c>
      <c r="AW52" s="79">
        <f t="shared" si="36"/>
        <v>0.16666666666666666</v>
      </c>
      <c r="AX52" s="79">
        <f t="shared" si="36"/>
        <v>0.16666666666666666</v>
      </c>
      <c r="AY52" s="79">
        <f t="shared" si="36"/>
        <v>8.3333333333333329E-2</v>
      </c>
      <c r="AZ52" s="79">
        <f t="shared" si="37"/>
        <v>0</v>
      </c>
      <c r="BA52" s="79">
        <f t="shared" si="37"/>
        <v>0</v>
      </c>
      <c r="BB52" s="79">
        <f t="shared" si="37"/>
        <v>0</v>
      </c>
      <c r="BC52" s="79">
        <f t="shared" si="37"/>
        <v>0</v>
      </c>
      <c r="BD52" s="79">
        <f t="shared" si="37"/>
        <v>0</v>
      </c>
      <c r="BE52" s="79">
        <f t="shared" si="37"/>
        <v>0</v>
      </c>
      <c r="BF52" s="80">
        <f t="shared" si="24"/>
        <v>1.1102230246251565E-16</v>
      </c>
    </row>
    <row r="53" spans="1:58" x14ac:dyDescent="0.25">
      <c r="A53" s="71">
        <v>37</v>
      </c>
      <c r="B53" s="72">
        <f t="shared" si="25"/>
        <v>46753</v>
      </c>
      <c r="C53" s="73">
        <f t="shared" si="2"/>
        <v>46783</v>
      </c>
      <c r="D53" s="67">
        <f t="shared" si="3"/>
        <v>31</v>
      </c>
      <c r="E53" s="67">
        <f t="shared" si="4"/>
        <v>1</v>
      </c>
      <c r="F53" s="74">
        <f t="shared" si="5"/>
        <v>46768.5</v>
      </c>
      <c r="G53" s="67">
        <f t="shared" si="6"/>
        <v>24336</v>
      </c>
      <c r="H53" s="75">
        <f t="shared" si="7"/>
        <v>1</v>
      </c>
      <c r="I53" s="76">
        <f t="shared" si="8"/>
        <v>1.1575200000000001</v>
      </c>
      <c r="J53" s="76">
        <f t="shared" si="9"/>
        <v>1.1575200000000001</v>
      </c>
      <c r="K53" s="67">
        <f t="shared" si="10"/>
        <v>0</v>
      </c>
      <c r="L53" s="67">
        <f t="shared" si="11"/>
        <v>0</v>
      </c>
      <c r="M53" s="77">
        <f t="shared" si="12"/>
        <v>0</v>
      </c>
      <c r="N53" s="76">
        <f t="shared" si="13"/>
        <v>1.1575200000000001</v>
      </c>
      <c r="O53" s="78">
        <f>'Mod Engine'!$E53</f>
        <v>0.89</v>
      </c>
      <c r="P53" s="76">
        <f t="shared" si="14"/>
        <v>0</v>
      </c>
      <c r="Q53" s="76">
        <f t="shared" si="15"/>
        <v>0</v>
      </c>
      <c r="R53" s="76">
        <f t="shared" si="16"/>
        <v>1</v>
      </c>
      <c r="S53" s="76">
        <f t="shared" si="17"/>
        <v>1.2119915294117649</v>
      </c>
      <c r="T53" s="76">
        <f t="shared" si="18"/>
        <v>1.031553095636504</v>
      </c>
      <c r="U53" s="76">
        <f t="shared" si="19"/>
        <v>1.1575200000000001</v>
      </c>
      <c r="V53" s="79">
        <f t="shared" si="34"/>
        <v>0</v>
      </c>
      <c r="W53" s="79">
        <f t="shared" si="34"/>
        <v>0</v>
      </c>
      <c r="X53" s="79">
        <f t="shared" si="34"/>
        <v>0</v>
      </c>
      <c r="Y53" s="79">
        <f t="shared" si="34"/>
        <v>0</v>
      </c>
      <c r="Z53" s="79">
        <f t="shared" si="34"/>
        <v>0</v>
      </c>
      <c r="AA53" s="79">
        <f t="shared" si="34"/>
        <v>0</v>
      </c>
      <c r="AB53" s="79">
        <f t="shared" si="34"/>
        <v>0</v>
      </c>
      <c r="AC53" s="79">
        <f t="shared" si="34"/>
        <v>0</v>
      </c>
      <c r="AD53" s="79">
        <f t="shared" si="34"/>
        <v>0</v>
      </c>
      <c r="AE53" s="79">
        <f t="shared" si="34"/>
        <v>0</v>
      </c>
      <c r="AF53" s="79">
        <f t="shared" si="35"/>
        <v>0</v>
      </c>
      <c r="AG53" s="79">
        <f t="shared" si="35"/>
        <v>0</v>
      </c>
      <c r="AH53" s="79">
        <f t="shared" si="35"/>
        <v>0</v>
      </c>
      <c r="AI53" s="79">
        <f t="shared" si="35"/>
        <v>0</v>
      </c>
      <c r="AJ53" s="79">
        <f t="shared" si="35"/>
        <v>0</v>
      </c>
      <c r="AK53" s="79">
        <f t="shared" si="35"/>
        <v>0</v>
      </c>
      <c r="AL53" s="79">
        <f t="shared" si="35"/>
        <v>0</v>
      </c>
      <c r="AM53" s="79">
        <f t="shared" si="35"/>
        <v>0</v>
      </c>
      <c r="AN53" s="79">
        <f t="shared" si="35"/>
        <v>0</v>
      </c>
      <c r="AO53" s="79">
        <f t="shared" si="35"/>
        <v>0</v>
      </c>
      <c r="AP53" s="79">
        <f t="shared" si="36"/>
        <v>0</v>
      </c>
      <c r="AQ53" s="79">
        <f t="shared" si="36"/>
        <v>0</v>
      </c>
      <c r="AR53" s="79">
        <f t="shared" si="36"/>
        <v>0</v>
      </c>
      <c r="AS53" s="79">
        <f t="shared" si="36"/>
        <v>0</v>
      </c>
      <c r="AT53" s="79">
        <f t="shared" si="36"/>
        <v>8.3333333333333329E-2</v>
      </c>
      <c r="AU53" s="79">
        <f t="shared" si="36"/>
        <v>0.16666666666666666</v>
      </c>
      <c r="AV53" s="79">
        <f t="shared" si="36"/>
        <v>0.16666666666666666</v>
      </c>
      <c r="AW53" s="79">
        <f t="shared" si="36"/>
        <v>0.16666666666666666</v>
      </c>
      <c r="AX53" s="79">
        <f t="shared" si="36"/>
        <v>0.16666666666666666</v>
      </c>
      <c r="AY53" s="79">
        <f t="shared" si="36"/>
        <v>0.16666666666666666</v>
      </c>
      <c r="AZ53" s="79">
        <f t="shared" si="37"/>
        <v>8.3333333333333329E-2</v>
      </c>
      <c r="BA53" s="79">
        <f t="shared" si="37"/>
        <v>0</v>
      </c>
      <c r="BB53" s="79">
        <f t="shared" si="37"/>
        <v>0</v>
      </c>
      <c r="BC53" s="79">
        <f t="shared" si="37"/>
        <v>0</v>
      </c>
      <c r="BD53" s="79">
        <f t="shared" si="37"/>
        <v>0</v>
      </c>
      <c r="BE53" s="79">
        <f t="shared" si="37"/>
        <v>0</v>
      </c>
      <c r="BF53" s="80">
        <f t="shared" si="24"/>
        <v>1.1102230246251565E-16</v>
      </c>
    </row>
    <row r="54" spans="1:58" x14ac:dyDescent="0.25">
      <c r="A54" s="71">
        <v>38</v>
      </c>
      <c r="B54" s="72">
        <f t="shared" si="25"/>
        <v>46784</v>
      </c>
      <c r="C54" s="73">
        <f t="shared" si="2"/>
        <v>46812</v>
      </c>
      <c r="D54" s="67">
        <f t="shared" si="3"/>
        <v>29</v>
      </c>
      <c r="E54" s="67">
        <f t="shared" si="4"/>
        <v>2</v>
      </c>
      <c r="F54" s="74">
        <f t="shared" si="5"/>
        <v>46798.5</v>
      </c>
      <c r="G54" s="67">
        <f t="shared" si="6"/>
        <v>24337</v>
      </c>
      <c r="H54" s="75">
        <f t="shared" si="7"/>
        <v>1</v>
      </c>
      <c r="I54" s="76">
        <f t="shared" si="8"/>
        <v>1.1575200000000001</v>
      </c>
      <c r="J54" s="76">
        <f t="shared" si="9"/>
        <v>1.1575200000000001</v>
      </c>
      <c r="K54" s="67">
        <f t="shared" si="10"/>
        <v>0</v>
      </c>
      <c r="L54" s="67">
        <f t="shared" si="11"/>
        <v>0</v>
      </c>
      <c r="M54" s="77">
        <f t="shared" si="12"/>
        <v>0</v>
      </c>
      <c r="N54" s="76">
        <f t="shared" si="13"/>
        <v>1.1575200000000001</v>
      </c>
      <c r="O54" s="78">
        <f>'Mod Engine'!$E54</f>
        <v>0.89</v>
      </c>
      <c r="P54" s="76">
        <f t="shared" si="14"/>
        <v>0</v>
      </c>
      <c r="Q54" s="76">
        <f t="shared" si="15"/>
        <v>0</v>
      </c>
      <c r="R54" s="76">
        <f t="shared" si="16"/>
        <v>1</v>
      </c>
      <c r="S54" s="76">
        <f t="shared" si="17"/>
        <v>1.2119915294117649</v>
      </c>
      <c r="T54" s="76">
        <f t="shared" si="18"/>
        <v>1.0339225125498777</v>
      </c>
      <c r="U54" s="76">
        <f t="shared" si="19"/>
        <v>1.1575200000000001</v>
      </c>
      <c r="V54" s="79">
        <f t="shared" si="34"/>
        <v>0</v>
      </c>
      <c r="W54" s="79">
        <f t="shared" si="34"/>
        <v>0</v>
      </c>
      <c r="X54" s="79">
        <f t="shared" si="34"/>
        <v>0</v>
      </c>
      <c r="Y54" s="79">
        <f t="shared" si="34"/>
        <v>0</v>
      </c>
      <c r="Z54" s="79">
        <f t="shared" si="34"/>
        <v>0</v>
      </c>
      <c r="AA54" s="79">
        <f t="shared" si="34"/>
        <v>0</v>
      </c>
      <c r="AB54" s="79">
        <f t="shared" si="34"/>
        <v>0</v>
      </c>
      <c r="AC54" s="79">
        <f t="shared" si="34"/>
        <v>0</v>
      </c>
      <c r="AD54" s="79">
        <f t="shared" si="34"/>
        <v>0</v>
      </c>
      <c r="AE54" s="79">
        <f t="shared" si="34"/>
        <v>0</v>
      </c>
      <c r="AF54" s="79">
        <f t="shared" si="35"/>
        <v>0</v>
      </c>
      <c r="AG54" s="79">
        <f t="shared" si="35"/>
        <v>0</v>
      </c>
      <c r="AH54" s="79">
        <f t="shared" si="35"/>
        <v>0</v>
      </c>
      <c r="AI54" s="79">
        <f t="shared" si="35"/>
        <v>0</v>
      </c>
      <c r="AJ54" s="79">
        <f t="shared" si="35"/>
        <v>0</v>
      </c>
      <c r="AK54" s="79">
        <f t="shared" si="35"/>
        <v>0</v>
      </c>
      <c r="AL54" s="79">
        <f t="shared" si="35"/>
        <v>0</v>
      </c>
      <c r="AM54" s="79">
        <f t="shared" si="35"/>
        <v>0</v>
      </c>
      <c r="AN54" s="79">
        <f t="shared" si="35"/>
        <v>0</v>
      </c>
      <c r="AO54" s="79">
        <f t="shared" si="35"/>
        <v>0</v>
      </c>
      <c r="AP54" s="79">
        <f t="shared" si="36"/>
        <v>0</v>
      </c>
      <c r="AQ54" s="79">
        <f t="shared" si="36"/>
        <v>0</v>
      </c>
      <c r="AR54" s="79">
        <f t="shared" si="36"/>
        <v>0</v>
      </c>
      <c r="AS54" s="79">
        <f t="shared" si="36"/>
        <v>0</v>
      </c>
      <c r="AT54" s="79">
        <f t="shared" si="36"/>
        <v>0</v>
      </c>
      <c r="AU54" s="79">
        <f t="shared" si="36"/>
        <v>8.3333333333333329E-2</v>
      </c>
      <c r="AV54" s="79">
        <f t="shared" si="36"/>
        <v>0.16666666666666666</v>
      </c>
      <c r="AW54" s="79">
        <f t="shared" si="36"/>
        <v>0.16666666666666666</v>
      </c>
      <c r="AX54" s="79">
        <f t="shared" si="36"/>
        <v>0.16666666666666666</v>
      </c>
      <c r="AY54" s="79">
        <f t="shared" si="36"/>
        <v>0.16666666666666666</v>
      </c>
      <c r="AZ54" s="79">
        <f t="shared" si="37"/>
        <v>0.16666666666666666</v>
      </c>
      <c r="BA54" s="79">
        <f t="shared" si="37"/>
        <v>8.3333333333333329E-2</v>
      </c>
      <c r="BB54" s="79">
        <f t="shared" si="37"/>
        <v>0</v>
      </c>
      <c r="BC54" s="79">
        <f t="shared" si="37"/>
        <v>0</v>
      </c>
      <c r="BD54" s="79">
        <f t="shared" si="37"/>
        <v>0</v>
      </c>
      <c r="BE54" s="79">
        <f t="shared" si="37"/>
        <v>0</v>
      </c>
      <c r="BF54" s="80">
        <f t="shared" si="24"/>
        <v>1.1102230246251565E-16</v>
      </c>
    </row>
    <row r="55" spans="1:58" x14ac:dyDescent="0.25">
      <c r="A55" s="71">
        <v>39</v>
      </c>
      <c r="B55" s="72">
        <f t="shared" si="25"/>
        <v>46813</v>
      </c>
      <c r="C55" s="73">
        <f t="shared" si="2"/>
        <v>46843</v>
      </c>
      <c r="D55" s="67">
        <f t="shared" si="3"/>
        <v>31</v>
      </c>
      <c r="E55" s="67">
        <f t="shared" si="4"/>
        <v>3</v>
      </c>
      <c r="F55" s="74">
        <f t="shared" si="5"/>
        <v>46828.5</v>
      </c>
      <c r="G55" s="67">
        <f t="shared" si="6"/>
        <v>24338</v>
      </c>
      <c r="H55" s="75">
        <f t="shared" si="7"/>
        <v>1</v>
      </c>
      <c r="I55" s="76">
        <f t="shared" si="8"/>
        <v>1.1575200000000001</v>
      </c>
      <c r="J55" s="76">
        <f t="shared" si="9"/>
        <v>1.1575200000000001</v>
      </c>
      <c r="K55" s="67">
        <f t="shared" si="10"/>
        <v>0</v>
      </c>
      <c r="L55" s="67">
        <f t="shared" si="11"/>
        <v>0</v>
      </c>
      <c r="M55" s="77">
        <f t="shared" si="12"/>
        <v>0</v>
      </c>
      <c r="N55" s="76">
        <f t="shared" si="13"/>
        <v>1.1575200000000001</v>
      </c>
      <c r="O55" s="78">
        <f>'Mod Engine'!$E55</f>
        <v>0.89</v>
      </c>
      <c r="P55" s="76">
        <f t="shared" si="14"/>
        <v>0</v>
      </c>
      <c r="Q55" s="76">
        <f t="shared" si="15"/>
        <v>0</v>
      </c>
      <c r="R55" s="76">
        <f t="shared" si="16"/>
        <v>1</v>
      </c>
      <c r="S55" s="76">
        <f t="shared" si="17"/>
        <v>1.2119915294117649</v>
      </c>
      <c r="T55" s="76">
        <f t="shared" si="18"/>
        <v>1.0362919294632515</v>
      </c>
      <c r="U55" s="76">
        <f t="shared" si="19"/>
        <v>1.1575200000000001</v>
      </c>
      <c r="V55" s="79">
        <f t="shared" si="34"/>
        <v>0</v>
      </c>
      <c r="W55" s="79">
        <f t="shared" si="34"/>
        <v>0</v>
      </c>
      <c r="X55" s="79">
        <f t="shared" si="34"/>
        <v>0</v>
      </c>
      <c r="Y55" s="79">
        <f t="shared" si="34"/>
        <v>0</v>
      </c>
      <c r="Z55" s="79">
        <f t="shared" si="34"/>
        <v>0</v>
      </c>
      <c r="AA55" s="79">
        <f t="shared" si="34"/>
        <v>0</v>
      </c>
      <c r="AB55" s="79">
        <f t="shared" si="34"/>
        <v>0</v>
      </c>
      <c r="AC55" s="79">
        <f t="shared" si="34"/>
        <v>0</v>
      </c>
      <c r="AD55" s="79">
        <f t="shared" si="34"/>
        <v>0</v>
      </c>
      <c r="AE55" s="79">
        <f t="shared" si="34"/>
        <v>0</v>
      </c>
      <c r="AF55" s="79">
        <f t="shared" si="35"/>
        <v>0</v>
      </c>
      <c r="AG55" s="79">
        <f t="shared" si="35"/>
        <v>0</v>
      </c>
      <c r="AH55" s="79">
        <f t="shared" si="35"/>
        <v>0</v>
      </c>
      <c r="AI55" s="79">
        <f t="shared" si="35"/>
        <v>0</v>
      </c>
      <c r="AJ55" s="79">
        <f t="shared" si="35"/>
        <v>0</v>
      </c>
      <c r="AK55" s="79">
        <f t="shared" si="35"/>
        <v>0</v>
      </c>
      <c r="AL55" s="79">
        <f t="shared" si="35"/>
        <v>0</v>
      </c>
      <c r="AM55" s="79">
        <f t="shared" si="35"/>
        <v>0</v>
      </c>
      <c r="AN55" s="79">
        <f t="shared" si="35"/>
        <v>0</v>
      </c>
      <c r="AO55" s="79">
        <f t="shared" si="35"/>
        <v>0</v>
      </c>
      <c r="AP55" s="79">
        <f t="shared" si="36"/>
        <v>0</v>
      </c>
      <c r="AQ55" s="79">
        <f t="shared" si="36"/>
        <v>0</v>
      </c>
      <c r="AR55" s="79">
        <f t="shared" si="36"/>
        <v>0</v>
      </c>
      <c r="AS55" s="79">
        <f t="shared" si="36"/>
        <v>0</v>
      </c>
      <c r="AT55" s="79">
        <f t="shared" si="36"/>
        <v>0</v>
      </c>
      <c r="AU55" s="79">
        <f t="shared" si="36"/>
        <v>0</v>
      </c>
      <c r="AV55" s="79">
        <f t="shared" si="36"/>
        <v>8.3333333333333329E-2</v>
      </c>
      <c r="AW55" s="79">
        <f t="shared" si="36"/>
        <v>0.16666666666666666</v>
      </c>
      <c r="AX55" s="79">
        <f t="shared" si="36"/>
        <v>0.16666666666666666</v>
      </c>
      <c r="AY55" s="79">
        <f t="shared" si="36"/>
        <v>0.16666666666666666</v>
      </c>
      <c r="AZ55" s="79">
        <f t="shared" si="37"/>
        <v>0.16666666666666666</v>
      </c>
      <c r="BA55" s="79">
        <f t="shared" si="37"/>
        <v>0.16666666666666666</v>
      </c>
      <c r="BB55" s="79">
        <f t="shared" si="37"/>
        <v>8.3333333333333329E-2</v>
      </c>
      <c r="BC55" s="79">
        <f t="shared" si="37"/>
        <v>0</v>
      </c>
      <c r="BD55" s="79">
        <f t="shared" si="37"/>
        <v>0</v>
      </c>
      <c r="BE55" s="79">
        <f t="shared" si="37"/>
        <v>0</v>
      </c>
      <c r="BF55" s="80">
        <f t="shared" si="24"/>
        <v>1.1102230246251565E-16</v>
      </c>
    </row>
    <row r="56" spans="1:58" x14ac:dyDescent="0.25">
      <c r="A56" s="71">
        <v>40</v>
      </c>
      <c r="B56" s="72">
        <f t="shared" si="25"/>
        <v>46844</v>
      </c>
      <c r="C56" s="73">
        <f t="shared" si="2"/>
        <v>46873</v>
      </c>
      <c r="D56" s="67">
        <f t="shared" si="3"/>
        <v>30</v>
      </c>
      <c r="E56" s="67">
        <f t="shared" si="4"/>
        <v>4</v>
      </c>
      <c r="F56" s="74">
        <f t="shared" si="5"/>
        <v>46859</v>
      </c>
      <c r="G56" s="67">
        <f t="shared" si="6"/>
        <v>24339</v>
      </c>
      <c r="H56" s="75">
        <f t="shared" si="7"/>
        <v>1</v>
      </c>
      <c r="I56" s="76">
        <f t="shared" si="8"/>
        <v>1.1575200000000001</v>
      </c>
      <c r="J56" s="76">
        <f t="shared" si="9"/>
        <v>1.1575200000000001</v>
      </c>
      <c r="K56" s="67">
        <f t="shared" si="10"/>
        <v>0</v>
      </c>
      <c r="L56" s="67">
        <f t="shared" si="11"/>
        <v>0</v>
      </c>
      <c r="M56" s="77">
        <f t="shared" si="12"/>
        <v>0</v>
      </c>
      <c r="N56" s="76">
        <f t="shared" si="13"/>
        <v>1.1575200000000001</v>
      </c>
      <c r="O56" s="78">
        <f>'Mod Engine'!$E56</f>
        <v>0.89</v>
      </c>
      <c r="P56" s="76">
        <f t="shared" si="14"/>
        <v>0</v>
      </c>
      <c r="Q56" s="76">
        <f t="shared" si="15"/>
        <v>0</v>
      </c>
      <c r="R56" s="76">
        <f t="shared" si="16"/>
        <v>1</v>
      </c>
      <c r="S56" s="76">
        <f t="shared" si="17"/>
        <v>1.2119915294117649</v>
      </c>
      <c r="T56" s="76">
        <f t="shared" si="18"/>
        <v>1.0387416655940276</v>
      </c>
      <c r="U56" s="76">
        <f t="shared" si="19"/>
        <v>1.1575200000000001</v>
      </c>
      <c r="V56" s="79">
        <f t="shared" si="34"/>
        <v>0</v>
      </c>
      <c r="W56" s="79">
        <f t="shared" si="34"/>
        <v>0</v>
      </c>
      <c r="X56" s="79">
        <f t="shared" si="34"/>
        <v>0</v>
      </c>
      <c r="Y56" s="79">
        <f t="shared" si="34"/>
        <v>0</v>
      </c>
      <c r="Z56" s="79">
        <f t="shared" si="34"/>
        <v>0</v>
      </c>
      <c r="AA56" s="79">
        <f t="shared" si="34"/>
        <v>0</v>
      </c>
      <c r="AB56" s="79">
        <f t="shared" si="34"/>
        <v>0</v>
      </c>
      <c r="AC56" s="79">
        <f t="shared" si="34"/>
        <v>0</v>
      </c>
      <c r="AD56" s="79">
        <f t="shared" si="34"/>
        <v>0</v>
      </c>
      <c r="AE56" s="79">
        <f t="shared" si="34"/>
        <v>0</v>
      </c>
      <c r="AF56" s="79">
        <f t="shared" si="35"/>
        <v>0</v>
      </c>
      <c r="AG56" s="79">
        <f t="shared" si="35"/>
        <v>0</v>
      </c>
      <c r="AH56" s="79">
        <f t="shared" si="35"/>
        <v>0</v>
      </c>
      <c r="AI56" s="79">
        <f t="shared" si="35"/>
        <v>0</v>
      </c>
      <c r="AJ56" s="79">
        <f t="shared" si="35"/>
        <v>0</v>
      </c>
      <c r="AK56" s="79">
        <f t="shared" si="35"/>
        <v>0</v>
      </c>
      <c r="AL56" s="79">
        <f t="shared" si="35"/>
        <v>0</v>
      </c>
      <c r="AM56" s="79">
        <f t="shared" si="35"/>
        <v>0</v>
      </c>
      <c r="AN56" s="79">
        <f t="shared" si="35"/>
        <v>0</v>
      </c>
      <c r="AO56" s="79">
        <f t="shared" si="35"/>
        <v>0</v>
      </c>
      <c r="AP56" s="79">
        <f t="shared" si="36"/>
        <v>0</v>
      </c>
      <c r="AQ56" s="79">
        <f t="shared" si="36"/>
        <v>0</v>
      </c>
      <c r="AR56" s="79">
        <f t="shared" si="36"/>
        <v>0</v>
      </c>
      <c r="AS56" s="79">
        <f t="shared" si="36"/>
        <v>0</v>
      </c>
      <c r="AT56" s="79">
        <f t="shared" si="36"/>
        <v>0</v>
      </c>
      <c r="AU56" s="79">
        <f t="shared" si="36"/>
        <v>0</v>
      </c>
      <c r="AV56" s="79">
        <f t="shared" si="36"/>
        <v>0</v>
      </c>
      <c r="AW56" s="79">
        <f t="shared" si="36"/>
        <v>8.3333333333333329E-2</v>
      </c>
      <c r="AX56" s="79">
        <f t="shared" si="36"/>
        <v>0.16666666666666666</v>
      </c>
      <c r="AY56" s="79">
        <f t="shared" si="36"/>
        <v>0.16666666666666666</v>
      </c>
      <c r="AZ56" s="79">
        <f t="shared" si="37"/>
        <v>0.16666666666666666</v>
      </c>
      <c r="BA56" s="79">
        <f t="shared" si="37"/>
        <v>0.16666666666666666</v>
      </c>
      <c r="BB56" s="79">
        <f t="shared" si="37"/>
        <v>0.16666666666666666</v>
      </c>
      <c r="BC56" s="79">
        <f t="shared" si="37"/>
        <v>8.3333333333333329E-2</v>
      </c>
      <c r="BD56" s="79">
        <f t="shared" si="37"/>
        <v>0</v>
      </c>
      <c r="BE56" s="79">
        <f t="shared" si="37"/>
        <v>0</v>
      </c>
      <c r="BF56" s="80">
        <f t="shared" si="24"/>
        <v>1.1102230246251565E-16</v>
      </c>
    </row>
    <row r="57" spans="1:58" x14ac:dyDescent="0.25">
      <c r="A57" s="71">
        <v>41</v>
      </c>
      <c r="B57" s="72">
        <f t="shared" si="25"/>
        <v>46874</v>
      </c>
      <c r="C57" s="73">
        <f t="shared" si="2"/>
        <v>46904</v>
      </c>
      <c r="D57" s="67">
        <f t="shared" si="3"/>
        <v>31</v>
      </c>
      <c r="E57" s="67">
        <f t="shared" si="4"/>
        <v>5</v>
      </c>
      <c r="F57" s="74">
        <f t="shared" si="5"/>
        <v>46889.5</v>
      </c>
      <c r="G57" s="67">
        <f t="shared" si="6"/>
        <v>24340</v>
      </c>
      <c r="H57" s="75">
        <f t="shared" si="7"/>
        <v>1</v>
      </c>
      <c r="I57" s="76">
        <f t="shared" si="8"/>
        <v>1.1575200000000001</v>
      </c>
      <c r="J57" s="76">
        <f t="shared" si="9"/>
        <v>1.1575200000000001</v>
      </c>
      <c r="K57" s="67">
        <f t="shared" si="10"/>
        <v>0</v>
      </c>
      <c r="L57" s="67">
        <f t="shared" si="11"/>
        <v>0</v>
      </c>
      <c r="M57" s="77">
        <f t="shared" si="12"/>
        <v>0</v>
      </c>
      <c r="N57" s="76">
        <f t="shared" si="13"/>
        <v>1.1575200000000001</v>
      </c>
      <c r="O57" s="78">
        <f>'Mod Engine'!$E57</f>
        <v>0.89</v>
      </c>
      <c r="P57" s="76">
        <f t="shared" si="14"/>
        <v>0</v>
      </c>
      <c r="Q57" s="76">
        <f t="shared" si="15"/>
        <v>0</v>
      </c>
      <c r="R57" s="76">
        <f t="shared" si="16"/>
        <v>1</v>
      </c>
      <c r="S57" s="76">
        <f t="shared" si="17"/>
        <v>1.2119915294117649</v>
      </c>
      <c r="T57" s="76">
        <f t="shared" si="18"/>
        <v>1.0411914017248036</v>
      </c>
      <c r="U57" s="76">
        <f t="shared" si="19"/>
        <v>1.1575200000000001</v>
      </c>
      <c r="V57" s="79">
        <f t="shared" ref="V57:AE64" si="38">IF(OR(V$15&lt;$G57,V$15&gt;$G57+$F$5),0,IF(OR(V$15=$G57,V$15=$G57+$F$5),0.5,1)/$F$5)</f>
        <v>0</v>
      </c>
      <c r="W57" s="79">
        <f t="shared" si="38"/>
        <v>0</v>
      </c>
      <c r="X57" s="79">
        <f t="shared" si="38"/>
        <v>0</v>
      </c>
      <c r="Y57" s="79">
        <f t="shared" si="38"/>
        <v>0</v>
      </c>
      <c r="Z57" s="79">
        <f t="shared" si="38"/>
        <v>0</v>
      </c>
      <c r="AA57" s="79">
        <f t="shared" si="38"/>
        <v>0</v>
      </c>
      <c r="AB57" s="79">
        <f t="shared" si="38"/>
        <v>0</v>
      </c>
      <c r="AC57" s="79">
        <f t="shared" si="38"/>
        <v>0</v>
      </c>
      <c r="AD57" s="79">
        <f t="shared" si="38"/>
        <v>0</v>
      </c>
      <c r="AE57" s="79">
        <f t="shared" si="38"/>
        <v>0</v>
      </c>
      <c r="AF57" s="79">
        <f t="shared" ref="AF57:AO64" si="39">IF(OR(AF$15&lt;$G57,AF$15&gt;$G57+$F$5),0,IF(OR(AF$15=$G57,AF$15=$G57+$F$5),0.5,1)/$F$5)</f>
        <v>0</v>
      </c>
      <c r="AG57" s="79">
        <f t="shared" si="39"/>
        <v>0</v>
      </c>
      <c r="AH57" s="79">
        <f t="shared" si="39"/>
        <v>0</v>
      </c>
      <c r="AI57" s="79">
        <f t="shared" si="39"/>
        <v>0</v>
      </c>
      <c r="AJ57" s="79">
        <f t="shared" si="39"/>
        <v>0</v>
      </c>
      <c r="AK57" s="79">
        <f t="shared" si="39"/>
        <v>0</v>
      </c>
      <c r="AL57" s="79">
        <f t="shared" si="39"/>
        <v>0</v>
      </c>
      <c r="AM57" s="79">
        <f t="shared" si="39"/>
        <v>0</v>
      </c>
      <c r="AN57" s="79">
        <f t="shared" si="39"/>
        <v>0</v>
      </c>
      <c r="AO57" s="79">
        <f t="shared" si="39"/>
        <v>0</v>
      </c>
      <c r="AP57" s="79">
        <f t="shared" ref="AP57:AY64" si="40">IF(OR(AP$15&lt;$G57,AP$15&gt;$G57+$F$5),0,IF(OR(AP$15=$G57,AP$15=$G57+$F$5),0.5,1)/$F$5)</f>
        <v>0</v>
      </c>
      <c r="AQ57" s="79">
        <f t="shared" si="40"/>
        <v>0</v>
      </c>
      <c r="AR57" s="79">
        <f t="shared" si="40"/>
        <v>0</v>
      </c>
      <c r="AS57" s="79">
        <f t="shared" si="40"/>
        <v>0</v>
      </c>
      <c r="AT57" s="79">
        <f t="shared" si="40"/>
        <v>0</v>
      </c>
      <c r="AU57" s="79">
        <f t="shared" si="40"/>
        <v>0</v>
      </c>
      <c r="AV57" s="79">
        <f t="shared" si="40"/>
        <v>0</v>
      </c>
      <c r="AW57" s="79">
        <f t="shared" si="40"/>
        <v>0</v>
      </c>
      <c r="AX57" s="79">
        <f t="shared" si="40"/>
        <v>8.3333333333333329E-2</v>
      </c>
      <c r="AY57" s="79">
        <f t="shared" si="40"/>
        <v>0.16666666666666666</v>
      </c>
      <c r="AZ57" s="79">
        <f t="shared" ref="AZ57:BE64" si="41">IF(OR(AZ$15&lt;$G57,AZ$15&gt;$G57+$F$5),0,IF(OR(AZ$15=$G57,AZ$15=$G57+$F$5),0.5,1)/$F$5)</f>
        <v>0.16666666666666666</v>
      </c>
      <c r="BA57" s="79">
        <f t="shared" si="41"/>
        <v>0.16666666666666666</v>
      </c>
      <c r="BB57" s="79">
        <f t="shared" si="41"/>
        <v>0.16666666666666666</v>
      </c>
      <c r="BC57" s="79">
        <f t="shared" si="41"/>
        <v>0.16666666666666666</v>
      </c>
      <c r="BD57" s="79">
        <f t="shared" si="41"/>
        <v>8.3333333333333329E-2</v>
      </c>
      <c r="BE57" s="79">
        <f t="shared" si="41"/>
        <v>0</v>
      </c>
      <c r="BF57" s="80">
        <f t="shared" si="24"/>
        <v>1.1102230246251565E-16</v>
      </c>
    </row>
    <row r="58" spans="1:58" x14ac:dyDescent="0.25">
      <c r="A58" s="71">
        <v>42</v>
      </c>
      <c r="B58" s="72">
        <f t="shared" si="25"/>
        <v>46905</v>
      </c>
      <c r="C58" s="73">
        <f t="shared" si="2"/>
        <v>46934</v>
      </c>
      <c r="D58" s="67">
        <f t="shared" si="3"/>
        <v>30</v>
      </c>
      <c r="E58" s="67">
        <f t="shared" si="4"/>
        <v>6</v>
      </c>
      <c r="F58" s="74">
        <f t="shared" si="5"/>
        <v>46920</v>
      </c>
      <c r="G58" s="67">
        <f t="shared" si="6"/>
        <v>24341</v>
      </c>
      <c r="H58" s="75">
        <f t="shared" si="7"/>
        <v>1</v>
      </c>
      <c r="I58" s="76">
        <f t="shared" si="8"/>
        <v>1.1575200000000001</v>
      </c>
      <c r="J58" s="76">
        <f t="shared" si="9"/>
        <v>1.1575200000000001</v>
      </c>
      <c r="K58" s="67">
        <f t="shared" si="10"/>
        <v>0</v>
      </c>
      <c r="L58" s="67">
        <f t="shared" si="11"/>
        <v>0</v>
      </c>
      <c r="M58" s="77">
        <f t="shared" si="12"/>
        <v>0</v>
      </c>
      <c r="N58" s="76">
        <f t="shared" si="13"/>
        <v>1.1575200000000001</v>
      </c>
      <c r="O58" s="78">
        <f>'Mod Engine'!$E58</f>
        <v>0.89</v>
      </c>
      <c r="P58" s="76">
        <f t="shared" si="14"/>
        <v>0</v>
      </c>
      <c r="Q58" s="76">
        <f t="shared" si="15"/>
        <v>0</v>
      </c>
      <c r="R58" s="76">
        <f t="shared" si="16"/>
        <v>1</v>
      </c>
      <c r="S58" s="76">
        <f t="shared" si="17"/>
        <v>1.2119915294117649</v>
      </c>
      <c r="T58" s="76">
        <f t="shared" si="18"/>
        <v>1.0436411378555797</v>
      </c>
      <c r="U58" s="76">
        <f t="shared" si="19"/>
        <v>1.1575200000000001</v>
      </c>
      <c r="V58" s="79">
        <f t="shared" si="38"/>
        <v>0</v>
      </c>
      <c r="W58" s="79">
        <f t="shared" si="38"/>
        <v>0</v>
      </c>
      <c r="X58" s="79">
        <f t="shared" si="38"/>
        <v>0</v>
      </c>
      <c r="Y58" s="79">
        <f t="shared" si="38"/>
        <v>0</v>
      </c>
      <c r="Z58" s="79">
        <f t="shared" si="38"/>
        <v>0</v>
      </c>
      <c r="AA58" s="79">
        <f t="shared" si="38"/>
        <v>0</v>
      </c>
      <c r="AB58" s="79">
        <f t="shared" si="38"/>
        <v>0</v>
      </c>
      <c r="AC58" s="79">
        <f t="shared" si="38"/>
        <v>0</v>
      </c>
      <c r="AD58" s="79">
        <f t="shared" si="38"/>
        <v>0</v>
      </c>
      <c r="AE58" s="79">
        <f t="shared" si="38"/>
        <v>0</v>
      </c>
      <c r="AF58" s="79">
        <f t="shared" si="39"/>
        <v>0</v>
      </c>
      <c r="AG58" s="79">
        <f t="shared" si="39"/>
        <v>0</v>
      </c>
      <c r="AH58" s="79">
        <f t="shared" si="39"/>
        <v>0</v>
      </c>
      <c r="AI58" s="79">
        <f t="shared" si="39"/>
        <v>0</v>
      </c>
      <c r="AJ58" s="79">
        <f t="shared" si="39"/>
        <v>0</v>
      </c>
      <c r="AK58" s="79">
        <f t="shared" si="39"/>
        <v>0</v>
      </c>
      <c r="AL58" s="79">
        <f t="shared" si="39"/>
        <v>0</v>
      </c>
      <c r="AM58" s="79">
        <f t="shared" si="39"/>
        <v>0</v>
      </c>
      <c r="AN58" s="79">
        <f t="shared" si="39"/>
        <v>0</v>
      </c>
      <c r="AO58" s="79">
        <f t="shared" si="39"/>
        <v>0</v>
      </c>
      <c r="AP58" s="79">
        <f t="shared" si="40"/>
        <v>0</v>
      </c>
      <c r="AQ58" s="79">
        <f t="shared" si="40"/>
        <v>0</v>
      </c>
      <c r="AR58" s="79">
        <f t="shared" si="40"/>
        <v>0</v>
      </c>
      <c r="AS58" s="79">
        <f t="shared" si="40"/>
        <v>0</v>
      </c>
      <c r="AT58" s="79">
        <f t="shared" si="40"/>
        <v>0</v>
      </c>
      <c r="AU58" s="79">
        <f t="shared" si="40"/>
        <v>0</v>
      </c>
      <c r="AV58" s="79">
        <f t="shared" si="40"/>
        <v>0</v>
      </c>
      <c r="AW58" s="79">
        <f t="shared" si="40"/>
        <v>0</v>
      </c>
      <c r="AX58" s="79">
        <f t="shared" si="40"/>
        <v>0</v>
      </c>
      <c r="AY58" s="79">
        <f t="shared" si="40"/>
        <v>8.3333333333333329E-2</v>
      </c>
      <c r="AZ58" s="79">
        <f t="shared" si="41"/>
        <v>0.16666666666666666</v>
      </c>
      <c r="BA58" s="79">
        <f t="shared" si="41"/>
        <v>0.16666666666666666</v>
      </c>
      <c r="BB58" s="79">
        <f t="shared" si="41"/>
        <v>0.16666666666666666</v>
      </c>
      <c r="BC58" s="79">
        <f t="shared" si="41"/>
        <v>0.16666666666666666</v>
      </c>
      <c r="BD58" s="79">
        <f t="shared" si="41"/>
        <v>0.16666666666666666</v>
      </c>
      <c r="BE58" s="79">
        <f t="shared" si="41"/>
        <v>8.3333333333333329E-2</v>
      </c>
      <c r="BF58" s="80">
        <f t="shared" si="24"/>
        <v>1.1102230246251565E-16</v>
      </c>
    </row>
    <row r="59" spans="1:58" x14ac:dyDescent="0.25">
      <c r="A59" s="71">
        <v>43</v>
      </c>
      <c r="B59" s="72">
        <f t="shared" si="25"/>
        <v>46935</v>
      </c>
      <c r="C59" s="73">
        <f t="shared" si="2"/>
        <v>46965</v>
      </c>
      <c r="D59" s="67">
        <f t="shared" si="3"/>
        <v>31</v>
      </c>
      <c r="E59" s="67">
        <f t="shared" si="4"/>
        <v>7</v>
      </c>
      <c r="F59" s="74">
        <f t="shared" si="5"/>
        <v>46950.5</v>
      </c>
      <c r="G59" s="67">
        <f t="shared" si="6"/>
        <v>24342</v>
      </c>
      <c r="H59" s="75">
        <f t="shared" si="7"/>
        <v>1</v>
      </c>
      <c r="I59" s="76">
        <f t="shared" si="8"/>
        <v>1.1575200000000001</v>
      </c>
      <c r="J59" s="76">
        <f t="shared" si="9"/>
        <v>1.1575200000000001</v>
      </c>
      <c r="K59" s="67">
        <f t="shared" si="10"/>
        <v>0</v>
      </c>
      <c r="L59" s="67">
        <f t="shared" si="11"/>
        <v>0</v>
      </c>
      <c r="M59" s="77">
        <f t="shared" si="12"/>
        <v>0</v>
      </c>
      <c r="N59" s="76">
        <f t="shared" si="13"/>
        <v>1.1575200000000001</v>
      </c>
      <c r="O59" s="78">
        <f>'Mod Engine'!$E59</f>
        <v>0.89</v>
      </c>
      <c r="P59" s="76">
        <f t="shared" si="14"/>
        <v>0</v>
      </c>
      <c r="Q59" s="76">
        <f t="shared" si="15"/>
        <v>0</v>
      </c>
      <c r="R59" s="76">
        <f t="shared" si="16"/>
        <v>0.91666666666666663</v>
      </c>
      <c r="S59" s="76">
        <f t="shared" si="17"/>
        <v>1.2119915294117649</v>
      </c>
      <c r="T59" s="76">
        <f t="shared" si="18"/>
        <v>1.1088563264255376</v>
      </c>
      <c r="U59" s="76">
        <f t="shared" si="19"/>
        <v>1.1575200000000001</v>
      </c>
      <c r="V59" s="79">
        <f t="shared" si="38"/>
        <v>0</v>
      </c>
      <c r="W59" s="79">
        <f t="shared" si="38"/>
        <v>0</v>
      </c>
      <c r="X59" s="79">
        <f t="shared" si="38"/>
        <v>0</v>
      </c>
      <c r="Y59" s="79">
        <f t="shared" si="38"/>
        <v>0</v>
      </c>
      <c r="Z59" s="79">
        <f t="shared" si="38"/>
        <v>0</v>
      </c>
      <c r="AA59" s="79">
        <f t="shared" si="38"/>
        <v>0</v>
      </c>
      <c r="AB59" s="79">
        <f t="shared" si="38"/>
        <v>0</v>
      </c>
      <c r="AC59" s="79">
        <f t="shared" si="38"/>
        <v>0</v>
      </c>
      <c r="AD59" s="79">
        <f t="shared" si="38"/>
        <v>0</v>
      </c>
      <c r="AE59" s="79">
        <f t="shared" si="38"/>
        <v>0</v>
      </c>
      <c r="AF59" s="79">
        <f t="shared" si="39"/>
        <v>0</v>
      </c>
      <c r="AG59" s="79">
        <f t="shared" si="39"/>
        <v>0</v>
      </c>
      <c r="AH59" s="79">
        <f t="shared" si="39"/>
        <v>0</v>
      </c>
      <c r="AI59" s="79">
        <f t="shared" si="39"/>
        <v>0</v>
      </c>
      <c r="AJ59" s="79">
        <f t="shared" si="39"/>
        <v>0</v>
      </c>
      <c r="AK59" s="79">
        <f t="shared" si="39"/>
        <v>0</v>
      </c>
      <c r="AL59" s="79">
        <f t="shared" si="39"/>
        <v>0</v>
      </c>
      <c r="AM59" s="79">
        <f t="shared" si="39"/>
        <v>0</v>
      </c>
      <c r="AN59" s="79">
        <f t="shared" si="39"/>
        <v>0</v>
      </c>
      <c r="AO59" s="79">
        <f t="shared" si="39"/>
        <v>0</v>
      </c>
      <c r="AP59" s="79">
        <f t="shared" si="40"/>
        <v>0</v>
      </c>
      <c r="AQ59" s="79">
        <f t="shared" si="40"/>
        <v>0</v>
      </c>
      <c r="AR59" s="79">
        <f t="shared" si="40"/>
        <v>0</v>
      </c>
      <c r="AS59" s="79">
        <f t="shared" si="40"/>
        <v>0</v>
      </c>
      <c r="AT59" s="79">
        <f t="shared" si="40"/>
        <v>0</v>
      </c>
      <c r="AU59" s="79">
        <f t="shared" si="40"/>
        <v>0</v>
      </c>
      <c r="AV59" s="79">
        <f t="shared" si="40"/>
        <v>0</v>
      </c>
      <c r="AW59" s="79">
        <f t="shared" si="40"/>
        <v>0</v>
      </c>
      <c r="AX59" s="79">
        <f t="shared" si="40"/>
        <v>0</v>
      </c>
      <c r="AY59" s="79">
        <f t="shared" si="40"/>
        <v>0</v>
      </c>
      <c r="AZ59" s="79">
        <f t="shared" si="41"/>
        <v>8.3333333333333329E-2</v>
      </c>
      <c r="BA59" s="79">
        <f t="shared" si="41"/>
        <v>0.16666666666666666</v>
      </c>
      <c r="BB59" s="79">
        <f t="shared" si="41"/>
        <v>0.16666666666666666</v>
      </c>
      <c r="BC59" s="79">
        <f t="shared" si="41"/>
        <v>0.16666666666666666</v>
      </c>
      <c r="BD59" s="79">
        <f t="shared" si="41"/>
        <v>0.16666666666666666</v>
      </c>
      <c r="BE59" s="79">
        <f t="shared" si="41"/>
        <v>0.16666666666666666</v>
      </c>
      <c r="BF59" s="80">
        <f t="shared" si="24"/>
        <v>0</v>
      </c>
    </row>
    <row r="60" spans="1:58" x14ac:dyDescent="0.25">
      <c r="A60" s="71">
        <v>44</v>
      </c>
      <c r="B60" s="72">
        <f t="shared" si="25"/>
        <v>46966</v>
      </c>
      <c r="C60" s="73">
        <f t="shared" si="2"/>
        <v>46996</v>
      </c>
      <c r="D60" s="67">
        <f t="shared" si="3"/>
        <v>31</v>
      </c>
      <c r="E60" s="67">
        <f t="shared" si="4"/>
        <v>8</v>
      </c>
      <c r="F60" s="74">
        <f t="shared" si="5"/>
        <v>46981.5</v>
      </c>
      <c r="G60" s="67">
        <f t="shared" si="6"/>
        <v>24343</v>
      </c>
      <c r="H60" s="75">
        <f t="shared" si="7"/>
        <v>1</v>
      </c>
      <c r="I60" s="76">
        <f t="shared" si="8"/>
        <v>1.1575200000000001</v>
      </c>
      <c r="J60" s="76">
        <f t="shared" si="9"/>
        <v>1.1575200000000001</v>
      </c>
      <c r="K60" s="67">
        <f t="shared" si="10"/>
        <v>0</v>
      </c>
      <c r="L60" s="67">
        <f t="shared" si="11"/>
        <v>0</v>
      </c>
      <c r="M60" s="77">
        <f t="shared" si="12"/>
        <v>0</v>
      </c>
      <c r="N60" s="76">
        <f t="shared" si="13"/>
        <v>1.1575200000000001</v>
      </c>
      <c r="O60" s="78">
        <f>'Mod Engine'!$E60</f>
        <v>0.89</v>
      </c>
      <c r="P60" s="76">
        <f t="shared" si="14"/>
        <v>0</v>
      </c>
      <c r="Q60" s="76">
        <f t="shared" si="15"/>
        <v>0</v>
      </c>
      <c r="R60" s="76">
        <f t="shared" si="16"/>
        <v>0.75</v>
      </c>
      <c r="S60" s="76">
        <f t="shared" si="17"/>
        <v>1.2119915294117649</v>
      </c>
      <c r="T60" s="76">
        <f t="shared" si="18"/>
        <v>1.1114956159093834</v>
      </c>
      <c r="U60" s="76">
        <f t="shared" si="19"/>
        <v>1.1575200000000001</v>
      </c>
      <c r="V60" s="79">
        <f t="shared" si="38"/>
        <v>0</v>
      </c>
      <c r="W60" s="79">
        <f t="shared" si="38"/>
        <v>0</v>
      </c>
      <c r="X60" s="79">
        <f t="shared" si="38"/>
        <v>0</v>
      </c>
      <c r="Y60" s="79">
        <f t="shared" si="38"/>
        <v>0</v>
      </c>
      <c r="Z60" s="79">
        <f t="shared" si="38"/>
        <v>0</v>
      </c>
      <c r="AA60" s="79">
        <f t="shared" si="38"/>
        <v>0</v>
      </c>
      <c r="AB60" s="79">
        <f t="shared" si="38"/>
        <v>0</v>
      </c>
      <c r="AC60" s="79">
        <f t="shared" si="38"/>
        <v>0</v>
      </c>
      <c r="AD60" s="79">
        <f t="shared" si="38"/>
        <v>0</v>
      </c>
      <c r="AE60" s="79">
        <f t="shared" si="38"/>
        <v>0</v>
      </c>
      <c r="AF60" s="79">
        <f t="shared" si="39"/>
        <v>0</v>
      </c>
      <c r="AG60" s="79">
        <f t="shared" si="39"/>
        <v>0</v>
      </c>
      <c r="AH60" s="79">
        <f t="shared" si="39"/>
        <v>0</v>
      </c>
      <c r="AI60" s="79">
        <f t="shared" si="39"/>
        <v>0</v>
      </c>
      <c r="AJ60" s="79">
        <f t="shared" si="39"/>
        <v>0</v>
      </c>
      <c r="AK60" s="79">
        <f t="shared" si="39"/>
        <v>0</v>
      </c>
      <c r="AL60" s="79">
        <f t="shared" si="39"/>
        <v>0</v>
      </c>
      <c r="AM60" s="79">
        <f t="shared" si="39"/>
        <v>0</v>
      </c>
      <c r="AN60" s="79">
        <f t="shared" si="39"/>
        <v>0</v>
      </c>
      <c r="AO60" s="79">
        <f t="shared" si="39"/>
        <v>0</v>
      </c>
      <c r="AP60" s="79">
        <f t="shared" si="40"/>
        <v>0</v>
      </c>
      <c r="AQ60" s="79">
        <f t="shared" si="40"/>
        <v>0</v>
      </c>
      <c r="AR60" s="79">
        <f t="shared" si="40"/>
        <v>0</v>
      </c>
      <c r="AS60" s="79">
        <f t="shared" si="40"/>
        <v>0</v>
      </c>
      <c r="AT60" s="79">
        <f t="shared" si="40"/>
        <v>0</v>
      </c>
      <c r="AU60" s="79">
        <f t="shared" si="40"/>
        <v>0</v>
      </c>
      <c r="AV60" s="79">
        <f t="shared" si="40"/>
        <v>0</v>
      </c>
      <c r="AW60" s="79">
        <f t="shared" si="40"/>
        <v>0</v>
      </c>
      <c r="AX60" s="79">
        <f t="shared" si="40"/>
        <v>0</v>
      </c>
      <c r="AY60" s="79">
        <f t="shared" si="40"/>
        <v>0</v>
      </c>
      <c r="AZ60" s="79">
        <f t="shared" si="41"/>
        <v>0</v>
      </c>
      <c r="BA60" s="79">
        <f t="shared" si="41"/>
        <v>8.3333333333333329E-2</v>
      </c>
      <c r="BB60" s="79">
        <f t="shared" si="41"/>
        <v>0.16666666666666666</v>
      </c>
      <c r="BC60" s="79">
        <f t="shared" si="41"/>
        <v>0.16666666666666666</v>
      </c>
      <c r="BD60" s="79">
        <f t="shared" si="41"/>
        <v>0.16666666666666666</v>
      </c>
      <c r="BE60" s="79">
        <f t="shared" si="41"/>
        <v>0.16666666666666666</v>
      </c>
      <c r="BF60" s="80">
        <f t="shared" si="24"/>
        <v>0</v>
      </c>
    </row>
    <row r="61" spans="1:58" x14ac:dyDescent="0.25">
      <c r="A61" s="71">
        <v>45</v>
      </c>
      <c r="B61" s="72">
        <f t="shared" si="25"/>
        <v>46997</v>
      </c>
      <c r="C61" s="73">
        <f t="shared" si="2"/>
        <v>47026</v>
      </c>
      <c r="D61" s="67">
        <f t="shared" si="3"/>
        <v>30</v>
      </c>
      <c r="E61" s="67">
        <f t="shared" si="4"/>
        <v>9</v>
      </c>
      <c r="F61" s="74">
        <f t="shared" si="5"/>
        <v>47012</v>
      </c>
      <c r="G61" s="67">
        <f t="shared" si="6"/>
        <v>24344</v>
      </c>
      <c r="H61" s="75">
        <f t="shared" si="7"/>
        <v>1</v>
      </c>
      <c r="I61" s="76">
        <f t="shared" si="8"/>
        <v>1.1575200000000001</v>
      </c>
      <c r="J61" s="76">
        <f t="shared" si="9"/>
        <v>1.1575200000000001</v>
      </c>
      <c r="K61" s="67">
        <f t="shared" si="10"/>
        <v>0</v>
      </c>
      <c r="L61" s="67">
        <f t="shared" si="11"/>
        <v>0</v>
      </c>
      <c r="M61" s="77">
        <f t="shared" si="12"/>
        <v>0</v>
      </c>
      <c r="N61" s="76">
        <f t="shared" si="13"/>
        <v>1.1575200000000001</v>
      </c>
      <c r="O61" s="78">
        <f>'Mod Engine'!$E61</f>
        <v>0.89</v>
      </c>
      <c r="P61" s="76">
        <f t="shared" si="14"/>
        <v>0</v>
      </c>
      <c r="Q61" s="76">
        <f t="shared" si="15"/>
        <v>0</v>
      </c>
      <c r="R61" s="76">
        <f t="shared" si="16"/>
        <v>0.58333333333333337</v>
      </c>
      <c r="S61" s="76">
        <f t="shared" si="17"/>
        <v>1.2119915294117649</v>
      </c>
      <c r="T61" s="76">
        <f t="shared" si="18"/>
        <v>1.1140923362080062</v>
      </c>
      <c r="U61" s="76">
        <f t="shared" si="19"/>
        <v>1.1575200000000001</v>
      </c>
      <c r="V61" s="79">
        <f t="shared" si="38"/>
        <v>0</v>
      </c>
      <c r="W61" s="79">
        <f t="shared" si="38"/>
        <v>0</v>
      </c>
      <c r="X61" s="79">
        <f t="shared" si="38"/>
        <v>0</v>
      </c>
      <c r="Y61" s="79">
        <f t="shared" si="38"/>
        <v>0</v>
      </c>
      <c r="Z61" s="79">
        <f t="shared" si="38"/>
        <v>0</v>
      </c>
      <c r="AA61" s="79">
        <f t="shared" si="38"/>
        <v>0</v>
      </c>
      <c r="AB61" s="79">
        <f t="shared" si="38"/>
        <v>0</v>
      </c>
      <c r="AC61" s="79">
        <f t="shared" si="38"/>
        <v>0</v>
      </c>
      <c r="AD61" s="79">
        <f t="shared" si="38"/>
        <v>0</v>
      </c>
      <c r="AE61" s="79">
        <f t="shared" si="38"/>
        <v>0</v>
      </c>
      <c r="AF61" s="79">
        <f t="shared" si="39"/>
        <v>0</v>
      </c>
      <c r="AG61" s="79">
        <f t="shared" si="39"/>
        <v>0</v>
      </c>
      <c r="AH61" s="79">
        <f t="shared" si="39"/>
        <v>0</v>
      </c>
      <c r="AI61" s="79">
        <f t="shared" si="39"/>
        <v>0</v>
      </c>
      <c r="AJ61" s="79">
        <f t="shared" si="39"/>
        <v>0</v>
      </c>
      <c r="AK61" s="79">
        <f t="shared" si="39"/>
        <v>0</v>
      </c>
      <c r="AL61" s="79">
        <f t="shared" si="39"/>
        <v>0</v>
      </c>
      <c r="AM61" s="79">
        <f t="shared" si="39"/>
        <v>0</v>
      </c>
      <c r="AN61" s="79">
        <f t="shared" si="39"/>
        <v>0</v>
      </c>
      <c r="AO61" s="79">
        <f t="shared" si="39"/>
        <v>0</v>
      </c>
      <c r="AP61" s="79">
        <f t="shared" si="40"/>
        <v>0</v>
      </c>
      <c r="AQ61" s="79">
        <f t="shared" si="40"/>
        <v>0</v>
      </c>
      <c r="AR61" s="79">
        <f t="shared" si="40"/>
        <v>0</v>
      </c>
      <c r="AS61" s="79">
        <f t="shared" si="40"/>
        <v>0</v>
      </c>
      <c r="AT61" s="79">
        <f t="shared" si="40"/>
        <v>0</v>
      </c>
      <c r="AU61" s="79">
        <f t="shared" si="40"/>
        <v>0</v>
      </c>
      <c r="AV61" s="79">
        <f t="shared" si="40"/>
        <v>0</v>
      </c>
      <c r="AW61" s="79">
        <f t="shared" si="40"/>
        <v>0</v>
      </c>
      <c r="AX61" s="79">
        <f t="shared" si="40"/>
        <v>0</v>
      </c>
      <c r="AY61" s="79">
        <f t="shared" si="40"/>
        <v>0</v>
      </c>
      <c r="AZ61" s="79">
        <f t="shared" si="41"/>
        <v>0</v>
      </c>
      <c r="BA61" s="79">
        <f t="shared" si="41"/>
        <v>0</v>
      </c>
      <c r="BB61" s="79">
        <f t="shared" si="41"/>
        <v>8.3333333333333329E-2</v>
      </c>
      <c r="BC61" s="79">
        <f t="shared" si="41"/>
        <v>0.16666666666666666</v>
      </c>
      <c r="BD61" s="79">
        <f t="shared" si="41"/>
        <v>0.16666666666666666</v>
      </c>
      <c r="BE61" s="79">
        <f t="shared" si="41"/>
        <v>0.16666666666666666</v>
      </c>
      <c r="BF61" s="80">
        <f t="shared" si="24"/>
        <v>0</v>
      </c>
    </row>
    <row r="62" spans="1:58" x14ac:dyDescent="0.25">
      <c r="A62" s="71">
        <v>46</v>
      </c>
      <c r="B62" s="72">
        <f t="shared" si="25"/>
        <v>47027</v>
      </c>
      <c r="C62" s="73">
        <f t="shared" si="2"/>
        <v>47057</v>
      </c>
      <c r="D62" s="67">
        <f t="shared" si="3"/>
        <v>31</v>
      </c>
      <c r="E62" s="67">
        <f t="shared" si="4"/>
        <v>10</v>
      </c>
      <c r="F62" s="74">
        <f t="shared" si="5"/>
        <v>47042.5</v>
      </c>
      <c r="G62" s="67">
        <f t="shared" si="6"/>
        <v>24345</v>
      </c>
      <c r="H62" s="75">
        <f t="shared" si="7"/>
        <v>1</v>
      </c>
      <c r="I62" s="76">
        <f t="shared" si="8"/>
        <v>1.1575200000000001</v>
      </c>
      <c r="J62" s="76">
        <f t="shared" si="9"/>
        <v>1.1575200000000001</v>
      </c>
      <c r="K62" s="67">
        <f t="shared" si="10"/>
        <v>0</v>
      </c>
      <c r="L62" s="67">
        <f t="shared" si="11"/>
        <v>0</v>
      </c>
      <c r="M62" s="77">
        <f t="shared" si="12"/>
        <v>0</v>
      </c>
      <c r="N62" s="76">
        <f t="shared" si="13"/>
        <v>1.1575200000000001</v>
      </c>
      <c r="O62" s="78">
        <f>'Mod Engine'!$E62</f>
        <v>0.89</v>
      </c>
      <c r="P62" s="76">
        <f t="shared" si="14"/>
        <v>0</v>
      </c>
      <c r="Q62" s="76">
        <f t="shared" si="15"/>
        <v>0</v>
      </c>
      <c r="R62" s="76">
        <f t="shared" si="16"/>
        <v>0.41666666666666669</v>
      </c>
      <c r="S62" s="76">
        <f t="shared" si="17"/>
        <v>1.2119915294117649</v>
      </c>
      <c r="T62" s="76">
        <f t="shared" si="18"/>
        <v>1.116689056506629</v>
      </c>
      <c r="U62" s="76">
        <f t="shared" si="19"/>
        <v>1.1575200000000001</v>
      </c>
      <c r="V62" s="79">
        <f t="shared" si="38"/>
        <v>0</v>
      </c>
      <c r="W62" s="79">
        <f t="shared" si="38"/>
        <v>0</v>
      </c>
      <c r="X62" s="79">
        <f t="shared" si="38"/>
        <v>0</v>
      </c>
      <c r="Y62" s="79">
        <f t="shared" si="38"/>
        <v>0</v>
      </c>
      <c r="Z62" s="79">
        <f t="shared" si="38"/>
        <v>0</v>
      </c>
      <c r="AA62" s="79">
        <f t="shared" si="38"/>
        <v>0</v>
      </c>
      <c r="AB62" s="79">
        <f t="shared" si="38"/>
        <v>0</v>
      </c>
      <c r="AC62" s="79">
        <f t="shared" si="38"/>
        <v>0</v>
      </c>
      <c r="AD62" s="79">
        <f t="shared" si="38"/>
        <v>0</v>
      </c>
      <c r="AE62" s="79">
        <f t="shared" si="38"/>
        <v>0</v>
      </c>
      <c r="AF62" s="79">
        <f t="shared" si="39"/>
        <v>0</v>
      </c>
      <c r="AG62" s="79">
        <f t="shared" si="39"/>
        <v>0</v>
      </c>
      <c r="AH62" s="79">
        <f t="shared" si="39"/>
        <v>0</v>
      </c>
      <c r="AI62" s="79">
        <f t="shared" si="39"/>
        <v>0</v>
      </c>
      <c r="AJ62" s="79">
        <f t="shared" si="39"/>
        <v>0</v>
      </c>
      <c r="AK62" s="79">
        <f t="shared" si="39"/>
        <v>0</v>
      </c>
      <c r="AL62" s="79">
        <f t="shared" si="39"/>
        <v>0</v>
      </c>
      <c r="AM62" s="79">
        <f t="shared" si="39"/>
        <v>0</v>
      </c>
      <c r="AN62" s="79">
        <f t="shared" si="39"/>
        <v>0</v>
      </c>
      <c r="AO62" s="79">
        <f t="shared" si="39"/>
        <v>0</v>
      </c>
      <c r="AP62" s="79">
        <f t="shared" si="40"/>
        <v>0</v>
      </c>
      <c r="AQ62" s="79">
        <f t="shared" si="40"/>
        <v>0</v>
      </c>
      <c r="AR62" s="79">
        <f t="shared" si="40"/>
        <v>0</v>
      </c>
      <c r="AS62" s="79">
        <f t="shared" si="40"/>
        <v>0</v>
      </c>
      <c r="AT62" s="79">
        <f t="shared" si="40"/>
        <v>0</v>
      </c>
      <c r="AU62" s="79">
        <f t="shared" si="40"/>
        <v>0</v>
      </c>
      <c r="AV62" s="79">
        <f t="shared" si="40"/>
        <v>0</v>
      </c>
      <c r="AW62" s="79">
        <f t="shared" si="40"/>
        <v>0</v>
      </c>
      <c r="AX62" s="79">
        <f t="shared" si="40"/>
        <v>0</v>
      </c>
      <c r="AY62" s="79">
        <f t="shared" si="40"/>
        <v>0</v>
      </c>
      <c r="AZ62" s="79">
        <f t="shared" si="41"/>
        <v>0</v>
      </c>
      <c r="BA62" s="79">
        <f t="shared" si="41"/>
        <v>0</v>
      </c>
      <c r="BB62" s="79">
        <f t="shared" si="41"/>
        <v>0</v>
      </c>
      <c r="BC62" s="79">
        <f t="shared" si="41"/>
        <v>8.3333333333333329E-2</v>
      </c>
      <c r="BD62" s="79">
        <f t="shared" si="41"/>
        <v>0.16666666666666666</v>
      </c>
      <c r="BE62" s="79">
        <f t="shared" si="41"/>
        <v>0.16666666666666666</v>
      </c>
      <c r="BF62" s="80">
        <f t="shared" si="24"/>
        <v>0</v>
      </c>
    </row>
    <row r="63" spans="1:58" x14ac:dyDescent="0.25">
      <c r="A63" s="71">
        <v>47</v>
      </c>
      <c r="B63" s="72">
        <f t="shared" si="25"/>
        <v>47058</v>
      </c>
      <c r="C63" s="73">
        <f t="shared" si="2"/>
        <v>47087</v>
      </c>
      <c r="D63" s="67">
        <f t="shared" si="3"/>
        <v>30</v>
      </c>
      <c r="E63" s="67">
        <f t="shared" si="4"/>
        <v>11</v>
      </c>
      <c r="F63" s="74">
        <f t="shared" si="5"/>
        <v>47073</v>
      </c>
      <c r="G63" s="67">
        <f t="shared" si="6"/>
        <v>24346</v>
      </c>
      <c r="H63" s="75">
        <f t="shared" si="7"/>
        <v>1</v>
      </c>
      <c r="I63" s="76">
        <f t="shared" si="8"/>
        <v>1.1575200000000001</v>
      </c>
      <c r="J63" s="76">
        <f t="shared" si="9"/>
        <v>1.1575200000000001</v>
      </c>
      <c r="K63" s="67">
        <f t="shared" si="10"/>
        <v>0</v>
      </c>
      <c r="L63" s="67">
        <f t="shared" si="11"/>
        <v>0</v>
      </c>
      <c r="M63" s="77">
        <f t="shared" si="12"/>
        <v>0</v>
      </c>
      <c r="N63" s="76">
        <f t="shared" si="13"/>
        <v>1.1575200000000001</v>
      </c>
      <c r="O63" s="78">
        <f>'Mod Engine'!$E63</f>
        <v>0.89</v>
      </c>
      <c r="P63" s="76">
        <f t="shared" si="14"/>
        <v>0</v>
      </c>
      <c r="Q63" s="76">
        <f t="shared" si="15"/>
        <v>0</v>
      </c>
      <c r="R63" s="76">
        <f t="shared" si="16"/>
        <v>0.25</v>
      </c>
      <c r="S63" s="76">
        <f t="shared" si="17"/>
        <v>1.2119915294117649</v>
      </c>
      <c r="T63" s="76">
        <f t="shared" si="18"/>
        <v>1.1192857768052518</v>
      </c>
      <c r="U63" s="76">
        <f t="shared" si="19"/>
        <v>1.1575200000000001</v>
      </c>
      <c r="V63" s="79">
        <f t="shared" si="38"/>
        <v>0</v>
      </c>
      <c r="W63" s="79">
        <f t="shared" si="38"/>
        <v>0</v>
      </c>
      <c r="X63" s="79">
        <f t="shared" si="38"/>
        <v>0</v>
      </c>
      <c r="Y63" s="79">
        <f t="shared" si="38"/>
        <v>0</v>
      </c>
      <c r="Z63" s="79">
        <f t="shared" si="38"/>
        <v>0</v>
      </c>
      <c r="AA63" s="79">
        <f t="shared" si="38"/>
        <v>0</v>
      </c>
      <c r="AB63" s="79">
        <f t="shared" si="38"/>
        <v>0</v>
      </c>
      <c r="AC63" s="79">
        <f t="shared" si="38"/>
        <v>0</v>
      </c>
      <c r="AD63" s="79">
        <f t="shared" si="38"/>
        <v>0</v>
      </c>
      <c r="AE63" s="79">
        <f t="shared" si="38"/>
        <v>0</v>
      </c>
      <c r="AF63" s="79">
        <f t="shared" si="39"/>
        <v>0</v>
      </c>
      <c r="AG63" s="79">
        <f t="shared" si="39"/>
        <v>0</v>
      </c>
      <c r="AH63" s="79">
        <f t="shared" si="39"/>
        <v>0</v>
      </c>
      <c r="AI63" s="79">
        <f t="shared" si="39"/>
        <v>0</v>
      </c>
      <c r="AJ63" s="79">
        <f t="shared" si="39"/>
        <v>0</v>
      </c>
      <c r="AK63" s="79">
        <f t="shared" si="39"/>
        <v>0</v>
      </c>
      <c r="AL63" s="79">
        <f t="shared" si="39"/>
        <v>0</v>
      </c>
      <c r="AM63" s="79">
        <f t="shared" si="39"/>
        <v>0</v>
      </c>
      <c r="AN63" s="79">
        <f t="shared" si="39"/>
        <v>0</v>
      </c>
      <c r="AO63" s="79">
        <f t="shared" si="39"/>
        <v>0</v>
      </c>
      <c r="AP63" s="79">
        <f t="shared" si="40"/>
        <v>0</v>
      </c>
      <c r="AQ63" s="79">
        <f t="shared" si="40"/>
        <v>0</v>
      </c>
      <c r="AR63" s="79">
        <f t="shared" si="40"/>
        <v>0</v>
      </c>
      <c r="AS63" s="79">
        <f t="shared" si="40"/>
        <v>0</v>
      </c>
      <c r="AT63" s="79">
        <f t="shared" si="40"/>
        <v>0</v>
      </c>
      <c r="AU63" s="79">
        <f t="shared" si="40"/>
        <v>0</v>
      </c>
      <c r="AV63" s="79">
        <f t="shared" si="40"/>
        <v>0</v>
      </c>
      <c r="AW63" s="79">
        <f t="shared" si="40"/>
        <v>0</v>
      </c>
      <c r="AX63" s="79">
        <f t="shared" si="40"/>
        <v>0</v>
      </c>
      <c r="AY63" s="79">
        <f t="shared" si="40"/>
        <v>0</v>
      </c>
      <c r="AZ63" s="79">
        <f t="shared" si="41"/>
        <v>0</v>
      </c>
      <c r="BA63" s="79">
        <f t="shared" si="41"/>
        <v>0</v>
      </c>
      <c r="BB63" s="79">
        <f t="shared" si="41"/>
        <v>0</v>
      </c>
      <c r="BC63" s="79">
        <f t="shared" si="41"/>
        <v>0</v>
      </c>
      <c r="BD63" s="79">
        <f t="shared" si="41"/>
        <v>8.3333333333333329E-2</v>
      </c>
      <c r="BE63" s="79">
        <f t="shared" si="41"/>
        <v>0.16666666666666666</v>
      </c>
      <c r="BF63" s="80">
        <f t="shared" si="24"/>
        <v>0</v>
      </c>
    </row>
    <row r="64" spans="1:58" x14ac:dyDescent="0.25">
      <c r="A64" s="71">
        <v>48</v>
      </c>
      <c r="B64" s="72">
        <f t="shared" si="25"/>
        <v>47088</v>
      </c>
      <c r="C64" s="73">
        <f t="shared" si="2"/>
        <v>47118</v>
      </c>
      <c r="D64" s="67">
        <f t="shared" si="3"/>
        <v>31</v>
      </c>
      <c r="E64" s="67">
        <f t="shared" si="4"/>
        <v>12</v>
      </c>
      <c r="F64" s="74">
        <f t="shared" si="5"/>
        <v>47103.5</v>
      </c>
      <c r="G64" s="67">
        <f t="shared" si="6"/>
        <v>24347</v>
      </c>
      <c r="H64" s="75">
        <f t="shared" si="7"/>
        <v>1</v>
      </c>
      <c r="I64" s="76">
        <f t="shared" si="8"/>
        <v>1.1575200000000001</v>
      </c>
      <c r="J64" s="76">
        <f t="shared" si="9"/>
        <v>1.1575200000000001</v>
      </c>
      <c r="K64" s="67">
        <f t="shared" si="10"/>
        <v>0</v>
      </c>
      <c r="L64" s="67">
        <f t="shared" si="11"/>
        <v>0</v>
      </c>
      <c r="M64" s="77">
        <f t="shared" si="12"/>
        <v>0</v>
      </c>
      <c r="N64" s="76">
        <f t="shared" si="13"/>
        <v>1.1575200000000001</v>
      </c>
      <c r="O64" s="78">
        <f>'Mod Engine'!$E64</f>
        <v>0.89</v>
      </c>
      <c r="P64" s="76">
        <f t="shared" si="14"/>
        <v>0</v>
      </c>
      <c r="Q64" s="76">
        <f t="shared" si="15"/>
        <v>0</v>
      </c>
      <c r="R64" s="76">
        <f t="shared" si="16"/>
        <v>8.3333333333333329E-2</v>
      </c>
      <c r="S64" s="76">
        <f t="shared" si="17"/>
        <v>1.2119915294117649</v>
      </c>
      <c r="T64" s="76">
        <f t="shared" si="18"/>
        <v>1.1218824971038743</v>
      </c>
      <c r="U64" s="76">
        <f t="shared" si="19"/>
        <v>1.1575200000000001</v>
      </c>
      <c r="V64" s="79">
        <f t="shared" si="38"/>
        <v>0</v>
      </c>
      <c r="W64" s="79">
        <f t="shared" si="38"/>
        <v>0</v>
      </c>
      <c r="X64" s="79">
        <f t="shared" si="38"/>
        <v>0</v>
      </c>
      <c r="Y64" s="79">
        <f t="shared" si="38"/>
        <v>0</v>
      </c>
      <c r="Z64" s="79">
        <f t="shared" si="38"/>
        <v>0</v>
      </c>
      <c r="AA64" s="79">
        <f t="shared" si="38"/>
        <v>0</v>
      </c>
      <c r="AB64" s="79">
        <f t="shared" si="38"/>
        <v>0</v>
      </c>
      <c r="AC64" s="79">
        <f t="shared" si="38"/>
        <v>0</v>
      </c>
      <c r="AD64" s="79">
        <f t="shared" si="38"/>
        <v>0</v>
      </c>
      <c r="AE64" s="79">
        <f t="shared" si="38"/>
        <v>0</v>
      </c>
      <c r="AF64" s="79">
        <f t="shared" si="39"/>
        <v>0</v>
      </c>
      <c r="AG64" s="79">
        <f t="shared" si="39"/>
        <v>0</v>
      </c>
      <c r="AH64" s="79">
        <f t="shared" si="39"/>
        <v>0</v>
      </c>
      <c r="AI64" s="79">
        <f t="shared" si="39"/>
        <v>0</v>
      </c>
      <c r="AJ64" s="79">
        <f t="shared" si="39"/>
        <v>0</v>
      </c>
      <c r="AK64" s="79">
        <f t="shared" si="39"/>
        <v>0</v>
      </c>
      <c r="AL64" s="79">
        <f t="shared" si="39"/>
        <v>0</v>
      </c>
      <c r="AM64" s="79">
        <f t="shared" si="39"/>
        <v>0</v>
      </c>
      <c r="AN64" s="79">
        <f t="shared" si="39"/>
        <v>0</v>
      </c>
      <c r="AO64" s="79">
        <f t="shared" si="39"/>
        <v>0</v>
      </c>
      <c r="AP64" s="79">
        <f t="shared" si="40"/>
        <v>0</v>
      </c>
      <c r="AQ64" s="79">
        <f t="shared" si="40"/>
        <v>0</v>
      </c>
      <c r="AR64" s="79">
        <f t="shared" si="40"/>
        <v>0</v>
      </c>
      <c r="AS64" s="79">
        <f t="shared" si="40"/>
        <v>0</v>
      </c>
      <c r="AT64" s="79">
        <f t="shared" si="40"/>
        <v>0</v>
      </c>
      <c r="AU64" s="79">
        <f t="shared" si="40"/>
        <v>0</v>
      </c>
      <c r="AV64" s="79">
        <f t="shared" si="40"/>
        <v>0</v>
      </c>
      <c r="AW64" s="79">
        <f t="shared" si="40"/>
        <v>0</v>
      </c>
      <c r="AX64" s="79">
        <f t="shared" si="40"/>
        <v>0</v>
      </c>
      <c r="AY64" s="79">
        <f t="shared" si="40"/>
        <v>0</v>
      </c>
      <c r="AZ64" s="79">
        <f t="shared" si="41"/>
        <v>0</v>
      </c>
      <c r="BA64" s="79">
        <f t="shared" si="41"/>
        <v>0</v>
      </c>
      <c r="BB64" s="79">
        <f t="shared" si="41"/>
        <v>0</v>
      </c>
      <c r="BC64" s="79">
        <f t="shared" si="41"/>
        <v>0</v>
      </c>
      <c r="BD64" s="79">
        <f t="shared" si="41"/>
        <v>0</v>
      </c>
      <c r="BE64" s="79">
        <f t="shared" si="41"/>
        <v>8.3333333333333329E-2</v>
      </c>
      <c r="BF64" s="80">
        <f t="shared" si="24"/>
        <v>0</v>
      </c>
    </row>
    <row r="66" spans="21:57" x14ac:dyDescent="0.25">
      <c r="U66" s="81" t="s">
        <v>233</v>
      </c>
      <c r="V66" s="76">
        <f t="shared" ref="V66:BE66" si="42">SUMPRODUCT($H$17:$H$64,V$17:V$64,$U$17:$U$64)</f>
        <v>1.04</v>
      </c>
      <c r="W66" s="76">
        <f t="shared" si="42"/>
        <v>1.04</v>
      </c>
      <c r="X66" s="76">
        <f t="shared" si="42"/>
        <v>1.04</v>
      </c>
      <c r="Y66" s="76">
        <f t="shared" si="42"/>
        <v>1.04</v>
      </c>
      <c r="Z66" s="76">
        <f t="shared" si="42"/>
        <v>1.04</v>
      </c>
      <c r="AA66" s="76">
        <f t="shared" si="42"/>
        <v>1.04</v>
      </c>
      <c r="AB66" s="76">
        <f t="shared" si="42"/>
        <v>1.0452000000000001</v>
      </c>
      <c r="AC66" s="76">
        <f t="shared" si="42"/>
        <v>1.0556000000000001</v>
      </c>
      <c r="AD66" s="76">
        <f t="shared" si="42"/>
        <v>1.0660000000000001</v>
      </c>
      <c r="AE66" s="76">
        <f t="shared" si="42"/>
        <v>1.0764</v>
      </c>
      <c r="AF66" s="76">
        <f t="shared" si="42"/>
        <v>1.0868</v>
      </c>
      <c r="AG66" s="76">
        <f t="shared" si="42"/>
        <v>1.0972</v>
      </c>
      <c r="AH66" s="76">
        <f t="shared" si="42"/>
        <v>1.1024</v>
      </c>
      <c r="AI66" s="76">
        <f t="shared" si="42"/>
        <v>1.1024</v>
      </c>
      <c r="AJ66" s="76">
        <f t="shared" si="42"/>
        <v>1.1024</v>
      </c>
      <c r="AK66" s="76">
        <f t="shared" si="42"/>
        <v>1.1069933333333333</v>
      </c>
      <c r="AL66" s="76">
        <f t="shared" si="42"/>
        <v>1.1161799999999999</v>
      </c>
      <c r="AM66" s="76">
        <f t="shared" si="42"/>
        <v>1.1253666666666666</v>
      </c>
      <c r="AN66" s="76">
        <f t="shared" si="42"/>
        <v>1.1345533333333333</v>
      </c>
      <c r="AO66" s="76">
        <f t="shared" si="42"/>
        <v>1.14374</v>
      </c>
      <c r="AP66" s="76">
        <f t="shared" si="42"/>
        <v>1.1529266666666667</v>
      </c>
      <c r="AQ66" s="76">
        <f t="shared" si="42"/>
        <v>1.1575200000000001</v>
      </c>
      <c r="AR66" s="76">
        <f t="shared" si="42"/>
        <v>1.1575200000000001</v>
      </c>
      <c r="AS66" s="76">
        <f t="shared" si="42"/>
        <v>1.1575200000000001</v>
      </c>
      <c r="AT66" s="76">
        <f t="shared" si="42"/>
        <v>1.1575200000000001</v>
      </c>
      <c r="AU66" s="76">
        <f t="shared" si="42"/>
        <v>1.1575200000000001</v>
      </c>
      <c r="AV66" s="76">
        <f t="shared" si="42"/>
        <v>1.1575200000000001</v>
      </c>
      <c r="AW66" s="76">
        <f t="shared" si="42"/>
        <v>1.1575200000000001</v>
      </c>
      <c r="AX66" s="76">
        <f t="shared" si="42"/>
        <v>1.1575200000000001</v>
      </c>
      <c r="AY66" s="76">
        <f t="shared" si="42"/>
        <v>1.1575200000000001</v>
      </c>
      <c r="AZ66" s="76">
        <f t="shared" si="42"/>
        <v>1.1575200000000001</v>
      </c>
      <c r="BA66" s="76">
        <f t="shared" si="42"/>
        <v>1.1575200000000001</v>
      </c>
      <c r="BB66" s="76">
        <f t="shared" si="42"/>
        <v>1.1575200000000001</v>
      </c>
      <c r="BC66" s="76">
        <f t="shared" si="42"/>
        <v>1.1575200000000001</v>
      </c>
      <c r="BD66" s="76">
        <f t="shared" si="42"/>
        <v>1.1575200000000001</v>
      </c>
      <c r="BE66" s="76">
        <f t="shared" si="42"/>
        <v>1.1575200000000001</v>
      </c>
    </row>
    <row r="67" spans="21:57" x14ac:dyDescent="0.25">
      <c r="U67" s="81" t="s">
        <v>234</v>
      </c>
      <c r="V67" s="76">
        <f t="shared" ref="V67:BE67" si="43">SUMPRODUCT($H$17:$H$64,V$17:V$64)</f>
        <v>0.99999999999999989</v>
      </c>
      <c r="W67" s="76">
        <f t="shared" si="43"/>
        <v>0.99999999999999989</v>
      </c>
      <c r="X67" s="76">
        <f t="shared" si="43"/>
        <v>0.99999999999999989</v>
      </c>
      <c r="Y67" s="76">
        <f t="shared" si="43"/>
        <v>0.99999999999999989</v>
      </c>
      <c r="Z67" s="76">
        <f t="shared" si="43"/>
        <v>0.99999999999999989</v>
      </c>
      <c r="AA67" s="76">
        <f t="shared" si="43"/>
        <v>0.99999999999999989</v>
      </c>
      <c r="AB67" s="76">
        <f t="shared" si="43"/>
        <v>0.99999999999999989</v>
      </c>
      <c r="AC67" s="76">
        <f t="shared" si="43"/>
        <v>0.99999999999999989</v>
      </c>
      <c r="AD67" s="76">
        <f t="shared" si="43"/>
        <v>0.99999999999999989</v>
      </c>
      <c r="AE67" s="76">
        <f t="shared" si="43"/>
        <v>0.99999999999999989</v>
      </c>
      <c r="AF67" s="76">
        <f t="shared" si="43"/>
        <v>0.99999999999999989</v>
      </c>
      <c r="AG67" s="76">
        <f t="shared" si="43"/>
        <v>0.99999999999999989</v>
      </c>
      <c r="AH67" s="76">
        <f t="shared" si="43"/>
        <v>0.99999999999999989</v>
      </c>
      <c r="AI67" s="76">
        <f t="shared" si="43"/>
        <v>0.99999999999999989</v>
      </c>
      <c r="AJ67" s="76">
        <f t="shared" si="43"/>
        <v>0.99999999999999989</v>
      </c>
      <c r="AK67" s="76">
        <f t="shared" si="43"/>
        <v>0.99999999999999989</v>
      </c>
      <c r="AL67" s="76">
        <f t="shared" si="43"/>
        <v>0.99999999999999989</v>
      </c>
      <c r="AM67" s="76">
        <f t="shared" si="43"/>
        <v>0.99999999999999989</v>
      </c>
      <c r="AN67" s="76">
        <f t="shared" si="43"/>
        <v>0.99999999999999989</v>
      </c>
      <c r="AO67" s="76">
        <f t="shared" si="43"/>
        <v>0.99999999999999989</v>
      </c>
      <c r="AP67" s="76">
        <f t="shared" si="43"/>
        <v>0.99999999999999989</v>
      </c>
      <c r="AQ67" s="76">
        <f t="shared" si="43"/>
        <v>0.99999999999999989</v>
      </c>
      <c r="AR67" s="76">
        <f t="shared" si="43"/>
        <v>0.99999999999999989</v>
      </c>
      <c r="AS67" s="76">
        <f t="shared" si="43"/>
        <v>0.99999999999999989</v>
      </c>
      <c r="AT67" s="76">
        <f t="shared" si="43"/>
        <v>0.99999999999999989</v>
      </c>
      <c r="AU67" s="76">
        <f t="shared" si="43"/>
        <v>0.99999999999999989</v>
      </c>
      <c r="AV67" s="76">
        <f t="shared" si="43"/>
        <v>0.99999999999999989</v>
      </c>
      <c r="AW67" s="76">
        <f t="shared" si="43"/>
        <v>0.99999999999999989</v>
      </c>
      <c r="AX67" s="76">
        <f t="shared" si="43"/>
        <v>0.99999999999999989</v>
      </c>
      <c r="AY67" s="76">
        <f t="shared" si="43"/>
        <v>0.99999999999999989</v>
      </c>
      <c r="AZ67" s="76">
        <f t="shared" si="43"/>
        <v>0.99999999999999989</v>
      </c>
      <c r="BA67" s="76">
        <f t="shared" si="43"/>
        <v>0.99999999999999989</v>
      </c>
      <c r="BB67" s="76">
        <f t="shared" si="43"/>
        <v>0.99999999999999989</v>
      </c>
      <c r="BC67" s="76">
        <f t="shared" si="43"/>
        <v>0.99999999999999989</v>
      </c>
      <c r="BD67" s="76">
        <f t="shared" si="43"/>
        <v>0.99999999999999989</v>
      </c>
      <c r="BE67" s="76">
        <f t="shared" si="43"/>
        <v>0.99999999999999989</v>
      </c>
    </row>
    <row r="68" spans="21:57" x14ac:dyDescent="0.25">
      <c r="U68" s="81" t="s">
        <v>235</v>
      </c>
      <c r="V68" s="82">
        <f t="shared" ref="V68:BE68" si="44">IF(V67=0,"",V66/V67)</f>
        <v>1.0400000000000003</v>
      </c>
      <c r="W68" s="82">
        <f t="shared" si="44"/>
        <v>1.0400000000000003</v>
      </c>
      <c r="X68" s="82">
        <f t="shared" si="44"/>
        <v>1.0400000000000003</v>
      </c>
      <c r="Y68" s="82">
        <f t="shared" si="44"/>
        <v>1.0400000000000003</v>
      </c>
      <c r="Z68" s="82">
        <f t="shared" si="44"/>
        <v>1.0400000000000003</v>
      </c>
      <c r="AA68" s="82">
        <f t="shared" si="44"/>
        <v>1.0400000000000003</v>
      </c>
      <c r="AB68" s="82">
        <f t="shared" si="44"/>
        <v>1.0452000000000004</v>
      </c>
      <c r="AC68" s="82">
        <f t="shared" si="44"/>
        <v>1.0556000000000003</v>
      </c>
      <c r="AD68" s="82">
        <f t="shared" si="44"/>
        <v>1.0660000000000003</v>
      </c>
      <c r="AE68" s="82">
        <f t="shared" si="44"/>
        <v>1.0764000000000002</v>
      </c>
      <c r="AF68" s="82">
        <f t="shared" si="44"/>
        <v>1.0868000000000002</v>
      </c>
      <c r="AG68" s="82">
        <f t="shared" si="44"/>
        <v>1.0972000000000002</v>
      </c>
      <c r="AH68" s="82">
        <f t="shared" si="44"/>
        <v>1.1024000000000003</v>
      </c>
      <c r="AI68" s="82">
        <f t="shared" si="44"/>
        <v>1.1024000000000003</v>
      </c>
      <c r="AJ68" s="82">
        <f t="shared" si="44"/>
        <v>1.1024000000000003</v>
      </c>
      <c r="AK68" s="82">
        <f t="shared" si="44"/>
        <v>1.1069933333333335</v>
      </c>
      <c r="AL68" s="82">
        <f t="shared" si="44"/>
        <v>1.1161800000000002</v>
      </c>
      <c r="AM68" s="82">
        <f t="shared" si="44"/>
        <v>1.1253666666666668</v>
      </c>
      <c r="AN68" s="82">
        <f t="shared" si="44"/>
        <v>1.1345533333333335</v>
      </c>
      <c r="AO68" s="82">
        <f t="shared" si="44"/>
        <v>1.1437400000000002</v>
      </c>
      <c r="AP68" s="82">
        <f t="shared" si="44"/>
        <v>1.1529266666666669</v>
      </c>
      <c r="AQ68" s="82">
        <f t="shared" si="44"/>
        <v>1.1575200000000003</v>
      </c>
      <c r="AR68" s="82">
        <f t="shared" si="44"/>
        <v>1.1575200000000003</v>
      </c>
      <c r="AS68" s="82">
        <f t="shared" si="44"/>
        <v>1.1575200000000003</v>
      </c>
      <c r="AT68" s="82">
        <f t="shared" si="44"/>
        <v>1.1575200000000003</v>
      </c>
      <c r="AU68" s="82">
        <f t="shared" si="44"/>
        <v>1.1575200000000003</v>
      </c>
      <c r="AV68" s="82">
        <f t="shared" si="44"/>
        <v>1.1575200000000003</v>
      </c>
      <c r="AW68" s="82">
        <f t="shared" si="44"/>
        <v>1.1575200000000003</v>
      </c>
      <c r="AX68" s="82">
        <f t="shared" si="44"/>
        <v>1.1575200000000003</v>
      </c>
      <c r="AY68" s="82">
        <f t="shared" si="44"/>
        <v>1.1575200000000003</v>
      </c>
      <c r="AZ68" s="82">
        <f t="shared" si="44"/>
        <v>1.1575200000000003</v>
      </c>
      <c r="BA68" s="82">
        <f t="shared" si="44"/>
        <v>1.1575200000000003</v>
      </c>
      <c r="BB68" s="82">
        <f t="shared" si="44"/>
        <v>1.1575200000000003</v>
      </c>
      <c r="BC68" s="82">
        <f t="shared" si="44"/>
        <v>1.1575200000000003</v>
      </c>
      <c r="BD68" s="82">
        <f t="shared" si="44"/>
        <v>1.1575200000000003</v>
      </c>
      <c r="BE68" s="82">
        <f t="shared" si="44"/>
        <v>1.1575200000000003</v>
      </c>
    </row>
    <row r="69" spans="21:57" x14ac:dyDescent="0.25">
      <c r="U69" s="81" t="s">
        <v>236</v>
      </c>
      <c r="V69" s="83">
        <f>MIN(INDEX($U$17:$U$64,MAX(1,V$15-$G$17-$F$5+1)):INDEX($U$17:$U$64,V$15-$G$17+1))</f>
        <v>1.04</v>
      </c>
      <c r="W69" s="83">
        <f>MIN(INDEX($U$17:$U$64,MAX(1,W$15-$G$17-$F$5+1)):INDEX($U$17:$U$64,W$15-$G$17+1))</f>
        <v>1.04</v>
      </c>
      <c r="X69" s="83">
        <f>MIN(INDEX($U$17:$U$64,MAX(1,X$15-$G$17-$F$5+1)):INDEX($U$17:$U$64,X$15-$G$17+1))</f>
        <v>1.04</v>
      </c>
      <c r="Y69" s="83">
        <f>MIN(INDEX($U$17:$U$64,MAX(1,Y$15-$G$17-$F$5+1)):INDEX($U$17:$U$64,Y$15-$G$17+1))</f>
        <v>1.04</v>
      </c>
      <c r="Z69" s="83">
        <f>MIN(INDEX($U$17:$U$64,MAX(1,Z$15-$G$17-$F$5+1)):INDEX($U$17:$U$64,Z$15-$G$17+1))</f>
        <v>1.04</v>
      </c>
      <c r="AA69" s="83">
        <f>MIN(INDEX($U$17:$U$64,MAX(1,AA$15-$G$17-$F$5+1)):INDEX($U$17:$U$64,AA$15-$G$17+1))</f>
        <v>1.04</v>
      </c>
      <c r="AB69" s="83">
        <f>MIN(INDEX($U$17:$U$64,MAX(1,AB$15-$G$17-$F$5+1)):INDEX($U$17:$U$64,AB$15-$G$17+1))</f>
        <v>1.04</v>
      </c>
      <c r="AC69" s="83">
        <f>MIN(INDEX($U$17:$U$64,MAX(1,AC$15-$G$17-$F$5+1)):INDEX($U$17:$U$64,AC$15-$G$17+1))</f>
        <v>1.04</v>
      </c>
      <c r="AD69" s="83">
        <f>MIN(INDEX($U$17:$U$64,MAX(1,AD$15-$G$17-$F$5+1)):INDEX($U$17:$U$64,AD$15-$G$17+1))</f>
        <v>1.04</v>
      </c>
      <c r="AE69" s="83">
        <f>MIN(INDEX($U$17:$U$64,MAX(1,AE$15-$G$17-$F$5+1)):INDEX($U$17:$U$64,AE$15-$G$17+1))</f>
        <v>1.04</v>
      </c>
      <c r="AF69" s="83">
        <f>MIN(INDEX($U$17:$U$64,MAX(1,AF$15-$G$17-$F$5+1)):INDEX($U$17:$U$64,AF$15-$G$17+1))</f>
        <v>1.04</v>
      </c>
      <c r="AG69" s="83">
        <f>MIN(INDEX($U$17:$U$64,MAX(1,AG$15-$G$17-$F$5+1)):INDEX($U$17:$U$64,AG$15-$G$17+1))</f>
        <v>1.04</v>
      </c>
      <c r="AH69" s="83">
        <f>MIN(INDEX($U$17:$U$64,MAX(1,AH$15-$G$17-$F$5+1)):INDEX($U$17:$U$64,AH$15-$G$17+1))</f>
        <v>1.1024</v>
      </c>
      <c r="AI69" s="83">
        <f>MIN(INDEX($U$17:$U$64,MAX(1,AI$15-$G$17-$F$5+1)):INDEX($U$17:$U$64,AI$15-$G$17+1))</f>
        <v>1.1024</v>
      </c>
      <c r="AJ69" s="83">
        <f>MIN(INDEX($U$17:$U$64,MAX(1,AJ$15-$G$17-$F$5+1)):INDEX($U$17:$U$64,AJ$15-$G$17+1))</f>
        <v>1.1024</v>
      </c>
      <c r="AK69" s="83">
        <f>MIN(INDEX($U$17:$U$64,MAX(1,AK$15-$G$17-$F$5+1)):INDEX($U$17:$U$64,AK$15-$G$17+1))</f>
        <v>1.1024</v>
      </c>
      <c r="AL69" s="83">
        <f>MIN(INDEX($U$17:$U$64,MAX(1,AL$15-$G$17-$F$5+1)):INDEX($U$17:$U$64,AL$15-$G$17+1))</f>
        <v>1.1024</v>
      </c>
      <c r="AM69" s="83">
        <f>MIN(INDEX($U$17:$U$64,MAX(1,AM$15-$G$17-$F$5+1)):INDEX($U$17:$U$64,AM$15-$G$17+1))</f>
        <v>1.1024</v>
      </c>
      <c r="AN69" s="83">
        <f>MIN(INDEX($U$17:$U$64,MAX(1,AN$15-$G$17-$F$5+1)):INDEX($U$17:$U$64,AN$15-$G$17+1))</f>
        <v>1.1024</v>
      </c>
      <c r="AO69" s="83">
        <f>MIN(INDEX($U$17:$U$64,MAX(1,AO$15-$G$17-$F$5+1)):INDEX($U$17:$U$64,AO$15-$G$17+1))</f>
        <v>1.1024</v>
      </c>
      <c r="AP69" s="83">
        <f>MIN(INDEX($U$17:$U$64,MAX(1,AP$15-$G$17-$F$5+1)):INDEX($U$17:$U$64,AP$15-$G$17+1))</f>
        <v>1.1024</v>
      </c>
      <c r="AQ69" s="83">
        <f>MIN(INDEX($U$17:$U$64,MAX(1,AQ$15-$G$17-$F$5+1)):INDEX($U$17:$U$64,AQ$15-$G$17+1))</f>
        <v>1.1575200000000001</v>
      </c>
      <c r="AR69" s="83">
        <f>MIN(INDEX($U$17:$U$64,MAX(1,AR$15-$G$17-$F$5+1)):INDEX($U$17:$U$64,AR$15-$G$17+1))</f>
        <v>1.1575200000000001</v>
      </c>
      <c r="AS69" s="83">
        <f>MIN(INDEX($U$17:$U$64,MAX(1,AS$15-$G$17-$F$5+1)):INDEX($U$17:$U$64,AS$15-$G$17+1))</f>
        <v>1.1575200000000001</v>
      </c>
      <c r="AT69" s="83">
        <f>MIN(INDEX($U$17:$U$64,MAX(1,AT$15-$G$17-$F$5+1)):INDEX($U$17:$U$64,AT$15-$G$17+1))</f>
        <v>1.1575200000000001</v>
      </c>
      <c r="AU69" s="83">
        <f>MIN(INDEX($U$17:$U$64,MAX(1,AU$15-$G$17-$F$5+1)):INDEX($U$17:$U$64,AU$15-$G$17+1))</f>
        <v>1.1575200000000001</v>
      </c>
      <c r="AV69" s="83">
        <f>MIN(INDEX($U$17:$U$64,MAX(1,AV$15-$G$17-$F$5+1)):INDEX($U$17:$U$64,AV$15-$G$17+1))</f>
        <v>1.1575200000000001</v>
      </c>
      <c r="AW69" s="83">
        <f>MIN(INDEX($U$17:$U$64,MAX(1,AW$15-$G$17-$F$5+1)):INDEX($U$17:$U$64,AW$15-$G$17+1))</f>
        <v>1.1575200000000001</v>
      </c>
      <c r="AX69" s="83">
        <f>MIN(INDEX($U$17:$U$64,MAX(1,AX$15-$G$17-$F$5+1)):INDEX($U$17:$U$64,AX$15-$G$17+1))</f>
        <v>1.1575200000000001</v>
      </c>
      <c r="AY69" s="83">
        <f>MIN(INDEX($U$17:$U$64,MAX(1,AY$15-$G$17-$F$5+1)):INDEX($U$17:$U$64,AY$15-$G$17+1))</f>
        <v>1.1575200000000001</v>
      </c>
      <c r="AZ69" s="83">
        <f>MIN(INDEX($U$17:$U$64,MAX(1,AZ$15-$G$17-$F$5+1)):INDEX($U$17:$U$64,AZ$15-$G$17+1))</f>
        <v>1.1575200000000001</v>
      </c>
      <c r="BA69" s="83">
        <f>MIN(INDEX($U$17:$U$64,MAX(1,BA$15-$G$17-$F$5+1)):INDEX($U$17:$U$64,BA$15-$G$17+1))</f>
        <v>1.1575200000000001</v>
      </c>
      <c r="BB69" s="83">
        <f>MIN(INDEX($U$17:$U$64,MAX(1,BB$15-$G$17-$F$5+1)):INDEX($U$17:$U$64,BB$15-$G$17+1))</f>
        <v>1.1575200000000001</v>
      </c>
      <c r="BC69" s="83">
        <f>MIN(INDEX($U$17:$U$64,MAX(1,BC$15-$G$17-$F$5+1)):INDEX($U$17:$U$64,BC$15-$G$17+1))</f>
        <v>1.1575200000000001</v>
      </c>
      <c r="BD69" s="83">
        <f>MIN(INDEX($U$17:$U$64,MAX(1,BD$15-$G$17-$F$5+1)):INDEX($U$17:$U$64,BD$15-$G$17+1))</f>
        <v>1.1575200000000001</v>
      </c>
      <c r="BE69" s="83">
        <f>MIN(INDEX($U$17:$U$64,MAX(1,BE$15-$G$17-$F$5+1)):INDEX($U$17:$U$64,BE$15-$G$17+1))</f>
        <v>1.1575200000000001</v>
      </c>
    </row>
    <row r="70" spans="21:57" x14ac:dyDescent="0.25">
      <c r="U70" s="81" t="s">
        <v>237</v>
      </c>
      <c r="V70" s="83">
        <f>MAX(INDEX($U$17:$U$64,MAX(1,V$15-$G$17-$F$5+1)):INDEX($U$17:$U$64,V$15-$G$17+1))</f>
        <v>1.04</v>
      </c>
      <c r="W70" s="83">
        <f>MAX(INDEX($U$17:$U$64,MAX(1,W$15-$G$17-$F$5+1)):INDEX($U$17:$U$64,W$15-$G$17+1))</f>
        <v>1.04</v>
      </c>
      <c r="X70" s="83">
        <f>MAX(INDEX($U$17:$U$64,MAX(1,X$15-$G$17-$F$5+1)):INDEX($U$17:$U$64,X$15-$G$17+1))</f>
        <v>1.04</v>
      </c>
      <c r="Y70" s="83">
        <f>MAX(INDEX($U$17:$U$64,MAX(1,Y$15-$G$17-$F$5+1)):INDEX($U$17:$U$64,Y$15-$G$17+1))</f>
        <v>1.04</v>
      </c>
      <c r="Z70" s="83">
        <f>MAX(INDEX($U$17:$U$64,MAX(1,Z$15-$G$17-$F$5+1)):INDEX($U$17:$U$64,Z$15-$G$17+1))</f>
        <v>1.04</v>
      </c>
      <c r="AA70" s="83">
        <f>MAX(INDEX($U$17:$U$64,MAX(1,AA$15-$G$17-$F$5+1)):INDEX($U$17:$U$64,AA$15-$G$17+1))</f>
        <v>1.04</v>
      </c>
      <c r="AB70" s="83">
        <f>MAX(INDEX($U$17:$U$64,MAX(1,AB$15-$G$17-$F$5+1)):INDEX($U$17:$U$64,AB$15-$G$17+1))</f>
        <v>1.1024</v>
      </c>
      <c r="AC70" s="83">
        <f>MAX(INDEX($U$17:$U$64,MAX(1,AC$15-$G$17-$F$5+1)):INDEX($U$17:$U$64,AC$15-$G$17+1))</f>
        <v>1.1024</v>
      </c>
      <c r="AD70" s="83">
        <f>MAX(INDEX($U$17:$U$64,MAX(1,AD$15-$G$17-$F$5+1)):INDEX($U$17:$U$64,AD$15-$G$17+1))</f>
        <v>1.1024</v>
      </c>
      <c r="AE70" s="83">
        <f>MAX(INDEX($U$17:$U$64,MAX(1,AE$15-$G$17-$F$5+1)):INDEX($U$17:$U$64,AE$15-$G$17+1))</f>
        <v>1.1024</v>
      </c>
      <c r="AF70" s="83">
        <f>MAX(INDEX($U$17:$U$64,MAX(1,AF$15-$G$17-$F$5+1)):INDEX($U$17:$U$64,AF$15-$G$17+1))</f>
        <v>1.1024</v>
      </c>
      <c r="AG70" s="83">
        <f>MAX(INDEX($U$17:$U$64,MAX(1,AG$15-$G$17-$F$5+1)):INDEX($U$17:$U$64,AG$15-$G$17+1))</f>
        <v>1.1024</v>
      </c>
      <c r="AH70" s="83">
        <f>MAX(INDEX($U$17:$U$64,MAX(1,AH$15-$G$17-$F$5+1)):INDEX($U$17:$U$64,AH$15-$G$17+1))</f>
        <v>1.1024</v>
      </c>
      <c r="AI70" s="83">
        <f>MAX(INDEX($U$17:$U$64,MAX(1,AI$15-$G$17-$F$5+1)):INDEX($U$17:$U$64,AI$15-$G$17+1))</f>
        <v>1.1024</v>
      </c>
      <c r="AJ70" s="83">
        <f>MAX(INDEX($U$17:$U$64,MAX(1,AJ$15-$G$17-$F$5+1)):INDEX($U$17:$U$64,AJ$15-$G$17+1))</f>
        <v>1.1024</v>
      </c>
      <c r="AK70" s="83">
        <f>MAX(INDEX($U$17:$U$64,MAX(1,AK$15-$G$17-$F$5+1)):INDEX($U$17:$U$64,AK$15-$G$17+1))</f>
        <v>1.1575200000000001</v>
      </c>
      <c r="AL70" s="83">
        <f>MAX(INDEX($U$17:$U$64,MAX(1,AL$15-$G$17-$F$5+1)):INDEX($U$17:$U$64,AL$15-$G$17+1))</f>
        <v>1.1575200000000001</v>
      </c>
      <c r="AM70" s="83">
        <f>MAX(INDEX($U$17:$U$64,MAX(1,AM$15-$G$17-$F$5+1)):INDEX($U$17:$U$64,AM$15-$G$17+1))</f>
        <v>1.1575200000000001</v>
      </c>
      <c r="AN70" s="83">
        <f>MAX(INDEX($U$17:$U$64,MAX(1,AN$15-$G$17-$F$5+1)):INDEX($U$17:$U$64,AN$15-$G$17+1))</f>
        <v>1.1575200000000001</v>
      </c>
      <c r="AO70" s="83">
        <f>MAX(INDEX($U$17:$U$64,MAX(1,AO$15-$G$17-$F$5+1)):INDEX($U$17:$U$64,AO$15-$G$17+1))</f>
        <v>1.1575200000000001</v>
      </c>
      <c r="AP70" s="83">
        <f>MAX(INDEX($U$17:$U$64,MAX(1,AP$15-$G$17-$F$5+1)):INDEX($U$17:$U$64,AP$15-$G$17+1))</f>
        <v>1.1575200000000001</v>
      </c>
      <c r="AQ70" s="83">
        <f>MAX(INDEX($U$17:$U$64,MAX(1,AQ$15-$G$17-$F$5+1)):INDEX($U$17:$U$64,AQ$15-$G$17+1))</f>
        <v>1.1575200000000001</v>
      </c>
      <c r="AR70" s="83">
        <f>MAX(INDEX($U$17:$U$64,MAX(1,AR$15-$G$17-$F$5+1)):INDEX($U$17:$U$64,AR$15-$G$17+1))</f>
        <v>1.1575200000000001</v>
      </c>
      <c r="AS70" s="83">
        <f>MAX(INDEX($U$17:$U$64,MAX(1,AS$15-$G$17-$F$5+1)):INDEX($U$17:$U$64,AS$15-$G$17+1))</f>
        <v>1.1575200000000001</v>
      </c>
      <c r="AT70" s="83">
        <f>MAX(INDEX($U$17:$U$64,MAX(1,AT$15-$G$17-$F$5+1)):INDEX($U$17:$U$64,AT$15-$G$17+1))</f>
        <v>1.1575200000000001</v>
      </c>
      <c r="AU70" s="83">
        <f>MAX(INDEX($U$17:$U$64,MAX(1,AU$15-$G$17-$F$5+1)):INDEX($U$17:$U$64,AU$15-$G$17+1))</f>
        <v>1.1575200000000001</v>
      </c>
      <c r="AV70" s="83">
        <f>MAX(INDEX($U$17:$U$64,MAX(1,AV$15-$G$17-$F$5+1)):INDEX($U$17:$U$64,AV$15-$G$17+1))</f>
        <v>1.1575200000000001</v>
      </c>
      <c r="AW70" s="83">
        <f>MAX(INDEX($U$17:$U$64,MAX(1,AW$15-$G$17-$F$5+1)):INDEX($U$17:$U$64,AW$15-$G$17+1))</f>
        <v>1.1575200000000001</v>
      </c>
      <c r="AX70" s="83">
        <f>MAX(INDEX($U$17:$U$64,MAX(1,AX$15-$G$17-$F$5+1)):INDEX($U$17:$U$64,AX$15-$G$17+1))</f>
        <v>1.1575200000000001</v>
      </c>
      <c r="AY70" s="83">
        <f>MAX(INDEX($U$17:$U$64,MAX(1,AY$15-$G$17-$F$5+1)):INDEX($U$17:$U$64,AY$15-$G$17+1))</f>
        <v>1.1575200000000001</v>
      </c>
      <c r="AZ70" s="83">
        <f>MAX(INDEX($U$17:$U$64,MAX(1,AZ$15-$G$17-$F$5+1)):INDEX($U$17:$U$64,AZ$15-$G$17+1))</f>
        <v>1.1575200000000001</v>
      </c>
      <c r="BA70" s="83">
        <f>MAX(INDEX($U$17:$U$64,MAX(1,BA$15-$G$17-$F$5+1)):INDEX($U$17:$U$64,BA$15-$G$17+1))</f>
        <v>1.1575200000000001</v>
      </c>
      <c r="BB70" s="83">
        <f>MAX(INDEX($U$17:$U$64,MAX(1,BB$15-$G$17-$F$5+1)):INDEX($U$17:$U$64,BB$15-$G$17+1))</f>
        <v>1.1575200000000001</v>
      </c>
      <c r="BC70" s="83">
        <f>MAX(INDEX($U$17:$U$64,MAX(1,BC$15-$G$17-$F$5+1)):INDEX($U$17:$U$64,BC$15-$G$17+1))</f>
        <v>1.1575200000000001</v>
      </c>
      <c r="BD70" s="83">
        <f>MAX(INDEX($U$17:$U$64,MAX(1,BD$15-$G$17-$F$5+1)):INDEX($U$17:$U$64,BD$15-$G$17+1))</f>
        <v>1.1575200000000001</v>
      </c>
      <c r="BE70" s="83">
        <f>MAX(INDEX($U$17:$U$64,MAX(1,BE$15-$G$17-$F$5+1)):INDEX($U$17:$U$64,BE$15-$G$17+1))</f>
        <v>1.1575200000000001</v>
      </c>
    </row>
    <row r="71" spans="21:57" x14ac:dyDescent="0.25">
      <c r="U71" s="81" t="s">
        <v>238</v>
      </c>
      <c r="V71" s="80">
        <f t="shared" ref="V71:BE71" si="45">IF(V68="",0,MAX(0,V69-V68,V68-V70))</f>
        <v>2.2204460492503131E-16</v>
      </c>
      <c r="W71" s="80">
        <f t="shared" si="45"/>
        <v>2.2204460492503131E-16</v>
      </c>
      <c r="X71" s="80">
        <f t="shared" si="45"/>
        <v>2.2204460492503131E-16</v>
      </c>
      <c r="Y71" s="80">
        <f t="shared" si="45"/>
        <v>2.2204460492503131E-16</v>
      </c>
      <c r="Z71" s="80">
        <f t="shared" si="45"/>
        <v>2.2204460492503131E-16</v>
      </c>
      <c r="AA71" s="80">
        <f t="shared" si="45"/>
        <v>2.2204460492503131E-16</v>
      </c>
      <c r="AB71" s="80">
        <f t="shared" si="45"/>
        <v>0</v>
      </c>
      <c r="AC71" s="80">
        <f t="shared" si="45"/>
        <v>0</v>
      </c>
      <c r="AD71" s="80">
        <f t="shared" si="45"/>
        <v>0</v>
      </c>
      <c r="AE71" s="80">
        <f t="shared" si="45"/>
        <v>0</v>
      </c>
      <c r="AF71" s="80">
        <f t="shared" si="45"/>
        <v>0</v>
      </c>
      <c r="AG71" s="80">
        <f t="shared" si="45"/>
        <v>0</v>
      </c>
      <c r="AH71" s="80">
        <f t="shared" si="45"/>
        <v>2.2204460492503131E-16</v>
      </c>
      <c r="AI71" s="80">
        <f t="shared" si="45"/>
        <v>2.2204460492503131E-16</v>
      </c>
      <c r="AJ71" s="80">
        <f t="shared" si="45"/>
        <v>2.2204460492503131E-16</v>
      </c>
      <c r="AK71" s="80">
        <f t="shared" si="45"/>
        <v>0</v>
      </c>
      <c r="AL71" s="80">
        <f t="shared" si="45"/>
        <v>0</v>
      </c>
      <c r="AM71" s="80">
        <f t="shared" si="45"/>
        <v>0</v>
      </c>
      <c r="AN71" s="80">
        <f t="shared" si="45"/>
        <v>0</v>
      </c>
      <c r="AO71" s="80">
        <f t="shared" si="45"/>
        <v>0</v>
      </c>
      <c r="AP71" s="80">
        <f t="shared" si="45"/>
        <v>0</v>
      </c>
      <c r="AQ71" s="80">
        <f t="shared" si="45"/>
        <v>2.2204460492503131E-16</v>
      </c>
      <c r="AR71" s="80">
        <f t="shared" si="45"/>
        <v>2.2204460492503131E-16</v>
      </c>
      <c r="AS71" s="80">
        <f t="shared" si="45"/>
        <v>2.2204460492503131E-16</v>
      </c>
      <c r="AT71" s="80">
        <f t="shared" si="45"/>
        <v>2.2204460492503131E-16</v>
      </c>
      <c r="AU71" s="80">
        <f t="shared" si="45"/>
        <v>2.2204460492503131E-16</v>
      </c>
      <c r="AV71" s="80">
        <f t="shared" si="45"/>
        <v>2.2204460492503131E-16</v>
      </c>
      <c r="AW71" s="80">
        <f t="shared" si="45"/>
        <v>2.2204460492503131E-16</v>
      </c>
      <c r="AX71" s="80">
        <f t="shared" si="45"/>
        <v>2.2204460492503131E-16</v>
      </c>
      <c r="AY71" s="80">
        <f t="shared" si="45"/>
        <v>2.2204460492503131E-16</v>
      </c>
      <c r="AZ71" s="80">
        <f t="shared" si="45"/>
        <v>2.2204460492503131E-16</v>
      </c>
      <c r="BA71" s="80">
        <f t="shared" si="45"/>
        <v>2.2204460492503131E-16</v>
      </c>
      <c r="BB71" s="80">
        <f t="shared" si="45"/>
        <v>2.2204460492503131E-16</v>
      </c>
      <c r="BC71" s="80">
        <f t="shared" si="45"/>
        <v>2.2204460492503131E-16</v>
      </c>
      <c r="BD71" s="80">
        <f t="shared" si="45"/>
        <v>2.2204460492503131E-16</v>
      </c>
      <c r="BE71" s="80">
        <f t="shared" si="45"/>
        <v>2.2204460492503131E-16</v>
      </c>
    </row>
    <row r="72" spans="21:57" x14ac:dyDescent="0.25">
      <c r="U72" s="81" t="s">
        <v>239</v>
      </c>
      <c r="V72" s="79">
        <f>IF(V67=0,"",SUMPRODUCT(V$17:V$64,$H$17:$H$64,'Mod Engine'!$E$17:$E$64)/V67)</f>
        <v>0.83705689277899342</v>
      </c>
      <c r="W72" s="79">
        <f>IF(W67=0,"",SUMPRODUCT(W$17:W$64,$H$17:$H$64,'Mod Engine'!$E$17:$E$64)/W67)</f>
        <v>0.83906181619256015</v>
      </c>
      <c r="X72" s="79">
        <f>IF(X67=0,"",SUMPRODUCT(X$17:X$64,$H$17:$H$64,'Mod Engine'!$E$17:$E$64)/X67)</f>
        <v>0.84105306345733044</v>
      </c>
      <c r="Y72" s="79">
        <f>IF(Y67=0,"",SUMPRODUCT(Y$17:Y$64,$H$17:$H$64,'Mod Engine'!$E$17:$E$64)/Y67)</f>
        <v>0.84303884026258202</v>
      </c>
      <c r="Z72" s="79">
        <f>IF(Z67=0,"",SUMPRODUCT(Z$17:Z$64,$H$17:$H$64,'Mod Engine'!$E$17:$E$64)/Z67)</f>
        <v>0.84502461706783372</v>
      </c>
      <c r="AA72" s="79">
        <f>IF(AA67=0,"",SUMPRODUCT(AA$17:AA$64,$H$17:$H$64,'Mod Engine'!$E$17:$E$64)/AA67)</f>
        <v>0.84701039387308541</v>
      </c>
      <c r="AB72" s="79">
        <f>IF(AB67=0,"",SUMPRODUCT(AB$17:AB$64,$H$17:$H$64,'Mod Engine'!$E$17:$E$64)/AB67)</f>
        <v>0.84899343544857786</v>
      </c>
      <c r="AC72" s="79">
        <f>IF(AC67=0,"",SUMPRODUCT(AC$17:AC$64,$H$17:$H$64,'Mod Engine'!$E$17:$E$64)/AC67)</f>
        <v>0.85098194748358869</v>
      </c>
      <c r="AD72" s="79">
        <f>IF(AD67=0,"",SUMPRODUCT(AD$17:AD$64,$H$17:$H$64,'Mod Engine'!$E$17:$E$64)/AD67)</f>
        <v>0.85298413566739617</v>
      </c>
      <c r="AE72" s="79">
        <f>IF(AE67=0,"",SUMPRODUCT(AE$17:AE$64,$H$17:$H$64,'Mod Engine'!$E$17:$E$64)/AE67)</f>
        <v>0.85499179431072225</v>
      </c>
      <c r="AF72" s="79">
        <f>IF(AF67=0,"",SUMPRODUCT(AF$17:AF$64,$H$17:$H$64,'Mod Engine'!$E$17:$E$64)/AF67)</f>
        <v>0.85699945295404822</v>
      </c>
      <c r="AG72" s="79">
        <f>IF(AG67=0,"",SUMPRODUCT(AG$17:AG$64,$H$17:$H$64,'Mod Engine'!$E$17:$E$64)/AG67)</f>
        <v>0.8590071115973742</v>
      </c>
      <c r="AH72" s="79">
        <f>IF(AH67=0,"",SUMPRODUCT(AH$17:AH$64,$H$17:$H$64,'Mod Engine'!$E$17:$E$64)/AH67)</f>
        <v>0.86101750547045963</v>
      </c>
      <c r="AI72" s="79">
        <f>IF(AI67=0,"",SUMPRODUCT(AI$17:AI$64,$H$17:$H$64,'Mod Engine'!$E$17:$E$64)/AI67)</f>
        <v>0.86302242888402625</v>
      </c>
      <c r="AJ72" s="79">
        <f>IF(AJ67=0,"",SUMPRODUCT(AJ$17:AJ$64,$H$17:$H$64,'Mod Engine'!$E$17:$E$64)/AJ67)</f>
        <v>0.86501367614879665</v>
      </c>
      <c r="AK72" s="79">
        <f>IF(AK67=0,"",SUMPRODUCT(AK$17:AK$64,$H$17:$H$64,'Mod Engine'!$E$17:$E$64)/AK67)</f>
        <v>0.86699945295404823</v>
      </c>
      <c r="AL72" s="79">
        <f>IF(AL67=0,"",SUMPRODUCT(AL$17:AL$64,$H$17:$H$64,'Mod Engine'!$E$17:$E$64)/AL67)</f>
        <v>0.86898522975929982</v>
      </c>
      <c r="AM72" s="79">
        <f>IF(AM67=0,"",SUMPRODUCT(AM$17:AM$64,$H$17:$H$64,'Mod Engine'!$E$17:$E$64)/AM67)</f>
        <v>0.8709710065645514</v>
      </c>
      <c r="AN72" s="79">
        <f>IF(AN67=0,"",SUMPRODUCT(AN$17:AN$64,$H$17:$H$64,'Mod Engine'!$E$17:$E$64)/AN67)</f>
        <v>0.87295404814004385</v>
      </c>
      <c r="AO72" s="79">
        <f>IF(AO67=0,"",SUMPRODUCT(AO$17:AO$64,$H$17:$H$64,'Mod Engine'!$E$17:$E$64)/AO67)</f>
        <v>0.87494256017505478</v>
      </c>
      <c r="AP72" s="79">
        <f>IF(AP67=0,"",SUMPRODUCT(AP$17:AP$64,$H$17:$H$64,'Mod Engine'!$E$17:$E$64)/AP67)</f>
        <v>0.87694474835886227</v>
      </c>
      <c r="AQ72" s="79">
        <f>IF(AQ67=0,"",SUMPRODUCT(AQ$17:AQ$64,$H$17:$H$64,'Mod Engine'!$E$17:$E$64)/AQ67)</f>
        <v>0.87895240700218802</v>
      </c>
      <c r="AR72" s="79">
        <f>IF(AR67=0,"",SUMPRODUCT(AR$17:AR$64,$H$17:$H$64,'Mod Engine'!$E$17:$E$64)/AR67)</f>
        <v>0.88096006564551421</v>
      </c>
      <c r="AS72" s="79">
        <f>IF(AS67=0,"",SUMPRODUCT(AS$17:AS$64,$H$17:$H$64,'Mod Engine'!$E$17:$E$64)/AS67)</f>
        <v>0.88296772428884029</v>
      </c>
      <c r="AT72" s="79">
        <f>IF(AT67=0,"",SUMPRODUCT(AT$17:AT$64,$H$17:$H$64,'Mod Engine'!$E$17:$E$64)/AT67)</f>
        <v>0.88489332603938731</v>
      </c>
      <c r="AU72" s="79">
        <f>IF(AU67=0,"",SUMPRODUCT(AU$17:AU$64,$H$17:$H$64,'Mod Engine'!$E$17:$E$64)/AU67)</f>
        <v>0.88656728665207873</v>
      </c>
      <c r="AV72" s="79">
        <f>IF(AV67=0,"",SUMPRODUCT(AV$17:AV$64,$H$17:$H$64,'Mod Engine'!$E$17:$E$64)/AV67)</f>
        <v>0.88790481400437649</v>
      </c>
      <c r="AW72" s="79">
        <f>IF(AW67=0,"",SUMPRODUCT(AW$17:AW$64,$H$17:$H$64,'Mod Engine'!$E$17:$E$64)/AW67)</f>
        <v>0.88890864332603947</v>
      </c>
      <c r="AX72" s="79">
        <f>IF(AX67=0,"",SUMPRODUCT(AX$17:AX$64,$H$17:$H$64,'Mod Engine'!$E$17:$E$64)/AX67)</f>
        <v>0.88957877461706791</v>
      </c>
      <c r="AY72" s="79">
        <f>IF(AY67=0,"",SUMPRODUCT(AY$17:AY$64,$H$17:$H$64,'Mod Engine'!$E$17:$E$64)/AY67)</f>
        <v>0.88991520787746181</v>
      </c>
      <c r="AZ72" s="79">
        <f>IF(AZ67=0,"",SUMPRODUCT(AZ$17:AZ$64,$H$17:$H$64,'Mod Engine'!$E$17:$E$64)/AZ67)</f>
        <v>0.89</v>
      </c>
      <c r="BA72" s="79">
        <f>IF(BA67=0,"",SUMPRODUCT(BA$17:BA$64,$H$17:$H$64,'Mod Engine'!$E$17:$E$64)/BA67)</f>
        <v>0.89</v>
      </c>
      <c r="BB72" s="79">
        <f>IF(BB67=0,"",SUMPRODUCT(BB$17:BB$64,$H$17:$H$64,'Mod Engine'!$E$17:$E$64)/BB67)</f>
        <v>0.89</v>
      </c>
      <c r="BC72" s="79">
        <f>IF(BC67=0,"",SUMPRODUCT(BC$17:BC$64,$H$17:$H$64,'Mod Engine'!$E$17:$E$64)/BC67)</f>
        <v>0.89</v>
      </c>
      <c r="BD72" s="79">
        <f>IF(BD67=0,"",SUMPRODUCT(BD$17:BD$64,$H$17:$H$64,'Mod Engine'!$E$17:$E$64)/BD67)</f>
        <v>0.89</v>
      </c>
      <c r="BE72" s="79">
        <f>IF(BE67=0,"",SUMPRODUCT(BE$17:BE$64,$H$17:$H$64,'Mod Engine'!$E$17:$E$64)/BE67)</f>
        <v>0.89</v>
      </c>
    </row>
    <row r="73" spans="21:57" x14ac:dyDescent="0.25">
      <c r="U73" s="81" t="s">
        <v>240</v>
      </c>
      <c r="V73" s="83">
        <f>SUMPRODUCT(V$17:V$64,$H$17:$H$64,'Mod Engine'!$E$17:$E$64)</f>
        <v>0.83705689277899331</v>
      </c>
      <c r="W73" s="83">
        <f>SUMPRODUCT(W$17:W$64,$H$17:$H$64,'Mod Engine'!$E$17:$E$64)</f>
        <v>0.83906181619256004</v>
      </c>
      <c r="X73" s="83">
        <f>SUMPRODUCT(X$17:X$64,$H$17:$H$64,'Mod Engine'!$E$17:$E$64)</f>
        <v>0.84105306345733033</v>
      </c>
      <c r="Y73" s="83">
        <f>SUMPRODUCT(Y$17:Y$64,$H$17:$H$64,'Mod Engine'!$E$17:$E$64)</f>
        <v>0.84303884026258191</v>
      </c>
      <c r="Z73" s="83">
        <f>SUMPRODUCT(Z$17:Z$64,$H$17:$H$64,'Mod Engine'!$E$17:$E$64)</f>
        <v>0.84502461706783361</v>
      </c>
      <c r="AA73" s="83">
        <f>SUMPRODUCT(AA$17:AA$64,$H$17:$H$64,'Mod Engine'!$E$17:$E$64)</f>
        <v>0.8470103938730853</v>
      </c>
      <c r="AB73" s="83">
        <f>SUMPRODUCT(AB$17:AB$64,$H$17:$H$64,'Mod Engine'!$E$17:$E$64)</f>
        <v>0.84899343544857775</v>
      </c>
      <c r="AC73" s="83">
        <f>SUMPRODUCT(AC$17:AC$64,$H$17:$H$64,'Mod Engine'!$E$17:$E$64)</f>
        <v>0.85098194748358857</v>
      </c>
      <c r="AD73" s="83">
        <f>SUMPRODUCT(AD$17:AD$64,$H$17:$H$64,'Mod Engine'!$E$17:$E$64)</f>
        <v>0.85298413566739606</v>
      </c>
      <c r="AE73" s="83">
        <f>SUMPRODUCT(AE$17:AE$64,$H$17:$H$64,'Mod Engine'!$E$17:$E$64)</f>
        <v>0.85499179431072214</v>
      </c>
      <c r="AF73" s="83">
        <f>SUMPRODUCT(AF$17:AF$64,$H$17:$H$64,'Mod Engine'!$E$17:$E$64)</f>
        <v>0.85699945295404811</v>
      </c>
      <c r="AG73" s="83">
        <f>SUMPRODUCT(AG$17:AG$64,$H$17:$H$64,'Mod Engine'!$E$17:$E$64)</f>
        <v>0.85900711159737408</v>
      </c>
      <c r="AH73" s="83">
        <f>SUMPRODUCT(AH$17:AH$64,$H$17:$H$64,'Mod Engine'!$E$17:$E$64)</f>
        <v>0.86101750547045952</v>
      </c>
      <c r="AI73" s="83">
        <f>SUMPRODUCT(AI$17:AI$64,$H$17:$H$64,'Mod Engine'!$E$17:$E$64)</f>
        <v>0.86302242888402614</v>
      </c>
      <c r="AJ73" s="83">
        <f>SUMPRODUCT(AJ$17:AJ$64,$H$17:$H$64,'Mod Engine'!$E$17:$E$64)</f>
        <v>0.86501367614879654</v>
      </c>
      <c r="AK73" s="83">
        <f>SUMPRODUCT(AK$17:AK$64,$H$17:$H$64,'Mod Engine'!$E$17:$E$64)</f>
        <v>0.86699945295404812</v>
      </c>
      <c r="AL73" s="83">
        <f>SUMPRODUCT(AL$17:AL$64,$H$17:$H$64,'Mod Engine'!$E$17:$E$64)</f>
        <v>0.8689852297592997</v>
      </c>
      <c r="AM73" s="83">
        <f>SUMPRODUCT(AM$17:AM$64,$H$17:$H$64,'Mod Engine'!$E$17:$E$64)</f>
        <v>0.87097100656455129</v>
      </c>
      <c r="AN73" s="83">
        <f>SUMPRODUCT(AN$17:AN$64,$H$17:$H$64,'Mod Engine'!$E$17:$E$64)</f>
        <v>0.87295404814004374</v>
      </c>
      <c r="AO73" s="83">
        <f>SUMPRODUCT(AO$17:AO$64,$H$17:$H$64,'Mod Engine'!$E$17:$E$64)</f>
        <v>0.87494256017505467</v>
      </c>
      <c r="AP73" s="83">
        <f>SUMPRODUCT(AP$17:AP$64,$H$17:$H$64,'Mod Engine'!$E$17:$E$64)</f>
        <v>0.87694474835886216</v>
      </c>
      <c r="AQ73" s="83">
        <f>SUMPRODUCT(AQ$17:AQ$64,$H$17:$H$64,'Mod Engine'!$E$17:$E$64)</f>
        <v>0.87895240700218791</v>
      </c>
      <c r="AR73" s="83">
        <f>SUMPRODUCT(AR$17:AR$64,$H$17:$H$64,'Mod Engine'!$E$17:$E$64)</f>
        <v>0.8809600656455141</v>
      </c>
      <c r="AS73" s="83">
        <f>SUMPRODUCT(AS$17:AS$64,$H$17:$H$64,'Mod Engine'!$E$17:$E$64)</f>
        <v>0.88296772428884018</v>
      </c>
      <c r="AT73" s="83">
        <f>SUMPRODUCT(AT$17:AT$64,$H$17:$H$64,'Mod Engine'!$E$17:$E$64)</f>
        <v>0.8848933260393872</v>
      </c>
      <c r="AU73" s="83">
        <f>SUMPRODUCT(AU$17:AU$64,$H$17:$H$64,'Mod Engine'!$E$17:$E$64)</f>
        <v>0.88656728665207862</v>
      </c>
      <c r="AV73" s="83">
        <f>SUMPRODUCT(AV$17:AV$64,$H$17:$H$64,'Mod Engine'!$E$17:$E$64)</f>
        <v>0.88790481400437637</v>
      </c>
      <c r="AW73" s="83">
        <f>SUMPRODUCT(AW$17:AW$64,$H$17:$H$64,'Mod Engine'!$E$17:$E$64)</f>
        <v>0.88890864332603936</v>
      </c>
      <c r="AX73" s="83">
        <f>SUMPRODUCT(AX$17:AX$64,$H$17:$H$64,'Mod Engine'!$E$17:$E$64)</f>
        <v>0.8895787746170678</v>
      </c>
      <c r="AY73" s="83">
        <f>SUMPRODUCT(AY$17:AY$64,$H$17:$H$64,'Mod Engine'!$E$17:$E$64)</f>
        <v>0.8899152078774617</v>
      </c>
      <c r="AZ73" s="83">
        <f>SUMPRODUCT(AZ$17:AZ$64,$H$17:$H$64,'Mod Engine'!$E$17:$E$64)</f>
        <v>0.8899999999999999</v>
      </c>
      <c r="BA73" s="83">
        <f>SUMPRODUCT(BA$17:BA$64,$H$17:$H$64,'Mod Engine'!$E$17:$E$64)</f>
        <v>0.8899999999999999</v>
      </c>
      <c r="BB73" s="83">
        <f>SUMPRODUCT(BB$17:BB$64,$H$17:$H$64,'Mod Engine'!$E$17:$E$64)</f>
        <v>0.8899999999999999</v>
      </c>
      <c r="BC73" s="83">
        <f>SUMPRODUCT(BC$17:BC$64,$H$17:$H$64,'Mod Engine'!$E$17:$E$64)</f>
        <v>0.8899999999999999</v>
      </c>
      <c r="BD73" s="83">
        <f>SUMPRODUCT(BD$17:BD$64,$H$17:$H$64,'Mod Engine'!$E$17:$E$64)</f>
        <v>0.8899999999999999</v>
      </c>
      <c r="BE73" s="83">
        <f>SUMPRODUCT(BE$17:BE$64,$H$17:$H$64,'Mod Engine'!$E$17:$E$64)</f>
        <v>0.8899999999999999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241</v>
      </c>
    </row>
    <row r="2" spans="1:12" x14ac:dyDescent="0.25">
      <c r="A2" s="2" t="s">
        <v>242</v>
      </c>
    </row>
    <row r="3" spans="1:12" x14ac:dyDescent="0.25">
      <c r="A3" s="14" t="s">
        <v>197</v>
      </c>
      <c r="B3" s="58" t="str">
        <f>nr_SelKey</f>
        <v>BU-A|AZ</v>
      </c>
      <c r="D3" s="59" t="str">
        <f>HYPERLINK("#Control!C7","Change BU/state selection &gt;")</f>
        <v>Change BU/state selection &gt;</v>
      </c>
    </row>
    <row r="4" spans="1:12" ht="15.75" x14ac:dyDescent="0.25">
      <c r="A4" s="3" t="s">
        <v>243</v>
      </c>
      <c r="E4" s="3" t="s">
        <v>244</v>
      </c>
      <c r="J4" s="3" t="s">
        <v>245</v>
      </c>
    </row>
    <row r="5" spans="1:12" ht="30" x14ac:dyDescent="0.25">
      <c r="A5" s="14" t="s">
        <v>113</v>
      </c>
      <c r="C5" s="84">
        <f>nr_MInd</f>
        <v>0.85</v>
      </c>
      <c r="E5" s="41" t="s">
        <v>246</v>
      </c>
      <c r="F5" s="41" t="s">
        <v>247</v>
      </c>
      <c r="G5" s="41" t="s">
        <v>248</v>
      </c>
      <c r="H5" s="41" t="s">
        <v>249</v>
      </c>
      <c r="J5" s="14" t="str">
        <f>"Earned mod CY "&amp;(nr_PlanYear-1)</f>
        <v>Earned mod CY 2026</v>
      </c>
      <c r="L5" s="85">
        <f>SUMPRODUCT($D$17:$D$64,$F$17:$F$64,$E$17:$E$64)/SUMPRODUCT($D$17:$D$64,$F$17:$F$64)</f>
        <v>0.84801695842450764</v>
      </c>
    </row>
    <row r="6" spans="1:12" x14ac:dyDescent="0.25">
      <c r="A6" s="14" t="s">
        <v>114</v>
      </c>
      <c r="C6" s="84">
        <f>nr_M0</f>
        <v>0.86</v>
      </c>
      <c r="E6" s="14" t="s">
        <v>250</v>
      </c>
      <c r="F6" s="63">
        <f>EDATE(nr_M0Asof,-12)+1</f>
        <v>45931</v>
      </c>
      <c r="G6" s="85">
        <f>IF(N(nr_MPrior)=0,$G$7-($G$8-$G$7)/($F$8-$F$7)*($F$7-$F$6),nr_MPrior)</f>
        <v>0.83603938730853389</v>
      </c>
      <c r="H6" s="86">
        <f>($G$7-$G$6)/($F$7-$F$6)</f>
        <v>6.5645514223194786E-5</v>
      </c>
      <c r="J6" s="14" t="str">
        <f>"Earned mod CY "&amp;nr_PlanYear</f>
        <v>Earned mod CY 2027</v>
      </c>
      <c r="L6" s="87">
        <f>SUMPRODUCT($D$17:$D$64,$G$17:$G$64,$E$17:$E$64)/SUMPRODUCT($D$17:$D$64,$G$17:$G$64)</f>
        <v>0.87197757111597374</v>
      </c>
    </row>
    <row r="7" spans="1:12" x14ac:dyDescent="0.25">
      <c r="A7" s="14" t="s">
        <v>115</v>
      </c>
      <c r="C7" s="88">
        <f>nr_M0Asof</f>
        <v>46295</v>
      </c>
      <c r="E7" s="14" t="s">
        <v>251</v>
      </c>
      <c r="F7" s="63">
        <f>nr_M0Asof+1</f>
        <v>46296</v>
      </c>
      <c r="G7" s="85">
        <f>nr_M0</f>
        <v>0.86</v>
      </c>
      <c r="H7" s="86">
        <f>($G$8-$G$7)/($F$8-$F$7)</f>
        <v>6.5645514223194813E-5</v>
      </c>
      <c r="J7" s="14" t="str">
        <f>"Earned mod CY "&amp;(nr_PlanYear+1)</f>
        <v>Earned mod CY 2028</v>
      </c>
      <c r="L7" s="85">
        <f>SUMPRODUCT($D$17:$D$64,$H$17:$H$64,$E$17:$E$64)/SUMPRODUCT($D$17:$D$64,$H$17:$H$64)</f>
        <v>0.88898067104303424</v>
      </c>
    </row>
    <row r="8" spans="1:12" x14ac:dyDescent="0.25">
      <c r="A8" s="14" t="s">
        <v>116</v>
      </c>
      <c r="C8" s="84">
        <f>nr_M1</f>
        <v>0.89</v>
      </c>
      <c r="E8" s="14" t="s">
        <v>252</v>
      </c>
      <c r="F8" s="63">
        <f>DATE(nr_PlanYear,12,31)+1</f>
        <v>46753</v>
      </c>
      <c r="G8" s="85">
        <f>nr_M1</f>
        <v>0.89</v>
      </c>
      <c r="H8" s="86">
        <f>($G$9-$G$8)/($F$9-$F$8)</f>
        <v>0</v>
      </c>
      <c r="J8" s="14" t="s">
        <v>253</v>
      </c>
      <c r="L8" s="64">
        <f>IF(nr_NetMode,1,IF(AND(nr_ModAdjMaster="ON",nr_ModAdjRow="ON"),nr_MInd/nr_MEarned_P,1))</f>
        <v>0.97479571511472884</v>
      </c>
    </row>
    <row r="9" spans="1:12" x14ac:dyDescent="0.25">
      <c r="A9" s="14" t="s">
        <v>117</v>
      </c>
      <c r="C9" s="84">
        <f>nr_MPrior</f>
        <v>0</v>
      </c>
      <c r="E9" s="14" t="s">
        <v>254</v>
      </c>
      <c r="F9" s="63">
        <f>DATE(nr_PlanYear+1,12,31)+1</f>
        <v>47119</v>
      </c>
      <c r="G9" s="85">
        <f>IF(N(nr_M2)=0,nr_M1,nr_M2)</f>
        <v>0.89</v>
      </c>
      <c r="J9" s="14" t="s">
        <v>255</v>
      </c>
      <c r="L9" s="61">
        <f>IF(nr_NetMode,1,IF(AND(nr_ModAdjMaster="ON",nr_ModAdjRow="ON"),nr_MInd/nr_MEarned_P1,1))</f>
        <v>0.95615127267356836</v>
      </c>
    </row>
    <row r="10" spans="1:12" ht="192" x14ac:dyDescent="0.25">
      <c r="A10" s="14" t="s">
        <v>118</v>
      </c>
      <c r="C10" s="84">
        <f>nr_M2</f>
        <v>0</v>
      </c>
      <c r="E10" s="20" t="s">
        <v>256</v>
      </c>
    </row>
    <row r="11" spans="1:12" x14ac:dyDescent="0.25">
      <c r="J11" s="14" t="s">
        <v>257</v>
      </c>
      <c r="K11" s="55">
        <f>DATE(nr_PlanYear,1,1)</f>
        <v>46388</v>
      </c>
      <c r="L11" s="85">
        <f>IF($K$11&lt;$F$7,$G$6+$H$6*($K$11-$F$6),IF($K$11&lt;$F$8,$G$7+$H$7*($K$11-$F$7),$G$8+$H$8*($K$11-$F$8)))</f>
        <v>0.86603938730853391</v>
      </c>
    </row>
    <row r="12" spans="1:12" x14ac:dyDescent="0.25">
      <c r="J12" s="14" t="s">
        <v>258</v>
      </c>
      <c r="L12" s="66" t="b">
        <f>AND(N(nr_MPrior)=0,nr_TermMonths=12,NOT(re_season_active))</f>
        <v>0</v>
      </c>
    </row>
    <row r="15" spans="1:12" ht="15.75" x14ac:dyDescent="0.25">
      <c r="A15" s="3" t="s">
        <v>259</v>
      </c>
    </row>
    <row r="16" spans="1:12" ht="30" customHeight="1" x14ac:dyDescent="0.25">
      <c r="A16" s="50" t="s">
        <v>211</v>
      </c>
      <c r="B16" s="50" t="s">
        <v>212</v>
      </c>
      <c r="C16" s="50" t="s">
        <v>216</v>
      </c>
      <c r="D16" s="50" t="s">
        <v>218</v>
      </c>
      <c r="E16" s="50" t="s">
        <v>225</v>
      </c>
      <c r="F16" s="50" t="s">
        <v>260</v>
      </c>
      <c r="G16" s="50" t="s">
        <v>261</v>
      </c>
      <c r="H16" s="50" t="s">
        <v>262</v>
      </c>
    </row>
    <row r="17" spans="1:8" x14ac:dyDescent="0.25">
      <c r="A17" s="89">
        <f>'Rate Engine'!$A17</f>
        <v>1</v>
      </c>
      <c r="B17" s="90">
        <f>'Rate Engine'!$B17</f>
        <v>45658</v>
      </c>
      <c r="C17" s="91">
        <f>'Rate Engine'!$F17</f>
        <v>45673.5</v>
      </c>
      <c r="D17" s="92">
        <f>'Rate Engine'!$H17</f>
        <v>1</v>
      </c>
      <c r="E17" s="77">
        <f t="shared" ref="E17:E64" si="0">IF($C17&lt;$F$7,$G$6+$H$6*($C17-$F$6),IF($C17&lt;$F$8,$G$7+$H$7*($C17-$F$7),$G$8+$H$8*($C17-$F$8)))</f>
        <v>0.81913566739606125</v>
      </c>
      <c r="F17" s="93">
        <f>'Rate Engine'!$P17</f>
        <v>0</v>
      </c>
      <c r="G17" s="93">
        <f>'Rate Engine'!$Q17</f>
        <v>0</v>
      </c>
      <c r="H17" s="93">
        <f>'Rate Engine'!$R17</f>
        <v>0</v>
      </c>
    </row>
    <row r="18" spans="1:8" x14ac:dyDescent="0.25">
      <c r="A18" s="89">
        <f>'Rate Engine'!$A18</f>
        <v>2</v>
      </c>
      <c r="B18" s="90">
        <f>'Rate Engine'!$B18</f>
        <v>45689</v>
      </c>
      <c r="C18" s="91">
        <f>'Rate Engine'!$F18</f>
        <v>45703</v>
      </c>
      <c r="D18" s="92">
        <f>'Rate Engine'!$H18</f>
        <v>1</v>
      </c>
      <c r="E18" s="77">
        <f t="shared" si="0"/>
        <v>0.82107221006564546</v>
      </c>
      <c r="F18" s="93">
        <f>'Rate Engine'!$P18</f>
        <v>0</v>
      </c>
      <c r="G18" s="93">
        <f>'Rate Engine'!$Q18</f>
        <v>0</v>
      </c>
      <c r="H18" s="93">
        <f>'Rate Engine'!$R18</f>
        <v>0</v>
      </c>
    </row>
    <row r="19" spans="1:8" x14ac:dyDescent="0.25">
      <c r="A19" s="89">
        <f>'Rate Engine'!$A19</f>
        <v>3</v>
      </c>
      <c r="B19" s="90">
        <f>'Rate Engine'!$B19</f>
        <v>45717</v>
      </c>
      <c r="C19" s="91">
        <f>'Rate Engine'!$F19</f>
        <v>45732.5</v>
      </c>
      <c r="D19" s="92">
        <f>'Rate Engine'!$H19</f>
        <v>1</v>
      </c>
      <c r="E19" s="77">
        <f t="shared" si="0"/>
        <v>0.82300875273522978</v>
      </c>
      <c r="F19" s="93">
        <f>'Rate Engine'!$P19</f>
        <v>0</v>
      </c>
      <c r="G19" s="93">
        <f>'Rate Engine'!$Q19</f>
        <v>0</v>
      </c>
      <c r="H19" s="93">
        <f>'Rate Engine'!$R19</f>
        <v>0</v>
      </c>
    </row>
    <row r="20" spans="1:8" x14ac:dyDescent="0.25">
      <c r="A20" s="89">
        <f>'Rate Engine'!$A20</f>
        <v>4</v>
      </c>
      <c r="B20" s="90">
        <f>'Rate Engine'!$B20</f>
        <v>45748</v>
      </c>
      <c r="C20" s="91">
        <f>'Rate Engine'!$F20</f>
        <v>45763</v>
      </c>
      <c r="D20" s="92">
        <f>'Rate Engine'!$H20</f>
        <v>1</v>
      </c>
      <c r="E20" s="77">
        <f t="shared" si="0"/>
        <v>0.82501094091903715</v>
      </c>
      <c r="F20" s="93">
        <f>'Rate Engine'!$P20</f>
        <v>0</v>
      </c>
      <c r="G20" s="93">
        <f>'Rate Engine'!$Q20</f>
        <v>0</v>
      </c>
      <c r="H20" s="93">
        <f>'Rate Engine'!$R20</f>
        <v>0</v>
      </c>
    </row>
    <row r="21" spans="1:8" x14ac:dyDescent="0.25">
      <c r="A21" s="89">
        <f>'Rate Engine'!$A21</f>
        <v>5</v>
      </c>
      <c r="B21" s="90">
        <f>'Rate Engine'!$B21</f>
        <v>45778</v>
      </c>
      <c r="C21" s="91">
        <f>'Rate Engine'!$F21</f>
        <v>45793.5</v>
      </c>
      <c r="D21" s="92">
        <f>'Rate Engine'!$H21</f>
        <v>1</v>
      </c>
      <c r="E21" s="77">
        <f t="shared" si="0"/>
        <v>0.82701312910284464</v>
      </c>
      <c r="F21" s="93">
        <f>'Rate Engine'!$P21</f>
        <v>0</v>
      </c>
      <c r="G21" s="93">
        <f>'Rate Engine'!$Q21</f>
        <v>0</v>
      </c>
      <c r="H21" s="93">
        <f>'Rate Engine'!$R21</f>
        <v>0</v>
      </c>
    </row>
    <row r="22" spans="1:8" x14ac:dyDescent="0.25">
      <c r="A22" s="89">
        <f>'Rate Engine'!$A22</f>
        <v>6</v>
      </c>
      <c r="B22" s="90">
        <f>'Rate Engine'!$B22</f>
        <v>45809</v>
      </c>
      <c r="C22" s="91">
        <f>'Rate Engine'!$F22</f>
        <v>45824</v>
      </c>
      <c r="D22" s="92">
        <f>'Rate Engine'!$H22</f>
        <v>1</v>
      </c>
      <c r="E22" s="77">
        <f t="shared" si="0"/>
        <v>0.82901531728665201</v>
      </c>
      <c r="F22" s="93">
        <f>'Rate Engine'!$P22</f>
        <v>0</v>
      </c>
      <c r="G22" s="93">
        <f>'Rate Engine'!$Q22</f>
        <v>0</v>
      </c>
      <c r="H22" s="93">
        <f>'Rate Engine'!$R22</f>
        <v>0</v>
      </c>
    </row>
    <row r="23" spans="1:8" x14ac:dyDescent="0.25">
      <c r="A23" s="89">
        <f>'Rate Engine'!$A23</f>
        <v>7</v>
      </c>
      <c r="B23" s="90">
        <f>'Rate Engine'!$B23</f>
        <v>45839</v>
      </c>
      <c r="C23" s="91">
        <f>'Rate Engine'!$F23</f>
        <v>45854.5</v>
      </c>
      <c r="D23" s="92">
        <f>'Rate Engine'!$H23</f>
        <v>1</v>
      </c>
      <c r="E23" s="77">
        <f t="shared" si="0"/>
        <v>0.83101750547045949</v>
      </c>
      <c r="F23" s="93">
        <f>'Rate Engine'!$P23</f>
        <v>8.333333333333337E-2</v>
      </c>
      <c r="G23" s="93">
        <f>'Rate Engine'!$Q23</f>
        <v>0</v>
      </c>
      <c r="H23" s="93">
        <f>'Rate Engine'!$R23</f>
        <v>0</v>
      </c>
    </row>
    <row r="24" spans="1:8" x14ac:dyDescent="0.25">
      <c r="A24" s="89">
        <f>'Rate Engine'!$A24</f>
        <v>8</v>
      </c>
      <c r="B24" s="90">
        <f>'Rate Engine'!$B24</f>
        <v>45870</v>
      </c>
      <c r="C24" s="91">
        <f>'Rate Engine'!$F24</f>
        <v>45885.5</v>
      </c>
      <c r="D24" s="92">
        <f>'Rate Engine'!$H24</f>
        <v>1</v>
      </c>
      <c r="E24" s="77">
        <f t="shared" si="0"/>
        <v>0.83305251641137856</v>
      </c>
      <c r="F24" s="93">
        <f>'Rate Engine'!$P24</f>
        <v>0.25</v>
      </c>
      <c r="G24" s="93">
        <f>'Rate Engine'!$Q24</f>
        <v>0</v>
      </c>
      <c r="H24" s="93">
        <f>'Rate Engine'!$R24</f>
        <v>0</v>
      </c>
    </row>
    <row r="25" spans="1:8" x14ac:dyDescent="0.25">
      <c r="A25" s="89">
        <f>'Rate Engine'!$A25</f>
        <v>9</v>
      </c>
      <c r="B25" s="90">
        <f>'Rate Engine'!$B25</f>
        <v>45901</v>
      </c>
      <c r="C25" s="91">
        <f>'Rate Engine'!$F25</f>
        <v>45916</v>
      </c>
      <c r="D25" s="92">
        <f>'Rate Engine'!$H25</f>
        <v>1</v>
      </c>
      <c r="E25" s="77">
        <f t="shared" si="0"/>
        <v>0.83505470459518594</v>
      </c>
      <c r="F25" s="93">
        <f>'Rate Engine'!$P25</f>
        <v>0.41666666666666663</v>
      </c>
      <c r="G25" s="93">
        <f>'Rate Engine'!$Q25</f>
        <v>0</v>
      </c>
      <c r="H25" s="93">
        <f>'Rate Engine'!$R25</f>
        <v>0</v>
      </c>
    </row>
    <row r="26" spans="1:8" x14ac:dyDescent="0.25">
      <c r="A26" s="89">
        <f>'Rate Engine'!$A26</f>
        <v>10</v>
      </c>
      <c r="B26" s="90">
        <f>'Rate Engine'!$B26</f>
        <v>45931</v>
      </c>
      <c r="C26" s="91">
        <f>'Rate Engine'!$F26</f>
        <v>45946.5</v>
      </c>
      <c r="D26" s="92">
        <f>'Rate Engine'!$H26</f>
        <v>1</v>
      </c>
      <c r="E26" s="77">
        <f t="shared" si="0"/>
        <v>0.83705689277899342</v>
      </c>
      <c r="F26" s="93">
        <f>'Rate Engine'!$P26</f>
        <v>0.58333333333333326</v>
      </c>
      <c r="G26" s="93">
        <f>'Rate Engine'!$Q26</f>
        <v>0</v>
      </c>
      <c r="H26" s="93">
        <f>'Rate Engine'!$R26</f>
        <v>0</v>
      </c>
    </row>
    <row r="27" spans="1:8" x14ac:dyDescent="0.25">
      <c r="A27" s="89">
        <f>'Rate Engine'!$A27</f>
        <v>11</v>
      </c>
      <c r="B27" s="90">
        <f>'Rate Engine'!$B27</f>
        <v>45962</v>
      </c>
      <c r="C27" s="91">
        <f>'Rate Engine'!$F27</f>
        <v>45977</v>
      </c>
      <c r="D27" s="92">
        <f>'Rate Engine'!$H27</f>
        <v>1</v>
      </c>
      <c r="E27" s="77">
        <f t="shared" si="0"/>
        <v>0.8390590809628008</v>
      </c>
      <c r="F27" s="93">
        <f>'Rate Engine'!$P27</f>
        <v>0.75</v>
      </c>
      <c r="G27" s="93">
        <f>'Rate Engine'!$Q27</f>
        <v>0</v>
      </c>
      <c r="H27" s="93">
        <f>'Rate Engine'!$R27</f>
        <v>0</v>
      </c>
    </row>
    <row r="28" spans="1:8" x14ac:dyDescent="0.25">
      <c r="A28" s="89">
        <f>'Rate Engine'!$A28</f>
        <v>12</v>
      </c>
      <c r="B28" s="90">
        <f>'Rate Engine'!$B28</f>
        <v>45992</v>
      </c>
      <c r="C28" s="91">
        <f>'Rate Engine'!$F28</f>
        <v>46007.5</v>
      </c>
      <c r="D28" s="92">
        <f>'Rate Engine'!$H28</f>
        <v>1</v>
      </c>
      <c r="E28" s="77">
        <f t="shared" si="0"/>
        <v>0.84106126914660828</v>
      </c>
      <c r="F28" s="93">
        <f>'Rate Engine'!$P28</f>
        <v>0.91666666666666663</v>
      </c>
      <c r="G28" s="93">
        <f>'Rate Engine'!$Q28</f>
        <v>0</v>
      </c>
      <c r="H28" s="93">
        <f>'Rate Engine'!$R28</f>
        <v>0</v>
      </c>
    </row>
    <row r="29" spans="1:8" x14ac:dyDescent="0.25">
      <c r="A29" s="89">
        <f>'Rate Engine'!$A29</f>
        <v>13</v>
      </c>
      <c r="B29" s="90">
        <f>'Rate Engine'!$B29</f>
        <v>46023</v>
      </c>
      <c r="C29" s="91">
        <f>'Rate Engine'!$F29</f>
        <v>46038.5</v>
      </c>
      <c r="D29" s="92">
        <f>'Rate Engine'!$H29</f>
        <v>1</v>
      </c>
      <c r="E29" s="77">
        <f t="shared" si="0"/>
        <v>0.84309628008752735</v>
      </c>
      <c r="F29" s="93">
        <f>'Rate Engine'!$P29</f>
        <v>1</v>
      </c>
      <c r="G29" s="93">
        <f>'Rate Engine'!$Q29</f>
        <v>0</v>
      </c>
      <c r="H29" s="93">
        <f>'Rate Engine'!$R29</f>
        <v>0</v>
      </c>
    </row>
    <row r="30" spans="1:8" x14ac:dyDescent="0.25">
      <c r="A30" s="89">
        <f>'Rate Engine'!$A30</f>
        <v>14</v>
      </c>
      <c r="B30" s="90">
        <f>'Rate Engine'!$B30</f>
        <v>46054</v>
      </c>
      <c r="C30" s="91">
        <f>'Rate Engine'!$F30</f>
        <v>46068</v>
      </c>
      <c r="D30" s="92">
        <f>'Rate Engine'!$H30</f>
        <v>1</v>
      </c>
      <c r="E30" s="77">
        <f t="shared" si="0"/>
        <v>0.84503282275711156</v>
      </c>
      <c r="F30" s="93">
        <f>'Rate Engine'!$P30</f>
        <v>1</v>
      </c>
      <c r="G30" s="93">
        <f>'Rate Engine'!$Q30</f>
        <v>0</v>
      </c>
      <c r="H30" s="93">
        <f>'Rate Engine'!$R30</f>
        <v>0</v>
      </c>
    </row>
    <row r="31" spans="1:8" x14ac:dyDescent="0.25">
      <c r="A31" s="89">
        <f>'Rate Engine'!$A31</f>
        <v>15</v>
      </c>
      <c r="B31" s="90">
        <f>'Rate Engine'!$B31</f>
        <v>46082</v>
      </c>
      <c r="C31" s="91">
        <f>'Rate Engine'!$F31</f>
        <v>46097.5</v>
      </c>
      <c r="D31" s="92">
        <f>'Rate Engine'!$H31</f>
        <v>1</v>
      </c>
      <c r="E31" s="77">
        <f t="shared" si="0"/>
        <v>0.84696936542669587</v>
      </c>
      <c r="F31" s="93">
        <f>'Rate Engine'!$P31</f>
        <v>1</v>
      </c>
      <c r="G31" s="93">
        <f>'Rate Engine'!$Q31</f>
        <v>0</v>
      </c>
      <c r="H31" s="93">
        <f>'Rate Engine'!$R31</f>
        <v>0</v>
      </c>
    </row>
    <row r="32" spans="1:8" x14ac:dyDescent="0.25">
      <c r="A32" s="89">
        <f>'Rate Engine'!$A32</f>
        <v>16</v>
      </c>
      <c r="B32" s="90">
        <f>'Rate Engine'!$B32</f>
        <v>46113</v>
      </c>
      <c r="C32" s="91">
        <f>'Rate Engine'!$F32</f>
        <v>46128</v>
      </c>
      <c r="D32" s="92">
        <f>'Rate Engine'!$H32</f>
        <v>1</v>
      </c>
      <c r="E32" s="77">
        <f t="shared" si="0"/>
        <v>0.84897155361050325</v>
      </c>
      <c r="F32" s="93">
        <f>'Rate Engine'!$P32</f>
        <v>1</v>
      </c>
      <c r="G32" s="93">
        <f>'Rate Engine'!$Q32</f>
        <v>0</v>
      </c>
      <c r="H32" s="93">
        <f>'Rate Engine'!$R32</f>
        <v>0</v>
      </c>
    </row>
    <row r="33" spans="1:8" x14ac:dyDescent="0.25">
      <c r="A33" s="89">
        <f>'Rate Engine'!$A33</f>
        <v>17</v>
      </c>
      <c r="B33" s="90">
        <f>'Rate Engine'!$B33</f>
        <v>46143</v>
      </c>
      <c r="C33" s="91">
        <f>'Rate Engine'!$F33</f>
        <v>46158.5</v>
      </c>
      <c r="D33" s="92">
        <f>'Rate Engine'!$H33</f>
        <v>1</v>
      </c>
      <c r="E33" s="77">
        <f t="shared" si="0"/>
        <v>0.85097374179431073</v>
      </c>
      <c r="F33" s="93">
        <f>'Rate Engine'!$P33</f>
        <v>1</v>
      </c>
      <c r="G33" s="93">
        <f>'Rate Engine'!$Q33</f>
        <v>0</v>
      </c>
      <c r="H33" s="93">
        <f>'Rate Engine'!$R33</f>
        <v>0</v>
      </c>
    </row>
    <row r="34" spans="1:8" x14ac:dyDescent="0.25">
      <c r="A34" s="89">
        <f>'Rate Engine'!$A34</f>
        <v>18</v>
      </c>
      <c r="B34" s="90">
        <f>'Rate Engine'!$B34</f>
        <v>46174</v>
      </c>
      <c r="C34" s="91">
        <f>'Rate Engine'!$F34</f>
        <v>46189</v>
      </c>
      <c r="D34" s="92">
        <f>'Rate Engine'!$H34</f>
        <v>1</v>
      </c>
      <c r="E34" s="77">
        <f t="shared" si="0"/>
        <v>0.85297592997811811</v>
      </c>
      <c r="F34" s="93">
        <f>'Rate Engine'!$P34</f>
        <v>1</v>
      </c>
      <c r="G34" s="93">
        <f>'Rate Engine'!$Q34</f>
        <v>0</v>
      </c>
      <c r="H34" s="93">
        <f>'Rate Engine'!$R34</f>
        <v>0</v>
      </c>
    </row>
    <row r="35" spans="1:8" x14ac:dyDescent="0.25">
      <c r="A35" s="89">
        <f>'Rate Engine'!$A35</f>
        <v>19</v>
      </c>
      <c r="B35" s="90">
        <f>'Rate Engine'!$B35</f>
        <v>46204</v>
      </c>
      <c r="C35" s="91">
        <f>'Rate Engine'!$F35</f>
        <v>46219.5</v>
      </c>
      <c r="D35" s="92">
        <f>'Rate Engine'!$H35</f>
        <v>1</v>
      </c>
      <c r="E35" s="77">
        <f t="shared" si="0"/>
        <v>0.85497811816192559</v>
      </c>
      <c r="F35" s="93">
        <f>'Rate Engine'!$P35</f>
        <v>0.91666666666666663</v>
      </c>
      <c r="G35" s="93">
        <f>'Rate Engine'!$Q35</f>
        <v>8.333333333333337E-2</v>
      </c>
      <c r="H35" s="93">
        <f>'Rate Engine'!$R35</f>
        <v>0</v>
      </c>
    </row>
    <row r="36" spans="1:8" x14ac:dyDescent="0.25">
      <c r="A36" s="89">
        <f>'Rate Engine'!$A36</f>
        <v>20</v>
      </c>
      <c r="B36" s="90">
        <f>'Rate Engine'!$B36</f>
        <v>46235</v>
      </c>
      <c r="C36" s="91">
        <f>'Rate Engine'!$F36</f>
        <v>46250.5</v>
      </c>
      <c r="D36" s="92">
        <f>'Rate Engine'!$H36</f>
        <v>1</v>
      </c>
      <c r="E36" s="77">
        <f t="shared" si="0"/>
        <v>0.85701312910284466</v>
      </c>
      <c r="F36" s="93">
        <f>'Rate Engine'!$P36</f>
        <v>0.75</v>
      </c>
      <c r="G36" s="93">
        <f>'Rate Engine'!$Q36</f>
        <v>0.25</v>
      </c>
      <c r="H36" s="93">
        <f>'Rate Engine'!$R36</f>
        <v>0</v>
      </c>
    </row>
    <row r="37" spans="1:8" x14ac:dyDescent="0.25">
      <c r="A37" s="89">
        <f>'Rate Engine'!$A37</f>
        <v>21</v>
      </c>
      <c r="B37" s="90">
        <f>'Rate Engine'!$B37</f>
        <v>46266</v>
      </c>
      <c r="C37" s="91">
        <f>'Rate Engine'!$F37</f>
        <v>46281</v>
      </c>
      <c r="D37" s="92">
        <f>'Rate Engine'!$H37</f>
        <v>1</v>
      </c>
      <c r="E37" s="77">
        <f t="shared" si="0"/>
        <v>0.85901531728665204</v>
      </c>
      <c r="F37" s="93">
        <f>'Rate Engine'!$P37</f>
        <v>0.58333333333333337</v>
      </c>
      <c r="G37" s="93">
        <f>'Rate Engine'!$Q37</f>
        <v>0.41666666666666663</v>
      </c>
      <c r="H37" s="93">
        <f>'Rate Engine'!$R37</f>
        <v>0</v>
      </c>
    </row>
    <row r="38" spans="1:8" x14ac:dyDescent="0.25">
      <c r="A38" s="89">
        <f>'Rate Engine'!$A38</f>
        <v>22</v>
      </c>
      <c r="B38" s="90">
        <f>'Rate Engine'!$B38</f>
        <v>46296</v>
      </c>
      <c r="C38" s="91">
        <f>'Rate Engine'!$F38</f>
        <v>46311.5</v>
      </c>
      <c r="D38" s="92">
        <f>'Rate Engine'!$H38</f>
        <v>1</v>
      </c>
      <c r="E38" s="77">
        <f t="shared" si="0"/>
        <v>0.86101750547045952</v>
      </c>
      <c r="F38" s="93">
        <f>'Rate Engine'!$P38</f>
        <v>0.41666666666666669</v>
      </c>
      <c r="G38" s="93">
        <f>'Rate Engine'!$Q38</f>
        <v>0.58333333333333326</v>
      </c>
      <c r="H38" s="93">
        <f>'Rate Engine'!$R38</f>
        <v>0</v>
      </c>
    </row>
    <row r="39" spans="1:8" x14ac:dyDescent="0.25">
      <c r="A39" s="89">
        <f>'Rate Engine'!$A39</f>
        <v>23</v>
      </c>
      <c r="B39" s="90">
        <f>'Rate Engine'!$B39</f>
        <v>46327</v>
      </c>
      <c r="C39" s="91">
        <f>'Rate Engine'!$F39</f>
        <v>46342</v>
      </c>
      <c r="D39" s="92">
        <f>'Rate Engine'!$H39</f>
        <v>1</v>
      </c>
      <c r="E39" s="77">
        <f t="shared" si="0"/>
        <v>0.8630196936542669</v>
      </c>
      <c r="F39" s="93">
        <f>'Rate Engine'!$P39</f>
        <v>0.25</v>
      </c>
      <c r="G39" s="93">
        <f>'Rate Engine'!$Q39</f>
        <v>0.75</v>
      </c>
      <c r="H39" s="93">
        <f>'Rate Engine'!$R39</f>
        <v>0</v>
      </c>
    </row>
    <row r="40" spans="1:8" x14ac:dyDescent="0.25">
      <c r="A40" s="89">
        <f>'Rate Engine'!$A40</f>
        <v>24</v>
      </c>
      <c r="B40" s="90">
        <f>'Rate Engine'!$B40</f>
        <v>46357</v>
      </c>
      <c r="C40" s="91">
        <f>'Rate Engine'!$F40</f>
        <v>46372.5</v>
      </c>
      <c r="D40" s="92">
        <f>'Rate Engine'!$H40</f>
        <v>1</v>
      </c>
      <c r="E40" s="77">
        <f t="shared" si="0"/>
        <v>0.86502188183807438</v>
      </c>
      <c r="F40" s="93">
        <f>'Rate Engine'!$P40</f>
        <v>8.3333333333333329E-2</v>
      </c>
      <c r="G40" s="93">
        <f>'Rate Engine'!$Q40</f>
        <v>0.91666666666666663</v>
      </c>
      <c r="H40" s="93">
        <f>'Rate Engine'!$R40</f>
        <v>0</v>
      </c>
    </row>
    <row r="41" spans="1:8" x14ac:dyDescent="0.25">
      <c r="A41" s="89">
        <f>'Rate Engine'!$A41</f>
        <v>25</v>
      </c>
      <c r="B41" s="90">
        <f>'Rate Engine'!$B41</f>
        <v>46388</v>
      </c>
      <c r="C41" s="91">
        <f>'Rate Engine'!$F41</f>
        <v>46403.5</v>
      </c>
      <c r="D41" s="92">
        <f>'Rate Engine'!$H41</f>
        <v>1</v>
      </c>
      <c r="E41" s="77">
        <f t="shared" si="0"/>
        <v>0.86705689277899345</v>
      </c>
      <c r="F41" s="93">
        <f>'Rate Engine'!$P41</f>
        <v>0</v>
      </c>
      <c r="G41" s="93">
        <f>'Rate Engine'!$Q41</f>
        <v>1</v>
      </c>
      <c r="H41" s="93">
        <f>'Rate Engine'!$R41</f>
        <v>0</v>
      </c>
    </row>
    <row r="42" spans="1:8" x14ac:dyDescent="0.25">
      <c r="A42" s="89">
        <f>'Rate Engine'!$A42</f>
        <v>26</v>
      </c>
      <c r="B42" s="90">
        <f>'Rate Engine'!$B42</f>
        <v>46419</v>
      </c>
      <c r="C42" s="91">
        <f>'Rate Engine'!$F42</f>
        <v>46433</v>
      </c>
      <c r="D42" s="92">
        <f>'Rate Engine'!$H42</f>
        <v>1</v>
      </c>
      <c r="E42" s="77">
        <f t="shared" si="0"/>
        <v>0.86899343544857766</v>
      </c>
      <c r="F42" s="93">
        <f>'Rate Engine'!$P42</f>
        <v>0</v>
      </c>
      <c r="G42" s="93">
        <f>'Rate Engine'!$Q42</f>
        <v>1</v>
      </c>
      <c r="H42" s="93">
        <f>'Rate Engine'!$R42</f>
        <v>0</v>
      </c>
    </row>
    <row r="43" spans="1:8" x14ac:dyDescent="0.25">
      <c r="A43" s="89">
        <f>'Rate Engine'!$A43</f>
        <v>27</v>
      </c>
      <c r="B43" s="90">
        <f>'Rate Engine'!$B43</f>
        <v>46447</v>
      </c>
      <c r="C43" s="91">
        <f>'Rate Engine'!$F43</f>
        <v>46462.5</v>
      </c>
      <c r="D43" s="92">
        <f>'Rate Engine'!$H43</f>
        <v>1</v>
      </c>
      <c r="E43" s="77">
        <f t="shared" si="0"/>
        <v>0.87092997811816197</v>
      </c>
      <c r="F43" s="93">
        <f>'Rate Engine'!$P43</f>
        <v>0</v>
      </c>
      <c r="G43" s="93">
        <f>'Rate Engine'!$Q43</f>
        <v>1</v>
      </c>
      <c r="H43" s="93">
        <f>'Rate Engine'!$R43</f>
        <v>0</v>
      </c>
    </row>
    <row r="44" spans="1:8" x14ac:dyDescent="0.25">
      <c r="A44" s="89">
        <f>'Rate Engine'!$A44</f>
        <v>28</v>
      </c>
      <c r="B44" s="90">
        <f>'Rate Engine'!$B44</f>
        <v>46478</v>
      </c>
      <c r="C44" s="91">
        <f>'Rate Engine'!$F44</f>
        <v>46493</v>
      </c>
      <c r="D44" s="92">
        <f>'Rate Engine'!$H44</f>
        <v>1</v>
      </c>
      <c r="E44" s="77">
        <f t="shared" si="0"/>
        <v>0.87293216630196935</v>
      </c>
      <c r="F44" s="93">
        <f>'Rate Engine'!$P44</f>
        <v>0</v>
      </c>
      <c r="G44" s="93">
        <f>'Rate Engine'!$Q44</f>
        <v>1</v>
      </c>
      <c r="H44" s="93">
        <f>'Rate Engine'!$R44</f>
        <v>0</v>
      </c>
    </row>
    <row r="45" spans="1:8" x14ac:dyDescent="0.25">
      <c r="A45" s="89">
        <f>'Rate Engine'!$A45</f>
        <v>29</v>
      </c>
      <c r="B45" s="90">
        <f>'Rate Engine'!$B45</f>
        <v>46508</v>
      </c>
      <c r="C45" s="91">
        <f>'Rate Engine'!$F45</f>
        <v>46523.5</v>
      </c>
      <c r="D45" s="92">
        <f>'Rate Engine'!$H45</f>
        <v>1</v>
      </c>
      <c r="E45" s="77">
        <f t="shared" si="0"/>
        <v>0.87493435448577683</v>
      </c>
      <c r="F45" s="93">
        <f>'Rate Engine'!$P45</f>
        <v>0</v>
      </c>
      <c r="G45" s="93">
        <f>'Rate Engine'!$Q45</f>
        <v>1</v>
      </c>
      <c r="H45" s="93">
        <f>'Rate Engine'!$R45</f>
        <v>0</v>
      </c>
    </row>
    <row r="46" spans="1:8" x14ac:dyDescent="0.25">
      <c r="A46" s="89">
        <f>'Rate Engine'!$A46</f>
        <v>30</v>
      </c>
      <c r="B46" s="90">
        <f>'Rate Engine'!$B46</f>
        <v>46539</v>
      </c>
      <c r="C46" s="91">
        <f>'Rate Engine'!$F46</f>
        <v>46554</v>
      </c>
      <c r="D46" s="92">
        <f>'Rate Engine'!$H46</f>
        <v>1</v>
      </c>
      <c r="E46" s="77">
        <f t="shared" si="0"/>
        <v>0.87693654266958421</v>
      </c>
      <c r="F46" s="93">
        <f>'Rate Engine'!$P46</f>
        <v>0</v>
      </c>
      <c r="G46" s="93">
        <f>'Rate Engine'!$Q46</f>
        <v>1</v>
      </c>
      <c r="H46" s="93">
        <f>'Rate Engine'!$R46</f>
        <v>0</v>
      </c>
    </row>
    <row r="47" spans="1:8" x14ac:dyDescent="0.25">
      <c r="A47" s="89">
        <f>'Rate Engine'!$A47</f>
        <v>31</v>
      </c>
      <c r="B47" s="90">
        <f>'Rate Engine'!$B47</f>
        <v>46569</v>
      </c>
      <c r="C47" s="91">
        <f>'Rate Engine'!$F47</f>
        <v>46584.5</v>
      </c>
      <c r="D47" s="92">
        <f>'Rate Engine'!$H47</f>
        <v>1</v>
      </c>
      <c r="E47" s="77">
        <f t="shared" si="0"/>
        <v>0.87893873085339169</v>
      </c>
      <c r="F47" s="93">
        <f>'Rate Engine'!$P47</f>
        <v>0</v>
      </c>
      <c r="G47" s="93">
        <f>'Rate Engine'!$Q47</f>
        <v>0.91666666666666663</v>
      </c>
      <c r="H47" s="93">
        <f>'Rate Engine'!$R47</f>
        <v>8.333333333333337E-2</v>
      </c>
    </row>
    <row r="48" spans="1:8" x14ac:dyDescent="0.25">
      <c r="A48" s="89">
        <f>'Rate Engine'!$A48</f>
        <v>32</v>
      </c>
      <c r="B48" s="90">
        <f>'Rate Engine'!$B48</f>
        <v>46600</v>
      </c>
      <c r="C48" s="91">
        <f>'Rate Engine'!$F48</f>
        <v>46615.5</v>
      </c>
      <c r="D48" s="92">
        <f>'Rate Engine'!$H48</f>
        <v>1</v>
      </c>
      <c r="E48" s="77">
        <f t="shared" si="0"/>
        <v>0.88097374179431076</v>
      </c>
      <c r="F48" s="93">
        <f>'Rate Engine'!$P48</f>
        <v>0</v>
      </c>
      <c r="G48" s="93">
        <f>'Rate Engine'!$Q48</f>
        <v>0.75</v>
      </c>
      <c r="H48" s="93">
        <f>'Rate Engine'!$R48</f>
        <v>0.25</v>
      </c>
    </row>
    <row r="49" spans="1:8" x14ac:dyDescent="0.25">
      <c r="A49" s="89">
        <f>'Rate Engine'!$A49</f>
        <v>33</v>
      </c>
      <c r="B49" s="90">
        <f>'Rate Engine'!$B49</f>
        <v>46631</v>
      </c>
      <c r="C49" s="91">
        <f>'Rate Engine'!$F49</f>
        <v>46646</v>
      </c>
      <c r="D49" s="92">
        <f>'Rate Engine'!$H49</f>
        <v>1</v>
      </c>
      <c r="E49" s="77">
        <f t="shared" si="0"/>
        <v>0.88297592997811813</v>
      </c>
      <c r="F49" s="93">
        <f>'Rate Engine'!$P49</f>
        <v>0</v>
      </c>
      <c r="G49" s="93">
        <f>'Rate Engine'!$Q49</f>
        <v>0.58333333333333337</v>
      </c>
      <c r="H49" s="93">
        <f>'Rate Engine'!$R49</f>
        <v>0.41666666666666663</v>
      </c>
    </row>
    <row r="50" spans="1:8" x14ac:dyDescent="0.25">
      <c r="A50" s="89">
        <f>'Rate Engine'!$A50</f>
        <v>34</v>
      </c>
      <c r="B50" s="90">
        <f>'Rate Engine'!$B50</f>
        <v>46661</v>
      </c>
      <c r="C50" s="91">
        <f>'Rate Engine'!$F50</f>
        <v>46676.5</v>
      </c>
      <c r="D50" s="92">
        <f>'Rate Engine'!$H50</f>
        <v>1</v>
      </c>
      <c r="E50" s="77">
        <f t="shared" si="0"/>
        <v>0.88497811816192562</v>
      </c>
      <c r="F50" s="93">
        <f>'Rate Engine'!$P50</f>
        <v>0</v>
      </c>
      <c r="G50" s="93">
        <f>'Rate Engine'!$Q50</f>
        <v>0.41666666666666669</v>
      </c>
      <c r="H50" s="93">
        <f>'Rate Engine'!$R50</f>
        <v>0.58333333333333326</v>
      </c>
    </row>
    <row r="51" spans="1:8" x14ac:dyDescent="0.25">
      <c r="A51" s="89">
        <f>'Rate Engine'!$A51</f>
        <v>35</v>
      </c>
      <c r="B51" s="90">
        <f>'Rate Engine'!$B51</f>
        <v>46692</v>
      </c>
      <c r="C51" s="91">
        <f>'Rate Engine'!$F51</f>
        <v>46707</v>
      </c>
      <c r="D51" s="92">
        <f>'Rate Engine'!$H51</f>
        <v>1</v>
      </c>
      <c r="E51" s="77">
        <f t="shared" si="0"/>
        <v>0.8869803063457331</v>
      </c>
      <c r="F51" s="93">
        <f>'Rate Engine'!$P51</f>
        <v>0</v>
      </c>
      <c r="G51" s="93">
        <f>'Rate Engine'!$Q51</f>
        <v>0.25</v>
      </c>
      <c r="H51" s="93">
        <f>'Rate Engine'!$R51</f>
        <v>0.75</v>
      </c>
    </row>
    <row r="52" spans="1:8" x14ac:dyDescent="0.25">
      <c r="A52" s="89">
        <f>'Rate Engine'!$A52</f>
        <v>36</v>
      </c>
      <c r="B52" s="90">
        <f>'Rate Engine'!$B52</f>
        <v>46722</v>
      </c>
      <c r="C52" s="91">
        <f>'Rate Engine'!$F52</f>
        <v>46737.5</v>
      </c>
      <c r="D52" s="92">
        <f>'Rate Engine'!$H52</f>
        <v>1</v>
      </c>
      <c r="E52" s="77">
        <f t="shared" si="0"/>
        <v>0.88898249452954048</v>
      </c>
      <c r="F52" s="93">
        <f>'Rate Engine'!$P52</f>
        <v>0</v>
      </c>
      <c r="G52" s="93">
        <f>'Rate Engine'!$Q52</f>
        <v>8.3333333333333329E-2</v>
      </c>
      <c r="H52" s="93">
        <f>'Rate Engine'!$R52</f>
        <v>0.91666666666666663</v>
      </c>
    </row>
    <row r="53" spans="1:8" x14ac:dyDescent="0.25">
      <c r="A53" s="89">
        <f>'Rate Engine'!$A53</f>
        <v>37</v>
      </c>
      <c r="B53" s="90">
        <f>'Rate Engine'!$B53</f>
        <v>46753</v>
      </c>
      <c r="C53" s="91">
        <f>'Rate Engine'!$F53</f>
        <v>46768.5</v>
      </c>
      <c r="D53" s="92">
        <f>'Rate Engine'!$H53</f>
        <v>1</v>
      </c>
      <c r="E53" s="77">
        <f t="shared" si="0"/>
        <v>0.89</v>
      </c>
      <c r="F53" s="93">
        <f>'Rate Engine'!$P53</f>
        <v>0</v>
      </c>
      <c r="G53" s="93">
        <f>'Rate Engine'!$Q53</f>
        <v>0</v>
      </c>
      <c r="H53" s="93">
        <f>'Rate Engine'!$R53</f>
        <v>1</v>
      </c>
    </row>
    <row r="54" spans="1:8" x14ac:dyDescent="0.25">
      <c r="A54" s="89">
        <f>'Rate Engine'!$A54</f>
        <v>38</v>
      </c>
      <c r="B54" s="90">
        <f>'Rate Engine'!$B54</f>
        <v>46784</v>
      </c>
      <c r="C54" s="91">
        <f>'Rate Engine'!$F54</f>
        <v>46798.5</v>
      </c>
      <c r="D54" s="92">
        <f>'Rate Engine'!$H54</f>
        <v>1</v>
      </c>
      <c r="E54" s="77">
        <f t="shared" si="0"/>
        <v>0.89</v>
      </c>
      <c r="F54" s="93">
        <f>'Rate Engine'!$P54</f>
        <v>0</v>
      </c>
      <c r="G54" s="93">
        <f>'Rate Engine'!$Q54</f>
        <v>0</v>
      </c>
      <c r="H54" s="93">
        <f>'Rate Engine'!$R54</f>
        <v>1</v>
      </c>
    </row>
    <row r="55" spans="1:8" x14ac:dyDescent="0.25">
      <c r="A55" s="89">
        <f>'Rate Engine'!$A55</f>
        <v>39</v>
      </c>
      <c r="B55" s="90">
        <f>'Rate Engine'!$B55</f>
        <v>46813</v>
      </c>
      <c r="C55" s="91">
        <f>'Rate Engine'!$F55</f>
        <v>46828.5</v>
      </c>
      <c r="D55" s="92">
        <f>'Rate Engine'!$H55</f>
        <v>1</v>
      </c>
      <c r="E55" s="77">
        <f t="shared" si="0"/>
        <v>0.89</v>
      </c>
      <c r="F55" s="93">
        <f>'Rate Engine'!$P55</f>
        <v>0</v>
      </c>
      <c r="G55" s="93">
        <f>'Rate Engine'!$Q55</f>
        <v>0</v>
      </c>
      <c r="H55" s="93">
        <f>'Rate Engine'!$R55</f>
        <v>1</v>
      </c>
    </row>
    <row r="56" spans="1:8" x14ac:dyDescent="0.25">
      <c r="A56" s="89">
        <f>'Rate Engine'!$A56</f>
        <v>40</v>
      </c>
      <c r="B56" s="90">
        <f>'Rate Engine'!$B56</f>
        <v>46844</v>
      </c>
      <c r="C56" s="91">
        <f>'Rate Engine'!$F56</f>
        <v>46859</v>
      </c>
      <c r="D56" s="92">
        <f>'Rate Engine'!$H56</f>
        <v>1</v>
      </c>
      <c r="E56" s="77">
        <f t="shared" si="0"/>
        <v>0.89</v>
      </c>
      <c r="F56" s="93">
        <f>'Rate Engine'!$P56</f>
        <v>0</v>
      </c>
      <c r="G56" s="93">
        <f>'Rate Engine'!$Q56</f>
        <v>0</v>
      </c>
      <c r="H56" s="93">
        <f>'Rate Engine'!$R56</f>
        <v>1</v>
      </c>
    </row>
    <row r="57" spans="1:8" x14ac:dyDescent="0.25">
      <c r="A57" s="89">
        <f>'Rate Engine'!$A57</f>
        <v>41</v>
      </c>
      <c r="B57" s="90">
        <f>'Rate Engine'!$B57</f>
        <v>46874</v>
      </c>
      <c r="C57" s="91">
        <f>'Rate Engine'!$F57</f>
        <v>46889.5</v>
      </c>
      <c r="D57" s="92">
        <f>'Rate Engine'!$H57</f>
        <v>1</v>
      </c>
      <c r="E57" s="77">
        <f t="shared" si="0"/>
        <v>0.89</v>
      </c>
      <c r="F57" s="93">
        <f>'Rate Engine'!$P57</f>
        <v>0</v>
      </c>
      <c r="G57" s="93">
        <f>'Rate Engine'!$Q57</f>
        <v>0</v>
      </c>
      <c r="H57" s="93">
        <f>'Rate Engine'!$R57</f>
        <v>1</v>
      </c>
    </row>
    <row r="58" spans="1:8" x14ac:dyDescent="0.25">
      <c r="A58" s="89">
        <f>'Rate Engine'!$A58</f>
        <v>42</v>
      </c>
      <c r="B58" s="90">
        <f>'Rate Engine'!$B58</f>
        <v>46905</v>
      </c>
      <c r="C58" s="91">
        <f>'Rate Engine'!$F58</f>
        <v>46920</v>
      </c>
      <c r="D58" s="92">
        <f>'Rate Engine'!$H58</f>
        <v>1</v>
      </c>
      <c r="E58" s="77">
        <f t="shared" si="0"/>
        <v>0.89</v>
      </c>
      <c r="F58" s="93">
        <f>'Rate Engine'!$P58</f>
        <v>0</v>
      </c>
      <c r="G58" s="93">
        <f>'Rate Engine'!$Q58</f>
        <v>0</v>
      </c>
      <c r="H58" s="93">
        <f>'Rate Engine'!$R58</f>
        <v>1</v>
      </c>
    </row>
    <row r="59" spans="1:8" x14ac:dyDescent="0.25">
      <c r="A59" s="89">
        <f>'Rate Engine'!$A59</f>
        <v>43</v>
      </c>
      <c r="B59" s="90">
        <f>'Rate Engine'!$B59</f>
        <v>46935</v>
      </c>
      <c r="C59" s="91">
        <f>'Rate Engine'!$F59</f>
        <v>46950.5</v>
      </c>
      <c r="D59" s="92">
        <f>'Rate Engine'!$H59</f>
        <v>1</v>
      </c>
      <c r="E59" s="77">
        <f t="shared" si="0"/>
        <v>0.89</v>
      </c>
      <c r="F59" s="93">
        <f>'Rate Engine'!$P59</f>
        <v>0</v>
      </c>
      <c r="G59" s="93">
        <f>'Rate Engine'!$Q59</f>
        <v>0</v>
      </c>
      <c r="H59" s="93">
        <f>'Rate Engine'!$R59</f>
        <v>0.91666666666666663</v>
      </c>
    </row>
    <row r="60" spans="1:8" x14ac:dyDescent="0.25">
      <c r="A60" s="89">
        <f>'Rate Engine'!$A60</f>
        <v>44</v>
      </c>
      <c r="B60" s="90">
        <f>'Rate Engine'!$B60</f>
        <v>46966</v>
      </c>
      <c r="C60" s="91">
        <f>'Rate Engine'!$F60</f>
        <v>46981.5</v>
      </c>
      <c r="D60" s="92">
        <f>'Rate Engine'!$H60</f>
        <v>1</v>
      </c>
      <c r="E60" s="77">
        <f t="shared" si="0"/>
        <v>0.89</v>
      </c>
      <c r="F60" s="93">
        <f>'Rate Engine'!$P60</f>
        <v>0</v>
      </c>
      <c r="G60" s="93">
        <f>'Rate Engine'!$Q60</f>
        <v>0</v>
      </c>
      <c r="H60" s="93">
        <f>'Rate Engine'!$R60</f>
        <v>0.75</v>
      </c>
    </row>
    <row r="61" spans="1:8" x14ac:dyDescent="0.25">
      <c r="A61" s="89">
        <f>'Rate Engine'!$A61</f>
        <v>45</v>
      </c>
      <c r="B61" s="90">
        <f>'Rate Engine'!$B61</f>
        <v>46997</v>
      </c>
      <c r="C61" s="91">
        <f>'Rate Engine'!$F61</f>
        <v>47012</v>
      </c>
      <c r="D61" s="92">
        <f>'Rate Engine'!$H61</f>
        <v>1</v>
      </c>
      <c r="E61" s="77">
        <f t="shared" si="0"/>
        <v>0.89</v>
      </c>
      <c r="F61" s="93">
        <f>'Rate Engine'!$P61</f>
        <v>0</v>
      </c>
      <c r="G61" s="93">
        <f>'Rate Engine'!$Q61</f>
        <v>0</v>
      </c>
      <c r="H61" s="93">
        <f>'Rate Engine'!$R61</f>
        <v>0.58333333333333337</v>
      </c>
    </row>
    <row r="62" spans="1:8" x14ac:dyDescent="0.25">
      <c r="A62" s="89">
        <f>'Rate Engine'!$A62</f>
        <v>46</v>
      </c>
      <c r="B62" s="90">
        <f>'Rate Engine'!$B62</f>
        <v>47027</v>
      </c>
      <c r="C62" s="91">
        <f>'Rate Engine'!$F62</f>
        <v>47042.5</v>
      </c>
      <c r="D62" s="92">
        <f>'Rate Engine'!$H62</f>
        <v>1</v>
      </c>
      <c r="E62" s="77">
        <f t="shared" si="0"/>
        <v>0.89</v>
      </c>
      <c r="F62" s="93">
        <f>'Rate Engine'!$P62</f>
        <v>0</v>
      </c>
      <c r="G62" s="93">
        <f>'Rate Engine'!$Q62</f>
        <v>0</v>
      </c>
      <c r="H62" s="93">
        <f>'Rate Engine'!$R62</f>
        <v>0.41666666666666669</v>
      </c>
    </row>
    <row r="63" spans="1:8" x14ac:dyDescent="0.25">
      <c r="A63" s="89">
        <f>'Rate Engine'!$A63</f>
        <v>47</v>
      </c>
      <c r="B63" s="90">
        <f>'Rate Engine'!$B63</f>
        <v>47058</v>
      </c>
      <c r="C63" s="91">
        <f>'Rate Engine'!$F63</f>
        <v>47073</v>
      </c>
      <c r="D63" s="92">
        <f>'Rate Engine'!$H63</f>
        <v>1</v>
      </c>
      <c r="E63" s="77">
        <f t="shared" si="0"/>
        <v>0.89</v>
      </c>
      <c r="F63" s="93">
        <f>'Rate Engine'!$P63</f>
        <v>0</v>
      </c>
      <c r="G63" s="93">
        <f>'Rate Engine'!$Q63</f>
        <v>0</v>
      </c>
      <c r="H63" s="93">
        <f>'Rate Engine'!$R63</f>
        <v>0.25</v>
      </c>
    </row>
    <row r="64" spans="1:8" x14ac:dyDescent="0.25">
      <c r="A64" s="89">
        <f>'Rate Engine'!$A64</f>
        <v>48</v>
      </c>
      <c r="B64" s="90">
        <f>'Rate Engine'!$B64</f>
        <v>47088</v>
      </c>
      <c r="C64" s="91">
        <f>'Rate Engine'!$F64</f>
        <v>47103.5</v>
      </c>
      <c r="D64" s="92">
        <f>'Rate Engine'!$H64</f>
        <v>1</v>
      </c>
      <c r="E64" s="77">
        <f t="shared" si="0"/>
        <v>0.89</v>
      </c>
      <c r="F64" s="93">
        <f>'Rate Engine'!$P64</f>
        <v>0</v>
      </c>
      <c r="G64" s="93">
        <f>'Rate Engine'!$Q64</f>
        <v>0</v>
      </c>
      <c r="H64" s="93">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25">
      <c r="B2" s="1" t="s">
        <v>263</v>
      </c>
    </row>
    <row r="3" spans="2:8" x14ac:dyDescent="0.25">
      <c r="B3" s="2" t="s">
        <v>264</v>
      </c>
    </row>
    <row r="4" spans="2:8" x14ac:dyDescent="0.25">
      <c r="E4" s="14" t="s">
        <v>197</v>
      </c>
      <c r="F4" s="58" t="str">
        <f>nr_SelKey</f>
        <v>BU-A|AZ</v>
      </c>
      <c r="H4" s="59" t="str">
        <f>HYPERLINK("#Control!C7","Change BU/state selection &gt;")</f>
        <v>Change BU/state selection &gt;</v>
      </c>
    </row>
    <row r="5" spans="2:8" ht="15.75" x14ac:dyDescent="0.25">
      <c r="B5" s="3" t="s">
        <v>265</v>
      </c>
      <c r="E5" s="14" t="s">
        <v>266</v>
      </c>
      <c r="F5" s="55">
        <f>IF(nr_SelOK,MATCH(nr_SelKey,lr_key,0),0)</f>
        <v>1</v>
      </c>
    </row>
    <row r="6" spans="2:8" x14ac:dyDescent="0.25">
      <c r="B6" s="14" t="s">
        <v>62</v>
      </c>
      <c r="C6" s="9" t="str">
        <f>nr_SelBU</f>
        <v>BU-A</v>
      </c>
    </row>
    <row r="7" spans="2:8" x14ac:dyDescent="0.25">
      <c r="B7" s="14" t="s">
        <v>65</v>
      </c>
      <c r="C7" s="9" t="str">
        <f>nr_SelState</f>
        <v>AZ</v>
      </c>
    </row>
    <row r="8" spans="2:8" x14ac:dyDescent="0.25">
      <c r="B8" s="14" t="s">
        <v>267</v>
      </c>
      <c r="C8" s="94">
        <f>IF($F$5=0,0,N(INDEX(lr_lrproj,$F$5)))</f>
        <v>0.65</v>
      </c>
    </row>
    <row r="9" spans="2:8" x14ac:dyDescent="0.25">
      <c r="B9" s="14" t="s">
        <v>111</v>
      </c>
      <c r="C9" s="66" t="str">
        <f>IF($F$5=0,"current",INDEX(lr_basis,$F$5)&amp;"")</f>
        <v>current</v>
      </c>
    </row>
    <row r="10" spans="2:8" x14ac:dyDescent="0.25">
      <c r="B10" s="14" t="s">
        <v>268</v>
      </c>
      <c r="C10" s="94">
        <f>IF($F$5=0,0,N(INDEX(lr_s,$F$5)))</f>
        <v>0.05</v>
      </c>
    </row>
    <row r="11" spans="2:8" x14ac:dyDescent="0.25">
      <c r="B11" s="14" t="s">
        <v>269</v>
      </c>
      <c r="C11" s="94">
        <f>IF(nr_Basis="proposed",nr_LRproj*(1+nr_SelS),nr_LRproj)</f>
        <v>0.65</v>
      </c>
    </row>
    <row r="12" spans="2:8" x14ac:dyDescent="0.25">
      <c r="B12" s="14" t="s">
        <v>113</v>
      </c>
      <c r="C12" s="85">
        <f>IF($F$5=0,1,IF(N(INDEX(lr_mind,$F$5))=0,1,INDEX(lr_mind,$F$5)))</f>
        <v>0.85</v>
      </c>
    </row>
    <row r="13" spans="2:8" x14ac:dyDescent="0.25">
      <c r="B13" s="14" t="s">
        <v>114</v>
      </c>
      <c r="C13" s="85">
        <f>IF($F$5=0,1,IF(N(INDEX(lr_m0,$F$5))=0,1,INDEX(lr_m0,$F$5)))</f>
        <v>0.86</v>
      </c>
    </row>
    <row r="14" spans="2:8" x14ac:dyDescent="0.25">
      <c r="B14" s="14" t="s">
        <v>270</v>
      </c>
      <c r="C14" s="95">
        <f>IF($F$5=0,DATE(nr_PlanYear-1,10,1),IF(N(INDEX(lr_m0asof,$F$5))=0,DATE(nr_PlanYear-1,10,1),INDEX(lr_m0asof,$F$5)))</f>
        <v>46295</v>
      </c>
    </row>
    <row r="15" spans="2:8" x14ac:dyDescent="0.25">
      <c r="B15" s="14" t="s">
        <v>116</v>
      </c>
      <c r="C15" s="85">
        <f>IF($F$5=0,1,IF(N(INDEX(lr_m1,$F$5))=0,1,INDEX(lr_m1,$F$5)))</f>
        <v>0.89</v>
      </c>
    </row>
    <row r="16" spans="2:8" x14ac:dyDescent="0.25">
      <c r="B16" s="14" t="s">
        <v>271</v>
      </c>
      <c r="C16" s="85">
        <f>IF($F$5=0,0,N(INDEX(lr_mprior,$F$5)))</f>
        <v>0</v>
      </c>
    </row>
    <row r="17" spans="2:8" x14ac:dyDescent="0.25">
      <c r="B17" s="14" t="s">
        <v>272</v>
      </c>
      <c r="C17" s="85">
        <f>IF($F$5=0,0,N(INDEX(lr_m2,$F$5)))</f>
        <v>0</v>
      </c>
    </row>
    <row r="18" spans="2:8" x14ac:dyDescent="0.25">
      <c r="B18" s="14" t="s">
        <v>273</v>
      </c>
      <c r="C18" s="94">
        <f>IF($F$5=0,N(nr_TrendDefault),IF(ISBLANK(INDEX(lr_trend,$F$5)),N(nr_TrendDefault),INDEX(lr_trend,$F$5)))</f>
        <v>0</v>
      </c>
    </row>
    <row r="19" spans="2:8" x14ac:dyDescent="0.25">
      <c r="B19" s="14" t="s">
        <v>274</v>
      </c>
      <c r="C19" s="61">
        <f>IF($F$5=0,1,IF(N(INDEX(lr_aother,$F$5))=0,1,INDEX(lr_aother,$F$5)))</f>
        <v>1</v>
      </c>
      <c r="D19" s="96" t="str">
        <f>IF(AND(nr_AOther&lt;&gt;1,nr_AOtherLbl=""),"WARNING: A_other &lt;&gt; 1 requires a label","")</f>
        <v/>
      </c>
    </row>
    <row r="20" spans="2:8" x14ac:dyDescent="0.25">
      <c r="B20" s="14" t="s">
        <v>275</v>
      </c>
      <c r="C20" s="66" t="str">
        <f>IF($F$5=0,"",INDEX(lr_aotherlbl,$F$5)&amp;"")</f>
        <v/>
      </c>
    </row>
    <row r="21" spans="2:8" x14ac:dyDescent="0.25">
      <c r="B21" s="14" t="s">
        <v>276</v>
      </c>
      <c r="C21" s="66" t="str">
        <f>IF($F$5=0,"ON",IF(INDEX(lr_modadj,$F$5)="OFF","OFF","ON"))</f>
        <v>ON</v>
      </c>
    </row>
    <row r="22" spans="2:8" x14ac:dyDescent="0.25">
      <c r="B22" s="14" t="s">
        <v>277</v>
      </c>
      <c r="C22" s="66" t="str">
        <f>IF(AND(nr_ModAdjMaster="ON",nr_ModAdjRow="ON"),"ON","OFF")</f>
        <v>ON</v>
      </c>
    </row>
    <row r="23" spans="2:8" x14ac:dyDescent="0.25">
      <c r="B23" s="14" t="s">
        <v>278</v>
      </c>
      <c r="C23" s="66" t="b">
        <f>IF($F$5=0,FALSE,NOT(ISBLANK(INDEX(lr_netp,$F$5))))</f>
        <v>0</v>
      </c>
    </row>
    <row r="24" spans="2:8" x14ac:dyDescent="0.25">
      <c r="B24" s="14" t="s">
        <v>279</v>
      </c>
      <c r="C24" s="94">
        <f>IF($F$5=0,0,N(INDEX(lr_netp,$F$5)))</f>
        <v>0</v>
      </c>
    </row>
    <row r="25" spans="2:8" x14ac:dyDescent="0.25">
      <c r="B25" s="14" t="s">
        <v>280</v>
      </c>
      <c r="C25" s="94">
        <f>IF($F$5=0,0,IF(ISBLANK(INDEX(lr_netp1,$F$5)),N(INDEX(lr_netp,$F$5)),N(INDEX(lr_netp1,$F$5))))</f>
        <v>0</v>
      </c>
    </row>
    <row r="28" spans="2:8" ht="15.75" x14ac:dyDescent="0.25">
      <c r="B28" s="3" t="s">
        <v>281</v>
      </c>
    </row>
    <row r="29" spans="2:8" x14ac:dyDescent="0.25">
      <c r="B29" s="41" t="s">
        <v>282</v>
      </c>
      <c r="C29" s="41" t="str">
        <f>"Factor "&amp;nr_PlanYear</f>
        <v>Factor 2027</v>
      </c>
      <c r="D29" s="41" t="str">
        <f>"LR after ("&amp;nr_PlanYear&amp;")"</f>
        <v>LR after (2027)</v>
      </c>
      <c r="E29" s="41" t="str">
        <f>"Step ("&amp;nr_PlanYear&amp;")"</f>
        <v>Step (2027)</v>
      </c>
      <c r="F29" s="41" t="str">
        <f>"Factor "&amp;(nr_PlanYear+1)</f>
        <v>Factor 2028</v>
      </c>
      <c r="G29" s="41" t="str">
        <f>"LR after ("&amp;(nr_PlanYear+1)&amp;")"</f>
        <v>LR after (2028)</v>
      </c>
      <c r="H29" s="41" t="str">
        <f>"Step ("&amp;(nr_PlanYear+1)&amp;")"</f>
        <v>Step (2028)</v>
      </c>
    </row>
    <row r="30" spans="2:8" x14ac:dyDescent="0.25">
      <c r="B30" s="14" t="s">
        <v>267</v>
      </c>
      <c r="D30" s="97">
        <f>nr_LRproj</f>
        <v>0.65</v>
      </c>
      <c r="G30" s="97">
        <f>nr_LRproj</f>
        <v>0.65</v>
      </c>
    </row>
    <row r="31" spans="2:8" x14ac:dyDescent="0.25">
      <c r="B31" s="14" t="s">
        <v>283</v>
      </c>
      <c r="C31" s="98">
        <f>IF(nr_Basis="proposed",1+nr_SelS,1)</f>
        <v>1</v>
      </c>
      <c r="D31" s="97">
        <f>$D30*$C31</f>
        <v>0.65</v>
      </c>
      <c r="E31" s="99">
        <f>($D31-$D30)*100</f>
        <v>0</v>
      </c>
      <c r="F31" s="98">
        <f>IF(nr_Basis="proposed",1+nr_SelS,1)</f>
        <v>1</v>
      </c>
      <c r="G31" s="97">
        <f>$G30*$F31</f>
        <v>0.65</v>
      </c>
      <c r="H31" s="99">
        <f>($G31-$G30)*100</f>
        <v>0</v>
      </c>
    </row>
    <row r="32" spans="2:8" x14ac:dyDescent="0.25">
      <c r="B32" s="14" t="s">
        <v>284</v>
      </c>
      <c r="C32" s="98">
        <f>1</f>
        <v>1</v>
      </c>
      <c r="D32" s="97">
        <f>$D31*$C32</f>
        <v>0.65</v>
      </c>
      <c r="E32" s="99">
        <f>($D32-$D31)*100</f>
        <v>0</v>
      </c>
      <c r="F32" s="98">
        <f>1+nr_Trend</f>
        <v>1</v>
      </c>
      <c r="G32" s="97">
        <f>$G31*$F32</f>
        <v>0.65</v>
      </c>
      <c r="H32" s="99">
        <f>($G32-$G31)*100</f>
        <v>0</v>
      </c>
    </row>
    <row r="33" spans="2:8" x14ac:dyDescent="0.25">
      <c r="B33" s="14" t="str">
        <f>IF(nr_NetMode,"Rate + price earn-in (net)  A_net","Rate earn-in  A_rate")</f>
        <v>Rate earn-in  A_rate</v>
      </c>
      <c r="C33" s="98">
        <f>nr_Arate_P</f>
        <v>0.97560975609756095</v>
      </c>
      <c r="D33" s="97">
        <f>$D32*$C33</f>
        <v>0.63414634146341464</v>
      </c>
      <c r="E33" s="99">
        <f>($D33-$D32)*100</f>
        <v>-1.585365853658538</v>
      </c>
      <c r="F33" s="98">
        <f>nr_Arate_P1</f>
        <v>0.95238095238095233</v>
      </c>
      <c r="G33" s="97">
        <f>$G32*$F33</f>
        <v>0.61904761904761907</v>
      </c>
      <c r="H33" s="99">
        <f>($G33-$G32)*100</f>
        <v>-3.0952380952380953</v>
      </c>
    </row>
    <row r="34" spans="2:8" x14ac:dyDescent="0.25">
      <c r="B34" s="14" t="str">
        <f>IF(nr_NetMode,"Mod drift (merged into A_net)","Schedule mod drift  A_mod")</f>
        <v>Schedule mod drift  A_mod</v>
      </c>
      <c r="C34" s="98">
        <f>nr_Amod_P</f>
        <v>0.97479571511472884</v>
      </c>
      <c r="D34" s="97">
        <f>$D33*$C34</f>
        <v>0.61816313641421827</v>
      </c>
      <c r="E34" s="99">
        <f>($D34-$D33)*100</f>
        <v>-1.598320504919637</v>
      </c>
      <c r="F34" s="98">
        <f>nr_Amod_P1</f>
        <v>0.95615127267356836</v>
      </c>
      <c r="G34" s="97">
        <f>$G33*$F34</f>
        <v>0.59190316879792326</v>
      </c>
      <c r="H34" s="99">
        <f>($G34-$G33)*100</f>
        <v>-2.7144450249695806</v>
      </c>
    </row>
    <row r="35" spans="2:8" x14ac:dyDescent="0.25">
      <c r="B35" s="14" t="s">
        <v>285</v>
      </c>
      <c r="C35" s="98">
        <f>nr_AOther</f>
        <v>1</v>
      </c>
      <c r="D35" s="97">
        <f>$D34*$C35</f>
        <v>0.61816313641421827</v>
      </c>
      <c r="E35" s="99">
        <f>($D35-$D34)*100</f>
        <v>0</v>
      </c>
      <c r="F35" s="98">
        <f>nr_AOther</f>
        <v>1</v>
      </c>
      <c r="G35" s="97">
        <f>$G34*$F35</f>
        <v>0.59190316879792326</v>
      </c>
      <c r="H35" s="99">
        <f>($G35-$G34)*100</f>
        <v>0</v>
      </c>
    </row>
    <row r="36" spans="2:8" x14ac:dyDescent="0.25">
      <c r="B36" s="100" t="s">
        <v>97</v>
      </c>
      <c r="D36" s="101">
        <f>$D35</f>
        <v>0.61816313641421827</v>
      </c>
      <c r="E36" s="102">
        <f>($D36-$D30)*100</f>
        <v>-3.1836863585781749</v>
      </c>
      <c r="G36" s="101">
        <f>$G35</f>
        <v>0.59190316879792326</v>
      </c>
      <c r="H36" s="102">
        <f>($G36-$G30)*100</f>
        <v>-5.8096831202076764</v>
      </c>
    </row>
    <row r="38" spans="2:8" ht="48" x14ac:dyDescent="0.25">
      <c r="B38" s="20" t="s">
        <v>286</v>
      </c>
    </row>
    <row r="40" spans="2:8" ht="15.75" x14ac:dyDescent="0.25">
      <c r="B40" s="3" t="s">
        <v>287</v>
      </c>
    </row>
    <row r="41" spans="2:8" x14ac:dyDescent="0.25">
      <c r="B41" s="14" t="s">
        <v>288</v>
      </c>
      <c r="D41" s="103">
        <f>nr_EChgVsInd</f>
        <v>2.5000000000000133E-2</v>
      </c>
    </row>
    <row r="42" spans="2:8" x14ac:dyDescent="0.25">
      <c r="B42" s="14" t="s">
        <v>289</v>
      </c>
      <c r="D42" s="103">
        <f>nr_YoY_P</f>
        <v>7.0443349753694706E-2</v>
      </c>
    </row>
    <row r="43" spans="2:8" x14ac:dyDescent="0.25">
      <c r="B43" s="14" t="s">
        <v>290</v>
      </c>
      <c r="D43" s="103">
        <f>nr_YoY_P1</f>
        <v>2.4390243902439046E-2</v>
      </c>
    </row>
    <row r="57" spans="2:6" x14ac:dyDescent="0.25">
      <c r="B57" s="40" t="s">
        <v>291</v>
      </c>
    </row>
    <row r="58" spans="2:6" x14ac:dyDescent="0.25">
      <c r="B58" s="81" t="s">
        <v>282</v>
      </c>
      <c r="C58" s="81" t="s">
        <v>292</v>
      </c>
      <c r="D58" s="81" t="s">
        <v>293</v>
      </c>
      <c r="E58" s="81" t="s">
        <v>294</v>
      </c>
      <c r="F58" s="81" t="s">
        <v>295</v>
      </c>
    </row>
    <row r="59" spans="2:6" x14ac:dyDescent="0.25">
      <c r="B59" s="81" t="s">
        <v>296</v>
      </c>
      <c r="C59" s="52">
        <f>0</f>
        <v>0</v>
      </c>
      <c r="D59" s="52">
        <f>0</f>
        <v>0</v>
      </c>
      <c r="E59" s="52">
        <f>0</f>
        <v>0</v>
      </c>
      <c r="F59" s="52">
        <f>$D$30</f>
        <v>0.65</v>
      </c>
    </row>
    <row r="60" spans="2:6" x14ac:dyDescent="0.25">
      <c r="B60" s="81" t="s">
        <v>297</v>
      </c>
      <c r="C60" s="52">
        <f>MIN($D$30,$D$31)</f>
        <v>0.65</v>
      </c>
      <c r="D60" s="52">
        <f>MAX(0,$D$31-$D$30)</f>
        <v>0</v>
      </c>
      <c r="E60" s="52">
        <f>MAX(0,$D$30-$D$31)</f>
        <v>0</v>
      </c>
      <c r="F60" s="52">
        <f>0</f>
        <v>0</v>
      </c>
    </row>
    <row r="61" spans="2:6" x14ac:dyDescent="0.25">
      <c r="B61" s="81" t="s">
        <v>298</v>
      </c>
      <c r="C61" s="52">
        <f>MIN($D$32,$D$33)</f>
        <v>0.63414634146341464</v>
      </c>
      <c r="D61" s="52">
        <f>MAX(0,$D$33-$D$32)</f>
        <v>0</v>
      </c>
      <c r="E61" s="52">
        <f>MAX(0,$D$32-$D$33)</f>
        <v>1.585365853658538E-2</v>
      </c>
      <c r="F61" s="52">
        <f>0</f>
        <v>0</v>
      </c>
    </row>
    <row r="62" spans="2:6" x14ac:dyDescent="0.25">
      <c r="B62" s="81" t="s">
        <v>299</v>
      </c>
      <c r="C62" s="52">
        <f>MIN($D$33,$D$34)</f>
        <v>0.61816313641421827</v>
      </c>
      <c r="D62" s="52">
        <f>MAX(0,$D$34-$D$33)</f>
        <v>0</v>
      </c>
      <c r="E62" s="52">
        <f>MAX(0,$D$33-$D$34)</f>
        <v>1.598320504919637E-2</v>
      </c>
      <c r="F62" s="52">
        <f>0</f>
        <v>0</v>
      </c>
    </row>
    <row r="63" spans="2:6" x14ac:dyDescent="0.25">
      <c r="B63" s="81" t="s">
        <v>300</v>
      </c>
      <c r="C63" s="52">
        <f>MIN($D$34,$D$35)</f>
        <v>0.61816313641421827</v>
      </c>
      <c r="D63" s="52">
        <f>MAX(0,$D$35-$D$34)</f>
        <v>0</v>
      </c>
      <c r="E63" s="52">
        <f>MAX(0,$D$34-$D$35)</f>
        <v>0</v>
      </c>
      <c r="F63" s="52">
        <f>0</f>
        <v>0</v>
      </c>
    </row>
    <row r="64" spans="2:6" x14ac:dyDescent="0.25">
      <c r="B64" s="81" t="s">
        <v>301</v>
      </c>
      <c r="C64" s="52">
        <f>0</f>
        <v>0</v>
      </c>
      <c r="D64" s="52">
        <f>0</f>
        <v>0</v>
      </c>
      <c r="E64" s="52">
        <f>0</f>
        <v>0</v>
      </c>
      <c r="F64" s="52">
        <f>$D$36</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L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2" ht="21" x14ac:dyDescent="0.25">
      <c r="B2" s="1" t="s">
        <v>302</v>
      </c>
      <c r="J2" s="58" t="str">
        <f>nr_SelKey</f>
        <v>BU-A|AZ</v>
      </c>
      <c r="L2" s="59" t="str">
        <f>HYPERLINK("#Control!C7","Change BU/state selection &gt;")</f>
        <v>Change BU/state selection &gt;</v>
      </c>
    </row>
    <row r="3" spans="2:12" x14ac:dyDescent="0.25">
      <c r="B3" s="2" t="s">
        <v>303</v>
      </c>
    </row>
    <row r="47" spans="2:10" ht="15.75" x14ac:dyDescent="0.25">
      <c r="B47" s="3" t="s">
        <v>304</v>
      </c>
    </row>
    <row r="48" spans="2:10" ht="30" customHeight="1" x14ac:dyDescent="0.25">
      <c r="B48" s="41" t="s">
        <v>305</v>
      </c>
      <c r="C48" s="41" t="s">
        <v>306</v>
      </c>
      <c r="D48" s="41" t="s">
        <v>307</v>
      </c>
      <c r="E48" s="41" t="s">
        <v>308</v>
      </c>
      <c r="F48" s="41" t="s">
        <v>309</v>
      </c>
      <c r="G48" s="41" t="s">
        <v>310</v>
      </c>
      <c r="H48" s="41" t="s">
        <v>311</v>
      </c>
      <c r="I48" s="41" t="s">
        <v>312</v>
      </c>
      <c r="J48" s="41" t="s">
        <v>313</v>
      </c>
    </row>
    <row r="49" spans="2:10" x14ac:dyDescent="0.25">
      <c r="B49" s="104" t="str">
        <f>"Q1 "&amp;nr_PlanYear</f>
        <v>Q1 2027</v>
      </c>
      <c r="C49" s="98">
        <f>SUM('Rate Engine'!AH$66:AJ$66)/SUM('Rate Engine'!AH$67:AJ$67)</f>
        <v>1.1024</v>
      </c>
      <c r="D49" s="98">
        <f>SUM('Rate Engine'!V$66:X$66)/SUM('Rate Engine'!V$67:X$67)</f>
        <v>1.0400000000000003</v>
      </c>
      <c r="E49" s="105">
        <f t="shared" ref="E49:E56" si="0">$C49/$D49-1</f>
        <v>5.9999999999999831E-2</v>
      </c>
      <c r="F49" s="33">
        <f>'Rate Engine'!$N$43</f>
        <v>1.1024</v>
      </c>
      <c r="G49" s="105">
        <f t="shared" ref="G49:G56" si="1">$F49/$C49-1</f>
        <v>0</v>
      </c>
      <c r="H49" s="98">
        <f>IF(nr_NetMode,$C49,$C49*SUM('Rate Engine'!AH$73:AJ$73)/SUM('Rate Engine'!AH$67:AJ$67)/nr_MInd)</f>
        <v>1.1192834118505173</v>
      </c>
      <c r="I49" s="106">
        <f>IF(nr_NetMode,$D49,$D49*SUM('Rate Engine'!V$73:X$73)/SUM('Rate Engine'!V$67:X$67)/nr_MInd)</f>
        <v>1.0266112326768784</v>
      </c>
      <c r="J49" s="105">
        <f t="shared" ref="J49:J56" si="2">$H49/$I49-1</f>
        <v>9.0269983635379747E-2</v>
      </c>
    </row>
    <row r="50" spans="2:10" x14ac:dyDescent="0.25">
      <c r="B50" s="104" t="str">
        <f>"Q2 "&amp;nr_PlanYear</f>
        <v>Q2 2027</v>
      </c>
      <c r="C50" s="98">
        <f>SUM('Rate Engine'!AK$66:AM$66)/SUM('Rate Engine'!AK$67:AM$67)</f>
        <v>1.1161800000000002</v>
      </c>
      <c r="D50" s="98">
        <f>SUM('Rate Engine'!Y$66:AA$66)/SUM('Rate Engine'!Y$67:AA$67)</f>
        <v>1.0400000000000003</v>
      </c>
      <c r="E50" s="105">
        <f t="shared" si="0"/>
        <v>7.3249999999999815E-2</v>
      </c>
      <c r="F50" s="33">
        <f>'Rate Engine'!$N$46</f>
        <v>1.1575200000000001</v>
      </c>
      <c r="G50" s="105">
        <f t="shared" si="1"/>
        <v>3.7037037037036979E-2</v>
      </c>
      <c r="H50" s="98">
        <f>IF(nr_NetMode,$C50,$C50*SUM('Rate Engine'!AK$73:AM$73)/SUM('Rate Engine'!AK$67:AM$67)/nr_MInd)</f>
        <v>1.1411105102973358</v>
      </c>
      <c r="I50" s="106">
        <f>IF(nr_NetMode,$D50,$D50*SUM('Rate Engine'!Y$73:AA$73)/SUM('Rate Engine'!Y$67:AA$67)/nr_MInd)</f>
        <v>1.0339124726477027</v>
      </c>
      <c r="J50" s="105">
        <f t="shared" si="2"/>
        <v>0.10368192713171753</v>
      </c>
    </row>
    <row r="51" spans="2:10" x14ac:dyDescent="0.25">
      <c r="B51" s="104" t="str">
        <f>"Q3 "&amp;nr_PlanYear</f>
        <v>Q3 2027</v>
      </c>
      <c r="C51" s="98">
        <f>SUM('Rate Engine'!AN$66:AP$66)/SUM('Rate Engine'!AN$67:AP$67)</f>
        <v>1.14374</v>
      </c>
      <c r="D51" s="98">
        <f>SUM('Rate Engine'!AB$66:AD$66)/SUM('Rate Engine'!AB$67:AD$67)</f>
        <v>1.0556000000000003</v>
      </c>
      <c r="E51" s="105">
        <f t="shared" si="0"/>
        <v>8.3497536945812412E-2</v>
      </c>
      <c r="F51" s="33">
        <f>'Rate Engine'!$N$49</f>
        <v>1.1575200000000001</v>
      </c>
      <c r="G51" s="105">
        <f t="shared" si="1"/>
        <v>1.2048192771084487E-2</v>
      </c>
      <c r="H51" s="98">
        <f>IF(nr_NetMode,$C51,$C51*SUM('Rate Engine'!AN$73:AP$73)/SUM('Rate Engine'!AN$67:AP$67)/nr_MInd)</f>
        <v>1.1773082561891279</v>
      </c>
      <c r="I51" s="106">
        <f>IF(nr_NetMode,$D51,$D51*SUM('Rate Engine'!AB$73:AD$73)/SUM('Rate Engine'!AB$67:AD$67)/nr_MInd)</f>
        <v>1.0568251246406664</v>
      </c>
      <c r="J51" s="105">
        <f t="shared" si="2"/>
        <v>0.114004794870322</v>
      </c>
    </row>
    <row r="52" spans="2:10" x14ac:dyDescent="0.25">
      <c r="B52" s="104" t="str">
        <f>"Q4 "&amp;nr_PlanYear</f>
        <v>Q4 2027</v>
      </c>
      <c r="C52" s="98">
        <f>SUM('Rate Engine'!AQ$66:AS$66)/SUM('Rate Engine'!AQ$67:AS$67)</f>
        <v>1.1575200000000003</v>
      </c>
      <c r="D52" s="98">
        <f>SUM('Rate Engine'!AE$66:AG$66)/SUM('Rate Engine'!AE$67:AG$67)</f>
        <v>1.0868</v>
      </c>
      <c r="E52" s="105">
        <f t="shared" si="0"/>
        <v>6.5071770334928614E-2</v>
      </c>
      <c r="F52" s="33">
        <f>'Rate Engine'!$N$52</f>
        <v>1.1575200000000001</v>
      </c>
      <c r="G52" s="105">
        <f t="shared" si="1"/>
        <v>0</v>
      </c>
      <c r="H52" s="98">
        <f>IF(nr_NetMode,$C52,$C52*SUM('Rate Engine'!AQ$73:AS$73)/SUM('Rate Engine'!AQ$67:AS$67)/nr_MInd)</f>
        <v>1.1996810531599953</v>
      </c>
      <c r="I52" s="106">
        <f>IF(nr_NetMode,$D52,$D52*SUM('Rate Engine'!AE$73:AG$73)/SUM('Rate Engine'!AE$67:AG$67)/nr_MInd)</f>
        <v>1.0957494182005407</v>
      </c>
      <c r="J52" s="105">
        <f t="shared" si="2"/>
        <v>9.4849819888686682E-2</v>
      </c>
    </row>
    <row r="53" spans="2:10" x14ac:dyDescent="0.25">
      <c r="B53" s="104" t="str">
        <f>"Q1 "&amp;(nr_PlanYear+1)</f>
        <v>Q1 2028</v>
      </c>
      <c r="C53" s="98">
        <f>SUM('Rate Engine'!AT$66:AV$66)/SUM('Rate Engine'!AT$67:AV$67)</f>
        <v>1.1575200000000003</v>
      </c>
      <c r="D53" s="98">
        <f>SUM('Rate Engine'!AH$66:AJ$66)/SUM('Rate Engine'!AH$67:AJ$67)</f>
        <v>1.1024</v>
      </c>
      <c r="E53" s="105">
        <f t="shared" si="0"/>
        <v>5.0000000000000266E-2</v>
      </c>
      <c r="F53" s="33">
        <f>'Rate Engine'!$N$55</f>
        <v>1.1575200000000001</v>
      </c>
      <c r="G53" s="105">
        <f t="shared" si="1"/>
        <v>0</v>
      </c>
      <c r="H53" s="98">
        <f>IF(nr_NetMode,$C53,$C53*SUM('Rate Engine'!AT$73:AV$73)/SUM('Rate Engine'!AT$67:AV$67)/nr_MInd)</f>
        <v>1.2071641838074403</v>
      </c>
      <c r="I53" s="106">
        <f>IF(nr_NetMode,$D53,$D53*SUM('Rate Engine'!AH$73:AJ$73)/SUM('Rate Engine'!AH$67:AJ$67)/nr_MInd)</f>
        <v>1.1192834118505173</v>
      </c>
      <c r="J53" s="105">
        <f t="shared" si="2"/>
        <v>7.8515209844510547E-2</v>
      </c>
    </row>
    <row r="54" spans="2:10" x14ac:dyDescent="0.25">
      <c r="B54" s="104" t="str">
        <f>"Q2 "&amp;(nr_PlanYear+1)</f>
        <v>Q2 2028</v>
      </c>
      <c r="C54" s="98">
        <f>SUM('Rate Engine'!AW$66:AY$66)/SUM('Rate Engine'!AW$67:AY$67)</f>
        <v>1.1575200000000003</v>
      </c>
      <c r="D54" s="98">
        <f>SUM('Rate Engine'!AK$66:AM$66)/SUM('Rate Engine'!AK$67:AM$67)</f>
        <v>1.1161800000000002</v>
      </c>
      <c r="E54" s="105">
        <f t="shared" si="0"/>
        <v>3.7037037037037202E-2</v>
      </c>
      <c r="F54" s="33">
        <f>'Rate Engine'!$N$58</f>
        <v>1.1575200000000001</v>
      </c>
      <c r="G54" s="105">
        <f t="shared" si="1"/>
        <v>0</v>
      </c>
      <c r="H54" s="98">
        <f>IF(nr_NetMode,$C54,$C54*SUM('Rate Engine'!AW$73:AY$73)/SUM('Rate Engine'!AW$67:AY$67)/nr_MInd)</f>
        <v>1.2112664342901283</v>
      </c>
      <c r="I54" s="106">
        <f>IF(nr_NetMode,$D54,$D54*SUM('Rate Engine'!AK$73:AM$73)/SUM('Rate Engine'!AK$67:AM$67)/nr_MInd)</f>
        <v>1.1411105102973358</v>
      </c>
      <c r="J54" s="105">
        <f t="shared" si="2"/>
        <v>6.1480394194697308E-2</v>
      </c>
    </row>
    <row r="55" spans="2:10" x14ac:dyDescent="0.25">
      <c r="B55" s="104" t="str">
        <f>"Q3 "&amp;(nr_PlanYear+1)</f>
        <v>Q3 2028</v>
      </c>
      <c r="C55" s="98">
        <f>SUM('Rate Engine'!AZ$66:BB$66)/SUM('Rate Engine'!AZ$67:BB$67)</f>
        <v>1.1575200000000003</v>
      </c>
      <c r="D55" s="98">
        <f>SUM('Rate Engine'!AN$66:AP$66)/SUM('Rate Engine'!AN$67:AP$67)</f>
        <v>1.14374</v>
      </c>
      <c r="E55" s="105">
        <f t="shared" si="0"/>
        <v>1.2048192771084709E-2</v>
      </c>
      <c r="F55" s="33">
        <f>'Rate Engine'!$N$61</f>
        <v>1.1575200000000001</v>
      </c>
      <c r="G55" s="105">
        <f t="shared" si="1"/>
        <v>0</v>
      </c>
      <c r="H55" s="98">
        <f>IF(nr_NetMode,$C55,$C55*SUM('Rate Engine'!AZ$73:BB$73)/SUM('Rate Engine'!AZ$67:BB$67)/nr_MInd)</f>
        <v>1.2119915294117654</v>
      </c>
      <c r="I55" s="106">
        <f>IF(nr_NetMode,$D55,$D55*SUM('Rate Engine'!AN$73:AP$73)/SUM('Rate Engine'!AN$67:AP$67)/nr_MInd)</f>
        <v>1.1773082561891279</v>
      </c>
      <c r="J55" s="105">
        <f t="shared" si="2"/>
        <v>2.9459806333903549E-2</v>
      </c>
    </row>
    <row r="56" spans="2:10" x14ac:dyDescent="0.25">
      <c r="B56" s="104" t="str">
        <f>"Q4 "&amp;(nr_PlanYear+1)</f>
        <v>Q4 2028</v>
      </c>
      <c r="C56" s="98">
        <f>SUM('Rate Engine'!BC$66:BE$66)/SUM('Rate Engine'!BC$67:BE$67)</f>
        <v>1.1575200000000003</v>
      </c>
      <c r="D56" s="98">
        <f>SUM('Rate Engine'!AQ$66:AS$66)/SUM('Rate Engine'!AQ$67:AS$67)</f>
        <v>1.1575200000000003</v>
      </c>
      <c r="E56" s="105">
        <f t="shared" si="0"/>
        <v>0</v>
      </c>
      <c r="F56" s="33">
        <f>'Rate Engine'!$N$64</f>
        <v>1.1575200000000001</v>
      </c>
      <c r="G56" s="105">
        <f t="shared" si="1"/>
        <v>0</v>
      </c>
      <c r="H56" s="98">
        <f>IF(nr_NetMode,$C56,$C56*SUM('Rate Engine'!BC$73:BE$73)/SUM('Rate Engine'!BC$67:BE$67)/nr_MInd)</f>
        <v>1.2119915294117654</v>
      </c>
      <c r="I56" s="106">
        <f>IF(nr_NetMode,$D56,$D56*SUM('Rate Engine'!AQ$73:AS$73)/SUM('Rate Engine'!AQ$67:AS$67)/nr_MInd)</f>
        <v>1.1996810531599953</v>
      </c>
      <c r="J56" s="105">
        <f t="shared" si="2"/>
        <v>1.0261457592702472E-2</v>
      </c>
    </row>
    <row r="58" spans="2:10" ht="396" x14ac:dyDescent="0.25">
      <c r="B58" s="20" t="s">
        <v>314</v>
      </c>
    </row>
    <row r="62" spans="2:10" x14ac:dyDescent="0.25">
      <c r="B62" s="40" t="s">
        <v>315</v>
      </c>
    </row>
    <row r="63" spans="2:10" x14ac:dyDescent="0.25">
      <c r="B63" s="81" t="s">
        <v>316</v>
      </c>
      <c r="C63" s="81" t="s">
        <v>317</v>
      </c>
      <c r="D63" s="81" t="s">
        <v>318</v>
      </c>
      <c r="E63" s="81" t="s">
        <v>319</v>
      </c>
      <c r="F63" s="81" t="s">
        <v>320</v>
      </c>
      <c r="G63" s="81" t="s">
        <v>321</v>
      </c>
      <c r="H63" s="81" t="s">
        <v>322</v>
      </c>
      <c r="I63" s="81" t="s">
        <v>323</v>
      </c>
    </row>
    <row r="64" spans="2:10" x14ac:dyDescent="0.25">
      <c r="B64" s="107">
        <f>'Rate Engine'!V$16</f>
        <v>46023</v>
      </c>
      <c r="C64" s="83">
        <f>'Rate Engine'!$U$29</f>
        <v>1.04</v>
      </c>
      <c r="D64" s="83">
        <f>'Rate Engine'!V$68</f>
        <v>1.0400000000000003</v>
      </c>
      <c r="E64" s="79">
        <f>'Mod Engine'!$E$29</f>
        <v>0.84309628008752735</v>
      </c>
      <c r="F64" s="79">
        <f>'Rate Engine'!V$72</f>
        <v>0.83705689277899342</v>
      </c>
      <c r="G64" s="83">
        <f t="shared" ref="G64:G99" si="3">IF(nr_NetMode,$C64,$C64*($E64/nr_MInd))</f>
        <v>1.031553095636504</v>
      </c>
      <c r="H64" s="83">
        <f t="shared" ref="H64:H99" si="4">IF(OR($D64="",$F64=""),"",IF(nr_NetMode,$D64,$D64*($F64/nr_MInd)))</f>
        <v>1.0241637276354747</v>
      </c>
      <c r="I64" s="69">
        <f t="shared" ref="I64:I99" si="5">IF(YEAR($B64)=nr_PlanYear,1,0)</f>
        <v>0</v>
      </c>
    </row>
    <row r="65" spans="2:9" x14ac:dyDescent="0.25">
      <c r="B65" s="107">
        <f>'Rate Engine'!W$16</f>
        <v>46054</v>
      </c>
      <c r="C65" s="83">
        <f>'Rate Engine'!$U$30</f>
        <v>1.04</v>
      </c>
      <c r="D65" s="83">
        <f>'Rate Engine'!W$68</f>
        <v>1.0400000000000003</v>
      </c>
      <c r="E65" s="79">
        <f>'Mod Engine'!$E$30</f>
        <v>0.84503282275711156</v>
      </c>
      <c r="F65" s="79">
        <f>'Rate Engine'!W$72</f>
        <v>0.83906181619256015</v>
      </c>
      <c r="G65" s="83">
        <f t="shared" si="3"/>
        <v>1.0339225125498777</v>
      </c>
      <c r="H65" s="83">
        <f t="shared" si="4"/>
        <v>1.0266168104003091</v>
      </c>
      <c r="I65" s="69">
        <f t="shared" si="5"/>
        <v>0</v>
      </c>
    </row>
    <row r="66" spans="2:9" x14ac:dyDescent="0.25">
      <c r="B66" s="107">
        <f>'Rate Engine'!X$16</f>
        <v>46082</v>
      </c>
      <c r="C66" s="83">
        <f>'Rate Engine'!$U$31</f>
        <v>1.04</v>
      </c>
      <c r="D66" s="83">
        <f>'Rate Engine'!X$68</f>
        <v>1.0400000000000003</v>
      </c>
      <c r="E66" s="79">
        <f>'Mod Engine'!$E$31</f>
        <v>0.84696936542669587</v>
      </c>
      <c r="F66" s="79">
        <f>'Rate Engine'!X$72</f>
        <v>0.84105306345733044</v>
      </c>
      <c r="G66" s="83">
        <f t="shared" si="3"/>
        <v>1.0362919294632515</v>
      </c>
      <c r="H66" s="83">
        <f t="shared" si="4"/>
        <v>1.0290531599948516</v>
      </c>
      <c r="I66" s="69">
        <f t="shared" si="5"/>
        <v>0</v>
      </c>
    </row>
    <row r="67" spans="2:9" x14ac:dyDescent="0.25">
      <c r="B67" s="107">
        <f>'Rate Engine'!Y$16</f>
        <v>46113</v>
      </c>
      <c r="C67" s="83">
        <f>'Rate Engine'!$U$32</f>
        <v>1.04</v>
      </c>
      <c r="D67" s="83">
        <f>'Rate Engine'!Y$68</f>
        <v>1.0400000000000003</v>
      </c>
      <c r="E67" s="79">
        <f>'Mod Engine'!$E$32</f>
        <v>0.84897155361050325</v>
      </c>
      <c r="F67" s="79">
        <f>'Rate Engine'!Y$72</f>
        <v>0.84303884026258202</v>
      </c>
      <c r="G67" s="83">
        <f t="shared" si="3"/>
        <v>1.0387416655940276</v>
      </c>
      <c r="H67" s="83">
        <f t="shared" si="4"/>
        <v>1.0314828163212773</v>
      </c>
      <c r="I67" s="69">
        <f t="shared" si="5"/>
        <v>0</v>
      </c>
    </row>
    <row r="68" spans="2:9" x14ac:dyDescent="0.25">
      <c r="B68" s="107">
        <f>'Rate Engine'!Z$16</f>
        <v>46143</v>
      </c>
      <c r="C68" s="83">
        <f>'Rate Engine'!$U$33</f>
        <v>1.04</v>
      </c>
      <c r="D68" s="83">
        <f>'Rate Engine'!Z$68</f>
        <v>1.0400000000000003</v>
      </c>
      <c r="E68" s="79">
        <f>'Mod Engine'!$E$33</f>
        <v>0.85097374179431073</v>
      </c>
      <c r="F68" s="79">
        <f>'Rate Engine'!Z$72</f>
        <v>0.84502461706783372</v>
      </c>
      <c r="G68" s="83">
        <f t="shared" si="3"/>
        <v>1.0411914017248036</v>
      </c>
      <c r="H68" s="83">
        <f t="shared" si="4"/>
        <v>1.0339124726477027</v>
      </c>
      <c r="I68" s="69">
        <f t="shared" si="5"/>
        <v>0</v>
      </c>
    </row>
    <row r="69" spans="2:9" x14ac:dyDescent="0.25">
      <c r="B69" s="107">
        <f>'Rate Engine'!AA$16</f>
        <v>46174</v>
      </c>
      <c r="C69" s="83">
        <f>'Rate Engine'!$U$34</f>
        <v>1.04</v>
      </c>
      <c r="D69" s="83">
        <f>'Rate Engine'!AA$68</f>
        <v>1.0400000000000003</v>
      </c>
      <c r="E69" s="79">
        <f>'Mod Engine'!$E$34</f>
        <v>0.85297592997811811</v>
      </c>
      <c r="F69" s="79">
        <f>'Rate Engine'!AA$72</f>
        <v>0.84701039387308541</v>
      </c>
      <c r="G69" s="83">
        <f t="shared" si="3"/>
        <v>1.0436411378555797</v>
      </c>
      <c r="H69" s="83">
        <f t="shared" si="4"/>
        <v>1.0363421289741284</v>
      </c>
      <c r="I69" s="69">
        <f t="shared" si="5"/>
        <v>0</v>
      </c>
    </row>
    <row r="70" spans="2:9" x14ac:dyDescent="0.25">
      <c r="B70" s="107">
        <f>'Rate Engine'!AB$16</f>
        <v>46204</v>
      </c>
      <c r="C70" s="83">
        <f>'Rate Engine'!$U$35</f>
        <v>1.1024</v>
      </c>
      <c r="D70" s="83">
        <f>'Rate Engine'!AB$68</f>
        <v>1.0452000000000004</v>
      </c>
      <c r="E70" s="79">
        <f>'Mod Engine'!$E$35</f>
        <v>0.85497811816192559</v>
      </c>
      <c r="F70" s="79">
        <f>'Rate Engine'!AB$72</f>
        <v>0.84899343544857786</v>
      </c>
      <c r="G70" s="83">
        <f t="shared" si="3"/>
        <v>1.1088563264255376</v>
      </c>
      <c r="H70" s="83">
        <f t="shared" si="4"/>
        <v>1.0439622808598281</v>
      </c>
      <c r="I70" s="69">
        <f t="shared" si="5"/>
        <v>0</v>
      </c>
    </row>
    <row r="71" spans="2:9" x14ac:dyDescent="0.25">
      <c r="B71" s="107">
        <f>'Rate Engine'!AC$16</f>
        <v>46235</v>
      </c>
      <c r="C71" s="83">
        <f>'Rate Engine'!$U$36</f>
        <v>1.1024</v>
      </c>
      <c r="D71" s="83">
        <f>'Rate Engine'!AC$68</f>
        <v>1.0556000000000003</v>
      </c>
      <c r="E71" s="79">
        <f>'Mod Engine'!$E$36</f>
        <v>0.85701312910284466</v>
      </c>
      <c r="F71" s="79">
        <f>'Rate Engine'!AC$72</f>
        <v>0.85098194748358869</v>
      </c>
      <c r="G71" s="83">
        <f t="shared" si="3"/>
        <v>1.1114956159093834</v>
      </c>
      <c r="H71" s="83">
        <f t="shared" si="4"/>
        <v>1.0568194632513841</v>
      </c>
      <c r="I71" s="69">
        <f t="shared" si="5"/>
        <v>0</v>
      </c>
    </row>
    <row r="72" spans="2:9" x14ac:dyDescent="0.25">
      <c r="B72" s="107">
        <f>'Rate Engine'!AD$16</f>
        <v>46266</v>
      </c>
      <c r="C72" s="83">
        <f>'Rate Engine'!$U$37</f>
        <v>1.1024</v>
      </c>
      <c r="D72" s="83">
        <f>'Rate Engine'!AD$68</f>
        <v>1.0660000000000003</v>
      </c>
      <c r="E72" s="79">
        <f>'Mod Engine'!$E$37</f>
        <v>0.85901531728665204</v>
      </c>
      <c r="F72" s="79">
        <f>'Rate Engine'!AD$72</f>
        <v>0.85298413566739617</v>
      </c>
      <c r="G72" s="83">
        <f t="shared" si="3"/>
        <v>1.1140923362080062</v>
      </c>
      <c r="H72" s="83">
        <f t="shared" si="4"/>
        <v>1.0697424572016996</v>
      </c>
      <c r="I72" s="69">
        <f t="shared" si="5"/>
        <v>0</v>
      </c>
    </row>
    <row r="73" spans="2:9" x14ac:dyDescent="0.25">
      <c r="B73" s="107">
        <f>'Rate Engine'!AE$16</f>
        <v>46296</v>
      </c>
      <c r="C73" s="83">
        <f>'Rate Engine'!$U$38</f>
        <v>1.1024</v>
      </c>
      <c r="D73" s="83">
        <f>'Rate Engine'!AE$68</f>
        <v>1.0764000000000002</v>
      </c>
      <c r="E73" s="79">
        <f>'Mod Engine'!$E$38</f>
        <v>0.86101750547045952</v>
      </c>
      <c r="F73" s="79">
        <f>'Rate Engine'!AE$72</f>
        <v>0.85499179431072225</v>
      </c>
      <c r="G73" s="83">
        <f t="shared" si="3"/>
        <v>1.116689056506629</v>
      </c>
      <c r="H73" s="83">
        <f t="shared" si="4"/>
        <v>1.0827213734071313</v>
      </c>
      <c r="I73" s="69">
        <f t="shared" si="5"/>
        <v>0</v>
      </c>
    </row>
    <row r="74" spans="2:9" x14ac:dyDescent="0.25">
      <c r="B74" s="107">
        <f>'Rate Engine'!AF$16</f>
        <v>46327</v>
      </c>
      <c r="C74" s="83">
        <f>'Rate Engine'!$U$39</f>
        <v>1.1024</v>
      </c>
      <c r="D74" s="83">
        <f>'Rate Engine'!AF$68</f>
        <v>1.0868000000000002</v>
      </c>
      <c r="E74" s="79">
        <f>'Mod Engine'!$E$39</f>
        <v>0.8630196936542669</v>
      </c>
      <c r="F74" s="79">
        <f>'Rate Engine'!AF$72</f>
        <v>0.85699945295404822</v>
      </c>
      <c r="G74" s="83">
        <f t="shared" si="3"/>
        <v>1.1192857768052518</v>
      </c>
      <c r="H74" s="83">
        <f t="shared" si="4"/>
        <v>1.0957494182005409</v>
      </c>
      <c r="I74" s="69">
        <f t="shared" si="5"/>
        <v>0</v>
      </c>
    </row>
    <row r="75" spans="2:9" x14ac:dyDescent="0.25">
      <c r="B75" s="107">
        <f>'Rate Engine'!AG$16</f>
        <v>46357</v>
      </c>
      <c r="C75" s="83">
        <f>'Rate Engine'!$U$40</f>
        <v>1.1024</v>
      </c>
      <c r="D75" s="83">
        <f>'Rate Engine'!AG$68</f>
        <v>1.0972000000000002</v>
      </c>
      <c r="E75" s="79">
        <f>'Mod Engine'!$E$40</f>
        <v>0.86502188183807438</v>
      </c>
      <c r="F75" s="79">
        <f>'Rate Engine'!AG$72</f>
        <v>0.8590071115973742</v>
      </c>
      <c r="G75" s="83">
        <f t="shared" si="3"/>
        <v>1.1218824971038743</v>
      </c>
      <c r="H75" s="83">
        <f t="shared" si="4"/>
        <v>1.1088265915819284</v>
      </c>
      <c r="I75" s="69">
        <f t="shared" si="5"/>
        <v>0</v>
      </c>
    </row>
    <row r="76" spans="2:9" x14ac:dyDescent="0.25">
      <c r="B76" s="107">
        <f>'Rate Engine'!AH$16</f>
        <v>46388</v>
      </c>
      <c r="C76" s="83">
        <f>'Rate Engine'!$U$41</f>
        <v>1.1024</v>
      </c>
      <c r="D76" s="83">
        <f>'Rate Engine'!AH$68</f>
        <v>1.1024000000000003</v>
      </c>
      <c r="E76" s="79">
        <f>'Mod Engine'!$E$41</f>
        <v>0.86705689277899345</v>
      </c>
      <c r="F76" s="79">
        <f>'Rate Engine'!AH$72</f>
        <v>0.86101750547045963</v>
      </c>
      <c r="G76" s="83">
        <f t="shared" si="3"/>
        <v>1.1245217865877206</v>
      </c>
      <c r="H76" s="83">
        <f t="shared" si="4"/>
        <v>1.1166890565066292</v>
      </c>
      <c r="I76" s="69">
        <f t="shared" si="5"/>
        <v>1</v>
      </c>
    </row>
    <row r="77" spans="2:9" x14ac:dyDescent="0.25">
      <c r="B77" s="107">
        <f>'Rate Engine'!AI$16</f>
        <v>46419</v>
      </c>
      <c r="C77" s="83">
        <f>'Rate Engine'!$U$42</f>
        <v>1.1024</v>
      </c>
      <c r="D77" s="83">
        <f>'Rate Engine'!AI$68</f>
        <v>1.1024000000000003</v>
      </c>
      <c r="E77" s="79">
        <f>'Mod Engine'!$E$42</f>
        <v>0.86899343544857766</v>
      </c>
      <c r="F77" s="79">
        <f>'Rate Engine'!AI$72</f>
        <v>0.86302242888402625</v>
      </c>
      <c r="G77" s="83">
        <f t="shared" si="3"/>
        <v>1.1270333685158964</v>
      </c>
      <c r="H77" s="83">
        <f t="shared" si="4"/>
        <v>1.1192893242373538</v>
      </c>
      <c r="I77" s="69">
        <f t="shared" si="5"/>
        <v>1</v>
      </c>
    </row>
    <row r="78" spans="2:9" x14ac:dyDescent="0.25">
      <c r="B78" s="107">
        <f>'Rate Engine'!AJ$16</f>
        <v>46447</v>
      </c>
      <c r="C78" s="83">
        <f>'Rate Engine'!$U$43</f>
        <v>1.1024</v>
      </c>
      <c r="D78" s="83">
        <f>'Rate Engine'!AJ$68</f>
        <v>1.1024000000000003</v>
      </c>
      <c r="E78" s="79">
        <f>'Mod Engine'!$E$43</f>
        <v>0.87092997811816197</v>
      </c>
      <c r="F78" s="79">
        <f>'Rate Engine'!AJ$72</f>
        <v>0.86501367614879665</v>
      </c>
      <c r="G78" s="83">
        <f t="shared" si="3"/>
        <v>1.1295449504440729</v>
      </c>
      <c r="H78" s="83">
        <f t="shared" si="4"/>
        <v>1.1218718548075692</v>
      </c>
      <c r="I78" s="69">
        <f t="shared" si="5"/>
        <v>1</v>
      </c>
    </row>
    <row r="79" spans="2:9" x14ac:dyDescent="0.25">
      <c r="B79" s="107">
        <f>'Rate Engine'!AK$16</f>
        <v>46478</v>
      </c>
      <c r="C79" s="83">
        <f>'Rate Engine'!$U$44</f>
        <v>1.1575200000000001</v>
      </c>
      <c r="D79" s="83">
        <f>'Rate Engine'!AK$68</f>
        <v>1.1069933333333335</v>
      </c>
      <c r="E79" s="79">
        <f>'Mod Engine'!$E$44</f>
        <v>0.87293216630196935</v>
      </c>
      <c r="F79" s="79">
        <f>'Rate Engine'!AK$72</f>
        <v>0.86699945295404823</v>
      </c>
      <c r="G79" s="83">
        <f t="shared" si="3"/>
        <v>1.1887487542798303</v>
      </c>
      <c r="H79" s="83">
        <f t="shared" si="4"/>
        <v>1.1291324875573865</v>
      </c>
      <c r="I79" s="69">
        <f t="shared" si="5"/>
        <v>1</v>
      </c>
    </row>
    <row r="80" spans="2:9" x14ac:dyDescent="0.25">
      <c r="B80" s="107">
        <f>'Rate Engine'!AL$16</f>
        <v>46508</v>
      </c>
      <c r="C80" s="83">
        <f>'Rate Engine'!$U$45</f>
        <v>1.1575200000000001</v>
      </c>
      <c r="D80" s="83">
        <f>'Rate Engine'!AL$68</f>
        <v>1.1161800000000002</v>
      </c>
      <c r="E80" s="79">
        <f>'Mod Engine'!$E$45</f>
        <v>0.87493435448577683</v>
      </c>
      <c r="F80" s="79">
        <f>'Rate Engine'!AL$72</f>
        <v>0.86898522975929982</v>
      </c>
      <c r="G80" s="83">
        <f t="shared" si="3"/>
        <v>1.191475310593384</v>
      </c>
      <c r="H80" s="83">
        <f t="shared" si="4"/>
        <v>1.1411105102973358</v>
      </c>
      <c r="I80" s="69">
        <f t="shared" si="5"/>
        <v>1</v>
      </c>
    </row>
    <row r="81" spans="2:9" x14ac:dyDescent="0.25">
      <c r="B81" s="107">
        <f>'Rate Engine'!AM$16</f>
        <v>46539</v>
      </c>
      <c r="C81" s="83">
        <f>'Rate Engine'!$U$46</f>
        <v>1.1575200000000001</v>
      </c>
      <c r="D81" s="83">
        <f>'Rate Engine'!AM$68</f>
        <v>1.1253666666666668</v>
      </c>
      <c r="E81" s="79">
        <f>'Mod Engine'!$E$46</f>
        <v>0.87693654266958421</v>
      </c>
      <c r="F81" s="79">
        <f>'Rate Engine'!AM$72</f>
        <v>0.8709710065645514</v>
      </c>
      <c r="G81" s="83">
        <f t="shared" si="3"/>
        <v>1.1942018669069379</v>
      </c>
      <c r="H81" s="83">
        <f t="shared" si="4"/>
        <v>1.1531314569657187</v>
      </c>
      <c r="I81" s="69">
        <f t="shared" si="5"/>
        <v>1</v>
      </c>
    </row>
    <row r="82" spans="2:9" x14ac:dyDescent="0.25">
      <c r="B82" s="107">
        <f>'Rate Engine'!AN$16</f>
        <v>46569</v>
      </c>
      <c r="C82" s="83">
        <f>'Rate Engine'!$U$47</f>
        <v>1.1575200000000001</v>
      </c>
      <c r="D82" s="83">
        <f>'Rate Engine'!AN$68</f>
        <v>1.1345533333333335</v>
      </c>
      <c r="E82" s="79">
        <f>'Mod Engine'!$E$47</f>
        <v>0.87893873085339169</v>
      </c>
      <c r="F82" s="79">
        <f>'Rate Engine'!AN$72</f>
        <v>0.87295404814004385</v>
      </c>
      <c r="G82" s="83">
        <f t="shared" si="3"/>
        <v>1.1969284232204918</v>
      </c>
      <c r="H82" s="83">
        <f t="shared" si="4"/>
        <v>1.1651916766636634</v>
      </c>
      <c r="I82" s="69">
        <f t="shared" si="5"/>
        <v>1</v>
      </c>
    </row>
    <row r="83" spans="2:9" x14ac:dyDescent="0.25">
      <c r="B83" s="107">
        <f>'Rate Engine'!AO$16</f>
        <v>46600</v>
      </c>
      <c r="C83" s="83">
        <f>'Rate Engine'!$U$48</f>
        <v>1.1575200000000001</v>
      </c>
      <c r="D83" s="83">
        <f>'Rate Engine'!AO$68</f>
        <v>1.1437400000000002</v>
      </c>
      <c r="E83" s="79">
        <f>'Mod Engine'!$E$48</f>
        <v>0.88097374179431076</v>
      </c>
      <c r="F83" s="79">
        <f>'Rate Engine'!AO$72</f>
        <v>0.87494256017505478</v>
      </c>
      <c r="G83" s="83">
        <f t="shared" si="3"/>
        <v>1.1996996771785302</v>
      </c>
      <c r="H83" s="83">
        <f t="shared" si="4"/>
        <v>1.1773021220877851</v>
      </c>
      <c r="I83" s="69">
        <f t="shared" si="5"/>
        <v>1</v>
      </c>
    </row>
    <row r="84" spans="2:9" x14ac:dyDescent="0.25">
      <c r="B84" s="107">
        <f>'Rate Engine'!AP$16</f>
        <v>46631</v>
      </c>
      <c r="C84" s="83">
        <f>'Rate Engine'!$U$49</f>
        <v>1.1575200000000001</v>
      </c>
      <c r="D84" s="83">
        <f>'Rate Engine'!AP$68</f>
        <v>1.1529266666666669</v>
      </c>
      <c r="E84" s="79">
        <f>'Mod Engine'!$E$49</f>
        <v>0.88297592997811813</v>
      </c>
      <c r="F84" s="79">
        <f>'Rate Engine'!AP$72</f>
        <v>0.87694474835886227</v>
      </c>
      <c r="G84" s="83">
        <f t="shared" si="3"/>
        <v>1.2024262334920839</v>
      </c>
      <c r="H84" s="83">
        <f t="shared" si="4"/>
        <v>1.1894741006779084</v>
      </c>
      <c r="I84" s="69">
        <f t="shared" si="5"/>
        <v>1</v>
      </c>
    </row>
    <row r="85" spans="2:9" x14ac:dyDescent="0.25">
      <c r="B85" s="107">
        <f>'Rate Engine'!AQ$16</f>
        <v>46661</v>
      </c>
      <c r="C85" s="83">
        <f>'Rate Engine'!$U$50</f>
        <v>1.1575200000000001</v>
      </c>
      <c r="D85" s="83">
        <f>'Rate Engine'!AQ$68</f>
        <v>1.1575200000000003</v>
      </c>
      <c r="E85" s="79">
        <f>'Mod Engine'!$E$50</f>
        <v>0.88497811816192562</v>
      </c>
      <c r="F85" s="79">
        <f>'Rate Engine'!AQ$72</f>
        <v>0.87895240700218802</v>
      </c>
      <c r="G85" s="83">
        <f t="shared" si="3"/>
        <v>1.205152789805638</v>
      </c>
      <c r="H85" s="83">
        <f t="shared" si="4"/>
        <v>1.1969470472390271</v>
      </c>
      <c r="I85" s="69">
        <f t="shared" si="5"/>
        <v>1</v>
      </c>
    </row>
    <row r="86" spans="2:9" x14ac:dyDescent="0.25">
      <c r="B86" s="107">
        <f>'Rate Engine'!AR$16</f>
        <v>46692</v>
      </c>
      <c r="C86" s="83">
        <f>'Rate Engine'!$U$51</f>
        <v>1.1575200000000001</v>
      </c>
      <c r="D86" s="83">
        <f>'Rate Engine'!AR$68</f>
        <v>1.1575200000000003</v>
      </c>
      <c r="E86" s="79">
        <f>'Mod Engine'!$E$51</f>
        <v>0.8869803063457331</v>
      </c>
      <c r="F86" s="79">
        <f>'Rate Engine'!AR$72</f>
        <v>0.88096006564551421</v>
      </c>
      <c r="G86" s="83">
        <f t="shared" si="3"/>
        <v>1.2078793461191919</v>
      </c>
      <c r="H86" s="83">
        <f t="shared" si="4"/>
        <v>1.1996810531599951</v>
      </c>
      <c r="I86" s="69">
        <f t="shared" si="5"/>
        <v>1</v>
      </c>
    </row>
    <row r="87" spans="2:9" x14ac:dyDescent="0.25">
      <c r="B87" s="107">
        <f>'Rate Engine'!AS$16</f>
        <v>46722</v>
      </c>
      <c r="C87" s="83">
        <f>'Rate Engine'!$U$52</f>
        <v>1.1575200000000001</v>
      </c>
      <c r="D87" s="83">
        <f>'Rate Engine'!AS$68</f>
        <v>1.1575200000000003</v>
      </c>
      <c r="E87" s="79">
        <f>'Mod Engine'!$E$52</f>
        <v>0.88898249452954048</v>
      </c>
      <c r="F87" s="79">
        <f>'Rate Engine'!AS$72</f>
        <v>0.88296772428884029</v>
      </c>
      <c r="G87" s="83">
        <f t="shared" si="3"/>
        <v>1.2106059024327456</v>
      </c>
      <c r="H87" s="83">
        <f t="shared" si="4"/>
        <v>1.2024150590809632</v>
      </c>
      <c r="I87" s="69">
        <f t="shared" si="5"/>
        <v>1</v>
      </c>
    </row>
    <row r="88" spans="2:9" x14ac:dyDescent="0.25">
      <c r="B88" s="107">
        <f>'Rate Engine'!AT$16</f>
        <v>46753</v>
      </c>
      <c r="C88" s="83">
        <f>'Rate Engine'!$U$53</f>
        <v>1.1575200000000001</v>
      </c>
      <c r="D88" s="83">
        <f>'Rate Engine'!AT$68</f>
        <v>1.1575200000000003</v>
      </c>
      <c r="E88" s="79">
        <f>'Mod Engine'!$E$53</f>
        <v>0.89</v>
      </c>
      <c r="F88" s="79">
        <f>'Rate Engine'!AT$72</f>
        <v>0.88489332603938731</v>
      </c>
      <c r="G88" s="83">
        <f t="shared" si="3"/>
        <v>1.2119915294117649</v>
      </c>
      <c r="H88" s="83">
        <f t="shared" si="4"/>
        <v>1.2050373208907199</v>
      </c>
      <c r="I88" s="69">
        <f t="shared" si="5"/>
        <v>0</v>
      </c>
    </row>
    <row r="89" spans="2:9" x14ac:dyDescent="0.25">
      <c r="B89" s="107">
        <f>'Rate Engine'!AU$16</f>
        <v>46784</v>
      </c>
      <c r="C89" s="83">
        <f>'Rate Engine'!$U$54</f>
        <v>1.1575200000000001</v>
      </c>
      <c r="D89" s="83">
        <f>'Rate Engine'!AU$68</f>
        <v>1.1575200000000003</v>
      </c>
      <c r="E89" s="79">
        <f>'Mod Engine'!$E$54</f>
        <v>0.89</v>
      </c>
      <c r="F89" s="79">
        <f>'Rate Engine'!AU$72</f>
        <v>0.88656728665207873</v>
      </c>
      <c r="G89" s="83">
        <f t="shared" si="3"/>
        <v>1.2119915294117649</v>
      </c>
      <c r="H89" s="83">
        <f t="shared" si="4"/>
        <v>1.2073169007594289</v>
      </c>
      <c r="I89" s="69">
        <f t="shared" si="5"/>
        <v>0</v>
      </c>
    </row>
    <row r="90" spans="2:9" x14ac:dyDescent="0.25">
      <c r="B90" s="107">
        <f>'Rate Engine'!AV$16</f>
        <v>46813</v>
      </c>
      <c r="C90" s="83">
        <f>'Rate Engine'!$U$55</f>
        <v>1.1575200000000001</v>
      </c>
      <c r="D90" s="83">
        <f>'Rate Engine'!AV$68</f>
        <v>1.1575200000000003</v>
      </c>
      <c r="E90" s="79">
        <f>'Mod Engine'!$E$55</f>
        <v>0.89</v>
      </c>
      <c r="F90" s="79">
        <f>'Rate Engine'!AV$72</f>
        <v>0.88790481400437649</v>
      </c>
      <c r="G90" s="83">
        <f t="shared" si="3"/>
        <v>1.2119915294117649</v>
      </c>
      <c r="H90" s="83">
        <f t="shared" si="4"/>
        <v>1.2091383297721721</v>
      </c>
      <c r="I90" s="69">
        <f t="shared" si="5"/>
        <v>0</v>
      </c>
    </row>
    <row r="91" spans="2:9" x14ac:dyDescent="0.25">
      <c r="B91" s="107">
        <f>'Rate Engine'!AW$16</f>
        <v>46844</v>
      </c>
      <c r="C91" s="83">
        <f>'Rate Engine'!$U$56</f>
        <v>1.1575200000000001</v>
      </c>
      <c r="D91" s="83">
        <f>'Rate Engine'!AW$68</f>
        <v>1.1575200000000003</v>
      </c>
      <c r="E91" s="79">
        <f>'Mod Engine'!$E$56</f>
        <v>0.89</v>
      </c>
      <c r="F91" s="79">
        <f>'Rate Engine'!AW$72</f>
        <v>0.88890864332603947</v>
      </c>
      <c r="G91" s="83">
        <f t="shared" si="3"/>
        <v>1.2119915294117649</v>
      </c>
      <c r="H91" s="83">
        <f t="shared" si="4"/>
        <v>1.210505332732656</v>
      </c>
      <c r="I91" s="69">
        <f t="shared" si="5"/>
        <v>0</v>
      </c>
    </row>
    <row r="92" spans="2:9" x14ac:dyDescent="0.25">
      <c r="B92" s="107">
        <f>'Rate Engine'!AX$16</f>
        <v>46874</v>
      </c>
      <c r="C92" s="83">
        <f>'Rate Engine'!$U$57</f>
        <v>1.1575200000000001</v>
      </c>
      <c r="D92" s="83">
        <f>'Rate Engine'!AX$68</f>
        <v>1.1575200000000003</v>
      </c>
      <c r="E92" s="79">
        <f>'Mod Engine'!$E$57</f>
        <v>0.89</v>
      </c>
      <c r="F92" s="79">
        <f>'Rate Engine'!AX$72</f>
        <v>0.88957877461706791</v>
      </c>
      <c r="G92" s="83">
        <f t="shared" si="3"/>
        <v>1.2119915294117649</v>
      </c>
      <c r="H92" s="83">
        <f t="shared" si="4"/>
        <v>1.2114179096408808</v>
      </c>
      <c r="I92" s="69">
        <f t="shared" si="5"/>
        <v>0</v>
      </c>
    </row>
    <row r="93" spans="2:9" x14ac:dyDescent="0.25">
      <c r="B93" s="107">
        <f>'Rate Engine'!AY$16</f>
        <v>46905</v>
      </c>
      <c r="C93" s="83">
        <f>'Rate Engine'!$U$58</f>
        <v>1.1575200000000001</v>
      </c>
      <c r="D93" s="83">
        <f>'Rate Engine'!AY$68</f>
        <v>1.1575200000000003</v>
      </c>
      <c r="E93" s="79">
        <f>'Mod Engine'!$E$58</f>
        <v>0.89</v>
      </c>
      <c r="F93" s="79">
        <f>'Rate Engine'!AY$72</f>
        <v>0.88991520787746181</v>
      </c>
      <c r="G93" s="83">
        <f t="shared" si="3"/>
        <v>1.2119915294117649</v>
      </c>
      <c r="H93" s="83">
        <f t="shared" si="4"/>
        <v>1.211876060496847</v>
      </c>
      <c r="I93" s="69">
        <f t="shared" si="5"/>
        <v>0</v>
      </c>
    </row>
    <row r="94" spans="2:9" x14ac:dyDescent="0.25">
      <c r="B94" s="107">
        <f>'Rate Engine'!AZ$16</f>
        <v>46935</v>
      </c>
      <c r="C94" s="83">
        <f>'Rate Engine'!$U$59</f>
        <v>1.1575200000000001</v>
      </c>
      <c r="D94" s="83">
        <f>'Rate Engine'!AZ$68</f>
        <v>1.1575200000000003</v>
      </c>
      <c r="E94" s="79">
        <f>'Mod Engine'!$E$59</f>
        <v>0.89</v>
      </c>
      <c r="F94" s="79">
        <f>'Rate Engine'!AZ$72</f>
        <v>0.89</v>
      </c>
      <c r="G94" s="83">
        <f t="shared" si="3"/>
        <v>1.2119915294117649</v>
      </c>
      <c r="H94" s="83">
        <f t="shared" si="4"/>
        <v>1.2119915294117651</v>
      </c>
      <c r="I94" s="69">
        <f t="shared" si="5"/>
        <v>0</v>
      </c>
    </row>
    <row r="95" spans="2:9" x14ac:dyDescent="0.25">
      <c r="B95" s="107">
        <f>'Rate Engine'!BA$16</f>
        <v>46966</v>
      </c>
      <c r="C95" s="83">
        <f>'Rate Engine'!$U$60</f>
        <v>1.1575200000000001</v>
      </c>
      <c r="D95" s="83">
        <f>'Rate Engine'!BA$68</f>
        <v>1.1575200000000003</v>
      </c>
      <c r="E95" s="79">
        <f>'Mod Engine'!$E$60</f>
        <v>0.89</v>
      </c>
      <c r="F95" s="79">
        <f>'Rate Engine'!BA$72</f>
        <v>0.89</v>
      </c>
      <c r="G95" s="83">
        <f t="shared" si="3"/>
        <v>1.2119915294117649</v>
      </c>
      <c r="H95" s="83">
        <f t="shared" si="4"/>
        <v>1.2119915294117651</v>
      </c>
      <c r="I95" s="69">
        <f t="shared" si="5"/>
        <v>0</v>
      </c>
    </row>
    <row r="96" spans="2:9" x14ac:dyDescent="0.25">
      <c r="B96" s="107">
        <f>'Rate Engine'!BB$16</f>
        <v>46997</v>
      </c>
      <c r="C96" s="83">
        <f>'Rate Engine'!$U$61</f>
        <v>1.1575200000000001</v>
      </c>
      <c r="D96" s="83">
        <f>'Rate Engine'!BB$68</f>
        <v>1.1575200000000003</v>
      </c>
      <c r="E96" s="79">
        <f>'Mod Engine'!$E$61</f>
        <v>0.89</v>
      </c>
      <c r="F96" s="79">
        <f>'Rate Engine'!BB$72</f>
        <v>0.89</v>
      </c>
      <c r="G96" s="83">
        <f t="shared" si="3"/>
        <v>1.2119915294117649</v>
      </c>
      <c r="H96" s="83">
        <f t="shared" si="4"/>
        <v>1.2119915294117651</v>
      </c>
      <c r="I96" s="69">
        <f t="shared" si="5"/>
        <v>0</v>
      </c>
    </row>
    <row r="97" spans="2:9" x14ac:dyDescent="0.25">
      <c r="B97" s="107">
        <f>'Rate Engine'!BC$16</f>
        <v>47027</v>
      </c>
      <c r="C97" s="83">
        <f>'Rate Engine'!$U$62</f>
        <v>1.1575200000000001</v>
      </c>
      <c r="D97" s="83">
        <f>'Rate Engine'!BC$68</f>
        <v>1.1575200000000003</v>
      </c>
      <c r="E97" s="79">
        <f>'Mod Engine'!$E$62</f>
        <v>0.89</v>
      </c>
      <c r="F97" s="79">
        <f>'Rate Engine'!BC$72</f>
        <v>0.89</v>
      </c>
      <c r="G97" s="83">
        <f t="shared" si="3"/>
        <v>1.2119915294117649</v>
      </c>
      <c r="H97" s="83">
        <f t="shared" si="4"/>
        <v>1.2119915294117651</v>
      </c>
      <c r="I97" s="69">
        <f t="shared" si="5"/>
        <v>0</v>
      </c>
    </row>
    <row r="98" spans="2:9" x14ac:dyDescent="0.25">
      <c r="B98" s="107">
        <f>'Rate Engine'!BD$16</f>
        <v>47058</v>
      </c>
      <c r="C98" s="83">
        <f>'Rate Engine'!$U$63</f>
        <v>1.1575200000000001</v>
      </c>
      <c r="D98" s="83">
        <f>'Rate Engine'!BD$68</f>
        <v>1.1575200000000003</v>
      </c>
      <c r="E98" s="79">
        <f>'Mod Engine'!$E$63</f>
        <v>0.89</v>
      </c>
      <c r="F98" s="79">
        <f>'Rate Engine'!BD$72</f>
        <v>0.89</v>
      </c>
      <c r="G98" s="83">
        <f t="shared" si="3"/>
        <v>1.2119915294117649</v>
      </c>
      <c r="H98" s="83">
        <f t="shared" si="4"/>
        <v>1.2119915294117651</v>
      </c>
      <c r="I98" s="69">
        <f t="shared" si="5"/>
        <v>0</v>
      </c>
    </row>
    <row r="99" spans="2:9" x14ac:dyDescent="0.25">
      <c r="B99" s="107">
        <f>'Rate Engine'!BE$16</f>
        <v>47088</v>
      </c>
      <c r="C99" s="83">
        <f>'Rate Engine'!$U$64</f>
        <v>1.1575200000000001</v>
      </c>
      <c r="D99" s="83">
        <f>'Rate Engine'!BE$68</f>
        <v>1.1575200000000003</v>
      </c>
      <c r="E99" s="79">
        <f>'Mod Engine'!$E$64</f>
        <v>0.89</v>
      </c>
      <c r="F99" s="79">
        <f>'Rate Engine'!BE$72</f>
        <v>0.89</v>
      </c>
      <c r="G99" s="83">
        <f t="shared" si="3"/>
        <v>1.2119915294117649</v>
      </c>
      <c r="H99" s="83">
        <f t="shared" si="4"/>
        <v>1.2119915294117651</v>
      </c>
      <c r="I99" s="69">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324</v>
      </c>
    </row>
    <row r="2" spans="1:15" x14ac:dyDescent="0.25">
      <c r="A2" s="2" t="s">
        <v>325</v>
      </c>
    </row>
    <row r="5" spans="1:15" ht="42" customHeight="1" x14ac:dyDescent="0.25">
      <c r="A5" s="41" t="s">
        <v>109</v>
      </c>
      <c r="B5" s="41" t="s">
        <v>65</v>
      </c>
      <c r="C5" s="41" t="s">
        <v>126</v>
      </c>
      <c r="D5" s="41" t="s">
        <v>267</v>
      </c>
      <c r="E5" s="41" t="s">
        <v>297</v>
      </c>
      <c r="F5" s="41" t="s">
        <v>326</v>
      </c>
      <c r="G5" s="41" t="str">
        <f>"CY "&amp;nr_PlanYear&amp;" plan LR"</f>
        <v>CY 2027 plan LR</v>
      </c>
      <c r="H5" s="41" t="s">
        <v>327</v>
      </c>
      <c r="I5" s="41" t="s">
        <v>328</v>
      </c>
      <c r="J5" s="41" t="s">
        <v>329</v>
      </c>
      <c r="K5" s="41" t="s">
        <v>330</v>
      </c>
      <c r="L5" s="41" t="str">
        <f>"Carryover into "&amp;(nr_PlanYear+1)</f>
        <v>Carryover into 2028</v>
      </c>
      <c r="M5" s="41" t="str">
        <f>"CY "&amp;(nr_PlanYear+1)&amp;" plan LR"</f>
        <v>CY 2028 plan LR</v>
      </c>
      <c r="N5" s="41" t="s">
        <v>119</v>
      </c>
      <c r="O5" s="41" t="s">
        <v>331</v>
      </c>
    </row>
    <row r="6" spans="1:15" x14ac:dyDescent="0.25">
      <c r="A6" s="108" t="str">
        <f>IF(INDEX(lr_key,1)="","",INDEX(lr_bu,1))</f>
        <v>BU-A</v>
      </c>
      <c r="B6" s="108" t="str">
        <f>IF(INDEX(lr_key,1)="","",INDEX(lr_state,1))</f>
        <v>AZ</v>
      </c>
      <c r="C6" s="109" t="str">
        <f>INDEX(lr_key,1)</f>
        <v>BU-A|AZ</v>
      </c>
      <c r="D6" s="110">
        <f>N(INDEX(lr_lrproj,1))</f>
        <v>0.65</v>
      </c>
      <c r="E6" s="37" t="str">
        <f>IF($C6="","",INDEX(lr_basis,1)&amp;"")</f>
        <v>current</v>
      </c>
      <c r="F6" s="110">
        <f>INDEX(calc_lrcur,1)</f>
        <v>0.65</v>
      </c>
      <c r="G6" s="111">
        <f>INDEX(calc_cylr_p,1)</f>
        <v>0.61816313641421827</v>
      </c>
      <c r="H6" s="112">
        <f>(INDEX(calc_cylr_p,1)-INDEX(calc_lrcur,1))*100</f>
        <v>-3.1836863585781749</v>
      </c>
      <c r="I6" s="113">
        <f>IF($C6="",0,INDEX(calc_arate_p,1))</f>
        <v>0.97560975609756095</v>
      </c>
      <c r="J6" s="113">
        <f>IF($C6="",0,INDEX(calc_amod_p,1))</f>
        <v>0.97479571511472884</v>
      </c>
      <c r="K6" s="103">
        <f>IF($C6="",0,INDEX(calc_echg,1))</f>
        <v>2.5000000000000133E-2</v>
      </c>
      <c r="L6" s="103">
        <f>IF($C6="",0,INDEX(calc_carry,1))</f>
        <v>2.4390243902439046E-2</v>
      </c>
      <c r="M6" s="110">
        <f>INDEX(calc_cylr_p1,1)</f>
        <v>0.59190316879792326</v>
      </c>
      <c r="N6" s="114">
        <f>N(INDEX(lr_ep,1))</f>
        <v>6400</v>
      </c>
      <c r="O6" s="115">
        <f t="shared" ref="O6:O37" si="0">IF(SUM($N$6:$N$74)=0,0,$N6/SUM($N$6:$N$74))</f>
        <v>7.9601990049751239E-3</v>
      </c>
    </row>
    <row r="7" spans="1:15" x14ac:dyDescent="0.25">
      <c r="A7" s="108" t="str">
        <f>IF(INDEX(lr_key,2)="","",INDEX(lr_bu,2))</f>
        <v>BU-A</v>
      </c>
      <c r="B7" s="108" t="str">
        <f>IF(INDEX(lr_key,2)="","",INDEX(lr_state,2))</f>
        <v>CA</v>
      </c>
      <c r="C7" s="109" t="str">
        <f>INDEX(lr_key,2)</f>
        <v>BU-A|CA</v>
      </c>
      <c r="D7" s="110">
        <f>N(INDEX(lr_lrproj,2))</f>
        <v>0.58799999999999997</v>
      </c>
      <c r="E7" s="37" t="str">
        <f>IF($C7="","",INDEX(lr_basis,2)&amp;"")</f>
        <v>current</v>
      </c>
      <c r="F7" s="110">
        <f>INDEX(calc_lrcur,2)</f>
        <v>0.58799999999999997</v>
      </c>
      <c r="G7" s="111">
        <f>INDEX(calc_cylr_p,2)</f>
        <v>0.57775356429499869</v>
      </c>
      <c r="H7" s="112">
        <f>(INDEX(calc_cylr_p,2)-INDEX(calc_lrcur,2))*100</f>
        <v>-1.0246435705001278</v>
      </c>
      <c r="I7" s="113">
        <f>IF($C7="",0,INDEX(calc_arate_p,2))</f>
        <v>0.9740259740259738</v>
      </c>
      <c r="J7" s="113">
        <f>IF($C7="",0,INDEX(calc_amod_p,2))</f>
        <v>1.0087760646420616</v>
      </c>
      <c r="K7" s="103">
        <f>IF($C7="",0,INDEX(calc_echg,2))</f>
        <v>2.666666666666706E-2</v>
      </c>
      <c r="L7" s="103">
        <f>IF($C7="",0,INDEX(calc_carry,2))</f>
        <v>1.2987012987013102E-2</v>
      </c>
      <c r="M7" s="110">
        <f>INDEX(calc_cylr_p1,2)</f>
        <v>0.56857971706612476</v>
      </c>
      <c r="N7" s="114">
        <f>N(INDEX(lr_ep,2))</f>
        <v>16800</v>
      </c>
      <c r="O7" s="115">
        <f t="shared" si="0"/>
        <v>2.0895522388059702E-2</v>
      </c>
    </row>
    <row r="8" spans="1:15" x14ac:dyDescent="0.25">
      <c r="A8" s="108" t="str">
        <f>IF(INDEX(lr_key,3)="","",INDEX(lr_bu,3))</f>
        <v>BU-A</v>
      </c>
      <c r="B8" s="108" t="str">
        <f>IF(INDEX(lr_key,3)="","",INDEX(lr_state,3))</f>
        <v>CO</v>
      </c>
      <c r="C8" s="109" t="str">
        <f>INDEX(lr_key,3)</f>
        <v>BU-A|CO</v>
      </c>
      <c r="D8" s="110">
        <f>N(INDEX(lr_lrproj,3))</f>
        <v>0.57199999999999995</v>
      </c>
      <c r="E8" s="37" t="str">
        <f>IF($C8="","",INDEX(lr_basis,3)&amp;"")</f>
        <v>current</v>
      </c>
      <c r="F8" s="110">
        <f>INDEX(calc_lrcur,3)</f>
        <v>0.57199999999999995</v>
      </c>
      <c r="G8" s="111">
        <f>INDEX(calc_cylr_p,3)</f>
        <v>0.57325552467805407</v>
      </c>
      <c r="H8" s="112">
        <f>(INDEX(calc_cylr_p,3)-INDEX(calc_lrcur,3))*100</f>
        <v>0.12555246780541207</v>
      </c>
      <c r="I8" s="113">
        <f>IF($C8="",0,INDEX(calc_arate_p,3))</f>
        <v>1</v>
      </c>
      <c r="J8" s="113">
        <f>IF($C8="",0,INDEX(calc_amod_p,3))</f>
        <v>1.0021949732133812</v>
      </c>
      <c r="K8" s="103">
        <f>IF($C8="",0,INDEX(calc_echg,3))</f>
        <v>0</v>
      </c>
      <c r="L8" s="103">
        <f>IF($C8="",0,INDEX(calc_carry,3))</f>
        <v>0</v>
      </c>
      <c r="M8" s="110">
        <f>INDEX(calc_cylr_p1,3)</f>
        <v>0.56626323190648564</v>
      </c>
      <c r="N8" s="114">
        <f>N(INDEX(lr_ep,3))</f>
        <v>13600</v>
      </c>
      <c r="O8" s="115">
        <f t="shared" si="0"/>
        <v>1.6915422885572139E-2</v>
      </c>
    </row>
    <row r="9" spans="1:15" x14ac:dyDescent="0.25">
      <c r="A9" s="108" t="str">
        <f>IF(INDEX(lr_key,4)="","",INDEX(lr_bu,4))</f>
        <v>BU-A</v>
      </c>
      <c r="B9" s="108" t="str">
        <f>IF(INDEX(lr_key,4)="","",INDEX(lr_state,4))</f>
        <v>CT</v>
      </c>
      <c r="C9" s="109" t="str">
        <f>INDEX(lr_key,4)</f>
        <v>BU-A|CT</v>
      </c>
      <c r="D9" s="110">
        <f>N(INDEX(lr_lrproj,4))</f>
        <v>0.6</v>
      </c>
      <c r="E9" s="37" t="str">
        <f>IF($C9="","",INDEX(lr_basis,4)&amp;"")</f>
        <v>current</v>
      </c>
      <c r="F9" s="110">
        <f>INDEX(calc_lrcur,4)</f>
        <v>0.6</v>
      </c>
      <c r="G9" s="111">
        <f>INDEX(calc_cylr_p,4)</f>
        <v>0.6</v>
      </c>
      <c r="H9" s="112">
        <f>(INDEX(calc_cylr_p,4)-INDEX(calc_lrcur,4))*100</f>
        <v>0</v>
      </c>
      <c r="I9" s="113">
        <f>IF($C9="",0,INDEX(calc_arate_p,4))</f>
        <v>1</v>
      </c>
      <c r="J9" s="113">
        <f>IF($C9="",0,INDEX(calc_amod_p,4))</f>
        <v>1</v>
      </c>
      <c r="K9" s="103">
        <f>IF($C9="",0,INDEX(calc_echg,4))</f>
        <v>0</v>
      </c>
      <c r="L9" s="103">
        <f>IF($C9="",0,INDEX(calc_carry,4))</f>
        <v>0</v>
      </c>
      <c r="M9" s="110">
        <f>INDEX(calc_cylr_p1,4)</f>
        <v>0.6</v>
      </c>
      <c r="N9" s="114">
        <f>N(INDEX(lr_ep,4))</f>
        <v>10400</v>
      </c>
      <c r="O9" s="115">
        <f t="shared" si="0"/>
        <v>1.2935323383084577E-2</v>
      </c>
    </row>
    <row r="10" spans="1:15" x14ac:dyDescent="0.25">
      <c r="A10" s="108" t="str">
        <f>IF(INDEX(lr_key,5)="","",INDEX(lr_bu,5))</f>
        <v>BU-A</v>
      </c>
      <c r="B10" s="108" t="str">
        <f>IF(INDEX(lr_key,5)="","",INDEX(lr_state,5))</f>
        <v>FL</v>
      </c>
      <c r="C10" s="109" t="str">
        <f>INDEX(lr_key,5)</f>
        <v>BU-A|FL</v>
      </c>
      <c r="D10" s="110">
        <f>N(INDEX(lr_lrproj,5))</f>
        <v>0.58399999999999996</v>
      </c>
      <c r="E10" s="37" t="str">
        <f>IF($C10="","",INDEX(lr_basis,5)&amp;"")</f>
        <v>current</v>
      </c>
      <c r="F10" s="110">
        <f>INDEX(calc_lrcur,5)</f>
        <v>0.58399999999999996</v>
      </c>
      <c r="G10" s="111">
        <f>INDEX(calc_cylr_p,5)</f>
        <v>0.58655739946937091</v>
      </c>
      <c r="H10" s="112">
        <f>(INDEX(calc_cylr_p,5)-INDEX(calc_lrcur,5))*100</f>
        <v>0.25573994693709468</v>
      </c>
      <c r="I10" s="113">
        <f>IF($C10="",0,INDEX(calc_arate_p,5))</f>
        <v>0.99999999999999978</v>
      </c>
      <c r="J10" s="113">
        <f>IF($C10="",0,INDEX(calc_amod_p,5))</f>
        <v>1.0043791086804299</v>
      </c>
      <c r="K10" s="103">
        <f>IF($C10="",0,INDEX(calc_echg,5))</f>
        <v>0</v>
      </c>
      <c r="L10" s="103">
        <f>IF($C10="",0,INDEX(calc_carry,5))</f>
        <v>0</v>
      </c>
      <c r="M10" s="110">
        <f>INDEX(calc_cylr_p1,5)</f>
        <v>0.58116345769792543</v>
      </c>
      <c r="N10" s="114">
        <f>N(INDEX(lr_ep,5))</f>
        <v>7200</v>
      </c>
      <c r="O10" s="115">
        <f t="shared" si="0"/>
        <v>8.9552238805970154E-3</v>
      </c>
    </row>
    <row r="11" spans="1:15" x14ac:dyDescent="0.25">
      <c r="A11" s="108" t="str">
        <f>IF(INDEX(lr_key,6)="","",INDEX(lr_bu,6))</f>
        <v>BU-A</v>
      </c>
      <c r="B11" s="108" t="str">
        <f>IF(INDEX(lr_key,6)="","",INDEX(lr_state,6))</f>
        <v>GA</v>
      </c>
      <c r="C11" s="109" t="str">
        <f>INDEX(lr_key,6)</f>
        <v>BU-A|GA</v>
      </c>
      <c r="D11" s="110">
        <f>N(INDEX(lr_lrproj,6))</f>
        <v>0.56799999999999995</v>
      </c>
      <c r="E11" s="37" t="str">
        <f>IF($C11="","",INDEX(lr_basis,6)&amp;"")</f>
        <v>current</v>
      </c>
      <c r="F11" s="110">
        <f>INDEX(calc_lrcur,6)</f>
        <v>0.56799999999999995</v>
      </c>
      <c r="G11" s="111">
        <f>INDEX(calc_cylr_p,6)</f>
        <v>0.56797977748384532</v>
      </c>
      <c r="H11" s="112">
        <f>(INDEX(calc_cylr_p,6)-INDEX(calc_lrcur,6))*100</f>
        <v>-2.0222516154633219E-3</v>
      </c>
      <c r="I11" s="113">
        <f>IF($C11="",0,INDEX(calc_arate_p,6))</f>
        <v>0.9868421052631583</v>
      </c>
      <c r="J11" s="113">
        <f>IF($C11="",0,INDEX(calc_amod_p,6))</f>
        <v>1.013297255604982</v>
      </c>
      <c r="K11" s="103">
        <f>IF($C11="",0,INDEX(calc_echg,6))</f>
        <v>1.3333333333332975E-2</v>
      </c>
      <c r="L11" s="103">
        <f>IF($C11="",0,INDEX(calc_carry,6))</f>
        <v>2.6315789473684292E-2</v>
      </c>
      <c r="M11" s="110">
        <f>INDEX(calc_cylr_p1,6)</f>
        <v>0.55421018020661728</v>
      </c>
      <c r="N11" s="114">
        <f>N(INDEX(lr_ep,6))</f>
        <v>17600</v>
      </c>
      <c r="O11" s="115">
        <f t="shared" si="0"/>
        <v>2.1890547263681594E-2</v>
      </c>
    </row>
    <row r="12" spans="1:15" x14ac:dyDescent="0.25">
      <c r="A12" s="108" t="str">
        <f>IF(INDEX(lr_key,7)="","",INDEX(lr_bu,7))</f>
        <v>BU-A</v>
      </c>
      <c r="B12" s="108" t="str">
        <f>IF(INDEX(lr_key,7)="","",INDEX(lr_state,7))</f>
        <v>IL</v>
      </c>
      <c r="C12" s="109" t="str">
        <f>INDEX(lr_key,7)</f>
        <v>BU-A|IL</v>
      </c>
      <c r="D12" s="110">
        <f>N(INDEX(lr_lrproj,7))</f>
        <v>0.59599999999999997</v>
      </c>
      <c r="E12" s="37" t="str">
        <f>IF($C12="","",INDEX(lr_basis,7)&amp;"")</f>
        <v>current</v>
      </c>
      <c r="F12" s="110">
        <f>INDEX(calc_lrcur,7)</f>
        <v>0.59599999999999997</v>
      </c>
      <c r="G12" s="111">
        <f>INDEX(calc_cylr_p,7)</f>
        <v>0.59991737982397431</v>
      </c>
      <c r="H12" s="112">
        <f>(INDEX(calc_cylr_p,7)-INDEX(calc_lrcur,7))*100</f>
        <v>0.39173798239743318</v>
      </c>
      <c r="I12" s="113">
        <f>IF($C12="",0,INDEX(calc_arate_p,7))</f>
        <v>1</v>
      </c>
      <c r="J12" s="113">
        <f>IF($C12="",0,INDEX(calc_amod_p,7))</f>
        <v>1.0065727849395543</v>
      </c>
      <c r="K12" s="103">
        <f>IF($C12="",0,INDEX(calc_echg,7))</f>
        <v>0</v>
      </c>
      <c r="L12" s="103">
        <f>IF($C12="",0,INDEX(calc_carry,7))</f>
        <v>0</v>
      </c>
      <c r="M12" s="110">
        <f>INDEX(calc_cylr_p1,7)</f>
        <v>0.59622019728689213</v>
      </c>
      <c r="N12" s="114">
        <f>N(INDEX(lr_ep,7))</f>
        <v>14400</v>
      </c>
      <c r="O12" s="115">
        <f t="shared" si="0"/>
        <v>1.7910447761194031E-2</v>
      </c>
    </row>
    <row r="13" spans="1:15" x14ac:dyDescent="0.25">
      <c r="A13" s="108" t="str">
        <f>IF(INDEX(lr_key,8)="","",INDEX(lr_bu,8))</f>
        <v>BU-A</v>
      </c>
      <c r="B13" s="108" t="str">
        <f>IF(INDEX(lr_key,8)="","",INDEX(lr_state,8))</f>
        <v>IN</v>
      </c>
      <c r="C13" s="109" t="str">
        <f>INDEX(lr_key,8)</f>
        <v>BU-A|IN</v>
      </c>
      <c r="D13" s="110">
        <f>N(INDEX(lr_lrproj,8))</f>
        <v>0.57999999999999996</v>
      </c>
      <c r="E13" s="37" t="str">
        <f>IF($C13="","",INDEX(lr_basis,8)&amp;"")</f>
        <v>current</v>
      </c>
      <c r="F13" s="110">
        <f>INDEX(calc_lrcur,8)</f>
        <v>0.57999999999999996</v>
      </c>
      <c r="G13" s="111">
        <f>INDEX(calc_cylr_p,8)</f>
        <v>0.58911496142080233</v>
      </c>
      <c r="H13" s="112">
        <f>(INDEX(calc_cylr_p,8)-INDEX(calc_lrcur,8))*100</f>
        <v>0.91149614208023699</v>
      </c>
      <c r="I13" s="113">
        <f>IF($C13="",0,INDEX(calc_arate_p,8))</f>
        <v>1.0002671653753676</v>
      </c>
      <c r="J13" s="113">
        <f>IF($C13="",0,INDEX(calc_amod_p,8))</f>
        <v>1.0154441592055623</v>
      </c>
      <c r="K13" s="103">
        <f>IF($C13="",0,INDEX(calc_echg,8))</f>
        <v>-2.6709401709423819E-4</v>
      </c>
      <c r="L13" s="103">
        <f>IF($C13="",0,INDEX(calc_carry,8))</f>
        <v>2.6716537536741747E-4</v>
      </c>
      <c r="M13" s="110">
        <f>INDEX(calc_cylr_p1,8)</f>
        <v>0.59266514046686603</v>
      </c>
      <c r="N13" s="114">
        <f>N(INDEX(lr_ep,8))</f>
        <v>11200</v>
      </c>
      <c r="O13" s="115">
        <f t="shared" si="0"/>
        <v>1.3930348258706468E-2</v>
      </c>
    </row>
    <row r="14" spans="1:15" x14ac:dyDescent="0.25">
      <c r="A14" s="108" t="str">
        <f>IF(INDEX(lr_key,9)="","",INDEX(lr_bu,9))</f>
        <v>BU-A</v>
      </c>
      <c r="B14" s="108" t="str">
        <f>IF(INDEX(lr_key,9)="","",INDEX(lr_state,9))</f>
        <v>IA</v>
      </c>
      <c r="C14" s="109" t="str">
        <f>INDEX(lr_key,9)</f>
        <v>BU-A|IA</v>
      </c>
      <c r="D14" s="110">
        <f>N(INDEX(lr_lrproj,9))</f>
        <v>0.56399999999999995</v>
      </c>
      <c r="E14" s="37" t="str">
        <f>IF($C14="","",INDEX(lr_basis,9)&amp;"")</f>
        <v>current</v>
      </c>
      <c r="F14" s="110">
        <f>INDEX(calc_lrcur,9)</f>
        <v>0.56399999999999995</v>
      </c>
      <c r="G14" s="111">
        <f>INDEX(calc_cylr_p,9)</f>
        <v>0.56894970045812265</v>
      </c>
      <c r="H14" s="112">
        <f>(INDEX(calc_cylr_p,9)-INDEX(calc_lrcur,9))*100</f>
        <v>0.49497004581227078</v>
      </c>
      <c r="I14" s="113">
        <f>IF($C14="",0,INDEX(calc_arate_p,9))</f>
        <v>1</v>
      </c>
      <c r="J14" s="113">
        <f>IF($C14="",0,INDEX(calc_amod_p,9))</f>
        <v>1.0087760646420616</v>
      </c>
      <c r="K14" s="103">
        <f>IF($C14="",0,INDEX(calc_echg,9))</f>
        <v>0</v>
      </c>
      <c r="L14" s="103">
        <f>IF($C14="",0,INDEX(calc_carry,9))</f>
        <v>0</v>
      </c>
      <c r="M14" s="110">
        <f>INDEX(calc_cylr_p1,9)</f>
        <v>0.56718727694269777</v>
      </c>
      <c r="N14" s="114">
        <f>N(INDEX(lr_ep,9))</f>
        <v>8000</v>
      </c>
      <c r="O14" s="115">
        <f t="shared" si="0"/>
        <v>9.9502487562189053E-3</v>
      </c>
    </row>
    <row r="15" spans="1:15" x14ac:dyDescent="0.25">
      <c r="A15" s="108" t="str">
        <f>IF(INDEX(lr_key,10)="","",INDEX(lr_bu,10))</f>
        <v>BU-A</v>
      </c>
      <c r="B15" s="108" t="str">
        <f>IF(INDEX(lr_key,10)="","",INDEX(lr_state,10))</f>
        <v>KY</v>
      </c>
      <c r="C15" s="109" t="str">
        <f>INDEX(lr_key,10)</f>
        <v>BU-A|KY</v>
      </c>
      <c r="D15" s="110">
        <f>N(INDEX(lr_lrproj,10))</f>
        <v>0.59199999999999997</v>
      </c>
      <c r="E15" s="37" t="str">
        <f>IF($C15="","",INDEX(lr_basis,10)&amp;"")</f>
        <v>current</v>
      </c>
      <c r="F15" s="110">
        <f>INDEX(calc_lrcur,10)</f>
        <v>0.59199999999999997</v>
      </c>
      <c r="G15" s="111">
        <f>INDEX(calc_cylr_p,10)</f>
        <v>0.59391575180929357</v>
      </c>
      <c r="H15" s="112">
        <f>(INDEX(calc_cylr_p,10)-INDEX(calc_lrcur,10))*100</f>
        <v>0.19157518092935977</v>
      </c>
      <c r="I15" s="113">
        <f>IF($C15="",0,INDEX(calc_arate_p,10))</f>
        <v>1.0010388138634432</v>
      </c>
      <c r="J15" s="113">
        <f>IF($C15="",0,INDEX(calc_amod_p,10))</f>
        <v>1.0021949732133812</v>
      </c>
      <c r="K15" s="103">
        <f>IF($C15="",0,INDEX(calc_echg,10))</f>
        <v>-1.0377358490565314E-3</v>
      </c>
      <c r="L15" s="103">
        <f>IF($C15="",0,INDEX(calc_carry,10))</f>
        <v>3.8577769383322247E-2</v>
      </c>
      <c r="M15" s="110">
        <f>INDEX(calc_cylr_p1,10)</f>
        <v>0.56487965841880439</v>
      </c>
      <c r="N15" s="114">
        <f>N(INDEX(lr_ep,10))</f>
        <v>18400</v>
      </c>
      <c r="O15" s="115">
        <f t="shared" si="0"/>
        <v>2.2885572139303482E-2</v>
      </c>
    </row>
    <row r="16" spans="1:15" x14ac:dyDescent="0.25">
      <c r="A16" s="108" t="str">
        <f>IF(INDEX(lr_key,11)="","",INDEX(lr_bu,11))</f>
        <v>BU-A</v>
      </c>
      <c r="B16" s="108" t="str">
        <f>IF(INDEX(lr_key,11)="","",INDEX(lr_state,11))</f>
        <v>MD</v>
      </c>
      <c r="C16" s="109" t="str">
        <f>INDEX(lr_key,11)</f>
        <v>BU-A|MD</v>
      </c>
      <c r="D16" s="110">
        <f>N(INDEX(lr_lrproj,11))</f>
        <v>0.57599999999999996</v>
      </c>
      <c r="E16" s="37" t="str">
        <f>IF($C16="","",INDEX(lr_basis,11)&amp;"")</f>
        <v>current</v>
      </c>
      <c r="F16" s="110">
        <f>INDEX(calc_lrcur,11)</f>
        <v>0.57599999999999996</v>
      </c>
      <c r="G16" s="111">
        <f>INDEX(calc_cylr_p,11)</f>
        <v>0.58360113249196222</v>
      </c>
      <c r="H16" s="112">
        <f>(INDEX(calc_cylr_p,11)-INDEX(calc_lrcur,11))*100</f>
        <v>0.76011324919622592</v>
      </c>
      <c r="I16" s="113">
        <f>IF($C16="",0,INDEX(calc_arate_p,11))</f>
        <v>1.0021834061135371</v>
      </c>
      <c r="J16" s="113">
        <f>IF($C16="",0,INDEX(calc_amod_p,11))</f>
        <v>1.0109890109890112</v>
      </c>
      <c r="K16" s="103">
        <f>IF($C16="",0,INDEX(calc_echg,11))</f>
        <v>-2.1786492374726851E-3</v>
      </c>
      <c r="L16" s="103">
        <f>IF($C16="",0,INDEX(calc_carry,11))</f>
        <v>2.1834061135372895E-3</v>
      </c>
      <c r="M16" s="110">
        <f>INDEX(calc_cylr_p1,11)</f>
        <v>0.58232967032967031</v>
      </c>
      <c r="N16" s="114">
        <f>N(INDEX(lr_ep,11))</f>
        <v>15200</v>
      </c>
      <c r="O16" s="115">
        <f t="shared" si="0"/>
        <v>1.8905472636815919E-2</v>
      </c>
    </row>
    <row r="17" spans="1:15" x14ac:dyDescent="0.25">
      <c r="A17" s="108" t="str">
        <f>IF(INDEX(lr_key,12)="","",INDEX(lr_bu,12))</f>
        <v>BU-A</v>
      </c>
      <c r="B17" s="108" t="str">
        <f>IF(INDEX(lr_key,12)="","",INDEX(lr_state,12))</f>
        <v>MI</v>
      </c>
      <c r="C17" s="109" t="str">
        <f>INDEX(lr_key,12)</f>
        <v>BU-A|MI</v>
      </c>
      <c r="D17" s="110">
        <f>N(INDEX(lr_lrproj,12))</f>
        <v>0.56000000000000005</v>
      </c>
      <c r="E17" s="37" t="str">
        <f>IF($C17="","",INDEX(lr_basis,12)&amp;"")</f>
        <v>current</v>
      </c>
      <c r="F17" s="110">
        <f>INDEX(calc_lrcur,12)</f>
        <v>0.56000000000000005</v>
      </c>
      <c r="G17" s="111">
        <f>INDEX(calc_cylr_p,12)</f>
        <v>0.56245230086104081</v>
      </c>
      <c r="H17" s="112">
        <f>(INDEX(calc_cylr_p,12)-INDEX(calc_lrcur,12))*100</f>
        <v>0.24523008610407571</v>
      </c>
      <c r="I17" s="113">
        <f>IF($C17="",0,INDEX(calc_arate_p,12))</f>
        <v>1</v>
      </c>
      <c r="J17" s="113">
        <f>IF($C17="",0,INDEX(calc_amod_p,12))</f>
        <v>1.0043791086804299</v>
      </c>
      <c r="K17" s="103">
        <f>IF($C17="",0,INDEX(calc_echg,12))</f>
        <v>0</v>
      </c>
      <c r="L17" s="103">
        <f>IF($C17="",0,INDEX(calc_carry,12))</f>
        <v>0</v>
      </c>
      <c r="M17" s="110">
        <f>INDEX(calc_cylr_p1,12)</f>
        <v>0.5572800279295177</v>
      </c>
      <c r="N17" s="114">
        <f>N(INDEX(lr_ep,12))</f>
        <v>12000</v>
      </c>
      <c r="O17" s="115">
        <f t="shared" si="0"/>
        <v>1.4925373134328358E-2</v>
      </c>
    </row>
    <row r="18" spans="1:15" x14ac:dyDescent="0.25">
      <c r="A18" s="108" t="str">
        <f>IF(INDEX(lr_key,13)="","",INDEX(lr_bu,13))</f>
        <v>BU-A</v>
      </c>
      <c r="B18" s="108" t="str">
        <f>IF(INDEX(lr_key,13)="","",INDEX(lr_state,13))</f>
        <v>MN</v>
      </c>
      <c r="C18" s="109" t="str">
        <f>INDEX(lr_key,13)</f>
        <v>BU-A|MN</v>
      </c>
      <c r="D18" s="110">
        <f>N(INDEX(lr_lrproj,13))</f>
        <v>0.58799999999999997</v>
      </c>
      <c r="E18" s="37" t="str">
        <f>IF($C18="","",INDEX(lr_basis,13)&amp;"")</f>
        <v>current</v>
      </c>
      <c r="F18" s="110">
        <f>INDEX(calc_lrcur,13)</f>
        <v>0.58799999999999997</v>
      </c>
      <c r="G18" s="111">
        <f>INDEX(calc_cylr_p,13)</f>
        <v>0.59576847238950559</v>
      </c>
      <c r="H18" s="112">
        <f>(INDEX(calc_cylr_p,13)-INDEX(calc_lrcur,13))*100</f>
        <v>0.77684723895056207</v>
      </c>
      <c r="I18" s="113">
        <f>IF($C18="",0,INDEX(calc_arate_p,13))</f>
        <v>1.0000000000000002</v>
      </c>
      <c r="J18" s="113">
        <f>IF($C18="",0,INDEX(calc_amod_p,13))</f>
        <v>1.0132116877372543</v>
      </c>
      <c r="K18" s="103">
        <f>IF($C18="",0,INDEX(calc_echg,13))</f>
        <v>0</v>
      </c>
      <c r="L18" s="103">
        <f>IF($C18="",0,INDEX(calc_carry,13))</f>
        <v>0</v>
      </c>
      <c r="M18" s="110">
        <f>INDEX(calc_cylr_p1,13)</f>
        <v>0.59763366753168101</v>
      </c>
      <c r="N18" s="114">
        <f>N(INDEX(lr_ep,13))</f>
        <v>8800</v>
      </c>
      <c r="O18" s="115">
        <f t="shared" si="0"/>
        <v>1.0945273631840797E-2</v>
      </c>
    </row>
    <row r="19" spans="1:15" x14ac:dyDescent="0.25">
      <c r="A19" s="108" t="str">
        <f>IF(INDEX(lr_key,14)="","",INDEX(lr_bu,14))</f>
        <v>BU-A</v>
      </c>
      <c r="B19" s="108" t="str">
        <f>IF(INDEX(lr_key,14)="","",INDEX(lr_state,14))</f>
        <v>MO</v>
      </c>
      <c r="C19" s="109" t="str">
        <f>INDEX(lr_key,14)</f>
        <v>BU-A|MO</v>
      </c>
      <c r="D19" s="110">
        <f>N(INDEX(lr_lrproj,14))</f>
        <v>0.57199999999999995</v>
      </c>
      <c r="E19" s="37" t="str">
        <f>IF($C19="","",INDEX(lr_basis,14)&amp;"")</f>
        <v>current</v>
      </c>
      <c r="F19" s="110">
        <f>INDEX(calc_lrcur,14)</f>
        <v>0.57199999999999995</v>
      </c>
      <c r="G19" s="111">
        <f>INDEX(calc_cylr_p,14)</f>
        <v>0.56447022841708339</v>
      </c>
      <c r="H19" s="112">
        <f>(INDEX(calc_cylr_p,14)-INDEX(calc_lrcur,14))*100</f>
        <v>-0.75297715829165668</v>
      </c>
      <c r="I19" s="113">
        <f>IF($C19="",0,INDEX(calc_arate_p,14))</f>
        <v>0.98039215686274517</v>
      </c>
      <c r="J19" s="113">
        <f>IF($C19="",0,INDEX(calc_amod_p,14))</f>
        <v>1.0065727849395543</v>
      </c>
      <c r="K19" s="103">
        <f>IF($C19="",0,INDEX(calc_echg,14))</f>
        <v>2.0000000000000018E-2</v>
      </c>
      <c r="L19" s="103">
        <f>IF($C19="",0,INDEX(calc_carry,14))</f>
        <v>1.9607843137255276E-2</v>
      </c>
      <c r="M19" s="110">
        <f>INDEX(calc_cylr_p1,14)</f>
        <v>0.55020320219427954</v>
      </c>
      <c r="N19" s="114">
        <f>N(INDEX(lr_ep,14))</f>
        <v>19200</v>
      </c>
      <c r="O19" s="115">
        <f t="shared" si="0"/>
        <v>2.3880597014925373E-2</v>
      </c>
    </row>
    <row r="20" spans="1:15" x14ac:dyDescent="0.25">
      <c r="A20" s="108" t="str">
        <f>IF(INDEX(lr_key,15)="","",INDEX(lr_bu,15))</f>
        <v>BU-A</v>
      </c>
      <c r="B20" s="108" t="str">
        <f>IF(INDEX(lr_key,15)="","",INDEX(lr_state,15))</f>
        <v>NC</v>
      </c>
      <c r="C20" s="109" t="str">
        <f>INDEX(lr_key,15)</f>
        <v>BU-A|NC</v>
      </c>
      <c r="D20" s="110">
        <f>N(INDEX(lr_lrproj,15))</f>
        <v>0.6</v>
      </c>
      <c r="E20" s="37" t="str">
        <f>IF($C20="","",INDEX(lr_basis,15)&amp;"")</f>
        <v>current</v>
      </c>
      <c r="F20" s="110">
        <f>INDEX(calc_lrcur,15)</f>
        <v>0.6</v>
      </c>
      <c r="G20" s="111">
        <f>INDEX(calc_cylr_p,15)</f>
        <v>0.60926649552333734</v>
      </c>
      <c r="H20" s="112">
        <f>(INDEX(calc_cylr_p,15)-INDEX(calc_lrcur,15))*100</f>
        <v>0.92664955233373592</v>
      </c>
      <c r="I20" s="113">
        <f>IF($C20="",0,INDEX(calc_arate_p,15))</f>
        <v>1</v>
      </c>
      <c r="J20" s="113">
        <f>IF($C20="",0,INDEX(calc_amod_p,15))</f>
        <v>1.0154441592055623</v>
      </c>
      <c r="K20" s="103">
        <f>IF($C20="",0,INDEX(calc_echg,15))</f>
        <v>0</v>
      </c>
      <c r="L20" s="103">
        <f>IF($C20="",0,INDEX(calc_carry,15))</f>
        <v>0</v>
      </c>
      <c r="M20" s="110">
        <f>INDEX(calc_cylr_p1,15)</f>
        <v>0.613101869448482</v>
      </c>
      <c r="N20" s="114">
        <f>N(INDEX(lr_ep,15))</f>
        <v>16000</v>
      </c>
      <c r="O20" s="115">
        <f t="shared" si="0"/>
        <v>1.9900497512437811E-2</v>
      </c>
    </row>
    <row r="21" spans="1:15" x14ac:dyDescent="0.25">
      <c r="A21" s="108" t="str">
        <f>IF(INDEX(lr_key,16)="","",INDEX(lr_bu,16))</f>
        <v>BU-A</v>
      </c>
      <c r="B21" s="108" t="str">
        <f>IF(INDEX(lr_key,16)="","",INDEX(lr_state,16))</f>
        <v>NJ</v>
      </c>
      <c r="C21" s="109" t="str">
        <f>INDEX(lr_key,16)</f>
        <v>BU-A|NJ</v>
      </c>
      <c r="D21" s="110">
        <f>N(INDEX(lr_lrproj,16))</f>
        <v>0.58399999999999996</v>
      </c>
      <c r="E21" s="37" t="str">
        <f>IF($C21="","",INDEX(lr_basis,16)&amp;"")</f>
        <v>current</v>
      </c>
      <c r="F21" s="110">
        <f>INDEX(calc_lrcur,16)</f>
        <v>0.58399999999999996</v>
      </c>
      <c r="G21" s="111">
        <f>INDEX(calc_cylr_p,16)</f>
        <v>0.58912522175096382</v>
      </c>
      <c r="H21" s="112">
        <f>(INDEX(calc_cylr_p,16)-INDEX(calc_lrcur,16))*100</f>
        <v>0.51252217509638598</v>
      </c>
      <c r="I21" s="113">
        <f>IF($C21="",0,INDEX(calc_arate_p,16))</f>
        <v>0.99999999999999978</v>
      </c>
      <c r="J21" s="113">
        <f>IF($C21="",0,INDEX(calc_amod_p,16))</f>
        <v>1.0087760646420616</v>
      </c>
      <c r="K21" s="103">
        <f>IF($C21="",0,INDEX(calc_echg,16))</f>
        <v>0</v>
      </c>
      <c r="L21" s="103">
        <f>IF($C21="",0,INDEX(calc_carry,16))</f>
        <v>0</v>
      </c>
      <c r="M21" s="110">
        <f>INDEX(calc_cylr_p1,16)</f>
        <v>0.58730030094775787</v>
      </c>
      <c r="N21" s="114">
        <f>N(INDEX(lr_ep,16))</f>
        <v>12800</v>
      </c>
      <c r="O21" s="115">
        <f t="shared" si="0"/>
        <v>1.5920398009950248E-2</v>
      </c>
    </row>
    <row r="22" spans="1:15" x14ac:dyDescent="0.25">
      <c r="A22" s="108" t="str">
        <f>IF(INDEX(lr_key,17)="","",INDEX(lr_bu,17))</f>
        <v>BU-A</v>
      </c>
      <c r="B22" s="108" t="str">
        <f>IF(INDEX(lr_key,17)="","",INDEX(lr_state,17))</f>
        <v>NY</v>
      </c>
      <c r="C22" s="109" t="str">
        <f>INDEX(lr_key,17)</f>
        <v>BU-A|NY</v>
      </c>
      <c r="D22" s="110">
        <f>N(INDEX(lr_lrproj,17))</f>
        <v>0.56799999999999995</v>
      </c>
      <c r="E22" s="37" t="str">
        <f>IF($C22="","",INDEX(lr_basis,17)&amp;"")</f>
        <v>current</v>
      </c>
      <c r="F22" s="110">
        <f>INDEX(calc_lrcur,17)</f>
        <v>0.56799999999999995</v>
      </c>
      <c r="G22" s="111">
        <f>INDEX(calc_cylr_p,17)</f>
        <v>0.56924674478520054</v>
      </c>
      <c r="H22" s="112">
        <f>(INDEX(calc_cylr_p,17)-INDEX(calc_lrcur,17))*100</f>
        <v>0.12467447852005931</v>
      </c>
      <c r="I22" s="113">
        <f>IF($C22="",0,INDEX(calc_arate_p,17))</f>
        <v>1</v>
      </c>
      <c r="J22" s="113">
        <f>IF($C22="",0,INDEX(calc_amod_p,17))</f>
        <v>1.0021949732133812</v>
      </c>
      <c r="K22" s="103">
        <f>IF($C22="",0,INDEX(calc_echg,17))</f>
        <v>0</v>
      </c>
      <c r="L22" s="103">
        <f>IF($C22="",0,INDEX(calc_carry,17))</f>
        <v>0</v>
      </c>
      <c r="M22" s="110">
        <f>INDEX(calc_cylr_p1,17)</f>
        <v>0.56230334916588076</v>
      </c>
      <c r="N22" s="114">
        <f>N(INDEX(lr_ep,17))</f>
        <v>9600</v>
      </c>
      <c r="O22" s="115">
        <f t="shared" si="0"/>
        <v>1.1940298507462687E-2</v>
      </c>
    </row>
    <row r="23" spans="1:15" x14ac:dyDescent="0.25">
      <c r="A23" s="108" t="str">
        <f>IF(INDEX(lr_key,18)="","",INDEX(lr_bu,18))</f>
        <v>BU-A</v>
      </c>
      <c r="B23" s="108" t="str">
        <f>IF(INDEX(lr_key,18)="","",INDEX(lr_state,18))</f>
        <v>OH</v>
      </c>
      <c r="C23" s="109" t="str">
        <f>INDEX(lr_key,18)</f>
        <v>BU-A|OH</v>
      </c>
      <c r="D23" s="110">
        <f>N(INDEX(lr_lrproj,18))</f>
        <v>0.59599999999999997</v>
      </c>
      <c r="E23" s="37" t="str">
        <f>IF($C23="","",INDEX(lr_basis,18)&amp;"")</f>
        <v>current</v>
      </c>
      <c r="F23" s="110">
        <f>INDEX(calc_lrcur,18)</f>
        <v>0.59599999999999997</v>
      </c>
      <c r="G23" s="111">
        <f>INDEX(calc_cylr_p,18)</f>
        <v>0.59839393709738542</v>
      </c>
      <c r="H23" s="112">
        <f>(INDEX(calc_cylr_p,18)-INDEX(calc_lrcur,18))*100</f>
        <v>0.23939370973854457</v>
      </c>
      <c r="I23" s="113">
        <f>IF($C23="",0,INDEX(calc_arate_p,18))</f>
        <v>0.99310344827586206</v>
      </c>
      <c r="J23" s="113">
        <f>IF($C23="",0,INDEX(calc_amod_p,18))</f>
        <v>1.0109890109890112</v>
      </c>
      <c r="K23" s="103">
        <f>IF($C23="",0,INDEX(calc_echg,18))</f>
        <v>6.9444444444444198E-3</v>
      </c>
      <c r="L23" s="103">
        <f>IF($C23="",0,INDEX(calc_carry,18))</f>
        <v>3.2551724137930726E-2</v>
      </c>
      <c r="M23" s="110">
        <f>INDEX(calc_cylr_p1,18)</f>
        <v>0.57952926048036946</v>
      </c>
      <c r="N23" s="114">
        <f>N(INDEX(lr_ep,18))</f>
        <v>6400</v>
      </c>
      <c r="O23" s="115">
        <f t="shared" si="0"/>
        <v>7.9601990049751239E-3</v>
      </c>
    </row>
    <row r="24" spans="1:15" x14ac:dyDescent="0.25">
      <c r="A24" s="108" t="str">
        <f>IF(INDEX(lr_key,19)="","",INDEX(lr_bu,19))</f>
        <v>BU-A</v>
      </c>
      <c r="B24" s="108" t="str">
        <f>IF(INDEX(lr_key,19)="","",INDEX(lr_state,19))</f>
        <v>PA</v>
      </c>
      <c r="C24" s="109" t="str">
        <f>INDEX(lr_key,19)</f>
        <v>BU-A|PA</v>
      </c>
      <c r="D24" s="110">
        <f>N(INDEX(lr_lrproj,19))</f>
        <v>0.57999999999999996</v>
      </c>
      <c r="E24" s="37" t="str">
        <f>IF($C24="","",INDEX(lr_basis,19)&amp;"")</f>
        <v>current</v>
      </c>
      <c r="F24" s="110">
        <f>INDEX(calc_lrcur,19)</f>
        <v>0.57999999999999996</v>
      </c>
      <c r="G24" s="111">
        <f>INDEX(calc_cylr_p,19)</f>
        <v>0.58253988303464932</v>
      </c>
      <c r="H24" s="112">
        <f>(INDEX(calc_cylr_p,19)-INDEX(calc_lrcur,19))*100</f>
        <v>0.25398830346493595</v>
      </c>
      <c r="I24" s="113">
        <f>IF($C24="",0,INDEX(calc_arate_p,19))</f>
        <v>1</v>
      </c>
      <c r="J24" s="113">
        <f>IF($C24="",0,INDEX(calc_amod_p,19))</f>
        <v>1.0043791086804299</v>
      </c>
      <c r="K24" s="103">
        <f>IF($C24="",0,INDEX(calc_echg,19))</f>
        <v>0</v>
      </c>
      <c r="L24" s="103">
        <f>IF($C24="",0,INDEX(calc_carry,19))</f>
        <v>0</v>
      </c>
      <c r="M24" s="110">
        <f>INDEX(calc_cylr_p1,19)</f>
        <v>0.57718288606985757</v>
      </c>
      <c r="N24" s="114">
        <f>N(INDEX(lr_ep,19))</f>
        <v>16800</v>
      </c>
      <c r="O24" s="115">
        <f t="shared" si="0"/>
        <v>2.0895522388059702E-2</v>
      </c>
    </row>
    <row r="25" spans="1:15" x14ac:dyDescent="0.25">
      <c r="A25" s="108" t="str">
        <f>IF(INDEX(lr_key,20)="","",INDEX(lr_bu,20))</f>
        <v>BU-A</v>
      </c>
      <c r="B25" s="108" t="str">
        <f>IF(INDEX(lr_key,20)="","",INDEX(lr_state,20))</f>
        <v>TN</v>
      </c>
      <c r="C25" s="109" t="str">
        <f>INDEX(lr_key,20)</f>
        <v>BU-A|TN</v>
      </c>
      <c r="D25" s="110">
        <f>N(INDEX(lr_lrproj,20))</f>
        <v>0.56399999999999995</v>
      </c>
      <c r="E25" s="37" t="str">
        <f>IF($C25="","",INDEX(lr_basis,20)&amp;"")</f>
        <v>current</v>
      </c>
      <c r="F25" s="110">
        <f>INDEX(calc_lrcur,20)</f>
        <v>0.56399999999999995</v>
      </c>
      <c r="G25" s="111">
        <f>INDEX(calc_cylr_p,20)</f>
        <v>0.57167610733480778</v>
      </c>
      <c r="H25" s="112">
        <f>(INDEX(calc_cylr_p,20)-INDEX(calc_lrcur,20))*100</f>
        <v>0.76761073348078357</v>
      </c>
      <c r="I25" s="113">
        <f>IF($C25="",0,INDEX(calc_arate_p,20))</f>
        <v>1.0003932363350372</v>
      </c>
      <c r="J25" s="113">
        <f>IF($C25="",0,INDEX(calc_amod_p,20))</f>
        <v>1.0132116877372543</v>
      </c>
      <c r="K25" s="103">
        <f>IF($C25="",0,INDEX(calc_echg,20))</f>
        <v>-3.9308176100616432E-4</v>
      </c>
      <c r="L25" s="103">
        <f>IF($C25="",0,INDEX(calc_carry,20))</f>
        <v>3.9323633503740574E-4</v>
      </c>
      <c r="M25" s="110">
        <f>INDEX(calc_cylr_p1,20)</f>
        <v>0.57324045661202039</v>
      </c>
      <c r="N25" s="114">
        <f>N(INDEX(lr_ep,20))</f>
        <v>13600</v>
      </c>
      <c r="O25" s="115">
        <f t="shared" si="0"/>
        <v>1.6915422885572139E-2</v>
      </c>
    </row>
    <row r="26" spans="1:15" x14ac:dyDescent="0.25">
      <c r="A26" s="108" t="str">
        <f>IF(INDEX(lr_key,21)="","",INDEX(lr_bu,21))</f>
        <v>BU-A</v>
      </c>
      <c r="B26" s="108" t="str">
        <f>IF(INDEX(lr_key,21)="","",INDEX(lr_state,21))</f>
        <v>TX</v>
      </c>
      <c r="C26" s="109" t="str">
        <f>INDEX(lr_key,21)</f>
        <v>BU-A|TX</v>
      </c>
      <c r="D26" s="110">
        <f>N(INDEX(lr_lrproj,21))</f>
        <v>0.59199999999999997</v>
      </c>
      <c r="E26" s="37" t="str">
        <f>IF($C26="","",INDEX(lr_basis,21)&amp;"")</f>
        <v>current</v>
      </c>
      <c r="F26" s="110">
        <f>INDEX(calc_lrcur,21)</f>
        <v>0.59199999999999997</v>
      </c>
      <c r="G26" s="111">
        <f>INDEX(calc_cylr_p,21)</f>
        <v>0.59589108868421614</v>
      </c>
      <c r="H26" s="112">
        <f>(INDEX(calc_cylr_p,21)-INDEX(calc_lrcur,21))*100</f>
        <v>0.38910886842161707</v>
      </c>
      <c r="I26" s="113">
        <f>IF($C26="",0,INDEX(calc_arate_p,21))</f>
        <v>1</v>
      </c>
      <c r="J26" s="113">
        <f>IF($C26="",0,INDEX(calc_amod_p,21))</f>
        <v>1.0065727849395543</v>
      </c>
      <c r="K26" s="103">
        <f>IF($C26="",0,INDEX(calc_echg,21))</f>
        <v>0</v>
      </c>
      <c r="L26" s="103">
        <f>IF($C26="",0,INDEX(calc_carry,21))</f>
        <v>0</v>
      </c>
      <c r="M26" s="110">
        <f>INDEX(calc_cylr_p1,21)</f>
        <v>0.59221871945275195</v>
      </c>
      <c r="N26" s="114">
        <f>N(INDEX(lr_ep,21))</f>
        <v>10400</v>
      </c>
      <c r="O26" s="115">
        <f t="shared" si="0"/>
        <v>1.2935323383084577E-2</v>
      </c>
    </row>
    <row r="27" spans="1:15" x14ac:dyDescent="0.25">
      <c r="A27" s="108" t="str">
        <f>IF(INDEX(lr_key,22)="","",INDEX(lr_bu,22))</f>
        <v>BU-B</v>
      </c>
      <c r="B27" s="108" t="str">
        <f>IF(INDEX(lr_key,22)="","",INDEX(lr_state,22))</f>
        <v>AZ</v>
      </c>
      <c r="C27" s="109" t="str">
        <f>INDEX(lr_key,22)</f>
        <v>BU-B|AZ</v>
      </c>
      <c r="D27" s="110">
        <f>N(INDEX(lr_lrproj,22))</f>
        <v>0.57599999999999996</v>
      </c>
      <c r="E27" s="37" t="str">
        <f>IF($C27="","",INDEX(lr_basis,22)&amp;"")</f>
        <v>current</v>
      </c>
      <c r="F27" s="110">
        <f>INDEX(calc_lrcur,22)</f>
        <v>0.57599999999999996</v>
      </c>
      <c r="G27" s="111">
        <f>INDEX(calc_cylr_p,22)</f>
        <v>0.57071567519650979</v>
      </c>
      <c r="H27" s="112">
        <f>(INDEX(calc_cylr_p,22)-INDEX(calc_lrcur,22))*100</f>
        <v>-0.52843248034901702</v>
      </c>
      <c r="I27" s="113">
        <f>IF($C27="",0,INDEX(calc_arate_p,22))</f>
        <v>0.97575609255472817</v>
      </c>
      <c r="J27" s="113">
        <f>IF($C27="",0,INDEX(calc_amod_p,22))</f>
        <v>1.0154441592055623</v>
      </c>
      <c r="K27" s="103">
        <f>IF($C27="",0,INDEX(calc_echg,22))</f>
        <v>2.4846278317152359E-2</v>
      </c>
      <c r="L27" s="103">
        <f>IF($C27="",0,INDEX(calc_carry,22))</f>
        <v>1.4786336256917609E-2</v>
      </c>
      <c r="M27" s="110">
        <f>INDEX(calc_cylr_p1,22)</f>
        <v>0.56594018718321404</v>
      </c>
      <c r="N27" s="114">
        <f>N(INDEX(lr_ep,22))</f>
        <v>7200</v>
      </c>
      <c r="O27" s="115">
        <f t="shared" si="0"/>
        <v>8.9552238805970154E-3</v>
      </c>
    </row>
    <row r="28" spans="1:15" x14ac:dyDescent="0.25">
      <c r="A28" s="108" t="str">
        <f>IF(INDEX(lr_key,23)="","",INDEX(lr_bu,23))</f>
        <v>BU-B</v>
      </c>
      <c r="B28" s="108" t="str">
        <f>IF(INDEX(lr_key,23)="","",INDEX(lr_state,23))</f>
        <v>CA</v>
      </c>
      <c r="C28" s="109" t="str">
        <f>INDEX(lr_key,23)</f>
        <v>BU-B|CA</v>
      </c>
      <c r="D28" s="110">
        <f>N(INDEX(lr_lrproj,23))</f>
        <v>0.56000000000000005</v>
      </c>
      <c r="E28" s="37" t="str">
        <f>IF($C28="","",INDEX(lr_basis,23)&amp;"")</f>
        <v>proposed</v>
      </c>
      <c r="F28" s="110">
        <f>INDEX(calc_lrcur,23)</f>
        <v>0.60480000000000012</v>
      </c>
      <c r="G28" s="111">
        <f>INDEX(calc_cylr_p,23)</f>
        <v>0.61272625215258147</v>
      </c>
      <c r="H28" s="112">
        <f>(INDEX(calc_cylr_p,23)-INDEX(calc_lrcur,23))*100</f>
        <v>0.7926252152581359</v>
      </c>
      <c r="I28" s="113">
        <f>IF($C28="",0,INDEX(calc_arate_p,23))</f>
        <v>1.0042918454935625</v>
      </c>
      <c r="J28" s="113">
        <f>IF($C28="",0,INDEX(calc_amod_p,23))</f>
        <v>1.0087760646420616</v>
      </c>
      <c r="K28" s="103">
        <f>IF($C28="",0,INDEX(calc_echg,23))</f>
        <v>-4.2735042735044804E-3</v>
      </c>
      <c r="L28" s="103">
        <f>IF($C28="",0,INDEX(calc_carry,23))</f>
        <v>4.2918454935623185E-3</v>
      </c>
      <c r="M28" s="110">
        <f>INDEX(calc_cylr_p1,23)</f>
        <v>0.61430002437215103</v>
      </c>
      <c r="N28" s="114">
        <f>N(INDEX(lr_ep,23))</f>
        <v>17600</v>
      </c>
      <c r="O28" s="115">
        <f t="shared" si="0"/>
        <v>2.1890547263681594E-2</v>
      </c>
    </row>
    <row r="29" spans="1:15" x14ac:dyDescent="0.25">
      <c r="A29" s="108" t="str">
        <f>IF(INDEX(lr_key,24)="","",INDEX(lr_bu,24))</f>
        <v>BU-B</v>
      </c>
      <c r="B29" s="108" t="str">
        <f>IF(INDEX(lr_key,24)="","",INDEX(lr_state,24))</f>
        <v>CO</v>
      </c>
      <c r="C29" s="109" t="str">
        <f>INDEX(lr_key,24)</f>
        <v>BU-B|CO</v>
      </c>
      <c r="D29" s="110">
        <f>N(INDEX(lr_lrproj,24))</f>
        <v>0.58799999999999997</v>
      </c>
      <c r="E29" s="37" t="str">
        <f>IF($C29="","",INDEX(lr_basis,24)&amp;"")</f>
        <v>current</v>
      </c>
      <c r="F29" s="110">
        <f>INDEX(calc_lrcur,24)</f>
        <v>0.58799999999999997</v>
      </c>
      <c r="G29" s="111">
        <f>INDEX(calc_cylr_p,24)</f>
        <v>0.59431848086016048</v>
      </c>
      <c r="H29" s="112">
        <f>(INDEX(calc_cylr_p,24)-INDEX(calc_lrcur,24))*100</f>
        <v>0.63184808601605136</v>
      </c>
      <c r="I29" s="113">
        <f>IF($C29="",0,INDEX(calc_arate_p,24))</f>
        <v>0.98875687744199026</v>
      </c>
      <c r="J29" s="113">
        <f>IF($C29="",0,INDEX(calc_amod_p,24))</f>
        <v>1.0021949732133812</v>
      </c>
      <c r="K29" s="103">
        <f>IF($C29="",0,INDEX(calc_echg,24))</f>
        <v>1.1370967741935578E-2</v>
      </c>
      <c r="L29" s="103">
        <f>IF($C29="",0,INDEX(calc_carry,24))</f>
        <v>1.8419583765250103E-2</v>
      </c>
      <c r="M29" s="110">
        <f>INDEX(calc_cylr_p1,24)</f>
        <v>0.57645127973425514</v>
      </c>
      <c r="N29" s="114">
        <f>N(INDEX(lr_ep,24))</f>
        <v>14400</v>
      </c>
      <c r="O29" s="115">
        <f t="shared" si="0"/>
        <v>1.7910447761194031E-2</v>
      </c>
    </row>
    <row r="30" spans="1:15" x14ac:dyDescent="0.25">
      <c r="A30" s="108" t="str">
        <f>IF(INDEX(lr_key,25)="","",INDEX(lr_bu,25))</f>
        <v>BU-B</v>
      </c>
      <c r="B30" s="108" t="str">
        <f>IF(INDEX(lr_key,25)="","",INDEX(lr_state,25))</f>
        <v>CT</v>
      </c>
      <c r="C30" s="109" t="str">
        <f>INDEX(lr_key,25)</f>
        <v>BU-B|CT</v>
      </c>
      <c r="D30" s="110">
        <f>N(INDEX(lr_lrproj,25))</f>
        <v>0.57199999999999995</v>
      </c>
      <c r="E30" s="37" t="str">
        <f>IF($C30="","",INDEX(lr_basis,25)&amp;"")</f>
        <v>current</v>
      </c>
      <c r="F30" s="110">
        <f>INDEX(calc_lrcur,25)</f>
        <v>0.57199999999999995</v>
      </c>
      <c r="G30" s="111">
        <f>INDEX(calc_cylr_p,25)</f>
        <v>0.56507959486498094</v>
      </c>
      <c r="H30" s="112">
        <f>(INDEX(calc_cylr_p,25)-INDEX(calc_lrcur,25))*100</f>
        <v>-0.69204051350190143</v>
      </c>
      <c r="I30" s="113">
        <f>IF($C30="",0,INDEX(calc_arate_p,25))</f>
        <v>0.97716333104122188</v>
      </c>
      <c r="J30" s="113">
        <f>IF($C30="",0,INDEX(calc_amod_p,25))</f>
        <v>1.0109890109890112</v>
      </c>
      <c r="K30" s="103">
        <f>IF($C30="",0,INDEX(calc_echg,25))</f>
        <v>2.3370370370370264E-2</v>
      </c>
      <c r="L30" s="103">
        <f>IF($C30="",0,INDEX(calc_carry,25))</f>
        <v>2.4067170931200588E-2</v>
      </c>
      <c r="M30" s="110">
        <f>INDEX(calc_cylr_p1,25)</f>
        <v>0.55179934569247557</v>
      </c>
      <c r="N30" s="114">
        <f>N(INDEX(lr_ep,25))</f>
        <v>11200</v>
      </c>
      <c r="O30" s="115">
        <f t="shared" si="0"/>
        <v>1.3930348258706468E-2</v>
      </c>
    </row>
    <row r="31" spans="1:15" x14ac:dyDescent="0.25">
      <c r="A31" s="108" t="str">
        <f>IF(INDEX(lr_key,26)="","",INDEX(lr_bu,26))</f>
        <v>BU-B</v>
      </c>
      <c r="B31" s="108" t="str">
        <f>IF(INDEX(lr_key,26)="","",INDEX(lr_state,26))</f>
        <v>FL</v>
      </c>
      <c r="C31" s="109" t="str">
        <f>INDEX(lr_key,26)</f>
        <v>BU-B|FL</v>
      </c>
      <c r="D31" s="110">
        <f>N(INDEX(lr_lrproj,26))</f>
        <v>0.6</v>
      </c>
      <c r="E31" s="37" t="str">
        <f>IF($C31="","",INDEX(lr_basis,26)&amp;"")</f>
        <v>current</v>
      </c>
      <c r="F31" s="110">
        <f>INDEX(calc_lrcur,26)</f>
        <v>0.6</v>
      </c>
      <c r="G31" s="111">
        <f>INDEX(calc_cylr_p,26)</f>
        <v>0.5946981564555176</v>
      </c>
      <c r="H31" s="112">
        <f>(INDEX(calc_cylr_p,26)-INDEX(calc_lrcur,26))*100</f>
        <v>-0.53018435444823764</v>
      </c>
      <c r="I31" s="113">
        <f>IF($C31="",0,INDEX(calc_arate_p,26))</f>
        <v>0.98684210526315785</v>
      </c>
      <c r="J31" s="113">
        <f>IF($C31="",0,INDEX(calc_amod_p,26))</f>
        <v>1.0043791086804299</v>
      </c>
      <c r="K31" s="103">
        <f>IF($C31="",0,INDEX(calc_echg,26))</f>
        <v>1.3333333333333419E-2</v>
      </c>
      <c r="L31" s="103">
        <f>IF($C31="",0,INDEX(calc_carry,26))</f>
        <v>2.6315789473684292E-2</v>
      </c>
      <c r="M31" s="110">
        <f>INDEX(calc_cylr_p1,26)</f>
        <v>0.5741209078944205</v>
      </c>
      <c r="N31" s="114">
        <f>N(INDEX(lr_ep,26))</f>
        <v>8000</v>
      </c>
      <c r="O31" s="115">
        <f t="shared" si="0"/>
        <v>9.9502487562189053E-3</v>
      </c>
    </row>
    <row r="32" spans="1:15" x14ac:dyDescent="0.25">
      <c r="A32" s="108" t="str">
        <f>IF(INDEX(lr_key,27)="","",INDEX(lr_bu,27))</f>
        <v>BU-B</v>
      </c>
      <c r="B32" s="108" t="str">
        <f>IF(INDEX(lr_key,27)="","",INDEX(lr_state,27))</f>
        <v>GA</v>
      </c>
      <c r="C32" s="109" t="str">
        <f>INDEX(lr_key,27)</f>
        <v>BU-B|GA</v>
      </c>
      <c r="D32" s="110">
        <f>N(INDEX(lr_lrproj,27))</f>
        <v>0.58399999999999996</v>
      </c>
      <c r="E32" s="37" t="str">
        <f>IF($C32="","",INDEX(lr_basis,27)&amp;"")</f>
        <v>current</v>
      </c>
      <c r="F32" s="110">
        <f>INDEX(calc_lrcur,27)</f>
        <v>0.58399999999999996</v>
      </c>
      <c r="G32" s="111">
        <f>INDEX(calc_cylr_p,27)</f>
        <v>0.59171562563855651</v>
      </c>
      <c r="H32" s="112">
        <f>(INDEX(calc_cylr_p,27)-INDEX(calc_lrcur,27))*100</f>
        <v>0.77156256385565447</v>
      </c>
      <c r="I32" s="113">
        <f>IF($C32="",0,INDEX(calc_arate_p,27))</f>
        <v>1</v>
      </c>
      <c r="J32" s="113">
        <f>IF($C32="",0,INDEX(calc_amod_p,27))</f>
        <v>1.0132116877372543</v>
      </c>
      <c r="K32" s="103">
        <f>IF($C32="",0,INDEX(calc_echg,27))</f>
        <v>0</v>
      </c>
      <c r="L32" s="103">
        <f>IF($C32="",0,INDEX(calc_carry,27))</f>
        <v>0</v>
      </c>
      <c r="M32" s="110">
        <f>INDEX(calc_cylr_p1,27)</f>
        <v>0.59356813237840422</v>
      </c>
      <c r="N32" s="114">
        <f>N(INDEX(lr_ep,27))</f>
        <v>18400</v>
      </c>
      <c r="O32" s="115">
        <f t="shared" si="0"/>
        <v>2.2885572139303482E-2</v>
      </c>
    </row>
    <row r="33" spans="1:15" x14ac:dyDescent="0.25">
      <c r="A33" s="108" t="str">
        <f>IF(INDEX(lr_key,28)="","",INDEX(lr_bu,28))</f>
        <v>BU-B</v>
      </c>
      <c r="B33" s="108" t="str">
        <f>IF(INDEX(lr_key,28)="","",INDEX(lr_state,28))</f>
        <v>IL</v>
      </c>
      <c r="C33" s="109" t="str">
        <f>INDEX(lr_key,28)</f>
        <v>BU-B|IL</v>
      </c>
      <c r="D33" s="110">
        <f>N(INDEX(lr_lrproj,28))</f>
        <v>0.56799999999999995</v>
      </c>
      <c r="E33" s="37" t="str">
        <f>IF($C33="","",INDEX(lr_basis,28)&amp;"")</f>
        <v>current</v>
      </c>
      <c r="F33" s="110">
        <f>INDEX(calc_lrcur,28)</f>
        <v>0.56799999999999995</v>
      </c>
      <c r="G33" s="111">
        <f>INDEX(calc_cylr_p,28)</f>
        <v>0.57173334184566693</v>
      </c>
      <c r="H33" s="112">
        <f>(INDEX(calc_cylr_p,28)-INDEX(calc_lrcur,28))*100</f>
        <v>0.3733341845666982</v>
      </c>
      <c r="I33" s="113">
        <f>IF($C33="",0,INDEX(calc_arate_p,28))</f>
        <v>1.0000000000000002</v>
      </c>
      <c r="J33" s="113">
        <f>IF($C33="",0,INDEX(calc_amod_p,28))</f>
        <v>1.0065727849395543</v>
      </c>
      <c r="K33" s="103">
        <f>IF($C33="",0,INDEX(calc_echg,28))</f>
        <v>0</v>
      </c>
      <c r="L33" s="103">
        <f>IF($C33="",0,INDEX(calc_carry,28))</f>
        <v>0</v>
      </c>
      <c r="M33" s="110">
        <f>INDEX(calc_cylr_p1,28)</f>
        <v>0.56820985244791078</v>
      </c>
      <c r="N33" s="114">
        <f>N(INDEX(lr_ep,28))</f>
        <v>15200</v>
      </c>
      <c r="O33" s="115">
        <f t="shared" si="0"/>
        <v>1.8905472636815919E-2</v>
      </c>
    </row>
    <row r="34" spans="1:15" x14ac:dyDescent="0.25">
      <c r="A34" s="108" t="str">
        <f>IF(INDEX(lr_key,29)="","",INDEX(lr_bu,29))</f>
        <v>BU-B</v>
      </c>
      <c r="B34" s="108" t="str">
        <f>IF(INDEX(lr_key,29)="","",INDEX(lr_state,29))</f>
        <v>IN</v>
      </c>
      <c r="C34" s="109" t="str">
        <f>INDEX(lr_key,29)</f>
        <v>BU-B|IN</v>
      </c>
      <c r="D34" s="110">
        <f>N(INDEX(lr_lrproj,29))</f>
        <v>0.59599999999999997</v>
      </c>
      <c r="E34" s="37" t="str">
        <f>IF($C34="","",INDEX(lr_basis,29)&amp;"")</f>
        <v>current</v>
      </c>
      <c r="F34" s="110">
        <f>INDEX(calc_lrcur,29)</f>
        <v>0.59599999999999997</v>
      </c>
      <c r="G34" s="111">
        <f>INDEX(calc_cylr_p,29)</f>
        <v>0.60520471888651506</v>
      </c>
      <c r="H34" s="112">
        <f>(INDEX(calc_cylr_p,29)-INDEX(calc_lrcur,29))*100</f>
        <v>0.92047188865150842</v>
      </c>
      <c r="I34" s="113">
        <f>IF($C34="",0,INDEX(calc_arate_p,29))</f>
        <v>1</v>
      </c>
      <c r="J34" s="113">
        <f>IF($C34="",0,INDEX(calc_amod_p,29))</f>
        <v>1.0154441592055623</v>
      </c>
      <c r="K34" s="103">
        <f>IF($C34="",0,INDEX(calc_echg,29))</f>
        <v>0</v>
      </c>
      <c r="L34" s="103">
        <f>IF($C34="",0,INDEX(calc_carry,29))</f>
        <v>0</v>
      </c>
      <c r="M34" s="110">
        <f>INDEX(calc_cylr_p1,29)</f>
        <v>0.6090145236521588</v>
      </c>
      <c r="N34" s="114">
        <f>N(INDEX(lr_ep,29))</f>
        <v>12000</v>
      </c>
      <c r="O34" s="115">
        <f t="shared" si="0"/>
        <v>1.4925373134328358E-2</v>
      </c>
    </row>
    <row r="35" spans="1:15" x14ac:dyDescent="0.25">
      <c r="A35" s="108" t="str">
        <f>IF(INDEX(lr_key,30)="","",INDEX(lr_bu,30))</f>
        <v>BU-B</v>
      </c>
      <c r="B35" s="108" t="str">
        <f>IF(INDEX(lr_key,30)="","",INDEX(lr_state,30))</f>
        <v>IA</v>
      </c>
      <c r="C35" s="109" t="str">
        <f>INDEX(lr_key,30)</f>
        <v>BU-B|IA</v>
      </c>
      <c r="D35" s="110">
        <f>N(INDEX(lr_lrproj,30))</f>
        <v>0.57999999999999996</v>
      </c>
      <c r="E35" s="37" t="str">
        <f>IF($C35="","",INDEX(lr_basis,30)&amp;"")</f>
        <v>current</v>
      </c>
      <c r="F35" s="110">
        <f>INDEX(calc_lrcur,30)</f>
        <v>0.57999999999999996</v>
      </c>
      <c r="G35" s="111">
        <f>INDEX(calc_cylr_p,30)</f>
        <v>0.58363103989266396</v>
      </c>
      <c r="H35" s="112">
        <f>(INDEX(calc_cylr_p,30)-INDEX(calc_lrcur,30))*100</f>
        <v>0.36310398926640008</v>
      </c>
      <c r="I35" s="113">
        <f>IF($C35="",0,INDEX(calc_arate_p,30))</f>
        <v>0.99750623441396513</v>
      </c>
      <c r="J35" s="113">
        <f>IF($C35="",0,INDEX(calc_amod_p,30))</f>
        <v>1.0087760646420616</v>
      </c>
      <c r="K35" s="103">
        <f>IF($C35="",0,INDEX(calc_echg,30))</f>
        <v>2.4999999999999467E-3</v>
      </c>
      <c r="L35" s="103">
        <f>IF($C35="",0,INDEX(calc_carry,30))</f>
        <v>3.4912718204488602E-2</v>
      </c>
      <c r="M35" s="110">
        <f>INDEX(calc_cylr_p1,30)</f>
        <v>0.56219536977999618</v>
      </c>
      <c r="N35" s="114">
        <f>N(INDEX(lr_ep,30))</f>
        <v>8800</v>
      </c>
      <c r="O35" s="115">
        <f t="shared" si="0"/>
        <v>1.0945273631840797E-2</v>
      </c>
    </row>
    <row r="36" spans="1:15" x14ac:dyDescent="0.25">
      <c r="A36" s="108" t="str">
        <f>IF(INDEX(lr_key,31)="","",INDEX(lr_bu,31))</f>
        <v>BU-B</v>
      </c>
      <c r="B36" s="108" t="str">
        <f>IF(INDEX(lr_key,31)="","",INDEX(lr_state,31))</f>
        <v>KY</v>
      </c>
      <c r="C36" s="109" t="str">
        <f>INDEX(lr_key,31)</f>
        <v>BU-B|KY</v>
      </c>
      <c r="D36" s="110">
        <f>N(INDEX(lr_lrproj,31))</f>
        <v>0.56399999999999995</v>
      </c>
      <c r="E36" s="37" t="str">
        <f>IF($C36="","",INDEX(lr_basis,31)&amp;"")</f>
        <v>current</v>
      </c>
      <c r="F36" s="110">
        <f>INDEX(calc_lrcur,31)</f>
        <v>0.56399999999999995</v>
      </c>
      <c r="G36" s="111">
        <f>INDEX(calc_cylr_p,31)</f>
        <v>0.5652379648923469</v>
      </c>
      <c r="H36" s="112">
        <f>(INDEX(calc_cylr_p,31)-INDEX(calc_lrcur,31))*100</f>
        <v>0.12379648923469544</v>
      </c>
      <c r="I36" s="113">
        <f>IF($C36="",0,INDEX(calc_arate_p,31))</f>
        <v>0.99999999999999978</v>
      </c>
      <c r="J36" s="113">
        <f>IF($C36="",0,INDEX(calc_amod_p,31))</f>
        <v>1.0021949732133812</v>
      </c>
      <c r="K36" s="103">
        <f>IF($C36="",0,INDEX(calc_echg,31))</f>
        <v>0</v>
      </c>
      <c r="L36" s="103">
        <f>IF($C36="",0,INDEX(calc_carry,31))</f>
        <v>0</v>
      </c>
      <c r="M36" s="110">
        <f>INDEX(calc_cylr_p1,31)</f>
        <v>0.55834346642527588</v>
      </c>
      <c r="N36" s="114">
        <f>N(INDEX(lr_ep,31))</f>
        <v>19200</v>
      </c>
      <c r="O36" s="115">
        <f t="shared" si="0"/>
        <v>2.3880597014925373E-2</v>
      </c>
    </row>
    <row r="37" spans="1:15" x14ac:dyDescent="0.25">
      <c r="A37" s="108" t="str">
        <f>IF(INDEX(lr_key,32)="","",INDEX(lr_bu,32))</f>
        <v>BU-B</v>
      </c>
      <c r="B37" s="108" t="str">
        <f>IF(INDEX(lr_key,32)="","",INDEX(lr_state,32))</f>
        <v>MD</v>
      </c>
      <c r="C37" s="109" t="str">
        <f>INDEX(lr_key,32)</f>
        <v>BU-B|MD</v>
      </c>
      <c r="D37" s="110">
        <f>N(INDEX(lr_lrproj,32))</f>
        <v>0.59199999999999997</v>
      </c>
      <c r="E37" s="37" t="str">
        <f>IF($C37="","",INDEX(lr_basis,32)&amp;"")</f>
        <v>current</v>
      </c>
      <c r="F37" s="110">
        <f>INDEX(calc_lrcur,32)</f>
        <v>0.59199999999999997</v>
      </c>
      <c r="G37" s="111">
        <f>INDEX(calc_cylr_p,32)</f>
        <v>0.59862657593266544</v>
      </c>
      <c r="H37" s="112">
        <f>(INDEX(calc_cylr_p,32)-INDEX(calc_lrcur,32))*100</f>
        <v>0.66265759326654683</v>
      </c>
      <c r="I37" s="113">
        <f>IF($C37="",0,INDEX(calc_arate_p,32))</f>
        <v>1.0002023062917256</v>
      </c>
      <c r="J37" s="113">
        <f>IF($C37="",0,INDEX(calc_amod_p,32))</f>
        <v>1.0109890109890112</v>
      </c>
      <c r="K37" s="103">
        <f>IF($C37="",0,INDEX(calc_echg,32))</f>
        <v>-2.022653721680534E-4</v>
      </c>
      <c r="L37" s="103">
        <f>IF($C37="",0,INDEX(calc_carry,32))</f>
        <v>2.0230629172557357E-4</v>
      </c>
      <c r="M37" s="110">
        <f>INDEX(calc_cylr_p1,32)</f>
        <v>0.59850549450549462</v>
      </c>
      <c r="N37" s="114">
        <f>N(INDEX(lr_ep,32))</f>
        <v>16000</v>
      </c>
      <c r="O37" s="115">
        <f t="shared" si="0"/>
        <v>1.9900497512437811E-2</v>
      </c>
    </row>
    <row r="38" spans="1:15" x14ac:dyDescent="0.25">
      <c r="A38" s="108" t="str">
        <f>IF(INDEX(lr_key,33)="","",INDEX(lr_bu,33))</f>
        <v>BU-B</v>
      </c>
      <c r="B38" s="108" t="str">
        <f>IF(INDEX(lr_key,33)="","",INDEX(lr_state,33))</f>
        <v>MI</v>
      </c>
      <c r="C38" s="109" t="str">
        <f>INDEX(lr_key,33)</f>
        <v>BU-B|MI</v>
      </c>
      <c r="D38" s="110">
        <f>N(INDEX(lr_lrproj,33))</f>
        <v>0.57599999999999996</v>
      </c>
      <c r="E38" s="37" t="str">
        <f>IF($C38="","",INDEX(lr_basis,33)&amp;"")</f>
        <v>current</v>
      </c>
      <c r="F38" s="110">
        <f>INDEX(calc_lrcur,33)</f>
        <v>0.57599999999999996</v>
      </c>
      <c r="G38" s="111">
        <f>INDEX(calc_cylr_p,33)</f>
        <v>0.57852236659992762</v>
      </c>
      <c r="H38" s="112">
        <f>(INDEX(calc_cylr_p,33)-INDEX(calc_lrcur,33))*100</f>
        <v>0.25223665999276612</v>
      </c>
      <c r="I38" s="113">
        <f>IF($C38="",0,INDEX(calc_arate_p,33))</f>
        <v>1</v>
      </c>
      <c r="J38" s="113">
        <f>IF($C38="",0,INDEX(calc_amod_p,33))</f>
        <v>1.0043791086804299</v>
      </c>
      <c r="K38" s="103">
        <f>IF($C38="",0,INDEX(calc_echg,33))</f>
        <v>0</v>
      </c>
      <c r="L38" s="103">
        <f>IF($C38="",0,INDEX(calc_carry,33))</f>
        <v>0</v>
      </c>
      <c r="M38" s="110">
        <f>INDEX(calc_cylr_p1,33)</f>
        <v>0.5732023144417896</v>
      </c>
      <c r="N38" s="114">
        <f>N(INDEX(lr_ep,33))</f>
        <v>12800</v>
      </c>
      <c r="O38" s="115">
        <f t="shared" ref="O38:O74" si="1">IF(SUM($N$6:$N$74)=0,0,$N38/SUM($N$6:$N$74))</f>
        <v>1.5920398009950248E-2</v>
      </c>
    </row>
    <row r="39" spans="1:15" x14ac:dyDescent="0.25">
      <c r="A39" s="108" t="str">
        <f>IF(INDEX(lr_key,34)="","",INDEX(lr_bu,34))</f>
        <v>BU-B</v>
      </c>
      <c r="B39" s="108" t="str">
        <f>IF(INDEX(lr_key,34)="","",INDEX(lr_state,34))</f>
        <v>MN</v>
      </c>
      <c r="C39" s="109" t="str">
        <f>INDEX(lr_key,34)</f>
        <v>BU-B|MN</v>
      </c>
      <c r="D39" s="110">
        <f>N(INDEX(lr_lrproj,34))</f>
        <v>0.56000000000000005</v>
      </c>
      <c r="E39" s="37" t="str">
        <f>IF($C39="","",INDEX(lr_basis,34)&amp;"")</f>
        <v>current</v>
      </c>
      <c r="F39" s="110">
        <f>INDEX(calc_lrcur,34)</f>
        <v>0.56000000000000005</v>
      </c>
      <c r="G39" s="111">
        <f>INDEX(calc_cylr_p,34)</f>
        <v>0.55790094570011051</v>
      </c>
      <c r="H39" s="112">
        <f>(INDEX(calc_cylr_p,34)-INDEX(calc_lrcur,34))*100</f>
        <v>-0.20990542998895467</v>
      </c>
      <c r="I39" s="113">
        <f>IF($C39="",0,INDEX(calc_arate_p,34))</f>
        <v>0.98326114947910559</v>
      </c>
      <c r="J39" s="113">
        <f>IF($C39="",0,INDEX(calc_amod_p,34))</f>
        <v>1.0132116877372543</v>
      </c>
      <c r="K39" s="103">
        <f>IF($C39="",0,INDEX(calc_echg,34))</f>
        <v>1.7023809523809552E-2</v>
      </c>
      <c r="L39" s="103">
        <f>IF($C39="",0,INDEX(calc_carry,34))</f>
        <v>2.2591595458270053E-2</v>
      </c>
      <c r="M39" s="110">
        <f>INDEX(calc_cylr_p1,34)</f>
        <v>0.54728357832571517</v>
      </c>
      <c r="N39" s="114">
        <f>N(INDEX(lr_ep,34))</f>
        <v>9600</v>
      </c>
      <c r="O39" s="115">
        <f t="shared" si="1"/>
        <v>1.1940298507462687E-2</v>
      </c>
    </row>
    <row r="40" spans="1:15" x14ac:dyDescent="0.25">
      <c r="A40" s="108" t="str">
        <f>IF(INDEX(lr_key,35)="","",INDEX(lr_bu,35))</f>
        <v>BU-B</v>
      </c>
      <c r="B40" s="108" t="str">
        <f>IF(INDEX(lr_key,35)="","",INDEX(lr_state,35))</f>
        <v>MO</v>
      </c>
      <c r="C40" s="109" t="str">
        <f>INDEX(lr_key,35)</f>
        <v>BU-B|MO</v>
      </c>
      <c r="D40" s="110">
        <f>N(INDEX(lr_lrproj,35))</f>
        <v>0.58799999999999997</v>
      </c>
      <c r="E40" s="37" t="str">
        <f>IF($C40="","",INDEX(lr_basis,35)&amp;"")</f>
        <v>current</v>
      </c>
      <c r="F40" s="110">
        <f>INDEX(calc_lrcur,35)</f>
        <v>0.58799999999999997</v>
      </c>
      <c r="G40" s="111">
        <f>INDEX(calc_cylr_p,35)</f>
        <v>0.59561077727575185</v>
      </c>
      <c r="H40" s="112">
        <f>(INDEX(calc_cylr_p,35)-INDEX(calc_lrcur,35))*100</f>
        <v>0.76107772757518788</v>
      </c>
      <c r="I40" s="113">
        <f>IF($C40="",0,INDEX(calc_arate_p,35))</f>
        <v>1.0063291139240507</v>
      </c>
      <c r="J40" s="113">
        <f>IF($C40="",0,INDEX(calc_amod_p,35))</f>
        <v>1.0065727849395543</v>
      </c>
      <c r="K40" s="103">
        <f>IF($C40="",0,INDEX(calc_echg,35))</f>
        <v>-6.2893081761005165E-3</v>
      </c>
      <c r="L40" s="103">
        <f>IF($C40="",0,INDEX(calc_carry,35))</f>
        <v>6.3291139240508887E-3</v>
      </c>
      <c r="M40" s="110">
        <f>INDEX(calc_cylr_p1,35)</f>
        <v>0.58821724161861155</v>
      </c>
      <c r="N40" s="114">
        <f>N(INDEX(lr_ep,35))</f>
        <v>6400</v>
      </c>
      <c r="O40" s="115">
        <f t="shared" si="1"/>
        <v>7.9601990049751239E-3</v>
      </c>
    </row>
    <row r="41" spans="1:15" x14ac:dyDescent="0.25">
      <c r="A41" s="108" t="str">
        <f>IF(INDEX(lr_key,36)="","",INDEX(lr_bu,36))</f>
        <v>BU-B</v>
      </c>
      <c r="B41" s="108" t="str">
        <f>IF(INDEX(lr_key,36)="","",INDEX(lr_state,36))</f>
        <v>NC</v>
      </c>
      <c r="C41" s="109" t="str">
        <f>INDEX(lr_key,36)</f>
        <v>BU-B|NC</v>
      </c>
      <c r="D41" s="110">
        <f>N(INDEX(lr_lrproj,36))</f>
        <v>0.57199999999999995</v>
      </c>
      <c r="E41" s="37" t="str">
        <f>IF($C41="","",INDEX(lr_basis,36)&amp;"")</f>
        <v>current</v>
      </c>
      <c r="F41" s="110">
        <f>INDEX(calc_lrcur,36)</f>
        <v>0.57199999999999995</v>
      </c>
      <c r="G41" s="111">
        <f>INDEX(calc_cylr_p,36)</f>
        <v>0.58083405906558161</v>
      </c>
      <c r="H41" s="112">
        <f>(INDEX(calc_cylr_p,36)-INDEX(calc_lrcur,36))*100</f>
        <v>0.88340590655816564</v>
      </c>
      <c r="I41" s="113">
        <f>IF($C41="",0,INDEX(calc_arate_p,36))</f>
        <v>1</v>
      </c>
      <c r="J41" s="113">
        <f>IF($C41="",0,INDEX(calc_amod_p,36))</f>
        <v>1.0154441592055623</v>
      </c>
      <c r="K41" s="103">
        <f>IF($C41="",0,INDEX(calc_echg,36))</f>
        <v>0</v>
      </c>
      <c r="L41" s="103">
        <f>IF($C41="",0,INDEX(calc_carry,36))</f>
        <v>0</v>
      </c>
      <c r="M41" s="110">
        <f>INDEX(calc_cylr_p1,36)</f>
        <v>0.58449044887421953</v>
      </c>
      <c r="N41" s="114">
        <f>N(INDEX(lr_ep,36))</f>
        <v>16800</v>
      </c>
      <c r="O41" s="115">
        <f t="shared" si="1"/>
        <v>2.0895522388059702E-2</v>
      </c>
    </row>
    <row r="42" spans="1:15" x14ac:dyDescent="0.25">
      <c r="A42" s="108" t="str">
        <f>IF(INDEX(lr_key,37)="","",INDEX(lr_bu,37))</f>
        <v>BU-B</v>
      </c>
      <c r="B42" s="108" t="str">
        <f>IF(INDEX(lr_key,37)="","",INDEX(lr_state,37))</f>
        <v>NJ</v>
      </c>
      <c r="C42" s="109" t="str">
        <f>INDEX(lr_key,37)</f>
        <v>BU-B|NJ</v>
      </c>
      <c r="D42" s="110">
        <f>N(INDEX(lr_lrproj,37))</f>
        <v>0.6</v>
      </c>
      <c r="E42" s="37" t="str">
        <f>IF($C42="","",INDEX(lr_basis,37)&amp;"")</f>
        <v>current</v>
      </c>
      <c r="F42" s="110">
        <f>INDEX(calc_lrcur,37)</f>
        <v>0.6</v>
      </c>
      <c r="G42" s="111">
        <f>INDEX(calc_cylr_p,37)</f>
        <v>0.60526563878523698</v>
      </c>
      <c r="H42" s="112">
        <f>(INDEX(calc_cylr_p,37)-INDEX(calc_lrcur,37))*100</f>
        <v>0.52656387852370035</v>
      </c>
      <c r="I42" s="113">
        <f>IF($C42="",0,INDEX(calc_arate_p,37))</f>
        <v>1</v>
      </c>
      <c r="J42" s="113">
        <f>IF($C42="",0,INDEX(calc_amod_p,37))</f>
        <v>1.0087760646420616</v>
      </c>
      <c r="K42" s="103">
        <f>IF($C42="",0,INDEX(calc_echg,37))</f>
        <v>0</v>
      </c>
      <c r="L42" s="103">
        <f>IF($C42="",0,INDEX(calc_carry,37))</f>
        <v>0</v>
      </c>
      <c r="M42" s="110">
        <f>INDEX(calc_cylr_p1,37)</f>
        <v>0.60339072015180617</v>
      </c>
      <c r="N42" s="114">
        <f>N(INDEX(lr_ep,37))</f>
        <v>13600</v>
      </c>
      <c r="O42" s="115">
        <f t="shared" si="1"/>
        <v>1.6915422885572139E-2</v>
      </c>
    </row>
    <row r="43" spans="1:15" x14ac:dyDescent="0.25">
      <c r="A43" s="108" t="str">
        <f>IF(INDEX(lr_key,38)="","",INDEX(lr_bu,38))</f>
        <v>BU-B</v>
      </c>
      <c r="B43" s="108" t="str">
        <f>IF(INDEX(lr_key,38)="","",INDEX(lr_state,38))</f>
        <v>NY</v>
      </c>
      <c r="C43" s="109" t="str">
        <f>INDEX(lr_key,38)</f>
        <v>BU-B|NY</v>
      </c>
      <c r="D43" s="110">
        <f>N(INDEX(lr_lrproj,38))</f>
        <v>0.58399999999999996</v>
      </c>
      <c r="E43" s="37" t="str">
        <f>IF($C43="","",INDEX(lr_basis,38)&amp;"")</f>
        <v>current</v>
      </c>
      <c r="F43" s="110">
        <f>INDEX(calc_lrcur,38)</f>
        <v>0.58399999999999996</v>
      </c>
      <c r="G43" s="111">
        <f>INDEX(calc_cylr_p,38)</f>
        <v>0.58124543770587933</v>
      </c>
      <c r="H43" s="112">
        <f>(INDEX(calc_cylr_p,38)-INDEX(calc_lrcur,38))*100</f>
        <v>-0.27545622941206327</v>
      </c>
      <c r="I43" s="113">
        <f>IF($C43="",0,INDEX(calc_arate_p,38))</f>
        <v>0.99310344827586206</v>
      </c>
      <c r="J43" s="113">
        <f>IF($C43="",0,INDEX(calc_amod_p,38))</f>
        <v>1.0021949732133812</v>
      </c>
      <c r="K43" s="103">
        <f>IF($C43="",0,INDEX(calc_echg,38))</f>
        <v>6.9444444444444198E-3</v>
      </c>
      <c r="L43" s="103">
        <f>IF($C43="",0,INDEX(calc_carry,38))</f>
        <v>3.2551724137930949E-2</v>
      </c>
      <c r="M43" s="110">
        <f>INDEX(calc_cylr_p1,38)</f>
        <v>0.55605513450758215</v>
      </c>
      <c r="N43" s="114">
        <f>N(INDEX(lr_ep,38))</f>
        <v>10400</v>
      </c>
      <c r="O43" s="115">
        <f t="shared" si="1"/>
        <v>1.2935323383084577E-2</v>
      </c>
    </row>
    <row r="44" spans="1:15" x14ac:dyDescent="0.25">
      <c r="A44" s="108" t="str">
        <f>IF(INDEX(lr_key,39)="","",INDEX(lr_bu,39))</f>
        <v>BU-B</v>
      </c>
      <c r="B44" s="108" t="str">
        <f>IF(INDEX(lr_key,39)="","",INDEX(lr_state,39))</f>
        <v>OH</v>
      </c>
      <c r="C44" s="109" t="str">
        <f>INDEX(lr_key,39)</f>
        <v>BU-B|OH</v>
      </c>
      <c r="D44" s="110">
        <f>N(INDEX(lr_lrproj,39))</f>
        <v>0.56799999999999995</v>
      </c>
      <c r="E44" s="37" t="str">
        <f>IF($C44="","",INDEX(lr_basis,39)&amp;"")</f>
        <v>current</v>
      </c>
      <c r="F44" s="110">
        <f>INDEX(calc_lrcur,39)</f>
        <v>0.56799999999999995</v>
      </c>
      <c r="G44" s="111">
        <f>INDEX(calc_cylr_p,39)</f>
        <v>0.57424175824175827</v>
      </c>
      <c r="H44" s="112">
        <f>(INDEX(calc_cylr_p,39)-INDEX(calc_lrcur,39))*100</f>
        <v>0.62417582417583217</v>
      </c>
      <c r="I44" s="113">
        <f>IF($C44="",0,INDEX(calc_arate_p,39))</f>
        <v>1</v>
      </c>
      <c r="J44" s="113">
        <f>IF($C44="",0,INDEX(calc_amod_p,39))</f>
        <v>1.0109890109890112</v>
      </c>
      <c r="K44" s="103">
        <f>IF($C44="",0,INDEX(calc_echg,39))</f>
        <v>0</v>
      </c>
      <c r="L44" s="103">
        <f>IF($C44="",0,INDEX(calc_carry,39))</f>
        <v>0</v>
      </c>
      <c r="M44" s="110">
        <f>INDEX(calc_cylr_p1,39)</f>
        <v>0.57424175824175827</v>
      </c>
      <c r="N44" s="114">
        <f>N(INDEX(lr_ep,39))</f>
        <v>7200</v>
      </c>
      <c r="O44" s="115">
        <f t="shared" si="1"/>
        <v>8.9552238805970154E-3</v>
      </c>
    </row>
    <row r="45" spans="1:15" x14ac:dyDescent="0.25">
      <c r="A45" s="108" t="str">
        <f>IF(INDEX(lr_key,40)="","",INDEX(lr_bu,40))</f>
        <v>BU-B</v>
      </c>
      <c r="B45" s="108" t="str">
        <f>IF(INDEX(lr_key,40)="","",INDEX(lr_state,40))</f>
        <v>PA</v>
      </c>
      <c r="C45" s="109" t="str">
        <f>INDEX(lr_key,40)</f>
        <v>BU-B|PA</v>
      </c>
      <c r="D45" s="110">
        <f>N(INDEX(lr_lrproj,40))</f>
        <v>0.59599999999999997</v>
      </c>
      <c r="E45" s="37" t="str">
        <f>IF($C45="","",INDEX(lr_basis,40)&amp;"")</f>
        <v>current</v>
      </c>
      <c r="F45" s="110">
        <f>INDEX(calc_lrcur,40)</f>
        <v>0.59599999999999997</v>
      </c>
      <c r="G45" s="111">
        <f>INDEX(calc_cylr_p,40)</f>
        <v>0.59860994877353613</v>
      </c>
      <c r="H45" s="112">
        <f>(INDEX(calc_cylr_p,40)-INDEX(calc_lrcur,40))*100</f>
        <v>0.26099487735361526</v>
      </c>
      <c r="I45" s="113">
        <f>IF($C45="",0,INDEX(calc_arate_p,40))</f>
        <v>0.99999999999999978</v>
      </c>
      <c r="J45" s="113">
        <f>IF($C45="",0,INDEX(calc_amod_p,40))</f>
        <v>1.0043791086804299</v>
      </c>
      <c r="K45" s="103">
        <f>IF($C45="",0,INDEX(calc_echg,40))</f>
        <v>0</v>
      </c>
      <c r="L45" s="103">
        <f>IF($C45="",0,INDEX(calc_carry,40))</f>
        <v>0</v>
      </c>
      <c r="M45" s="110">
        <f>INDEX(calc_cylr_p1,40)</f>
        <v>0.59310517258212936</v>
      </c>
      <c r="N45" s="114">
        <f>N(INDEX(lr_ep,40))</f>
        <v>17600</v>
      </c>
      <c r="O45" s="115">
        <f t="shared" si="1"/>
        <v>2.1890547263681594E-2</v>
      </c>
    </row>
    <row r="46" spans="1:15" x14ac:dyDescent="0.25">
      <c r="A46" s="108" t="str">
        <f>IF(INDEX(lr_key,41)="","",INDEX(lr_bu,41))</f>
        <v>BU-B</v>
      </c>
      <c r="B46" s="108" t="str">
        <f>IF(INDEX(lr_key,41)="","",INDEX(lr_state,41))</f>
        <v>TN</v>
      </c>
      <c r="C46" s="109" t="str">
        <f>INDEX(lr_key,41)</f>
        <v>BU-B|TN</v>
      </c>
      <c r="D46" s="110">
        <f>N(INDEX(lr_lrproj,41))</f>
        <v>0.57999999999999996</v>
      </c>
      <c r="E46" s="37" t="str">
        <f>IF($C46="","",INDEX(lr_basis,41)&amp;"")</f>
        <v>current</v>
      </c>
      <c r="F46" s="110">
        <f>INDEX(calc_lrcur,41)</f>
        <v>0.57999999999999996</v>
      </c>
      <c r="G46" s="111">
        <f>INDEX(calc_cylr_p,41)</f>
        <v>0.58766277888760732</v>
      </c>
      <c r="H46" s="112">
        <f>(INDEX(calc_cylr_p,41)-INDEX(calc_lrcur,41))*100</f>
        <v>0.76627788876073577</v>
      </c>
      <c r="I46" s="113">
        <f>IF($C46="",0,INDEX(calc_arate_p,41))</f>
        <v>0.99999999999999978</v>
      </c>
      <c r="J46" s="113">
        <f>IF($C46="",0,INDEX(calc_amod_p,41))</f>
        <v>1.0132116877372543</v>
      </c>
      <c r="K46" s="103">
        <f>IF($C46="",0,INDEX(calc_echg,41))</f>
        <v>0</v>
      </c>
      <c r="L46" s="103">
        <f>IF($C46="",0,INDEX(calc_carry,41))</f>
        <v>0</v>
      </c>
      <c r="M46" s="110">
        <f>INDEX(calc_cylr_p1,41)</f>
        <v>0.58950259722512732</v>
      </c>
      <c r="N46" s="114">
        <f>N(INDEX(lr_ep,41))</f>
        <v>14400</v>
      </c>
      <c r="O46" s="115">
        <f t="shared" si="1"/>
        <v>1.7910447761194031E-2</v>
      </c>
    </row>
    <row r="47" spans="1:15" x14ac:dyDescent="0.25">
      <c r="A47" s="108" t="str">
        <f>IF(INDEX(lr_key,42)="","",INDEX(lr_bu,42))</f>
        <v>BU-B</v>
      </c>
      <c r="B47" s="108" t="str">
        <f>IF(INDEX(lr_key,42)="","",INDEX(lr_state,42))</f>
        <v>TX</v>
      </c>
      <c r="C47" s="109" t="str">
        <f>INDEX(lr_key,42)</f>
        <v>BU-B|TX</v>
      </c>
      <c r="D47" s="110">
        <f>N(INDEX(lr_lrproj,42))</f>
        <v>0.56399999999999995</v>
      </c>
      <c r="E47" s="37" t="str">
        <f>IF($C47="","",INDEX(lr_basis,42)&amp;"")</f>
        <v>current</v>
      </c>
      <c r="F47" s="110">
        <f>INDEX(calc_lrcur,42)</f>
        <v>0.56399999999999995</v>
      </c>
      <c r="G47" s="111">
        <f>INDEX(calc_cylr_p,42)</f>
        <v>0.55296141302523572</v>
      </c>
      <c r="H47" s="112">
        <f>(INDEX(calc_cylr_p,42)-INDEX(calc_lrcur,42))*100</f>
        <v>-1.1038586974764231</v>
      </c>
      <c r="I47" s="113">
        <f>IF($C47="",0,INDEX(calc_arate_p,42))</f>
        <v>0.97402597402597413</v>
      </c>
      <c r="J47" s="113">
        <f>IF($C47="",0,INDEX(calc_amod_p,42))</f>
        <v>1.0065727849395543</v>
      </c>
      <c r="K47" s="103">
        <f>IF($C47="",0,INDEX(calc_echg,42))</f>
        <v>2.6666666666666616E-2</v>
      </c>
      <c r="L47" s="103">
        <f>IF($C47="",0,INDEX(calc_carry,42))</f>
        <v>1.298701298701288E-2</v>
      </c>
      <c r="M47" s="110">
        <f>INDEX(calc_cylr_p1,42)</f>
        <v>0.54250805251324086</v>
      </c>
      <c r="N47" s="114">
        <f>N(INDEX(lr_ep,42))</f>
        <v>11200</v>
      </c>
      <c r="O47" s="115">
        <f t="shared" si="1"/>
        <v>1.3930348258706468E-2</v>
      </c>
    </row>
    <row r="48" spans="1:15" x14ac:dyDescent="0.25">
      <c r="A48" s="108" t="str">
        <f>IF(INDEX(lr_key,43)="","",INDEX(lr_bu,43))</f>
        <v>BU-C</v>
      </c>
      <c r="B48" s="108" t="str">
        <f>IF(INDEX(lr_key,43)="","",INDEX(lr_state,43))</f>
        <v>AZ</v>
      </c>
      <c r="C48" s="109" t="str">
        <f>INDEX(lr_key,43)</f>
        <v>BU-C|AZ</v>
      </c>
      <c r="D48" s="110">
        <f>N(INDEX(lr_lrproj,43))</f>
        <v>0.59199999999999997</v>
      </c>
      <c r="E48" s="37" t="str">
        <f>IF($C48="","",INDEX(lr_basis,43)&amp;"")</f>
        <v>current</v>
      </c>
      <c r="F48" s="110">
        <f>INDEX(calc_lrcur,43)</f>
        <v>0.59199999999999997</v>
      </c>
      <c r="G48" s="111">
        <f>INDEX(calc_cylr_p,43)</f>
        <v>0.601142942249693</v>
      </c>
      <c r="H48" s="112">
        <f>(INDEX(calc_cylr_p,43)-INDEX(calc_lrcur,43))*100</f>
        <v>0.91429422496930313</v>
      </c>
      <c r="I48" s="113">
        <f>IF($C48="",0,INDEX(calc_arate_p,43))</f>
        <v>1.0000000000000002</v>
      </c>
      <c r="J48" s="113">
        <f>IF($C48="",0,INDEX(calc_amod_p,43))</f>
        <v>1.0154441592055623</v>
      </c>
      <c r="K48" s="103">
        <f>IF($C48="",0,INDEX(calc_echg,43))</f>
        <v>0</v>
      </c>
      <c r="L48" s="103">
        <f>IF($C48="",0,INDEX(calc_carry,43))</f>
        <v>0</v>
      </c>
      <c r="M48" s="110">
        <f>INDEX(calc_cylr_p1,43)</f>
        <v>0.60492717785583572</v>
      </c>
      <c r="N48" s="114">
        <f>N(INDEX(lr_ep,43))</f>
        <v>8000</v>
      </c>
      <c r="O48" s="115">
        <f t="shared" si="1"/>
        <v>9.9502487562189053E-3</v>
      </c>
    </row>
    <row r="49" spans="1:15" x14ac:dyDescent="0.25">
      <c r="A49" s="108" t="str">
        <f>IF(INDEX(lr_key,44)="","",INDEX(lr_bu,44))</f>
        <v>BU-C</v>
      </c>
      <c r="B49" s="108" t="str">
        <f>IF(INDEX(lr_key,44)="","",INDEX(lr_state,44))</f>
        <v>CA</v>
      </c>
      <c r="C49" s="109" t="str">
        <f>INDEX(lr_key,44)</f>
        <v>BU-C|CA</v>
      </c>
      <c r="D49" s="110">
        <f>N(INDEX(lr_lrproj,44))</f>
        <v>0.57599999999999996</v>
      </c>
      <c r="E49" s="37" t="str">
        <f>IF($C49="","",INDEX(lr_basis,44)&amp;"")</f>
        <v>current</v>
      </c>
      <c r="F49" s="110">
        <f>INDEX(calc_lrcur,44)</f>
        <v>0.57599999999999996</v>
      </c>
      <c r="G49" s="111">
        <f>INDEX(calc_cylr_p,44)</f>
        <v>0.58124722461762945</v>
      </c>
      <c r="H49" s="112">
        <f>(INDEX(calc_cylr_p,44)-INDEX(calc_lrcur,44))*100</f>
        <v>0.52472246176294979</v>
      </c>
      <c r="I49" s="113">
        <f>IF($C49="",0,INDEX(calc_arate_p,44))</f>
        <v>1.0003307972213031</v>
      </c>
      <c r="J49" s="113">
        <f>IF($C49="",0,INDEX(calc_amod_p,44))</f>
        <v>1.0087760646420616</v>
      </c>
      <c r="K49" s="103">
        <f>IF($C49="",0,INDEX(calc_echg,44))</f>
        <v>-3.3068783068768148E-4</v>
      </c>
      <c r="L49" s="103">
        <f>IF($C49="",0,INDEX(calc_carry,44))</f>
        <v>3.3079722130313627E-4</v>
      </c>
      <c r="M49" s="110">
        <f>INDEX(calc_cylr_p1,44)</f>
        <v>0.57925509134573383</v>
      </c>
      <c r="N49" s="114">
        <f>N(INDEX(lr_ep,44))</f>
        <v>18400</v>
      </c>
      <c r="O49" s="115">
        <f t="shared" si="1"/>
        <v>2.2885572139303482E-2</v>
      </c>
    </row>
    <row r="50" spans="1:15" x14ac:dyDescent="0.25">
      <c r="A50" s="108" t="str">
        <f>IF(INDEX(lr_key,45)="","",INDEX(lr_bu,45))</f>
        <v>BU-C</v>
      </c>
      <c r="B50" s="108" t="str">
        <f>IF(INDEX(lr_key,45)="","",INDEX(lr_state,45))</f>
        <v>CO</v>
      </c>
      <c r="C50" s="109" t="str">
        <f>INDEX(lr_key,45)</f>
        <v>BU-C|CO</v>
      </c>
      <c r="D50" s="110">
        <f>N(INDEX(lr_lrproj,45))</f>
        <v>0.56000000000000005</v>
      </c>
      <c r="E50" s="37" t="str">
        <f>IF($C50="","",INDEX(lr_basis,45)&amp;"")</f>
        <v>current</v>
      </c>
      <c r="F50" s="110">
        <f>INDEX(calc_lrcur,45)</f>
        <v>0.56000000000000005</v>
      </c>
      <c r="G50" s="111">
        <f>INDEX(calc_cylr_p,45)</f>
        <v>0.56122918499949359</v>
      </c>
      <c r="H50" s="112">
        <f>(INDEX(calc_cylr_p,45)-INDEX(calc_lrcur,45))*100</f>
        <v>0.12291849994935378</v>
      </c>
      <c r="I50" s="113">
        <f>IF($C50="",0,INDEX(calc_arate_p,45))</f>
        <v>1</v>
      </c>
      <c r="J50" s="113">
        <f>IF($C50="",0,INDEX(calc_amod_p,45))</f>
        <v>1.0021949732133812</v>
      </c>
      <c r="K50" s="103">
        <f>IF($C50="",0,INDEX(calc_echg,45))</f>
        <v>0</v>
      </c>
      <c r="L50" s="103">
        <f>IF($C50="",0,INDEX(calc_carry,45))</f>
        <v>0</v>
      </c>
      <c r="M50" s="110">
        <f>INDEX(calc_cylr_p1,45)</f>
        <v>0.55438358368467133</v>
      </c>
      <c r="N50" s="114">
        <f>N(INDEX(lr_ep,45))</f>
        <v>15200</v>
      </c>
      <c r="O50" s="115">
        <f t="shared" si="1"/>
        <v>1.8905472636815919E-2</v>
      </c>
    </row>
    <row r="51" spans="1:15" x14ac:dyDescent="0.25">
      <c r="A51" s="108" t="str">
        <f>IF(INDEX(lr_key,46)="","",INDEX(lr_bu,46))</f>
        <v>BU-C</v>
      </c>
      <c r="B51" s="108" t="str">
        <f>IF(INDEX(lr_key,46)="","",INDEX(lr_state,46))</f>
        <v>CT</v>
      </c>
      <c r="C51" s="109" t="str">
        <f>INDEX(lr_key,46)</f>
        <v>BU-C|CT</v>
      </c>
      <c r="D51" s="110">
        <f>N(INDEX(lr_lrproj,46))</f>
        <v>0.58799999999999997</v>
      </c>
      <c r="E51" s="37" t="str">
        <f>IF($C51="","",INDEX(lr_basis,46)&amp;"")</f>
        <v>current</v>
      </c>
      <c r="F51" s="110">
        <f>INDEX(calc_lrcur,46)</f>
        <v>0.58799999999999997</v>
      </c>
      <c r="G51" s="111">
        <f>INDEX(calc_cylr_p,46)</f>
        <v>0.58734999683321487</v>
      </c>
      <c r="H51" s="112">
        <f>(INDEX(calc_cylr_p,46)-INDEX(calc_lrcur,46))*100</f>
        <v>-6.5000316678509584E-2</v>
      </c>
      <c r="I51" s="113">
        <f>IF($C51="",0,INDEX(calc_arate_p,46))</f>
        <v>0.98803700295442454</v>
      </c>
      <c r="J51" s="113">
        <f>IF($C51="",0,INDEX(calc_amod_p,46))</f>
        <v>1.0109890109890112</v>
      </c>
      <c r="K51" s="103">
        <f>IF($C51="",0,INDEX(calc_echg,46))</f>
        <v>1.210784313725477E-2</v>
      </c>
      <c r="L51" s="103">
        <f>IF($C51="",0,INDEX(calc_carry,46))</f>
        <v>2.7558483072601669E-2</v>
      </c>
      <c r="M51" s="110">
        <f>INDEX(calc_cylr_p1,46)</f>
        <v>0.57159763313609468</v>
      </c>
      <c r="N51" s="114">
        <f>N(INDEX(lr_ep,46))</f>
        <v>12000</v>
      </c>
      <c r="O51" s="115">
        <f t="shared" si="1"/>
        <v>1.4925373134328358E-2</v>
      </c>
    </row>
    <row r="52" spans="1:15" x14ac:dyDescent="0.25">
      <c r="A52" s="108" t="str">
        <f>IF(INDEX(lr_key,47)="","",INDEX(lr_bu,47))</f>
        <v>BU-C</v>
      </c>
      <c r="B52" s="108" t="str">
        <f>IF(INDEX(lr_key,47)="","",INDEX(lr_state,47))</f>
        <v>FL</v>
      </c>
      <c r="C52" s="109" t="str">
        <f>INDEX(lr_key,47)</f>
        <v>BU-C|FL</v>
      </c>
      <c r="D52" s="110">
        <f>N(INDEX(lr_lrproj,47))</f>
        <v>0.57199999999999995</v>
      </c>
      <c r="E52" s="37" t="str">
        <f>IF($C52="","",INDEX(lr_basis,47)&amp;"")</f>
        <v>current</v>
      </c>
      <c r="F52" s="110">
        <f>INDEX(calc_lrcur,47)</f>
        <v>0.57199999999999995</v>
      </c>
      <c r="G52" s="111">
        <f>INDEX(calc_cylr_p,47)</f>
        <v>0.5745048501652058</v>
      </c>
      <c r="H52" s="112">
        <f>(INDEX(calc_cylr_p,47)-INDEX(calc_lrcur,47))*100</f>
        <v>0.25048501652058519</v>
      </c>
      <c r="I52" s="113">
        <f>IF($C52="",0,INDEX(calc_arate_p,47))</f>
        <v>1</v>
      </c>
      <c r="J52" s="113">
        <f>IF($C52="",0,INDEX(calc_amod_p,47))</f>
        <v>1.0043791086804299</v>
      </c>
      <c r="K52" s="103">
        <f>IF($C52="",0,INDEX(calc_echg,47))</f>
        <v>0</v>
      </c>
      <c r="L52" s="103">
        <f>IF($C52="",0,INDEX(calc_carry,47))</f>
        <v>0</v>
      </c>
      <c r="M52" s="110">
        <f>INDEX(calc_cylr_p1,47)</f>
        <v>0.56922174281372151</v>
      </c>
      <c r="N52" s="114">
        <f>N(INDEX(lr_ep,47))</f>
        <v>8800</v>
      </c>
      <c r="O52" s="115">
        <f t="shared" si="1"/>
        <v>1.0945273631840797E-2</v>
      </c>
    </row>
    <row r="53" spans="1:15" x14ac:dyDescent="0.25">
      <c r="A53" s="108" t="str">
        <f>IF(INDEX(lr_key,48)="","",INDEX(lr_bu,48))</f>
        <v>BU-C</v>
      </c>
      <c r="B53" s="108" t="str">
        <f>IF(INDEX(lr_key,48)="","",INDEX(lr_state,48))</f>
        <v>GA</v>
      </c>
      <c r="C53" s="109" t="str">
        <f>INDEX(lr_key,48)</f>
        <v>BU-C|GA</v>
      </c>
      <c r="D53" s="110">
        <f>N(INDEX(lr_lrproj,48))</f>
        <v>0.6</v>
      </c>
      <c r="E53" s="37" t="str">
        <f>IF($C53="","",INDEX(lr_basis,48)&amp;"")</f>
        <v>current</v>
      </c>
      <c r="F53" s="110">
        <f>INDEX(calc_lrcur,48)</f>
        <v>0.6</v>
      </c>
      <c r="G53" s="111">
        <f>INDEX(calc_cylr_p,48)</f>
        <v>0.6079270126423526</v>
      </c>
      <c r="H53" s="112">
        <f>(INDEX(calc_cylr_p,48)-INDEX(calc_lrcur,48))*100</f>
        <v>0.79270126423526266</v>
      </c>
      <c r="I53" s="113">
        <f>IF($C53="",0,INDEX(calc_arate_p,48))</f>
        <v>1</v>
      </c>
      <c r="J53" s="113">
        <f>IF($C53="",0,INDEX(calc_amod_p,48))</f>
        <v>1.0132116877372543</v>
      </c>
      <c r="K53" s="103">
        <f>IF($C53="",0,INDEX(calc_echg,48))</f>
        <v>0</v>
      </c>
      <c r="L53" s="103">
        <f>IF($C53="",0,INDEX(calc_carry,48))</f>
        <v>0</v>
      </c>
      <c r="M53" s="110">
        <f>INDEX(calc_cylr_p1,48)</f>
        <v>0.60983027299151116</v>
      </c>
      <c r="N53" s="114">
        <f>N(INDEX(lr_ep,48))</f>
        <v>19200</v>
      </c>
      <c r="O53" s="115">
        <f t="shared" si="1"/>
        <v>2.3880597014925373E-2</v>
      </c>
    </row>
    <row r="54" spans="1:15" x14ac:dyDescent="0.25">
      <c r="A54" s="108" t="str">
        <f>IF(INDEX(lr_key,49)="","",INDEX(lr_bu,49))</f>
        <v>BU-C</v>
      </c>
      <c r="B54" s="108" t="str">
        <f>IF(INDEX(lr_key,49)="","",INDEX(lr_state,49))</f>
        <v>IL</v>
      </c>
      <c r="C54" s="109" t="str">
        <f>INDEX(lr_key,49)</f>
        <v>BU-C|IL</v>
      </c>
      <c r="D54" s="110">
        <f>N(INDEX(lr_lrproj,49))</f>
        <v>0.58399999999999996</v>
      </c>
      <c r="E54" s="37" t="str">
        <f>IF($C54="","",INDEX(lr_basis,49)&amp;"")</f>
        <v>current</v>
      </c>
      <c r="F54" s="110">
        <f>INDEX(calc_lrcur,49)</f>
        <v>0.58399999999999996</v>
      </c>
      <c r="G54" s="111">
        <f>INDEX(calc_cylr_p,49)</f>
        <v>0.55196103887765247</v>
      </c>
      <c r="H54" s="112">
        <f>(INDEX(calc_cylr_p,49)-INDEX(calc_lrcur,49))*100</f>
        <v>-3.2038961122347498</v>
      </c>
      <c r="I54" s="113">
        <f>IF($C54="",0,INDEX(calc_arate_p,49))</f>
        <v>0.93896713615023497</v>
      </c>
      <c r="J54" s="113">
        <f>IF($C54="",0,INDEX(calc_amod_p,49))</f>
        <v>1.0065727849395543</v>
      </c>
      <c r="K54" s="103">
        <f>IF($C54="",0,INDEX(calc_echg,49))</f>
        <v>6.4999999999999725E-2</v>
      </c>
      <c r="L54" s="103">
        <f>IF($C54="",0,INDEX(calc_carry,49))</f>
        <v>0</v>
      </c>
      <c r="M54" s="110">
        <f>INDEX(calc_cylr_p1,49)</f>
        <v>0.5485594026145274</v>
      </c>
      <c r="N54" s="114">
        <f>N(INDEX(lr_ep,49))</f>
        <v>16000</v>
      </c>
      <c r="O54" s="115">
        <f t="shared" si="1"/>
        <v>1.9900497512437811E-2</v>
      </c>
    </row>
    <row r="55" spans="1:15" x14ac:dyDescent="0.25">
      <c r="A55" s="108" t="str">
        <f>IF(INDEX(lr_key,50)="","",INDEX(lr_bu,50))</f>
        <v>BU-C</v>
      </c>
      <c r="B55" s="108" t="str">
        <f>IF(INDEX(lr_key,50)="","",INDEX(lr_state,50))</f>
        <v>IN</v>
      </c>
      <c r="C55" s="109" t="str">
        <f>INDEX(lr_key,50)</f>
        <v>BU-C|IN</v>
      </c>
      <c r="D55" s="110">
        <f>N(INDEX(lr_lrproj,50))</f>
        <v>0.56799999999999995</v>
      </c>
      <c r="E55" s="37" t="str">
        <f>IF($C55="","",INDEX(lr_basis,50)&amp;"")</f>
        <v>current</v>
      </c>
      <c r="F55" s="110">
        <f>INDEX(calc_lrcur,50)</f>
        <v>0.56799999999999995</v>
      </c>
      <c r="G55" s="111">
        <f>INDEX(calc_cylr_p,50)</f>
        <v>0.57533394755985956</v>
      </c>
      <c r="H55" s="112">
        <f>(INDEX(calc_cylr_p,50)-INDEX(calc_lrcur,50))*100</f>
        <v>0.73339475598596104</v>
      </c>
      <c r="I55" s="113">
        <f>IF($C55="",0,INDEX(calc_arate_p,50))</f>
        <v>0.9975062344139648</v>
      </c>
      <c r="J55" s="113">
        <f>IF($C55="",0,INDEX(calc_amod_p,50))</f>
        <v>1.0154441592055623</v>
      </c>
      <c r="K55" s="103">
        <f>IF($C55="",0,INDEX(calc_echg,50))</f>
        <v>2.5000000000001688E-3</v>
      </c>
      <c r="L55" s="103">
        <f>IF($C55="",0,INDEX(calc_carry,50))</f>
        <v>3.491271820448838E-2</v>
      </c>
      <c r="M55" s="110">
        <f>INDEX(calc_cylr_p1,50)</f>
        <v>0.55942467766544224</v>
      </c>
      <c r="N55" s="114">
        <f>N(INDEX(lr_ep,50))</f>
        <v>12800</v>
      </c>
      <c r="O55" s="115">
        <f t="shared" si="1"/>
        <v>1.5920398009950248E-2</v>
      </c>
    </row>
    <row r="56" spans="1:15" x14ac:dyDescent="0.25">
      <c r="A56" s="108" t="str">
        <f>IF(INDEX(lr_key,51)="","",INDEX(lr_bu,51))</f>
        <v>BU-C</v>
      </c>
      <c r="B56" s="108" t="str">
        <f>IF(INDEX(lr_key,51)="","",INDEX(lr_state,51))</f>
        <v>IA</v>
      </c>
      <c r="C56" s="109" t="str">
        <f>INDEX(lr_key,51)</f>
        <v>BU-C|IA</v>
      </c>
      <c r="D56" s="110">
        <f>N(INDEX(lr_lrproj,51))</f>
        <v>0.59599999999999997</v>
      </c>
      <c r="E56" s="37" t="str">
        <f>IF($C56="","",INDEX(lr_basis,51)&amp;"")</f>
        <v>current</v>
      </c>
      <c r="F56" s="110">
        <f>INDEX(calc_lrcur,51)</f>
        <v>0.59599999999999997</v>
      </c>
      <c r="G56" s="111">
        <f>INDEX(calc_cylr_p,51)</f>
        <v>0.54805984563196153</v>
      </c>
      <c r="H56" s="112">
        <f>(INDEX(calc_cylr_p,51)-INDEX(calc_lrcur,51))*100</f>
        <v>-4.7940154368038446</v>
      </c>
      <c r="I56" s="113">
        <f>IF($C56="",0,INDEX(calc_arate_p,51))</f>
        <v>0.91956349938248583</v>
      </c>
      <c r="J56" s="113">
        <f>IF($C56="",0,INDEX(calc_amod_p,51))</f>
        <v>1</v>
      </c>
      <c r="K56" s="103">
        <f>IF($C56="",0,INDEX(calc_echg,51))</f>
        <v>8.7472480879819292E-2</v>
      </c>
      <c r="L56" s="103">
        <f>IF($C56="",0,INDEX(calc_carry,51))</f>
        <v>9.9999999999999867E-2</v>
      </c>
      <c r="M56" s="110">
        <f>INDEX(calc_cylr_p1,51)</f>
        <v>0.49823622330178319</v>
      </c>
      <c r="N56" s="114">
        <f>N(INDEX(lr_ep,51))</f>
        <v>9600</v>
      </c>
      <c r="O56" s="115">
        <f t="shared" si="1"/>
        <v>1.1940298507462687E-2</v>
      </c>
    </row>
    <row r="57" spans="1:15" x14ac:dyDescent="0.25">
      <c r="A57" s="108" t="str">
        <f>IF(INDEX(lr_key,52)="","",INDEX(lr_bu,52))</f>
        <v>BU-C</v>
      </c>
      <c r="B57" s="108" t="str">
        <f>IF(INDEX(lr_key,52)="","",INDEX(lr_state,52))</f>
        <v>KY</v>
      </c>
      <c r="C57" s="109" t="str">
        <f>INDEX(lr_key,52)</f>
        <v>BU-C|KY</v>
      </c>
      <c r="D57" s="110">
        <f>N(INDEX(lr_lrproj,52))</f>
        <v>0.57999999999999996</v>
      </c>
      <c r="E57" s="37" t="str">
        <f>IF($C57="","",INDEX(lr_basis,52)&amp;"")</f>
        <v>current</v>
      </c>
      <c r="F57" s="110">
        <f>INDEX(calc_lrcur,52)</f>
        <v>0.57999999999999996</v>
      </c>
      <c r="G57" s="111">
        <f>INDEX(calc_cylr_p,52)</f>
        <v>0.58127308446376114</v>
      </c>
      <c r="H57" s="112">
        <f>(INDEX(calc_cylr_p,52)-INDEX(calc_lrcur,52))*100</f>
        <v>0.1273084463761176</v>
      </c>
      <c r="I57" s="113">
        <f>IF($C57="",0,INDEX(calc_arate_p,52))</f>
        <v>1</v>
      </c>
      <c r="J57" s="113">
        <f>IF($C57="",0,INDEX(calc_amod_p,52))</f>
        <v>1.0021949732133812</v>
      </c>
      <c r="K57" s="103">
        <f>IF($C57="",0,INDEX(calc_echg,52))</f>
        <v>0</v>
      </c>
      <c r="L57" s="103">
        <f>IF($C57="",0,INDEX(calc_carry,52))</f>
        <v>0</v>
      </c>
      <c r="M57" s="110">
        <f>INDEX(calc_cylr_p1,52)</f>
        <v>0.57418299738769518</v>
      </c>
      <c r="N57" s="114">
        <f>N(INDEX(lr_ep,52))</f>
        <v>6400</v>
      </c>
      <c r="O57" s="115">
        <f t="shared" si="1"/>
        <v>7.9601990049751239E-3</v>
      </c>
    </row>
    <row r="58" spans="1:15" x14ac:dyDescent="0.25">
      <c r="A58" s="108" t="str">
        <f>IF(INDEX(lr_key,53)="","",INDEX(lr_bu,53))</f>
        <v>BU-C</v>
      </c>
      <c r="B58" s="108" t="str">
        <f>IF(INDEX(lr_key,53)="","",INDEX(lr_state,53))</f>
        <v>MD</v>
      </c>
      <c r="C58" s="109" t="str">
        <f>INDEX(lr_key,53)</f>
        <v>BU-C|MD</v>
      </c>
      <c r="D58" s="110">
        <f>N(INDEX(lr_lrproj,53))</f>
        <v>0.56399999999999995</v>
      </c>
      <c r="E58" s="37" t="str">
        <f>IF($C58="","",INDEX(lr_basis,53)&amp;"")</f>
        <v>current</v>
      </c>
      <c r="F58" s="110">
        <f>INDEX(calc_lrcur,53)</f>
        <v>0.56399999999999995</v>
      </c>
      <c r="G58" s="111">
        <f>INDEX(calc_cylr_p,53)</f>
        <v>0.57019780219780236</v>
      </c>
      <c r="H58" s="112">
        <f>(INDEX(calc_cylr_p,53)-INDEX(calc_lrcur,53))*100</f>
        <v>0.61978021978024156</v>
      </c>
      <c r="I58" s="113">
        <f>IF($C58="",0,INDEX(calc_arate_p,53))</f>
        <v>1.0000000000000002</v>
      </c>
      <c r="J58" s="113">
        <f>IF($C58="",0,INDEX(calc_amod_p,53))</f>
        <v>1.0109890109890112</v>
      </c>
      <c r="K58" s="103">
        <f>IF($C58="",0,INDEX(calc_echg,53))</f>
        <v>0</v>
      </c>
      <c r="L58" s="103">
        <f>IF($C58="",0,INDEX(calc_carry,53))</f>
        <v>0</v>
      </c>
      <c r="M58" s="110">
        <f>INDEX(calc_cylr_p1,53)</f>
        <v>0.57019780219780236</v>
      </c>
      <c r="N58" s="114">
        <f>N(INDEX(lr_ep,53))</f>
        <v>16800</v>
      </c>
      <c r="O58" s="115">
        <f t="shared" si="1"/>
        <v>2.0895522388059702E-2</v>
      </c>
    </row>
    <row r="59" spans="1:15" x14ac:dyDescent="0.25">
      <c r="A59" s="108" t="str">
        <f>IF(INDEX(lr_key,54)="","",INDEX(lr_bu,54))</f>
        <v>BU-C</v>
      </c>
      <c r="B59" s="108" t="str">
        <f>IF(INDEX(lr_key,54)="","",INDEX(lr_state,54))</f>
        <v>MI</v>
      </c>
      <c r="C59" s="109" t="str">
        <f>INDEX(lr_key,54)</f>
        <v>BU-C|MI</v>
      </c>
      <c r="D59" s="110">
        <f>N(INDEX(lr_lrproj,54))</f>
        <v>0.59199999999999997</v>
      </c>
      <c r="E59" s="37" t="str">
        <f>IF($C59="","",INDEX(lr_basis,54)&amp;"")</f>
        <v>current</v>
      </c>
      <c r="F59" s="110">
        <f>INDEX(calc_lrcur,54)</f>
        <v>0.59199999999999997</v>
      </c>
      <c r="G59" s="111">
        <f>INDEX(calc_cylr_p,54)</f>
        <v>0.58293375719491614</v>
      </c>
      <c r="H59" s="112">
        <f>(INDEX(calc_cylr_p,54)-INDEX(calc_lrcur,54))*100</f>
        <v>-0.90662428050838351</v>
      </c>
      <c r="I59" s="113">
        <f>IF($C59="",0,INDEX(calc_arate_p,54))</f>
        <v>0.98039215686274506</v>
      </c>
      <c r="J59" s="113">
        <f>IF($C59="",0,INDEX(calc_amod_p,54))</f>
        <v>1.0043791086804299</v>
      </c>
      <c r="K59" s="103">
        <f>IF($C59="",0,INDEX(calc_echg,54))</f>
        <v>2.0000000000000018E-2</v>
      </c>
      <c r="L59" s="103">
        <f>IF($C59="",0,INDEX(calc_carry,54))</f>
        <v>1.960784313725461E-2</v>
      </c>
      <c r="M59" s="110">
        <f>INDEX(calc_cylr_p1,54)</f>
        <v>0.56646596245582848</v>
      </c>
      <c r="N59" s="114">
        <f>N(INDEX(lr_ep,54))</f>
        <v>13600</v>
      </c>
      <c r="O59" s="115">
        <f t="shared" si="1"/>
        <v>1.6915422885572139E-2</v>
      </c>
    </row>
    <row r="60" spans="1:15" x14ac:dyDescent="0.25">
      <c r="A60" s="108" t="str">
        <f>IF(INDEX(lr_key,55)="","",INDEX(lr_bu,55))</f>
        <v>BU-C</v>
      </c>
      <c r="B60" s="108" t="str">
        <f>IF(INDEX(lr_key,55)="","",INDEX(lr_state,55))</f>
        <v>MN</v>
      </c>
      <c r="C60" s="109" t="str">
        <f>INDEX(lr_key,55)</f>
        <v>BU-C|MN</v>
      </c>
      <c r="D60" s="110">
        <f>N(INDEX(lr_lrproj,55))</f>
        <v>0.57599999999999996</v>
      </c>
      <c r="E60" s="37" t="str">
        <f>IF($C60="","",INDEX(lr_basis,55)&amp;"")</f>
        <v>current</v>
      </c>
      <c r="F60" s="110">
        <f>INDEX(calc_lrcur,55)</f>
        <v>0.57599999999999996</v>
      </c>
      <c r="G60" s="111">
        <f>INDEX(calc_cylr_p,55)</f>
        <v>0.58360993213665835</v>
      </c>
      <c r="H60" s="112">
        <f>(INDEX(calc_cylr_p,55)-INDEX(calc_lrcur,55))*100</f>
        <v>0.76099321366583927</v>
      </c>
      <c r="I60" s="113">
        <f>IF($C60="",0,INDEX(calc_arate_p,55))</f>
        <v>0.99999999999999978</v>
      </c>
      <c r="J60" s="113">
        <f>IF($C60="",0,INDEX(calc_amod_p,55))</f>
        <v>1.0132116877372543</v>
      </c>
      <c r="K60" s="103">
        <f>IF($C60="",0,INDEX(calc_echg,55))</f>
        <v>0</v>
      </c>
      <c r="L60" s="103">
        <f>IF($C60="",0,INDEX(calc_carry,55))</f>
        <v>0</v>
      </c>
      <c r="M60" s="110">
        <f>INDEX(calc_cylr_p1,55)</f>
        <v>0.58543706207185053</v>
      </c>
      <c r="N60" s="114">
        <f>N(INDEX(lr_ep,55))</f>
        <v>10400</v>
      </c>
      <c r="O60" s="115">
        <f t="shared" si="1"/>
        <v>1.2935323383084577E-2</v>
      </c>
    </row>
    <row r="61" spans="1:15" x14ac:dyDescent="0.25">
      <c r="A61" s="108" t="str">
        <f>IF(INDEX(lr_key,56)="","",INDEX(lr_bu,56))</f>
        <v>BU-C</v>
      </c>
      <c r="B61" s="108" t="str">
        <f>IF(INDEX(lr_key,56)="","",INDEX(lr_state,56))</f>
        <v>MO</v>
      </c>
      <c r="C61" s="109" t="str">
        <f>INDEX(lr_key,56)</f>
        <v>BU-C|MO</v>
      </c>
      <c r="D61" s="110">
        <f>N(INDEX(lr_lrproj,56))</f>
        <v>0.56000000000000005</v>
      </c>
      <c r="E61" s="37" t="str">
        <f>IF($C61="","",INDEX(lr_basis,56)&amp;"")</f>
        <v>current</v>
      </c>
      <c r="F61" s="110">
        <f>INDEX(calc_lrcur,56)</f>
        <v>0.56000000000000005</v>
      </c>
      <c r="G61" s="111">
        <f>INDEX(calc_cylr_p,56)</f>
        <v>0.56375752393487788</v>
      </c>
      <c r="H61" s="112">
        <f>(INDEX(calc_cylr_p,56)-INDEX(calc_lrcur,56))*100</f>
        <v>0.37575239348778267</v>
      </c>
      <c r="I61" s="113">
        <f>IF($C61="",0,INDEX(calc_arate_p,56))</f>
        <v>1.0001361841209313</v>
      </c>
      <c r="J61" s="113">
        <f>IF($C61="",0,INDEX(calc_amod_p,56))</f>
        <v>1.0065727849395543</v>
      </c>
      <c r="K61" s="103">
        <f>IF($C61="",0,INDEX(calc_echg,56))</f>
        <v>-1.3616557734186241E-4</v>
      </c>
      <c r="L61" s="103">
        <f>IF($C61="",0,INDEX(calc_carry,56))</f>
        <v>1.3618412093152621E-4</v>
      </c>
      <c r="M61" s="110">
        <f>INDEX(calc_cylr_p1,56)</f>
        <v>0.5602068967796302</v>
      </c>
      <c r="N61" s="114">
        <f>N(INDEX(lr_ep,56))</f>
        <v>7200</v>
      </c>
      <c r="O61" s="115">
        <f t="shared" si="1"/>
        <v>8.9552238805970154E-3</v>
      </c>
    </row>
    <row r="62" spans="1:15" x14ac:dyDescent="0.25">
      <c r="A62" s="108" t="str">
        <f>IF(INDEX(lr_key,57)="","",INDEX(lr_bu,57))</f>
        <v>BU-C</v>
      </c>
      <c r="B62" s="108" t="str">
        <f>IF(INDEX(lr_key,57)="","",INDEX(lr_state,57))</f>
        <v>NC</v>
      </c>
      <c r="C62" s="109" t="str">
        <f>INDEX(lr_key,57)</f>
        <v>BU-C|NC</v>
      </c>
      <c r="D62" s="110">
        <f>N(INDEX(lr_lrproj,57))</f>
        <v>0.58799999999999997</v>
      </c>
      <c r="E62" s="37" t="str">
        <f>IF($C62="","",INDEX(lr_basis,57)&amp;"")</f>
        <v>current</v>
      </c>
      <c r="F62" s="110">
        <f>INDEX(calc_lrcur,57)</f>
        <v>0.58799999999999997</v>
      </c>
      <c r="G62" s="111">
        <f>INDEX(calc_cylr_p,57)</f>
        <v>0.59708116561287061</v>
      </c>
      <c r="H62" s="112">
        <f>(INDEX(calc_cylr_p,57)-INDEX(calc_lrcur,57))*100</f>
        <v>0.90811656128706453</v>
      </c>
      <c r="I62" s="113">
        <f>IF($C62="",0,INDEX(calc_arate_p,57))</f>
        <v>1</v>
      </c>
      <c r="J62" s="113">
        <f>IF($C62="",0,INDEX(calc_amod_p,57))</f>
        <v>1.0154441592055623</v>
      </c>
      <c r="K62" s="103">
        <f>IF($C62="",0,INDEX(calc_echg,57))</f>
        <v>0</v>
      </c>
      <c r="L62" s="103">
        <f>IF($C62="",0,INDEX(calc_carry,57))</f>
        <v>0</v>
      </c>
      <c r="M62" s="110">
        <f>INDEX(calc_cylr_p1,57)</f>
        <v>0.60083983205951241</v>
      </c>
      <c r="N62" s="114">
        <f>N(INDEX(lr_ep,57))</f>
        <v>17600</v>
      </c>
      <c r="O62" s="115">
        <f t="shared" si="1"/>
        <v>2.1890547263681594E-2</v>
      </c>
    </row>
    <row r="63" spans="1:15" x14ac:dyDescent="0.25">
      <c r="A63" s="108" t="str">
        <f>IF(INDEX(lr_key,58)="","",INDEX(lr_bu,58))</f>
        <v>BU-C</v>
      </c>
      <c r="B63" s="108" t="str">
        <f>IF(INDEX(lr_key,58)="","",INDEX(lr_state,58))</f>
        <v>NJ</v>
      </c>
      <c r="C63" s="109" t="str">
        <f>INDEX(lr_key,58)</f>
        <v>BU-C|NJ</v>
      </c>
      <c r="D63" s="110">
        <f>N(INDEX(lr_lrproj,58))</f>
        <v>0.57199999999999995</v>
      </c>
      <c r="E63" s="37" t="str">
        <f>IF($C63="","",INDEX(lr_basis,58)&amp;"")</f>
        <v>current</v>
      </c>
      <c r="F63" s="110">
        <f>INDEX(calc_lrcur,58)</f>
        <v>0.57199999999999995</v>
      </c>
      <c r="G63" s="111">
        <f>INDEX(calc_cylr_p,58)</f>
        <v>0.57441173602854845</v>
      </c>
      <c r="H63" s="112">
        <f>(INDEX(calc_cylr_p,58)-INDEX(calc_lrcur,58))*100</f>
        <v>0.24117360285484946</v>
      </c>
      <c r="I63" s="113">
        <f>IF($C63="",0,INDEX(calc_arate_p,58))</f>
        <v>0.99547992555171516</v>
      </c>
      <c r="J63" s="113">
        <f>IF($C63="",0,INDEX(calc_amod_p,58))</f>
        <v>1.0087760646420616</v>
      </c>
      <c r="K63" s="103">
        <f>IF($C63="",0,INDEX(calc_echg,58))</f>
        <v>4.5405982905981634E-3</v>
      </c>
      <c r="L63" s="103">
        <f>IF($C63="",0,INDEX(calc_carry,58))</f>
        <v>3.5022600372241586E-2</v>
      </c>
      <c r="M63" s="110">
        <f>INDEX(calc_cylr_p1,58)</f>
        <v>0.55325593148837793</v>
      </c>
      <c r="N63" s="114">
        <f>N(INDEX(lr_ep,58))</f>
        <v>14400</v>
      </c>
      <c r="O63" s="115">
        <f t="shared" si="1"/>
        <v>1.7910447761194031E-2</v>
      </c>
    </row>
    <row r="64" spans="1:15" x14ac:dyDescent="0.25">
      <c r="A64" s="108" t="str">
        <f>IF(INDEX(lr_key,59)="","",INDEX(lr_bu,59))</f>
        <v>BU-C</v>
      </c>
      <c r="B64" s="108" t="str">
        <f>IF(INDEX(lr_key,59)="","",INDEX(lr_state,59))</f>
        <v>NY</v>
      </c>
      <c r="C64" s="109" t="str">
        <f>INDEX(lr_key,59)</f>
        <v>BU-C|NY</v>
      </c>
      <c r="D64" s="110">
        <f>N(INDEX(lr_lrproj,59))</f>
        <v>0.6</v>
      </c>
      <c r="E64" s="37" t="str">
        <f>IF($C64="","",INDEX(lr_basis,59)&amp;"")</f>
        <v>current</v>
      </c>
      <c r="F64" s="110">
        <f>INDEX(calc_lrcur,59)</f>
        <v>0.6</v>
      </c>
      <c r="G64" s="111">
        <f>INDEX(calc_cylr_p,59)</f>
        <v>0.6045154785233906</v>
      </c>
      <c r="H64" s="112">
        <f>(INDEX(calc_cylr_p,59)-INDEX(calc_lrcur,59))*100</f>
        <v>0.45154785233906258</v>
      </c>
      <c r="I64" s="113">
        <f>IF($C64="",0,INDEX(calc_arate_p,59))</f>
        <v>1.0053191489361701</v>
      </c>
      <c r="J64" s="113">
        <f>IF($C64="",0,INDEX(calc_amod_p,59))</f>
        <v>1.0021949732133812</v>
      </c>
      <c r="K64" s="103">
        <f>IF($C64="",0,INDEX(calc_echg,59))</f>
        <v>-5.2910052910052352E-3</v>
      </c>
      <c r="L64" s="103">
        <f>IF($C64="",0,INDEX(calc_carry,59))</f>
        <v>5.3191489361701372E-3</v>
      </c>
      <c r="M64" s="110">
        <f>INDEX(calc_cylr_p1,59)</f>
        <v>0.59398241109071914</v>
      </c>
      <c r="N64" s="114">
        <f>N(INDEX(lr_ep,59))</f>
        <v>11200</v>
      </c>
      <c r="O64" s="115">
        <f t="shared" si="1"/>
        <v>1.3930348258706468E-2</v>
      </c>
    </row>
    <row r="65" spans="1:15" x14ac:dyDescent="0.25">
      <c r="A65" s="108" t="str">
        <f>IF(INDEX(lr_key,60)="","",INDEX(lr_bu,60))</f>
        <v>BU-C</v>
      </c>
      <c r="B65" s="108" t="str">
        <f>IF(INDEX(lr_key,60)="","",INDEX(lr_state,60))</f>
        <v>OH</v>
      </c>
      <c r="C65" s="109" t="str">
        <f>INDEX(lr_key,60)</f>
        <v>BU-C|OH</v>
      </c>
      <c r="D65" s="110">
        <f>N(INDEX(lr_lrproj,60))</f>
        <v>0.58399999999999996</v>
      </c>
      <c r="E65" s="37" t="str">
        <f>IF($C65="","",INDEX(lr_basis,60)&amp;"")</f>
        <v>current</v>
      </c>
      <c r="F65" s="110">
        <f>INDEX(calc_lrcur,60)</f>
        <v>0.58399999999999996</v>
      </c>
      <c r="G65" s="111">
        <f>INDEX(calc_cylr_p,60)</f>
        <v>0.59041758241758246</v>
      </c>
      <c r="H65" s="112">
        <f>(INDEX(calc_cylr_p,60)-INDEX(calc_lrcur,60))*100</f>
        <v>0.64175824175825014</v>
      </c>
      <c r="I65" s="113">
        <f>IF($C65="",0,INDEX(calc_arate_p,60))</f>
        <v>1</v>
      </c>
      <c r="J65" s="113">
        <f>IF($C65="",0,INDEX(calc_amod_p,60))</f>
        <v>1.0109890109890112</v>
      </c>
      <c r="K65" s="103">
        <f>IF($C65="",0,INDEX(calc_echg,60))</f>
        <v>0</v>
      </c>
      <c r="L65" s="103">
        <f>IF($C65="",0,INDEX(calc_carry,60))</f>
        <v>0</v>
      </c>
      <c r="M65" s="110">
        <f>INDEX(calc_cylr_p1,60)</f>
        <v>0.59041758241758246</v>
      </c>
      <c r="N65" s="114">
        <f>N(INDEX(lr_ep,60))</f>
        <v>8000</v>
      </c>
      <c r="O65" s="115">
        <f t="shared" si="1"/>
        <v>9.9502487562189053E-3</v>
      </c>
    </row>
    <row r="66" spans="1:15" x14ac:dyDescent="0.25">
      <c r="A66" s="108" t="str">
        <f>IF(INDEX(lr_key,61)="","",INDEX(lr_bu,61))</f>
        <v>BU-C</v>
      </c>
      <c r="B66" s="108" t="str">
        <f>IF(INDEX(lr_key,61)="","",INDEX(lr_state,61))</f>
        <v>PA</v>
      </c>
      <c r="C66" s="109" t="str">
        <f>INDEX(lr_key,61)</f>
        <v>BU-C|PA</v>
      </c>
      <c r="D66" s="110">
        <f>N(INDEX(lr_lrproj,61))</f>
        <v>0.56799999999999995</v>
      </c>
      <c r="E66" s="37" t="str">
        <f>IF($C66="","",INDEX(lr_basis,61)&amp;"")</f>
        <v>current</v>
      </c>
      <c r="F66" s="110">
        <f>INDEX(calc_lrcur,61)</f>
        <v>0.56799999999999995</v>
      </c>
      <c r="G66" s="111">
        <f>INDEX(calc_cylr_p,61)</f>
        <v>0.57048733373048399</v>
      </c>
      <c r="H66" s="112">
        <f>(INDEX(calc_cylr_p,61)-INDEX(calc_lrcur,61))*100</f>
        <v>0.24873337304840426</v>
      </c>
      <c r="I66" s="113">
        <f>IF($C66="",0,INDEX(calc_arate_p,61))</f>
        <v>0.99999999999999978</v>
      </c>
      <c r="J66" s="113">
        <f>IF($C66="",0,INDEX(calc_amod_p,61))</f>
        <v>1.0043791086804299</v>
      </c>
      <c r="K66" s="103">
        <f>IF($C66="",0,INDEX(calc_echg,61))</f>
        <v>0</v>
      </c>
      <c r="L66" s="103">
        <f>IF($C66="",0,INDEX(calc_carry,61))</f>
        <v>0</v>
      </c>
      <c r="M66" s="110">
        <f>INDEX(calc_cylr_p1,61)</f>
        <v>0.56524117118565342</v>
      </c>
      <c r="N66" s="114">
        <f>N(INDEX(lr_ep,61))</f>
        <v>18400</v>
      </c>
      <c r="O66" s="115">
        <f t="shared" si="1"/>
        <v>2.2885572139303482E-2</v>
      </c>
    </row>
    <row r="67" spans="1:15" x14ac:dyDescent="0.25">
      <c r="A67" s="108" t="str">
        <f>IF(INDEX(lr_key,62)="","",INDEX(lr_bu,62))</f>
        <v>BU-C</v>
      </c>
      <c r="B67" s="108" t="str">
        <f>IF(INDEX(lr_key,62)="","",INDEX(lr_state,62))</f>
        <v>TN</v>
      </c>
      <c r="C67" s="109" t="str">
        <f>INDEX(lr_key,62)</f>
        <v>BU-C|TN</v>
      </c>
      <c r="D67" s="110">
        <f>N(INDEX(lr_lrproj,62))</f>
        <v>0.59599999999999997</v>
      </c>
      <c r="E67" s="37" t="str">
        <f>IF($C67="","",INDEX(lr_basis,62)&amp;"")</f>
        <v>current</v>
      </c>
      <c r="F67" s="110">
        <f>INDEX(calc_lrcur,62)</f>
        <v>0.59599999999999997</v>
      </c>
      <c r="G67" s="111">
        <f>INDEX(calc_cylr_p,62)</f>
        <v>0.58818912262149681</v>
      </c>
      <c r="H67" s="112">
        <f>(INDEX(calc_cylr_p,62)-INDEX(calc_lrcur,62))*100</f>
        <v>-0.78108773785031671</v>
      </c>
      <c r="I67" s="113">
        <f>IF($C67="",0,INDEX(calc_arate_p,62))</f>
        <v>0.9740259740259738</v>
      </c>
      <c r="J67" s="113">
        <f>IF($C67="",0,INDEX(calc_amod_p,62))</f>
        <v>1.0132116877372543</v>
      </c>
      <c r="K67" s="103">
        <f>IF($C67="",0,INDEX(calc_echg,62))</f>
        <v>2.666666666666706E-2</v>
      </c>
      <c r="L67" s="103">
        <f>IF($C67="",0,INDEX(calc_carry,62))</f>
        <v>1.2987012987013102E-2</v>
      </c>
      <c r="M67" s="110">
        <f>INDEX(calc_cylr_p1,62)</f>
        <v>0.5824660940752252</v>
      </c>
      <c r="N67" s="114">
        <f>N(INDEX(lr_ep,62))</f>
        <v>15200</v>
      </c>
      <c r="O67" s="115">
        <f t="shared" si="1"/>
        <v>1.8905472636815919E-2</v>
      </c>
    </row>
    <row r="68" spans="1:15" x14ac:dyDescent="0.25">
      <c r="A68" s="108" t="str">
        <f>IF(INDEX(lr_key,63)="","",INDEX(lr_bu,63))</f>
        <v>BU-C</v>
      </c>
      <c r="B68" s="108" t="str">
        <f>IF(INDEX(lr_key,63)="","",INDEX(lr_state,63))</f>
        <v>TX</v>
      </c>
      <c r="C68" s="109" t="str">
        <f>INDEX(lr_key,63)</f>
        <v>BU-C|TX</v>
      </c>
      <c r="D68" s="110">
        <f>N(INDEX(lr_lrproj,63))</f>
        <v>0.57999999999999996</v>
      </c>
      <c r="E68" s="37" t="str">
        <f>IF($C68="","",INDEX(lr_basis,63)&amp;"")</f>
        <v>current</v>
      </c>
      <c r="F68" s="110">
        <f>INDEX(calc_lrcur,63)</f>
        <v>0.57999999999999996</v>
      </c>
      <c r="G68" s="111">
        <f>INDEX(calc_cylr_p,63)</f>
        <v>0.58381221526494143</v>
      </c>
      <c r="H68" s="112">
        <f>(INDEX(calc_cylr_p,63)-INDEX(calc_lrcur,63))*100</f>
        <v>0.38122152649414653</v>
      </c>
      <c r="I68" s="113">
        <f>IF($C68="",0,INDEX(calc_arate_p,63))</f>
        <v>1</v>
      </c>
      <c r="J68" s="113">
        <f>IF($C68="",0,INDEX(calc_amod_p,63))</f>
        <v>1.0065727849395543</v>
      </c>
      <c r="K68" s="103">
        <f>IF($C68="",0,INDEX(calc_echg,63))</f>
        <v>0</v>
      </c>
      <c r="L68" s="103">
        <f>IF($C68="",0,INDEX(calc_carry,63))</f>
        <v>0</v>
      </c>
      <c r="M68" s="110">
        <f>INDEX(calc_cylr_p1,63)</f>
        <v>0.58021428595033131</v>
      </c>
      <c r="N68" s="114">
        <f>N(INDEX(lr_ep,63))</f>
        <v>12000</v>
      </c>
      <c r="O68" s="115">
        <f t="shared" si="1"/>
        <v>1.4925373134328358E-2</v>
      </c>
    </row>
    <row r="69" spans="1:15" x14ac:dyDescent="0.25">
      <c r="A69" s="108" t="str">
        <f>IF(INDEX(lr_key,64)="","",INDEX(lr_bu,64))</f>
        <v/>
      </c>
      <c r="B69" s="108" t="str">
        <f>IF(INDEX(lr_key,64)="","",INDEX(lr_state,64))</f>
        <v/>
      </c>
      <c r="C69" s="109" t="str">
        <f>INDEX(lr_key,64)</f>
        <v/>
      </c>
      <c r="D69" s="110">
        <f>N(INDEX(lr_lrproj,64))</f>
        <v>0</v>
      </c>
      <c r="E69" s="37" t="str">
        <f>IF($C69="","",INDEX(lr_basis,64)&amp;"")</f>
        <v/>
      </c>
      <c r="F69" s="110">
        <f>INDEX(calc_lrcur,64)</f>
        <v>0</v>
      </c>
      <c r="G69" s="111">
        <f>INDEX(calc_cylr_p,64)</f>
        <v>0</v>
      </c>
      <c r="H69" s="112">
        <f>(INDEX(calc_cylr_p,64)-INDEX(calc_lrcur,64))*100</f>
        <v>0</v>
      </c>
      <c r="I69" s="113">
        <f>IF($C69="",0,INDEX(calc_arate_p,64))</f>
        <v>0</v>
      </c>
      <c r="J69" s="113">
        <f>IF($C69="",0,INDEX(calc_amod_p,64))</f>
        <v>0</v>
      </c>
      <c r="K69" s="103">
        <f>IF($C69="",0,INDEX(calc_echg,64))</f>
        <v>0</v>
      </c>
      <c r="L69" s="103">
        <f>IF($C69="",0,INDEX(calc_carry,64))</f>
        <v>0</v>
      </c>
      <c r="M69" s="110">
        <f>INDEX(calc_cylr_p1,64)</f>
        <v>0</v>
      </c>
      <c r="N69" s="114">
        <f>N(INDEX(lr_ep,64))</f>
        <v>0</v>
      </c>
      <c r="O69" s="115">
        <f t="shared" si="1"/>
        <v>0</v>
      </c>
    </row>
    <row r="70" spans="1:15" x14ac:dyDescent="0.25">
      <c r="A70" s="108" t="str">
        <f>IF(INDEX(lr_key,65)="","",INDEX(lr_bu,65))</f>
        <v/>
      </c>
      <c r="B70" s="108" t="str">
        <f>IF(INDEX(lr_key,65)="","",INDEX(lr_state,65))</f>
        <v/>
      </c>
      <c r="C70" s="109" t="str">
        <f>INDEX(lr_key,65)</f>
        <v/>
      </c>
      <c r="D70" s="110">
        <f>N(INDEX(lr_lrproj,65))</f>
        <v>0</v>
      </c>
      <c r="E70" s="37" t="str">
        <f>IF($C70="","",INDEX(lr_basis,65)&amp;"")</f>
        <v/>
      </c>
      <c r="F70" s="110">
        <f>INDEX(calc_lrcur,65)</f>
        <v>0</v>
      </c>
      <c r="G70" s="111">
        <f>INDEX(calc_cylr_p,65)</f>
        <v>0</v>
      </c>
      <c r="H70" s="112">
        <f>(INDEX(calc_cylr_p,65)-INDEX(calc_lrcur,65))*100</f>
        <v>0</v>
      </c>
      <c r="I70" s="113">
        <f>IF($C70="",0,INDEX(calc_arate_p,65))</f>
        <v>0</v>
      </c>
      <c r="J70" s="113">
        <f>IF($C70="",0,INDEX(calc_amod_p,65))</f>
        <v>0</v>
      </c>
      <c r="K70" s="103">
        <f>IF($C70="",0,INDEX(calc_echg,65))</f>
        <v>0</v>
      </c>
      <c r="L70" s="103">
        <f>IF($C70="",0,INDEX(calc_carry,65))</f>
        <v>0</v>
      </c>
      <c r="M70" s="110">
        <f>INDEX(calc_cylr_p1,65)</f>
        <v>0</v>
      </c>
      <c r="N70" s="114">
        <f>N(INDEX(lr_ep,65))</f>
        <v>0</v>
      </c>
      <c r="O70" s="115">
        <f t="shared" si="1"/>
        <v>0</v>
      </c>
    </row>
    <row r="71" spans="1:15" x14ac:dyDescent="0.25">
      <c r="A71" s="108" t="str">
        <f>IF(INDEX(lr_key,66)="","",INDEX(lr_bu,66))</f>
        <v/>
      </c>
      <c r="B71" s="108" t="str">
        <f>IF(INDEX(lr_key,66)="","",INDEX(lr_state,66))</f>
        <v/>
      </c>
      <c r="C71" s="109" t="str">
        <f>INDEX(lr_key,66)</f>
        <v/>
      </c>
      <c r="D71" s="110">
        <f>N(INDEX(lr_lrproj,66))</f>
        <v>0</v>
      </c>
      <c r="E71" s="37" t="str">
        <f>IF($C71="","",INDEX(lr_basis,66)&amp;"")</f>
        <v/>
      </c>
      <c r="F71" s="110">
        <f>INDEX(calc_lrcur,66)</f>
        <v>0</v>
      </c>
      <c r="G71" s="111">
        <f>INDEX(calc_cylr_p,66)</f>
        <v>0</v>
      </c>
      <c r="H71" s="112">
        <f>(INDEX(calc_cylr_p,66)-INDEX(calc_lrcur,66))*100</f>
        <v>0</v>
      </c>
      <c r="I71" s="113">
        <f>IF($C71="",0,INDEX(calc_arate_p,66))</f>
        <v>0</v>
      </c>
      <c r="J71" s="113">
        <f>IF($C71="",0,INDEX(calc_amod_p,66))</f>
        <v>0</v>
      </c>
      <c r="K71" s="103">
        <f>IF($C71="",0,INDEX(calc_echg,66))</f>
        <v>0</v>
      </c>
      <c r="L71" s="103">
        <f>IF($C71="",0,INDEX(calc_carry,66))</f>
        <v>0</v>
      </c>
      <c r="M71" s="110">
        <f>INDEX(calc_cylr_p1,66)</f>
        <v>0</v>
      </c>
      <c r="N71" s="114">
        <f>N(INDEX(lr_ep,66))</f>
        <v>0</v>
      </c>
      <c r="O71" s="115">
        <f t="shared" si="1"/>
        <v>0</v>
      </c>
    </row>
    <row r="72" spans="1:15" x14ac:dyDescent="0.25">
      <c r="A72" s="108" t="str">
        <f>IF(INDEX(lr_key,67)="","",INDEX(lr_bu,67))</f>
        <v/>
      </c>
      <c r="B72" s="108" t="str">
        <f>IF(INDEX(lr_key,67)="","",INDEX(lr_state,67))</f>
        <v/>
      </c>
      <c r="C72" s="109" t="str">
        <f>INDEX(lr_key,67)</f>
        <v/>
      </c>
      <c r="D72" s="110">
        <f>N(INDEX(lr_lrproj,67))</f>
        <v>0</v>
      </c>
      <c r="E72" s="37" t="str">
        <f>IF($C72="","",INDEX(lr_basis,67)&amp;"")</f>
        <v/>
      </c>
      <c r="F72" s="110">
        <f>INDEX(calc_lrcur,67)</f>
        <v>0</v>
      </c>
      <c r="G72" s="111">
        <f>INDEX(calc_cylr_p,67)</f>
        <v>0</v>
      </c>
      <c r="H72" s="112">
        <f>(INDEX(calc_cylr_p,67)-INDEX(calc_lrcur,67))*100</f>
        <v>0</v>
      </c>
      <c r="I72" s="113">
        <f>IF($C72="",0,INDEX(calc_arate_p,67))</f>
        <v>0</v>
      </c>
      <c r="J72" s="113">
        <f>IF($C72="",0,INDEX(calc_amod_p,67))</f>
        <v>0</v>
      </c>
      <c r="K72" s="103">
        <f>IF($C72="",0,INDEX(calc_echg,67))</f>
        <v>0</v>
      </c>
      <c r="L72" s="103">
        <f>IF($C72="",0,INDEX(calc_carry,67))</f>
        <v>0</v>
      </c>
      <c r="M72" s="110">
        <f>INDEX(calc_cylr_p1,67)</f>
        <v>0</v>
      </c>
      <c r="N72" s="114">
        <f>N(INDEX(lr_ep,67))</f>
        <v>0</v>
      </c>
      <c r="O72" s="115">
        <f t="shared" si="1"/>
        <v>0</v>
      </c>
    </row>
    <row r="73" spans="1:15" x14ac:dyDescent="0.25">
      <c r="A73" s="108" t="str">
        <f>IF(INDEX(lr_key,68)="","",INDEX(lr_bu,68))</f>
        <v/>
      </c>
      <c r="B73" s="108" t="str">
        <f>IF(INDEX(lr_key,68)="","",INDEX(lr_state,68))</f>
        <v/>
      </c>
      <c r="C73" s="109" t="str">
        <f>INDEX(lr_key,68)</f>
        <v/>
      </c>
      <c r="D73" s="110">
        <f>N(INDEX(lr_lrproj,68))</f>
        <v>0</v>
      </c>
      <c r="E73" s="37" t="str">
        <f>IF($C73="","",INDEX(lr_basis,68)&amp;"")</f>
        <v/>
      </c>
      <c r="F73" s="110">
        <f>INDEX(calc_lrcur,68)</f>
        <v>0</v>
      </c>
      <c r="G73" s="111">
        <f>INDEX(calc_cylr_p,68)</f>
        <v>0</v>
      </c>
      <c r="H73" s="112">
        <f>(INDEX(calc_cylr_p,68)-INDEX(calc_lrcur,68))*100</f>
        <v>0</v>
      </c>
      <c r="I73" s="113">
        <f>IF($C73="",0,INDEX(calc_arate_p,68))</f>
        <v>0</v>
      </c>
      <c r="J73" s="113">
        <f>IF($C73="",0,INDEX(calc_amod_p,68))</f>
        <v>0</v>
      </c>
      <c r="K73" s="103">
        <f>IF($C73="",0,INDEX(calc_echg,68))</f>
        <v>0</v>
      </c>
      <c r="L73" s="103">
        <f>IF($C73="",0,INDEX(calc_carry,68))</f>
        <v>0</v>
      </c>
      <c r="M73" s="110">
        <f>INDEX(calc_cylr_p1,68)</f>
        <v>0</v>
      </c>
      <c r="N73" s="114">
        <f>N(INDEX(lr_ep,68))</f>
        <v>0</v>
      </c>
      <c r="O73" s="115">
        <f t="shared" si="1"/>
        <v>0</v>
      </c>
    </row>
    <row r="74" spans="1:15" x14ac:dyDescent="0.25">
      <c r="A74" s="108" t="str">
        <f>IF(INDEX(lr_key,69)="","",INDEX(lr_bu,69))</f>
        <v/>
      </c>
      <c r="B74" s="108" t="str">
        <f>IF(INDEX(lr_key,69)="","",INDEX(lr_state,69))</f>
        <v/>
      </c>
      <c r="C74" s="109" t="str">
        <f>INDEX(lr_key,69)</f>
        <v/>
      </c>
      <c r="D74" s="110">
        <f>N(INDEX(lr_lrproj,69))</f>
        <v>0</v>
      </c>
      <c r="E74" s="37" t="str">
        <f>IF($C74="","",INDEX(lr_basis,69)&amp;"")</f>
        <v/>
      </c>
      <c r="F74" s="110">
        <f>INDEX(calc_lrcur,69)</f>
        <v>0</v>
      </c>
      <c r="G74" s="111">
        <f>INDEX(calc_cylr_p,69)</f>
        <v>0</v>
      </c>
      <c r="H74" s="112">
        <f>(INDEX(calc_cylr_p,69)-INDEX(calc_lrcur,69))*100</f>
        <v>0</v>
      </c>
      <c r="I74" s="113">
        <f>IF($C74="",0,INDEX(calc_arate_p,69))</f>
        <v>0</v>
      </c>
      <c r="J74" s="113">
        <f>IF($C74="",0,INDEX(calc_amod_p,69))</f>
        <v>0</v>
      </c>
      <c r="K74" s="103">
        <f>IF($C74="",0,INDEX(calc_echg,69))</f>
        <v>0</v>
      </c>
      <c r="L74" s="103">
        <f>IF($C74="",0,INDEX(calc_carry,69))</f>
        <v>0</v>
      </c>
      <c r="M74" s="110">
        <f>INDEX(calc_cylr_p1,69)</f>
        <v>0</v>
      </c>
      <c r="N74" s="114">
        <f>N(INDEX(lr_ep,69))</f>
        <v>0</v>
      </c>
      <c r="O74" s="115">
        <f t="shared" si="1"/>
        <v>0</v>
      </c>
    </row>
    <row r="76" spans="1:15" x14ac:dyDescent="0.25">
      <c r="B76" s="100" t="s">
        <v>332</v>
      </c>
      <c r="F76" s="116">
        <f>IF(SUM($N$6:$N$74)=0,"n/a",SUMPRODUCT(F$6:F$74,$N$6:$N$74)/SUM($N$6:$N$74))</f>
        <v>0.58183243781094529</v>
      </c>
      <c r="G76" s="101">
        <f>IF(SUM($N$6:$N$74)=0,"n/a",SUMPRODUCT(G$6:G$74,$N$6:$N$74)/SUM($N$6:$N$74))</f>
        <v>0.58320500261511987</v>
      </c>
      <c r="H76" s="102">
        <f>IF(ISNUMBER($G$76),($G$76-$F$76)*100,"")</f>
        <v>0.13725648041745808</v>
      </c>
      <c r="K76" s="117">
        <f>IF(SUM($N$6:$N$74)=0,"n/a",SUMPRODUCT(K$6:K$74,$N$6:$N$74)/SUM($N$6:$N$74))</f>
        <v>6.3341460627518408E-3</v>
      </c>
      <c r="L76" s="117">
        <f>IF(SUM($N$6:$N$74)=0,"n/a",SUMPRODUCT(L$6:L$74,$N$6:$N$74)/SUM($N$6:$N$74))</f>
        <v>8.6136623576397158E-3</v>
      </c>
      <c r="M76" s="116">
        <f>IF(SUM($N$6:$N$74)=0,"n/a",SUMPRODUCT(M$6:M$74,$N$6:$N$74)/SUM($N$6:$N$74))</f>
        <v>0.57665620075801161</v>
      </c>
      <c r="N76" s="118">
        <f>SUM($N$6:$N$74)</f>
        <v>804000</v>
      </c>
    </row>
    <row r="77" spans="1:15" x14ac:dyDescent="0.25">
      <c r="B77" s="12" t="s">
        <v>333</v>
      </c>
      <c r="F77" s="97">
        <f>IF(SUMPRODUCT(($C$6:$C$74&lt;&gt;"")*1)=0,"n/a",SUM(F$6:F$74)/SUMPRODUCT(($C$6:$C$74&lt;&gt;"")*1))</f>
        <v>0.5822666666666666</v>
      </c>
      <c r="G77" s="97">
        <f>IF(SUMPRODUCT(($C$6:$C$74&lt;&gt;"")*1)=0,"n/a",SUM(G$6:G$74)/SUMPRODUCT(($C$6:$C$74&lt;&gt;"")*1))</f>
        <v>0.58323847835882558</v>
      </c>
      <c r="K77" s="119">
        <f>IF(SUMPRODUCT(($C$6:$C$74&lt;&gt;"")*1)=0,"n/a",SUM(K$6:K$74)/SUMPRODUCT(($C$6:$C$74&lt;&gt;"")*1))</f>
        <v>6.6014032766834683E-3</v>
      </c>
      <c r="L77" s="119">
        <f>IF(SUMPRODUCT(($C$6:$C$74&lt;&gt;"")*1)=0,"n/a",SUM(L$6:L$74)/SUMPRODUCT(($C$6:$C$74&lt;&gt;"")*1))</f>
        <v>9.3746694574870591E-3</v>
      </c>
      <c r="M77" s="97">
        <f>IF(SUMPRODUCT(($C$6:$C$74&lt;&gt;"")*1)=0,"n/a",SUM(M$6:M$74)/SUMPRODUCT(($C$6:$C$74&lt;&gt;"")*1))</f>
        <v>0.57616166469952179</v>
      </c>
    </row>
    <row r="79" spans="1:15" ht="276" x14ac:dyDescent="0.25">
      <c r="B79" s="20" t="s">
        <v>334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335</v>
      </c>
    </row>
    <row r="2" spans="1:29" x14ac:dyDescent="0.25">
      <c r="A2" s="2" t="s">
        <v>336</v>
      </c>
    </row>
    <row r="4" spans="1:29" x14ac:dyDescent="0.25">
      <c r="A4" s="12" t="s">
        <v>337</v>
      </c>
      <c r="B4" s="120" t="s">
        <v>338</v>
      </c>
      <c r="C4" s="121" t="str">
        <f>"Showing: "&amp;IF($B$4="All","all business units combined (adj-EP weighted)",$B$4)</f>
        <v>Showing: all business units combined (adj-EP weighted)</v>
      </c>
      <c r="AA4" s="109" t="str">
        <f>IF($B$4="All","*",$B$4)</f>
        <v>*</v>
      </c>
    </row>
    <row r="6" spans="1:29" x14ac:dyDescent="0.25">
      <c r="A6" s="122"/>
      <c r="B6" s="122" t="s">
        <v>339</v>
      </c>
      <c r="C6" s="123" t="s">
        <v>340</v>
      </c>
      <c r="D6" s="122"/>
      <c r="E6" s="122"/>
      <c r="F6" s="123" t="s">
        <v>341</v>
      </c>
      <c r="G6" s="122"/>
      <c r="H6" s="122"/>
      <c r="I6" s="122"/>
      <c r="J6" s="122"/>
      <c r="K6" s="122"/>
      <c r="L6" s="122"/>
      <c r="M6" s="122"/>
      <c r="N6" s="122"/>
      <c r="O6" s="123" t="s">
        <v>342</v>
      </c>
      <c r="P6" s="122"/>
      <c r="Q6" s="122"/>
      <c r="R6" s="122"/>
      <c r="S6" s="122"/>
      <c r="T6" s="123" t="str">
        <f>"CY "&amp;nr_PlanYear&amp;" plan"</f>
        <v>CY 2027 plan</v>
      </c>
      <c r="U6" s="122"/>
      <c r="V6" s="123" t="str">
        <f>"CY "&amp;(nr_PlanYear+1)&amp;" indicative"</f>
        <v>CY 2028 indicative</v>
      </c>
      <c r="W6" s="122"/>
      <c r="X6" s="122"/>
      <c r="Y6" s="122"/>
      <c r="Z6" s="123" t="s">
        <v>343</v>
      </c>
    </row>
    <row r="7" spans="1:29" ht="42" customHeight="1" x14ac:dyDescent="0.25">
      <c r="A7" s="41" t="s">
        <v>65</v>
      </c>
      <c r="B7" s="41" t="s">
        <v>119</v>
      </c>
      <c r="C7" s="124" t="s">
        <v>344</v>
      </c>
      <c r="D7" s="41" t="s">
        <v>345</v>
      </c>
      <c r="E7" s="41" t="s">
        <v>346</v>
      </c>
      <c r="F7" s="124" t="s">
        <v>347</v>
      </c>
      <c r="G7" s="41" t="s">
        <v>348</v>
      </c>
      <c r="H7" s="41" t="s">
        <v>349</v>
      </c>
      <c r="I7" s="41" t="s">
        <v>350</v>
      </c>
      <c r="J7" s="41" t="s">
        <v>351</v>
      </c>
      <c r="K7" s="41" t="s">
        <v>352</v>
      </c>
      <c r="L7" s="41" t="s">
        <v>353</v>
      </c>
      <c r="M7" s="41" t="s">
        <v>354</v>
      </c>
      <c r="N7" s="41" t="s">
        <v>355</v>
      </c>
      <c r="O7" s="124" t="s">
        <v>356</v>
      </c>
      <c r="P7" s="41" t="str">
        <f>nr_PlanYear&amp;" earned rate level"</f>
        <v>2027 earned rate level</v>
      </c>
      <c r="Q7" s="41" t="s">
        <v>328</v>
      </c>
      <c r="R7" s="41" t="str">
        <f>nr_PlanYear&amp;" earned mod"</f>
        <v>2027 earned mod</v>
      </c>
      <c r="S7" s="41" t="s">
        <v>329</v>
      </c>
      <c r="T7" s="124" t="s">
        <v>326</v>
      </c>
      <c r="U7" s="41" t="str">
        <f>"CY "&amp;nr_PlanYear&amp;" plan LR"</f>
        <v>CY 2027 plan LR</v>
      </c>
      <c r="V7" s="124" t="str">
        <f>"Net trend ("&amp;(nr_PlanYear+1)&amp;")"</f>
        <v>Net trend (2028)</v>
      </c>
      <c r="W7" s="41" t="str">
        <f>(nr_PlanYear+1)&amp;" rate earn-in"</f>
        <v>2028 rate earn-in</v>
      </c>
      <c r="X7" s="41" t="str">
        <f>(nr_PlanYear+1)&amp;" mod drift"</f>
        <v>2028 mod drift</v>
      </c>
      <c r="Y7" s="41" t="str">
        <f>"CY "&amp;(nr_PlanYear+1)&amp;" plan LR"</f>
        <v>CY 2028 plan LR</v>
      </c>
      <c r="Z7" s="124" t="s">
        <v>357</v>
      </c>
    </row>
    <row r="8" spans="1:29" x14ac:dyDescent="0.25">
      <c r="A8" s="125" t="str">
        <f>_lists!$B$3</f>
        <v>AZ</v>
      </c>
      <c r="B8" s="126">
        <f t="shared" ref="B8:B31" si="0">IF($AA8=0,"",SUMIFS(calc_ep,calc_state,$A8,calc_bu,$AA$4))</f>
        <v>21600</v>
      </c>
      <c r="C8" s="127">
        <f t="shared" ref="C8:C31" si="1">IF($AA8=0,"",IF($B8&gt;0,SUMIFS(calc_w_mind,calc_state,$A8,calc_bu,$AA$4)/$B8,SUMIFS(lr_mind,lr_state,$A8,lr_bu,$AA$4)/$AA8))</f>
        <v>0.89925925925925931</v>
      </c>
      <c r="D8" s="128">
        <f t="shared" ref="D8:D31" si="2">IF($AA8=0,"",IF($B8&gt;0,SUMIFS(calc_w_m0,calc_state,$A8,calc_bu,$AA$4)/$B8,SUMIFS(lr_m0,lr_state,$A8,lr_bu,$AA$4)/$AA8))</f>
        <v>0.89518518518518519</v>
      </c>
      <c r="E8" s="128">
        <f t="shared" ref="E8:E31" si="3">IF($AA8=0,"",IF($B8&gt;0,SUMIFS(calc_w_m1,calc_state,$A8,calc_bu,$AA$4)/$B8,SUMIFS(lr_m1,lr_state,$A8,lr_bu,$AA$4)/$AA8))</f>
        <v>0.89703703703703708</v>
      </c>
      <c r="F8" s="129" t="str">
        <f t="shared" ref="F8:F31" si="4">IF($AB8="","",IF(COUNTIFS(rl_key,$AB8,rl_seq,1)=0,"",SUMIFS(rl_eff,rl_key,$AB8,rl_seq,1)))</f>
        <v/>
      </c>
      <c r="G8" s="130" t="str">
        <f t="shared" ref="G8:G31" si="5">IF($AB8="","",IF(COUNTIFS(rl_key,$AB8,rl_seq,1)=0,"",SUMIFS(rl_reff,rl_key,$AB8,rl_seq,1)))</f>
        <v/>
      </c>
      <c r="H8" s="131" t="str">
        <f t="shared" ref="H8:H31" si="6">IF($AB8="","",IF(COUNTIFS(rl_key,$AB8,rl_seq,2)=0,"",SUMIFS(rl_eff,rl_key,$AB8,rl_seq,2)))</f>
        <v/>
      </c>
      <c r="I8" s="130" t="str">
        <f t="shared" ref="I8:I31" si="7">IF($AB8="","",IF(COUNTIFS(rl_key,$AB8,rl_seq,2)=0,"",SUMIFS(rl_reff,rl_key,$AB8,rl_seq,2)))</f>
        <v/>
      </c>
      <c r="J8" s="131" t="str">
        <f t="shared" ref="J8:J31" si="8">IF($AB8="","",IF(COUNTIFS(rl_key,$AB8,rl_seq,3)=0,"",SUMIFS(rl_eff,rl_key,$AB8,rl_seq,3)))</f>
        <v/>
      </c>
      <c r="K8" s="130" t="str">
        <f t="shared" ref="K8:K31" si="9">IF($AB8="","",IF(COUNTIFS(rl_key,$AB8,rl_seq,3)=0,"",SUMIFS(rl_reff,rl_key,$AB8,rl_seq,3)))</f>
        <v/>
      </c>
      <c r="L8" s="131" t="str">
        <f t="shared" ref="L8:L31" si="10">IF($AB8="","",IF(COUNTIFS(rl_key,$AB8,rl_seq,4)=0,"",SUMIFS(rl_eff,rl_key,$AB8,rl_seq,4)))</f>
        <v/>
      </c>
      <c r="M8" s="130" t="str">
        <f t="shared" ref="M8:M31" si="11">IF($AB8="","",IF(COUNTIFS(rl_key,$AB8,rl_seq,4)=0,"",SUMIFS(rl_reff,rl_key,$AB8,rl_seq,4)))</f>
        <v/>
      </c>
      <c r="N8" s="132">
        <f t="shared" ref="N8:N31" si="12">IF($AA8=0,"",IF($AB8="",COUNTIFS(rl_state,$A8,rl_eff,"&lt;&gt;"),COUNTIFS(rl_key,$AB8,rl_eff,"&lt;&gt;")))</f>
        <v>6</v>
      </c>
      <c r="O8" s="133">
        <f t="shared" ref="O8:O31" si="13">IF($AA8=0,"",IF($B8&gt;0,SUMIFS(calc_w_crl,calc_state,$A8,calc_bu,$AA$4)/$B8,SUMIFS(calc_crl,calc_state,$A8,calc_bu,$AA$4)/$AA8))</f>
        <v>1.0551555555555556</v>
      </c>
      <c r="P8" s="134">
        <f t="shared" ref="P8:P31" si="14">IF($AA8=0,"",IF($B8&gt;0,SUMIFS(calc_w_ecy,calc_state,$A8,calc_bu,$AA$4)/$B8,SUMIFS(calc_ecy_p,calc_state,$A8,calc_bu,$AA$4)/$AA8))</f>
        <v>1.071852037037037</v>
      </c>
      <c r="Q8" s="134">
        <f t="shared" ref="Q8:Q31" si="15">IF($AA8=0,"",IF($B8&gt;0,SUMIFS(calc_w_arate,calc_state,$A8,calc_bu,$AA$4)/$B8,SUMIFS(calc_arate_p,calc_state,$A8,calc_bu,$AA$4)/$AA8))</f>
        <v>0.98469195858418668</v>
      </c>
      <c r="R8" s="128">
        <f t="shared" ref="R8:R31" si="16">IF($AA8=0,"",IF($B8&gt;0,SUMIFS(calc_w_mbar,calc_state,$A8,calc_bu,$AA$4)/$B8,SUMIFS(calc_mbar_p,calc_state,$A8,calc_bu,$AA$4)/$AA8))</f>
        <v>0.89592454142691202</v>
      </c>
      <c r="S8" s="134">
        <f t="shared" ref="S8:S31" si="17">IF($AA8=0,"",IF($B8&gt;0,SUMIFS(calc_w_amod,calc_state,$A8,calc_bu,$AA$4)/$B8,SUMIFS(calc_amod_p,calc_state,$A8,calc_bu,$AA$4)/$AA8))</f>
        <v>1.0034001757712414</v>
      </c>
      <c r="T8" s="135">
        <f t="shared" ref="T8:T31" si="18">IF($AA8=0,"",IF($B8&gt;0,SUMIFS(calc_w_lrcur,calc_state,$A8,calc_bu,$AA$4)/$B8,SUMIFS(calc_lrcur,calc_state,$A8,calc_bu,$AA$4)/$AA8))</f>
        <v>0.60385185185185186</v>
      </c>
      <c r="U8" s="136">
        <f t="shared" ref="U8:U31" si="19">IF($AA8=0,"",IF($B8&gt;0,SUMIFS(calc_w_cylr,calc_state,$A8,calc_bu,$AA$4)/$B8,SUMIFS(calc_cylr_p,calc_state,$A8,calc_bu,$AA$4)/$AA8))</f>
        <v>0.5960435403918245</v>
      </c>
      <c r="V8" s="137">
        <f t="shared" ref="V8:V31" si="20">IF($AA8=0,"",IF($B8&gt;0,SUMIFS(calc_w_trend,calc_state,$A8,calc_bu,$AA$4)/$B8,SUMIFS(calc_trend,calc_state,$A8,calc_bu,$AA$4)/$AA8))</f>
        <v>0</v>
      </c>
      <c r="W8" s="134">
        <f t="shared" ref="W8:W31" si="21">IF($AA8=0,"",IF($B8&gt;0,SUMIFS(calc_w_arate1,calc_state,$A8,calc_bu,$AA$4)/$B8,SUMIFS(calc_arate_p1,calc_state,$A8,calc_bu,$AA$4)/$AA8))</f>
        <v>0.97307013973680634</v>
      </c>
      <c r="X8" s="134">
        <f t="shared" ref="X8:X31" si="22">IF($AA8=0,"",IF($B8&gt;0,SUMIFS(calc_w_amod1,calc_state,$A8,calc_bu,$AA$4)/$B8,SUMIFS(calc_amod_p1,calc_state,$A8,calc_bu,$AA$4)/$AA8))</f>
        <v>1.0023741745897707</v>
      </c>
      <c r="Y8" s="136">
        <f t="shared" ref="Y8:Y31" si="23">IF($AA8=0,"",IF($B8&gt;0,SUMIFS(calc_w_cylr1,calc_state,$A8,calc_bu,$AA$4)/$B8,SUMIFS(calc_cylr_p1,calc_state,$A8,calc_bu,$AA$4)/$AA8))</f>
        <v>0.58807254865150627</v>
      </c>
      <c r="Z8" s="137" t="str">
        <f t="shared" ref="Z8:Z31" si="24">IF($AA8=0,"",IF($AC8=0,"—",SUMIFS(calc_netx,calc_state,$A8,calc_bu,$AA$4)/$AC8))</f>
        <v>—</v>
      </c>
      <c r="AA8" s="69">
        <f t="shared" ref="AA8:AA31" si="25">COUNTIFS(calc_state,$A8,calc_bu,$AA$4)</f>
        <v>3</v>
      </c>
      <c r="AB8" s="109" t="str">
        <f t="shared" ref="AB8:AB31" si="26">IF($B$4="All","",$B$4&amp;"|"&amp;$A8)</f>
        <v/>
      </c>
      <c r="AC8" s="69">
        <f t="shared" ref="AC8:AC31" si="27">SUMIFS(calc_netmode,calc_state,$A8,calc_bu,$AA$4)</f>
        <v>0</v>
      </c>
    </row>
    <row r="9" spans="1:29" x14ac:dyDescent="0.25">
      <c r="A9" s="138" t="str">
        <f>_lists!$B$4</f>
        <v>CA</v>
      </c>
      <c r="B9" s="139">
        <f t="shared" si="0"/>
        <v>52800</v>
      </c>
      <c r="C9" s="140">
        <f t="shared" si="1"/>
        <v>0.92</v>
      </c>
      <c r="D9" s="141">
        <f t="shared" si="2"/>
        <v>0.91</v>
      </c>
      <c r="E9" s="141">
        <f t="shared" si="3"/>
        <v>0.91500000000000004</v>
      </c>
      <c r="F9" s="142" t="str">
        <f t="shared" si="4"/>
        <v/>
      </c>
      <c r="G9" s="143" t="str">
        <f t="shared" si="5"/>
        <v/>
      </c>
      <c r="H9" s="144" t="str">
        <f t="shared" si="6"/>
        <v/>
      </c>
      <c r="I9" s="143" t="str">
        <f t="shared" si="7"/>
        <v/>
      </c>
      <c r="J9" s="144" t="str">
        <f t="shared" si="8"/>
        <v/>
      </c>
      <c r="K9" s="143" t="str">
        <f t="shared" si="9"/>
        <v/>
      </c>
      <c r="L9" s="144" t="str">
        <f t="shared" si="10"/>
        <v/>
      </c>
      <c r="M9" s="143" t="str">
        <f t="shared" si="11"/>
        <v/>
      </c>
      <c r="N9" s="145">
        <f t="shared" si="12"/>
        <v>4</v>
      </c>
      <c r="O9" s="146">
        <f t="shared" si="13"/>
        <v>1.0403030303030303</v>
      </c>
      <c r="P9" s="147">
        <f t="shared" si="14"/>
        <v>1.0474399410774413</v>
      </c>
      <c r="Q9" s="147">
        <f t="shared" si="15"/>
        <v>0.99328143017414838</v>
      </c>
      <c r="R9" s="141">
        <f t="shared" si="16"/>
        <v>0.91199626185266258</v>
      </c>
      <c r="S9" s="147">
        <f t="shared" si="17"/>
        <v>1.0087760646420616</v>
      </c>
      <c r="T9" s="148">
        <f t="shared" si="18"/>
        <v>0.58941818181818184</v>
      </c>
      <c r="U9" s="149">
        <f t="shared" si="19"/>
        <v>0.59062861460238258</v>
      </c>
      <c r="V9" s="150">
        <f t="shared" si="20"/>
        <v>3.3333333333333335E-3</v>
      </c>
      <c r="W9" s="147">
        <f t="shared" si="21"/>
        <v>0.98776223776223782</v>
      </c>
      <c r="X9" s="147">
        <f t="shared" si="22"/>
        <v>1.0056512002530102</v>
      </c>
      <c r="Y9" s="149">
        <f t="shared" si="23"/>
        <v>0.58754002568981545</v>
      </c>
      <c r="Z9" s="150" t="str">
        <f t="shared" si="24"/>
        <v>—</v>
      </c>
      <c r="AA9" s="69">
        <f t="shared" si="25"/>
        <v>3</v>
      </c>
      <c r="AB9" s="109" t="str">
        <f t="shared" si="26"/>
        <v/>
      </c>
      <c r="AC9" s="69">
        <f t="shared" si="27"/>
        <v>0</v>
      </c>
    </row>
    <row r="10" spans="1:29" x14ac:dyDescent="0.25">
      <c r="A10" s="125" t="str">
        <f>_lists!$B$5</f>
        <v>CO</v>
      </c>
      <c r="B10" s="126">
        <f t="shared" si="0"/>
        <v>43200</v>
      </c>
      <c r="C10" s="127">
        <f t="shared" si="1"/>
        <v>0.92</v>
      </c>
      <c r="D10" s="128">
        <f t="shared" si="2"/>
        <v>0.91</v>
      </c>
      <c r="E10" s="128">
        <f t="shared" si="3"/>
        <v>0.93</v>
      </c>
      <c r="F10" s="129" t="str">
        <f t="shared" si="4"/>
        <v/>
      </c>
      <c r="G10" s="130" t="str">
        <f t="shared" si="5"/>
        <v/>
      </c>
      <c r="H10" s="131" t="str">
        <f t="shared" si="6"/>
        <v/>
      </c>
      <c r="I10" s="130" t="str">
        <f t="shared" si="7"/>
        <v/>
      </c>
      <c r="J10" s="131" t="str">
        <f t="shared" si="8"/>
        <v/>
      </c>
      <c r="K10" s="130" t="str">
        <f t="shared" si="9"/>
        <v/>
      </c>
      <c r="L10" s="131" t="str">
        <f t="shared" si="10"/>
        <v/>
      </c>
      <c r="M10" s="130" t="str">
        <f t="shared" si="11"/>
        <v/>
      </c>
      <c r="N10" s="132">
        <f t="shared" si="12"/>
        <v>2</v>
      </c>
      <c r="O10" s="133">
        <f t="shared" si="13"/>
        <v>1.0166666666666666</v>
      </c>
      <c r="P10" s="134">
        <f t="shared" si="14"/>
        <v>1.020646505376344</v>
      </c>
      <c r="Q10" s="134">
        <f t="shared" si="15"/>
        <v>0.99625229248066349</v>
      </c>
      <c r="R10" s="128">
        <f t="shared" si="16"/>
        <v>0.91798504741064924</v>
      </c>
      <c r="S10" s="134">
        <f t="shared" si="17"/>
        <v>1.0021949732133812</v>
      </c>
      <c r="T10" s="135">
        <f t="shared" si="18"/>
        <v>0.57311111111111102</v>
      </c>
      <c r="U10" s="136">
        <f t="shared" si="19"/>
        <v>0.57604502018518866</v>
      </c>
      <c r="V10" s="137">
        <f t="shared" si="20"/>
        <v>0</v>
      </c>
      <c r="W10" s="134">
        <f t="shared" si="21"/>
        <v>0.99029126213592222</v>
      </c>
      <c r="X10" s="134">
        <f t="shared" si="22"/>
        <v>0.98997068515119868</v>
      </c>
      <c r="Y10" s="136">
        <f t="shared" si="23"/>
        <v>0.56547937162288153</v>
      </c>
      <c r="Z10" s="137" t="str">
        <f t="shared" si="24"/>
        <v>—</v>
      </c>
      <c r="AA10" s="69">
        <f t="shared" si="25"/>
        <v>3</v>
      </c>
      <c r="AB10" s="109" t="str">
        <f t="shared" si="26"/>
        <v/>
      </c>
      <c r="AC10" s="69">
        <f t="shared" si="27"/>
        <v>0</v>
      </c>
    </row>
    <row r="11" spans="1:29" x14ac:dyDescent="0.25">
      <c r="A11" s="138" t="str">
        <f>_lists!$B$6</f>
        <v>CT</v>
      </c>
      <c r="B11" s="139">
        <f t="shared" si="0"/>
        <v>33600</v>
      </c>
      <c r="C11" s="140">
        <f t="shared" si="1"/>
        <v>0.92</v>
      </c>
      <c r="D11" s="141">
        <f t="shared" si="2"/>
        <v>0.91309523809523807</v>
      </c>
      <c r="E11" s="141">
        <f t="shared" si="3"/>
        <v>0.91309523809523807</v>
      </c>
      <c r="F11" s="142" t="str">
        <f t="shared" si="4"/>
        <v/>
      </c>
      <c r="G11" s="143" t="str">
        <f t="shared" si="5"/>
        <v/>
      </c>
      <c r="H11" s="144" t="str">
        <f t="shared" si="6"/>
        <v/>
      </c>
      <c r="I11" s="143" t="str">
        <f t="shared" si="7"/>
        <v/>
      </c>
      <c r="J11" s="144" t="str">
        <f t="shared" si="8"/>
        <v/>
      </c>
      <c r="K11" s="143" t="str">
        <f t="shared" si="9"/>
        <v/>
      </c>
      <c r="L11" s="144" t="str">
        <f t="shared" si="10"/>
        <v/>
      </c>
      <c r="M11" s="143" t="str">
        <f t="shared" si="11"/>
        <v/>
      </c>
      <c r="N11" s="145">
        <f t="shared" si="12"/>
        <v>5</v>
      </c>
      <c r="O11" s="146">
        <f t="shared" si="13"/>
        <v>1.0492857142857144</v>
      </c>
      <c r="P11" s="147">
        <f t="shared" si="14"/>
        <v>1.0621097619047619</v>
      </c>
      <c r="Q11" s="147">
        <f t="shared" si="15"/>
        <v>0.98811527806889232</v>
      </c>
      <c r="R11" s="141">
        <f t="shared" si="16"/>
        <v>0.91309523809523807</v>
      </c>
      <c r="S11" s="147">
        <f t="shared" si="17"/>
        <v>1.0075876504447934</v>
      </c>
      <c r="T11" s="148">
        <f t="shared" si="18"/>
        <v>0.58638095238095245</v>
      </c>
      <c r="U11" s="149">
        <f t="shared" si="19"/>
        <v>0.58384200668114183</v>
      </c>
      <c r="V11" s="150">
        <f t="shared" si="20"/>
        <v>0</v>
      </c>
      <c r="W11" s="147">
        <f t="shared" si="21"/>
        <v>0.97099656069121698</v>
      </c>
      <c r="X11" s="147">
        <f t="shared" si="22"/>
        <v>1.0075876504447934</v>
      </c>
      <c r="Y11" s="149">
        <f t="shared" si="23"/>
        <v>0.57378941277943041</v>
      </c>
      <c r="Z11" s="150" t="str">
        <f t="shared" si="24"/>
        <v>—</v>
      </c>
      <c r="AA11" s="69">
        <f t="shared" si="25"/>
        <v>3</v>
      </c>
      <c r="AB11" s="109" t="str">
        <f t="shared" si="26"/>
        <v/>
      </c>
      <c r="AC11" s="69">
        <f t="shared" si="27"/>
        <v>0</v>
      </c>
    </row>
    <row r="12" spans="1:29" x14ac:dyDescent="0.25">
      <c r="A12" s="125" t="str">
        <f>_lists!$B$7</f>
        <v>FL</v>
      </c>
      <c r="B12" s="126">
        <f t="shared" si="0"/>
        <v>24000</v>
      </c>
      <c r="C12" s="127">
        <f t="shared" si="1"/>
        <v>0.92</v>
      </c>
      <c r="D12" s="128">
        <f t="shared" si="2"/>
        <v>0.91</v>
      </c>
      <c r="E12" s="128">
        <f t="shared" si="3"/>
        <v>0.92500000000000004</v>
      </c>
      <c r="F12" s="129" t="str">
        <f t="shared" si="4"/>
        <v/>
      </c>
      <c r="G12" s="130" t="str">
        <f t="shared" si="5"/>
        <v/>
      </c>
      <c r="H12" s="131" t="str">
        <f t="shared" si="6"/>
        <v/>
      </c>
      <c r="I12" s="130" t="str">
        <f t="shared" si="7"/>
        <v/>
      </c>
      <c r="J12" s="131" t="str">
        <f t="shared" si="8"/>
        <v/>
      </c>
      <c r="K12" s="130" t="str">
        <f t="shared" si="9"/>
        <v/>
      </c>
      <c r="L12" s="131" t="str">
        <f t="shared" si="10"/>
        <v/>
      </c>
      <c r="M12" s="130" t="str">
        <f t="shared" si="11"/>
        <v/>
      </c>
      <c r="N12" s="132">
        <f t="shared" si="12"/>
        <v>3</v>
      </c>
      <c r="O12" s="133">
        <f t="shared" si="13"/>
        <v>1.0246666666666666</v>
      </c>
      <c r="P12" s="134">
        <f t="shared" si="14"/>
        <v>1.0292000000000001</v>
      </c>
      <c r="Q12" s="134">
        <f t="shared" si="15"/>
        <v>0.99561403508771917</v>
      </c>
      <c r="R12" s="128">
        <f t="shared" si="16"/>
        <v>0.91598878555798668</v>
      </c>
      <c r="S12" s="134">
        <f t="shared" si="17"/>
        <v>1.0043791086804299</v>
      </c>
      <c r="T12" s="135">
        <f t="shared" si="18"/>
        <v>0.58493333333333319</v>
      </c>
      <c r="U12" s="136">
        <f t="shared" si="19"/>
        <v>0.58485171705322592</v>
      </c>
      <c r="V12" s="137">
        <f t="shared" si="20"/>
        <v>0</v>
      </c>
      <c r="W12" s="134">
        <f t="shared" si="21"/>
        <v>0.987179487179487</v>
      </c>
      <c r="X12" s="134">
        <f t="shared" si="22"/>
        <v>0.99514290701699581</v>
      </c>
      <c r="Y12" s="136">
        <f t="shared" si="23"/>
        <v>0.57443731230588235</v>
      </c>
      <c r="Z12" s="137" t="str">
        <f t="shared" si="24"/>
        <v>—</v>
      </c>
      <c r="AA12" s="69">
        <f t="shared" si="25"/>
        <v>3</v>
      </c>
      <c r="AB12" s="109" t="str">
        <f t="shared" si="26"/>
        <v/>
      </c>
      <c r="AC12" s="69">
        <f t="shared" si="27"/>
        <v>0</v>
      </c>
    </row>
    <row r="13" spans="1:29" x14ac:dyDescent="0.25">
      <c r="A13" s="138" t="str">
        <f>_lists!$B$8</f>
        <v>GA</v>
      </c>
      <c r="B13" s="139">
        <f t="shared" si="0"/>
        <v>55200</v>
      </c>
      <c r="C13" s="140">
        <f t="shared" si="1"/>
        <v>0.92</v>
      </c>
      <c r="D13" s="141">
        <f t="shared" si="2"/>
        <v>0.91</v>
      </c>
      <c r="E13" s="141">
        <f t="shared" si="3"/>
        <v>0.90500000000000003</v>
      </c>
      <c r="F13" s="142" t="str">
        <f t="shared" si="4"/>
        <v/>
      </c>
      <c r="G13" s="143" t="str">
        <f t="shared" si="5"/>
        <v/>
      </c>
      <c r="H13" s="144" t="str">
        <f t="shared" si="6"/>
        <v/>
      </c>
      <c r="I13" s="143" t="str">
        <f t="shared" si="7"/>
        <v/>
      </c>
      <c r="J13" s="144" t="str">
        <f t="shared" si="8"/>
        <v/>
      </c>
      <c r="K13" s="143" t="str">
        <f t="shared" si="9"/>
        <v/>
      </c>
      <c r="L13" s="144" t="str">
        <f t="shared" si="10"/>
        <v/>
      </c>
      <c r="M13" s="143" t="str">
        <f t="shared" si="11"/>
        <v/>
      </c>
      <c r="N13" s="145">
        <f t="shared" si="12"/>
        <v>2</v>
      </c>
      <c r="O13" s="146">
        <f t="shared" si="13"/>
        <v>1.0143478260869565</v>
      </c>
      <c r="P13" s="147">
        <f t="shared" si="14"/>
        <v>1.0187903381642509</v>
      </c>
      <c r="Q13" s="147">
        <f t="shared" si="15"/>
        <v>0.99580472921434038</v>
      </c>
      <c r="R13" s="141">
        <f t="shared" si="16"/>
        <v>0.90797929061270444</v>
      </c>
      <c r="S13" s="147">
        <f t="shared" si="17"/>
        <v>1.0132389702458051</v>
      </c>
      <c r="T13" s="148">
        <f t="shared" si="18"/>
        <v>0.58446376811594203</v>
      </c>
      <c r="U13" s="149">
        <f t="shared" si="19"/>
        <v>0.58978641735866466</v>
      </c>
      <c r="V13" s="150">
        <f t="shared" si="20"/>
        <v>0</v>
      </c>
      <c r="W13" s="147">
        <f t="shared" si="21"/>
        <v>0.98773690078037912</v>
      </c>
      <c r="X13" s="147">
        <f t="shared" si="22"/>
        <v>1.0158632000432835</v>
      </c>
      <c r="Y13" s="149">
        <f t="shared" si="23"/>
        <v>0.5866756168267413</v>
      </c>
      <c r="Z13" s="150" t="str">
        <f t="shared" si="24"/>
        <v>—</v>
      </c>
      <c r="AA13" s="69">
        <f t="shared" si="25"/>
        <v>3</v>
      </c>
      <c r="AB13" s="109" t="str">
        <f t="shared" si="26"/>
        <v/>
      </c>
      <c r="AC13" s="69">
        <f t="shared" si="27"/>
        <v>0</v>
      </c>
    </row>
    <row r="14" spans="1:29" x14ac:dyDescent="0.25">
      <c r="A14" s="125" t="str">
        <f>_lists!$B$9</f>
        <v>IL</v>
      </c>
      <c r="B14" s="126">
        <f t="shared" si="0"/>
        <v>45600</v>
      </c>
      <c r="C14" s="127">
        <f t="shared" si="1"/>
        <v>0.92</v>
      </c>
      <c r="D14" s="128">
        <f t="shared" si="2"/>
        <v>0.91</v>
      </c>
      <c r="E14" s="128">
        <f t="shared" si="3"/>
        <v>0.92</v>
      </c>
      <c r="F14" s="129" t="str">
        <f t="shared" si="4"/>
        <v/>
      </c>
      <c r="G14" s="130" t="str">
        <f t="shared" si="5"/>
        <v/>
      </c>
      <c r="H14" s="131" t="str">
        <f t="shared" si="6"/>
        <v/>
      </c>
      <c r="I14" s="130" t="str">
        <f t="shared" si="7"/>
        <v/>
      </c>
      <c r="J14" s="131" t="str">
        <f t="shared" si="8"/>
        <v/>
      </c>
      <c r="K14" s="130" t="str">
        <f t="shared" si="9"/>
        <v/>
      </c>
      <c r="L14" s="131" t="str">
        <f t="shared" si="10"/>
        <v/>
      </c>
      <c r="M14" s="130" t="str">
        <f t="shared" si="11"/>
        <v/>
      </c>
      <c r="N14" s="132">
        <f t="shared" si="12"/>
        <v>3</v>
      </c>
      <c r="O14" s="133">
        <f t="shared" si="13"/>
        <v>1.0228070175438597</v>
      </c>
      <c r="P14" s="134">
        <f t="shared" si="14"/>
        <v>1.0456140350877192</v>
      </c>
      <c r="Q14" s="134">
        <f t="shared" si="15"/>
        <v>0.97858496005271411</v>
      </c>
      <c r="R14" s="128">
        <f t="shared" si="16"/>
        <v>0.91399252370532447</v>
      </c>
      <c r="S14" s="134">
        <f t="shared" si="17"/>
        <v>1.0065727849395543</v>
      </c>
      <c r="T14" s="135">
        <f t="shared" si="18"/>
        <v>0.58245614035087723</v>
      </c>
      <c r="U14" s="136">
        <f t="shared" si="19"/>
        <v>0.5736959142009167</v>
      </c>
      <c r="V14" s="137">
        <f t="shared" si="20"/>
        <v>0</v>
      </c>
      <c r="W14" s="134">
        <f t="shared" si="21"/>
        <v>0.97858496005271411</v>
      </c>
      <c r="X14" s="134">
        <f t="shared" si="22"/>
        <v>1.000369458535054</v>
      </c>
      <c r="Y14" s="136">
        <f t="shared" si="23"/>
        <v>0.57016032982394582</v>
      </c>
      <c r="Z14" s="137" t="str">
        <f t="shared" si="24"/>
        <v>—</v>
      </c>
      <c r="AA14" s="69">
        <f t="shared" si="25"/>
        <v>3</v>
      </c>
      <c r="AB14" s="109" t="str">
        <f t="shared" si="26"/>
        <v/>
      </c>
      <c r="AC14" s="69">
        <f t="shared" si="27"/>
        <v>0</v>
      </c>
    </row>
    <row r="15" spans="1:29" x14ac:dyDescent="0.25">
      <c r="A15" s="138" t="str">
        <f>_lists!$B$10</f>
        <v>IN</v>
      </c>
      <c r="B15" s="139">
        <f t="shared" si="0"/>
        <v>36000</v>
      </c>
      <c r="C15" s="140">
        <f t="shared" si="1"/>
        <v>0.92</v>
      </c>
      <c r="D15" s="141">
        <f t="shared" si="2"/>
        <v>0.91</v>
      </c>
      <c r="E15" s="141">
        <f t="shared" si="3"/>
        <v>0.9</v>
      </c>
      <c r="F15" s="142" t="str">
        <f t="shared" si="4"/>
        <v/>
      </c>
      <c r="G15" s="143" t="str">
        <f t="shared" si="5"/>
        <v/>
      </c>
      <c r="H15" s="144" t="str">
        <f t="shared" si="6"/>
        <v/>
      </c>
      <c r="I15" s="143" t="str">
        <f t="shared" si="7"/>
        <v/>
      </c>
      <c r="J15" s="144" t="str">
        <f t="shared" si="8"/>
        <v/>
      </c>
      <c r="K15" s="143" t="str">
        <f t="shared" si="9"/>
        <v/>
      </c>
      <c r="L15" s="144" t="str">
        <f t="shared" si="10"/>
        <v/>
      </c>
      <c r="M15" s="143" t="str">
        <f t="shared" si="11"/>
        <v/>
      </c>
      <c r="N15" s="145">
        <f t="shared" si="12"/>
        <v>4</v>
      </c>
      <c r="O15" s="146">
        <f t="shared" si="13"/>
        <v>1.0504444444444445</v>
      </c>
      <c r="P15" s="147">
        <f t="shared" si="14"/>
        <v>1.0513002469135801</v>
      </c>
      <c r="Q15" s="147">
        <f t="shared" si="15"/>
        <v>0.99919644590841294</v>
      </c>
      <c r="R15" s="141">
        <f t="shared" si="16"/>
        <v>0.90600747629467537</v>
      </c>
      <c r="S15" s="147">
        <f t="shared" si="17"/>
        <v>1.0154441592055623</v>
      </c>
      <c r="T15" s="148">
        <f t="shared" si="18"/>
        <v>0.58106666666666673</v>
      </c>
      <c r="U15" s="149">
        <f t="shared" si="19"/>
        <v>0.58957829786992688</v>
      </c>
      <c r="V15" s="150">
        <f t="shared" si="20"/>
        <v>0</v>
      </c>
      <c r="W15" s="147">
        <f t="shared" si="21"/>
        <v>0.98714859437751001</v>
      </c>
      <c r="X15" s="147">
        <f t="shared" si="22"/>
        <v>1.0218364490808034</v>
      </c>
      <c r="Y15" s="149">
        <f t="shared" si="23"/>
        <v>0.58629610364367968</v>
      </c>
      <c r="Z15" s="150" t="str">
        <f t="shared" si="24"/>
        <v>—</v>
      </c>
      <c r="AA15" s="69">
        <f t="shared" si="25"/>
        <v>3</v>
      </c>
      <c r="AB15" s="109" t="str">
        <f t="shared" si="26"/>
        <v/>
      </c>
      <c r="AC15" s="69">
        <f t="shared" si="27"/>
        <v>0</v>
      </c>
    </row>
    <row r="16" spans="1:29" x14ac:dyDescent="0.25">
      <c r="A16" s="125" t="str">
        <f>_lists!$B$11</f>
        <v>IA</v>
      </c>
      <c r="B16" s="126">
        <f t="shared" si="0"/>
        <v>26400</v>
      </c>
      <c r="C16" s="127">
        <f t="shared" si="1"/>
        <v>0.92</v>
      </c>
      <c r="D16" s="128">
        <f t="shared" si="2"/>
        <v>0.91</v>
      </c>
      <c r="E16" s="128">
        <f t="shared" si="3"/>
        <v>0.91500000000000004</v>
      </c>
      <c r="F16" s="129" t="str">
        <f t="shared" si="4"/>
        <v/>
      </c>
      <c r="G16" s="130" t="str">
        <f t="shared" si="5"/>
        <v/>
      </c>
      <c r="H16" s="131" t="str">
        <f t="shared" si="6"/>
        <v/>
      </c>
      <c r="I16" s="130" t="str">
        <f t="shared" si="7"/>
        <v/>
      </c>
      <c r="J16" s="131" t="str">
        <f t="shared" si="8"/>
        <v/>
      </c>
      <c r="K16" s="130" t="str">
        <f t="shared" si="9"/>
        <v/>
      </c>
      <c r="L16" s="131" t="str">
        <f t="shared" si="10"/>
        <v/>
      </c>
      <c r="M16" s="130" t="str">
        <f t="shared" si="11"/>
        <v/>
      </c>
      <c r="N16" s="132">
        <f t="shared" si="12"/>
        <v>2</v>
      </c>
      <c r="O16" s="133">
        <f t="shared" si="13"/>
        <v>1</v>
      </c>
      <c r="P16" s="134">
        <f t="shared" si="14"/>
        <v>1.0326415081987221</v>
      </c>
      <c r="Q16" s="134">
        <f t="shared" si="15"/>
        <v>0.9699191082164681</v>
      </c>
      <c r="R16" s="128">
        <f t="shared" si="16"/>
        <v>0.91199626185266258</v>
      </c>
      <c r="S16" s="134">
        <f t="shared" si="17"/>
        <v>1.0055847684085846</v>
      </c>
      <c r="T16" s="135">
        <f t="shared" si="18"/>
        <v>0.58096969696969691</v>
      </c>
      <c r="U16" s="136">
        <f t="shared" si="19"/>
        <v>0.56624716942375963</v>
      </c>
      <c r="V16" s="137">
        <f t="shared" si="20"/>
        <v>0</v>
      </c>
      <c r="W16" s="134">
        <f t="shared" si="21"/>
        <v>0.92830337727271262</v>
      </c>
      <c r="X16" s="134">
        <f t="shared" si="22"/>
        <v>1.0035962183428246</v>
      </c>
      <c r="Y16" s="136">
        <f t="shared" si="23"/>
        <v>0.54045019747358591</v>
      </c>
      <c r="Z16" s="137">
        <f t="shared" si="24"/>
        <v>0.1</v>
      </c>
      <c r="AA16" s="69">
        <f t="shared" si="25"/>
        <v>3</v>
      </c>
      <c r="AB16" s="109" t="str">
        <f t="shared" si="26"/>
        <v/>
      </c>
      <c r="AC16" s="69">
        <f t="shared" si="27"/>
        <v>1</v>
      </c>
    </row>
    <row r="17" spans="1:29" x14ac:dyDescent="0.25">
      <c r="A17" s="138" t="str">
        <f>_lists!$B$12</f>
        <v>KY</v>
      </c>
      <c r="B17" s="139">
        <f t="shared" si="0"/>
        <v>44000</v>
      </c>
      <c r="C17" s="140">
        <f t="shared" si="1"/>
        <v>0.92</v>
      </c>
      <c r="D17" s="141">
        <f t="shared" si="2"/>
        <v>0.91</v>
      </c>
      <c r="E17" s="141">
        <f t="shared" si="3"/>
        <v>0.93</v>
      </c>
      <c r="F17" s="142" t="str">
        <f t="shared" si="4"/>
        <v/>
      </c>
      <c r="G17" s="143" t="str">
        <f t="shared" si="5"/>
        <v/>
      </c>
      <c r="H17" s="144" t="str">
        <f t="shared" si="6"/>
        <v/>
      </c>
      <c r="I17" s="143" t="str">
        <f t="shared" si="7"/>
        <v/>
      </c>
      <c r="J17" s="144" t="str">
        <f t="shared" si="8"/>
        <v/>
      </c>
      <c r="K17" s="143" t="str">
        <f t="shared" si="9"/>
        <v/>
      </c>
      <c r="L17" s="144" t="str">
        <f t="shared" si="10"/>
        <v/>
      </c>
      <c r="M17" s="143" t="str">
        <f t="shared" si="11"/>
        <v/>
      </c>
      <c r="N17" s="145">
        <f t="shared" si="12"/>
        <v>4</v>
      </c>
      <c r="O17" s="146">
        <f t="shared" si="13"/>
        <v>1.0381818181818181</v>
      </c>
      <c r="P17" s="147">
        <f t="shared" si="14"/>
        <v>1.0377218181818184</v>
      </c>
      <c r="Q17" s="147">
        <f t="shared" si="15"/>
        <v>1.000434413070167</v>
      </c>
      <c r="R17" s="141">
        <f t="shared" si="16"/>
        <v>0.91798504741064901</v>
      </c>
      <c r="S17" s="147">
        <f t="shared" si="17"/>
        <v>1.0021949732133812</v>
      </c>
      <c r="T17" s="148">
        <f t="shared" si="18"/>
        <v>0.57803636363636357</v>
      </c>
      <c r="U17" s="149">
        <f t="shared" si="19"/>
        <v>0.5795628749952757</v>
      </c>
      <c r="V17" s="150">
        <f t="shared" si="20"/>
        <v>0</v>
      </c>
      <c r="W17" s="147">
        <f t="shared" si="21"/>
        <v>0.98488499452354861</v>
      </c>
      <c r="X17" s="147">
        <f t="shared" si="22"/>
        <v>0.98997068515119879</v>
      </c>
      <c r="Y17" s="149">
        <f t="shared" si="23"/>
        <v>0.56338071485346697</v>
      </c>
      <c r="Z17" s="150" t="str">
        <f t="shared" si="24"/>
        <v>—</v>
      </c>
      <c r="AA17" s="69">
        <f t="shared" si="25"/>
        <v>3</v>
      </c>
      <c r="AB17" s="109" t="str">
        <f t="shared" si="26"/>
        <v/>
      </c>
      <c r="AC17" s="69">
        <f t="shared" si="27"/>
        <v>0</v>
      </c>
    </row>
    <row r="18" spans="1:29" x14ac:dyDescent="0.25">
      <c r="A18" s="125" t="str">
        <f>_lists!$B$13</f>
        <v>MD</v>
      </c>
      <c r="B18" s="126">
        <f t="shared" si="0"/>
        <v>48000</v>
      </c>
      <c r="C18" s="127">
        <f t="shared" si="1"/>
        <v>0.92</v>
      </c>
      <c r="D18" s="128">
        <f t="shared" si="2"/>
        <v>0.91</v>
      </c>
      <c r="E18" s="128">
        <f t="shared" si="3"/>
        <v>0.91</v>
      </c>
      <c r="F18" s="129" t="str">
        <f t="shared" si="4"/>
        <v/>
      </c>
      <c r="G18" s="130" t="str">
        <f t="shared" si="5"/>
        <v/>
      </c>
      <c r="H18" s="131" t="str">
        <f t="shared" si="6"/>
        <v/>
      </c>
      <c r="I18" s="130" t="str">
        <f t="shared" si="7"/>
        <v/>
      </c>
      <c r="J18" s="131" t="str">
        <f t="shared" si="8"/>
        <v/>
      </c>
      <c r="K18" s="130" t="str">
        <f t="shared" si="9"/>
        <v/>
      </c>
      <c r="L18" s="131" t="str">
        <f t="shared" si="10"/>
        <v/>
      </c>
      <c r="M18" s="130" t="str">
        <f t="shared" si="11"/>
        <v/>
      </c>
      <c r="N18" s="132">
        <f t="shared" si="12"/>
        <v>3</v>
      </c>
      <c r="O18" s="133">
        <f t="shared" si="13"/>
        <v>1.0303333333333333</v>
      </c>
      <c r="P18" s="134">
        <f t="shared" si="14"/>
        <v>1.0295601851851852</v>
      </c>
      <c r="Q18" s="134">
        <f t="shared" si="15"/>
        <v>1.0007588473665285</v>
      </c>
      <c r="R18" s="128">
        <f t="shared" si="16"/>
        <v>0.9099999999999997</v>
      </c>
      <c r="S18" s="134">
        <f t="shared" si="17"/>
        <v>1.0109890109890112</v>
      </c>
      <c r="T18" s="135">
        <f t="shared" si="18"/>
        <v>0.57713333333333316</v>
      </c>
      <c r="U18" s="136">
        <f t="shared" si="19"/>
        <v>0.58391844803590731</v>
      </c>
      <c r="V18" s="137">
        <f t="shared" si="20"/>
        <v>0</v>
      </c>
      <c r="W18" s="134">
        <f t="shared" si="21"/>
        <v>1</v>
      </c>
      <c r="X18" s="134">
        <f t="shared" si="22"/>
        <v>1.0109890109890112</v>
      </c>
      <c r="Y18" s="136">
        <f t="shared" si="23"/>
        <v>0.58347545787545796</v>
      </c>
      <c r="Z18" s="137" t="str">
        <f t="shared" si="24"/>
        <v>—</v>
      </c>
      <c r="AA18" s="69">
        <f t="shared" si="25"/>
        <v>3</v>
      </c>
      <c r="AB18" s="109" t="str">
        <f t="shared" si="26"/>
        <v/>
      </c>
      <c r="AC18" s="69">
        <f t="shared" si="27"/>
        <v>0</v>
      </c>
    </row>
    <row r="19" spans="1:29" x14ac:dyDescent="0.25">
      <c r="A19" s="138" t="str">
        <f>_lists!$B$14</f>
        <v>MI</v>
      </c>
      <c r="B19" s="139">
        <f t="shared" si="0"/>
        <v>38400</v>
      </c>
      <c r="C19" s="140">
        <f t="shared" si="1"/>
        <v>0.92</v>
      </c>
      <c r="D19" s="141">
        <f t="shared" si="2"/>
        <v>0.91</v>
      </c>
      <c r="E19" s="141">
        <f t="shared" si="3"/>
        <v>0.92500000000000004</v>
      </c>
      <c r="F19" s="142" t="str">
        <f t="shared" si="4"/>
        <v/>
      </c>
      <c r="G19" s="143" t="str">
        <f t="shared" si="5"/>
        <v/>
      </c>
      <c r="H19" s="144" t="str">
        <f t="shared" si="6"/>
        <v/>
      </c>
      <c r="I19" s="143" t="str">
        <f t="shared" si="7"/>
        <v/>
      </c>
      <c r="J19" s="144" t="str">
        <f t="shared" si="8"/>
        <v/>
      </c>
      <c r="K19" s="143" t="str">
        <f t="shared" si="9"/>
        <v/>
      </c>
      <c r="L19" s="144" t="str">
        <f t="shared" si="10"/>
        <v/>
      </c>
      <c r="M19" s="143" t="str">
        <f t="shared" si="11"/>
        <v/>
      </c>
      <c r="N19" s="145">
        <f t="shared" si="12"/>
        <v>1</v>
      </c>
      <c r="O19" s="146">
        <f t="shared" si="13"/>
        <v>1</v>
      </c>
      <c r="P19" s="147">
        <f t="shared" si="14"/>
        <v>1.0070833333333333</v>
      </c>
      <c r="Q19" s="147">
        <f t="shared" si="15"/>
        <v>0.99305555555555547</v>
      </c>
      <c r="R19" s="141">
        <f t="shared" si="16"/>
        <v>0.91598878555798668</v>
      </c>
      <c r="S19" s="147">
        <f t="shared" si="17"/>
        <v>1.0043791086804299</v>
      </c>
      <c r="T19" s="148">
        <f t="shared" si="18"/>
        <v>0.57666666666666666</v>
      </c>
      <c r="U19" s="149">
        <f t="shared" si="19"/>
        <v>0.57506283855891727</v>
      </c>
      <c r="V19" s="150">
        <f t="shared" si="20"/>
        <v>0</v>
      </c>
      <c r="W19" s="147">
        <f t="shared" si="21"/>
        <v>0.98637820512820518</v>
      </c>
      <c r="X19" s="147">
        <f t="shared" si="22"/>
        <v>0.99514290701699581</v>
      </c>
      <c r="Y19" s="149">
        <f t="shared" si="23"/>
        <v>0.5658408085783434</v>
      </c>
      <c r="Z19" s="150" t="str">
        <f t="shared" si="24"/>
        <v>—</v>
      </c>
      <c r="AA19" s="69">
        <f t="shared" si="25"/>
        <v>3</v>
      </c>
      <c r="AB19" s="109" t="str">
        <f t="shared" si="26"/>
        <v/>
      </c>
      <c r="AC19" s="69">
        <f t="shared" si="27"/>
        <v>0</v>
      </c>
    </row>
    <row r="20" spans="1:29" x14ac:dyDescent="0.25">
      <c r="A20" s="125" t="str">
        <f>_lists!$B$15</f>
        <v>MN</v>
      </c>
      <c r="B20" s="126">
        <f t="shared" si="0"/>
        <v>28800</v>
      </c>
      <c r="C20" s="127">
        <f t="shared" si="1"/>
        <v>0.92</v>
      </c>
      <c r="D20" s="128">
        <f t="shared" si="2"/>
        <v>0.91</v>
      </c>
      <c r="E20" s="128">
        <f t="shared" si="3"/>
        <v>0.90500000000000003</v>
      </c>
      <c r="F20" s="129" t="str">
        <f t="shared" si="4"/>
        <v/>
      </c>
      <c r="G20" s="130" t="str">
        <f t="shared" si="5"/>
        <v/>
      </c>
      <c r="H20" s="131" t="str">
        <f t="shared" si="6"/>
        <v/>
      </c>
      <c r="I20" s="130" t="str">
        <f t="shared" si="7"/>
        <v/>
      </c>
      <c r="J20" s="131" t="str">
        <f t="shared" si="8"/>
        <v/>
      </c>
      <c r="K20" s="130" t="str">
        <f t="shared" si="9"/>
        <v/>
      </c>
      <c r="L20" s="131" t="str">
        <f t="shared" si="10"/>
        <v/>
      </c>
      <c r="M20" s="130" t="str">
        <f t="shared" si="11"/>
        <v/>
      </c>
      <c r="N20" s="132">
        <f t="shared" si="12"/>
        <v>4</v>
      </c>
      <c r="O20" s="133">
        <f t="shared" si="13"/>
        <v>1.0505555555555555</v>
      </c>
      <c r="P20" s="134">
        <f t="shared" si="14"/>
        <v>1.056513888888889</v>
      </c>
      <c r="Q20" s="134">
        <f t="shared" si="15"/>
        <v>0.99442038315970194</v>
      </c>
      <c r="R20" s="128">
        <f t="shared" si="16"/>
        <v>0.90800373814733781</v>
      </c>
      <c r="S20" s="134">
        <f t="shared" si="17"/>
        <v>1.0132116877372543</v>
      </c>
      <c r="T20" s="135">
        <f t="shared" si="18"/>
        <v>0.57433333333333347</v>
      </c>
      <c r="U20" s="136">
        <f t="shared" si="19"/>
        <v>0.57875537951284572</v>
      </c>
      <c r="V20" s="137">
        <f t="shared" si="20"/>
        <v>0</v>
      </c>
      <c r="W20" s="134">
        <f t="shared" si="21"/>
        <v>0.987179487179487</v>
      </c>
      <c r="X20" s="134">
        <f t="shared" si="22"/>
        <v>1.0163837883191853</v>
      </c>
      <c r="Y20" s="136">
        <f t="shared" si="23"/>
        <v>0.57644597471364245</v>
      </c>
      <c r="Z20" s="137" t="str">
        <f t="shared" si="24"/>
        <v>—</v>
      </c>
      <c r="AA20" s="69">
        <f t="shared" si="25"/>
        <v>3</v>
      </c>
      <c r="AB20" s="109" t="str">
        <f t="shared" si="26"/>
        <v/>
      </c>
      <c r="AC20" s="69">
        <f t="shared" si="27"/>
        <v>0</v>
      </c>
    </row>
    <row r="21" spans="1:29" x14ac:dyDescent="0.25">
      <c r="A21" s="138" t="str">
        <f>_lists!$B$16</f>
        <v>MO</v>
      </c>
      <c r="B21" s="139">
        <f t="shared" si="0"/>
        <v>32800</v>
      </c>
      <c r="C21" s="140">
        <f t="shared" si="1"/>
        <v>0.92</v>
      </c>
      <c r="D21" s="141">
        <f t="shared" si="2"/>
        <v>0.91</v>
      </c>
      <c r="E21" s="141">
        <f t="shared" si="3"/>
        <v>0.92</v>
      </c>
      <c r="F21" s="142" t="str">
        <f t="shared" si="4"/>
        <v/>
      </c>
      <c r="G21" s="143" t="str">
        <f t="shared" si="5"/>
        <v/>
      </c>
      <c r="H21" s="144" t="str">
        <f t="shared" si="6"/>
        <v/>
      </c>
      <c r="I21" s="143" t="str">
        <f t="shared" si="7"/>
        <v/>
      </c>
      <c r="J21" s="144" t="str">
        <f t="shared" si="8"/>
        <v/>
      </c>
      <c r="K21" s="143" t="str">
        <f t="shared" si="9"/>
        <v/>
      </c>
      <c r="L21" s="144" t="str">
        <f t="shared" si="10"/>
        <v/>
      </c>
      <c r="M21" s="143" t="str">
        <f t="shared" si="11"/>
        <v/>
      </c>
      <c r="N21" s="145">
        <f t="shared" si="12"/>
        <v>4</v>
      </c>
      <c r="O21" s="146">
        <f t="shared" si="13"/>
        <v>1.0453658536585366</v>
      </c>
      <c r="P21" s="147">
        <f t="shared" si="14"/>
        <v>1.0563272357723577</v>
      </c>
      <c r="Q21" s="147">
        <f t="shared" si="15"/>
        <v>0.9897870812972358</v>
      </c>
      <c r="R21" s="141">
        <f t="shared" si="16"/>
        <v>0.91399252370532447</v>
      </c>
      <c r="S21" s="147">
        <f t="shared" si="17"/>
        <v>1.0065727849395543</v>
      </c>
      <c r="T21" s="148">
        <f t="shared" si="18"/>
        <v>0.57248780487804873</v>
      </c>
      <c r="U21" s="149">
        <f t="shared" si="19"/>
        <v>0.57038998574707123</v>
      </c>
      <c r="V21" s="150">
        <f t="shared" si="20"/>
        <v>0</v>
      </c>
      <c r="W21" s="147">
        <f t="shared" si="21"/>
        <v>0.97748592870544071</v>
      </c>
      <c r="X21" s="147">
        <f t="shared" si="22"/>
        <v>1.000369458535054</v>
      </c>
      <c r="Y21" s="149">
        <f t="shared" si="23"/>
        <v>0.5598165086982505</v>
      </c>
      <c r="Z21" s="150" t="str">
        <f t="shared" si="24"/>
        <v>—</v>
      </c>
      <c r="AA21" s="69">
        <f t="shared" si="25"/>
        <v>3</v>
      </c>
      <c r="AB21" s="109" t="str">
        <f t="shared" si="26"/>
        <v/>
      </c>
      <c r="AC21" s="69">
        <f t="shared" si="27"/>
        <v>0</v>
      </c>
    </row>
    <row r="22" spans="1:29" x14ac:dyDescent="0.25">
      <c r="A22" s="125" t="str">
        <f>_lists!$B$17</f>
        <v>NC</v>
      </c>
      <c r="B22" s="126">
        <f t="shared" si="0"/>
        <v>50400</v>
      </c>
      <c r="C22" s="127">
        <f t="shared" si="1"/>
        <v>0.92</v>
      </c>
      <c r="D22" s="128">
        <f t="shared" si="2"/>
        <v>0.91</v>
      </c>
      <c r="E22" s="128">
        <f t="shared" si="3"/>
        <v>0.9</v>
      </c>
      <c r="F22" s="129" t="str">
        <f t="shared" si="4"/>
        <v/>
      </c>
      <c r="G22" s="130" t="str">
        <f t="shared" si="5"/>
        <v/>
      </c>
      <c r="H22" s="131" t="str">
        <f t="shared" si="6"/>
        <v/>
      </c>
      <c r="I22" s="130" t="str">
        <f t="shared" si="7"/>
        <v/>
      </c>
      <c r="J22" s="131" t="str">
        <f t="shared" si="8"/>
        <v/>
      </c>
      <c r="K22" s="130" t="str">
        <f t="shared" si="9"/>
        <v/>
      </c>
      <c r="L22" s="131" t="str">
        <f t="shared" si="10"/>
        <v/>
      </c>
      <c r="M22" s="130" t="str">
        <f t="shared" si="11"/>
        <v/>
      </c>
      <c r="N22" s="132">
        <f t="shared" si="12"/>
        <v>0</v>
      </c>
      <c r="O22" s="133">
        <f t="shared" si="13"/>
        <v>1</v>
      </c>
      <c r="P22" s="134">
        <f t="shared" si="14"/>
        <v>1</v>
      </c>
      <c r="Q22" s="134">
        <f t="shared" si="15"/>
        <v>1</v>
      </c>
      <c r="R22" s="128">
        <f t="shared" si="16"/>
        <v>0.90600747629467537</v>
      </c>
      <c r="S22" s="134">
        <f t="shared" si="17"/>
        <v>1.0154441592055623</v>
      </c>
      <c r="T22" s="135">
        <f t="shared" si="18"/>
        <v>0.58647619047619048</v>
      </c>
      <c r="U22" s="136">
        <f t="shared" si="19"/>
        <v>0.59553382213217632</v>
      </c>
      <c r="V22" s="137">
        <f t="shared" si="20"/>
        <v>0</v>
      </c>
      <c r="W22" s="134">
        <f t="shared" si="21"/>
        <v>1</v>
      </c>
      <c r="X22" s="134">
        <f t="shared" si="22"/>
        <v>1.0218364490808034</v>
      </c>
      <c r="Y22" s="136">
        <f t="shared" si="23"/>
        <v>0.59928274794662739</v>
      </c>
      <c r="Z22" s="137" t="str">
        <f t="shared" si="24"/>
        <v>—</v>
      </c>
      <c r="AA22" s="69">
        <f t="shared" si="25"/>
        <v>3</v>
      </c>
      <c r="AB22" s="109" t="str">
        <f t="shared" si="26"/>
        <v/>
      </c>
      <c r="AC22" s="69">
        <f t="shared" si="27"/>
        <v>0</v>
      </c>
    </row>
    <row r="23" spans="1:29" x14ac:dyDescent="0.25">
      <c r="A23" s="138" t="str">
        <f>_lists!$B$18</f>
        <v>NJ</v>
      </c>
      <c r="B23" s="139">
        <f t="shared" si="0"/>
        <v>40800</v>
      </c>
      <c r="C23" s="140">
        <f t="shared" si="1"/>
        <v>0.92</v>
      </c>
      <c r="D23" s="141">
        <f t="shared" si="2"/>
        <v>0.91</v>
      </c>
      <c r="E23" s="141">
        <f t="shared" si="3"/>
        <v>0.91500000000000004</v>
      </c>
      <c r="F23" s="142" t="str">
        <f t="shared" si="4"/>
        <v/>
      </c>
      <c r="G23" s="143" t="str">
        <f t="shared" si="5"/>
        <v/>
      </c>
      <c r="H23" s="144" t="str">
        <f t="shared" si="6"/>
        <v/>
      </c>
      <c r="I23" s="143" t="str">
        <f t="shared" si="7"/>
        <v/>
      </c>
      <c r="J23" s="144" t="str">
        <f t="shared" si="8"/>
        <v/>
      </c>
      <c r="K23" s="143" t="str">
        <f t="shared" si="9"/>
        <v/>
      </c>
      <c r="L23" s="144" t="str">
        <f t="shared" si="10"/>
        <v/>
      </c>
      <c r="M23" s="143" t="str">
        <f t="shared" si="11"/>
        <v/>
      </c>
      <c r="N23" s="145">
        <f t="shared" si="12"/>
        <v>4</v>
      </c>
      <c r="O23" s="146">
        <f t="shared" si="13"/>
        <v>1.030392156862745</v>
      </c>
      <c r="P23" s="147">
        <f t="shared" si="14"/>
        <v>1.0320588235294117</v>
      </c>
      <c r="Q23" s="147">
        <f t="shared" si="15"/>
        <v>0.9984046796064876</v>
      </c>
      <c r="R23" s="141">
        <f t="shared" si="16"/>
        <v>0.91199626185266269</v>
      </c>
      <c r="S23" s="147">
        <f t="shared" si="17"/>
        <v>1.0087760646420616</v>
      </c>
      <c r="T23" s="148">
        <f t="shared" si="18"/>
        <v>0.58509803921568626</v>
      </c>
      <c r="U23" s="149">
        <f t="shared" si="19"/>
        <v>0.58931236580153579</v>
      </c>
      <c r="V23" s="150">
        <f t="shared" si="20"/>
        <v>0</v>
      </c>
      <c r="W23" s="147">
        <f t="shared" si="21"/>
        <v>0.98651600634910641</v>
      </c>
      <c r="X23" s="147">
        <f t="shared" si="22"/>
        <v>1.0056512002530102</v>
      </c>
      <c r="Y23" s="149">
        <f t="shared" si="23"/>
        <v>0.58064811420658102</v>
      </c>
      <c r="Z23" s="150" t="str">
        <f t="shared" si="24"/>
        <v>—</v>
      </c>
      <c r="AA23" s="69">
        <f t="shared" si="25"/>
        <v>3</v>
      </c>
      <c r="AB23" s="109" t="str">
        <f t="shared" si="26"/>
        <v/>
      </c>
      <c r="AC23" s="69">
        <f t="shared" si="27"/>
        <v>0</v>
      </c>
    </row>
    <row r="24" spans="1:29" x14ac:dyDescent="0.25">
      <c r="A24" s="125" t="str">
        <f>_lists!$B$19</f>
        <v>NY</v>
      </c>
      <c r="B24" s="126">
        <f t="shared" si="0"/>
        <v>31200</v>
      </c>
      <c r="C24" s="127">
        <f t="shared" si="1"/>
        <v>0.92</v>
      </c>
      <c r="D24" s="128">
        <f t="shared" si="2"/>
        <v>0.91</v>
      </c>
      <c r="E24" s="128">
        <f t="shared" si="3"/>
        <v>0.93</v>
      </c>
      <c r="F24" s="129" t="str">
        <f t="shared" si="4"/>
        <v/>
      </c>
      <c r="G24" s="130" t="str">
        <f t="shared" si="5"/>
        <v/>
      </c>
      <c r="H24" s="131" t="str">
        <f t="shared" si="6"/>
        <v/>
      </c>
      <c r="I24" s="130" t="str">
        <f t="shared" si="7"/>
        <v/>
      </c>
      <c r="J24" s="131" t="str">
        <f t="shared" si="8"/>
        <v/>
      </c>
      <c r="K24" s="130" t="str">
        <f t="shared" si="9"/>
        <v/>
      </c>
      <c r="L24" s="131" t="str">
        <f t="shared" si="10"/>
        <v/>
      </c>
      <c r="M24" s="130" t="str">
        <f t="shared" si="11"/>
        <v/>
      </c>
      <c r="N24" s="132">
        <f t="shared" si="12"/>
        <v>4</v>
      </c>
      <c r="O24" s="133">
        <f t="shared" si="13"/>
        <v>1.0405128205128205</v>
      </c>
      <c r="P24" s="134">
        <f t="shared" si="14"/>
        <v>1.040925925925926</v>
      </c>
      <c r="Q24" s="134">
        <f t="shared" si="15"/>
        <v>0.99961058750493814</v>
      </c>
      <c r="R24" s="128">
        <f t="shared" si="16"/>
        <v>0.91798504741064901</v>
      </c>
      <c r="S24" s="134">
        <f t="shared" si="17"/>
        <v>1.0021949732133812</v>
      </c>
      <c r="T24" s="135">
        <f t="shared" si="18"/>
        <v>0.58482051282051273</v>
      </c>
      <c r="U24" s="136">
        <f t="shared" si="19"/>
        <v>0.58590688017759751</v>
      </c>
      <c r="V24" s="137">
        <f t="shared" si="20"/>
        <v>0</v>
      </c>
      <c r="W24" s="134">
        <f t="shared" si="21"/>
        <v>0.98726511710748954</v>
      </c>
      <c r="X24" s="134">
        <f t="shared" si="22"/>
        <v>0.98997068515119868</v>
      </c>
      <c r="Y24" s="136">
        <f t="shared" si="23"/>
        <v>0.57159258189382578</v>
      </c>
      <c r="Z24" s="137" t="str">
        <f t="shared" si="24"/>
        <v>—</v>
      </c>
      <c r="AA24" s="69">
        <f t="shared" si="25"/>
        <v>3</v>
      </c>
      <c r="AB24" s="109" t="str">
        <f t="shared" si="26"/>
        <v/>
      </c>
      <c r="AC24" s="69">
        <f t="shared" si="27"/>
        <v>0</v>
      </c>
    </row>
    <row r="25" spans="1:29" x14ac:dyDescent="0.25">
      <c r="A25" s="138" t="str">
        <f>_lists!$B$20</f>
        <v>OH</v>
      </c>
      <c r="B25" s="139">
        <f t="shared" si="0"/>
        <v>21600</v>
      </c>
      <c r="C25" s="140">
        <f t="shared" si="1"/>
        <v>0.92</v>
      </c>
      <c r="D25" s="141">
        <f t="shared" si="2"/>
        <v>0.91</v>
      </c>
      <c r="E25" s="141">
        <f t="shared" si="3"/>
        <v>0.91</v>
      </c>
      <c r="F25" s="142" t="str">
        <f t="shared" si="4"/>
        <v/>
      </c>
      <c r="G25" s="143" t="str">
        <f t="shared" si="5"/>
        <v/>
      </c>
      <c r="H25" s="144" t="str">
        <f t="shared" si="6"/>
        <v/>
      </c>
      <c r="I25" s="143" t="str">
        <f t="shared" si="7"/>
        <v/>
      </c>
      <c r="J25" s="144" t="str">
        <f t="shared" si="8"/>
        <v/>
      </c>
      <c r="K25" s="143" t="str">
        <f t="shared" si="9"/>
        <v/>
      </c>
      <c r="L25" s="144" t="str">
        <f t="shared" si="10"/>
        <v/>
      </c>
      <c r="M25" s="143" t="str">
        <f t="shared" si="11"/>
        <v/>
      </c>
      <c r="N25" s="145">
        <f t="shared" si="12"/>
        <v>1</v>
      </c>
      <c r="O25" s="146">
        <f t="shared" si="13"/>
        <v>1</v>
      </c>
      <c r="P25" s="147">
        <f t="shared" si="14"/>
        <v>1.0020576131687242</v>
      </c>
      <c r="Q25" s="147">
        <f t="shared" si="15"/>
        <v>0.99795657726692211</v>
      </c>
      <c r="R25" s="141">
        <f t="shared" si="16"/>
        <v>0.9099999999999997</v>
      </c>
      <c r="S25" s="147">
        <f t="shared" si="17"/>
        <v>1.0109890109890112</v>
      </c>
      <c r="T25" s="148">
        <f t="shared" si="18"/>
        <v>0.5822222222222222</v>
      </c>
      <c r="U25" s="149">
        <f t="shared" si="19"/>
        <v>0.58738900537521233</v>
      </c>
      <c r="V25" s="150">
        <f t="shared" si="20"/>
        <v>0</v>
      </c>
      <c r="W25" s="147">
        <f t="shared" si="21"/>
        <v>0.9886801040955463</v>
      </c>
      <c r="X25" s="147">
        <f t="shared" si="22"/>
        <v>1.0109890109890112</v>
      </c>
      <c r="Y25" s="149">
        <f t="shared" si="23"/>
        <v>0.58179947156276324</v>
      </c>
      <c r="Z25" s="150" t="str">
        <f t="shared" si="24"/>
        <v>—</v>
      </c>
      <c r="AA25" s="69">
        <f t="shared" si="25"/>
        <v>3</v>
      </c>
      <c r="AB25" s="109" t="str">
        <f t="shared" si="26"/>
        <v/>
      </c>
      <c r="AC25" s="69">
        <f t="shared" si="27"/>
        <v>0</v>
      </c>
    </row>
    <row r="26" spans="1:29" x14ac:dyDescent="0.25">
      <c r="A26" s="125" t="str">
        <f>_lists!$B$21</f>
        <v>PA</v>
      </c>
      <c r="B26" s="126">
        <f t="shared" si="0"/>
        <v>52800</v>
      </c>
      <c r="C26" s="127">
        <f t="shared" si="1"/>
        <v>0.92</v>
      </c>
      <c r="D26" s="128">
        <f t="shared" si="2"/>
        <v>0.91</v>
      </c>
      <c r="E26" s="128">
        <f t="shared" si="3"/>
        <v>0.92500000000000004</v>
      </c>
      <c r="F26" s="129" t="str">
        <f t="shared" si="4"/>
        <v/>
      </c>
      <c r="G26" s="130" t="str">
        <f t="shared" si="5"/>
        <v/>
      </c>
      <c r="H26" s="131" t="str">
        <f t="shared" si="6"/>
        <v/>
      </c>
      <c r="I26" s="130" t="str">
        <f t="shared" si="7"/>
        <v/>
      </c>
      <c r="J26" s="131" t="str">
        <f t="shared" si="8"/>
        <v/>
      </c>
      <c r="K26" s="130" t="str">
        <f t="shared" si="9"/>
        <v/>
      </c>
      <c r="L26" s="131" t="str">
        <f t="shared" si="10"/>
        <v/>
      </c>
      <c r="M26" s="130" t="str">
        <f t="shared" si="11"/>
        <v/>
      </c>
      <c r="N26" s="132">
        <f t="shared" si="12"/>
        <v>3</v>
      </c>
      <c r="O26" s="133">
        <f t="shared" si="13"/>
        <v>1.042878787878788</v>
      </c>
      <c r="P26" s="134">
        <f t="shared" si="14"/>
        <v>1.042878787878788</v>
      </c>
      <c r="Q26" s="134">
        <f t="shared" si="15"/>
        <v>1</v>
      </c>
      <c r="R26" s="128">
        <f t="shared" si="16"/>
        <v>0.91598878555798668</v>
      </c>
      <c r="S26" s="134">
        <f t="shared" si="17"/>
        <v>1.0043791086804299</v>
      </c>
      <c r="T26" s="135">
        <f t="shared" si="18"/>
        <v>0.58115151515151509</v>
      </c>
      <c r="U26" s="136">
        <f t="shared" si="19"/>
        <v>0.58369644079616001</v>
      </c>
      <c r="V26" s="137">
        <f t="shared" si="20"/>
        <v>0</v>
      </c>
      <c r="W26" s="134">
        <f t="shared" si="21"/>
        <v>1</v>
      </c>
      <c r="X26" s="134">
        <f t="shared" si="22"/>
        <v>0.9951429070169957</v>
      </c>
      <c r="Y26" s="136">
        <f t="shared" si="23"/>
        <v>0.57832880820521038</v>
      </c>
      <c r="Z26" s="137" t="str">
        <f t="shared" si="24"/>
        <v>—</v>
      </c>
      <c r="AA26" s="69">
        <f t="shared" si="25"/>
        <v>3</v>
      </c>
      <c r="AB26" s="109" t="str">
        <f t="shared" si="26"/>
        <v/>
      </c>
      <c r="AC26" s="69">
        <f t="shared" si="27"/>
        <v>0</v>
      </c>
    </row>
    <row r="27" spans="1:29" x14ac:dyDescent="0.25">
      <c r="A27" s="138" t="str">
        <f>_lists!$B$22</f>
        <v>TN</v>
      </c>
      <c r="B27" s="139">
        <f t="shared" si="0"/>
        <v>43200</v>
      </c>
      <c r="C27" s="140">
        <f t="shared" si="1"/>
        <v>0.92</v>
      </c>
      <c r="D27" s="141">
        <f t="shared" si="2"/>
        <v>0.91</v>
      </c>
      <c r="E27" s="141">
        <f t="shared" si="3"/>
        <v>0.90500000000000003</v>
      </c>
      <c r="F27" s="142" t="str">
        <f t="shared" si="4"/>
        <v/>
      </c>
      <c r="G27" s="143" t="str">
        <f t="shared" si="5"/>
        <v/>
      </c>
      <c r="H27" s="144" t="str">
        <f t="shared" si="6"/>
        <v/>
      </c>
      <c r="I27" s="143" t="str">
        <f t="shared" si="7"/>
        <v/>
      </c>
      <c r="J27" s="144" t="str">
        <f t="shared" si="8"/>
        <v/>
      </c>
      <c r="K27" s="143" t="str">
        <f t="shared" si="9"/>
        <v/>
      </c>
      <c r="L27" s="144" t="str">
        <f t="shared" si="10"/>
        <v/>
      </c>
      <c r="M27" s="143" t="str">
        <f t="shared" si="11"/>
        <v/>
      </c>
      <c r="N27" s="145">
        <f t="shared" si="12"/>
        <v>4</v>
      </c>
      <c r="O27" s="146">
        <f t="shared" si="13"/>
        <v>1.0361111111111112</v>
      </c>
      <c r="P27" s="147">
        <f t="shared" si="14"/>
        <v>1.0456441358024693</v>
      </c>
      <c r="Q27" s="147">
        <f t="shared" si="15"/>
        <v>0.99098478748498398</v>
      </c>
      <c r="R27" s="141">
        <f t="shared" si="16"/>
        <v>0.90800373814733781</v>
      </c>
      <c r="S27" s="147">
        <f t="shared" si="17"/>
        <v>1.0132116877372543</v>
      </c>
      <c r="T27" s="148">
        <f t="shared" si="18"/>
        <v>0.58059259259259255</v>
      </c>
      <c r="U27" s="149">
        <f t="shared" si="19"/>
        <v>0.58281513286068709</v>
      </c>
      <c r="V27" s="150">
        <f t="shared" si="20"/>
        <v>0</v>
      </c>
      <c r="W27" s="147">
        <f t="shared" si="21"/>
        <v>0.98646723646723622</v>
      </c>
      <c r="X27" s="147">
        <f t="shared" si="22"/>
        <v>1.0163837883191853</v>
      </c>
      <c r="Y27" s="149">
        <f t="shared" si="23"/>
        <v>0.58190722777566506</v>
      </c>
      <c r="Z27" s="150" t="str">
        <f t="shared" si="24"/>
        <v>—</v>
      </c>
      <c r="AA27" s="69">
        <f t="shared" si="25"/>
        <v>3</v>
      </c>
      <c r="AB27" s="109" t="str">
        <f t="shared" si="26"/>
        <v/>
      </c>
      <c r="AC27" s="69">
        <f t="shared" si="27"/>
        <v>0</v>
      </c>
    </row>
    <row r="28" spans="1:29" x14ac:dyDescent="0.25">
      <c r="A28" s="125" t="str">
        <f>_lists!$B$23</f>
        <v>TX</v>
      </c>
      <c r="B28" s="126">
        <f t="shared" si="0"/>
        <v>33600</v>
      </c>
      <c r="C28" s="127">
        <f t="shared" si="1"/>
        <v>0.92</v>
      </c>
      <c r="D28" s="128">
        <f t="shared" si="2"/>
        <v>0.91</v>
      </c>
      <c r="E28" s="128">
        <f t="shared" si="3"/>
        <v>0.92</v>
      </c>
      <c r="F28" s="129" t="str">
        <f t="shared" si="4"/>
        <v/>
      </c>
      <c r="G28" s="130" t="str">
        <f t="shared" si="5"/>
        <v/>
      </c>
      <c r="H28" s="131" t="str">
        <f t="shared" si="6"/>
        <v/>
      </c>
      <c r="I28" s="130" t="str">
        <f t="shared" si="7"/>
        <v/>
      </c>
      <c r="J28" s="131" t="str">
        <f t="shared" si="8"/>
        <v/>
      </c>
      <c r="K28" s="130" t="str">
        <f t="shared" si="9"/>
        <v/>
      </c>
      <c r="L28" s="131" t="str">
        <f t="shared" si="10"/>
        <v/>
      </c>
      <c r="M28" s="130" t="str">
        <f t="shared" si="11"/>
        <v/>
      </c>
      <c r="N28" s="132">
        <f t="shared" si="12"/>
        <v>1</v>
      </c>
      <c r="O28" s="133">
        <f t="shared" si="13"/>
        <v>1</v>
      </c>
      <c r="P28" s="134">
        <f t="shared" si="14"/>
        <v>1.0088888888888887</v>
      </c>
      <c r="Q28" s="134">
        <f t="shared" si="15"/>
        <v>0.99134199134199141</v>
      </c>
      <c r="R28" s="128">
        <f t="shared" si="16"/>
        <v>0.91399252370532436</v>
      </c>
      <c r="S28" s="134">
        <f t="shared" si="17"/>
        <v>1.0065727849395543</v>
      </c>
      <c r="T28" s="135">
        <f t="shared" si="18"/>
        <v>0.57838095238095233</v>
      </c>
      <c r="U28" s="136">
        <f t="shared" si="19"/>
        <v>0.57726731343386273</v>
      </c>
      <c r="V28" s="137">
        <f t="shared" si="20"/>
        <v>0</v>
      </c>
      <c r="W28" s="134">
        <f t="shared" si="21"/>
        <v>0.98717948717948734</v>
      </c>
      <c r="X28" s="134">
        <f t="shared" si="22"/>
        <v>1.000369458535054</v>
      </c>
      <c r="Y28" s="136">
        <f t="shared" si="23"/>
        <v>0.57136119946014574</v>
      </c>
      <c r="Z28" s="137" t="str">
        <f t="shared" si="24"/>
        <v>—</v>
      </c>
      <c r="AA28" s="69">
        <f t="shared" si="25"/>
        <v>3</v>
      </c>
      <c r="AB28" s="109" t="str">
        <f t="shared" si="26"/>
        <v/>
      </c>
      <c r="AC28" s="69">
        <f t="shared" si="27"/>
        <v>0</v>
      </c>
    </row>
    <row r="29" spans="1:29" x14ac:dyDescent="0.25">
      <c r="A29" s="138" t="str">
        <f>_lists!$B$24</f>
        <v/>
      </c>
      <c r="B29" s="139" t="str">
        <f t="shared" si="0"/>
        <v/>
      </c>
      <c r="C29" s="140" t="str">
        <f t="shared" si="1"/>
        <v/>
      </c>
      <c r="D29" s="141" t="str">
        <f t="shared" si="2"/>
        <v/>
      </c>
      <c r="E29" s="141" t="str">
        <f t="shared" si="3"/>
        <v/>
      </c>
      <c r="F29" s="142" t="str">
        <f t="shared" si="4"/>
        <v/>
      </c>
      <c r="G29" s="143" t="str">
        <f t="shared" si="5"/>
        <v/>
      </c>
      <c r="H29" s="144" t="str">
        <f t="shared" si="6"/>
        <v/>
      </c>
      <c r="I29" s="143" t="str">
        <f t="shared" si="7"/>
        <v/>
      </c>
      <c r="J29" s="144" t="str">
        <f t="shared" si="8"/>
        <v/>
      </c>
      <c r="K29" s="143" t="str">
        <f t="shared" si="9"/>
        <v/>
      </c>
      <c r="L29" s="144" t="str">
        <f t="shared" si="10"/>
        <v/>
      </c>
      <c r="M29" s="143" t="str">
        <f t="shared" si="11"/>
        <v/>
      </c>
      <c r="N29" s="145" t="str">
        <f t="shared" si="12"/>
        <v/>
      </c>
      <c r="O29" s="146" t="str">
        <f t="shared" si="13"/>
        <v/>
      </c>
      <c r="P29" s="147" t="str">
        <f t="shared" si="14"/>
        <v/>
      </c>
      <c r="Q29" s="147" t="str">
        <f t="shared" si="15"/>
        <v/>
      </c>
      <c r="R29" s="141" t="str">
        <f t="shared" si="16"/>
        <v/>
      </c>
      <c r="S29" s="147" t="str">
        <f t="shared" si="17"/>
        <v/>
      </c>
      <c r="T29" s="148" t="str">
        <f t="shared" si="18"/>
        <v/>
      </c>
      <c r="U29" s="149" t="str">
        <f t="shared" si="19"/>
        <v/>
      </c>
      <c r="V29" s="150" t="str">
        <f t="shared" si="20"/>
        <v/>
      </c>
      <c r="W29" s="147" t="str">
        <f t="shared" si="21"/>
        <v/>
      </c>
      <c r="X29" s="147" t="str">
        <f t="shared" si="22"/>
        <v/>
      </c>
      <c r="Y29" s="149" t="str">
        <f t="shared" si="23"/>
        <v/>
      </c>
      <c r="Z29" s="150" t="str">
        <f t="shared" si="24"/>
        <v/>
      </c>
      <c r="AA29" s="69">
        <f t="shared" si="25"/>
        <v>0</v>
      </c>
      <c r="AB29" s="109" t="str">
        <f t="shared" si="26"/>
        <v/>
      </c>
      <c r="AC29" s="69">
        <f t="shared" si="27"/>
        <v>0</v>
      </c>
    </row>
    <row r="30" spans="1:29" x14ac:dyDescent="0.25">
      <c r="A30" s="125" t="str">
        <f>_lists!$B$25</f>
        <v/>
      </c>
      <c r="B30" s="126" t="str">
        <f t="shared" si="0"/>
        <v/>
      </c>
      <c r="C30" s="127" t="str">
        <f t="shared" si="1"/>
        <v/>
      </c>
      <c r="D30" s="128" t="str">
        <f t="shared" si="2"/>
        <v/>
      </c>
      <c r="E30" s="128" t="str">
        <f t="shared" si="3"/>
        <v/>
      </c>
      <c r="F30" s="129" t="str">
        <f t="shared" si="4"/>
        <v/>
      </c>
      <c r="G30" s="130" t="str">
        <f t="shared" si="5"/>
        <v/>
      </c>
      <c r="H30" s="131" t="str">
        <f t="shared" si="6"/>
        <v/>
      </c>
      <c r="I30" s="130" t="str">
        <f t="shared" si="7"/>
        <v/>
      </c>
      <c r="J30" s="131" t="str">
        <f t="shared" si="8"/>
        <v/>
      </c>
      <c r="K30" s="130" t="str">
        <f t="shared" si="9"/>
        <v/>
      </c>
      <c r="L30" s="131" t="str">
        <f t="shared" si="10"/>
        <v/>
      </c>
      <c r="M30" s="130" t="str">
        <f t="shared" si="11"/>
        <v/>
      </c>
      <c r="N30" s="132" t="str">
        <f t="shared" si="12"/>
        <v/>
      </c>
      <c r="O30" s="133" t="str">
        <f t="shared" si="13"/>
        <v/>
      </c>
      <c r="P30" s="134" t="str">
        <f t="shared" si="14"/>
        <v/>
      </c>
      <c r="Q30" s="134" t="str">
        <f t="shared" si="15"/>
        <v/>
      </c>
      <c r="R30" s="128" t="str">
        <f t="shared" si="16"/>
        <v/>
      </c>
      <c r="S30" s="134" t="str">
        <f t="shared" si="17"/>
        <v/>
      </c>
      <c r="T30" s="135" t="str">
        <f t="shared" si="18"/>
        <v/>
      </c>
      <c r="U30" s="136" t="str">
        <f t="shared" si="19"/>
        <v/>
      </c>
      <c r="V30" s="137" t="str">
        <f t="shared" si="20"/>
        <v/>
      </c>
      <c r="W30" s="134" t="str">
        <f t="shared" si="21"/>
        <v/>
      </c>
      <c r="X30" s="134" t="str">
        <f t="shared" si="22"/>
        <v/>
      </c>
      <c r="Y30" s="136" t="str">
        <f t="shared" si="23"/>
        <v/>
      </c>
      <c r="Z30" s="137" t="str">
        <f t="shared" si="24"/>
        <v/>
      </c>
      <c r="AA30" s="69">
        <f t="shared" si="25"/>
        <v>0</v>
      </c>
      <c r="AB30" s="109" t="str">
        <f t="shared" si="26"/>
        <v/>
      </c>
      <c r="AC30" s="69">
        <f t="shared" si="27"/>
        <v>0</v>
      </c>
    </row>
    <row r="31" spans="1:29" x14ac:dyDescent="0.25">
      <c r="A31" s="138" t="str">
        <f>_lists!$B$26</f>
        <v/>
      </c>
      <c r="B31" s="139" t="str">
        <f t="shared" si="0"/>
        <v/>
      </c>
      <c r="C31" s="140" t="str">
        <f t="shared" si="1"/>
        <v/>
      </c>
      <c r="D31" s="141" t="str">
        <f t="shared" si="2"/>
        <v/>
      </c>
      <c r="E31" s="141" t="str">
        <f t="shared" si="3"/>
        <v/>
      </c>
      <c r="F31" s="142" t="str">
        <f t="shared" si="4"/>
        <v/>
      </c>
      <c r="G31" s="143" t="str">
        <f t="shared" si="5"/>
        <v/>
      </c>
      <c r="H31" s="144" t="str">
        <f t="shared" si="6"/>
        <v/>
      </c>
      <c r="I31" s="143" t="str">
        <f t="shared" si="7"/>
        <v/>
      </c>
      <c r="J31" s="144" t="str">
        <f t="shared" si="8"/>
        <v/>
      </c>
      <c r="K31" s="143" t="str">
        <f t="shared" si="9"/>
        <v/>
      </c>
      <c r="L31" s="144" t="str">
        <f t="shared" si="10"/>
        <v/>
      </c>
      <c r="M31" s="143" t="str">
        <f t="shared" si="11"/>
        <v/>
      </c>
      <c r="N31" s="145" t="str">
        <f t="shared" si="12"/>
        <v/>
      </c>
      <c r="O31" s="146" t="str">
        <f t="shared" si="13"/>
        <v/>
      </c>
      <c r="P31" s="147" t="str">
        <f t="shared" si="14"/>
        <v/>
      </c>
      <c r="Q31" s="147" t="str">
        <f t="shared" si="15"/>
        <v/>
      </c>
      <c r="R31" s="141" t="str">
        <f t="shared" si="16"/>
        <v/>
      </c>
      <c r="S31" s="147" t="str">
        <f t="shared" si="17"/>
        <v/>
      </c>
      <c r="T31" s="148" t="str">
        <f t="shared" si="18"/>
        <v/>
      </c>
      <c r="U31" s="149" t="str">
        <f t="shared" si="19"/>
        <v/>
      </c>
      <c r="V31" s="150" t="str">
        <f t="shared" si="20"/>
        <v/>
      </c>
      <c r="W31" s="147" t="str">
        <f t="shared" si="21"/>
        <v/>
      </c>
      <c r="X31" s="147" t="str">
        <f t="shared" si="22"/>
        <v/>
      </c>
      <c r="Y31" s="149" t="str">
        <f t="shared" si="23"/>
        <v/>
      </c>
      <c r="Z31" s="150" t="str">
        <f t="shared" si="24"/>
        <v/>
      </c>
      <c r="AA31" s="69">
        <f t="shared" si="25"/>
        <v>0</v>
      </c>
      <c r="AB31" s="109" t="str">
        <f t="shared" si="26"/>
        <v/>
      </c>
      <c r="AC31" s="69">
        <f t="shared" si="27"/>
        <v>0</v>
      </c>
    </row>
    <row r="32" spans="1:29" x14ac:dyDescent="0.25">
      <c r="C32" s="151"/>
      <c r="F32" s="151"/>
      <c r="O32" s="151"/>
      <c r="T32" s="151"/>
      <c r="V32" s="151"/>
      <c r="Z32" s="151"/>
    </row>
    <row r="33" spans="1:26" x14ac:dyDescent="0.25">
      <c r="A33" s="152" t="s">
        <v>358</v>
      </c>
      <c r="B33" s="153">
        <f>SUMIFS(calc_ep,calc_bu,$AA$4)</f>
        <v>804000</v>
      </c>
      <c r="C33" s="154">
        <f>IF($B$33=0,"n/a",SUMIFS(calc_w_mind,calc_bu,$AA$4)/$B$33)</f>
        <v>0.9194427860696518</v>
      </c>
      <c r="D33" s="155">
        <f>IF($B$33=0,"n/a",SUMIFS(calc_w_m0,calc_bu,$AA$4)/$B$33)</f>
        <v>0.90973134328358207</v>
      </c>
      <c r="E33" s="155">
        <f>IF($B$33=0,"n/a",SUMIFS(calc_w_m1,calc_bu,$AA$4)/$B$33)</f>
        <v>0.91514925373134326</v>
      </c>
      <c r="F33" s="156"/>
      <c r="G33" s="157"/>
      <c r="H33" s="157"/>
      <c r="I33" s="157"/>
      <c r="J33" s="157"/>
      <c r="K33" s="157"/>
      <c r="L33" s="157"/>
      <c r="M33" s="157"/>
      <c r="N33" s="158">
        <f>IF($B$4="All",COUNTIFS(rl_eff,"&lt;&gt;"),COUNTIFS(rl_bu,$B$4,rl_eff,"&lt;&gt;"))</f>
        <v>64</v>
      </c>
      <c r="O33" s="159">
        <f>IF($B$33=0,"n/a",SUMIFS(calc_w_crl,calc_bu,$AA$4)/$B$33)</f>
        <v>1.0277902487562189</v>
      </c>
      <c r="P33" s="160">
        <f>IF($B$33=0,"n/a",SUMIFS(calc_w_ecy,calc_bu,$AA$4)/$B$33)</f>
        <v>1.0342684455000466</v>
      </c>
      <c r="Q33" s="160">
        <f>IF($B$33=0,"n/a",SUMIFS(calc_w_arate,calc_bu,$AA$4)/$B$33)</f>
        <v>0.99391591955064729</v>
      </c>
      <c r="R33" s="155">
        <f>IF($B$33=0,"n/a",SUMIFS(calc_w_mbar,calc_bu,$AA$4)/$B$33)</f>
        <v>0.91189277838573091</v>
      </c>
      <c r="S33" s="160">
        <f>IF($B$33=0,"n/a",SUMIFS(calc_w_amod,calc_bu,$AA$4)/$B$33)</f>
        <v>1.0081828602544951</v>
      </c>
      <c r="T33" s="161">
        <f>IF($B$33=0,"n/a",SUMIFS(calc_w_lrcur,calc_bu,$AA$4)/$B$33)</f>
        <v>0.58183243781094529</v>
      </c>
      <c r="U33" s="162">
        <f>IF($B$33=0,"n/a",SUMIFS(calc_w_cylr,calc_bu,$AA$4)/$B$33)</f>
        <v>0.58320500261511987</v>
      </c>
      <c r="V33" s="163">
        <f>IF($B$33=0,"n/a",SUMIFS(calc_w_trend,calc_bu,$AA$4)/$B$33)</f>
        <v>2.1890547263681592E-4</v>
      </c>
      <c r="W33" s="160">
        <f>IF($B$33=0,"n/a",SUMIFS(calc_w_arate1,calc_bu,$AA$4)/$B$33)</f>
        <v>0.9857692118920145</v>
      </c>
      <c r="X33" s="160">
        <f>IF($B$33=0,"n/a",SUMIFS(calc_w_amod1,calc_bu,$AA$4)/$B$33)</f>
        <v>1.0048896478445146</v>
      </c>
      <c r="Y33" s="162">
        <f>IF($B$33=0,"n/a",SUMIFS(calc_w_cylr1,calc_bu,$AA$4)/$B$33)</f>
        <v>0.57665620075801161</v>
      </c>
      <c r="Z33" s="163">
        <f>IF(SUMIFS(calc_netmode,calc_bu,$AA$4)=0,"—",SUMIFS(calc_netx,calc_bu,$AA$4)/SUMIFS(calc_netmode,calc_bu,$AA$4))</f>
        <v>0.1</v>
      </c>
    </row>
    <row r="35" spans="1:26" ht="324" x14ac:dyDescent="0.25">
      <c r="A35" s="20" t="s">
        <v>359</v>
      </c>
    </row>
    <row r="36" spans="1:26" ht="409.5" x14ac:dyDescent="0.25">
      <c r="A36" s="20" t="s">
        <v>360</v>
      </c>
    </row>
    <row r="37" spans="1:26" ht="288" x14ac:dyDescent="0.25">
      <c r="A37" s="20" t="s">
        <v>361</v>
      </c>
    </row>
    <row r="38" spans="1:26" ht="409.5" x14ac:dyDescent="0.25">
      <c r="A38" s="20" t="s">
        <v>362</v>
      </c>
    </row>
    <row r="41" spans="1:26" ht="15.75" x14ac:dyDescent="0.25">
      <c r="A41" s="3" t="s">
        <v>363</v>
      </c>
    </row>
    <row r="42" spans="1:26" x14ac:dyDescent="0.25">
      <c r="A42" s="6" t="s">
        <v>364</v>
      </c>
    </row>
    <row r="44" spans="1:26" x14ac:dyDescent="0.25">
      <c r="A44" s="100" t="s">
        <v>365</v>
      </c>
      <c r="B44" s="27"/>
      <c r="C44" s="27"/>
      <c r="D44" s="27"/>
      <c r="E44" s="27"/>
      <c r="F44" s="27"/>
      <c r="G44" s="27"/>
      <c r="H44" s="27"/>
      <c r="I44" s="27"/>
      <c r="J44" s="27"/>
      <c r="K44" s="27"/>
      <c r="L44" s="27"/>
      <c r="M44" s="27"/>
      <c r="N44" s="27"/>
      <c r="O44" s="27"/>
      <c r="P44" s="27"/>
      <c r="Q44" s="27"/>
      <c r="R44" s="27"/>
      <c r="S44" s="27"/>
      <c r="T44" s="27"/>
      <c r="U44" s="27"/>
      <c r="V44" s="27"/>
      <c r="W44" s="27"/>
      <c r="X44" s="27"/>
      <c r="Y44" s="27"/>
    </row>
    <row r="45" spans="1:26" x14ac:dyDescent="0.25">
      <c r="A45" s="40" t="s">
        <v>366</v>
      </c>
    </row>
    <row r="47" spans="1:26" ht="15.75" x14ac:dyDescent="0.25">
      <c r="A47" s="3" t="s">
        <v>367</v>
      </c>
    </row>
    <row r="48" spans="1:26" x14ac:dyDescent="0.25">
      <c r="A48" s="11" t="s">
        <v>368</v>
      </c>
      <c r="E48" s="6" t="s">
        <v>369</v>
      </c>
    </row>
    <row r="49" spans="1:7" x14ac:dyDescent="0.25">
      <c r="A49" s="11" t="s">
        <v>370</v>
      </c>
      <c r="E49" s="6" t="s">
        <v>371</v>
      </c>
    </row>
    <row r="50" spans="1:7" x14ac:dyDescent="0.25">
      <c r="A50" s="11" t="s">
        <v>372</v>
      </c>
      <c r="E50" s="6" t="s">
        <v>373</v>
      </c>
    </row>
    <row r="51" spans="1:7" x14ac:dyDescent="0.25">
      <c r="A51" s="11" t="s">
        <v>374</v>
      </c>
      <c r="E51" s="6" t="s">
        <v>375</v>
      </c>
    </row>
    <row r="52" spans="1:7" x14ac:dyDescent="0.25">
      <c r="A52" s="11" t="s">
        <v>376</v>
      </c>
      <c r="E52" s="6" t="s">
        <v>377</v>
      </c>
    </row>
    <row r="53" spans="1:7" x14ac:dyDescent="0.25">
      <c r="A53" s="11" t="s">
        <v>378</v>
      </c>
      <c r="E53" s="6" t="s">
        <v>379</v>
      </c>
    </row>
    <row r="54" spans="1:7" x14ac:dyDescent="0.25">
      <c r="A54" s="11" t="s">
        <v>380</v>
      </c>
      <c r="E54" s="6" t="s">
        <v>381</v>
      </c>
    </row>
    <row r="55" spans="1:7" x14ac:dyDescent="0.25">
      <c r="A55" s="11" t="s">
        <v>326</v>
      </c>
      <c r="E55" s="6" t="s">
        <v>382</v>
      </c>
    </row>
    <row r="56" spans="1:7" x14ac:dyDescent="0.25">
      <c r="A56" s="11" t="s">
        <v>383</v>
      </c>
      <c r="E56" s="6" t="s">
        <v>384</v>
      </c>
    </row>
    <row r="57" spans="1:7" x14ac:dyDescent="0.25">
      <c r="A57" s="11" t="s">
        <v>385</v>
      </c>
      <c r="E57" s="6" t="s">
        <v>386</v>
      </c>
    </row>
    <row r="58" spans="1:7" x14ac:dyDescent="0.25">
      <c r="A58" s="11" t="s">
        <v>357</v>
      </c>
      <c r="E58" s="6" t="s">
        <v>387</v>
      </c>
    </row>
    <row r="60" spans="1:7" ht="15.75" x14ac:dyDescent="0.25">
      <c r="A60" s="3" t="s">
        <v>388</v>
      </c>
      <c r="E60" s="58" t="str">
        <f>"Currently showing:  "&amp;nr_SelKey</f>
        <v>Currently showing:  BU-A|AZ</v>
      </c>
    </row>
    <row r="61" spans="1:7" x14ac:dyDescent="0.25">
      <c r="A61" s="164" t="s">
        <v>389</v>
      </c>
      <c r="E61" s="165">
        <f>nr_LRproj</f>
        <v>0.65</v>
      </c>
      <c r="G61" s="166" t="str">
        <f>"the indication's loss pick — already centered on CY "&amp;nr_PlanYear&amp;" losses, so no additional loss trend applies"</f>
        <v>the indication's loss pick — already centered on CY 2027 losses, so no additional loss trend applies</v>
      </c>
    </row>
    <row r="62" spans="1:7" x14ac:dyDescent="0.25">
      <c r="A62" s="164" t="s">
        <v>390</v>
      </c>
      <c r="E62" s="167">
        <f>IF(nr_Basis="proposed",1+nr_SelS,1)</f>
        <v>1</v>
      </c>
      <c r="G62" s="166" t="str">
        <f>IF(nr_Basis="proposed","input LR was at proposed level: x (1+s)","input LR already at current level: x 1.000")</f>
        <v>input LR already at current level: x 1.000</v>
      </c>
    </row>
    <row r="63" spans="1:7" x14ac:dyDescent="0.25">
      <c r="A63" s="164" t="s">
        <v>391</v>
      </c>
      <c r="E63" s="167">
        <f>nr_Arate_P</f>
        <v>0.97560975609756095</v>
      </c>
      <c r="G63" s="166" t="str">
        <f>IF(nr_NetMode,"combined rate + price factor A_net = CRL_ind "&amp;TEXT(nr_CRLind,"0.0000")&amp;" / net earned "&amp;TEXT(nr_ECY_P,"0.0000"),"CRL_ind "&amp;TEXT(nr_CRLind,"0.0000")&amp;" / earned "&amp;TEXT(nr_ECY_P,"0.0000")&amp;" — carryover plus partly-earned actions")</f>
        <v>CRL_ind 1.1024 / earned 1.1300 — carryover plus partly-earned actions</v>
      </c>
    </row>
    <row r="64" spans="1:7" x14ac:dyDescent="0.25">
      <c r="A64" s="164" t="s">
        <v>392</v>
      </c>
      <c r="E64" s="167">
        <f>nr_Amod_P</f>
        <v>0.97479571511472884</v>
      </c>
      <c r="G64" s="166" t="str">
        <f>IF(nr_NetMode,"1.000 — merged into the net factor above","M_ind "&amp;TEXT(nr_MInd,"0.000")&amp;" / earned mod "&amp;TEXT(nr_MEarned_P,"0.000"))</f>
        <v>M_ind 0.850 / earned mod 0.872</v>
      </c>
    </row>
    <row r="65" spans="1:7" x14ac:dyDescent="0.25">
      <c r="A65" s="164" t="s">
        <v>393</v>
      </c>
      <c r="E65" s="167">
        <f>nr_AOther</f>
        <v>1</v>
      </c>
      <c r="G65" s="166" t="str">
        <f>IF(nr_AOtherLbl="","no manual adjustment",nr_AOtherLbl)</f>
        <v>no manual adjustment</v>
      </c>
    </row>
    <row r="66" spans="1:7" x14ac:dyDescent="0.25">
      <c r="A66" s="168" t="s">
        <v>394</v>
      </c>
      <c r="E66" s="169">
        <f>nr_CYLR_P</f>
        <v>0.61816313641421827</v>
      </c>
      <c r="G66" s="166" t="str">
        <f>"the value in this state's CY "&amp;nr_PlanYear&amp;" plan LR column when its BU is in view"</f>
        <v>the value in this state's CY 2027 plan LR column when its BU is in view</v>
      </c>
    </row>
    <row r="67" spans="1:7" x14ac:dyDescent="0.25">
      <c r="A67" s="164" t="s">
        <v>395</v>
      </c>
      <c r="E67" s="165">
        <f>nr_CYLR_P1</f>
        <v>0.59190316879792326</v>
      </c>
      <c r="G67" s="166" t="str">
        <f>"x (1 + net trend "&amp;TEXT(nr_Trend,"0.0%")&amp;") with CY "&amp;(nr_PlanYear+1)&amp;"'s earn-in factors"</f>
        <v>x (1 + net trend 0.0%) with CY 2028's earn-in factors</v>
      </c>
    </row>
    <row r="69" spans="1:7" x14ac:dyDescent="0.25">
      <c r="A69" s="40" t="s">
        <v>396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397</v>
      </c>
    </row>
    <row r="3" spans="2:7" x14ac:dyDescent="0.25">
      <c r="B3" s="14" t="s">
        <v>197</v>
      </c>
      <c r="C3" s="58" t="str">
        <f>nr_SelKey</f>
        <v>BU-A|AZ</v>
      </c>
      <c r="D3" s="59" t="str">
        <f>HYPERLINK("#Control!C7","Change BU/state selection &gt;")</f>
        <v>Change BU/state selection &gt;</v>
      </c>
    </row>
    <row r="5" spans="2:7" ht="15.75" x14ac:dyDescent="0.25">
      <c r="B5" s="3" t="s">
        <v>398</v>
      </c>
      <c r="C5" s="41" t="s">
        <v>399</v>
      </c>
      <c r="D5" s="41" t="s">
        <v>400</v>
      </c>
      <c r="E5" s="41" t="s">
        <v>401</v>
      </c>
      <c r="F5" s="41" t="s">
        <v>402</v>
      </c>
    </row>
    <row r="6" spans="2:7" x14ac:dyDescent="0.25">
      <c r="B6" s="14" t="s">
        <v>403</v>
      </c>
      <c r="C6" s="43"/>
      <c r="D6" s="43"/>
      <c r="E6" s="43"/>
      <c r="F6" s="43"/>
    </row>
    <row r="7" spans="2:7" x14ac:dyDescent="0.25">
      <c r="B7" s="14" t="s">
        <v>404</v>
      </c>
      <c r="C7" s="170"/>
      <c r="D7" s="170"/>
      <c r="E7" s="170"/>
      <c r="F7" s="170"/>
    </row>
    <row r="8" spans="2:7" x14ac:dyDescent="0.25">
      <c r="B8" s="14" t="s">
        <v>405</v>
      </c>
      <c r="C8" s="43"/>
      <c r="D8" s="43"/>
      <c r="E8" s="43"/>
      <c r="F8" s="43"/>
    </row>
    <row r="9" spans="2:7" x14ac:dyDescent="0.25">
      <c r="B9" s="14" t="s">
        <v>406</v>
      </c>
      <c r="C9" s="46"/>
      <c r="D9" s="46"/>
      <c r="E9" s="46"/>
      <c r="F9" s="46"/>
    </row>
    <row r="10" spans="2:7" x14ac:dyDescent="0.25">
      <c r="B10" s="14" t="s">
        <v>407</v>
      </c>
      <c r="C10" s="43"/>
      <c r="D10" s="43"/>
      <c r="E10" s="43"/>
      <c r="F10" s="43"/>
    </row>
    <row r="12" spans="2:7" ht="15.75" x14ac:dyDescent="0.25">
      <c r="B12" s="3" t="s">
        <v>408</v>
      </c>
    </row>
    <row r="13" spans="2:7" x14ac:dyDescent="0.25">
      <c r="B13" s="31" t="s">
        <v>91</v>
      </c>
      <c r="C13" s="32" t="s">
        <v>69</v>
      </c>
      <c r="D13" s="32" t="s">
        <v>399</v>
      </c>
      <c r="E13" s="32" t="s">
        <v>400</v>
      </c>
      <c r="F13" s="32" t="s">
        <v>401</v>
      </c>
      <c r="G13" s="32" t="s">
        <v>402</v>
      </c>
    </row>
    <row r="14" spans="2:7" x14ac:dyDescent="0.25">
      <c r="B14" s="14" t="str">
        <f>"CY "&amp;nr_PlanYear&amp;" plan LR"</f>
        <v>CY 2027 plan LR</v>
      </c>
      <c r="C14" s="36">
        <f>nr_CYLR_P</f>
        <v>0.61816313641421827</v>
      </c>
      <c r="D14" s="171">
        <f>nr_LRcur*D16*D17*nr_AOther</f>
        <v>0.61816313641421827</v>
      </c>
      <c r="E14" s="171">
        <f>nr_LRcur*E16*E17*nr_AOther</f>
        <v>0.61816313641421827</v>
      </c>
      <c r="F14" s="171">
        <f>nr_LRcur*F16*F17*nr_AOther</f>
        <v>0.61816313641421827</v>
      </c>
      <c r="G14" s="171">
        <f>nr_LRcur*G16*G17*nr_AOther</f>
        <v>0.61816313641421827</v>
      </c>
    </row>
    <row r="15" spans="2:7" x14ac:dyDescent="0.25">
      <c r="B15" s="14" t="s">
        <v>409</v>
      </c>
      <c r="C15" s="112">
        <f>($C$14-$C$14)*100</f>
        <v>0</v>
      </c>
      <c r="D15" s="99">
        <f>(D14-$C$14)*100</f>
        <v>0</v>
      </c>
      <c r="E15" s="99">
        <f>(E14-$C$14)*100</f>
        <v>0</v>
      </c>
      <c r="F15" s="99">
        <f>(F14-$C$14)*100</f>
        <v>0</v>
      </c>
      <c r="G15" s="99">
        <f>(G14-$C$14)*100</f>
        <v>0</v>
      </c>
    </row>
    <row r="16" spans="2:7" x14ac:dyDescent="0.25">
      <c r="B16" s="14" t="s">
        <v>328</v>
      </c>
      <c r="C16" s="33">
        <f>nr_Arate_P</f>
        <v>0.97560975609756095</v>
      </c>
      <c r="D16" s="33">
        <f>nr_CRLind/_calc!$B$4099</f>
        <v>0.97560975609756095</v>
      </c>
      <c r="E16" s="33">
        <f>nr_CRLind/_calc!$B$4153</f>
        <v>0.97560975609756095</v>
      </c>
      <c r="F16" s="33">
        <f>nr_CRLind/_calc!$B$4207</f>
        <v>0.97560975609756095</v>
      </c>
      <c r="G16" s="33">
        <f>nr_CRLind/_calc!$B$4261</f>
        <v>0.97560975609756095</v>
      </c>
    </row>
    <row r="17" spans="2:7" x14ac:dyDescent="0.25">
      <c r="B17" s="14" t="s">
        <v>329</v>
      </c>
      <c r="C17" s="33">
        <f>nr_Amod_P</f>
        <v>0.97479571511472884</v>
      </c>
      <c r="D17" s="33">
        <f>IF(nr_NetMode,1,IF(AND(nr_ModAdjMaster="ON",nr_ModAdjRow="ON"),nr_MInd/_calc!$D$4099,1))</f>
        <v>0.97479571511472884</v>
      </c>
      <c r="E17" s="33">
        <f>IF(nr_NetMode,1,IF(AND(nr_ModAdjMaster="ON",nr_ModAdjRow="ON"),nr_MInd/_calc!$D$4153,1))</f>
        <v>0.97479571511472884</v>
      </c>
      <c r="F17" s="33">
        <f>IF(nr_NetMode,1,IF(AND(nr_ModAdjMaster="ON",nr_ModAdjRow="ON"),nr_MInd/_calc!$D$4207,1))</f>
        <v>0.97479571511472884</v>
      </c>
      <c r="G17" s="33">
        <f>IF(nr_NetMode,1,IF(AND(nr_ModAdjMaster="ON",nr_ModAdjRow="ON"),nr_MInd/_calc!$D$4261,1))</f>
        <v>0.97479571511472884</v>
      </c>
    </row>
    <row r="18" spans="2:7" x14ac:dyDescent="0.25">
      <c r="B18" s="14" t="s">
        <v>92</v>
      </c>
      <c r="C18" s="33">
        <f>nr_ECY_P</f>
        <v>1.1299600000000001</v>
      </c>
      <c r="D18" s="33">
        <f>_calc!$B$4099</f>
        <v>1.1299600000000001</v>
      </c>
      <c r="E18" s="33">
        <f>_calc!$B$4153</f>
        <v>1.1299600000000001</v>
      </c>
      <c r="F18" s="33">
        <f>_calc!$B$4207</f>
        <v>1.1299600000000001</v>
      </c>
      <c r="G18" s="33">
        <f>_calc!$B$4261</f>
        <v>1.1299600000000001</v>
      </c>
    </row>
    <row r="19" spans="2:7" x14ac:dyDescent="0.25">
      <c r="B19" s="14" t="str">
        <f>"Carryover into "&amp;(nr_PlanYear+1)</f>
        <v>Carryover into 2028</v>
      </c>
      <c r="C19" s="103">
        <f>nr_YoY_P1</f>
        <v>2.4390243902439046E-2</v>
      </c>
      <c r="D19" s="103">
        <f>_calc!$C$4099/_calc!$B$4099-1</f>
        <v>2.4390243902439046E-2</v>
      </c>
      <c r="E19" s="103">
        <f>_calc!$C$4153/_calc!$B$4153-1</f>
        <v>2.4390243902439046E-2</v>
      </c>
      <c r="F19" s="103">
        <f>_calc!$C$4207/_calc!$B$4207-1</f>
        <v>2.4390243902439046E-2</v>
      </c>
      <c r="G19" s="103">
        <f>_calc!$C$4261/_calc!$B$4261-1</f>
        <v>2.4390243902439046E-2</v>
      </c>
    </row>
    <row r="21" spans="2:7" ht="72" x14ac:dyDescent="0.25">
      <c r="B21" s="20" t="s">
        <v>410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411</v>
      </c>
    </row>
    <row r="3" spans="2:7" x14ac:dyDescent="0.25">
      <c r="B3" s="14" t="s">
        <v>197</v>
      </c>
      <c r="C3" s="58" t="str">
        <f>nr_SelKey</f>
        <v>BU-A|AZ</v>
      </c>
      <c r="E3" s="59" t="str">
        <f>HYPERLINK("#Control!C7","Change BU/state selection &gt;")</f>
        <v>Change BU/state selection &gt;</v>
      </c>
    </row>
    <row r="4" spans="2:7" ht="48" x14ac:dyDescent="0.25">
      <c r="B4" s="21" t="s">
        <v>412</v>
      </c>
    </row>
    <row r="5" spans="2:7" x14ac:dyDescent="0.25">
      <c r="B5" s="96" t="str">
        <f>IF(nr_NetMode,"NOTE: the selected combo carries a NET RATE SELECTION - Solver results describe the explicit-program counterfactual (planned rows + classic A_mod), not the net path (D39).","")</f>
        <v/>
      </c>
    </row>
    <row r="6" spans="2:7" ht="15.75" x14ac:dyDescent="0.25">
      <c r="B6" s="3" t="s">
        <v>413</v>
      </c>
    </row>
    <row r="7" spans="2:7" ht="48" x14ac:dyDescent="0.25">
      <c r="B7" s="14" t="str">
        <f>"Target CY "&amp;nr_PlanYear&amp;" loss ratio"</f>
        <v>Target CY 2027 loss ratio</v>
      </c>
      <c r="C7" s="22">
        <v>0.61816313641421827</v>
      </c>
      <c r="D7" s="20" t="s">
        <v>414</v>
      </c>
      <c r="F7" s="81" t="s">
        <v>415</v>
      </c>
      <c r="G7" s="55">
        <f>YEAR($C$8)*12+MONTH($C$8)-1</f>
        <v>24327</v>
      </c>
    </row>
    <row r="8" spans="2:7" x14ac:dyDescent="0.25">
      <c r="B8" s="14" t="s">
        <v>154</v>
      </c>
      <c r="C8" s="45">
        <v>46478</v>
      </c>
      <c r="F8" s="81" t="s">
        <v>416</v>
      </c>
      <c r="G8" s="54">
        <f>DATE(YEAR($C$8),MONTH($C$8),1)</f>
        <v>46478</v>
      </c>
    </row>
    <row r="9" spans="2:7" x14ac:dyDescent="0.25">
      <c r="B9" s="14" t="s">
        <v>417</v>
      </c>
      <c r="C9" s="22">
        <v>1</v>
      </c>
      <c r="F9" s="81" t="s">
        <v>418</v>
      </c>
      <c r="G9" s="54">
        <f>EOMONTH($C$8,0)</f>
        <v>46507</v>
      </c>
    </row>
    <row r="10" spans="2:7" x14ac:dyDescent="0.25">
      <c r="F10" s="81" t="s">
        <v>419</v>
      </c>
      <c r="G10" s="55">
        <f>$G$9-$G$8+1</f>
        <v>30</v>
      </c>
    </row>
    <row r="11" spans="2:7" x14ac:dyDescent="0.25">
      <c r="B11" s="14" t="s">
        <v>420</v>
      </c>
      <c r="C11" s="61">
        <f>SUMPRODUCT((slv_absmi&lt;$G$7)*slv_w*slv_ecp*slv_widx)+$G$18*(1-$G$15)*$G$16</f>
        <v>6.6144000000000007</v>
      </c>
      <c r="F11" s="81" t="s">
        <v>421</v>
      </c>
      <c r="G11" s="55">
        <f>$G$9-$C$8+1</f>
        <v>30</v>
      </c>
    </row>
    <row r="12" spans="2:7" x14ac:dyDescent="0.25">
      <c r="B12" s="14" t="s">
        <v>422</v>
      </c>
      <c r="C12" s="61">
        <f>SUMPRODUCT((slv_absmi&gt;$G$7)*slv_w*slv_ecp*slv_widx)+$G$18*$G$15*$G$17</f>
        <v>6.6144000000000007</v>
      </c>
      <c r="F12" s="81" t="s">
        <v>423</v>
      </c>
      <c r="G12" s="81" t="b">
        <f>AND($G$7&gt;=(nr_PlanYear-2)*12,$G$7&lt;=(nr_PlanYear+1)*12+11)</f>
        <v>1</v>
      </c>
    </row>
    <row r="13" spans="2:7" x14ac:dyDescent="0.25">
      <c r="B13" s="14" t="s">
        <v>424</v>
      </c>
      <c r="C13" s="61">
        <f>slv_den</f>
        <v>12</v>
      </c>
      <c r="F13" s="81" t="s">
        <v>425</v>
      </c>
      <c r="G13" s="55">
        <f>MIN(48,MAX(1,$G$7-(nr_PlanYear-2)*12+1))</f>
        <v>28</v>
      </c>
    </row>
    <row r="14" spans="2:7" x14ac:dyDescent="0.25">
      <c r="B14" s="14" t="s">
        <v>426</v>
      </c>
      <c r="C14" s="61">
        <f>nr_Amod_P</f>
        <v>0.97479571511472884</v>
      </c>
      <c r="F14" s="81" t="s">
        <v>427</v>
      </c>
      <c r="G14" s="55">
        <f>IF($G$12,INDEX(slv_dfirst,$G$13),0)</f>
        <v>0</v>
      </c>
    </row>
    <row r="15" spans="2:7" x14ac:dyDescent="0.25">
      <c r="B15" s="14" t="s">
        <v>428</v>
      </c>
      <c r="C15" s="61">
        <f>IF(OR(nr_LRcur=0,$C$7=""),0,$C$7/(nr_LRcur*$C$14*nr_AOther))</f>
        <v>0.97560975609756084</v>
      </c>
      <c r="F15" s="81" t="s">
        <v>429</v>
      </c>
      <c r="G15" s="172">
        <f>IF($G$12,MIN(1,MAX($G$11,$G$14)/$G$10),1)</f>
        <v>1</v>
      </c>
    </row>
    <row r="16" spans="2:7" x14ac:dyDescent="0.25">
      <c r="B16" s="14" t="s">
        <v>430</v>
      </c>
      <c r="C16" s="61">
        <f>IF($C$15=0,0,nr_CRLind/$C$15)</f>
        <v>1.1299600000000003</v>
      </c>
      <c r="F16" s="81" t="s">
        <v>431</v>
      </c>
      <c r="G16" s="53">
        <f>IF($G$12,INDEX(slv_wpre,$G$13),1)</f>
        <v>1.1024</v>
      </c>
    </row>
    <row r="17" spans="2:10" x14ac:dyDescent="0.25">
      <c r="B17" s="12" t="s">
        <v>432</v>
      </c>
      <c r="C17" s="173">
        <f>IF(OR($C$12=0,$C$16=0),"n/a",($C$16*$C$13-$C$11)/$C$12-1)</f>
        <v>5.0000000000000266E-2</v>
      </c>
      <c r="D17" s="96" t="str">
        <f>IF(ISNUMBER($C$17),IF(ABS($C$17)&gt;nr_SolvMaxRate,"WARNING: exceeds the reasonability bound","OK"),"no solvable rate at this date")</f>
        <v>OK</v>
      </c>
      <c r="F17" s="81" t="s">
        <v>433</v>
      </c>
      <c r="G17" s="53">
        <f>IF($G$12,INDEX(slv_weom,$G$13),1)</f>
        <v>1.1024</v>
      </c>
    </row>
    <row r="18" spans="2:10" x14ac:dyDescent="0.25">
      <c r="B18" s="14" t="s">
        <v>434</v>
      </c>
      <c r="C18" s="174">
        <f>IF(OR($C$9=0,NOT(ISNUMBER($C$17))),"n/a",$C$17/$C$9)</f>
        <v>5.0000000000000266E-2</v>
      </c>
      <c r="F18" s="81" t="s">
        <v>435</v>
      </c>
      <c r="G18" s="53">
        <f>IF($G$12,INDEX(slv_w,$G$13)*INDEX(slv_ecp,$G$13),0)</f>
        <v>1</v>
      </c>
    </row>
    <row r="19" spans="2:10" x14ac:dyDescent="0.25">
      <c r="B19" s="14" t="s">
        <v>436</v>
      </c>
      <c r="C19" s="94">
        <f>$C$12/($C$11+$C$12)</f>
        <v>0.5</v>
      </c>
      <c r="D19" s="96" t="str">
        <f>IF($C$19&lt;nr_SolvMinShare,"WARNING: only "&amp;TEXT($C$19,"0.0%")&amp;" of CY exposure sits on/after this date - late-year targets are mathematically absurd","OK")</f>
        <v>OK</v>
      </c>
    </row>
    <row r="21" spans="2:10" x14ac:dyDescent="0.25">
      <c r="B21" s="14" t="s">
        <v>437</v>
      </c>
      <c r="C21" s="43">
        <v>0.25</v>
      </c>
    </row>
    <row r="22" spans="2:10" x14ac:dyDescent="0.25">
      <c r="B22" s="14" t="s">
        <v>438</v>
      </c>
      <c r="C22" s="43">
        <v>0.05</v>
      </c>
    </row>
    <row r="25" spans="2:10" ht="15.75" x14ac:dyDescent="0.25">
      <c r="B25" s="3" t="s">
        <v>439</v>
      </c>
    </row>
    <row r="26" spans="2:10" ht="84" x14ac:dyDescent="0.25">
      <c r="B26" s="14" t="s">
        <v>440</v>
      </c>
      <c r="C26" s="22">
        <v>0.05</v>
      </c>
      <c r="D26" s="20" t="s">
        <v>441</v>
      </c>
    </row>
    <row r="28" spans="2:10" ht="75" x14ac:dyDescent="0.25">
      <c r="B28" s="41" t="s">
        <v>442</v>
      </c>
      <c r="C28" s="41" t="s">
        <v>443</v>
      </c>
      <c r="D28" s="41" t="s">
        <v>444</v>
      </c>
      <c r="E28" s="41" t="s">
        <v>445</v>
      </c>
      <c r="F28" s="41" t="s">
        <v>446</v>
      </c>
      <c r="G28" s="41" t="s">
        <v>447</v>
      </c>
      <c r="H28" s="41" t="s">
        <v>448</v>
      </c>
      <c r="I28" s="109" t="s">
        <v>449</v>
      </c>
      <c r="J28" s="109" t="s">
        <v>450</v>
      </c>
    </row>
    <row r="29" spans="2:10" x14ac:dyDescent="0.25">
      <c r="B29" s="104" t="str">
        <f>TEXT(DATE(nr_PlanYear,1,1),"mmm yyyy")</f>
        <v>Jan 2027</v>
      </c>
      <c r="C29" s="175">
        <f>DATE(nr_PlanYear,1,1)</f>
        <v>46388</v>
      </c>
      <c r="D29" s="33">
        <f>_calc!$T$4698</f>
        <v>3.3071999999999999</v>
      </c>
      <c r="E29" s="33">
        <f>slv_total-_calc!$T$4699+_calc!$U$4699</f>
        <v>9.921599999999998</v>
      </c>
      <c r="F29" s="98">
        <f t="shared" ref="F29:F40" si="0">($D29+(1+$C$26)*$E29)/slv_den</f>
        <v>1.14374</v>
      </c>
      <c r="G29" s="97">
        <f t="shared" ref="G29:G40" si="1">IF(nr_LRcur=0,0,nr_LRcur*(nr_CRLind/$F29)*$C$14*nr_AOther)</f>
        <v>0.61071538778272183</v>
      </c>
      <c r="H29" s="104" t="str">
        <f t="shared" ref="H29:H40" si="2">IF($C$7="","-",IF($G29&lt;=$C$7,"YES","no"))</f>
        <v>YES</v>
      </c>
      <c r="I29" s="69">
        <f>IF($H29="YES",1,0)</f>
        <v>1</v>
      </c>
      <c r="J29" s="176">
        <f t="shared" ref="J29:J40" si="3">IF($C$7="","",$C$7)</f>
        <v>0.61816313641421827</v>
      </c>
    </row>
    <row r="30" spans="2:10" x14ac:dyDescent="0.25">
      <c r="B30" s="104" t="str">
        <f>TEXT(DATE(nr_PlanYear,2,1),"mmm yyyy")</f>
        <v>Feb 2027</v>
      </c>
      <c r="C30" s="175">
        <f>DATE(nr_PlanYear,2,1)</f>
        <v>46419</v>
      </c>
      <c r="D30" s="33">
        <f>_calc!$T$4699</f>
        <v>4.4096000000000002</v>
      </c>
      <c r="E30" s="33">
        <f>slv_total-_calc!$T$4700+_calc!$U$4700</f>
        <v>8.8191999999999986</v>
      </c>
      <c r="F30" s="98">
        <f t="shared" si="0"/>
        <v>1.1391466666666668</v>
      </c>
      <c r="G30" s="97">
        <f t="shared" si="1"/>
        <v>0.61317794983023266</v>
      </c>
      <c r="H30" s="104" t="str">
        <f t="shared" si="2"/>
        <v>YES</v>
      </c>
      <c r="I30" s="69">
        <f>IF($H30="YES",2,0)</f>
        <v>2</v>
      </c>
      <c r="J30" s="176">
        <f t="shared" si="3"/>
        <v>0.61816313641421827</v>
      </c>
    </row>
    <row r="31" spans="2:10" x14ac:dyDescent="0.25">
      <c r="B31" s="104" t="str">
        <f>TEXT(DATE(nr_PlanYear,3,1),"mmm yyyy")</f>
        <v>Mar 2027</v>
      </c>
      <c r="C31" s="175">
        <f>DATE(nr_PlanYear,3,1)</f>
        <v>46447</v>
      </c>
      <c r="D31" s="33">
        <f>_calc!$T$4700</f>
        <v>5.5120000000000005</v>
      </c>
      <c r="E31" s="33">
        <f>slv_total-_calc!$T$4701+_calc!$U$4701</f>
        <v>7.7167999999999992</v>
      </c>
      <c r="F31" s="98">
        <f t="shared" si="0"/>
        <v>1.1345533333333333</v>
      </c>
      <c r="G31" s="97">
        <f t="shared" si="1"/>
        <v>0.61566045165140781</v>
      </c>
      <c r="H31" s="104" t="str">
        <f t="shared" si="2"/>
        <v>YES</v>
      </c>
      <c r="I31" s="69">
        <f>IF($H31="YES",3,0)</f>
        <v>3</v>
      </c>
      <c r="J31" s="176">
        <f t="shared" si="3"/>
        <v>0.61816313641421827</v>
      </c>
    </row>
    <row r="32" spans="2:10" x14ac:dyDescent="0.25">
      <c r="B32" s="104" t="str">
        <f>TEXT(DATE(nr_PlanYear,4,1),"mmm yyyy")</f>
        <v>Apr 2027</v>
      </c>
      <c r="C32" s="175">
        <f>DATE(nr_PlanYear,4,1)</f>
        <v>46478</v>
      </c>
      <c r="D32" s="33">
        <f>_calc!$T$4701</f>
        <v>6.6144000000000007</v>
      </c>
      <c r="E32" s="33">
        <f>slv_total-_calc!$T$4702+_calc!$U$4702</f>
        <v>6.6143999999999989</v>
      </c>
      <c r="F32" s="98">
        <f t="shared" si="0"/>
        <v>1.1299599999999999</v>
      </c>
      <c r="G32" s="97">
        <f t="shared" si="1"/>
        <v>0.61816313641421838</v>
      </c>
      <c r="H32" s="104" t="str">
        <f t="shared" si="2"/>
        <v>YES</v>
      </c>
      <c r="I32" s="69">
        <f>IF($H32="YES",4,0)</f>
        <v>4</v>
      </c>
      <c r="J32" s="176">
        <f t="shared" si="3"/>
        <v>0.61816313641421827</v>
      </c>
    </row>
    <row r="33" spans="2:10" x14ac:dyDescent="0.25">
      <c r="B33" s="104" t="str">
        <f>TEXT(DATE(nr_PlanYear,5,1),"mmm yyyy")</f>
        <v>May 2027</v>
      </c>
      <c r="C33" s="175">
        <f>DATE(nr_PlanYear,5,1)</f>
        <v>46508</v>
      </c>
      <c r="D33" s="33">
        <f>_calc!$T$4702</f>
        <v>7.716800000000001</v>
      </c>
      <c r="E33" s="33">
        <f>slv_total-_calc!$T$4703+_calc!$U$4703</f>
        <v>5.5119999999999996</v>
      </c>
      <c r="F33" s="98">
        <f t="shared" si="0"/>
        <v>1.1253666666666666</v>
      </c>
      <c r="G33" s="97">
        <f t="shared" si="1"/>
        <v>0.62068625125672539</v>
      </c>
      <c r="H33" s="104" t="str">
        <f t="shared" si="2"/>
        <v>no</v>
      </c>
      <c r="I33" s="69">
        <f>IF($H33="YES",5,0)</f>
        <v>0</v>
      </c>
      <c r="J33" s="176">
        <f t="shared" si="3"/>
        <v>0.61816313641421827</v>
      </c>
    </row>
    <row r="34" spans="2:10" x14ac:dyDescent="0.25">
      <c r="B34" s="104" t="str">
        <f>TEXT(DATE(nr_PlanYear,6,1),"mmm yyyy")</f>
        <v>Jun 2027</v>
      </c>
      <c r="C34" s="175">
        <f>DATE(nr_PlanYear,6,1)</f>
        <v>46539</v>
      </c>
      <c r="D34" s="33">
        <f>_calc!$T$4703</f>
        <v>8.8192000000000004</v>
      </c>
      <c r="E34" s="33">
        <f>slv_total-_calc!$T$4704+_calc!$U$4704</f>
        <v>4.4096000000000002</v>
      </c>
      <c r="F34" s="98">
        <f t="shared" si="0"/>
        <v>1.1207733333333334</v>
      </c>
      <c r="G34" s="97">
        <f t="shared" si="1"/>
        <v>0.62323004736843324</v>
      </c>
      <c r="H34" s="104" t="str">
        <f t="shared" si="2"/>
        <v>no</v>
      </c>
      <c r="I34" s="69">
        <f>IF($H34="YES",6,0)</f>
        <v>0</v>
      </c>
      <c r="J34" s="176">
        <f t="shared" si="3"/>
        <v>0.61816313641421827</v>
      </c>
    </row>
    <row r="35" spans="2:10" x14ac:dyDescent="0.25">
      <c r="B35" s="104" t="str">
        <f>TEXT(DATE(nr_PlanYear,7,1),"mmm yyyy")</f>
        <v>Jul 2027</v>
      </c>
      <c r="C35" s="175">
        <f>DATE(nr_PlanYear,7,1)</f>
        <v>46569</v>
      </c>
      <c r="D35" s="33">
        <f>_calc!$T$4704</f>
        <v>9.9215999999999998</v>
      </c>
      <c r="E35" s="33">
        <f>slv_total-_calc!$T$4705+_calc!$U$4705</f>
        <v>3.3071999999999999</v>
      </c>
      <c r="F35" s="98">
        <f t="shared" si="0"/>
        <v>1.1161799999999999</v>
      </c>
      <c r="G35" s="97">
        <f t="shared" si="1"/>
        <v>0.62579478007365319</v>
      </c>
      <c r="H35" s="104" t="str">
        <f t="shared" si="2"/>
        <v>no</v>
      </c>
      <c r="I35" s="69">
        <f>IF($H35="YES",7,0)</f>
        <v>0</v>
      </c>
      <c r="J35" s="176">
        <f t="shared" si="3"/>
        <v>0.61816313641421827</v>
      </c>
    </row>
    <row r="36" spans="2:10" x14ac:dyDescent="0.25">
      <c r="B36" s="104" t="str">
        <f>TEXT(DATE(nr_PlanYear,8,1),"mmm yyyy")</f>
        <v>Aug 2027</v>
      </c>
      <c r="C36" s="175">
        <f>DATE(nr_PlanYear,8,1)</f>
        <v>46600</v>
      </c>
      <c r="D36" s="33">
        <f>_calc!$T$4705</f>
        <v>10.932133333333333</v>
      </c>
      <c r="E36" s="33">
        <f>slv_total-_calc!$T$4706+_calc!$U$4706</f>
        <v>2.2966666666666664</v>
      </c>
      <c r="F36" s="98">
        <f t="shared" si="0"/>
        <v>1.1119694444444443</v>
      </c>
      <c r="G36" s="97">
        <f t="shared" si="1"/>
        <v>0.62816439886222808</v>
      </c>
      <c r="H36" s="104" t="str">
        <f t="shared" si="2"/>
        <v>no</v>
      </c>
      <c r="I36" s="69">
        <f>IF($H36="YES",8,0)</f>
        <v>0</v>
      </c>
      <c r="J36" s="176">
        <f t="shared" si="3"/>
        <v>0.61816313641421827</v>
      </c>
    </row>
    <row r="37" spans="2:10" x14ac:dyDescent="0.25">
      <c r="B37" s="104" t="str">
        <f>TEXT(DATE(nr_PlanYear,9,1),"mmm yyyy")</f>
        <v>Sep 2027</v>
      </c>
      <c r="C37" s="175">
        <f>DATE(nr_PlanYear,9,1)</f>
        <v>46631</v>
      </c>
      <c r="D37" s="33">
        <f>_calc!$T$4706</f>
        <v>11.758933333333333</v>
      </c>
      <c r="E37" s="33">
        <f>slv_total-_calc!$T$4707+_calc!$U$4707</f>
        <v>1.4698666666666673</v>
      </c>
      <c r="F37" s="98">
        <f t="shared" si="0"/>
        <v>1.1085244444444446</v>
      </c>
      <c r="G37" s="97">
        <f t="shared" si="1"/>
        <v>0.63011656722885778</v>
      </c>
      <c r="H37" s="104" t="str">
        <f t="shared" si="2"/>
        <v>no</v>
      </c>
      <c r="I37" s="69">
        <f>IF($H37="YES",9,0)</f>
        <v>0</v>
      </c>
      <c r="J37" s="176">
        <f t="shared" si="3"/>
        <v>0.61816313641421827</v>
      </c>
    </row>
    <row r="38" spans="2:10" x14ac:dyDescent="0.25">
      <c r="B38" s="104" t="str">
        <f>TEXT(DATE(nr_PlanYear,10,1),"mmm yyyy")</f>
        <v>Oct 2027</v>
      </c>
      <c r="C38" s="175">
        <f>DATE(nr_PlanYear,10,1)</f>
        <v>46661</v>
      </c>
      <c r="D38" s="33">
        <f>_calc!$T$4707</f>
        <v>12.401999999999999</v>
      </c>
      <c r="E38" s="33">
        <f>slv_total-_calc!$T$4708+_calc!$U$4708</f>
        <v>0.82680000000000042</v>
      </c>
      <c r="F38" s="98">
        <f t="shared" si="0"/>
        <v>1.105845</v>
      </c>
      <c r="G38" s="97">
        <f t="shared" si="1"/>
        <v>0.6316433294201359</v>
      </c>
      <c r="H38" s="104" t="str">
        <f t="shared" si="2"/>
        <v>no</v>
      </c>
      <c r="I38" s="69">
        <f>IF($H38="YES",10,0)</f>
        <v>0</v>
      </c>
      <c r="J38" s="176">
        <f t="shared" si="3"/>
        <v>0.61816313641421827</v>
      </c>
    </row>
    <row r="39" spans="2:10" x14ac:dyDescent="0.25">
      <c r="B39" s="104" t="str">
        <f>TEXT(DATE(nr_PlanYear,11,1),"mmm yyyy")</f>
        <v>Nov 2027</v>
      </c>
      <c r="C39" s="175">
        <f>DATE(nr_PlanYear,11,1)</f>
        <v>46692</v>
      </c>
      <c r="D39" s="33">
        <f>_calc!$T$4708</f>
        <v>12.861333333333333</v>
      </c>
      <c r="E39" s="33">
        <f>slv_total-_calc!$T$4709+_calc!$U$4709</f>
        <v>0.36746666666666633</v>
      </c>
      <c r="F39" s="98">
        <f t="shared" si="0"/>
        <v>1.103931111111111</v>
      </c>
      <c r="G39" s="97">
        <f t="shared" si="1"/>
        <v>0.63273841147530252</v>
      </c>
      <c r="H39" s="104" t="str">
        <f t="shared" si="2"/>
        <v>no</v>
      </c>
      <c r="I39" s="69">
        <f>IF($H39="YES",11,0)</f>
        <v>0</v>
      </c>
      <c r="J39" s="176">
        <f t="shared" si="3"/>
        <v>0.61816313641421827</v>
      </c>
    </row>
    <row r="40" spans="2:10" x14ac:dyDescent="0.25">
      <c r="B40" s="104" t="str">
        <f>TEXT(DATE(nr_PlanYear,12,1),"mmm yyyy")</f>
        <v>Dec 2027</v>
      </c>
      <c r="C40" s="175">
        <f>DATE(nr_PlanYear,12,1)</f>
        <v>46722</v>
      </c>
      <c r="D40" s="33">
        <f>_calc!$T$4709</f>
        <v>13.136933333333333</v>
      </c>
      <c r="E40" s="33">
        <f>slv_total-_calc!$T$4710+_calc!$U$4710</f>
        <v>9.1866666666666666E-2</v>
      </c>
      <c r="F40" s="98">
        <f t="shared" si="0"/>
        <v>1.1027827777777779</v>
      </c>
      <c r="G40" s="97">
        <f t="shared" si="1"/>
        <v>0.63339728521165306</v>
      </c>
      <c r="H40" s="104" t="str">
        <f t="shared" si="2"/>
        <v>no</v>
      </c>
      <c r="I40" s="69">
        <f>IF($H40="YES",12,0)</f>
        <v>0</v>
      </c>
      <c r="J40" s="176">
        <f t="shared" si="3"/>
        <v>0.61816313641421827</v>
      </c>
    </row>
    <row r="42" spans="2:10" x14ac:dyDescent="0.25">
      <c r="B42" s="12" t="s">
        <v>451</v>
      </c>
      <c r="D42" s="177"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452</v>
      </c>
    </row>
    <row r="3" spans="2:6" x14ac:dyDescent="0.25">
      <c r="B3" s="14" t="s">
        <v>197</v>
      </c>
      <c r="C3" s="58" t="str">
        <f>nr_SelKey</f>
        <v>BU-A|AZ</v>
      </c>
      <c r="D3" s="59" t="str">
        <f>HYPERLINK("#Control!C7","Change BU/state selection &gt;")</f>
        <v>Change BU/state selection &gt;</v>
      </c>
      <c r="E3" s="96" t="str">
        <f>IF(nr_NetMode,"NOTE: this combo carries a NET RATE SELECTION - premium-side steps 1-3 are suspended (factors = 1) because rate and mods are merged in the net path; plan-vs-actual deviation flows to the residual (D39).","")</f>
        <v/>
      </c>
    </row>
    <row r="5" spans="2:6" ht="15.75" x14ac:dyDescent="0.25">
      <c r="B5" s="3" t="s">
        <v>453</v>
      </c>
    </row>
    <row r="6" spans="2:6" ht="60" x14ac:dyDescent="0.25">
      <c r="B6" s="14" t="s">
        <v>454</v>
      </c>
      <c r="C6" s="46"/>
      <c r="D6" s="20" t="s">
        <v>455</v>
      </c>
    </row>
    <row r="7" spans="2:6" x14ac:dyDescent="0.25">
      <c r="B7" s="14" t="s">
        <v>456</v>
      </c>
      <c r="C7" s="178"/>
    </row>
    <row r="8" spans="2:6" x14ac:dyDescent="0.25">
      <c r="B8" s="14" t="s">
        <v>457</v>
      </c>
      <c r="C8" s="46"/>
    </row>
    <row r="9" spans="2:6" x14ac:dyDescent="0.25">
      <c r="B9" s="14" t="s">
        <v>458</v>
      </c>
      <c r="C9" s="46"/>
    </row>
    <row r="10" spans="2:6" x14ac:dyDescent="0.25">
      <c r="B10" s="12" t="s">
        <v>459</v>
      </c>
      <c r="C10" s="22"/>
    </row>
    <row r="12" spans="2:6" ht="15.75" x14ac:dyDescent="0.25">
      <c r="B12" s="3" t="s">
        <v>460</v>
      </c>
    </row>
    <row r="13" spans="2:6" ht="30" x14ac:dyDescent="0.25">
      <c r="B13" s="41" t="s">
        <v>211</v>
      </c>
      <c r="C13" s="41" t="s">
        <v>461</v>
      </c>
      <c r="D13" s="41" t="s">
        <v>462</v>
      </c>
      <c r="E13" s="41" t="s">
        <v>463</v>
      </c>
      <c r="F13" s="41" t="s">
        <v>464</v>
      </c>
    </row>
    <row r="14" spans="2:6" x14ac:dyDescent="0.25">
      <c r="B14" s="71">
        <v>1</v>
      </c>
      <c r="C14" s="179">
        <f>IF(COUNTIF(_calc!$A$4268:$A$4507,1)=0,"",INDEX(rl_eff,MATCH(1,_calc!$A$4268:$A$4507,0)))</f>
        <v>46478</v>
      </c>
      <c r="D14" s="180">
        <f>IF($C14="","",INDEX(rl_reff,MATCH(1,_calc!$A$4268:$A$4507,0)))</f>
        <v>0.05</v>
      </c>
      <c r="E14" s="43"/>
      <c r="F14" s="178"/>
    </row>
    <row r="15" spans="2:6" x14ac:dyDescent="0.25">
      <c r="B15" s="71">
        <v>2</v>
      </c>
      <c r="C15" s="179" t="str">
        <f>IF(COUNTIF(_calc!$A$4268:$A$4507,2)=0,"",INDEX(rl_eff,MATCH(2,_calc!$A$4268:$A$4507,0)))</f>
        <v/>
      </c>
      <c r="D15" s="180" t="str">
        <f>IF($C15="","",INDEX(rl_reff,MATCH(2,_calc!$A$4268:$A$4507,0)))</f>
        <v/>
      </c>
      <c r="E15" s="43"/>
      <c r="F15" s="178"/>
    </row>
    <row r="16" spans="2:6" x14ac:dyDescent="0.25">
      <c r="B16" s="71">
        <v>3</v>
      </c>
      <c r="C16" s="179" t="str">
        <f>IF(COUNTIF(_calc!$A$4268:$A$4507,3)=0,"",INDEX(rl_eff,MATCH(3,_calc!$A$4268:$A$4507,0)))</f>
        <v/>
      </c>
      <c r="D16" s="180" t="str">
        <f>IF($C16="","",INDEX(rl_reff,MATCH(3,_calc!$A$4268:$A$4507,0)))</f>
        <v/>
      </c>
      <c r="E16" s="43"/>
      <c r="F16" s="178"/>
    </row>
    <row r="17" spans="2:6" x14ac:dyDescent="0.25">
      <c r="B17" s="71">
        <v>4</v>
      </c>
      <c r="C17" s="179" t="str">
        <f>IF(COUNTIF(_calc!$A$4268:$A$4507,4)=0,"",INDEX(rl_eff,MATCH(4,_calc!$A$4268:$A$4507,0)))</f>
        <v/>
      </c>
      <c r="D17" s="180" t="str">
        <f>IF($C17="","",INDEX(rl_reff,MATCH(4,_calc!$A$4268:$A$4507,0)))</f>
        <v/>
      </c>
      <c r="E17" s="43"/>
      <c r="F17" s="178"/>
    </row>
    <row r="18" spans="2:6" x14ac:dyDescent="0.25">
      <c r="B18" s="71">
        <v>5</v>
      </c>
      <c r="C18" s="179" t="str">
        <f>IF(COUNTIF(_calc!$A$4268:$A$4507,5)=0,"",INDEX(rl_eff,MATCH(5,_calc!$A$4268:$A$4507,0)))</f>
        <v/>
      </c>
      <c r="D18" s="180" t="str">
        <f>IF($C18="","",INDEX(rl_reff,MATCH(5,_calc!$A$4268:$A$4507,0)))</f>
        <v/>
      </c>
      <c r="E18" s="43"/>
      <c r="F18" s="178"/>
    </row>
    <row r="19" spans="2:6" x14ac:dyDescent="0.25">
      <c r="B19" s="71">
        <v>6</v>
      </c>
      <c r="C19" s="179" t="str">
        <f>IF(COUNTIF(_calc!$A$4268:$A$4507,6)=0,"",INDEX(rl_eff,MATCH(6,_calc!$A$4268:$A$4507,0)))</f>
        <v/>
      </c>
      <c r="D19" s="180" t="str">
        <f>IF($C19="","",INDEX(rl_reff,MATCH(6,_calc!$A$4268:$A$4507,0)))</f>
        <v/>
      </c>
      <c r="E19" s="43"/>
      <c r="F19" s="178"/>
    </row>
    <row r="20" spans="2:6" x14ac:dyDescent="0.25">
      <c r="B20" s="71">
        <v>7</v>
      </c>
      <c r="C20" s="179" t="str">
        <f>IF(COUNTIF(_calc!$A$4268:$A$4507,7)=0,"",INDEX(rl_eff,MATCH(7,_calc!$A$4268:$A$4507,0)))</f>
        <v/>
      </c>
      <c r="D20" s="180" t="str">
        <f>IF($C20="","",INDEX(rl_reff,MATCH(7,_calc!$A$4268:$A$4507,0)))</f>
        <v/>
      </c>
      <c r="E20" s="43"/>
      <c r="F20" s="178"/>
    </row>
    <row r="21" spans="2:6" x14ac:dyDescent="0.25">
      <c r="B21" s="71">
        <v>8</v>
      </c>
      <c r="C21" s="179" t="str">
        <f>IF(COUNTIF(_calc!$A$4268:$A$4507,8)=0,"",INDEX(rl_eff,MATCH(8,_calc!$A$4268:$A$4507,0)))</f>
        <v/>
      </c>
      <c r="D21" s="180" t="str">
        <f>IF($C21="","",INDEX(rl_reff,MATCH(8,_calc!$A$4268:$A$4507,0)))</f>
        <v/>
      </c>
      <c r="E21" s="43"/>
      <c r="F21" s="178"/>
    </row>
    <row r="23" spans="2:6" ht="15.75" x14ac:dyDescent="0.25">
      <c r="B23" s="3" t="s">
        <v>465</v>
      </c>
    </row>
    <row r="24" spans="2:6" x14ac:dyDescent="0.25">
      <c r="B24" s="41" t="s">
        <v>282</v>
      </c>
      <c r="C24" s="41" t="s">
        <v>466</v>
      </c>
      <c r="D24" s="41" t="s">
        <v>467</v>
      </c>
      <c r="E24" s="41" t="s">
        <v>282</v>
      </c>
    </row>
    <row r="25" spans="2:6" x14ac:dyDescent="0.25">
      <c r="B25" s="12" t="s">
        <v>468</v>
      </c>
      <c r="D25" s="171">
        <f>nr_CYLR_P</f>
        <v>0.61816313641421827</v>
      </c>
    </row>
    <row r="26" spans="2:6" x14ac:dyDescent="0.25">
      <c r="B26" s="14" t="s">
        <v>469</v>
      </c>
      <c r="C26" s="98">
        <f>IF(nr_NetMode,1,nr_ECY_P/_calc!$B$4561)</f>
        <v>1</v>
      </c>
      <c r="D26" s="97">
        <f>$D25*$C26</f>
        <v>0.61816313641421827</v>
      </c>
      <c r="E26" s="99">
        <f>($D26-$D25)*100</f>
        <v>0</v>
      </c>
    </row>
    <row r="27" spans="2:6" x14ac:dyDescent="0.25">
      <c r="B27" s="14" t="s">
        <v>470</v>
      </c>
      <c r="C27" s="98">
        <f>IF(nr_NetMode,1,_calc!$B$4561/_calc!$B$4615)</f>
        <v>1</v>
      </c>
      <c r="D27" s="97">
        <f>$D26*$C27</f>
        <v>0.61816313641421827</v>
      </c>
      <c r="E27" s="99">
        <f>($D27-$D26)*100</f>
        <v>0</v>
      </c>
    </row>
    <row r="28" spans="2:6" x14ac:dyDescent="0.25">
      <c r="B28" s="14" t="s">
        <v>471</v>
      </c>
      <c r="C28" s="98">
        <f>IF(nr_NetMode,1,IF(AND(nr_ModAdjMaster="ON",nr_ModAdjRow="ON"),nr_MEarned_P/_calc!$B$4669,1))</f>
        <v>1</v>
      </c>
      <c r="D28" s="97">
        <f>$D27*$C28</f>
        <v>0.61816313641421827</v>
      </c>
      <c r="E28" s="99">
        <f>($D28-$D27)*100</f>
        <v>0</v>
      </c>
    </row>
    <row r="29" spans="2:6" x14ac:dyDescent="0.25">
      <c r="B29" s="14" t="s">
        <v>472</v>
      </c>
      <c r="C29" s="98">
        <f>IF(N(att_actlr)=0,1,att_actlr/$D$28)</f>
        <v>1</v>
      </c>
      <c r="D29" s="97">
        <f>$D28*$C29</f>
        <v>0.61816313641421827</v>
      </c>
      <c r="E29" s="99">
        <f>($D29-$D28)*100</f>
        <v>0</v>
      </c>
    </row>
    <row r="30" spans="2:6" x14ac:dyDescent="0.25">
      <c r="B30" s="12" t="s">
        <v>473</v>
      </c>
      <c r="D30" s="101">
        <f>$D$29</f>
        <v>0.61816313641421827</v>
      </c>
    </row>
    <row r="32" spans="2:6" x14ac:dyDescent="0.25">
      <c r="B32" s="18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20" t="s">
        <v>474</v>
      </c>
    </row>
    <row r="36" spans="2:6" x14ac:dyDescent="0.25">
      <c r="B36" s="40" t="s">
        <v>291</v>
      </c>
    </row>
    <row r="37" spans="2:6" x14ac:dyDescent="0.25">
      <c r="B37" s="81" t="s">
        <v>282</v>
      </c>
      <c r="C37" s="81" t="s">
        <v>292</v>
      </c>
      <c r="D37" s="81" t="s">
        <v>293</v>
      </c>
      <c r="E37" s="81" t="s">
        <v>294</v>
      </c>
      <c r="F37" s="81" t="s">
        <v>295</v>
      </c>
    </row>
    <row r="38" spans="2:6" x14ac:dyDescent="0.25">
      <c r="B38" s="81" t="s">
        <v>468</v>
      </c>
      <c r="C38" s="52">
        <f>0</f>
        <v>0</v>
      </c>
      <c r="D38" s="52">
        <f>0</f>
        <v>0</v>
      </c>
      <c r="E38" s="52">
        <f>0</f>
        <v>0</v>
      </c>
      <c r="F38" s="52">
        <f>$D$25</f>
        <v>0.61816313641421827</v>
      </c>
    </row>
    <row r="39" spans="2:6" x14ac:dyDescent="0.25">
      <c r="B39" s="81" t="s">
        <v>475</v>
      </c>
      <c r="C39" s="52">
        <f>MIN($D$25,$D$26)</f>
        <v>0.61816313641421827</v>
      </c>
      <c r="D39" s="52">
        <f>MAX(0,$D$26-$D$25)</f>
        <v>0</v>
      </c>
      <c r="E39" s="52">
        <f>MAX(0,$D$25-$D$26)</f>
        <v>0</v>
      </c>
      <c r="F39" s="52">
        <f>0</f>
        <v>0</v>
      </c>
    </row>
    <row r="40" spans="2:6" x14ac:dyDescent="0.25">
      <c r="B40" s="81" t="s">
        <v>476</v>
      </c>
      <c r="C40" s="52">
        <f>MIN($D$26,$D$27)</f>
        <v>0.61816313641421827</v>
      </c>
      <c r="D40" s="52">
        <f>MAX(0,$D$27-$D$26)</f>
        <v>0</v>
      </c>
      <c r="E40" s="52">
        <f>MAX(0,$D$26-$D$27)</f>
        <v>0</v>
      </c>
      <c r="F40" s="52">
        <f>0</f>
        <v>0</v>
      </c>
    </row>
    <row r="41" spans="2:6" x14ac:dyDescent="0.25">
      <c r="B41" s="81" t="s">
        <v>299</v>
      </c>
      <c r="C41" s="52">
        <f>MIN($D$27,$D$28)</f>
        <v>0.61816313641421827</v>
      </c>
      <c r="D41" s="52">
        <f>MAX(0,$D$28-$D$27)</f>
        <v>0</v>
      </c>
      <c r="E41" s="52">
        <f>MAX(0,$D$27-$D$28)</f>
        <v>0</v>
      </c>
      <c r="F41" s="52">
        <f>0</f>
        <v>0</v>
      </c>
    </row>
    <row r="42" spans="2:6" x14ac:dyDescent="0.25">
      <c r="B42" s="81" t="s">
        <v>477</v>
      </c>
      <c r="C42" s="52">
        <f>MIN($D$28,$D$29)</f>
        <v>0.61816313641421827</v>
      </c>
      <c r="D42" s="52">
        <f>MAX(0,$D$29-$D$28)</f>
        <v>0</v>
      </c>
      <c r="E42" s="52">
        <f>MAX(0,$D$28-$D$29)</f>
        <v>0</v>
      </c>
      <c r="F42" s="52">
        <f>0</f>
        <v>0</v>
      </c>
    </row>
    <row r="43" spans="2:6" x14ac:dyDescent="0.25">
      <c r="B43" s="81" t="s">
        <v>473</v>
      </c>
      <c r="C43" s="52">
        <f>0</f>
        <v>0</v>
      </c>
      <c r="D43" s="52">
        <f>0</f>
        <v>0</v>
      </c>
      <c r="E43" s="52">
        <f>0</f>
        <v>0</v>
      </c>
      <c r="F43" s="52">
        <f>$D$30</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478</v>
      </c>
    </row>
    <row r="2" spans="1:8" x14ac:dyDescent="0.25">
      <c r="A2" s="2" t="s">
        <v>479</v>
      </c>
    </row>
    <row r="3" spans="1:8" x14ac:dyDescent="0.25">
      <c r="A3" s="12" t="s">
        <v>480</v>
      </c>
      <c r="C3" s="177" t="str">
        <f>IF(COUNTIF($G$6:$G$48,"FAIL")=0,"ALL CHECKS PASS","CHECKS FAILING: "&amp;COUNTIF($G$6:$G$48,"FAIL"))</f>
        <v>ALL CHECKS PASS</v>
      </c>
      <c r="E3" s="81" t="str">
        <f>COUNTIF($G$6:$G$48,"WARN")&amp;" warning(s), "&amp;COUNTIF($G$6:$G$48,"N/A")&amp;" not applicable"</f>
        <v>0 warning(s), 2 not applicable</v>
      </c>
    </row>
    <row r="5" spans="1:8" x14ac:dyDescent="0.25">
      <c r="A5" s="41" t="s">
        <v>211</v>
      </c>
      <c r="B5" s="41" t="s">
        <v>481</v>
      </c>
      <c r="C5" s="41" t="s">
        <v>482</v>
      </c>
      <c r="D5" s="41" t="s">
        <v>483</v>
      </c>
      <c r="E5" s="41" t="s">
        <v>484</v>
      </c>
      <c r="F5" s="41" t="s">
        <v>485</v>
      </c>
      <c r="G5" s="41" t="s">
        <v>486</v>
      </c>
      <c r="H5" s="41"/>
    </row>
    <row r="6" spans="1:8" x14ac:dyDescent="0.25">
      <c r="A6" s="71">
        <v>1</v>
      </c>
      <c r="B6" s="81" t="s">
        <v>487</v>
      </c>
      <c r="C6" s="14" t="s">
        <v>488</v>
      </c>
      <c r="D6" s="182">
        <f>0</f>
        <v>0</v>
      </c>
      <c r="E6" s="182">
        <f>MAX(re_rowsum_chk)</f>
        <v>1.1102230246251565E-16</v>
      </c>
      <c r="F6" s="71">
        <v>1.0000000000000001E-9</v>
      </c>
      <c r="G6" s="183" t="str">
        <f t="shared" ref="G6:G14" si="0">IF(ABS($E6-$D6)&lt;=$F6,"PASS","FAIL")</f>
        <v>PASS</v>
      </c>
    </row>
    <row r="7" spans="1:8" x14ac:dyDescent="0.25">
      <c r="A7" s="71">
        <v>2</v>
      </c>
      <c r="B7" s="81" t="s">
        <v>487</v>
      </c>
      <c r="C7" s="14" t="s">
        <v>489</v>
      </c>
      <c r="D7" s="182">
        <f>0</f>
        <v>0</v>
      </c>
      <c r="E7" s="182">
        <f>MAX(re_viol_row)</f>
        <v>2.2204460492503131E-16</v>
      </c>
      <c r="F7" s="71">
        <v>1.0000000000000001E-9</v>
      </c>
      <c r="G7" s="183" t="str">
        <f t="shared" si="0"/>
        <v>PASS</v>
      </c>
    </row>
    <row r="8" spans="1:8" x14ac:dyDescent="0.25">
      <c r="A8" s="71">
        <v>3</v>
      </c>
      <c r="B8" s="81" t="s">
        <v>487</v>
      </c>
      <c r="C8" s="14" t="s">
        <v>490</v>
      </c>
      <c r="D8" s="182">
        <f>nr_ECY_P</f>
        <v>1.1299600000000001</v>
      </c>
      <c r="E8" s="182">
        <f>re_ecy_matrix</f>
        <v>1.1299599999999999</v>
      </c>
      <c r="F8" s="71">
        <v>1.0000000000000001E-9</v>
      </c>
      <c r="G8" s="183" t="str">
        <f t="shared" si="0"/>
        <v>PASS</v>
      </c>
    </row>
    <row r="9" spans="1:8" x14ac:dyDescent="0.25">
      <c r="A9" s="71">
        <v>4</v>
      </c>
      <c r="B9" s="81" t="s">
        <v>487</v>
      </c>
      <c r="C9" s="14" t="s">
        <v>491</v>
      </c>
      <c r="D9" s="182">
        <f>0</f>
        <v>0</v>
      </c>
      <c r="E9" s="182">
        <f>IF(br_selrow=0,0,ABS(INDEX(calc_ecy_p,br_selrow)-nr_ECY_P))</f>
        <v>0</v>
      </c>
      <c r="F9" s="71">
        <v>1.0000000000000001E-9</v>
      </c>
      <c r="G9" s="183" t="str">
        <f t="shared" si="0"/>
        <v>PASS</v>
      </c>
    </row>
    <row r="10" spans="1:8" x14ac:dyDescent="0.25">
      <c r="A10" s="71">
        <v>5</v>
      </c>
      <c r="B10" s="81" t="s">
        <v>487</v>
      </c>
      <c r="C10" s="14" t="s">
        <v>492</v>
      </c>
      <c r="D10" s="182">
        <f>0</f>
        <v>0</v>
      </c>
      <c r="E10" s="182">
        <f>IF(br_selrow=0,0,ABS(INDEX(calc_crl,br_selrow)-nr_CRLind))</f>
        <v>0</v>
      </c>
      <c r="F10" s="71">
        <v>1.0000000000000001E-9</v>
      </c>
      <c r="G10" s="183" t="str">
        <f t="shared" si="0"/>
        <v>PASS</v>
      </c>
    </row>
    <row r="11" spans="1:8" x14ac:dyDescent="0.25">
      <c r="A11" s="71">
        <v>6</v>
      </c>
      <c r="B11" s="81" t="s">
        <v>487</v>
      </c>
      <c r="C11" s="14" t="s">
        <v>493</v>
      </c>
      <c r="D11" s="182">
        <f>0</f>
        <v>0</v>
      </c>
      <c r="E11" s="182">
        <f>ABS(nr_LRcur*nr_Arate_P*nr_Amod_P*nr_AOther-nr_CYLR_P)</f>
        <v>0</v>
      </c>
      <c r="F11" s="71">
        <v>1.0000000000000001E-9</v>
      </c>
      <c r="G11" s="183" t="str">
        <f t="shared" si="0"/>
        <v>PASS</v>
      </c>
    </row>
    <row r="12" spans="1:8" x14ac:dyDescent="0.25">
      <c r="A12" s="71">
        <v>7</v>
      </c>
      <c r="B12" s="81" t="s">
        <v>487</v>
      </c>
      <c r="C12" s="14" t="s">
        <v>494</v>
      </c>
      <c r="D12" s="182">
        <f>0</f>
        <v>0</v>
      </c>
      <c r="E12" s="182">
        <f>ABS(nr_LRcur*(1+nr_Trend)*nr_Arate_P1*nr_Amod_P1*nr_AOther-nr_CYLR_P1)</f>
        <v>0</v>
      </c>
      <c r="F12" s="71">
        <v>1.0000000000000001E-9</v>
      </c>
      <c r="G12" s="183" t="str">
        <f t="shared" si="0"/>
        <v>PASS</v>
      </c>
    </row>
    <row r="13" spans="1:8" x14ac:dyDescent="0.25">
      <c r="A13" s="71">
        <v>8</v>
      </c>
      <c r="B13" s="81" t="s">
        <v>487</v>
      </c>
      <c r="C13" s="14" t="s">
        <v>495</v>
      </c>
      <c r="D13" s="182">
        <f>0</f>
        <v>0</v>
      </c>
      <c r="E13" s="182">
        <f>IF(br_selrow=0,0,ABS(INDEX(calc_cylr_p,br_selrow)-nr_CYLR_P))</f>
        <v>0</v>
      </c>
      <c r="F13" s="71">
        <v>1.0000000000000001E-9</v>
      </c>
      <c r="G13" s="183" t="str">
        <f t="shared" si="0"/>
        <v>PASS</v>
      </c>
    </row>
    <row r="14" spans="1:8" x14ac:dyDescent="0.25">
      <c r="A14" s="71">
        <v>9</v>
      </c>
      <c r="B14" s="81" t="s">
        <v>487</v>
      </c>
      <c r="C14" s="14" t="s">
        <v>496</v>
      </c>
      <c r="D14" s="182">
        <f>0</f>
        <v>0</v>
      </c>
      <c r="E14" s="182">
        <f>IF(COUNT(sc_dpts,sc_shift,sc_ach,sc_dm1,sc_dnet)&gt;0,0,ABS(INDEX(sc_res_cylr,2)-nr_CYLR_P))</f>
        <v>0</v>
      </c>
      <c r="F14" s="71">
        <v>1.0000000000000001E-9</v>
      </c>
      <c r="G14" s="183" t="str">
        <f t="shared" si="0"/>
        <v>PASS</v>
      </c>
    </row>
    <row r="15" spans="1:8" x14ac:dyDescent="0.25">
      <c r="A15" s="71">
        <v>10</v>
      </c>
      <c r="B15" s="81" t="s">
        <v>497</v>
      </c>
      <c r="C15" s="14" t="s">
        <v>498</v>
      </c>
      <c r="D15" s="184">
        <f>me_identity</f>
        <v>0.86603938730853391</v>
      </c>
      <c r="E15" s="184">
        <f>nr_MEarned_P</f>
        <v>0.87197757111597374</v>
      </c>
      <c r="F15" s="185">
        <f>MAX(0.0002,ABS('Mod Engine'!$H$7)*2)</f>
        <v>2.0000000000000001E-4</v>
      </c>
      <c r="G15" s="183" t="str">
        <f>IF(NOT(me_identity_ok),"N/A",IF(ABS(nr_MEarned_P-me_identity)&lt;=$F15,"PASS","FAIL"))</f>
        <v>N/A</v>
      </c>
    </row>
    <row r="16" spans="1:8" x14ac:dyDescent="0.25">
      <c r="A16" s="71">
        <v>11</v>
      </c>
      <c r="B16" s="81" t="s">
        <v>487</v>
      </c>
      <c r="C16" s="14" t="s">
        <v>499</v>
      </c>
      <c r="D16" s="97">
        <f>N(att_actlr)</f>
        <v>0</v>
      </c>
      <c r="E16" s="182">
        <f>IF(N(att_actlr)=0,0,ABS(Attribution!$D$25*Attribution!$C$26*Attribution!$C$27*Attribution!$C$28*Attribution!$C$29-att_actlr))</f>
        <v>0</v>
      </c>
      <c r="F16" s="71">
        <v>9.9999999999999995E-8</v>
      </c>
      <c r="G16" s="183" t="str">
        <f>IF(N(att_actlr)=0,"N/A",IF($E16&lt;=$F16,"PASS","FAIL"))</f>
        <v>N/A</v>
      </c>
    </row>
    <row r="17" spans="1:7" x14ac:dyDescent="0.25">
      <c r="A17" s="71">
        <v>12</v>
      </c>
      <c r="B17" s="81" t="s">
        <v>500</v>
      </c>
      <c r="C17" s="14" t="s">
        <v>501</v>
      </c>
      <c r="D17" s="182">
        <f>orc_crl</f>
        <v>1.1024</v>
      </c>
      <c r="E17" s="182">
        <f>nr_CRLind</f>
        <v>1.1024</v>
      </c>
      <c r="F17" s="71">
        <v>9.9999999999999995E-7</v>
      </c>
      <c r="G17" s="183" t="str">
        <f t="shared" ref="G17:G27" si="1">IF(NOT(orc_fp),"N/A",IF(ABS($E17-$D17)&lt;=$F17,"PASS","FAIL"))</f>
        <v>PASS</v>
      </c>
    </row>
    <row r="18" spans="1:7" x14ac:dyDescent="0.25">
      <c r="A18" s="71">
        <v>13</v>
      </c>
      <c r="B18" s="81" t="s">
        <v>500</v>
      </c>
      <c r="C18" s="14" t="s">
        <v>502</v>
      </c>
      <c r="D18" s="182">
        <f>orc_ecy_pm1</f>
        <v>1.0556000000000001</v>
      </c>
      <c r="E18" s="182">
        <f>nr_ECY_Pm1</f>
        <v>1.0555999999999999</v>
      </c>
      <c r="F18" s="71">
        <v>9.9999999999999995E-7</v>
      </c>
      <c r="G18" s="183" t="str">
        <f t="shared" si="1"/>
        <v>PASS</v>
      </c>
    </row>
    <row r="19" spans="1:7" x14ac:dyDescent="0.25">
      <c r="A19" s="71">
        <v>14</v>
      </c>
      <c r="B19" s="81" t="s">
        <v>500</v>
      </c>
      <c r="C19" s="14" t="s">
        <v>503</v>
      </c>
      <c r="D19" s="182">
        <f>orc_ecy_p</f>
        <v>1.1299600000000001</v>
      </c>
      <c r="E19" s="182">
        <f>nr_ECY_P</f>
        <v>1.1299600000000001</v>
      </c>
      <c r="F19" s="71">
        <v>9.9999999999999995E-7</v>
      </c>
      <c r="G19" s="183" t="str">
        <f t="shared" si="1"/>
        <v>PASS</v>
      </c>
    </row>
    <row r="20" spans="1:7" x14ac:dyDescent="0.25">
      <c r="A20" s="71">
        <v>15</v>
      </c>
      <c r="B20" s="81" t="s">
        <v>500</v>
      </c>
      <c r="C20" s="14" t="s">
        <v>504</v>
      </c>
      <c r="D20" s="182">
        <f>orc_ecy_p1</f>
        <v>1.1575200000000001</v>
      </c>
      <c r="E20" s="182">
        <f>nr_ECY_P1</f>
        <v>1.1575200000000001</v>
      </c>
      <c r="F20" s="71">
        <v>9.9999999999999995E-7</v>
      </c>
      <c r="G20" s="183" t="str">
        <f t="shared" si="1"/>
        <v>PASS</v>
      </c>
    </row>
    <row r="21" spans="1:7" x14ac:dyDescent="0.25">
      <c r="A21" s="71">
        <v>16</v>
      </c>
      <c r="B21" s="81" t="s">
        <v>500</v>
      </c>
      <c r="C21" s="14" t="s">
        <v>505</v>
      </c>
      <c r="D21" s="182">
        <f>orc_mbar_p</f>
        <v>0.87197757111597374</v>
      </c>
      <c r="E21" s="182">
        <f>nr_MEarned_P</f>
        <v>0.87197757111597374</v>
      </c>
      <c r="F21" s="71">
        <v>9.9999999999999995E-7</v>
      </c>
      <c r="G21" s="183" t="str">
        <f t="shared" si="1"/>
        <v>PASS</v>
      </c>
    </row>
    <row r="22" spans="1:7" x14ac:dyDescent="0.25">
      <c r="A22" s="71">
        <v>17</v>
      </c>
      <c r="B22" s="81" t="s">
        <v>500</v>
      </c>
      <c r="C22" s="14" t="s">
        <v>506</v>
      </c>
      <c r="D22" s="182">
        <f>orc_arate_p</f>
        <v>0.97560975609756095</v>
      </c>
      <c r="E22" s="182">
        <f>nr_Arate_P</f>
        <v>0.97560975609756095</v>
      </c>
      <c r="F22" s="71">
        <v>9.9999999999999995E-7</v>
      </c>
      <c r="G22" s="183" t="str">
        <f t="shared" si="1"/>
        <v>PASS</v>
      </c>
    </row>
    <row r="23" spans="1:7" x14ac:dyDescent="0.25">
      <c r="A23" s="71">
        <v>18</v>
      </c>
      <c r="B23" s="81" t="s">
        <v>500</v>
      </c>
      <c r="C23" s="14" t="s">
        <v>507</v>
      </c>
      <c r="D23" s="182">
        <f>orc_arate_p1</f>
        <v>0.95238095238095233</v>
      </c>
      <c r="E23" s="182">
        <f>nr_Arate_P1</f>
        <v>0.95238095238095233</v>
      </c>
      <c r="F23" s="71">
        <v>9.9999999999999995E-7</v>
      </c>
      <c r="G23" s="183" t="str">
        <f t="shared" si="1"/>
        <v>PASS</v>
      </c>
    </row>
    <row r="24" spans="1:7" x14ac:dyDescent="0.25">
      <c r="A24" s="71">
        <v>19</v>
      </c>
      <c r="B24" s="81" t="s">
        <v>500</v>
      </c>
      <c r="C24" s="14" t="s">
        <v>508</v>
      </c>
      <c r="D24" s="182">
        <f>orc_amod_p</f>
        <v>0.97479571511472884</v>
      </c>
      <c r="E24" s="182">
        <f>nr_Amod_P</f>
        <v>0.97479571511472884</v>
      </c>
      <c r="F24" s="71">
        <v>9.9999999999999995E-7</v>
      </c>
      <c r="G24" s="183" t="str">
        <f t="shared" si="1"/>
        <v>PASS</v>
      </c>
    </row>
    <row r="25" spans="1:7" x14ac:dyDescent="0.25">
      <c r="A25" s="71">
        <v>20</v>
      </c>
      <c r="B25" s="81" t="s">
        <v>500</v>
      </c>
      <c r="C25" s="14" t="s">
        <v>509</v>
      </c>
      <c r="D25" s="182">
        <f>orc_cylr_p</f>
        <v>0.61816313641421827</v>
      </c>
      <c r="E25" s="182">
        <f>nr_CYLR_P</f>
        <v>0.61816313641421827</v>
      </c>
      <c r="F25" s="71">
        <v>9.9999999999999995E-7</v>
      </c>
      <c r="G25" s="183" t="str">
        <f t="shared" si="1"/>
        <v>PASS</v>
      </c>
    </row>
    <row r="26" spans="1:7" x14ac:dyDescent="0.25">
      <c r="A26" s="71">
        <v>21</v>
      </c>
      <c r="B26" s="81" t="s">
        <v>500</v>
      </c>
      <c r="C26" s="14" t="s">
        <v>510</v>
      </c>
      <c r="D26" s="182">
        <f>orc_cylr_p1</f>
        <v>0.59190316879792326</v>
      </c>
      <c r="E26" s="182">
        <f>nr_CYLR_P1</f>
        <v>0.59190316879792326</v>
      </c>
      <c r="F26" s="71">
        <v>9.9999999999999995E-7</v>
      </c>
      <c r="G26" s="183" t="str">
        <f t="shared" si="1"/>
        <v>PASS</v>
      </c>
    </row>
    <row r="27" spans="1:7" x14ac:dyDescent="0.25">
      <c r="A27" s="71">
        <v>22</v>
      </c>
      <c r="B27" s="81" t="s">
        <v>500</v>
      </c>
      <c r="C27" s="14" t="s">
        <v>511</v>
      </c>
      <c r="D27" s="182">
        <f>orc_cylr_p_cont</f>
        <v>0.61814723651823666</v>
      </c>
      <c r="E27" s="182">
        <f>nr_CYLR_P</f>
        <v>0.61816313641421827</v>
      </c>
      <c r="F27" s="71">
        <v>1E-3</v>
      </c>
      <c r="G27" s="183" t="str">
        <f t="shared" si="1"/>
        <v>PASS</v>
      </c>
    </row>
    <row r="28" spans="1:7" x14ac:dyDescent="0.25">
      <c r="A28" s="71">
        <v>23</v>
      </c>
      <c r="B28" s="81" t="s">
        <v>500</v>
      </c>
      <c r="C28" s="14" t="s">
        <v>512</v>
      </c>
      <c r="D28" s="186">
        <f>orc_solver_r</f>
        <v>5.0000000000000273E-2</v>
      </c>
      <c r="E28" s="186">
        <f>IF(ISNUMBER(nr_SolverR),nr_SolverR,-999)</f>
        <v>5.0000000000000266E-2</v>
      </c>
      <c r="F28" s="71">
        <v>9.9999999999999995E-7</v>
      </c>
      <c r="G28" s="183" t="str">
        <f>IF(OR(NOT(orc_fp),ABS(Solver!$C$7-orc_cylr_p)&gt;0.000001,Solver!$C$8&lt;&gt;DATE(nr_PlanYear,4,1)),"N/A",IF(ABS($E28-$D28)&lt;=$F28,"PASS","FAIL"))</f>
        <v>PASS</v>
      </c>
    </row>
    <row r="29" spans="1:7" x14ac:dyDescent="0.25">
      <c r="A29" s="71">
        <v>24</v>
      </c>
      <c r="B29" s="81" t="s">
        <v>500</v>
      </c>
      <c r="C29" s="14" t="s">
        <v>513</v>
      </c>
      <c r="D29" s="97">
        <f>orc_cylr_p</f>
        <v>0.61816313641421827</v>
      </c>
      <c r="E29" s="97">
        <f>Solver!$G$32</f>
        <v>0.61816313641421838</v>
      </c>
      <c r="F29" s="71">
        <v>9.9999999999999995E-7</v>
      </c>
      <c r="G29" s="183" t="str">
        <f>IF(OR(NOT(orc_fp),Solver!$C$26&lt;&gt;0.05),"N/A",IF(ABS($E29-$D29)&lt;=$F29,"PASS","FAIL"))</f>
        <v>PASS</v>
      </c>
    </row>
    <row r="30" spans="1:7" x14ac:dyDescent="0.25">
      <c r="A30" s="71">
        <v>25</v>
      </c>
      <c r="B30" s="81" t="s">
        <v>514</v>
      </c>
      <c r="C30" s="14" t="s">
        <v>515</v>
      </c>
      <c r="D30" s="182">
        <f>0</f>
        <v>0</v>
      </c>
      <c r="E30" s="182">
        <f>COUNTIF(rl_ach,"&gt;1.5")+COUNTIF(rl_ach,"&lt;0")</f>
        <v>0</v>
      </c>
      <c r="F30" s="71">
        <v>0</v>
      </c>
      <c r="G30" s="183" t="str">
        <f t="shared" ref="G30:G38" si="2">IF(ABS($E30-$D30)&lt;=$F30,"PASS","FAIL")</f>
        <v>PASS</v>
      </c>
    </row>
    <row r="31" spans="1:7" x14ac:dyDescent="0.25">
      <c r="A31" s="71">
        <v>26</v>
      </c>
      <c r="B31" s="81" t="s">
        <v>514</v>
      </c>
      <c r="C31" s="14" t="s">
        <v>516</v>
      </c>
      <c r="D31" s="182">
        <f>0</f>
        <v>0</v>
      </c>
      <c r="E31" s="182">
        <f>COUNTIF(lr_mind,"&gt;1.5")+COUNTIF(lr_mind,"&lt;0.5")+COUNTIF(lr_m0,"&gt;1.5")+COUNTIF(lr_m0,"&lt;0.5")+COUNTIF(lr_m1,"&gt;1.5")+COUNTIF(lr_m1,"&lt;0.5")</f>
        <v>0</v>
      </c>
      <c r="F31" s="71">
        <v>0</v>
      </c>
      <c r="G31" s="183" t="str">
        <f t="shared" si="2"/>
        <v>PASS</v>
      </c>
    </row>
    <row r="32" spans="1:7" x14ac:dyDescent="0.25">
      <c r="A32" s="71">
        <v>27</v>
      </c>
      <c r="B32" s="81" t="s">
        <v>514</v>
      </c>
      <c r="C32" s="14" t="s">
        <v>517</v>
      </c>
      <c r="D32" s="182">
        <f>0</f>
        <v>0</v>
      </c>
      <c r="E32" s="182">
        <f>COUNTIF(lr_mprior,"&gt;1.5")+COUNTIF(lr_mprior,"&lt;0.5")+COUNTIF(lr_m2,"&gt;1.5")+COUNTIF(lr_m2,"&lt;0.5")</f>
        <v>0</v>
      </c>
      <c r="F32" s="71">
        <v>0</v>
      </c>
      <c r="G32" s="183" t="str">
        <f t="shared" si="2"/>
        <v>PASS</v>
      </c>
    </row>
    <row r="33" spans="1:7" x14ac:dyDescent="0.25">
      <c r="A33" s="71">
        <v>28</v>
      </c>
      <c r="B33" s="81" t="s">
        <v>514</v>
      </c>
      <c r="C33" s="14" t="s">
        <v>518</v>
      </c>
      <c r="D33" s="182">
        <f>0</f>
        <v>0</v>
      </c>
      <c r="E33" s="182">
        <f>COUNTIF(rl_reff,"&lt;=-1")</f>
        <v>0</v>
      </c>
      <c r="F33" s="71">
        <v>0</v>
      </c>
      <c r="G33" s="183" t="str">
        <f t="shared" si="2"/>
        <v>PASS</v>
      </c>
    </row>
    <row r="34" spans="1:7" x14ac:dyDescent="0.25">
      <c r="A34" s="71">
        <v>29</v>
      </c>
      <c r="B34" s="81" t="s">
        <v>514</v>
      </c>
      <c r="C34" s="14" t="s">
        <v>519</v>
      </c>
      <c r="D34" s="182">
        <f>0</f>
        <v>0</v>
      </c>
      <c r="E34" s="182">
        <f>SUMPRODUCT((lr_key&lt;&gt;"")*(N(lr_m0asof)&gt;=DATE(nr_PlanYear,12,31))*1)</f>
        <v>0</v>
      </c>
      <c r="F34" s="71">
        <v>0</v>
      </c>
      <c r="G34" s="183" t="str">
        <f t="shared" si="2"/>
        <v>PASS</v>
      </c>
    </row>
    <row r="35" spans="1:7" x14ac:dyDescent="0.25">
      <c r="A35" s="71">
        <v>30</v>
      </c>
      <c r="B35" s="81" t="s">
        <v>514</v>
      </c>
      <c r="C35" s="14" t="s">
        <v>520</v>
      </c>
      <c r="D35" s="182">
        <f>0</f>
        <v>0</v>
      </c>
      <c r="E35" s="182">
        <f>SUMPRODUCT((rl_key&lt;&gt;"")*(rl_status&lt;&gt;"taken")*(rl_status&lt;&gt;"planned")*1)</f>
        <v>0</v>
      </c>
      <c r="F35" s="71">
        <v>0</v>
      </c>
      <c r="G35" s="183" t="str">
        <f t="shared" si="2"/>
        <v>PASS</v>
      </c>
    </row>
    <row r="36" spans="1:7" x14ac:dyDescent="0.25">
      <c r="A36" s="71">
        <v>31</v>
      </c>
      <c r="B36" s="81" t="s">
        <v>514</v>
      </c>
      <c r="C36" s="14" t="s">
        <v>521</v>
      </c>
      <c r="D36" s="182">
        <f>0</f>
        <v>0</v>
      </c>
      <c r="E36" s="182">
        <f>SUMPRODUCT((lr_basis&lt;&gt;"current")*(lr_basis&lt;&gt;"proposed")*(lr_basis&lt;&gt;"")*1)</f>
        <v>0</v>
      </c>
      <c r="F36" s="71">
        <v>0</v>
      </c>
      <c r="G36" s="183" t="str">
        <f t="shared" si="2"/>
        <v>PASS</v>
      </c>
    </row>
    <row r="37" spans="1:7" x14ac:dyDescent="0.25">
      <c r="A37" s="71">
        <v>32</v>
      </c>
      <c r="B37" s="81" t="s">
        <v>514</v>
      </c>
      <c r="C37" s="14" t="s">
        <v>522</v>
      </c>
      <c r="D37" s="182">
        <f>0</f>
        <v>0</v>
      </c>
      <c r="E37" s="182">
        <f>COUNTIF(lr_ep,"&lt;0")</f>
        <v>0</v>
      </c>
      <c r="F37" s="71">
        <v>0</v>
      </c>
      <c r="G37" s="183" t="str">
        <f t="shared" si="2"/>
        <v>PASS</v>
      </c>
    </row>
    <row r="38" spans="1:7" x14ac:dyDescent="0.25">
      <c r="A38" s="71">
        <v>33</v>
      </c>
      <c r="B38" s="81" t="s">
        <v>514</v>
      </c>
      <c r="C38" s="14" t="s">
        <v>523</v>
      </c>
      <c r="D38" s="182">
        <f>0</f>
        <v>0</v>
      </c>
      <c r="E38" s="182">
        <f>COUNTIF(lr_netp,"&gt;1")+COUNTIF(lr_netp,"&lt;-0.5")+COUNTIF(lr_netp1,"&gt;1")+COUNTIF(lr_netp1,"&lt;-0.5")</f>
        <v>0</v>
      </c>
      <c r="F38" s="71">
        <v>0</v>
      </c>
      <c r="G38" s="183" t="str">
        <f t="shared" si="2"/>
        <v>PASS</v>
      </c>
    </row>
    <row r="39" spans="1:7" x14ac:dyDescent="0.25">
      <c r="A39" s="71">
        <v>34</v>
      </c>
      <c r="B39" s="81" t="s">
        <v>524</v>
      </c>
      <c r="C39" s="14" t="s">
        <v>525</v>
      </c>
      <c r="D39" s="182">
        <f>0</f>
        <v>0</v>
      </c>
      <c r="E39" s="182">
        <f>SUMPRODUCT((rl_status="planned")*(rl_cons="Y")*1)</f>
        <v>0</v>
      </c>
      <c r="F39" s="71">
        <v>0</v>
      </c>
      <c r="G39" s="183" t="str">
        <f t="shared" ref="G39:G48" si="3">IF(ABS($E39-$D39)&lt;=$F39,"PASS","WARN")</f>
        <v>PASS</v>
      </c>
    </row>
    <row r="40" spans="1:7" x14ac:dyDescent="0.25">
      <c r="A40" s="71">
        <v>35</v>
      </c>
      <c r="B40" s="81" t="s">
        <v>524</v>
      </c>
      <c r="C40" s="14" t="s">
        <v>526</v>
      </c>
      <c r="D40" s="182">
        <f>0</f>
        <v>0</v>
      </c>
      <c r="E40" s="182">
        <f>SUM(rl_dup)</f>
        <v>0</v>
      </c>
      <c r="F40" s="71">
        <v>0</v>
      </c>
      <c r="G40" s="183" t="str">
        <f t="shared" si="3"/>
        <v>PASS</v>
      </c>
    </row>
    <row r="41" spans="1:7" x14ac:dyDescent="0.25">
      <c r="A41" s="71">
        <v>36</v>
      </c>
      <c r="B41" s="81" t="s">
        <v>524</v>
      </c>
      <c r="C41" s="14" t="s">
        <v>527</v>
      </c>
      <c r="D41" s="182">
        <f>0</f>
        <v>0</v>
      </c>
      <c r="E41" s="182">
        <f>COUNTIF(rl_eff,"&lt;"&amp;DATE(nr_PlanYear-2,1,1))+COUNTIF(rl_eff,"&gt;"&amp;DATE(nr_PlanYear+1,12,31))</f>
        <v>0</v>
      </c>
      <c r="F41" s="71">
        <v>0</v>
      </c>
      <c r="G41" s="183" t="str">
        <f t="shared" si="3"/>
        <v>PASS</v>
      </c>
    </row>
    <row r="42" spans="1:7" x14ac:dyDescent="0.25">
      <c r="A42" s="71">
        <v>37</v>
      </c>
      <c r="B42" s="81" t="s">
        <v>524</v>
      </c>
      <c r="C42" s="14" t="s">
        <v>528</v>
      </c>
      <c r="D42" s="182">
        <f>0</f>
        <v>0</v>
      </c>
      <c r="E42" s="182">
        <f>SUMPRODUCT((lr_key&lt;&gt;"")*(lr_aother&lt;&gt;"")*(lr_aother&lt;&gt;1)*(lr_aotherlbl="")*1)</f>
        <v>0</v>
      </c>
      <c r="F42" s="71">
        <v>0</v>
      </c>
      <c r="G42" s="183" t="str">
        <f t="shared" si="3"/>
        <v>PASS</v>
      </c>
    </row>
    <row r="43" spans="1:7" x14ac:dyDescent="0.25">
      <c r="A43" s="71">
        <v>38</v>
      </c>
      <c r="B43" s="81" t="s">
        <v>524</v>
      </c>
      <c r="C43" s="14" t="s">
        <v>529</v>
      </c>
      <c r="D43" s="182">
        <f>0</f>
        <v>0</v>
      </c>
      <c r="E43" s="182">
        <f>SUMPRODUCT((se_state&lt;&gt;"")*(N(se_sum)=0)*1)</f>
        <v>0</v>
      </c>
      <c r="F43" s="71">
        <v>0</v>
      </c>
      <c r="G43" s="183" t="str">
        <f t="shared" si="3"/>
        <v>PASS</v>
      </c>
    </row>
    <row r="44" spans="1:7" x14ac:dyDescent="0.25">
      <c r="A44" s="71">
        <v>39</v>
      </c>
      <c r="B44" s="81" t="s">
        <v>524</v>
      </c>
      <c r="C44" s="14" t="s">
        <v>530</v>
      </c>
      <c r="D44" s="182">
        <f>0</f>
        <v>0</v>
      </c>
      <c r="E44" s="182">
        <f>SUMPRODUCT((rl_key&lt;&gt;"")*(rl_cons&lt;&gt;"Y")*(rl_cons&lt;&gt;"N")*(rl_cons&lt;&gt;"")*1)</f>
        <v>0</v>
      </c>
      <c r="F44" s="71">
        <v>0</v>
      </c>
      <c r="G44" s="183" t="str">
        <f t="shared" si="3"/>
        <v>PASS</v>
      </c>
    </row>
    <row r="45" spans="1:7" x14ac:dyDescent="0.25">
      <c r="A45" s="71">
        <v>40</v>
      </c>
      <c r="B45" s="81" t="s">
        <v>524</v>
      </c>
      <c r="C45" s="14" t="s">
        <v>531</v>
      </c>
      <c r="D45" s="182">
        <f>0</f>
        <v>0</v>
      </c>
      <c r="E45" s="182">
        <f>SUMPRODUCT((lr_key&lt;&gt;"")*(COUNTIF(lr_key,lr_key)&gt;1)*1)</f>
        <v>0</v>
      </c>
      <c r="F45" s="71">
        <v>0</v>
      </c>
      <c r="G45" s="183" t="str">
        <f t="shared" si="3"/>
        <v>PASS</v>
      </c>
    </row>
    <row r="46" spans="1:7" x14ac:dyDescent="0.25">
      <c r="A46" s="71">
        <v>41</v>
      </c>
      <c r="B46" s="81" t="s">
        <v>524</v>
      </c>
      <c r="C46" s="14" t="s">
        <v>532</v>
      </c>
      <c r="D46" s="182">
        <f>0</f>
        <v>0</v>
      </c>
      <c r="E46" s="182">
        <f>SUMPRODUCT((lr_key&lt;&gt;"")*(1-ISBLANK(lr_netp))*(lr_modadj="OFF")*1)</f>
        <v>0</v>
      </c>
      <c r="F46" s="71">
        <v>0</v>
      </c>
      <c r="G46" s="183" t="str">
        <f t="shared" si="3"/>
        <v>PASS</v>
      </c>
    </row>
    <row r="47" spans="1:7" x14ac:dyDescent="0.25">
      <c r="A47" s="71">
        <v>42</v>
      </c>
      <c r="B47" s="81" t="s">
        <v>524</v>
      </c>
      <c r="C47" s="14" t="s">
        <v>533</v>
      </c>
      <c r="D47" s="182">
        <f>0</f>
        <v>0</v>
      </c>
      <c r="E47" s="182">
        <f>IF(NOT(nr_NetMode),0,COUNTIFS(rl_key,nr_SelKey,rl_status,"planned",rl_eff,"&gt;="&amp;DATE(nr_PlanYear,1,1)))</f>
        <v>0</v>
      </c>
      <c r="F47" s="71">
        <v>0</v>
      </c>
      <c r="G47" s="183" t="str">
        <f t="shared" si="3"/>
        <v>PASS</v>
      </c>
    </row>
    <row r="48" spans="1:7" x14ac:dyDescent="0.25">
      <c r="A48" s="71">
        <v>43</v>
      </c>
      <c r="B48" s="81" t="s">
        <v>524</v>
      </c>
      <c r="C48" s="14" t="s">
        <v>534</v>
      </c>
      <c r="D48" s="182">
        <f>0</f>
        <v>0</v>
      </c>
      <c r="E48" s="182">
        <f>IF(nr_SelOK,0,1)</f>
        <v>0</v>
      </c>
      <c r="F48" s="71">
        <v>0</v>
      </c>
      <c r="G48" s="183" t="str">
        <f t="shared" si="3"/>
        <v>PASS</v>
      </c>
    </row>
    <row r="50" spans="1:1" ht="409.5" x14ac:dyDescent="0.25">
      <c r="A50" s="20" t="s">
        <v>535</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536</v>
      </c>
    </row>
    <row r="3" spans="2:2" x14ac:dyDescent="0.25">
      <c r="B3" s="2" t="s">
        <v>537</v>
      </c>
    </row>
    <row r="4" spans="2:2" ht="15.75" x14ac:dyDescent="0.25">
      <c r="B4" s="3" t="s">
        <v>538</v>
      </c>
    </row>
    <row r="5" spans="2:2" ht="78" customHeight="1" x14ac:dyDescent="0.25">
      <c r="B5" s="4" t="s">
        <v>539</v>
      </c>
    </row>
    <row r="6" spans="2:2" ht="39" customHeight="1" x14ac:dyDescent="0.25">
      <c r="B6" s="4" t="s">
        <v>540</v>
      </c>
    </row>
    <row r="8" spans="2:2" ht="15.75" x14ac:dyDescent="0.25">
      <c r="B8" s="3" t="s">
        <v>541</v>
      </c>
    </row>
    <row r="9" spans="2:2" ht="51.95" customHeight="1" x14ac:dyDescent="0.25">
      <c r="B9" s="4" t="s">
        <v>542</v>
      </c>
    </row>
    <row r="11" spans="2:2" ht="15.75" x14ac:dyDescent="0.25">
      <c r="B11" s="3" t="s">
        <v>543</v>
      </c>
    </row>
    <row r="12" spans="2:2" ht="39" customHeight="1" x14ac:dyDescent="0.25">
      <c r="B12" s="4" t="s">
        <v>544</v>
      </c>
    </row>
    <row r="13" spans="2:2" ht="39" customHeight="1" x14ac:dyDescent="0.25">
      <c r="B13" s="4" t="s">
        <v>545</v>
      </c>
    </row>
    <row r="14" spans="2:2" ht="39" customHeight="1" x14ac:dyDescent="0.25">
      <c r="B14" s="4" t="s">
        <v>546</v>
      </c>
    </row>
    <row r="15" spans="2:2" ht="39" customHeight="1" x14ac:dyDescent="0.25">
      <c r="B15" s="4" t="s">
        <v>547</v>
      </c>
    </row>
    <row r="16" spans="2:2" ht="39" customHeight="1" x14ac:dyDescent="0.25">
      <c r="B16" s="4" t="s">
        <v>548</v>
      </c>
    </row>
    <row r="18" spans="2:2" ht="15.75" x14ac:dyDescent="0.25">
      <c r="B18" s="3" t="s">
        <v>549</v>
      </c>
    </row>
    <row r="19" spans="2:2" ht="39" customHeight="1" x14ac:dyDescent="0.25">
      <c r="B19" s="4" t="s">
        <v>550</v>
      </c>
    </row>
    <row r="20" spans="2:2" ht="39" customHeight="1" x14ac:dyDescent="0.25">
      <c r="B20" s="4" t="s">
        <v>551</v>
      </c>
    </row>
    <row r="21" spans="2:2" ht="39" customHeight="1" x14ac:dyDescent="0.25">
      <c r="B21" s="4" t="s">
        <v>552</v>
      </c>
    </row>
    <row r="23" spans="2:2" ht="15.75" x14ac:dyDescent="0.25">
      <c r="B23" s="3" t="s">
        <v>553</v>
      </c>
    </row>
    <row r="24" spans="2:2" ht="51.95" customHeight="1" x14ac:dyDescent="0.25">
      <c r="B24" s="4" t="s">
        <v>554</v>
      </c>
    </row>
    <row r="25" spans="2:2" ht="51.95" customHeight="1" x14ac:dyDescent="0.25">
      <c r="B25" s="4" t="s">
        <v>555</v>
      </c>
    </row>
    <row r="26" spans="2:2" ht="39" customHeight="1" x14ac:dyDescent="0.25">
      <c r="B26" s="4" t="s">
        <v>556</v>
      </c>
    </row>
    <row r="28" spans="2:2" ht="15.75" x14ac:dyDescent="0.25">
      <c r="B28" s="3" t="s">
        <v>557</v>
      </c>
    </row>
    <row r="29" spans="2:2" ht="39" customHeight="1" x14ac:dyDescent="0.25">
      <c r="B29" s="4" t="s">
        <v>558</v>
      </c>
    </row>
    <row r="30" spans="2:2" ht="39" customHeight="1" x14ac:dyDescent="0.25">
      <c r="B30" s="4" t="s">
        <v>559</v>
      </c>
    </row>
    <row r="32" spans="2:2" ht="15.75" x14ac:dyDescent="0.25">
      <c r="B32" s="3" t="s">
        <v>560</v>
      </c>
    </row>
    <row r="33" spans="2:2" ht="78" customHeight="1" x14ac:dyDescent="0.25">
      <c r="B33" s="4" t="s">
        <v>561</v>
      </c>
    </row>
    <row r="34" spans="2:2" ht="78" customHeight="1" x14ac:dyDescent="0.25">
      <c r="B34" s="4" t="s">
        <v>562</v>
      </c>
    </row>
    <row r="36" spans="2:2" ht="15.75" x14ac:dyDescent="0.25">
      <c r="B36" s="3" t="s">
        <v>563</v>
      </c>
    </row>
    <row r="37" spans="2:2" ht="65.099999999999994" customHeight="1" x14ac:dyDescent="0.25">
      <c r="B37" s="4" t="s">
        <v>564</v>
      </c>
    </row>
    <row r="39" spans="2:2" ht="15.75" x14ac:dyDescent="0.25">
      <c r="B39" s="3" t="s">
        <v>565</v>
      </c>
    </row>
    <row r="40" spans="2:2" ht="51.95" customHeight="1" x14ac:dyDescent="0.25">
      <c r="B40" s="4" t="s">
        <v>566</v>
      </c>
    </row>
    <row r="42" spans="2:2" ht="15.75" x14ac:dyDescent="0.25">
      <c r="B42" s="3" t="s">
        <v>567</v>
      </c>
    </row>
    <row r="43" spans="2:2" ht="26.1" customHeight="1" x14ac:dyDescent="0.25">
      <c r="B43" s="4" t="s">
        <v>568</v>
      </c>
    </row>
    <row r="44" spans="2:2" ht="26.1" customHeight="1" x14ac:dyDescent="0.25">
      <c r="B44" s="4" t="s">
        <v>569</v>
      </c>
    </row>
    <row r="45" spans="2:2" ht="26.1" customHeight="1" x14ac:dyDescent="0.25">
      <c r="B45" s="4" t="s">
        <v>570</v>
      </c>
    </row>
    <row r="46" spans="2:2" ht="26.1" customHeight="1" x14ac:dyDescent="0.25">
      <c r="B46" s="4" t="s">
        <v>571</v>
      </c>
    </row>
    <row r="47" spans="2:2" ht="26.1" customHeight="1" x14ac:dyDescent="0.25">
      <c r="B47" s="4" t="s">
        <v>572</v>
      </c>
    </row>
    <row r="48" spans="2:2" ht="26.1" customHeight="1" x14ac:dyDescent="0.25">
      <c r="B48" s="4" t="s">
        <v>573</v>
      </c>
    </row>
    <row r="49" spans="2:4" ht="26.1" customHeight="1" x14ac:dyDescent="0.25">
      <c r="B49" s="4" t="s">
        <v>574</v>
      </c>
    </row>
    <row r="50" spans="2:4" ht="26.1" customHeight="1" x14ac:dyDescent="0.25">
      <c r="B50" s="4" t="s">
        <v>575</v>
      </c>
    </row>
    <row r="52" spans="2:4" ht="15.75" x14ac:dyDescent="0.25">
      <c r="B52" s="3" t="s">
        <v>576</v>
      </c>
    </row>
    <row r="53" spans="2:4" x14ac:dyDescent="0.25">
      <c r="B53" s="31" t="s">
        <v>577</v>
      </c>
      <c r="C53" s="31" t="s">
        <v>578</v>
      </c>
      <c r="D53" s="31" t="s">
        <v>579</v>
      </c>
    </row>
    <row r="54" spans="2:4" x14ac:dyDescent="0.25">
      <c r="B54" s="187" t="s">
        <v>580</v>
      </c>
      <c r="C54" s="81" t="s">
        <v>581</v>
      </c>
      <c r="D54" s="81" t="s">
        <v>582</v>
      </c>
    </row>
    <row r="55" spans="2:4" x14ac:dyDescent="0.25">
      <c r="B55" s="187" t="s">
        <v>583</v>
      </c>
      <c r="C55" s="81" t="s">
        <v>584</v>
      </c>
      <c r="D55" s="81" t="s">
        <v>585</v>
      </c>
    </row>
    <row r="56" spans="2:4" x14ac:dyDescent="0.25">
      <c r="B56" s="187" t="s">
        <v>586</v>
      </c>
      <c r="C56" s="81" t="s">
        <v>587</v>
      </c>
      <c r="D56" s="81" t="s">
        <v>588</v>
      </c>
    </row>
    <row r="57" spans="2:4" x14ac:dyDescent="0.25">
      <c r="B57" s="187" t="s">
        <v>589</v>
      </c>
      <c r="C57" s="81" t="s">
        <v>590</v>
      </c>
      <c r="D57" s="81" t="s">
        <v>591</v>
      </c>
    </row>
    <row r="58" spans="2:4" x14ac:dyDescent="0.25">
      <c r="B58" s="187" t="s">
        <v>592</v>
      </c>
      <c r="C58" s="81" t="s">
        <v>593</v>
      </c>
      <c r="D58" s="81" t="s">
        <v>594</v>
      </c>
    </row>
    <row r="59" spans="2:4" x14ac:dyDescent="0.25">
      <c r="B59" s="187" t="s">
        <v>595</v>
      </c>
      <c r="C59" s="81" t="s">
        <v>596</v>
      </c>
      <c r="D59" s="81" t="s">
        <v>597</v>
      </c>
    </row>
    <row r="60" spans="2:4" x14ac:dyDescent="0.25">
      <c r="B60" s="187" t="s">
        <v>598</v>
      </c>
      <c r="C60" s="81" t="s">
        <v>599</v>
      </c>
      <c r="D60" s="81" t="s">
        <v>600</v>
      </c>
    </row>
    <row r="61" spans="2:4" x14ac:dyDescent="0.25">
      <c r="B61" s="187" t="s">
        <v>601</v>
      </c>
      <c r="C61" s="81" t="s">
        <v>602</v>
      </c>
      <c r="D61" s="81" t="s">
        <v>603</v>
      </c>
    </row>
    <row r="62" spans="2:4" x14ac:dyDescent="0.25">
      <c r="B62" s="187" t="s">
        <v>604</v>
      </c>
      <c r="C62" s="81" t="s">
        <v>605</v>
      </c>
      <c r="D62" s="81" t="s">
        <v>606</v>
      </c>
    </row>
    <row r="63" spans="2:4" x14ac:dyDescent="0.25">
      <c r="B63" s="187" t="s">
        <v>607</v>
      </c>
      <c r="C63" s="81" t="s">
        <v>608</v>
      </c>
      <c r="D63" s="81" t="s">
        <v>609</v>
      </c>
    </row>
    <row r="64" spans="2:4" x14ac:dyDescent="0.25">
      <c r="B64" s="187" t="s">
        <v>610</v>
      </c>
      <c r="C64" s="81" t="s">
        <v>611</v>
      </c>
      <c r="D64" s="81" t="s">
        <v>612</v>
      </c>
    </row>
    <row r="65" spans="2:4" x14ac:dyDescent="0.25">
      <c r="B65" s="187" t="s">
        <v>613</v>
      </c>
      <c r="C65" s="81" t="s">
        <v>614</v>
      </c>
      <c r="D65" s="81" t="s">
        <v>615</v>
      </c>
    </row>
    <row r="66" spans="2:4" x14ac:dyDescent="0.25">
      <c r="B66" s="187" t="s">
        <v>616</v>
      </c>
      <c r="C66" s="81" t="s">
        <v>617</v>
      </c>
      <c r="D66" s="81" t="s">
        <v>618</v>
      </c>
    </row>
    <row r="67" spans="2:4" x14ac:dyDescent="0.25">
      <c r="B67" s="187" t="s">
        <v>619</v>
      </c>
      <c r="C67" s="81" t="s">
        <v>620</v>
      </c>
      <c r="D67" s="81" t="s">
        <v>621</v>
      </c>
    </row>
    <row r="68" spans="2:4" x14ac:dyDescent="0.25">
      <c r="B68" s="187" t="s">
        <v>622</v>
      </c>
      <c r="C68" s="81" t="s">
        <v>623</v>
      </c>
      <c r="D68" s="81" t="s">
        <v>624</v>
      </c>
    </row>
    <row r="69" spans="2:4" x14ac:dyDescent="0.25">
      <c r="B69" s="187" t="s">
        <v>625</v>
      </c>
      <c r="C69" s="81" t="s">
        <v>626</v>
      </c>
      <c r="D69" s="81" t="s">
        <v>627</v>
      </c>
    </row>
    <row r="70" spans="2:4" x14ac:dyDescent="0.25">
      <c r="B70" s="187" t="s">
        <v>628</v>
      </c>
      <c r="C70" s="81" t="s">
        <v>629</v>
      </c>
      <c r="D70" s="81" t="s">
        <v>630</v>
      </c>
    </row>
    <row r="71" spans="2:4" x14ac:dyDescent="0.25">
      <c r="B71" s="187" t="s">
        <v>631</v>
      </c>
      <c r="C71" s="81" t="s">
        <v>632</v>
      </c>
      <c r="D71" s="81" t="s">
        <v>633</v>
      </c>
    </row>
    <row r="72" spans="2:4" x14ac:dyDescent="0.25">
      <c r="B72" s="187" t="s">
        <v>634</v>
      </c>
      <c r="C72" s="81" t="s">
        <v>635</v>
      </c>
      <c r="D72" s="81" t="s">
        <v>636</v>
      </c>
    </row>
    <row r="73" spans="2:4" x14ac:dyDescent="0.25">
      <c r="B73" s="187" t="s">
        <v>637</v>
      </c>
      <c r="C73" s="81" t="s">
        <v>638</v>
      </c>
      <c r="D73" s="81" t="s">
        <v>639</v>
      </c>
    </row>
    <row r="74" spans="2:4" x14ac:dyDescent="0.25">
      <c r="B74" s="187" t="s">
        <v>640</v>
      </c>
      <c r="C74" s="81" t="s">
        <v>641</v>
      </c>
      <c r="D74" s="81" t="s">
        <v>642</v>
      </c>
    </row>
    <row r="75" spans="2:4" x14ac:dyDescent="0.25">
      <c r="B75" s="187" t="s">
        <v>643</v>
      </c>
      <c r="C75" s="81" t="s">
        <v>644</v>
      </c>
      <c r="D75" s="81" t="s">
        <v>645</v>
      </c>
    </row>
    <row r="76" spans="2:4" x14ac:dyDescent="0.25">
      <c r="B76" s="187" t="s">
        <v>646</v>
      </c>
      <c r="C76" s="81" t="s">
        <v>647</v>
      </c>
      <c r="D76" s="81" t="s">
        <v>648</v>
      </c>
    </row>
    <row r="77" spans="2:4" x14ac:dyDescent="0.25">
      <c r="B77" s="187" t="s">
        <v>649</v>
      </c>
      <c r="C77" s="81" t="s">
        <v>650</v>
      </c>
      <c r="D77" s="81" t="s">
        <v>651</v>
      </c>
    </row>
    <row r="78" spans="2:4" x14ac:dyDescent="0.25">
      <c r="B78" s="187" t="s">
        <v>652</v>
      </c>
      <c r="C78" s="81" t="s">
        <v>653</v>
      </c>
      <c r="D78" s="81" t="s">
        <v>654</v>
      </c>
    </row>
    <row r="79" spans="2:4" x14ac:dyDescent="0.25">
      <c r="B79" s="187" t="s">
        <v>655</v>
      </c>
      <c r="C79" s="81" t="s">
        <v>656</v>
      </c>
      <c r="D79" s="81" t="s">
        <v>657</v>
      </c>
    </row>
    <row r="80" spans="2:4" x14ac:dyDescent="0.25">
      <c r="B80" s="187" t="s">
        <v>658</v>
      </c>
      <c r="C80" s="81" t="s">
        <v>659</v>
      </c>
      <c r="D80" s="81" t="s">
        <v>660</v>
      </c>
    </row>
    <row r="81" spans="2:4" x14ac:dyDescent="0.25">
      <c r="B81" s="187" t="s">
        <v>661</v>
      </c>
      <c r="C81" s="81" t="s">
        <v>662</v>
      </c>
      <c r="D81" s="81" t="s">
        <v>663</v>
      </c>
    </row>
    <row r="82" spans="2:4" x14ac:dyDescent="0.25">
      <c r="B82" s="187" t="s">
        <v>664</v>
      </c>
      <c r="C82" s="81" t="s">
        <v>665</v>
      </c>
      <c r="D82" s="81" t="s">
        <v>666</v>
      </c>
    </row>
    <row r="83" spans="2:4" x14ac:dyDescent="0.25">
      <c r="B83" s="187" t="s">
        <v>667</v>
      </c>
      <c r="C83" s="81" t="s">
        <v>668</v>
      </c>
      <c r="D83" s="81" t="s">
        <v>669</v>
      </c>
    </row>
    <row r="84" spans="2:4" x14ac:dyDescent="0.25">
      <c r="B84" s="187" t="s">
        <v>670</v>
      </c>
      <c r="C84" s="81" t="s">
        <v>671</v>
      </c>
      <c r="D84" s="81" t="s">
        <v>672</v>
      </c>
    </row>
    <row r="85" spans="2:4" x14ac:dyDescent="0.25">
      <c r="B85" s="187" t="s">
        <v>673</v>
      </c>
      <c r="C85" s="81" t="s">
        <v>674</v>
      </c>
      <c r="D85" s="81" t="s">
        <v>675</v>
      </c>
    </row>
    <row r="86" spans="2:4" x14ac:dyDescent="0.25">
      <c r="B86" s="187" t="s">
        <v>676</v>
      </c>
      <c r="C86" s="81" t="s">
        <v>677</v>
      </c>
      <c r="D86" s="81" t="s">
        <v>678</v>
      </c>
    </row>
    <row r="87" spans="2:4" x14ac:dyDescent="0.25">
      <c r="B87" s="187" t="s">
        <v>679</v>
      </c>
      <c r="C87" s="81" t="s">
        <v>680</v>
      </c>
      <c r="D87" s="81" t="s">
        <v>681</v>
      </c>
    </row>
    <row r="88" spans="2:4" x14ac:dyDescent="0.25">
      <c r="B88" s="187" t="s">
        <v>682</v>
      </c>
      <c r="C88" s="81" t="s">
        <v>683</v>
      </c>
      <c r="D88" s="81" t="s">
        <v>684</v>
      </c>
    </row>
    <row r="89" spans="2:4" x14ac:dyDescent="0.25">
      <c r="B89" s="187" t="s">
        <v>685</v>
      </c>
      <c r="C89" s="81" t="s">
        <v>686</v>
      </c>
      <c r="D89" s="81" t="s">
        <v>687</v>
      </c>
    </row>
    <row r="90" spans="2:4" x14ac:dyDescent="0.25">
      <c r="B90" s="187" t="s">
        <v>688</v>
      </c>
      <c r="C90" s="81" t="s">
        <v>689</v>
      </c>
      <c r="D90" s="81" t="s">
        <v>690</v>
      </c>
    </row>
    <row r="91" spans="2:4" x14ac:dyDescent="0.25">
      <c r="B91" s="187" t="s">
        <v>691</v>
      </c>
      <c r="C91" s="81" t="s">
        <v>692</v>
      </c>
      <c r="D91" s="81" t="s">
        <v>693</v>
      </c>
    </row>
    <row r="92" spans="2:4" x14ac:dyDescent="0.25">
      <c r="B92" s="187" t="s">
        <v>694</v>
      </c>
      <c r="C92" s="81" t="s">
        <v>695</v>
      </c>
      <c r="D92" s="81" t="s">
        <v>696</v>
      </c>
    </row>
    <row r="93" spans="2:4" x14ac:dyDescent="0.25">
      <c r="B93" s="187" t="s">
        <v>697</v>
      </c>
      <c r="C93" s="81" t="s">
        <v>698</v>
      </c>
      <c r="D93" s="81" t="s">
        <v>699</v>
      </c>
    </row>
    <row r="94" spans="2:4" x14ac:dyDescent="0.25">
      <c r="B94" s="187" t="s">
        <v>700</v>
      </c>
      <c r="C94" s="81" t="s">
        <v>701</v>
      </c>
      <c r="D94" s="81" t="s">
        <v>702</v>
      </c>
    </row>
    <row r="95" spans="2:4" x14ac:dyDescent="0.25">
      <c r="B95" s="187" t="s">
        <v>703</v>
      </c>
      <c r="C95" s="81" t="s">
        <v>704</v>
      </c>
      <c r="D95" s="81" t="s">
        <v>705</v>
      </c>
    </row>
    <row r="96" spans="2:4" x14ac:dyDescent="0.25">
      <c r="B96" s="187" t="s">
        <v>706</v>
      </c>
      <c r="C96" s="81" t="s">
        <v>707</v>
      </c>
      <c r="D96" s="81" t="s">
        <v>708</v>
      </c>
    </row>
    <row r="97" spans="2:4" x14ac:dyDescent="0.25">
      <c r="B97" s="187" t="s">
        <v>709</v>
      </c>
      <c r="C97" s="81" t="s">
        <v>710</v>
      </c>
      <c r="D97" s="81" t="s">
        <v>711</v>
      </c>
    </row>
    <row r="98" spans="2:4" x14ac:dyDescent="0.25">
      <c r="B98" s="187" t="s">
        <v>712</v>
      </c>
      <c r="C98" s="81" t="s">
        <v>713</v>
      </c>
      <c r="D98" s="81" t="s">
        <v>714</v>
      </c>
    </row>
    <row r="99" spans="2:4" x14ac:dyDescent="0.25">
      <c r="B99" s="187" t="s">
        <v>715</v>
      </c>
      <c r="C99" s="81" t="s">
        <v>716</v>
      </c>
      <c r="D99" s="81" t="s">
        <v>717</v>
      </c>
    </row>
    <row r="100" spans="2:4" x14ac:dyDescent="0.25">
      <c r="B100" s="187" t="s">
        <v>718</v>
      </c>
      <c r="C100" s="81" t="s">
        <v>719</v>
      </c>
      <c r="D100" s="81" t="s">
        <v>720</v>
      </c>
    </row>
    <row r="101" spans="2:4" x14ac:dyDescent="0.25">
      <c r="B101" s="187" t="s">
        <v>721</v>
      </c>
      <c r="C101" s="81" t="s">
        <v>722</v>
      </c>
      <c r="D101" s="81" t="s">
        <v>723</v>
      </c>
    </row>
    <row r="102" spans="2:4" x14ac:dyDescent="0.25">
      <c r="B102" s="187" t="s">
        <v>724</v>
      </c>
      <c r="C102" s="81" t="s">
        <v>725</v>
      </c>
      <c r="D102" s="81" t="s">
        <v>726</v>
      </c>
    </row>
    <row r="103" spans="2:4" x14ac:dyDescent="0.25">
      <c r="B103" s="187" t="s">
        <v>727</v>
      </c>
      <c r="C103" s="81" t="s">
        <v>728</v>
      </c>
      <c r="D103" s="81" t="s">
        <v>729</v>
      </c>
    </row>
    <row r="104" spans="2:4" x14ac:dyDescent="0.25">
      <c r="B104" s="187" t="s">
        <v>730</v>
      </c>
      <c r="C104" s="81" t="s">
        <v>731</v>
      </c>
      <c r="D104" s="81" t="s">
        <v>732</v>
      </c>
    </row>
    <row r="105" spans="2:4" x14ac:dyDescent="0.25">
      <c r="B105" s="187" t="s">
        <v>733</v>
      </c>
      <c r="C105" s="81" t="s">
        <v>734</v>
      </c>
      <c r="D105" s="81" t="s">
        <v>735</v>
      </c>
    </row>
    <row r="106" spans="2:4" x14ac:dyDescent="0.25">
      <c r="B106" s="187" t="s">
        <v>736</v>
      </c>
      <c r="C106" s="81" t="s">
        <v>737</v>
      </c>
      <c r="D106" s="81" t="s">
        <v>738</v>
      </c>
    </row>
    <row r="107" spans="2:4" x14ac:dyDescent="0.25">
      <c r="B107" s="187" t="s">
        <v>739</v>
      </c>
      <c r="C107" s="81" t="s">
        <v>740</v>
      </c>
      <c r="D107" s="81" t="s">
        <v>741</v>
      </c>
    </row>
    <row r="108" spans="2:4" x14ac:dyDescent="0.25">
      <c r="B108" s="187" t="s">
        <v>742</v>
      </c>
      <c r="C108" s="81" t="s">
        <v>743</v>
      </c>
      <c r="D108" s="81" t="s">
        <v>744</v>
      </c>
    </row>
    <row r="109" spans="2:4" x14ac:dyDescent="0.25">
      <c r="B109" s="187" t="s">
        <v>745</v>
      </c>
      <c r="C109" s="81" t="s">
        <v>746</v>
      </c>
      <c r="D109" s="81" t="s">
        <v>747</v>
      </c>
    </row>
    <row r="110" spans="2:4" x14ac:dyDescent="0.25">
      <c r="B110" s="187" t="s">
        <v>748</v>
      </c>
      <c r="C110" s="81" t="s">
        <v>749</v>
      </c>
      <c r="D110" s="81" t="s">
        <v>750</v>
      </c>
    </row>
    <row r="111" spans="2:4" x14ac:dyDescent="0.25">
      <c r="B111" s="187" t="s">
        <v>751</v>
      </c>
      <c r="C111" s="81" t="s">
        <v>752</v>
      </c>
      <c r="D111" s="81" t="s">
        <v>753</v>
      </c>
    </row>
    <row r="112" spans="2:4" x14ac:dyDescent="0.25">
      <c r="B112" s="187" t="s">
        <v>754</v>
      </c>
      <c r="C112" s="81" t="s">
        <v>755</v>
      </c>
      <c r="D112" s="81" t="s">
        <v>756</v>
      </c>
    </row>
    <row r="113" spans="2:4" x14ac:dyDescent="0.25">
      <c r="B113" s="187" t="s">
        <v>757</v>
      </c>
      <c r="C113" s="81" t="s">
        <v>758</v>
      </c>
      <c r="D113" s="81" t="s">
        <v>759</v>
      </c>
    </row>
    <row r="114" spans="2:4" x14ac:dyDescent="0.25">
      <c r="B114" s="187" t="s">
        <v>760</v>
      </c>
      <c r="C114" s="81" t="s">
        <v>761</v>
      </c>
      <c r="D114" s="81" t="s">
        <v>762</v>
      </c>
    </row>
    <row r="115" spans="2:4" x14ac:dyDescent="0.25">
      <c r="B115" s="187" t="s">
        <v>763</v>
      </c>
      <c r="C115" s="81" t="s">
        <v>764</v>
      </c>
      <c r="D115" s="81" t="s">
        <v>765</v>
      </c>
    </row>
    <row r="116" spans="2:4" x14ac:dyDescent="0.25">
      <c r="B116" s="187" t="s">
        <v>766</v>
      </c>
      <c r="C116" s="81" t="s">
        <v>767</v>
      </c>
      <c r="D116" s="81" t="s">
        <v>768</v>
      </c>
    </row>
    <row r="117" spans="2:4" x14ac:dyDescent="0.25">
      <c r="B117" s="187" t="s">
        <v>769</v>
      </c>
      <c r="C117" s="81" t="s">
        <v>770</v>
      </c>
      <c r="D117" s="81" t="s">
        <v>771</v>
      </c>
    </row>
    <row r="118" spans="2:4" x14ac:dyDescent="0.25">
      <c r="B118" s="187" t="s">
        <v>772</v>
      </c>
      <c r="C118" s="81" t="s">
        <v>773</v>
      </c>
      <c r="D118" s="81" t="s">
        <v>774</v>
      </c>
    </row>
    <row r="119" spans="2:4" x14ac:dyDescent="0.25">
      <c r="B119" s="187" t="s">
        <v>775</v>
      </c>
      <c r="C119" s="81" t="s">
        <v>776</v>
      </c>
      <c r="D119" s="81" t="s">
        <v>777</v>
      </c>
    </row>
    <row r="120" spans="2:4" x14ac:dyDescent="0.25">
      <c r="B120" s="187" t="s">
        <v>778</v>
      </c>
      <c r="C120" s="81" t="s">
        <v>779</v>
      </c>
      <c r="D120" s="81" t="s">
        <v>111</v>
      </c>
    </row>
    <row r="121" spans="2:4" x14ac:dyDescent="0.25">
      <c r="B121" s="187" t="s">
        <v>780</v>
      </c>
      <c r="C121" s="81" t="s">
        <v>781</v>
      </c>
      <c r="D121" s="81" t="s">
        <v>782</v>
      </c>
    </row>
    <row r="122" spans="2:4" x14ac:dyDescent="0.25">
      <c r="B122" s="187" t="s">
        <v>783</v>
      </c>
      <c r="C122" s="81" t="s">
        <v>784</v>
      </c>
      <c r="D122" s="81" t="s">
        <v>785</v>
      </c>
    </row>
    <row r="123" spans="2:4" x14ac:dyDescent="0.25">
      <c r="B123" s="187" t="s">
        <v>786</v>
      </c>
      <c r="C123" s="81" t="s">
        <v>787</v>
      </c>
      <c r="D123" s="81" t="s">
        <v>788</v>
      </c>
    </row>
    <row r="124" spans="2:4" x14ac:dyDescent="0.25">
      <c r="B124" s="187" t="s">
        <v>789</v>
      </c>
      <c r="C124" s="81" t="s">
        <v>790</v>
      </c>
      <c r="D124" s="81" t="s">
        <v>791</v>
      </c>
    </row>
    <row r="125" spans="2:4" x14ac:dyDescent="0.25">
      <c r="B125" s="187" t="s">
        <v>792</v>
      </c>
      <c r="C125" s="81" t="s">
        <v>793</v>
      </c>
      <c r="D125" s="81" t="s">
        <v>794</v>
      </c>
    </row>
    <row r="126" spans="2:4" x14ac:dyDescent="0.25">
      <c r="B126" s="187" t="s">
        <v>795</v>
      </c>
      <c r="C126" s="81" t="s">
        <v>796</v>
      </c>
      <c r="D126" s="81" t="s">
        <v>797</v>
      </c>
    </row>
    <row r="127" spans="2:4" x14ac:dyDescent="0.25">
      <c r="B127" s="187" t="s">
        <v>798</v>
      </c>
      <c r="C127" s="81" t="s">
        <v>799</v>
      </c>
      <c r="D127" s="81" t="s">
        <v>800</v>
      </c>
    </row>
    <row r="128" spans="2:4" x14ac:dyDescent="0.25">
      <c r="B128" s="187" t="s">
        <v>801</v>
      </c>
      <c r="C128" s="81" t="s">
        <v>802</v>
      </c>
      <c r="D128" s="81" t="s">
        <v>803</v>
      </c>
    </row>
    <row r="129" spans="2:4" x14ac:dyDescent="0.25">
      <c r="B129" s="187" t="s">
        <v>804</v>
      </c>
      <c r="C129" s="81" t="s">
        <v>805</v>
      </c>
      <c r="D129" s="81" t="s">
        <v>806</v>
      </c>
    </row>
    <row r="130" spans="2:4" x14ac:dyDescent="0.25">
      <c r="B130" s="187" t="s">
        <v>807</v>
      </c>
      <c r="C130" s="81" t="s">
        <v>808</v>
      </c>
      <c r="D130" s="81" t="s">
        <v>809</v>
      </c>
    </row>
    <row r="131" spans="2:4" x14ac:dyDescent="0.25">
      <c r="B131" s="187" t="s">
        <v>810</v>
      </c>
      <c r="C131" s="81" t="s">
        <v>811</v>
      </c>
      <c r="D131" s="81" t="s">
        <v>812</v>
      </c>
    </row>
    <row r="132" spans="2:4" x14ac:dyDescent="0.25">
      <c r="B132" s="187" t="s">
        <v>813</v>
      </c>
      <c r="C132" s="81" t="s">
        <v>814</v>
      </c>
      <c r="D132" s="81" t="s">
        <v>815</v>
      </c>
    </row>
    <row r="133" spans="2:4" x14ac:dyDescent="0.25">
      <c r="B133" s="187" t="s">
        <v>816</v>
      </c>
      <c r="C133" s="81" t="s">
        <v>817</v>
      </c>
      <c r="D133" s="81" t="s">
        <v>818</v>
      </c>
    </row>
    <row r="134" spans="2:4" x14ac:dyDescent="0.25">
      <c r="B134" s="187" t="s">
        <v>819</v>
      </c>
      <c r="C134" s="81" t="s">
        <v>820</v>
      </c>
      <c r="D134" s="81" t="s">
        <v>821</v>
      </c>
    </row>
    <row r="135" spans="2:4" x14ac:dyDescent="0.25">
      <c r="B135" s="187" t="s">
        <v>822</v>
      </c>
      <c r="C135" s="81" t="s">
        <v>823</v>
      </c>
      <c r="D135" s="81" t="s">
        <v>824</v>
      </c>
    </row>
    <row r="136" spans="2:4" x14ac:dyDescent="0.25">
      <c r="B136" s="187" t="s">
        <v>825</v>
      </c>
      <c r="C136" s="81" t="s">
        <v>826</v>
      </c>
      <c r="D136" s="81" t="s">
        <v>827</v>
      </c>
    </row>
    <row r="137" spans="2:4" x14ac:dyDescent="0.25">
      <c r="B137" s="187" t="s">
        <v>828</v>
      </c>
      <c r="C137" s="81" t="s">
        <v>829</v>
      </c>
      <c r="D137" s="81" t="s">
        <v>830</v>
      </c>
    </row>
    <row r="138" spans="2:4" x14ac:dyDescent="0.25">
      <c r="B138" s="187" t="s">
        <v>831</v>
      </c>
      <c r="C138" s="81" t="s">
        <v>832</v>
      </c>
      <c r="D138" s="81" t="s">
        <v>833</v>
      </c>
    </row>
    <row r="139" spans="2:4" x14ac:dyDescent="0.25">
      <c r="B139" s="187" t="s">
        <v>834</v>
      </c>
      <c r="C139" s="81" t="s">
        <v>835</v>
      </c>
      <c r="D139" s="81" t="s">
        <v>836</v>
      </c>
    </row>
    <row r="140" spans="2:4" x14ac:dyDescent="0.25">
      <c r="B140" s="187" t="s">
        <v>837</v>
      </c>
      <c r="C140" s="81" t="s">
        <v>838</v>
      </c>
      <c r="D140" s="81" t="s">
        <v>839</v>
      </c>
    </row>
    <row r="141" spans="2:4" x14ac:dyDescent="0.25">
      <c r="B141" s="187" t="s">
        <v>840</v>
      </c>
      <c r="C141" s="81" t="s">
        <v>841</v>
      </c>
      <c r="D141" s="81" t="s">
        <v>842</v>
      </c>
    </row>
    <row r="142" spans="2:4" x14ac:dyDescent="0.25">
      <c r="B142" s="187" t="s">
        <v>843</v>
      </c>
      <c r="C142" s="81" t="s">
        <v>844</v>
      </c>
      <c r="D142" s="81" t="s">
        <v>845</v>
      </c>
    </row>
    <row r="143" spans="2:4" x14ac:dyDescent="0.25">
      <c r="B143" s="187" t="s">
        <v>846</v>
      </c>
      <c r="C143" s="81" t="s">
        <v>847</v>
      </c>
      <c r="D143" s="81" t="s">
        <v>848</v>
      </c>
    </row>
    <row r="144" spans="2:4" x14ac:dyDescent="0.25">
      <c r="B144" s="187" t="s">
        <v>849</v>
      </c>
      <c r="C144" s="81" t="s">
        <v>850</v>
      </c>
      <c r="D144" s="81" t="s">
        <v>851</v>
      </c>
    </row>
    <row r="145" spans="2:4" x14ac:dyDescent="0.25">
      <c r="B145" s="187" t="s">
        <v>852</v>
      </c>
      <c r="C145" s="81" t="s">
        <v>853</v>
      </c>
      <c r="D145" s="81" t="s">
        <v>854</v>
      </c>
    </row>
    <row r="146" spans="2:4" x14ac:dyDescent="0.25">
      <c r="B146" s="187" t="s">
        <v>855</v>
      </c>
      <c r="C146" s="81" t="s">
        <v>856</v>
      </c>
      <c r="D146" s="81" t="s">
        <v>857</v>
      </c>
    </row>
    <row r="147" spans="2:4" x14ac:dyDescent="0.25">
      <c r="B147" s="187" t="s">
        <v>858</v>
      </c>
      <c r="C147" s="81" t="s">
        <v>859</v>
      </c>
      <c r="D147" s="81" t="s">
        <v>860</v>
      </c>
    </row>
    <row r="148" spans="2:4" x14ac:dyDescent="0.25">
      <c r="B148" s="187" t="s">
        <v>861</v>
      </c>
      <c r="C148" s="81" t="s">
        <v>862</v>
      </c>
      <c r="D148" s="81" t="s">
        <v>863</v>
      </c>
    </row>
    <row r="149" spans="2:4" x14ac:dyDescent="0.25">
      <c r="B149" s="187" t="s">
        <v>864</v>
      </c>
      <c r="C149" s="81" t="s">
        <v>865</v>
      </c>
      <c r="D149" s="81" t="s">
        <v>866</v>
      </c>
    </row>
    <row r="150" spans="2:4" x14ac:dyDescent="0.25">
      <c r="B150" s="187" t="s">
        <v>867</v>
      </c>
      <c r="C150" s="81" t="s">
        <v>868</v>
      </c>
      <c r="D150" s="81" t="s">
        <v>869</v>
      </c>
    </row>
    <row r="151" spans="2:4" x14ac:dyDescent="0.25">
      <c r="B151" s="187" t="s">
        <v>870</v>
      </c>
      <c r="C151" s="81" t="s">
        <v>871</v>
      </c>
      <c r="D151" s="81" t="s">
        <v>872</v>
      </c>
    </row>
    <row r="152" spans="2:4" x14ac:dyDescent="0.25">
      <c r="B152" s="187" t="s">
        <v>873</v>
      </c>
      <c r="C152" s="81" t="s">
        <v>874</v>
      </c>
      <c r="D152" s="81" t="s">
        <v>875</v>
      </c>
    </row>
    <row r="153" spans="2:4" x14ac:dyDescent="0.25">
      <c r="B153" s="187" t="s">
        <v>876</v>
      </c>
      <c r="C153" s="81" t="s">
        <v>877</v>
      </c>
      <c r="D153" s="81" t="s">
        <v>878</v>
      </c>
    </row>
    <row r="154" spans="2:4" x14ac:dyDescent="0.25">
      <c r="B154" s="187" t="s">
        <v>879</v>
      </c>
      <c r="C154" s="81" t="s">
        <v>880</v>
      </c>
      <c r="D154" s="81" t="s">
        <v>881</v>
      </c>
    </row>
    <row r="155" spans="2:4" x14ac:dyDescent="0.25">
      <c r="B155" s="187" t="s">
        <v>882</v>
      </c>
      <c r="C155" s="81" t="s">
        <v>883</v>
      </c>
      <c r="D155" s="81" t="s">
        <v>884</v>
      </c>
    </row>
    <row r="156" spans="2:4" x14ac:dyDescent="0.25">
      <c r="B156" s="187" t="s">
        <v>885</v>
      </c>
      <c r="C156" s="81" t="s">
        <v>886</v>
      </c>
      <c r="D156" s="81" t="s">
        <v>887</v>
      </c>
    </row>
    <row r="157" spans="2:4" x14ac:dyDescent="0.25">
      <c r="B157" s="187" t="s">
        <v>888</v>
      </c>
      <c r="C157" s="81" t="s">
        <v>889</v>
      </c>
      <c r="D157" s="81" t="s">
        <v>890</v>
      </c>
    </row>
    <row r="158" spans="2:4" x14ac:dyDescent="0.25">
      <c r="B158" s="187" t="s">
        <v>891</v>
      </c>
      <c r="C158" s="81" t="s">
        <v>892</v>
      </c>
      <c r="D158" s="81" t="s">
        <v>893</v>
      </c>
    </row>
    <row r="159" spans="2:4" x14ac:dyDescent="0.25">
      <c r="B159" s="187" t="s">
        <v>894</v>
      </c>
      <c r="C159" s="81" t="s">
        <v>895</v>
      </c>
      <c r="D159" s="81" t="s">
        <v>896</v>
      </c>
    </row>
    <row r="160" spans="2:4" x14ac:dyDescent="0.25">
      <c r="B160" s="187" t="s">
        <v>897</v>
      </c>
      <c r="C160" s="81" t="s">
        <v>898</v>
      </c>
      <c r="D160" s="81" t="s">
        <v>899</v>
      </c>
    </row>
    <row r="161" spans="2:4" x14ac:dyDescent="0.25">
      <c r="B161" s="187" t="s">
        <v>900</v>
      </c>
      <c r="C161" s="81" t="s">
        <v>901</v>
      </c>
      <c r="D161" s="81" t="s">
        <v>902</v>
      </c>
    </row>
    <row r="162" spans="2:4" x14ac:dyDescent="0.25">
      <c r="B162" s="187" t="s">
        <v>903</v>
      </c>
      <c r="C162" s="81" t="s">
        <v>904</v>
      </c>
      <c r="D162" s="81" t="s">
        <v>905</v>
      </c>
    </row>
    <row r="163" spans="2:4" x14ac:dyDescent="0.25">
      <c r="B163" s="187" t="s">
        <v>906</v>
      </c>
      <c r="C163" s="81" t="s">
        <v>907</v>
      </c>
      <c r="D163" s="81" t="s">
        <v>908</v>
      </c>
    </row>
    <row r="164" spans="2:4" x14ac:dyDescent="0.25">
      <c r="B164" s="187" t="s">
        <v>909</v>
      </c>
      <c r="C164" s="81" t="s">
        <v>910</v>
      </c>
      <c r="D164" s="81" t="s">
        <v>911</v>
      </c>
    </row>
    <row r="165" spans="2:4" x14ac:dyDescent="0.25">
      <c r="B165" s="187" t="s">
        <v>912</v>
      </c>
      <c r="C165" s="81" t="s">
        <v>913</v>
      </c>
      <c r="D165" s="81" t="s">
        <v>914</v>
      </c>
    </row>
    <row r="166" spans="2:4" x14ac:dyDescent="0.25">
      <c r="B166" s="187" t="s">
        <v>915</v>
      </c>
      <c r="C166" s="81" t="s">
        <v>916</v>
      </c>
      <c r="D166" s="81" t="s">
        <v>917</v>
      </c>
    </row>
    <row r="167" spans="2:4" x14ac:dyDescent="0.25">
      <c r="B167" s="187" t="s">
        <v>918</v>
      </c>
      <c r="C167" s="81" t="s">
        <v>919</v>
      </c>
      <c r="D167" s="81" t="s">
        <v>920</v>
      </c>
    </row>
    <row r="168" spans="2:4" x14ac:dyDescent="0.25">
      <c r="B168" s="187" t="s">
        <v>921</v>
      </c>
      <c r="C168" s="81" t="s">
        <v>922</v>
      </c>
      <c r="D168" s="81" t="s">
        <v>923</v>
      </c>
    </row>
    <row r="169" spans="2:4" x14ac:dyDescent="0.25">
      <c r="B169" s="187" t="s">
        <v>924</v>
      </c>
      <c r="C169" s="81" t="s">
        <v>925</v>
      </c>
      <c r="D169" s="81" t="s">
        <v>926</v>
      </c>
    </row>
    <row r="170" spans="2:4" x14ac:dyDescent="0.25">
      <c r="B170" s="187" t="s">
        <v>927</v>
      </c>
      <c r="C170" s="81" t="s">
        <v>928</v>
      </c>
      <c r="D170" s="81" t="s">
        <v>929</v>
      </c>
    </row>
    <row r="171" spans="2:4" x14ac:dyDescent="0.25">
      <c r="B171" s="187" t="s">
        <v>930</v>
      </c>
      <c r="C171" s="81" t="s">
        <v>931</v>
      </c>
      <c r="D171" s="81" t="s">
        <v>932</v>
      </c>
    </row>
    <row r="172" spans="2:4" x14ac:dyDescent="0.25">
      <c r="B172" s="187" t="s">
        <v>933</v>
      </c>
      <c r="C172" s="81" t="s">
        <v>934</v>
      </c>
      <c r="D172" s="81" t="s">
        <v>935</v>
      </c>
    </row>
    <row r="173" spans="2:4" x14ac:dyDescent="0.25">
      <c r="B173" s="187" t="s">
        <v>936</v>
      </c>
      <c r="C173" s="81" t="s">
        <v>937</v>
      </c>
      <c r="D173" s="81" t="s">
        <v>938</v>
      </c>
    </row>
    <row r="174" spans="2:4" x14ac:dyDescent="0.25">
      <c r="B174" s="187" t="s">
        <v>939</v>
      </c>
      <c r="C174" s="81" t="s">
        <v>940</v>
      </c>
      <c r="D174" s="81" t="s">
        <v>941</v>
      </c>
    </row>
    <row r="175" spans="2:4" x14ac:dyDescent="0.25">
      <c r="B175" s="187" t="s">
        <v>942</v>
      </c>
      <c r="C175" s="81" t="s">
        <v>943</v>
      </c>
      <c r="D175" s="81" t="s">
        <v>944</v>
      </c>
    </row>
    <row r="176" spans="2:4" x14ac:dyDescent="0.25">
      <c r="B176" s="187" t="s">
        <v>945</v>
      </c>
      <c r="C176" s="81" t="s">
        <v>946</v>
      </c>
      <c r="D176" s="81" t="s">
        <v>947</v>
      </c>
    </row>
    <row r="177" spans="2:4" x14ac:dyDescent="0.25">
      <c r="B177" s="187" t="s">
        <v>948</v>
      </c>
      <c r="C177" s="81" t="s">
        <v>949</v>
      </c>
      <c r="D177" s="81" t="s">
        <v>950</v>
      </c>
    </row>
    <row r="178" spans="2:4" x14ac:dyDescent="0.25">
      <c r="B178" s="187" t="s">
        <v>951</v>
      </c>
      <c r="C178" s="81" t="s">
        <v>952</v>
      </c>
      <c r="D178" s="81" t="s">
        <v>953</v>
      </c>
    </row>
    <row r="179" spans="2:4" x14ac:dyDescent="0.25">
      <c r="B179" s="187" t="s">
        <v>954</v>
      </c>
      <c r="C179" s="81" t="s">
        <v>955</v>
      </c>
      <c r="D179" s="81" t="s">
        <v>956</v>
      </c>
    </row>
    <row r="180" spans="2:4" x14ac:dyDescent="0.25">
      <c r="B180" s="187" t="s">
        <v>957</v>
      </c>
      <c r="C180" s="81" t="s">
        <v>958</v>
      </c>
      <c r="D180" s="81" t="s">
        <v>959</v>
      </c>
    </row>
    <row r="181" spans="2:4" x14ac:dyDescent="0.25">
      <c r="B181" s="187" t="s">
        <v>960</v>
      </c>
      <c r="C181" s="81" t="s">
        <v>961</v>
      </c>
      <c r="D181" s="81" t="s">
        <v>962</v>
      </c>
    </row>
    <row r="182" spans="2:4" x14ac:dyDescent="0.25">
      <c r="B182" s="187" t="s">
        <v>963</v>
      </c>
      <c r="C182" s="81" t="s">
        <v>964</v>
      </c>
      <c r="D182" s="81" t="s">
        <v>965</v>
      </c>
    </row>
    <row r="183" spans="2:4" x14ac:dyDescent="0.25">
      <c r="B183" s="187" t="s">
        <v>966</v>
      </c>
      <c r="C183" s="81" t="s">
        <v>967</v>
      </c>
      <c r="D183" s="81" t="s">
        <v>968</v>
      </c>
    </row>
    <row r="184" spans="2:4" x14ac:dyDescent="0.25">
      <c r="B184" s="187" t="s">
        <v>969</v>
      </c>
      <c r="C184" s="81" t="s">
        <v>970</v>
      </c>
      <c r="D184" s="81" t="s">
        <v>971</v>
      </c>
    </row>
    <row r="185" spans="2:4" x14ac:dyDescent="0.25">
      <c r="B185" s="187" t="s">
        <v>972</v>
      </c>
      <c r="C185" s="81" t="s">
        <v>973</v>
      </c>
      <c r="D185" s="81" t="s">
        <v>974</v>
      </c>
    </row>
    <row r="186" spans="2:4" x14ac:dyDescent="0.25">
      <c r="B186" s="187" t="s">
        <v>975</v>
      </c>
      <c r="C186" s="81" t="s">
        <v>976</v>
      </c>
      <c r="D186" s="81" t="s">
        <v>977</v>
      </c>
    </row>
    <row r="187" spans="2:4" x14ac:dyDescent="0.25">
      <c r="B187" s="187" t="s">
        <v>978</v>
      </c>
      <c r="C187" s="81" t="s">
        <v>979</v>
      </c>
      <c r="D187" s="81" t="s">
        <v>980</v>
      </c>
    </row>
    <row r="188" spans="2:4" x14ac:dyDescent="0.25">
      <c r="B188" s="187" t="s">
        <v>981</v>
      </c>
      <c r="C188" s="81" t="s">
        <v>982</v>
      </c>
      <c r="D188" s="81" t="s">
        <v>983</v>
      </c>
    </row>
    <row r="189" spans="2:4" x14ac:dyDescent="0.25">
      <c r="B189" s="187" t="s">
        <v>984</v>
      </c>
      <c r="C189" s="81" t="s">
        <v>985</v>
      </c>
      <c r="D189" s="81" t="s">
        <v>986</v>
      </c>
    </row>
    <row r="190" spans="2:4" x14ac:dyDescent="0.25">
      <c r="B190" s="187" t="s">
        <v>987</v>
      </c>
      <c r="C190" s="81" t="s">
        <v>988</v>
      </c>
      <c r="D190" s="81" t="s">
        <v>989</v>
      </c>
    </row>
    <row r="191" spans="2:4" x14ac:dyDescent="0.25">
      <c r="B191" s="187" t="s">
        <v>990</v>
      </c>
      <c r="C191" s="81" t="s">
        <v>991</v>
      </c>
      <c r="D191" s="81" t="s">
        <v>992</v>
      </c>
    </row>
    <row r="192" spans="2:4" x14ac:dyDescent="0.25">
      <c r="B192" s="187" t="s">
        <v>993</v>
      </c>
      <c r="C192" s="81" t="s">
        <v>994</v>
      </c>
      <c r="D192" s="81" t="s">
        <v>995</v>
      </c>
    </row>
    <row r="193" spans="2:4" x14ac:dyDescent="0.25">
      <c r="B193" s="187" t="s">
        <v>996</v>
      </c>
      <c r="C193" s="81" t="s">
        <v>997</v>
      </c>
      <c r="D193" s="81" t="s">
        <v>998</v>
      </c>
    </row>
    <row r="194" spans="2:4" x14ac:dyDescent="0.25">
      <c r="B194" s="187" t="s">
        <v>999</v>
      </c>
      <c r="C194" s="81" t="s">
        <v>1000</v>
      </c>
      <c r="D194" s="81" t="s">
        <v>1001</v>
      </c>
    </row>
    <row r="195" spans="2:4" x14ac:dyDescent="0.25">
      <c r="B195" s="187" t="s">
        <v>1002</v>
      </c>
      <c r="C195" s="81" t="s">
        <v>1003</v>
      </c>
      <c r="D195" s="81" t="s">
        <v>1004</v>
      </c>
    </row>
    <row r="196" spans="2:4" x14ac:dyDescent="0.25">
      <c r="B196" s="187" t="s">
        <v>1005</v>
      </c>
      <c r="C196" s="81" t="s">
        <v>1006</v>
      </c>
      <c r="D196" s="81" t="s">
        <v>1007</v>
      </c>
    </row>
    <row r="197" spans="2:4" x14ac:dyDescent="0.25">
      <c r="B197" s="187" t="s">
        <v>1008</v>
      </c>
      <c r="C197" s="81" t="s">
        <v>1009</v>
      </c>
      <c r="D197" s="81" t="s">
        <v>1010</v>
      </c>
    </row>
    <row r="198" spans="2:4" x14ac:dyDescent="0.25">
      <c r="B198" s="187" t="s">
        <v>1011</v>
      </c>
      <c r="C198" s="81" t="s">
        <v>1012</v>
      </c>
      <c r="D198" s="81" t="s">
        <v>1013</v>
      </c>
    </row>
    <row r="199" spans="2:4" x14ac:dyDescent="0.25">
      <c r="B199" s="187" t="s">
        <v>1014</v>
      </c>
      <c r="C199" s="81" t="s">
        <v>1015</v>
      </c>
      <c r="D199" s="81" t="s">
        <v>1016</v>
      </c>
    </row>
    <row r="200" spans="2:4" x14ac:dyDescent="0.25">
      <c r="B200" s="187" t="s">
        <v>1017</v>
      </c>
      <c r="C200" s="81" t="s">
        <v>1018</v>
      </c>
      <c r="D200" s="81" t="s">
        <v>1019</v>
      </c>
    </row>
    <row r="201" spans="2:4" x14ac:dyDescent="0.25">
      <c r="B201" s="187" t="s">
        <v>1020</v>
      </c>
      <c r="C201" s="81" t="s">
        <v>1021</v>
      </c>
      <c r="D201" s="81" t="s">
        <v>1022</v>
      </c>
    </row>
    <row r="202" spans="2:4" x14ac:dyDescent="0.25">
      <c r="B202" s="187" t="s">
        <v>1023</v>
      </c>
      <c r="C202" s="81" t="s">
        <v>1024</v>
      </c>
      <c r="D202" s="81" t="s">
        <v>1025</v>
      </c>
    </row>
    <row r="203" spans="2:4" x14ac:dyDescent="0.25">
      <c r="B203" s="187" t="s">
        <v>1026</v>
      </c>
      <c r="C203" s="81" t="s">
        <v>1027</v>
      </c>
      <c r="D203" s="81" t="s">
        <v>1028</v>
      </c>
    </row>
    <row r="204" spans="2:4" x14ac:dyDescent="0.25">
      <c r="B204" s="187" t="s">
        <v>1029</v>
      </c>
      <c r="C204" s="81" t="s">
        <v>1030</v>
      </c>
      <c r="D204" s="81" t="s">
        <v>1031</v>
      </c>
    </row>
    <row r="205" spans="2:4" x14ac:dyDescent="0.25">
      <c r="B205" s="187" t="s">
        <v>1032</v>
      </c>
      <c r="C205" s="81" t="s">
        <v>1033</v>
      </c>
      <c r="D205" s="81" t="s">
        <v>1034</v>
      </c>
    </row>
    <row r="206" spans="2:4" x14ac:dyDescent="0.25">
      <c r="B206" s="187" t="s">
        <v>1035</v>
      </c>
      <c r="C206" s="81" t="s">
        <v>1036</v>
      </c>
      <c r="D206" s="81" t="s">
        <v>1037</v>
      </c>
    </row>
    <row r="207" spans="2:4" x14ac:dyDescent="0.25">
      <c r="B207" s="187" t="s">
        <v>1038</v>
      </c>
      <c r="C207" s="81" t="s">
        <v>1039</v>
      </c>
      <c r="D207" s="81" t="s">
        <v>1040</v>
      </c>
    </row>
    <row r="208" spans="2:4" x14ac:dyDescent="0.25">
      <c r="B208" s="187" t="s">
        <v>1041</v>
      </c>
      <c r="C208" s="81" t="s">
        <v>1042</v>
      </c>
      <c r="D208" s="81" t="s">
        <v>1043</v>
      </c>
    </row>
    <row r="209" spans="2:4" x14ac:dyDescent="0.25">
      <c r="B209" s="187" t="s">
        <v>1044</v>
      </c>
      <c r="C209" s="81" t="s">
        <v>1045</v>
      </c>
      <c r="D209" s="81" t="s">
        <v>1046</v>
      </c>
    </row>
    <row r="210" spans="2:4" x14ac:dyDescent="0.25">
      <c r="B210" s="187" t="s">
        <v>1047</v>
      </c>
      <c r="C210" s="81" t="s">
        <v>1048</v>
      </c>
      <c r="D210" s="81" t="s">
        <v>1049</v>
      </c>
    </row>
    <row r="211" spans="2:4" x14ac:dyDescent="0.25">
      <c r="B211" s="187" t="s">
        <v>1050</v>
      </c>
      <c r="C211" s="81" t="s">
        <v>1051</v>
      </c>
      <c r="D211" s="81" t="s">
        <v>1052</v>
      </c>
    </row>
    <row r="212" spans="2:4" x14ac:dyDescent="0.25">
      <c r="B212" s="187" t="s">
        <v>1053</v>
      </c>
      <c r="C212" s="81" t="s">
        <v>1054</v>
      </c>
      <c r="D212" s="81" t="s">
        <v>1055</v>
      </c>
    </row>
    <row r="213" spans="2:4" x14ac:dyDescent="0.25">
      <c r="B213" s="187" t="s">
        <v>1056</v>
      </c>
      <c r="C213" s="81" t="s">
        <v>1057</v>
      </c>
      <c r="D213" s="81" t="s">
        <v>1058</v>
      </c>
    </row>
    <row r="214" spans="2:4" x14ac:dyDescent="0.25">
      <c r="B214" s="187" t="s">
        <v>1059</v>
      </c>
      <c r="C214" s="81" t="s">
        <v>1060</v>
      </c>
      <c r="D214" s="81" t="s">
        <v>1061</v>
      </c>
    </row>
    <row r="215" spans="2:4" x14ac:dyDescent="0.25">
      <c r="B215" s="187" t="s">
        <v>1062</v>
      </c>
      <c r="C215" s="81" t="s">
        <v>1063</v>
      </c>
      <c r="D215" s="81" t="s">
        <v>1064</v>
      </c>
    </row>
    <row r="216" spans="2:4" x14ac:dyDescent="0.25">
      <c r="B216" s="187" t="s">
        <v>1065</v>
      </c>
      <c r="C216" s="81" t="s">
        <v>1066</v>
      </c>
      <c r="D216" s="81" t="s">
        <v>1067</v>
      </c>
    </row>
    <row r="217" spans="2:4" x14ac:dyDescent="0.25">
      <c r="B217" s="187" t="s">
        <v>1068</v>
      </c>
      <c r="C217" s="81" t="s">
        <v>1069</v>
      </c>
      <c r="D217" s="81" t="s">
        <v>1070</v>
      </c>
    </row>
    <row r="218" spans="2:4" x14ac:dyDescent="0.25">
      <c r="B218" s="187" t="s">
        <v>1071</v>
      </c>
      <c r="C218" s="81" t="s">
        <v>1072</v>
      </c>
      <c r="D218" s="81" t="s">
        <v>1073</v>
      </c>
    </row>
    <row r="219" spans="2:4" x14ac:dyDescent="0.25">
      <c r="B219" s="187" t="s">
        <v>1074</v>
      </c>
      <c r="C219" s="81" t="s">
        <v>1075</v>
      </c>
      <c r="D219" s="81" t="s">
        <v>1076</v>
      </c>
    </row>
    <row r="220" spans="2:4" x14ac:dyDescent="0.25">
      <c r="B220" s="187" t="s">
        <v>1077</v>
      </c>
      <c r="C220" s="81" t="s">
        <v>1078</v>
      </c>
      <c r="D220" s="81" t="s">
        <v>1079</v>
      </c>
    </row>
    <row r="221" spans="2:4" x14ac:dyDescent="0.25">
      <c r="B221" s="187" t="s">
        <v>1080</v>
      </c>
      <c r="C221" s="81" t="s">
        <v>1081</v>
      </c>
      <c r="D221" s="81" t="s">
        <v>1082</v>
      </c>
    </row>
    <row r="222" spans="2:4" x14ac:dyDescent="0.25">
      <c r="B222" s="187" t="s">
        <v>1083</v>
      </c>
      <c r="C222" s="81" t="s">
        <v>1084</v>
      </c>
      <c r="D222" s="81" t="s">
        <v>1085</v>
      </c>
    </row>
    <row r="223" spans="2:4" x14ac:dyDescent="0.25">
      <c r="B223" s="187" t="s">
        <v>1086</v>
      </c>
      <c r="C223" s="81" t="s">
        <v>1087</v>
      </c>
      <c r="D223" s="81" t="s">
        <v>1088</v>
      </c>
    </row>
    <row r="224" spans="2:4" x14ac:dyDescent="0.25">
      <c r="B224" s="187" t="s">
        <v>1089</v>
      </c>
      <c r="C224" s="81" t="s">
        <v>1090</v>
      </c>
      <c r="D224" s="81" t="s">
        <v>1091</v>
      </c>
    </row>
    <row r="225" spans="2:4" x14ac:dyDescent="0.25">
      <c r="B225" s="187" t="s">
        <v>1092</v>
      </c>
      <c r="C225" s="81" t="s">
        <v>1093</v>
      </c>
      <c r="D225" s="81" t="s">
        <v>1094</v>
      </c>
    </row>
    <row r="226" spans="2:4" x14ac:dyDescent="0.25">
      <c r="B226" s="187" t="s">
        <v>1095</v>
      </c>
      <c r="C226" s="81" t="s">
        <v>1096</v>
      </c>
      <c r="D226" s="81" t="s">
        <v>1097</v>
      </c>
    </row>
    <row r="227" spans="2:4" x14ac:dyDescent="0.25">
      <c r="B227" s="187" t="s">
        <v>1098</v>
      </c>
      <c r="C227" s="81" t="s">
        <v>1099</v>
      </c>
      <c r="D227" s="81" t="s">
        <v>1100</v>
      </c>
    </row>
    <row r="228" spans="2:4" x14ac:dyDescent="0.25">
      <c r="B228" s="187" t="s">
        <v>1101</v>
      </c>
      <c r="C228" s="81" t="s">
        <v>1102</v>
      </c>
      <c r="D228" s="81" t="s">
        <v>1103</v>
      </c>
    </row>
    <row r="229" spans="2:4" x14ac:dyDescent="0.25">
      <c r="B229" s="187" t="s">
        <v>1104</v>
      </c>
      <c r="C229" s="81" t="s">
        <v>1105</v>
      </c>
      <c r="D229" s="81" t="s">
        <v>1106</v>
      </c>
    </row>
    <row r="230" spans="2:4" x14ac:dyDescent="0.25">
      <c r="B230" s="187" t="s">
        <v>1107</v>
      </c>
      <c r="C230" s="81" t="s">
        <v>1108</v>
      </c>
      <c r="D230" s="81" t="s">
        <v>1109</v>
      </c>
    </row>
    <row r="231" spans="2:4" x14ac:dyDescent="0.25">
      <c r="B231" s="187" t="s">
        <v>1110</v>
      </c>
      <c r="C231" s="81" t="s">
        <v>1111</v>
      </c>
      <c r="D231" s="81" t="s">
        <v>1112</v>
      </c>
    </row>
    <row r="232" spans="2:4" x14ac:dyDescent="0.25">
      <c r="B232" s="187" t="s">
        <v>1113</v>
      </c>
      <c r="C232" s="81" t="s">
        <v>1114</v>
      </c>
      <c r="D232" s="81" t="s">
        <v>1115</v>
      </c>
    </row>
    <row r="233" spans="2:4" x14ac:dyDescent="0.25">
      <c r="B233" s="187" t="s">
        <v>1116</v>
      </c>
      <c r="C233" s="81" t="s">
        <v>1117</v>
      </c>
      <c r="D233" s="81" t="s">
        <v>1118</v>
      </c>
    </row>
    <row r="234" spans="2:4" x14ac:dyDescent="0.25">
      <c r="B234" s="187" t="s">
        <v>1119</v>
      </c>
      <c r="C234" s="81" t="s">
        <v>1120</v>
      </c>
      <c r="D234" s="81" t="s">
        <v>1121</v>
      </c>
    </row>
    <row r="235" spans="2:4" x14ac:dyDescent="0.25">
      <c r="B235" s="187" t="s">
        <v>1122</v>
      </c>
      <c r="C235" s="81" t="s">
        <v>1123</v>
      </c>
      <c r="D235" s="81" t="s">
        <v>1124</v>
      </c>
    </row>
    <row r="236" spans="2:4" x14ac:dyDescent="0.25">
      <c r="B236" s="187" t="s">
        <v>1125</v>
      </c>
      <c r="C236" s="81" t="s">
        <v>1126</v>
      </c>
      <c r="D236" s="81" t="s">
        <v>1127</v>
      </c>
    </row>
    <row r="237" spans="2:4" x14ac:dyDescent="0.25">
      <c r="B237" s="187" t="s">
        <v>1128</v>
      </c>
      <c r="C237" s="81" t="s">
        <v>1129</v>
      </c>
      <c r="D237" s="81" t="s">
        <v>1130</v>
      </c>
    </row>
    <row r="238" spans="2:4" x14ac:dyDescent="0.25">
      <c r="B238" s="187" t="s">
        <v>1131</v>
      </c>
      <c r="C238" s="81" t="s">
        <v>1132</v>
      </c>
      <c r="D238" s="81" t="s">
        <v>1133</v>
      </c>
    </row>
    <row r="239" spans="2:4" x14ac:dyDescent="0.25">
      <c r="B239" s="187" t="s">
        <v>1134</v>
      </c>
      <c r="C239" s="81" t="s">
        <v>1135</v>
      </c>
      <c r="D239" s="81" t="s">
        <v>1136</v>
      </c>
    </row>
    <row r="240" spans="2:4" x14ac:dyDescent="0.25">
      <c r="B240" s="187" t="s">
        <v>1137</v>
      </c>
      <c r="C240" s="81" t="s">
        <v>1138</v>
      </c>
      <c r="D240" s="81" t="s">
        <v>1139</v>
      </c>
    </row>
    <row r="241" spans="2:4" x14ac:dyDescent="0.25">
      <c r="B241" s="187" t="s">
        <v>1140</v>
      </c>
      <c r="C241" s="81" t="s">
        <v>1141</v>
      </c>
      <c r="D241" s="81" t="s">
        <v>1142</v>
      </c>
    </row>
    <row r="242" spans="2:4" x14ac:dyDescent="0.25">
      <c r="B242" s="187" t="s">
        <v>1143</v>
      </c>
      <c r="C242" s="81" t="s">
        <v>1144</v>
      </c>
      <c r="D242" s="81" t="s">
        <v>1145</v>
      </c>
    </row>
    <row r="243" spans="2:4" x14ac:dyDescent="0.25">
      <c r="B243" s="187" t="s">
        <v>1146</v>
      </c>
      <c r="C243" s="81" t="s">
        <v>1147</v>
      </c>
      <c r="D243" s="81" t="s">
        <v>1148</v>
      </c>
    </row>
    <row r="244" spans="2:4" x14ac:dyDescent="0.25">
      <c r="B244" s="187" t="s">
        <v>1149</v>
      </c>
      <c r="C244" s="81" t="s">
        <v>1150</v>
      </c>
      <c r="D244" s="81" t="s">
        <v>1151</v>
      </c>
    </row>
    <row r="245" spans="2:4" x14ac:dyDescent="0.25">
      <c r="B245" s="187" t="s">
        <v>1152</v>
      </c>
      <c r="C245" s="81" t="s">
        <v>1153</v>
      </c>
      <c r="D245" s="81" t="s">
        <v>1154</v>
      </c>
    </row>
    <row r="246" spans="2:4" x14ac:dyDescent="0.25">
      <c r="B246" s="187" t="s">
        <v>1155</v>
      </c>
      <c r="C246" s="81" t="s">
        <v>1156</v>
      </c>
      <c r="D246" s="81" t="s">
        <v>1157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2" t="s">
        <v>1158</v>
      </c>
      <c r="M1" s="12" t="s">
        <v>1159</v>
      </c>
      <c r="N1" s="16">
        <f>SUM($M$3:$M$71)</f>
        <v>3</v>
      </c>
      <c r="P1" s="16">
        <f>SUM($O$3:$O$71)</f>
        <v>21</v>
      </c>
    </row>
    <row r="2" spans="1:16" x14ac:dyDescent="0.25">
      <c r="A2" s="12" t="s">
        <v>1160</v>
      </c>
      <c r="B2" s="12" t="s">
        <v>1161</v>
      </c>
      <c r="C2" s="12" t="s">
        <v>803</v>
      </c>
      <c r="D2" s="12" t="s">
        <v>806</v>
      </c>
      <c r="E2" s="12" t="s">
        <v>111</v>
      </c>
      <c r="F2" s="12" t="s">
        <v>791</v>
      </c>
      <c r="G2" s="12" t="s">
        <v>794</v>
      </c>
      <c r="H2" s="12" t="s">
        <v>782</v>
      </c>
      <c r="I2" s="12" t="s">
        <v>1162</v>
      </c>
      <c r="M2" s="12" t="s">
        <v>1163</v>
      </c>
      <c r="N2" s="12" t="s">
        <v>1164</v>
      </c>
      <c r="O2" s="12" t="s">
        <v>1165</v>
      </c>
      <c r="P2" s="12" t="s">
        <v>1166</v>
      </c>
    </row>
    <row r="3" spans="1:16" x14ac:dyDescent="0.25">
      <c r="A3" s="14" t="str">
        <f>IF(1&gt;$N$1,"",INDEX(lr_bu,MATCH(1,$N$3:$N$71,0)))</f>
        <v>BU-A</v>
      </c>
      <c r="B3" s="14" t="str">
        <f>IF(1&gt;$P$1,"",INDEX(lr_state,MATCH(1,$P$3:$P$71,0)))</f>
        <v>AZ</v>
      </c>
      <c r="C3" s="14" t="s">
        <v>169</v>
      </c>
      <c r="D3" s="14" t="s">
        <v>170</v>
      </c>
      <c r="E3" s="14" t="s">
        <v>127</v>
      </c>
      <c r="F3" s="14" t="s">
        <v>77</v>
      </c>
      <c r="G3" s="14" t="s">
        <v>69</v>
      </c>
      <c r="H3" s="14" t="s">
        <v>80</v>
      </c>
      <c r="I3" s="14" t="s">
        <v>338</v>
      </c>
      <c r="M3" s="14">
        <f>IF(Inputs!$A$7="",0,1)</f>
        <v>1</v>
      </c>
      <c r="N3" s="14">
        <f>IF($M3=0,0,SUM($M$3:$M3))</f>
        <v>1</v>
      </c>
      <c r="O3" s="14">
        <f>IF(Inputs!$B$7="",0,1)</f>
        <v>1</v>
      </c>
      <c r="P3" s="14">
        <f>IF($O3=0,0,SUM($O$3:$O3))</f>
        <v>1</v>
      </c>
    </row>
    <row r="4" spans="1:16" x14ac:dyDescent="0.25">
      <c r="A4" s="14" t="str">
        <f>IF(2&gt;$N$1,"",INDEX(lr_bu,MATCH(2,$N$3:$N$71,0)))</f>
        <v>BU-B</v>
      </c>
      <c r="B4" s="14" t="str">
        <f>IF(2&gt;$P$1,"",INDEX(lr_state,MATCH(2,$P$3:$P$71,0)))</f>
        <v>CA</v>
      </c>
      <c r="C4" s="14" t="s">
        <v>172</v>
      </c>
      <c r="D4" s="14" t="s">
        <v>173</v>
      </c>
      <c r="E4" s="14" t="s">
        <v>149</v>
      </c>
      <c r="F4" s="14" t="s">
        <v>74</v>
      </c>
      <c r="G4" s="14" t="s">
        <v>399</v>
      </c>
      <c r="H4" s="14" t="s">
        <v>1167</v>
      </c>
      <c r="I4" s="14" t="str">
        <f t="shared" ref="I4:I35" si="0">IF($A3="","",$A3)</f>
        <v>BU-A</v>
      </c>
      <c r="M4" s="14">
        <f>IF(Inputs!$A$8="",0,IF(COUNTIF(Inputs!$A$7:$A$7,Inputs!$A$8)=0,1,0))</f>
        <v>0</v>
      </c>
      <c r="N4" s="14">
        <f>IF($M4=0,0,SUM($M$3:$M4))</f>
        <v>0</v>
      </c>
      <c r="O4" s="14">
        <f>IF(Inputs!$B$8="",0,IF(COUNTIF(Inputs!$B$7:$B$7,Inputs!$B$8)=0,1,0))</f>
        <v>1</v>
      </c>
      <c r="P4" s="14">
        <f>IF($O4=0,0,SUM($O$3:$O4))</f>
        <v>2</v>
      </c>
    </row>
    <row r="5" spans="1:16" x14ac:dyDescent="0.25">
      <c r="A5" s="14" t="str">
        <f>IF(3&gt;$N$1,"",INDEX(lr_bu,MATCH(3,$N$3:$N$71,0)))</f>
        <v>BU-C</v>
      </c>
      <c r="B5" s="14" t="str">
        <f>IF(3&gt;$P$1,"",INDEX(lr_state,MATCH(3,$P$3:$P$71,0)))</f>
        <v>CO</v>
      </c>
      <c r="G5" s="14" t="s">
        <v>400</v>
      </c>
      <c r="I5" s="14" t="str">
        <f t="shared" si="0"/>
        <v>BU-B</v>
      </c>
      <c r="M5" s="14">
        <f>IF(Inputs!$A$9="",0,IF(COUNTIF(Inputs!$A$7:$A$8,Inputs!$A$9)=0,1,0))</f>
        <v>0</v>
      </c>
      <c r="N5" s="14">
        <f>IF($M5=0,0,SUM($M$3:$M5))</f>
        <v>0</v>
      </c>
      <c r="O5" s="14">
        <f>IF(Inputs!$B$9="",0,IF(COUNTIF(Inputs!$B$7:$B$8,Inputs!$B$9)=0,1,0))</f>
        <v>1</v>
      </c>
      <c r="P5" s="14">
        <f>IF($O5=0,0,SUM($O$3:$O5))</f>
        <v>3</v>
      </c>
    </row>
    <row r="6" spans="1:16" x14ac:dyDescent="0.25">
      <c r="A6" s="14" t="str">
        <f>IF(4&gt;$N$1,"",INDEX(lr_bu,MATCH(4,$N$3:$N$71,0)))</f>
        <v/>
      </c>
      <c r="B6" s="14" t="str">
        <f>IF(4&gt;$P$1,"",INDEX(lr_state,MATCH(4,$P$3:$P$71,0)))</f>
        <v>CT</v>
      </c>
      <c r="G6" s="14" t="s">
        <v>401</v>
      </c>
      <c r="I6" s="14" t="str">
        <f t="shared" si="0"/>
        <v>BU-C</v>
      </c>
      <c r="M6" s="14">
        <f>IF(Inputs!$A$10="",0,IF(COUNTIF(Inputs!$A$7:$A$9,Inputs!$A$10)=0,1,0))</f>
        <v>0</v>
      </c>
      <c r="N6" s="14">
        <f>IF($M6=0,0,SUM($M$3:$M6))</f>
        <v>0</v>
      </c>
      <c r="O6" s="14">
        <f>IF(Inputs!$B$10="",0,IF(COUNTIF(Inputs!$B$7:$B$9,Inputs!$B$10)=0,1,0))</f>
        <v>1</v>
      </c>
      <c r="P6" s="14">
        <f>IF($O6=0,0,SUM($O$3:$O6))</f>
        <v>4</v>
      </c>
    </row>
    <row r="7" spans="1:16" x14ac:dyDescent="0.25">
      <c r="A7" s="14" t="str">
        <f>IF(5&gt;$N$1,"",INDEX(lr_bu,MATCH(5,$N$3:$N$71,0)))</f>
        <v/>
      </c>
      <c r="B7" s="14" t="str">
        <f>IF(5&gt;$P$1,"",INDEX(lr_state,MATCH(5,$P$3:$P$71,0)))</f>
        <v>FL</v>
      </c>
      <c r="G7" s="14" t="s">
        <v>402</v>
      </c>
      <c r="I7" s="14" t="str">
        <f t="shared" si="0"/>
        <v/>
      </c>
      <c r="M7" s="14">
        <f>IF(Inputs!$A$11="",0,IF(COUNTIF(Inputs!$A$7:$A$10,Inputs!$A$11)=0,1,0))</f>
        <v>0</v>
      </c>
      <c r="N7" s="14">
        <f>IF($M7=0,0,SUM($M$3:$M7))</f>
        <v>0</v>
      </c>
      <c r="O7" s="14">
        <f>IF(Inputs!$B$11="",0,IF(COUNTIF(Inputs!$B$7:$B$10,Inputs!$B$11)=0,1,0))</f>
        <v>1</v>
      </c>
      <c r="P7" s="14">
        <f>IF($O7=0,0,SUM($O$3:$O7))</f>
        <v>5</v>
      </c>
    </row>
    <row r="8" spans="1:16" x14ac:dyDescent="0.25">
      <c r="A8" s="14" t="str">
        <f>IF(6&gt;$N$1,"",INDEX(lr_bu,MATCH(6,$N$3:$N$71,0)))</f>
        <v/>
      </c>
      <c r="B8" s="14" t="str">
        <f>IF(6&gt;$P$1,"",INDEX(lr_state,MATCH(6,$P$3:$P$71,0)))</f>
        <v>GA</v>
      </c>
      <c r="I8" s="14" t="str">
        <f t="shared" si="0"/>
        <v/>
      </c>
      <c r="M8" s="14">
        <f>IF(Inputs!$A$12="",0,IF(COUNTIF(Inputs!$A$7:$A$11,Inputs!$A$12)=0,1,0))</f>
        <v>0</v>
      </c>
      <c r="N8" s="14">
        <f>IF($M8=0,0,SUM($M$3:$M8))</f>
        <v>0</v>
      </c>
      <c r="O8" s="14">
        <f>IF(Inputs!$B$12="",0,IF(COUNTIF(Inputs!$B$7:$B$11,Inputs!$B$12)=0,1,0))</f>
        <v>1</v>
      </c>
      <c r="P8" s="14">
        <f>IF($O8=0,0,SUM($O$3:$O8))</f>
        <v>6</v>
      </c>
    </row>
    <row r="9" spans="1:16" x14ac:dyDescent="0.25">
      <c r="A9" s="14" t="str">
        <f>IF(7&gt;$N$1,"",INDEX(lr_bu,MATCH(7,$N$3:$N$71,0)))</f>
        <v/>
      </c>
      <c r="B9" s="14" t="str">
        <f>IF(7&gt;$P$1,"",INDEX(lr_state,MATCH(7,$P$3:$P$71,0)))</f>
        <v>IL</v>
      </c>
      <c r="I9" s="14" t="str">
        <f t="shared" si="0"/>
        <v/>
      </c>
      <c r="M9" s="14">
        <f>IF(Inputs!$A$13="",0,IF(COUNTIF(Inputs!$A$7:$A$12,Inputs!$A$13)=0,1,0))</f>
        <v>0</v>
      </c>
      <c r="N9" s="14">
        <f>IF($M9=0,0,SUM($M$3:$M9))</f>
        <v>0</v>
      </c>
      <c r="O9" s="14">
        <f>IF(Inputs!$B$13="",0,IF(COUNTIF(Inputs!$B$7:$B$12,Inputs!$B$13)=0,1,0))</f>
        <v>1</v>
      </c>
      <c r="P9" s="14">
        <f>IF($O9=0,0,SUM($O$3:$O9))</f>
        <v>7</v>
      </c>
    </row>
    <row r="10" spans="1:16" x14ac:dyDescent="0.25">
      <c r="A10" s="14" t="str">
        <f>IF(8&gt;$N$1,"",INDEX(lr_bu,MATCH(8,$N$3:$N$71,0)))</f>
        <v/>
      </c>
      <c r="B10" s="14" t="str">
        <f>IF(8&gt;$P$1,"",INDEX(lr_state,MATCH(8,$P$3:$P$71,0)))</f>
        <v>IN</v>
      </c>
      <c r="I10" s="14" t="str">
        <f t="shared" si="0"/>
        <v/>
      </c>
      <c r="M10" s="14">
        <f>IF(Inputs!$A$14="",0,IF(COUNTIF(Inputs!$A$7:$A$13,Inputs!$A$14)=0,1,0))</f>
        <v>0</v>
      </c>
      <c r="N10" s="14">
        <f>IF($M10=0,0,SUM($M$3:$M10))</f>
        <v>0</v>
      </c>
      <c r="O10" s="14">
        <f>IF(Inputs!$B$14="",0,IF(COUNTIF(Inputs!$B$7:$B$13,Inputs!$B$14)=0,1,0))</f>
        <v>1</v>
      </c>
      <c r="P10" s="14">
        <f>IF($O10=0,0,SUM($O$3:$O10))</f>
        <v>8</v>
      </c>
    </row>
    <row r="11" spans="1:16" x14ac:dyDescent="0.25">
      <c r="A11" s="14" t="str">
        <f>IF(9&gt;$N$1,"",INDEX(lr_bu,MATCH(9,$N$3:$N$71,0)))</f>
        <v/>
      </c>
      <c r="B11" s="14" t="str">
        <f>IF(9&gt;$P$1,"",INDEX(lr_state,MATCH(9,$P$3:$P$71,0)))</f>
        <v>IA</v>
      </c>
      <c r="I11" s="14" t="str">
        <f t="shared" si="0"/>
        <v/>
      </c>
      <c r="M11" s="14">
        <f>IF(Inputs!$A$15="",0,IF(COUNTIF(Inputs!$A$7:$A$14,Inputs!$A$15)=0,1,0))</f>
        <v>0</v>
      </c>
      <c r="N11" s="14">
        <f>IF($M11=0,0,SUM($M$3:$M11))</f>
        <v>0</v>
      </c>
      <c r="O11" s="14">
        <f>IF(Inputs!$B$15="",0,IF(COUNTIF(Inputs!$B$7:$B$14,Inputs!$B$15)=0,1,0))</f>
        <v>1</v>
      </c>
      <c r="P11" s="14">
        <f>IF($O11=0,0,SUM($O$3:$O11))</f>
        <v>9</v>
      </c>
    </row>
    <row r="12" spans="1:16" x14ac:dyDescent="0.25">
      <c r="A12" s="14" t="str">
        <f>IF(10&gt;$N$1,"",INDEX(lr_bu,MATCH(10,$N$3:$N$71,0)))</f>
        <v/>
      </c>
      <c r="B12" s="14" t="str">
        <f>IF(10&gt;$P$1,"",INDEX(lr_state,MATCH(10,$P$3:$P$71,0)))</f>
        <v>KY</v>
      </c>
      <c r="I12" s="14" t="str">
        <f t="shared" si="0"/>
        <v/>
      </c>
      <c r="M12" s="14">
        <f>IF(Inputs!$A$16="",0,IF(COUNTIF(Inputs!$A$7:$A$15,Inputs!$A$16)=0,1,0))</f>
        <v>0</v>
      </c>
      <c r="N12" s="14">
        <f>IF($M12=0,0,SUM($M$3:$M12))</f>
        <v>0</v>
      </c>
      <c r="O12" s="14">
        <f>IF(Inputs!$B$16="",0,IF(COUNTIF(Inputs!$B$7:$B$15,Inputs!$B$16)=0,1,0))</f>
        <v>1</v>
      </c>
      <c r="P12" s="14">
        <f>IF($O12=0,0,SUM($O$3:$O12))</f>
        <v>10</v>
      </c>
    </row>
    <row r="13" spans="1:16" x14ac:dyDescent="0.25">
      <c r="A13" s="14" t="str">
        <f>IF(11&gt;$N$1,"",INDEX(lr_bu,MATCH(11,$N$3:$N$71,0)))</f>
        <v/>
      </c>
      <c r="B13" s="14" t="str">
        <f>IF(11&gt;$P$1,"",INDEX(lr_state,MATCH(11,$P$3:$P$71,0)))</f>
        <v>MD</v>
      </c>
      <c r="I13" s="14" t="str">
        <f t="shared" si="0"/>
        <v/>
      </c>
      <c r="M13" s="14">
        <f>IF(Inputs!$A$17="",0,IF(COUNTIF(Inputs!$A$7:$A$16,Inputs!$A$17)=0,1,0))</f>
        <v>0</v>
      </c>
      <c r="N13" s="14">
        <f>IF($M13=0,0,SUM($M$3:$M13))</f>
        <v>0</v>
      </c>
      <c r="O13" s="14">
        <f>IF(Inputs!$B$17="",0,IF(COUNTIF(Inputs!$B$7:$B$16,Inputs!$B$17)=0,1,0))</f>
        <v>1</v>
      </c>
      <c r="P13" s="14">
        <f>IF($O13=0,0,SUM($O$3:$O13))</f>
        <v>11</v>
      </c>
    </row>
    <row r="14" spans="1:16" x14ac:dyDescent="0.25">
      <c r="A14" s="14" t="str">
        <f>IF(12&gt;$N$1,"",INDEX(lr_bu,MATCH(12,$N$3:$N$71,0)))</f>
        <v/>
      </c>
      <c r="B14" s="14" t="str">
        <f>IF(12&gt;$P$1,"",INDEX(lr_state,MATCH(12,$P$3:$P$71,0)))</f>
        <v>MI</v>
      </c>
      <c r="I14" s="14" t="str">
        <f t="shared" si="0"/>
        <v/>
      </c>
      <c r="M14" s="14">
        <f>IF(Inputs!$A$18="",0,IF(COUNTIF(Inputs!$A$7:$A$17,Inputs!$A$18)=0,1,0))</f>
        <v>0</v>
      </c>
      <c r="N14" s="14">
        <f>IF($M14=0,0,SUM($M$3:$M14))</f>
        <v>0</v>
      </c>
      <c r="O14" s="14">
        <f>IF(Inputs!$B$18="",0,IF(COUNTIF(Inputs!$B$7:$B$17,Inputs!$B$18)=0,1,0))</f>
        <v>1</v>
      </c>
      <c r="P14" s="14">
        <f>IF($O14=0,0,SUM($O$3:$O14))</f>
        <v>12</v>
      </c>
    </row>
    <row r="15" spans="1:16" x14ac:dyDescent="0.25">
      <c r="A15" s="14" t="str">
        <f>IF(13&gt;$N$1,"",INDEX(lr_bu,MATCH(13,$N$3:$N$71,0)))</f>
        <v/>
      </c>
      <c r="B15" s="14" t="str">
        <f>IF(13&gt;$P$1,"",INDEX(lr_state,MATCH(13,$P$3:$P$71,0)))</f>
        <v>MN</v>
      </c>
      <c r="I15" s="14" t="str">
        <f t="shared" si="0"/>
        <v/>
      </c>
      <c r="M15" s="14">
        <f>IF(Inputs!$A$19="",0,IF(COUNTIF(Inputs!$A$7:$A$18,Inputs!$A$19)=0,1,0))</f>
        <v>0</v>
      </c>
      <c r="N15" s="14">
        <f>IF($M15=0,0,SUM($M$3:$M15))</f>
        <v>0</v>
      </c>
      <c r="O15" s="14">
        <f>IF(Inputs!$B$19="",0,IF(COUNTIF(Inputs!$B$7:$B$18,Inputs!$B$19)=0,1,0))</f>
        <v>1</v>
      </c>
      <c r="P15" s="14">
        <f>IF($O15=0,0,SUM($O$3:$O15))</f>
        <v>13</v>
      </c>
    </row>
    <row r="16" spans="1:16" x14ac:dyDescent="0.25">
      <c r="A16" s="14" t="str">
        <f>IF(14&gt;$N$1,"",INDEX(lr_bu,MATCH(14,$N$3:$N$71,0)))</f>
        <v/>
      </c>
      <c r="B16" s="14" t="str">
        <f>IF(14&gt;$P$1,"",INDEX(lr_state,MATCH(14,$P$3:$P$71,0)))</f>
        <v>MO</v>
      </c>
      <c r="I16" s="14" t="str">
        <f t="shared" si="0"/>
        <v/>
      </c>
      <c r="M16" s="14">
        <f>IF(Inputs!$A$20="",0,IF(COUNTIF(Inputs!$A$7:$A$19,Inputs!$A$20)=0,1,0))</f>
        <v>0</v>
      </c>
      <c r="N16" s="14">
        <f>IF($M16=0,0,SUM($M$3:$M16))</f>
        <v>0</v>
      </c>
      <c r="O16" s="14">
        <f>IF(Inputs!$B$20="",0,IF(COUNTIF(Inputs!$B$7:$B$19,Inputs!$B$20)=0,1,0))</f>
        <v>1</v>
      </c>
      <c r="P16" s="14">
        <f>IF($O16=0,0,SUM($O$3:$O16))</f>
        <v>14</v>
      </c>
    </row>
    <row r="17" spans="1:16" x14ac:dyDescent="0.25">
      <c r="A17" s="14" t="str">
        <f>IF(15&gt;$N$1,"",INDEX(lr_bu,MATCH(15,$N$3:$N$71,0)))</f>
        <v/>
      </c>
      <c r="B17" s="14" t="str">
        <f>IF(15&gt;$P$1,"",INDEX(lr_state,MATCH(15,$P$3:$P$71,0)))</f>
        <v>NC</v>
      </c>
      <c r="I17" s="14" t="str">
        <f t="shared" si="0"/>
        <v/>
      </c>
      <c r="M17" s="14">
        <f>IF(Inputs!$A$21="",0,IF(COUNTIF(Inputs!$A$7:$A$20,Inputs!$A$21)=0,1,0))</f>
        <v>0</v>
      </c>
      <c r="N17" s="14">
        <f>IF($M17=0,0,SUM($M$3:$M17))</f>
        <v>0</v>
      </c>
      <c r="O17" s="14">
        <f>IF(Inputs!$B$21="",0,IF(COUNTIF(Inputs!$B$7:$B$20,Inputs!$B$21)=0,1,0))</f>
        <v>1</v>
      </c>
      <c r="P17" s="14">
        <f>IF($O17=0,0,SUM($O$3:$O17))</f>
        <v>15</v>
      </c>
    </row>
    <row r="18" spans="1:16" x14ac:dyDescent="0.25">
      <c r="A18" s="14" t="str">
        <f>IF(16&gt;$N$1,"",INDEX(lr_bu,MATCH(16,$N$3:$N$71,0)))</f>
        <v/>
      </c>
      <c r="B18" s="14" t="str">
        <f>IF(16&gt;$P$1,"",INDEX(lr_state,MATCH(16,$P$3:$P$71,0)))</f>
        <v>NJ</v>
      </c>
      <c r="I18" s="14" t="str">
        <f t="shared" si="0"/>
        <v/>
      </c>
      <c r="M18" s="14">
        <f>IF(Inputs!$A$22="",0,IF(COUNTIF(Inputs!$A$7:$A$21,Inputs!$A$22)=0,1,0))</f>
        <v>0</v>
      </c>
      <c r="N18" s="14">
        <f>IF($M18=0,0,SUM($M$3:$M18))</f>
        <v>0</v>
      </c>
      <c r="O18" s="14">
        <f>IF(Inputs!$B$22="",0,IF(COUNTIF(Inputs!$B$7:$B$21,Inputs!$B$22)=0,1,0))</f>
        <v>1</v>
      </c>
      <c r="P18" s="14">
        <f>IF($O18=0,0,SUM($O$3:$O18))</f>
        <v>16</v>
      </c>
    </row>
    <row r="19" spans="1:16" x14ac:dyDescent="0.25">
      <c r="A19" s="14" t="str">
        <f>IF(17&gt;$N$1,"",INDEX(lr_bu,MATCH(17,$N$3:$N$71,0)))</f>
        <v/>
      </c>
      <c r="B19" s="14" t="str">
        <f>IF(17&gt;$P$1,"",INDEX(lr_state,MATCH(17,$P$3:$P$71,0)))</f>
        <v>NY</v>
      </c>
      <c r="I19" s="14" t="str">
        <f t="shared" si="0"/>
        <v/>
      </c>
      <c r="M19" s="14">
        <f>IF(Inputs!$A$23="",0,IF(COUNTIF(Inputs!$A$7:$A$22,Inputs!$A$23)=0,1,0))</f>
        <v>0</v>
      </c>
      <c r="N19" s="14">
        <f>IF($M19=0,0,SUM($M$3:$M19))</f>
        <v>0</v>
      </c>
      <c r="O19" s="14">
        <f>IF(Inputs!$B$23="",0,IF(COUNTIF(Inputs!$B$7:$B$22,Inputs!$B$23)=0,1,0))</f>
        <v>1</v>
      </c>
      <c r="P19" s="14">
        <f>IF($O19=0,0,SUM($O$3:$O19))</f>
        <v>17</v>
      </c>
    </row>
    <row r="20" spans="1:16" x14ac:dyDescent="0.25">
      <c r="A20" s="14" t="str">
        <f>IF(18&gt;$N$1,"",INDEX(lr_bu,MATCH(18,$N$3:$N$71,0)))</f>
        <v/>
      </c>
      <c r="B20" s="14" t="str">
        <f>IF(18&gt;$P$1,"",INDEX(lr_state,MATCH(18,$P$3:$P$71,0)))</f>
        <v>OH</v>
      </c>
      <c r="I20" s="14" t="str">
        <f t="shared" si="0"/>
        <v/>
      </c>
      <c r="M20" s="14">
        <f>IF(Inputs!$A$24="",0,IF(COUNTIF(Inputs!$A$7:$A$23,Inputs!$A$24)=0,1,0))</f>
        <v>0</v>
      </c>
      <c r="N20" s="14">
        <f>IF($M20=0,0,SUM($M$3:$M20))</f>
        <v>0</v>
      </c>
      <c r="O20" s="14">
        <f>IF(Inputs!$B$24="",0,IF(COUNTIF(Inputs!$B$7:$B$23,Inputs!$B$24)=0,1,0))</f>
        <v>1</v>
      </c>
      <c r="P20" s="14">
        <f>IF($O20=0,0,SUM($O$3:$O20))</f>
        <v>18</v>
      </c>
    </row>
    <row r="21" spans="1:16" x14ac:dyDescent="0.25">
      <c r="A21" s="14" t="str">
        <f>IF(19&gt;$N$1,"",INDEX(lr_bu,MATCH(19,$N$3:$N$71,0)))</f>
        <v/>
      </c>
      <c r="B21" s="14" t="str">
        <f>IF(19&gt;$P$1,"",INDEX(lr_state,MATCH(19,$P$3:$P$71,0)))</f>
        <v>PA</v>
      </c>
      <c r="I21" s="14" t="str">
        <f t="shared" si="0"/>
        <v/>
      </c>
      <c r="M21" s="14">
        <f>IF(Inputs!$A$25="",0,IF(COUNTIF(Inputs!$A$7:$A$24,Inputs!$A$25)=0,1,0))</f>
        <v>0</v>
      </c>
      <c r="N21" s="14">
        <f>IF($M21=0,0,SUM($M$3:$M21))</f>
        <v>0</v>
      </c>
      <c r="O21" s="14">
        <f>IF(Inputs!$B$25="",0,IF(COUNTIF(Inputs!$B$7:$B$24,Inputs!$B$25)=0,1,0))</f>
        <v>1</v>
      </c>
      <c r="P21" s="14">
        <f>IF($O21=0,0,SUM($O$3:$O21))</f>
        <v>19</v>
      </c>
    </row>
    <row r="22" spans="1:16" x14ac:dyDescent="0.25">
      <c r="A22" s="14" t="str">
        <f>IF(20&gt;$N$1,"",INDEX(lr_bu,MATCH(20,$N$3:$N$71,0)))</f>
        <v/>
      </c>
      <c r="B22" s="14" t="str">
        <f>IF(20&gt;$P$1,"",INDEX(lr_state,MATCH(20,$P$3:$P$71,0)))</f>
        <v>TN</v>
      </c>
      <c r="I22" s="14" t="str">
        <f t="shared" si="0"/>
        <v/>
      </c>
      <c r="M22" s="14">
        <f>IF(Inputs!$A$26="",0,IF(COUNTIF(Inputs!$A$7:$A$25,Inputs!$A$26)=0,1,0))</f>
        <v>0</v>
      </c>
      <c r="N22" s="14">
        <f>IF($M22=0,0,SUM($M$3:$M22))</f>
        <v>0</v>
      </c>
      <c r="O22" s="14">
        <f>IF(Inputs!$B$26="",0,IF(COUNTIF(Inputs!$B$7:$B$25,Inputs!$B$26)=0,1,0))</f>
        <v>1</v>
      </c>
      <c r="P22" s="14">
        <f>IF($O22=0,0,SUM($O$3:$O22))</f>
        <v>20</v>
      </c>
    </row>
    <row r="23" spans="1:16" x14ac:dyDescent="0.25">
      <c r="A23" s="14" t="str">
        <f>IF(21&gt;$N$1,"",INDEX(lr_bu,MATCH(21,$N$3:$N$71,0)))</f>
        <v/>
      </c>
      <c r="B23" s="14" t="str">
        <f>IF(21&gt;$P$1,"",INDEX(lr_state,MATCH(21,$P$3:$P$71,0)))</f>
        <v>TX</v>
      </c>
      <c r="I23" s="14" t="str">
        <f t="shared" si="0"/>
        <v/>
      </c>
      <c r="M23" s="14">
        <f>IF(Inputs!$A$27="",0,IF(COUNTIF(Inputs!$A$7:$A$26,Inputs!$A$27)=0,1,0))</f>
        <v>0</v>
      </c>
      <c r="N23" s="14">
        <f>IF($M23=0,0,SUM($M$3:$M23))</f>
        <v>0</v>
      </c>
      <c r="O23" s="14">
        <f>IF(Inputs!$B$27="",0,IF(COUNTIF(Inputs!$B$7:$B$26,Inputs!$B$27)=0,1,0))</f>
        <v>1</v>
      </c>
      <c r="P23" s="14">
        <f>IF($O23=0,0,SUM($O$3:$O23))</f>
        <v>21</v>
      </c>
    </row>
    <row r="24" spans="1:16" x14ac:dyDescent="0.25">
      <c r="A24" s="14" t="str">
        <f>IF(22&gt;$N$1,"",INDEX(lr_bu,MATCH(22,$N$3:$N$71,0)))</f>
        <v/>
      </c>
      <c r="B24" s="14" t="str">
        <f>IF(22&gt;$P$1,"",INDEX(lr_state,MATCH(22,$P$3:$P$71,0)))</f>
        <v/>
      </c>
      <c r="I24" s="14" t="str">
        <f t="shared" si="0"/>
        <v/>
      </c>
      <c r="M24" s="14">
        <f>IF(Inputs!$A$28="",0,IF(COUNTIF(Inputs!$A$7:$A$27,Inputs!$A$28)=0,1,0))</f>
        <v>1</v>
      </c>
      <c r="N24" s="14">
        <f>IF($M24=0,0,SUM($M$3:$M24))</f>
        <v>2</v>
      </c>
      <c r="O24" s="14">
        <f>IF(Inputs!$B$28="",0,IF(COUNTIF(Inputs!$B$7:$B$27,Inputs!$B$28)=0,1,0))</f>
        <v>0</v>
      </c>
      <c r="P24" s="14">
        <f>IF($O24=0,0,SUM($O$3:$O24))</f>
        <v>0</v>
      </c>
    </row>
    <row r="25" spans="1:16" x14ac:dyDescent="0.25">
      <c r="A25" s="14" t="str">
        <f>IF(23&gt;$N$1,"",INDEX(lr_bu,MATCH(23,$N$3:$N$71,0)))</f>
        <v/>
      </c>
      <c r="B25" s="14" t="str">
        <f>IF(23&gt;$P$1,"",INDEX(lr_state,MATCH(23,$P$3:$P$71,0)))</f>
        <v/>
      </c>
      <c r="I25" s="14" t="str">
        <f t="shared" si="0"/>
        <v/>
      </c>
      <c r="M25" s="14">
        <f>IF(Inputs!$A$29="",0,IF(COUNTIF(Inputs!$A$7:$A$28,Inputs!$A$29)=0,1,0))</f>
        <v>0</v>
      </c>
      <c r="N25" s="14">
        <f>IF($M25=0,0,SUM($M$3:$M25))</f>
        <v>0</v>
      </c>
      <c r="O25" s="14">
        <f>IF(Inputs!$B$29="",0,IF(COUNTIF(Inputs!$B$7:$B$28,Inputs!$B$29)=0,1,0))</f>
        <v>0</v>
      </c>
      <c r="P25" s="14">
        <f>IF($O25=0,0,SUM($O$3:$O25))</f>
        <v>0</v>
      </c>
    </row>
    <row r="26" spans="1:16" x14ac:dyDescent="0.25">
      <c r="A26" s="14" t="str">
        <f>IF(24&gt;$N$1,"",INDEX(lr_bu,MATCH(24,$N$3:$N$71,0)))</f>
        <v/>
      </c>
      <c r="B26" s="14" t="str">
        <f>IF(24&gt;$P$1,"",INDEX(lr_state,MATCH(24,$P$3:$P$71,0)))</f>
        <v/>
      </c>
      <c r="I26" s="14" t="str">
        <f t="shared" si="0"/>
        <v/>
      </c>
      <c r="M26" s="14">
        <f>IF(Inputs!$A$30="",0,IF(COUNTIF(Inputs!$A$7:$A$29,Inputs!$A$30)=0,1,0))</f>
        <v>0</v>
      </c>
      <c r="N26" s="14">
        <f>IF($M26=0,0,SUM($M$3:$M26))</f>
        <v>0</v>
      </c>
      <c r="O26" s="14">
        <f>IF(Inputs!$B$30="",0,IF(COUNTIF(Inputs!$B$7:$B$29,Inputs!$B$30)=0,1,0))</f>
        <v>0</v>
      </c>
      <c r="P26" s="14">
        <f>IF($O26=0,0,SUM($O$3:$O26))</f>
        <v>0</v>
      </c>
    </row>
    <row r="27" spans="1:16" x14ac:dyDescent="0.25">
      <c r="A27" s="14" t="str">
        <f>IF(25&gt;$N$1,"",INDEX(lr_bu,MATCH(25,$N$3:$N$71,0)))</f>
        <v/>
      </c>
      <c r="B27" s="14" t="str">
        <f>IF(25&gt;$P$1,"",INDEX(lr_state,MATCH(25,$P$3:$P$71,0)))</f>
        <v/>
      </c>
      <c r="I27" s="14" t="str">
        <f t="shared" si="0"/>
        <v/>
      </c>
      <c r="M27" s="14">
        <f>IF(Inputs!$A$31="",0,IF(COUNTIF(Inputs!$A$7:$A$30,Inputs!$A$31)=0,1,0))</f>
        <v>0</v>
      </c>
      <c r="N27" s="14">
        <f>IF($M27=0,0,SUM($M$3:$M27))</f>
        <v>0</v>
      </c>
      <c r="O27" s="14">
        <f>IF(Inputs!$B$31="",0,IF(COUNTIF(Inputs!$B$7:$B$30,Inputs!$B$31)=0,1,0))</f>
        <v>0</v>
      </c>
      <c r="P27" s="14">
        <f>IF($O27=0,0,SUM($O$3:$O27))</f>
        <v>0</v>
      </c>
    </row>
    <row r="28" spans="1:16" x14ac:dyDescent="0.25">
      <c r="A28" s="14" t="str">
        <f>IF(26&gt;$N$1,"",INDEX(lr_bu,MATCH(26,$N$3:$N$71,0)))</f>
        <v/>
      </c>
      <c r="B28" s="14" t="str">
        <f>IF(26&gt;$P$1,"",INDEX(lr_state,MATCH(26,$P$3:$P$71,0)))</f>
        <v/>
      </c>
      <c r="I28" s="14" t="str">
        <f t="shared" si="0"/>
        <v/>
      </c>
      <c r="M28" s="14">
        <f>IF(Inputs!$A$32="",0,IF(COUNTIF(Inputs!$A$7:$A$31,Inputs!$A$32)=0,1,0))</f>
        <v>0</v>
      </c>
      <c r="N28" s="14">
        <f>IF($M28=0,0,SUM($M$3:$M28))</f>
        <v>0</v>
      </c>
      <c r="O28" s="14">
        <f>IF(Inputs!$B$32="",0,IF(COUNTIF(Inputs!$B$7:$B$31,Inputs!$B$32)=0,1,0))</f>
        <v>0</v>
      </c>
      <c r="P28" s="14">
        <f>IF($O28=0,0,SUM($O$3:$O28))</f>
        <v>0</v>
      </c>
    </row>
    <row r="29" spans="1:16" x14ac:dyDescent="0.25">
      <c r="A29" s="14" t="str">
        <f>IF(27&gt;$N$1,"",INDEX(lr_bu,MATCH(27,$N$3:$N$71,0)))</f>
        <v/>
      </c>
      <c r="B29" s="14" t="str">
        <f>IF(27&gt;$P$1,"",INDEX(lr_state,MATCH(27,$P$3:$P$71,0)))</f>
        <v/>
      </c>
      <c r="I29" s="14" t="str">
        <f t="shared" si="0"/>
        <v/>
      </c>
      <c r="M29" s="14">
        <f>IF(Inputs!$A$33="",0,IF(COUNTIF(Inputs!$A$7:$A$32,Inputs!$A$33)=0,1,0))</f>
        <v>0</v>
      </c>
      <c r="N29" s="14">
        <f>IF($M29=0,0,SUM($M$3:$M29))</f>
        <v>0</v>
      </c>
      <c r="O29" s="14">
        <f>IF(Inputs!$B$33="",0,IF(COUNTIF(Inputs!$B$7:$B$32,Inputs!$B$33)=0,1,0))</f>
        <v>0</v>
      </c>
      <c r="P29" s="14">
        <f>IF($O29=0,0,SUM($O$3:$O29))</f>
        <v>0</v>
      </c>
    </row>
    <row r="30" spans="1:16" x14ac:dyDescent="0.25">
      <c r="A30" s="14" t="str">
        <f>IF(28&gt;$N$1,"",INDEX(lr_bu,MATCH(28,$N$3:$N$71,0)))</f>
        <v/>
      </c>
      <c r="B30" s="14" t="str">
        <f>IF(28&gt;$P$1,"",INDEX(lr_state,MATCH(28,$P$3:$P$71,0)))</f>
        <v/>
      </c>
      <c r="I30" s="14" t="str">
        <f t="shared" si="0"/>
        <v/>
      </c>
      <c r="M30" s="14">
        <f>IF(Inputs!$A$34="",0,IF(COUNTIF(Inputs!$A$7:$A$33,Inputs!$A$34)=0,1,0))</f>
        <v>0</v>
      </c>
      <c r="N30" s="14">
        <f>IF($M30=0,0,SUM($M$3:$M30))</f>
        <v>0</v>
      </c>
      <c r="O30" s="14">
        <f>IF(Inputs!$B$34="",0,IF(COUNTIF(Inputs!$B$7:$B$33,Inputs!$B$34)=0,1,0))</f>
        <v>0</v>
      </c>
      <c r="P30" s="14">
        <f>IF($O30=0,0,SUM($O$3:$O30))</f>
        <v>0</v>
      </c>
    </row>
    <row r="31" spans="1:16" x14ac:dyDescent="0.25">
      <c r="A31" s="14" t="str">
        <f>IF(29&gt;$N$1,"",INDEX(lr_bu,MATCH(29,$N$3:$N$71,0)))</f>
        <v/>
      </c>
      <c r="B31" s="14" t="str">
        <f>IF(29&gt;$P$1,"",INDEX(lr_state,MATCH(29,$P$3:$P$71,0)))</f>
        <v/>
      </c>
      <c r="I31" s="14" t="str">
        <f t="shared" si="0"/>
        <v/>
      </c>
      <c r="M31" s="14">
        <f>IF(Inputs!$A$35="",0,IF(COUNTIF(Inputs!$A$7:$A$34,Inputs!$A$35)=0,1,0))</f>
        <v>0</v>
      </c>
      <c r="N31" s="14">
        <f>IF($M31=0,0,SUM($M$3:$M31))</f>
        <v>0</v>
      </c>
      <c r="O31" s="14">
        <f>IF(Inputs!$B$35="",0,IF(COUNTIF(Inputs!$B$7:$B$34,Inputs!$B$35)=0,1,0))</f>
        <v>0</v>
      </c>
      <c r="P31" s="14">
        <f>IF($O31=0,0,SUM($O$3:$O31))</f>
        <v>0</v>
      </c>
    </row>
    <row r="32" spans="1:16" x14ac:dyDescent="0.25">
      <c r="A32" s="14" t="str">
        <f>IF(30&gt;$N$1,"",INDEX(lr_bu,MATCH(30,$N$3:$N$71,0)))</f>
        <v/>
      </c>
      <c r="B32" s="14" t="str">
        <f>IF(30&gt;$P$1,"",INDEX(lr_state,MATCH(30,$P$3:$P$71,0)))</f>
        <v/>
      </c>
      <c r="I32" s="14" t="str">
        <f t="shared" si="0"/>
        <v/>
      </c>
      <c r="M32" s="14">
        <f>IF(Inputs!$A$36="",0,IF(COUNTIF(Inputs!$A$7:$A$35,Inputs!$A$36)=0,1,0))</f>
        <v>0</v>
      </c>
      <c r="N32" s="14">
        <f>IF($M32=0,0,SUM($M$3:$M32))</f>
        <v>0</v>
      </c>
      <c r="O32" s="14">
        <f>IF(Inputs!$B$36="",0,IF(COUNTIF(Inputs!$B$7:$B$35,Inputs!$B$36)=0,1,0))</f>
        <v>0</v>
      </c>
      <c r="P32" s="14">
        <f>IF($O32=0,0,SUM($O$3:$O32))</f>
        <v>0</v>
      </c>
    </row>
    <row r="33" spans="1:16" x14ac:dyDescent="0.25">
      <c r="A33" s="14" t="str">
        <f>IF(31&gt;$N$1,"",INDEX(lr_bu,MATCH(31,$N$3:$N$71,0)))</f>
        <v/>
      </c>
      <c r="B33" s="14" t="str">
        <f>IF(31&gt;$P$1,"",INDEX(lr_state,MATCH(31,$P$3:$P$71,0)))</f>
        <v/>
      </c>
      <c r="I33" s="14" t="str">
        <f t="shared" si="0"/>
        <v/>
      </c>
      <c r="M33" s="14">
        <f>IF(Inputs!$A$37="",0,IF(COUNTIF(Inputs!$A$7:$A$36,Inputs!$A$37)=0,1,0))</f>
        <v>0</v>
      </c>
      <c r="N33" s="14">
        <f>IF($M33=0,0,SUM($M$3:$M33))</f>
        <v>0</v>
      </c>
      <c r="O33" s="14">
        <f>IF(Inputs!$B$37="",0,IF(COUNTIF(Inputs!$B$7:$B$36,Inputs!$B$37)=0,1,0))</f>
        <v>0</v>
      </c>
      <c r="P33" s="14">
        <f>IF($O33=0,0,SUM($O$3:$O33))</f>
        <v>0</v>
      </c>
    </row>
    <row r="34" spans="1:16" x14ac:dyDescent="0.25">
      <c r="A34" s="14" t="str">
        <f>IF(32&gt;$N$1,"",INDEX(lr_bu,MATCH(32,$N$3:$N$71,0)))</f>
        <v/>
      </c>
      <c r="B34" s="14" t="str">
        <f>IF(32&gt;$P$1,"",INDEX(lr_state,MATCH(32,$P$3:$P$71,0)))</f>
        <v/>
      </c>
      <c r="I34" s="14" t="str">
        <f t="shared" si="0"/>
        <v/>
      </c>
      <c r="M34" s="14">
        <f>IF(Inputs!$A$38="",0,IF(COUNTIF(Inputs!$A$7:$A$37,Inputs!$A$38)=0,1,0))</f>
        <v>0</v>
      </c>
      <c r="N34" s="14">
        <f>IF($M34=0,0,SUM($M$3:$M34))</f>
        <v>0</v>
      </c>
      <c r="O34" s="14">
        <f>IF(Inputs!$B$38="",0,IF(COUNTIF(Inputs!$B$7:$B$37,Inputs!$B$38)=0,1,0))</f>
        <v>0</v>
      </c>
      <c r="P34" s="14">
        <f>IF($O34=0,0,SUM($O$3:$O34))</f>
        <v>0</v>
      </c>
    </row>
    <row r="35" spans="1:16" x14ac:dyDescent="0.25">
      <c r="A35" s="14" t="str">
        <f>IF(33&gt;$N$1,"",INDEX(lr_bu,MATCH(33,$N$3:$N$71,0)))</f>
        <v/>
      </c>
      <c r="B35" s="14" t="str">
        <f>IF(33&gt;$P$1,"",INDEX(lr_state,MATCH(33,$P$3:$P$71,0)))</f>
        <v/>
      </c>
      <c r="I35" s="14" t="str">
        <f t="shared" si="0"/>
        <v/>
      </c>
      <c r="M35" s="14">
        <f>IF(Inputs!$A$39="",0,IF(COUNTIF(Inputs!$A$7:$A$38,Inputs!$A$39)=0,1,0))</f>
        <v>0</v>
      </c>
      <c r="N35" s="14">
        <f>IF($M35=0,0,SUM($M$3:$M35))</f>
        <v>0</v>
      </c>
      <c r="O35" s="14">
        <f>IF(Inputs!$B$39="",0,IF(COUNTIF(Inputs!$B$7:$B$38,Inputs!$B$39)=0,1,0))</f>
        <v>0</v>
      </c>
      <c r="P35" s="14">
        <f>IF($O35=0,0,SUM($O$3:$O35))</f>
        <v>0</v>
      </c>
    </row>
    <row r="36" spans="1:16" x14ac:dyDescent="0.25">
      <c r="A36" s="14" t="str">
        <f>IF(34&gt;$N$1,"",INDEX(lr_bu,MATCH(34,$N$3:$N$71,0)))</f>
        <v/>
      </c>
      <c r="B36" s="14" t="str">
        <f>IF(34&gt;$P$1,"",INDEX(lr_state,MATCH(34,$P$3:$P$71,0)))</f>
        <v/>
      </c>
      <c r="I36" s="14" t="str">
        <f t="shared" ref="I36:I72" si="1">IF($A35="","",$A35)</f>
        <v/>
      </c>
      <c r="M36" s="14">
        <f>IF(Inputs!$A$40="",0,IF(COUNTIF(Inputs!$A$7:$A$39,Inputs!$A$40)=0,1,0))</f>
        <v>0</v>
      </c>
      <c r="N36" s="14">
        <f>IF($M36=0,0,SUM($M$3:$M36))</f>
        <v>0</v>
      </c>
      <c r="O36" s="14">
        <f>IF(Inputs!$B$40="",0,IF(COUNTIF(Inputs!$B$7:$B$39,Inputs!$B$40)=0,1,0))</f>
        <v>0</v>
      </c>
      <c r="P36" s="14">
        <f>IF($O36=0,0,SUM($O$3:$O36))</f>
        <v>0</v>
      </c>
    </row>
    <row r="37" spans="1:16" x14ac:dyDescent="0.25">
      <c r="A37" s="14" t="str">
        <f>IF(35&gt;$N$1,"",INDEX(lr_bu,MATCH(35,$N$3:$N$71,0)))</f>
        <v/>
      </c>
      <c r="B37" s="14" t="str">
        <f>IF(35&gt;$P$1,"",INDEX(lr_state,MATCH(35,$P$3:$P$71,0)))</f>
        <v/>
      </c>
      <c r="I37" s="14" t="str">
        <f t="shared" si="1"/>
        <v/>
      </c>
      <c r="M37" s="14">
        <f>IF(Inputs!$A$41="",0,IF(COUNTIF(Inputs!$A$7:$A$40,Inputs!$A$41)=0,1,0))</f>
        <v>0</v>
      </c>
      <c r="N37" s="14">
        <f>IF($M37=0,0,SUM($M$3:$M37))</f>
        <v>0</v>
      </c>
      <c r="O37" s="14">
        <f>IF(Inputs!$B$41="",0,IF(COUNTIF(Inputs!$B$7:$B$40,Inputs!$B$41)=0,1,0))</f>
        <v>0</v>
      </c>
      <c r="P37" s="14">
        <f>IF($O37=0,0,SUM($O$3:$O37))</f>
        <v>0</v>
      </c>
    </row>
    <row r="38" spans="1:16" x14ac:dyDescent="0.25">
      <c r="A38" s="14" t="str">
        <f>IF(36&gt;$N$1,"",INDEX(lr_bu,MATCH(36,$N$3:$N$71,0)))</f>
        <v/>
      </c>
      <c r="B38" s="14" t="str">
        <f>IF(36&gt;$P$1,"",INDEX(lr_state,MATCH(36,$P$3:$P$71,0)))</f>
        <v/>
      </c>
      <c r="I38" s="14" t="str">
        <f t="shared" si="1"/>
        <v/>
      </c>
      <c r="M38" s="14">
        <f>IF(Inputs!$A$42="",0,IF(COUNTIF(Inputs!$A$7:$A$41,Inputs!$A$42)=0,1,0))</f>
        <v>0</v>
      </c>
      <c r="N38" s="14">
        <f>IF($M38=0,0,SUM($M$3:$M38))</f>
        <v>0</v>
      </c>
      <c r="O38" s="14">
        <f>IF(Inputs!$B$42="",0,IF(COUNTIF(Inputs!$B$7:$B$41,Inputs!$B$42)=0,1,0))</f>
        <v>0</v>
      </c>
      <c r="P38" s="14">
        <f>IF($O38=0,0,SUM($O$3:$O38))</f>
        <v>0</v>
      </c>
    </row>
    <row r="39" spans="1:16" x14ac:dyDescent="0.25">
      <c r="A39" s="14" t="str">
        <f>IF(37&gt;$N$1,"",INDEX(lr_bu,MATCH(37,$N$3:$N$71,0)))</f>
        <v/>
      </c>
      <c r="B39" s="14" t="str">
        <f>IF(37&gt;$P$1,"",INDEX(lr_state,MATCH(37,$P$3:$P$71,0)))</f>
        <v/>
      </c>
      <c r="I39" s="14" t="str">
        <f t="shared" si="1"/>
        <v/>
      </c>
      <c r="M39" s="14">
        <f>IF(Inputs!$A$43="",0,IF(COUNTIF(Inputs!$A$7:$A$42,Inputs!$A$43)=0,1,0))</f>
        <v>0</v>
      </c>
      <c r="N39" s="14">
        <f>IF($M39=0,0,SUM($M$3:$M39))</f>
        <v>0</v>
      </c>
      <c r="O39" s="14">
        <f>IF(Inputs!$B$43="",0,IF(COUNTIF(Inputs!$B$7:$B$42,Inputs!$B$43)=0,1,0))</f>
        <v>0</v>
      </c>
      <c r="P39" s="14">
        <f>IF($O39=0,0,SUM($O$3:$O39))</f>
        <v>0</v>
      </c>
    </row>
    <row r="40" spans="1:16" x14ac:dyDescent="0.25">
      <c r="A40" s="14" t="str">
        <f>IF(38&gt;$N$1,"",INDEX(lr_bu,MATCH(38,$N$3:$N$71,0)))</f>
        <v/>
      </c>
      <c r="B40" s="14" t="str">
        <f>IF(38&gt;$P$1,"",INDEX(lr_state,MATCH(38,$P$3:$P$71,0)))</f>
        <v/>
      </c>
      <c r="I40" s="14" t="str">
        <f t="shared" si="1"/>
        <v/>
      </c>
      <c r="M40" s="14">
        <f>IF(Inputs!$A$44="",0,IF(COUNTIF(Inputs!$A$7:$A$43,Inputs!$A$44)=0,1,0))</f>
        <v>0</v>
      </c>
      <c r="N40" s="14">
        <f>IF($M40=0,0,SUM($M$3:$M40))</f>
        <v>0</v>
      </c>
      <c r="O40" s="14">
        <f>IF(Inputs!$B$44="",0,IF(COUNTIF(Inputs!$B$7:$B$43,Inputs!$B$44)=0,1,0))</f>
        <v>0</v>
      </c>
      <c r="P40" s="14">
        <f>IF($O40=0,0,SUM($O$3:$O40))</f>
        <v>0</v>
      </c>
    </row>
    <row r="41" spans="1:16" x14ac:dyDescent="0.25">
      <c r="A41" s="14" t="str">
        <f>IF(39&gt;$N$1,"",INDEX(lr_bu,MATCH(39,$N$3:$N$71,0)))</f>
        <v/>
      </c>
      <c r="B41" s="14" t="str">
        <f>IF(39&gt;$P$1,"",INDEX(lr_state,MATCH(39,$P$3:$P$71,0)))</f>
        <v/>
      </c>
      <c r="I41" s="14" t="str">
        <f t="shared" si="1"/>
        <v/>
      </c>
      <c r="M41" s="14">
        <f>IF(Inputs!$A$45="",0,IF(COUNTIF(Inputs!$A$7:$A$44,Inputs!$A$45)=0,1,0))</f>
        <v>0</v>
      </c>
      <c r="N41" s="14">
        <f>IF($M41=0,0,SUM($M$3:$M41))</f>
        <v>0</v>
      </c>
      <c r="O41" s="14">
        <f>IF(Inputs!$B$45="",0,IF(COUNTIF(Inputs!$B$7:$B$44,Inputs!$B$45)=0,1,0))</f>
        <v>0</v>
      </c>
      <c r="P41" s="14">
        <f>IF($O41=0,0,SUM($O$3:$O41))</f>
        <v>0</v>
      </c>
    </row>
    <row r="42" spans="1:16" x14ac:dyDescent="0.25">
      <c r="A42" s="14" t="str">
        <f>IF(40&gt;$N$1,"",INDEX(lr_bu,MATCH(40,$N$3:$N$71,0)))</f>
        <v/>
      </c>
      <c r="B42" s="14" t="str">
        <f>IF(40&gt;$P$1,"",INDEX(lr_state,MATCH(40,$P$3:$P$71,0)))</f>
        <v/>
      </c>
      <c r="I42" s="14" t="str">
        <f t="shared" si="1"/>
        <v/>
      </c>
      <c r="M42" s="14">
        <f>IF(Inputs!$A$46="",0,IF(COUNTIF(Inputs!$A$7:$A$45,Inputs!$A$46)=0,1,0))</f>
        <v>0</v>
      </c>
      <c r="N42" s="14">
        <f>IF($M42=0,0,SUM($M$3:$M42))</f>
        <v>0</v>
      </c>
      <c r="O42" s="14">
        <f>IF(Inputs!$B$46="",0,IF(COUNTIF(Inputs!$B$7:$B$45,Inputs!$B$46)=0,1,0))</f>
        <v>0</v>
      </c>
      <c r="P42" s="14">
        <f>IF($O42=0,0,SUM($O$3:$O42))</f>
        <v>0</v>
      </c>
    </row>
    <row r="43" spans="1:16" x14ac:dyDescent="0.25">
      <c r="A43" s="14" t="str">
        <f>IF(41&gt;$N$1,"",INDEX(lr_bu,MATCH(41,$N$3:$N$71,0)))</f>
        <v/>
      </c>
      <c r="B43" s="14" t="str">
        <f>IF(41&gt;$P$1,"",INDEX(lr_state,MATCH(41,$P$3:$P$71,0)))</f>
        <v/>
      </c>
      <c r="I43" s="14" t="str">
        <f t="shared" si="1"/>
        <v/>
      </c>
      <c r="M43" s="14">
        <f>IF(Inputs!$A$47="",0,IF(COUNTIF(Inputs!$A$7:$A$46,Inputs!$A$47)=0,1,0))</f>
        <v>0</v>
      </c>
      <c r="N43" s="14">
        <f>IF($M43=0,0,SUM($M$3:$M43))</f>
        <v>0</v>
      </c>
      <c r="O43" s="14">
        <f>IF(Inputs!$B$47="",0,IF(COUNTIF(Inputs!$B$7:$B$46,Inputs!$B$47)=0,1,0))</f>
        <v>0</v>
      </c>
      <c r="P43" s="14">
        <f>IF($O43=0,0,SUM($O$3:$O43))</f>
        <v>0</v>
      </c>
    </row>
    <row r="44" spans="1:16" x14ac:dyDescent="0.25">
      <c r="A44" s="14" t="str">
        <f>IF(42&gt;$N$1,"",INDEX(lr_bu,MATCH(42,$N$3:$N$71,0)))</f>
        <v/>
      </c>
      <c r="B44" s="14" t="str">
        <f>IF(42&gt;$P$1,"",INDEX(lr_state,MATCH(42,$P$3:$P$71,0)))</f>
        <v/>
      </c>
      <c r="I44" s="14" t="str">
        <f t="shared" si="1"/>
        <v/>
      </c>
      <c r="M44" s="14">
        <f>IF(Inputs!$A$48="",0,IF(COUNTIF(Inputs!$A$7:$A$47,Inputs!$A$48)=0,1,0))</f>
        <v>0</v>
      </c>
      <c r="N44" s="14">
        <f>IF($M44=0,0,SUM($M$3:$M44))</f>
        <v>0</v>
      </c>
      <c r="O44" s="14">
        <f>IF(Inputs!$B$48="",0,IF(COUNTIF(Inputs!$B$7:$B$47,Inputs!$B$48)=0,1,0))</f>
        <v>0</v>
      </c>
      <c r="P44" s="14">
        <f>IF($O44=0,0,SUM($O$3:$O44))</f>
        <v>0</v>
      </c>
    </row>
    <row r="45" spans="1:16" x14ac:dyDescent="0.25">
      <c r="A45" s="14" t="str">
        <f>IF(43&gt;$N$1,"",INDEX(lr_bu,MATCH(43,$N$3:$N$71,0)))</f>
        <v/>
      </c>
      <c r="B45" s="14" t="str">
        <f>IF(43&gt;$P$1,"",INDEX(lr_state,MATCH(43,$P$3:$P$71,0)))</f>
        <v/>
      </c>
      <c r="I45" s="14" t="str">
        <f t="shared" si="1"/>
        <v/>
      </c>
      <c r="M45" s="14">
        <f>IF(Inputs!$A$49="",0,IF(COUNTIF(Inputs!$A$7:$A$48,Inputs!$A$49)=0,1,0))</f>
        <v>1</v>
      </c>
      <c r="N45" s="14">
        <f>IF($M45=0,0,SUM($M$3:$M45))</f>
        <v>3</v>
      </c>
      <c r="O45" s="14">
        <f>IF(Inputs!$B$49="",0,IF(COUNTIF(Inputs!$B$7:$B$48,Inputs!$B$49)=0,1,0))</f>
        <v>0</v>
      </c>
      <c r="P45" s="14">
        <f>IF($O45=0,0,SUM($O$3:$O45))</f>
        <v>0</v>
      </c>
    </row>
    <row r="46" spans="1:16" x14ac:dyDescent="0.25">
      <c r="A46" s="14" t="str">
        <f>IF(44&gt;$N$1,"",INDEX(lr_bu,MATCH(44,$N$3:$N$71,0)))</f>
        <v/>
      </c>
      <c r="B46" s="14" t="str">
        <f>IF(44&gt;$P$1,"",INDEX(lr_state,MATCH(44,$P$3:$P$71,0)))</f>
        <v/>
      </c>
      <c r="I46" s="14" t="str">
        <f t="shared" si="1"/>
        <v/>
      </c>
      <c r="M46" s="14">
        <f>IF(Inputs!$A$50="",0,IF(COUNTIF(Inputs!$A$7:$A$49,Inputs!$A$50)=0,1,0))</f>
        <v>0</v>
      </c>
      <c r="N46" s="14">
        <f>IF($M46=0,0,SUM($M$3:$M46))</f>
        <v>0</v>
      </c>
      <c r="O46" s="14">
        <f>IF(Inputs!$B$50="",0,IF(COUNTIF(Inputs!$B$7:$B$49,Inputs!$B$50)=0,1,0))</f>
        <v>0</v>
      </c>
      <c r="P46" s="14">
        <f>IF($O46=0,0,SUM($O$3:$O46))</f>
        <v>0</v>
      </c>
    </row>
    <row r="47" spans="1:16" x14ac:dyDescent="0.25">
      <c r="A47" s="14" t="str">
        <f>IF(45&gt;$N$1,"",INDEX(lr_bu,MATCH(45,$N$3:$N$71,0)))</f>
        <v/>
      </c>
      <c r="B47" s="14" t="str">
        <f>IF(45&gt;$P$1,"",INDEX(lr_state,MATCH(45,$P$3:$P$71,0)))</f>
        <v/>
      </c>
      <c r="I47" s="14" t="str">
        <f t="shared" si="1"/>
        <v/>
      </c>
      <c r="M47" s="14">
        <f>IF(Inputs!$A$51="",0,IF(COUNTIF(Inputs!$A$7:$A$50,Inputs!$A$51)=0,1,0))</f>
        <v>0</v>
      </c>
      <c r="N47" s="14">
        <f>IF($M47=0,0,SUM($M$3:$M47))</f>
        <v>0</v>
      </c>
      <c r="O47" s="14">
        <f>IF(Inputs!$B$51="",0,IF(COUNTIF(Inputs!$B$7:$B$50,Inputs!$B$51)=0,1,0))</f>
        <v>0</v>
      </c>
      <c r="P47" s="14">
        <f>IF($O47=0,0,SUM($O$3:$O47))</f>
        <v>0</v>
      </c>
    </row>
    <row r="48" spans="1:16" x14ac:dyDescent="0.25">
      <c r="A48" s="14" t="str">
        <f>IF(46&gt;$N$1,"",INDEX(lr_bu,MATCH(46,$N$3:$N$71,0)))</f>
        <v/>
      </c>
      <c r="B48" s="14" t="str">
        <f>IF(46&gt;$P$1,"",INDEX(lr_state,MATCH(46,$P$3:$P$71,0)))</f>
        <v/>
      </c>
      <c r="I48" s="14" t="str">
        <f t="shared" si="1"/>
        <v/>
      </c>
      <c r="M48" s="14">
        <f>IF(Inputs!$A$52="",0,IF(COUNTIF(Inputs!$A$7:$A$51,Inputs!$A$52)=0,1,0))</f>
        <v>0</v>
      </c>
      <c r="N48" s="14">
        <f>IF($M48=0,0,SUM($M$3:$M48))</f>
        <v>0</v>
      </c>
      <c r="O48" s="14">
        <f>IF(Inputs!$B$52="",0,IF(COUNTIF(Inputs!$B$7:$B$51,Inputs!$B$52)=0,1,0))</f>
        <v>0</v>
      </c>
      <c r="P48" s="14">
        <f>IF($O48=0,0,SUM($O$3:$O48))</f>
        <v>0</v>
      </c>
    </row>
    <row r="49" spans="1:16" x14ac:dyDescent="0.25">
      <c r="A49" s="14" t="str">
        <f>IF(47&gt;$N$1,"",INDEX(lr_bu,MATCH(47,$N$3:$N$71,0)))</f>
        <v/>
      </c>
      <c r="B49" s="14" t="str">
        <f>IF(47&gt;$P$1,"",INDEX(lr_state,MATCH(47,$P$3:$P$71,0)))</f>
        <v/>
      </c>
      <c r="I49" s="14" t="str">
        <f t="shared" si="1"/>
        <v/>
      </c>
      <c r="M49" s="14">
        <f>IF(Inputs!$A$53="",0,IF(COUNTIF(Inputs!$A$7:$A$52,Inputs!$A$53)=0,1,0))</f>
        <v>0</v>
      </c>
      <c r="N49" s="14">
        <f>IF($M49=0,0,SUM($M$3:$M49))</f>
        <v>0</v>
      </c>
      <c r="O49" s="14">
        <f>IF(Inputs!$B$53="",0,IF(COUNTIF(Inputs!$B$7:$B$52,Inputs!$B$53)=0,1,0))</f>
        <v>0</v>
      </c>
      <c r="P49" s="14">
        <f>IF($O49=0,0,SUM($O$3:$O49))</f>
        <v>0</v>
      </c>
    </row>
    <row r="50" spans="1:16" x14ac:dyDescent="0.25">
      <c r="A50" s="14" t="str">
        <f>IF(48&gt;$N$1,"",INDEX(lr_bu,MATCH(48,$N$3:$N$71,0)))</f>
        <v/>
      </c>
      <c r="B50" s="14" t="str">
        <f>IF(48&gt;$P$1,"",INDEX(lr_state,MATCH(48,$P$3:$P$71,0)))</f>
        <v/>
      </c>
      <c r="I50" s="14" t="str">
        <f t="shared" si="1"/>
        <v/>
      </c>
      <c r="M50" s="14">
        <f>IF(Inputs!$A$54="",0,IF(COUNTIF(Inputs!$A$7:$A$53,Inputs!$A$54)=0,1,0))</f>
        <v>0</v>
      </c>
      <c r="N50" s="14">
        <f>IF($M50=0,0,SUM($M$3:$M50))</f>
        <v>0</v>
      </c>
      <c r="O50" s="14">
        <f>IF(Inputs!$B$54="",0,IF(COUNTIF(Inputs!$B$7:$B$53,Inputs!$B$54)=0,1,0))</f>
        <v>0</v>
      </c>
      <c r="P50" s="14">
        <f>IF($O50=0,0,SUM($O$3:$O50))</f>
        <v>0</v>
      </c>
    </row>
    <row r="51" spans="1:16" x14ac:dyDescent="0.25">
      <c r="A51" s="14" t="str">
        <f>IF(49&gt;$N$1,"",INDEX(lr_bu,MATCH(49,$N$3:$N$71,0)))</f>
        <v/>
      </c>
      <c r="B51" s="14" t="str">
        <f>IF(49&gt;$P$1,"",INDEX(lr_state,MATCH(49,$P$3:$P$71,0)))</f>
        <v/>
      </c>
      <c r="I51" s="14" t="str">
        <f t="shared" si="1"/>
        <v/>
      </c>
      <c r="M51" s="14">
        <f>IF(Inputs!$A$55="",0,IF(COUNTIF(Inputs!$A$7:$A$54,Inputs!$A$55)=0,1,0))</f>
        <v>0</v>
      </c>
      <c r="N51" s="14">
        <f>IF($M51=0,0,SUM($M$3:$M51))</f>
        <v>0</v>
      </c>
      <c r="O51" s="14">
        <f>IF(Inputs!$B$55="",0,IF(COUNTIF(Inputs!$B$7:$B$54,Inputs!$B$55)=0,1,0))</f>
        <v>0</v>
      </c>
      <c r="P51" s="14">
        <f>IF($O51=0,0,SUM($O$3:$O51))</f>
        <v>0</v>
      </c>
    </row>
    <row r="52" spans="1:16" x14ac:dyDescent="0.25">
      <c r="A52" s="14" t="str">
        <f>IF(50&gt;$N$1,"",INDEX(lr_bu,MATCH(50,$N$3:$N$71,0)))</f>
        <v/>
      </c>
      <c r="B52" s="14" t="str">
        <f>IF(50&gt;$P$1,"",INDEX(lr_state,MATCH(50,$P$3:$P$71,0)))</f>
        <v/>
      </c>
      <c r="I52" s="14" t="str">
        <f t="shared" si="1"/>
        <v/>
      </c>
      <c r="M52" s="14">
        <f>IF(Inputs!$A$56="",0,IF(COUNTIF(Inputs!$A$7:$A$55,Inputs!$A$56)=0,1,0))</f>
        <v>0</v>
      </c>
      <c r="N52" s="14">
        <f>IF($M52=0,0,SUM($M$3:$M52))</f>
        <v>0</v>
      </c>
      <c r="O52" s="14">
        <f>IF(Inputs!$B$56="",0,IF(COUNTIF(Inputs!$B$7:$B$55,Inputs!$B$56)=0,1,0))</f>
        <v>0</v>
      </c>
      <c r="P52" s="14">
        <f>IF($O52=0,0,SUM($O$3:$O52))</f>
        <v>0</v>
      </c>
    </row>
    <row r="53" spans="1:16" x14ac:dyDescent="0.25">
      <c r="A53" s="14" t="str">
        <f>IF(51&gt;$N$1,"",INDEX(lr_bu,MATCH(51,$N$3:$N$71,0)))</f>
        <v/>
      </c>
      <c r="B53" s="14" t="str">
        <f>IF(51&gt;$P$1,"",INDEX(lr_state,MATCH(51,$P$3:$P$71,0)))</f>
        <v/>
      </c>
      <c r="I53" s="14" t="str">
        <f t="shared" si="1"/>
        <v/>
      </c>
      <c r="M53" s="14">
        <f>IF(Inputs!$A$57="",0,IF(COUNTIF(Inputs!$A$7:$A$56,Inputs!$A$57)=0,1,0))</f>
        <v>0</v>
      </c>
      <c r="N53" s="14">
        <f>IF($M53=0,0,SUM($M$3:$M53))</f>
        <v>0</v>
      </c>
      <c r="O53" s="14">
        <f>IF(Inputs!$B$57="",0,IF(COUNTIF(Inputs!$B$7:$B$56,Inputs!$B$57)=0,1,0))</f>
        <v>0</v>
      </c>
      <c r="P53" s="14">
        <f>IF($O53=0,0,SUM($O$3:$O53))</f>
        <v>0</v>
      </c>
    </row>
    <row r="54" spans="1:16" x14ac:dyDescent="0.25">
      <c r="A54" s="14" t="str">
        <f>IF(52&gt;$N$1,"",INDEX(lr_bu,MATCH(52,$N$3:$N$71,0)))</f>
        <v/>
      </c>
      <c r="B54" s="14" t="str">
        <f>IF(52&gt;$P$1,"",INDEX(lr_state,MATCH(52,$P$3:$P$71,0)))</f>
        <v/>
      </c>
      <c r="I54" s="14" t="str">
        <f t="shared" si="1"/>
        <v/>
      </c>
      <c r="M54" s="14">
        <f>IF(Inputs!$A$58="",0,IF(COUNTIF(Inputs!$A$7:$A$57,Inputs!$A$58)=0,1,0))</f>
        <v>0</v>
      </c>
      <c r="N54" s="14">
        <f>IF($M54=0,0,SUM($M$3:$M54))</f>
        <v>0</v>
      </c>
      <c r="O54" s="14">
        <f>IF(Inputs!$B$58="",0,IF(COUNTIF(Inputs!$B$7:$B$57,Inputs!$B$58)=0,1,0))</f>
        <v>0</v>
      </c>
      <c r="P54" s="14">
        <f>IF($O54=0,0,SUM($O$3:$O54))</f>
        <v>0</v>
      </c>
    </row>
    <row r="55" spans="1:16" x14ac:dyDescent="0.25">
      <c r="A55" s="14" t="str">
        <f>IF(53&gt;$N$1,"",INDEX(lr_bu,MATCH(53,$N$3:$N$71,0)))</f>
        <v/>
      </c>
      <c r="B55" s="14" t="str">
        <f>IF(53&gt;$P$1,"",INDEX(lr_state,MATCH(53,$P$3:$P$71,0)))</f>
        <v/>
      </c>
      <c r="I55" s="14" t="str">
        <f t="shared" si="1"/>
        <v/>
      </c>
      <c r="M55" s="14">
        <f>IF(Inputs!$A$59="",0,IF(COUNTIF(Inputs!$A$7:$A$58,Inputs!$A$59)=0,1,0))</f>
        <v>0</v>
      </c>
      <c r="N55" s="14">
        <f>IF($M55=0,0,SUM($M$3:$M55))</f>
        <v>0</v>
      </c>
      <c r="O55" s="14">
        <f>IF(Inputs!$B$59="",0,IF(COUNTIF(Inputs!$B$7:$B$58,Inputs!$B$59)=0,1,0))</f>
        <v>0</v>
      </c>
      <c r="P55" s="14">
        <f>IF($O55=0,0,SUM($O$3:$O55))</f>
        <v>0</v>
      </c>
    </row>
    <row r="56" spans="1:16" x14ac:dyDescent="0.25">
      <c r="A56" s="14" t="str">
        <f>IF(54&gt;$N$1,"",INDEX(lr_bu,MATCH(54,$N$3:$N$71,0)))</f>
        <v/>
      </c>
      <c r="B56" s="14" t="str">
        <f>IF(54&gt;$P$1,"",INDEX(lr_state,MATCH(54,$P$3:$P$71,0)))</f>
        <v/>
      </c>
      <c r="I56" s="14" t="str">
        <f t="shared" si="1"/>
        <v/>
      </c>
      <c r="M56" s="14">
        <f>IF(Inputs!$A$60="",0,IF(COUNTIF(Inputs!$A$7:$A$59,Inputs!$A$60)=0,1,0))</f>
        <v>0</v>
      </c>
      <c r="N56" s="14">
        <f>IF($M56=0,0,SUM($M$3:$M56))</f>
        <v>0</v>
      </c>
      <c r="O56" s="14">
        <f>IF(Inputs!$B$60="",0,IF(COUNTIF(Inputs!$B$7:$B$59,Inputs!$B$60)=0,1,0))</f>
        <v>0</v>
      </c>
      <c r="P56" s="14">
        <f>IF($O56=0,0,SUM($O$3:$O56))</f>
        <v>0</v>
      </c>
    </row>
    <row r="57" spans="1:16" x14ac:dyDescent="0.25">
      <c r="A57" s="14" t="str">
        <f>IF(55&gt;$N$1,"",INDEX(lr_bu,MATCH(55,$N$3:$N$71,0)))</f>
        <v/>
      </c>
      <c r="B57" s="14" t="str">
        <f>IF(55&gt;$P$1,"",INDEX(lr_state,MATCH(55,$P$3:$P$71,0)))</f>
        <v/>
      </c>
      <c r="I57" s="14" t="str">
        <f t="shared" si="1"/>
        <v/>
      </c>
      <c r="M57" s="14">
        <f>IF(Inputs!$A$61="",0,IF(COUNTIF(Inputs!$A$7:$A$60,Inputs!$A$61)=0,1,0))</f>
        <v>0</v>
      </c>
      <c r="N57" s="14">
        <f>IF($M57=0,0,SUM($M$3:$M57))</f>
        <v>0</v>
      </c>
      <c r="O57" s="14">
        <f>IF(Inputs!$B$61="",0,IF(COUNTIF(Inputs!$B$7:$B$60,Inputs!$B$61)=0,1,0))</f>
        <v>0</v>
      </c>
      <c r="P57" s="14">
        <f>IF($O57=0,0,SUM($O$3:$O57))</f>
        <v>0</v>
      </c>
    </row>
    <row r="58" spans="1:16" x14ac:dyDescent="0.25">
      <c r="A58" s="14" t="str">
        <f>IF(56&gt;$N$1,"",INDEX(lr_bu,MATCH(56,$N$3:$N$71,0)))</f>
        <v/>
      </c>
      <c r="B58" s="14" t="str">
        <f>IF(56&gt;$P$1,"",INDEX(lr_state,MATCH(56,$P$3:$P$71,0)))</f>
        <v/>
      </c>
      <c r="I58" s="14" t="str">
        <f t="shared" si="1"/>
        <v/>
      </c>
      <c r="M58" s="14">
        <f>IF(Inputs!$A$62="",0,IF(COUNTIF(Inputs!$A$7:$A$61,Inputs!$A$62)=0,1,0))</f>
        <v>0</v>
      </c>
      <c r="N58" s="14">
        <f>IF($M58=0,0,SUM($M$3:$M58))</f>
        <v>0</v>
      </c>
      <c r="O58" s="14">
        <f>IF(Inputs!$B$62="",0,IF(COUNTIF(Inputs!$B$7:$B$61,Inputs!$B$62)=0,1,0))</f>
        <v>0</v>
      </c>
      <c r="P58" s="14">
        <f>IF($O58=0,0,SUM($O$3:$O58))</f>
        <v>0</v>
      </c>
    </row>
    <row r="59" spans="1:16" x14ac:dyDescent="0.25">
      <c r="A59" s="14" t="str">
        <f>IF(57&gt;$N$1,"",INDEX(lr_bu,MATCH(57,$N$3:$N$71,0)))</f>
        <v/>
      </c>
      <c r="B59" s="14" t="str">
        <f>IF(57&gt;$P$1,"",INDEX(lr_state,MATCH(57,$P$3:$P$71,0)))</f>
        <v/>
      </c>
      <c r="I59" s="14" t="str">
        <f t="shared" si="1"/>
        <v/>
      </c>
      <c r="M59" s="14">
        <f>IF(Inputs!$A$63="",0,IF(COUNTIF(Inputs!$A$7:$A$62,Inputs!$A$63)=0,1,0))</f>
        <v>0</v>
      </c>
      <c r="N59" s="14">
        <f>IF($M59=0,0,SUM($M$3:$M59))</f>
        <v>0</v>
      </c>
      <c r="O59" s="14">
        <f>IF(Inputs!$B$63="",0,IF(COUNTIF(Inputs!$B$7:$B$62,Inputs!$B$63)=0,1,0))</f>
        <v>0</v>
      </c>
      <c r="P59" s="14">
        <f>IF($O59=0,0,SUM($O$3:$O59))</f>
        <v>0</v>
      </c>
    </row>
    <row r="60" spans="1:16" x14ac:dyDescent="0.25">
      <c r="A60" s="14" t="str">
        <f>IF(58&gt;$N$1,"",INDEX(lr_bu,MATCH(58,$N$3:$N$71,0)))</f>
        <v/>
      </c>
      <c r="B60" s="14" t="str">
        <f>IF(58&gt;$P$1,"",INDEX(lr_state,MATCH(58,$P$3:$P$71,0)))</f>
        <v/>
      </c>
      <c r="I60" s="14" t="str">
        <f t="shared" si="1"/>
        <v/>
      </c>
      <c r="M60" s="14">
        <f>IF(Inputs!$A$64="",0,IF(COUNTIF(Inputs!$A$7:$A$63,Inputs!$A$64)=0,1,0))</f>
        <v>0</v>
      </c>
      <c r="N60" s="14">
        <f>IF($M60=0,0,SUM($M$3:$M60))</f>
        <v>0</v>
      </c>
      <c r="O60" s="14">
        <f>IF(Inputs!$B$64="",0,IF(COUNTIF(Inputs!$B$7:$B$63,Inputs!$B$64)=0,1,0))</f>
        <v>0</v>
      </c>
      <c r="P60" s="14">
        <f>IF($O60=0,0,SUM($O$3:$O60))</f>
        <v>0</v>
      </c>
    </row>
    <row r="61" spans="1:16" x14ac:dyDescent="0.25">
      <c r="A61" s="14" t="str">
        <f>IF(59&gt;$N$1,"",INDEX(lr_bu,MATCH(59,$N$3:$N$71,0)))</f>
        <v/>
      </c>
      <c r="B61" s="14" t="str">
        <f>IF(59&gt;$P$1,"",INDEX(lr_state,MATCH(59,$P$3:$P$71,0)))</f>
        <v/>
      </c>
      <c r="I61" s="14" t="str">
        <f t="shared" si="1"/>
        <v/>
      </c>
      <c r="M61" s="14">
        <f>IF(Inputs!$A$65="",0,IF(COUNTIF(Inputs!$A$7:$A$64,Inputs!$A$65)=0,1,0))</f>
        <v>0</v>
      </c>
      <c r="N61" s="14">
        <f>IF($M61=0,0,SUM($M$3:$M61))</f>
        <v>0</v>
      </c>
      <c r="O61" s="14">
        <f>IF(Inputs!$B$65="",0,IF(COUNTIF(Inputs!$B$7:$B$64,Inputs!$B$65)=0,1,0))</f>
        <v>0</v>
      </c>
      <c r="P61" s="14">
        <f>IF($O61=0,0,SUM($O$3:$O61))</f>
        <v>0</v>
      </c>
    </row>
    <row r="62" spans="1:16" x14ac:dyDescent="0.25">
      <c r="A62" s="14" t="str">
        <f>IF(60&gt;$N$1,"",INDEX(lr_bu,MATCH(60,$N$3:$N$71,0)))</f>
        <v/>
      </c>
      <c r="B62" s="14" t="str">
        <f>IF(60&gt;$P$1,"",INDEX(lr_state,MATCH(60,$P$3:$P$71,0)))</f>
        <v/>
      </c>
      <c r="I62" s="14" t="str">
        <f t="shared" si="1"/>
        <v/>
      </c>
      <c r="M62" s="14">
        <f>IF(Inputs!$A$66="",0,IF(COUNTIF(Inputs!$A$7:$A$65,Inputs!$A$66)=0,1,0))</f>
        <v>0</v>
      </c>
      <c r="N62" s="14">
        <f>IF($M62=0,0,SUM($M$3:$M62))</f>
        <v>0</v>
      </c>
      <c r="O62" s="14">
        <f>IF(Inputs!$B$66="",0,IF(COUNTIF(Inputs!$B$7:$B$65,Inputs!$B$66)=0,1,0))</f>
        <v>0</v>
      </c>
      <c r="P62" s="14">
        <f>IF($O62=0,0,SUM($O$3:$O62))</f>
        <v>0</v>
      </c>
    </row>
    <row r="63" spans="1:16" x14ac:dyDescent="0.25">
      <c r="A63" s="14" t="str">
        <f>IF(61&gt;$N$1,"",INDEX(lr_bu,MATCH(61,$N$3:$N$71,0)))</f>
        <v/>
      </c>
      <c r="B63" s="14" t="str">
        <f>IF(61&gt;$P$1,"",INDEX(lr_state,MATCH(61,$P$3:$P$71,0)))</f>
        <v/>
      </c>
      <c r="I63" s="14" t="str">
        <f t="shared" si="1"/>
        <v/>
      </c>
      <c r="M63" s="14">
        <f>IF(Inputs!$A$67="",0,IF(COUNTIF(Inputs!$A$7:$A$66,Inputs!$A$67)=0,1,0))</f>
        <v>0</v>
      </c>
      <c r="N63" s="14">
        <f>IF($M63=0,0,SUM($M$3:$M63))</f>
        <v>0</v>
      </c>
      <c r="O63" s="14">
        <f>IF(Inputs!$B$67="",0,IF(COUNTIF(Inputs!$B$7:$B$66,Inputs!$B$67)=0,1,0))</f>
        <v>0</v>
      </c>
      <c r="P63" s="14">
        <f>IF($O63=0,0,SUM($O$3:$O63))</f>
        <v>0</v>
      </c>
    </row>
    <row r="64" spans="1:16" x14ac:dyDescent="0.25">
      <c r="A64" s="14" t="str">
        <f>IF(62&gt;$N$1,"",INDEX(lr_bu,MATCH(62,$N$3:$N$71,0)))</f>
        <v/>
      </c>
      <c r="B64" s="14" t="str">
        <f>IF(62&gt;$P$1,"",INDEX(lr_state,MATCH(62,$P$3:$P$71,0)))</f>
        <v/>
      </c>
      <c r="I64" s="14" t="str">
        <f t="shared" si="1"/>
        <v/>
      </c>
      <c r="M64" s="14">
        <f>IF(Inputs!$A$68="",0,IF(COUNTIF(Inputs!$A$7:$A$67,Inputs!$A$68)=0,1,0))</f>
        <v>0</v>
      </c>
      <c r="N64" s="14">
        <f>IF($M64=0,0,SUM($M$3:$M64))</f>
        <v>0</v>
      </c>
      <c r="O64" s="14">
        <f>IF(Inputs!$B$68="",0,IF(COUNTIF(Inputs!$B$7:$B$67,Inputs!$B$68)=0,1,0))</f>
        <v>0</v>
      </c>
      <c r="P64" s="14">
        <f>IF($O64=0,0,SUM($O$3:$O64))</f>
        <v>0</v>
      </c>
    </row>
    <row r="65" spans="1:16" x14ac:dyDescent="0.25">
      <c r="A65" s="14" t="str">
        <f>IF(63&gt;$N$1,"",INDEX(lr_bu,MATCH(63,$N$3:$N$71,0)))</f>
        <v/>
      </c>
      <c r="B65" s="14" t="str">
        <f>IF(63&gt;$P$1,"",INDEX(lr_state,MATCH(63,$P$3:$P$71,0)))</f>
        <v/>
      </c>
      <c r="I65" s="14" t="str">
        <f t="shared" si="1"/>
        <v/>
      </c>
      <c r="M65" s="14">
        <f>IF(Inputs!$A$69="",0,IF(COUNTIF(Inputs!$A$7:$A$68,Inputs!$A$69)=0,1,0))</f>
        <v>0</v>
      </c>
      <c r="N65" s="14">
        <f>IF($M65=0,0,SUM($M$3:$M65))</f>
        <v>0</v>
      </c>
      <c r="O65" s="14">
        <f>IF(Inputs!$B$69="",0,IF(COUNTIF(Inputs!$B$7:$B$68,Inputs!$B$69)=0,1,0))</f>
        <v>0</v>
      </c>
      <c r="P65" s="14">
        <f>IF($O65=0,0,SUM($O$3:$O65))</f>
        <v>0</v>
      </c>
    </row>
    <row r="66" spans="1:16" x14ac:dyDescent="0.25">
      <c r="A66" s="14" t="str">
        <f>IF(64&gt;$N$1,"",INDEX(lr_bu,MATCH(64,$N$3:$N$71,0)))</f>
        <v/>
      </c>
      <c r="B66" s="14" t="str">
        <f>IF(64&gt;$P$1,"",INDEX(lr_state,MATCH(64,$P$3:$P$71,0)))</f>
        <v/>
      </c>
      <c r="I66" s="14" t="str">
        <f t="shared" si="1"/>
        <v/>
      </c>
      <c r="M66" s="14">
        <f>IF(Inputs!$A$70="",0,IF(COUNTIF(Inputs!$A$7:$A$69,Inputs!$A$70)=0,1,0))</f>
        <v>0</v>
      </c>
      <c r="N66" s="14">
        <f>IF($M66=0,0,SUM($M$3:$M66))</f>
        <v>0</v>
      </c>
      <c r="O66" s="14">
        <f>IF(Inputs!$B$70="",0,IF(COUNTIF(Inputs!$B$7:$B$69,Inputs!$B$70)=0,1,0))</f>
        <v>0</v>
      </c>
      <c r="P66" s="14">
        <f>IF($O66=0,0,SUM($O$3:$O66))</f>
        <v>0</v>
      </c>
    </row>
    <row r="67" spans="1:16" x14ac:dyDescent="0.25">
      <c r="A67" s="14" t="str">
        <f>IF(65&gt;$N$1,"",INDEX(lr_bu,MATCH(65,$N$3:$N$71,0)))</f>
        <v/>
      </c>
      <c r="B67" s="14" t="str">
        <f>IF(65&gt;$P$1,"",INDEX(lr_state,MATCH(65,$P$3:$P$71,0)))</f>
        <v/>
      </c>
      <c r="I67" s="14" t="str">
        <f t="shared" si="1"/>
        <v/>
      </c>
      <c r="M67" s="14">
        <f>IF(Inputs!$A$71="",0,IF(COUNTIF(Inputs!$A$7:$A$70,Inputs!$A$71)=0,1,0))</f>
        <v>0</v>
      </c>
      <c r="N67" s="14">
        <f>IF($M67=0,0,SUM($M$3:$M67))</f>
        <v>0</v>
      </c>
      <c r="O67" s="14">
        <f>IF(Inputs!$B$71="",0,IF(COUNTIF(Inputs!$B$7:$B$70,Inputs!$B$71)=0,1,0))</f>
        <v>0</v>
      </c>
      <c r="P67" s="14">
        <f>IF($O67=0,0,SUM($O$3:$O67))</f>
        <v>0</v>
      </c>
    </row>
    <row r="68" spans="1:16" x14ac:dyDescent="0.25">
      <c r="A68" s="14" t="str">
        <f>IF(66&gt;$N$1,"",INDEX(lr_bu,MATCH(66,$N$3:$N$71,0)))</f>
        <v/>
      </c>
      <c r="B68" s="14" t="str">
        <f>IF(66&gt;$P$1,"",INDEX(lr_state,MATCH(66,$P$3:$P$71,0)))</f>
        <v/>
      </c>
      <c r="I68" s="14" t="str">
        <f t="shared" si="1"/>
        <v/>
      </c>
      <c r="M68" s="14">
        <f>IF(Inputs!$A$72="",0,IF(COUNTIF(Inputs!$A$7:$A$71,Inputs!$A$72)=0,1,0))</f>
        <v>0</v>
      </c>
      <c r="N68" s="14">
        <f>IF($M68=0,0,SUM($M$3:$M68))</f>
        <v>0</v>
      </c>
      <c r="O68" s="14">
        <f>IF(Inputs!$B$72="",0,IF(COUNTIF(Inputs!$B$7:$B$71,Inputs!$B$72)=0,1,0))</f>
        <v>0</v>
      </c>
      <c r="P68" s="14">
        <f>IF($O68=0,0,SUM($O$3:$O68))</f>
        <v>0</v>
      </c>
    </row>
    <row r="69" spans="1:16" x14ac:dyDescent="0.25">
      <c r="A69" s="14" t="str">
        <f>IF(67&gt;$N$1,"",INDEX(lr_bu,MATCH(67,$N$3:$N$71,0)))</f>
        <v/>
      </c>
      <c r="B69" s="14" t="str">
        <f>IF(67&gt;$P$1,"",INDEX(lr_state,MATCH(67,$P$3:$P$71,0)))</f>
        <v/>
      </c>
      <c r="I69" s="14" t="str">
        <f t="shared" si="1"/>
        <v/>
      </c>
      <c r="M69" s="14">
        <f>IF(Inputs!$A$73="",0,IF(COUNTIF(Inputs!$A$7:$A$72,Inputs!$A$73)=0,1,0))</f>
        <v>0</v>
      </c>
      <c r="N69" s="14">
        <f>IF($M69=0,0,SUM($M$3:$M69))</f>
        <v>0</v>
      </c>
      <c r="O69" s="14">
        <f>IF(Inputs!$B$73="",0,IF(COUNTIF(Inputs!$B$7:$B$72,Inputs!$B$73)=0,1,0))</f>
        <v>0</v>
      </c>
      <c r="P69" s="14">
        <f>IF($O69=0,0,SUM($O$3:$O69))</f>
        <v>0</v>
      </c>
    </row>
    <row r="70" spans="1:16" x14ac:dyDescent="0.25">
      <c r="A70" s="14" t="str">
        <f>IF(68&gt;$N$1,"",INDEX(lr_bu,MATCH(68,$N$3:$N$71,0)))</f>
        <v/>
      </c>
      <c r="B70" s="14" t="str">
        <f>IF(68&gt;$P$1,"",INDEX(lr_state,MATCH(68,$P$3:$P$71,0)))</f>
        <v/>
      </c>
      <c r="I70" s="14" t="str">
        <f t="shared" si="1"/>
        <v/>
      </c>
      <c r="M70" s="14">
        <f>IF(Inputs!$A$74="",0,IF(COUNTIF(Inputs!$A$7:$A$73,Inputs!$A$74)=0,1,0))</f>
        <v>0</v>
      </c>
      <c r="N70" s="14">
        <f>IF($M70=0,0,SUM($M$3:$M70))</f>
        <v>0</v>
      </c>
      <c r="O70" s="14">
        <f>IF(Inputs!$B$74="",0,IF(COUNTIF(Inputs!$B$7:$B$73,Inputs!$B$74)=0,1,0))</f>
        <v>0</v>
      </c>
      <c r="P70" s="14">
        <f>IF($O70=0,0,SUM($O$3:$O70))</f>
        <v>0</v>
      </c>
    </row>
    <row r="71" spans="1:16" x14ac:dyDescent="0.25">
      <c r="A71" s="14" t="str">
        <f>IF(69&gt;$N$1,"",INDEX(lr_bu,MATCH(69,$N$3:$N$71,0)))</f>
        <v/>
      </c>
      <c r="B71" s="14" t="str">
        <f>IF(69&gt;$P$1,"",INDEX(lr_state,MATCH(69,$P$3:$P$71,0)))</f>
        <v/>
      </c>
      <c r="I71" s="14" t="str">
        <f t="shared" si="1"/>
        <v/>
      </c>
      <c r="M71" s="14">
        <f>IF(Inputs!$A$75="",0,IF(COUNTIF(Inputs!$A$7:$A$74,Inputs!$A$75)=0,1,0))</f>
        <v>0</v>
      </c>
      <c r="N71" s="14">
        <f>IF($M71=0,0,SUM($M$3:$M71))</f>
        <v>0</v>
      </c>
      <c r="O71" s="14">
        <f>IF(Inputs!$B$75="",0,IF(COUNTIF(Inputs!$B$7:$B$74,Inputs!$B$75)=0,1,0))</f>
        <v>0</v>
      </c>
      <c r="P71" s="14">
        <f>IF($O71=0,0,SUM($O$3:$O71))</f>
        <v>0</v>
      </c>
    </row>
    <row r="72" spans="1:16" x14ac:dyDescent="0.25">
      <c r="I72" s="16"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8" t="s">
        <v>1168</v>
      </c>
    </row>
    <row r="3" spans="1:38" x14ac:dyDescent="0.25">
      <c r="A3" s="188" t="s">
        <v>1169</v>
      </c>
      <c r="B3" s="188" t="s">
        <v>1170</v>
      </c>
      <c r="C3" s="188" t="s">
        <v>1171</v>
      </c>
      <c r="D3" s="188" t="s">
        <v>1172</v>
      </c>
      <c r="E3" s="188" t="s">
        <v>446</v>
      </c>
      <c r="F3" s="188" t="s">
        <v>1173</v>
      </c>
      <c r="G3" s="188" t="s">
        <v>1174</v>
      </c>
      <c r="H3" s="188" t="s">
        <v>1175</v>
      </c>
      <c r="I3" s="188" t="s">
        <v>1176</v>
      </c>
      <c r="J3" s="188" t="s">
        <v>1177</v>
      </c>
      <c r="K3" s="188" t="s">
        <v>1178</v>
      </c>
      <c r="L3" s="188" t="s">
        <v>1179</v>
      </c>
      <c r="M3" s="188" t="s">
        <v>1180</v>
      </c>
      <c r="N3" s="188" t="s">
        <v>1181</v>
      </c>
      <c r="O3" s="188" t="s">
        <v>1182</v>
      </c>
      <c r="P3" s="188" t="s">
        <v>1183</v>
      </c>
      <c r="Q3" s="188" t="s">
        <v>1184</v>
      </c>
      <c r="R3" s="188" t="s">
        <v>1185</v>
      </c>
      <c r="S3" s="188" t="s">
        <v>1186</v>
      </c>
    </row>
    <row r="4" spans="1:38" x14ac:dyDescent="0.25">
      <c r="A4" s="81" t="str">
        <f>$A$76</f>
        <v>BU-A|AZ</v>
      </c>
      <c r="B4" s="55">
        <f>$C$76</f>
        <v>6</v>
      </c>
      <c r="C4" s="53">
        <f>$B$127</f>
        <v>1.1024</v>
      </c>
      <c r="D4" s="53">
        <f>$C$127</f>
        <v>1.0555999999999999</v>
      </c>
      <c r="E4" s="53">
        <f>$D$127</f>
        <v>1.1299600000000001</v>
      </c>
      <c r="F4" s="53">
        <f>$E$127</f>
        <v>1.1575200000000001</v>
      </c>
      <c r="G4" s="172">
        <f>$F$127</f>
        <v>0.87197757111597374</v>
      </c>
      <c r="H4" s="172">
        <f>$G$127</f>
        <v>0.88898067104303424</v>
      </c>
      <c r="I4" s="53">
        <f t="shared" ref="I4:I35" si="0">$C4/$E4</f>
        <v>0.97560975609756095</v>
      </c>
      <c r="J4" s="53">
        <f t="shared" ref="J4:J35" si="1">$C4/$F4</f>
        <v>0.95238095238095233</v>
      </c>
      <c r="K4" s="53">
        <f>IF($L$76,1,IF(AND(nr_ModAdjMaster="ON",INDEX(lr_modadj,1)="ON"),$F$76/$G4,1))</f>
        <v>0.97479571511472884</v>
      </c>
      <c r="L4" s="53">
        <f>IF($L$76,1,IF(AND(nr_ModAdjMaster="ON",INDEX(lr_modadj,1)="ON"),$F$76/$H4,1))</f>
        <v>0.95615127267356836</v>
      </c>
      <c r="M4" s="52">
        <f>IF(INDEX(lr_basis,1)="proposed",N(INDEX(lr_lrproj,1))*(1+N(INDEX(lr_s,1))),N(INDEX(lr_lrproj,1)))</f>
        <v>0.65</v>
      </c>
      <c r="N4" s="52">
        <f t="shared" ref="N4:N35" si="2">$M4*$I4*$K4*$R4</f>
        <v>0.61816313641421827</v>
      </c>
      <c r="O4" s="52">
        <f t="shared" ref="O4:O35" si="3">$M4*(1+$S4)*$J4*$L4*$R4</f>
        <v>0.59190316879792326</v>
      </c>
      <c r="P4" s="52">
        <f t="shared" ref="P4:P35" si="4">$E4/$C4-1</f>
        <v>2.5000000000000133E-2</v>
      </c>
      <c r="Q4" s="52">
        <f t="shared" ref="Q4:Q35" si="5">$F4/$E4-1</f>
        <v>2.4390243902439046E-2</v>
      </c>
      <c r="R4" s="53">
        <f>IF(N(INDEX(lr_aother,1))=0,1,INDEX(lr_aother,1))</f>
        <v>1</v>
      </c>
      <c r="S4" s="52">
        <f>IF(ISBLANK(INDEX(lr_trend,1)),N(nr_TrendDefault),N(INDEX(lr_trend,1)))</f>
        <v>0</v>
      </c>
      <c r="T4" s="81" t="str">
        <f>INDEX(lr_state,1)</f>
        <v>AZ</v>
      </c>
      <c r="U4" s="81" t="str">
        <f>INDEX(lr_bu,1)</f>
        <v>BU-A</v>
      </c>
      <c r="V4" s="189">
        <f>N(INDEX(lr_ep,1))</f>
        <v>6400</v>
      </c>
      <c r="W4" s="53">
        <f>N(INDEX(lr_mind,1))*$V4</f>
        <v>5440</v>
      </c>
      <c r="X4" s="53">
        <f>N(INDEX(lr_m0,1))*$V4</f>
        <v>5504</v>
      </c>
      <c r="Y4" s="53">
        <f>N(INDEX(lr_m1,1))*$V4</f>
        <v>5696</v>
      </c>
      <c r="Z4" s="53">
        <f t="shared" ref="Z4:Z35" si="6">$C4*$V4</f>
        <v>7055.3600000000006</v>
      </c>
      <c r="AA4" s="53">
        <f t="shared" ref="AA4:AA35" si="7">$E4*$V4</f>
        <v>7231.7440000000006</v>
      </c>
      <c r="AB4" s="53">
        <f t="shared" ref="AB4:AB35" si="8">$I4*$V4</f>
        <v>6243.9024390243903</v>
      </c>
      <c r="AC4" s="53">
        <f t="shared" ref="AC4:AC35" si="9">$G4*$V4</f>
        <v>5580.6564551422316</v>
      </c>
      <c r="AD4" s="53">
        <f t="shared" ref="AD4:AD35" si="10">$K4*$V4</f>
        <v>6238.6925767342645</v>
      </c>
      <c r="AE4" s="53">
        <f t="shared" ref="AE4:AE35" si="11">$M4*$V4</f>
        <v>4160</v>
      </c>
      <c r="AF4" s="53">
        <f t="shared" ref="AF4:AF35" si="12">$N4*$V4</f>
        <v>3956.244073050997</v>
      </c>
      <c r="AG4" s="53">
        <f t="shared" ref="AG4:AG35" si="13">$S4*$V4</f>
        <v>0</v>
      </c>
      <c r="AH4" s="53">
        <f t="shared" ref="AH4:AH35" si="14">$J4*$V4</f>
        <v>6095.2380952380945</v>
      </c>
      <c r="AI4" s="53">
        <f t="shared" ref="AI4:AI35" si="15">$L4*$V4</f>
        <v>6119.3681451108378</v>
      </c>
      <c r="AJ4" s="53">
        <f t="shared" ref="AJ4:AJ35" si="16">$O4*$V4</f>
        <v>3788.1802803067089</v>
      </c>
      <c r="AK4" s="55">
        <f>IF($L$76,1,0)</f>
        <v>0</v>
      </c>
      <c r="AL4" s="52">
        <f>IF($L$76,$M$76,0)</f>
        <v>0</v>
      </c>
    </row>
    <row r="5" spans="1:38" x14ac:dyDescent="0.25">
      <c r="A5" s="81" t="str">
        <f>$A$130</f>
        <v>BU-A|CA</v>
      </c>
      <c r="B5" s="55">
        <f>$C$130</f>
        <v>6</v>
      </c>
      <c r="C5" s="53">
        <f>$B$181</f>
        <v>1.03</v>
      </c>
      <c r="D5" s="53">
        <f>$C$181</f>
        <v>1.0199999999999998</v>
      </c>
      <c r="E5" s="53">
        <f>$D$181</f>
        <v>1.057466666666667</v>
      </c>
      <c r="F5" s="53">
        <f>$E$181</f>
        <v>1.0712000000000004</v>
      </c>
      <c r="G5" s="172">
        <f>$F$181</f>
        <v>0.91199626185266247</v>
      </c>
      <c r="H5" s="172">
        <f>$G$181</f>
        <v>0.91483011184050556</v>
      </c>
      <c r="I5" s="53">
        <f t="shared" si="0"/>
        <v>0.9740259740259738</v>
      </c>
      <c r="J5" s="53">
        <f t="shared" si="1"/>
        <v>0.96153846153846123</v>
      </c>
      <c r="K5" s="53">
        <f>IF($L$130,1,IF(AND(nr_ModAdjMaster="ON",INDEX(lr_modadj,2)="ON"),$F$130/$G5,1))</f>
        <v>1.0087760646420616</v>
      </c>
      <c r="L5" s="53">
        <f>IF($L$130,1,IF(AND(nr_ModAdjMaster="ON",INDEX(lr_modadj,2)="ON"),$F$130/$H5,1))</f>
        <v>1.0056512002530102</v>
      </c>
      <c r="M5" s="52">
        <f>IF(INDEX(lr_basis,2)="proposed",N(INDEX(lr_lrproj,2))*(1+N(INDEX(lr_s,2))),N(INDEX(lr_lrproj,2)))</f>
        <v>0.58799999999999997</v>
      </c>
      <c r="N5" s="52">
        <f t="shared" si="2"/>
        <v>0.57775356429499869</v>
      </c>
      <c r="O5" s="52">
        <f t="shared" si="3"/>
        <v>0.56857971706612476</v>
      </c>
      <c r="P5" s="52">
        <f t="shared" si="4"/>
        <v>2.666666666666706E-2</v>
      </c>
      <c r="Q5" s="52">
        <f t="shared" si="5"/>
        <v>1.2987012987013102E-2</v>
      </c>
      <c r="R5" s="53">
        <f>IF(N(INDEX(lr_aother,2))=0,1,INDEX(lr_aother,2))</f>
        <v>1</v>
      </c>
      <c r="S5" s="52">
        <f>IF(ISBLANK(INDEX(lr_trend,2)),N(nr_TrendDefault),N(INDEX(lr_trend,2)))</f>
        <v>0</v>
      </c>
      <c r="T5" s="81" t="str">
        <f>INDEX(lr_state,2)</f>
        <v>CA</v>
      </c>
      <c r="U5" s="81" t="str">
        <f>INDEX(lr_bu,2)</f>
        <v>BU-A</v>
      </c>
      <c r="V5" s="189">
        <f>N(INDEX(lr_ep,2))</f>
        <v>16800</v>
      </c>
      <c r="W5" s="53">
        <f>N(INDEX(lr_mind,2))*$V5</f>
        <v>15456</v>
      </c>
      <c r="X5" s="53">
        <f>N(INDEX(lr_m0,2))*$V5</f>
        <v>15288</v>
      </c>
      <c r="Y5" s="53">
        <f>N(INDEX(lr_m1,2))*$V5</f>
        <v>15372</v>
      </c>
      <c r="Z5" s="53">
        <f t="shared" si="6"/>
        <v>17304</v>
      </c>
      <c r="AA5" s="53">
        <f t="shared" si="7"/>
        <v>17765.440000000006</v>
      </c>
      <c r="AB5" s="53">
        <f t="shared" si="8"/>
        <v>16363.63636363636</v>
      </c>
      <c r="AC5" s="53">
        <f t="shared" si="9"/>
        <v>15321.53719912473</v>
      </c>
      <c r="AD5" s="53">
        <f t="shared" si="10"/>
        <v>16947.437885986634</v>
      </c>
      <c r="AE5" s="53">
        <f t="shared" si="11"/>
        <v>9878.4</v>
      </c>
      <c r="AF5" s="53">
        <f t="shared" si="12"/>
        <v>9706.259880155978</v>
      </c>
      <c r="AG5" s="53">
        <f t="shared" si="13"/>
        <v>0</v>
      </c>
      <c r="AH5" s="53">
        <f t="shared" si="14"/>
        <v>16153.846153846149</v>
      </c>
      <c r="AI5" s="53">
        <f t="shared" si="15"/>
        <v>16894.940164250573</v>
      </c>
      <c r="AJ5" s="53">
        <f t="shared" si="16"/>
        <v>9552.1392467108963</v>
      </c>
      <c r="AK5" s="55">
        <f>IF($L$130,1,0)</f>
        <v>0</v>
      </c>
      <c r="AL5" s="52">
        <f>IF($L$130,$M$130,0)</f>
        <v>0</v>
      </c>
    </row>
    <row r="6" spans="1:38" x14ac:dyDescent="0.25">
      <c r="A6" s="81" t="str">
        <f>$A$184</f>
        <v>BU-A|CO</v>
      </c>
      <c r="B6" s="55">
        <f>$C$184</f>
        <v>6</v>
      </c>
      <c r="C6" s="53">
        <f>$B$235</f>
        <v>1</v>
      </c>
      <c r="D6" s="53">
        <f>$C$235</f>
        <v>1</v>
      </c>
      <c r="E6" s="53">
        <f>$D$235</f>
        <v>1</v>
      </c>
      <c r="F6" s="53">
        <f>$E$235</f>
        <v>1</v>
      </c>
      <c r="G6" s="172">
        <f>$F$235</f>
        <v>0.91798504741064912</v>
      </c>
      <c r="H6" s="172">
        <f>$G$235</f>
        <v>0.92932044736202268</v>
      </c>
      <c r="I6" s="53">
        <f t="shared" si="0"/>
        <v>1</v>
      </c>
      <c r="J6" s="53">
        <f t="shared" si="1"/>
        <v>1</v>
      </c>
      <c r="K6" s="53">
        <f>IF($L$184,1,IF(AND(nr_ModAdjMaster="ON",INDEX(lr_modadj,3)="ON"),$F$184/$G6,1))</f>
        <v>1.0021949732133812</v>
      </c>
      <c r="L6" s="53">
        <f>IF($L$184,1,IF(AND(nr_ModAdjMaster="ON",INDEX(lr_modadj,3)="ON"),$F$184/$H6,1))</f>
        <v>0.98997068515119868</v>
      </c>
      <c r="M6" s="52">
        <f>IF(INDEX(lr_basis,3)="proposed",N(INDEX(lr_lrproj,3))*(1+N(INDEX(lr_s,3))),N(INDEX(lr_lrproj,3)))</f>
        <v>0.57199999999999995</v>
      </c>
      <c r="N6" s="52">
        <f t="shared" si="2"/>
        <v>0.57325552467805407</v>
      </c>
      <c r="O6" s="52">
        <f t="shared" si="3"/>
        <v>0.56626323190648564</v>
      </c>
      <c r="P6" s="52">
        <f t="shared" si="4"/>
        <v>0</v>
      </c>
      <c r="Q6" s="52">
        <f t="shared" si="5"/>
        <v>0</v>
      </c>
      <c r="R6" s="53">
        <f>IF(N(INDEX(lr_aother,3))=0,1,INDEX(lr_aother,3))</f>
        <v>1</v>
      </c>
      <c r="S6" s="52">
        <f>IF(ISBLANK(INDEX(lr_trend,3)),N(nr_TrendDefault),N(INDEX(lr_trend,3)))</f>
        <v>0</v>
      </c>
      <c r="T6" s="81" t="str">
        <f>INDEX(lr_state,3)</f>
        <v>CO</v>
      </c>
      <c r="U6" s="81" t="str">
        <f>INDEX(lr_bu,3)</f>
        <v>BU-A</v>
      </c>
      <c r="V6" s="189">
        <f>N(INDEX(lr_ep,3))</f>
        <v>13600</v>
      </c>
      <c r="W6" s="53">
        <f>N(INDEX(lr_mind,3))*$V6</f>
        <v>12512</v>
      </c>
      <c r="X6" s="53">
        <f>N(INDEX(lr_m0,3))*$V6</f>
        <v>12376</v>
      </c>
      <c r="Y6" s="53">
        <f>N(INDEX(lr_m1,3))*$V6</f>
        <v>12648</v>
      </c>
      <c r="Z6" s="53">
        <f t="shared" si="6"/>
        <v>13600</v>
      </c>
      <c r="AA6" s="53">
        <f t="shared" si="7"/>
        <v>13600</v>
      </c>
      <c r="AB6" s="53">
        <f t="shared" si="8"/>
        <v>13600</v>
      </c>
      <c r="AC6" s="53">
        <f t="shared" si="9"/>
        <v>12484.596644784828</v>
      </c>
      <c r="AD6" s="53">
        <f t="shared" si="10"/>
        <v>13629.851635701985</v>
      </c>
      <c r="AE6" s="53">
        <f t="shared" si="11"/>
        <v>7779.1999999999989</v>
      </c>
      <c r="AF6" s="53">
        <f t="shared" si="12"/>
        <v>7796.2751356215358</v>
      </c>
      <c r="AG6" s="53">
        <f t="shared" si="13"/>
        <v>0</v>
      </c>
      <c r="AH6" s="53">
        <f t="shared" si="14"/>
        <v>13600</v>
      </c>
      <c r="AI6" s="53">
        <f t="shared" si="15"/>
        <v>13463.601318056302</v>
      </c>
      <c r="AJ6" s="53">
        <f t="shared" si="16"/>
        <v>7701.1799539282047</v>
      </c>
      <c r="AK6" s="55">
        <f>IF($L$184,1,0)</f>
        <v>0</v>
      </c>
      <c r="AL6" s="52">
        <f>IF($L$184,$M$184,0)</f>
        <v>0</v>
      </c>
    </row>
    <row r="7" spans="1:38" x14ac:dyDescent="0.25">
      <c r="A7" s="81" t="str">
        <f>$A$238</f>
        <v>BU-A|CT</v>
      </c>
      <c r="B7" s="55">
        <f>$C$238</f>
        <v>6</v>
      </c>
      <c r="C7" s="53">
        <f>$B$289</f>
        <v>1.05</v>
      </c>
      <c r="D7" s="53">
        <f>$C$289</f>
        <v>1.0250000000000001</v>
      </c>
      <c r="E7" s="53">
        <f>$D$289</f>
        <v>1.05</v>
      </c>
      <c r="F7" s="53">
        <f>$E$289</f>
        <v>1.05</v>
      </c>
      <c r="G7" s="172">
        <f>$F$289</f>
        <v>0.91999999999999993</v>
      </c>
      <c r="H7" s="172">
        <f>$G$289</f>
        <v>0.91999999999999993</v>
      </c>
      <c r="I7" s="53">
        <f t="shared" si="0"/>
        <v>1</v>
      </c>
      <c r="J7" s="53">
        <f t="shared" si="1"/>
        <v>1</v>
      </c>
      <c r="K7" s="53">
        <f>IF($L$238,1,IF(AND(nr_ModAdjMaster="ON",INDEX(lr_modadj,4)="ON"),$F$238/$G7,1))</f>
        <v>1</v>
      </c>
      <c r="L7" s="53">
        <f>IF($L$238,1,IF(AND(nr_ModAdjMaster="ON",INDEX(lr_modadj,4)="ON"),$F$238/$H7,1))</f>
        <v>1</v>
      </c>
      <c r="M7" s="52">
        <f>IF(INDEX(lr_basis,4)="proposed",N(INDEX(lr_lrproj,4))*(1+N(INDEX(lr_s,4))),N(INDEX(lr_lrproj,4)))</f>
        <v>0.6</v>
      </c>
      <c r="N7" s="52">
        <f t="shared" si="2"/>
        <v>0.6</v>
      </c>
      <c r="O7" s="52">
        <f t="shared" si="3"/>
        <v>0.6</v>
      </c>
      <c r="P7" s="52">
        <f t="shared" si="4"/>
        <v>0</v>
      </c>
      <c r="Q7" s="52">
        <f t="shared" si="5"/>
        <v>0</v>
      </c>
      <c r="R7" s="53">
        <f>IF(N(INDEX(lr_aother,4))=0,1,INDEX(lr_aother,4))</f>
        <v>1</v>
      </c>
      <c r="S7" s="52">
        <f>IF(ISBLANK(INDEX(lr_trend,4)),N(nr_TrendDefault),N(INDEX(lr_trend,4)))</f>
        <v>0</v>
      </c>
      <c r="T7" s="81" t="str">
        <f>INDEX(lr_state,4)</f>
        <v>CT</v>
      </c>
      <c r="U7" s="81" t="str">
        <f>INDEX(lr_bu,4)</f>
        <v>BU-A</v>
      </c>
      <c r="V7" s="189">
        <f>N(INDEX(lr_ep,4))</f>
        <v>10400</v>
      </c>
      <c r="W7" s="53">
        <f>N(INDEX(lr_mind,4))*$V7</f>
        <v>9568</v>
      </c>
      <c r="X7" s="53">
        <f>N(INDEX(lr_m0,4))*$V7</f>
        <v>9568</v>
      </c>
      <c r="Y7" s="53">
        <f>N(INDEX(lr_m1,4))*$V7</f>
        <v>9568</v>
      </c>
      <c r="Z7" s="53">
        <f t="shared" si="6"/>
        <v>10920</v>
      </c>
      <c r="AA7" s="53">
        <f t="shared" si="7"/>
        <v>10920</v>
      </c>
      <c r="AB7" s="53">
        <f t="shared" si="8"/>
        <v>10400</v>
      </c>
      <c r="AC7" s="53">
        <f t="shared" si="9"/>
        <v>9568</v>
      </c>
      <c r="AD7" s="53">
        <f t="shared" si="10"/>
        <v>10400</v>
      </c>
      <c r="AE7" s="53">
        <f t="shared" si="11"/>
        <v>6240</v>
      </c>
      <c r="AF7" s="53">
        <f t="shared" si="12"/>
        <v>6240</v>
      </c>
      <c r="AG7" s="53">
        <f t="shared" si="13"/>
        <v>0</v>
      </c>
      <c r="AH7" s="53">
        <f t="shared" si="14"/>
        <v>10400</v>
      </c>
      <c r="AI7" s="53">
        <f t="shared" si="15"/>
        <v>10400</v>
      </c>
      <c r="AJ7" s="53">
        <f t="shared" si="16"/>
        <v>6240</v>
      </c>
      <c r="AK7" s="55">
        <f>IF($L$238,1,0)</f>
        <v>0</v>
      </c>
      <c r="AL7" s="52">
        <f>IF($L$238,$M$238,0)</f>
        <v>0</v>
      </c>
    </row>
    <row r="8" spans="1:38" x14ac:dyDescent="0.25">
      <c r="A8" s="81" t="str">
        <f>$A$292</f>
        <v>BU-A|FL</v>
      </c>
      <c r="B8" s="55">
        <f>$C$292</f>
        <v>6</v>
      </c>
      <c r="C8" s="53">
        <f>$B$343</f>
        <v>1.06</v>
      </c>
      <c r="D8" s="53">
        <f>$C$343</f>
        <v>1.0250000000000001</v>
      </c>
      <c r="E8" s="53">
        <f>$D$343</f>
        <v>1.0600000000000003</v>
      </c>
      <c r="F8" s="53">
        <f>$E$343</f>
        <v>1.0600000000000003</v>
      </c>
      <c r="G8" s="172">
        <f>$F$343</f>
        <v>0.91598878555798668</v>
      </c>
      <c r="H8" s="172">
        <f>$G$343</f>
        <v>0.92449033552151683</v>
      </c>
      <c r="I8" s="53">
        <f t="shared" si="0"/>
        <v>0.99999999999999978</v>
      </c>
      <c r="J8" s="53">
        <f t="shared" si="1"/>
        <v>0.99999999999999978</v>
      </c>
      <c r="K8" s="53">
        <f>IF($L$292,1,IF(AND(nr_ModAdjMaster="ON",INDEX(lr_modadj,5)="ON"),$F$292/$G8,1))</f>
        <v>1.0043791086804299</v>
      </c>
      <c r="L8" s="53">
        <f>IF($L$292,1,IF(AND(nr_ModAdjMaster="ON",INDEX(lr_modadj,5)="ON"),$F$292/$H8,1))</f>
        <v>0.99514290701699581</v>
      </c>
      <c r="M8" s="52">
        <f>IF(INDEX(lr_basis,5)="proposed",N(INDEX(lr_lrproj,5))*(1+N(INDEX(lr_s,5))),N(INDEX(lr_lrproj,5)))</f>
        <v>0.58399999999999996</v>
      </c>
      <c r="N8" s="52">
        <f t="shared" si="2"/>
        <v>0.58655739946937091</v>
      </c>
      <c r="O8" s="52">
        <f t="shared" si="3"/>
        <v>0.58116345769792543</v>
      </c>
      <c r="P8" s="52">
        <f t="shared" si="4"/>
        <v>0</v>
      </c>
      <c r="Q8" s="52">
        <f t="shared" si="5"/>
        <v>0</v>
      </c>
      <c r="R8" s="53">
        <f>IF(N(INDEX(lr_aother,5))=0,1,INDEX(lr_aother,5))</f>
        <v>1</v>
      </c>
      <c r="S8" s="52">
        <f>IF(ISBLANK(INDEX(lr_trend,5)),N(nr_TrendDefault),N(INDEX(lr_trend,5)))</f>
        <v>0</v>
      </c>
      <c r="T8" s="81" t="str">
        <f>INDEX(lr_state,5)</f>
        <v>FL</v>
      </c>
      <c r="U8" s="81" t="str">
        <f>INDEX(lr_bu,5)</f>
        <v>BU-A</v>
      </c>
      <c r="V8" s="189">
        <f>N(INDEX(lr_ep,5))</f>
        <v>7200</v>
      </c>
      <c r="W8" s="53">
        <f>N(INDEX(lr_mind,5))*$V8</f>
        <v>6624</v>
      </c>
      <c r="X8" s="53">
        <f>N(INDEX(lr_m0,5))*$V8</f>
        <v>6552</v>
      </c>
      <c r="Y8" s="53">
        <f>N(INDEX(lr_m1,5))*$V8</f>
        <v>6660</v>
      </c>
      <c r="Z8" s="53">
        <f t="shared" si="6"/>
        <v>7632</v>
      </c>
      <c r="AA8" s="53">
        <f t="shared" si="7"/>
        <v>7632.0000000000018</v>
      </c>
      <c r="AB8" s="53">
        <f t="shared" si="8"/>
        <v>7199.9999999999982</v>
      </c>
      <c r="AC8" s="53">
        <f t="shared" si="9"/>
        <v>6595.1192560175041</v>
      </c>
      <c r="AD8" s="53">
        <f t="shared" si="10"/>
        <v>7231.5295824990953</v>
      </c>
      <c r="AE8" s="53">
        <f t="shared" si="11"/>
        <v>4204.8</v>
      </c>
      <c r="AF8" s="53">
        <f t="shared" si="12"/>
        <v>4223.213276179471</v>
      </c>
      <c r="AG8" s="53">
        <f t="shared" si="13"/>
        <v>0</v>
      </c>
      <c r="AH8" s="53">
        <f t="shared" si="14"/>
        <v>7199.9999999999982</v>
      </c>
      <c r="AI8" s="53">
        <f t="shared" si="15"/>
        <v>7165.0289305223696</v>
      </c>
      <c r="AJ8" s="53">
        <f t="shared" si="16"/>
        <v>4184.3768954250627</v>
      </c>
      <c r="AK8" s="55">
        <f>IF($L$292,1,0)</f>
        <v>0</v>
      </c>
      <c r="AL8" s="52">
        <f>IF($L$292,$M$292,0)</f>
        <v>0</v>
      </c>
    </row>
    <row r="9" spans="1:38" x14ac:dyDescent="0.25">
      <c r="A9" s="81" t="str">
        <f>$A$346</f>
        <v>BU-A|GA</v>
      </c>
      <c r="B9" s="55">
        <f>$C$346</f>
        <v>6</v>
      </c>
      <c r="C9" s="53">
        <f>$B$397</f>
        <v>1.0449999999999999</v>
      </c>
      <c r="D9" s="53">
        <f>$C$397</f>
        <v>1.0149999999999999</v>
      </c>
      <c r="E9" s="53">
        <f>$D$397</f>
        <v>1.0589333333333328</v>
      </c>
      <c r="F9" s="53">
        <f>$E$397</f>
        <v>1.0867999999999995</v>
      </c>
      <c r="G9" s="172">
        <f>$F$397</f>
        <v>0.90792706178871529</v>
      </c>
      <c r="H9" s="172">
        <f>$G$397</f>
        <v>0.90662632410363519</v>
      </c>
      <c r="I9" s="53">
        <f t="shared" si="0"/>
        <v>0.9868421052631583</v>
      </c>
      <c r="J9" s="53">
        <f t="shared" si="1"/>
        <v>0.9615384615384619</v>
      </c>
      <c r="K9" s="53">
        <f>IF($L$346,1,IF(AND(nr_ModAdjMaster="ON",INDEX(lr_modadj,6)="ON"),$F$346/$G9,1))</f>
        <v>1.013297255604982</v>
      </c>
      <c r="L9" s="53">
        <f>IF($L$346,1,IF(AND(nr_ModAdjMaster="ON",INDEX(lr_modadj,6)="ON"),$F$346/$H9,1))</f>
        <v>1.0147510341811299</v>
      </c>
      <c r="M9" s="52">
        <f>IF(INDEX(lr_basis,6)="proposed",N(INDEX(lr_lrproj,6))*(1+N(INDEX(lr_s,6))),N(INDEX(lr_lrproj,6)))</f>
        <v>0.56799999999999995</v>
      </c>
      <c r="N9" s="52">
        <f t="shared" si="2"/>
        <v>0.56797977748384532</v>
      </c>
      <c r="O9" s="52">
        <f t="shared" si="3"/>
        <v>0.55421018020661728</v>
      </c>
      <c r="P9" s="52">
        <f t="shared" si="4"/>
        <v>1.3333333333332975E-2</v>
      </c>
      <c r="Q9" s="52">
        <f t="shared" si="5"/>
        <v>2.6315789473684292E-2</v>
      </c>
      <c r="R9" s="53">
        <f>IF(N(INDEX(lr_aother,6))=0,1,INDEX(lr_aother,6))</f>
        <v>1</v>
      </c>
      <c r="S9" s="52">
        <f>IF(ISBLANK(INDEX(lr_trend,6)),N(nr_TrendDefault),N(INDEX(lr_trend,6)))</f>
        <v>0</v>
      </c>
      <c r="T9" s="81" t="str">
        <f>INDEX(lr_state,6)</f>
        <v>GA</v>
      </c>
      <c r="U9" s="81" t="str">
        <f>INDEX(lr_bu,6)</f>
        <v>BU-A</v>
      </c>
      <c r="V9" s="189">
        <f>N(INDEX(lr_ep,6))</f>
        <v>17600</v>
      </c>
      <c r="W9" s="53">
        <f>N(INDEX(lr_mind,6))*$V9</f>
        <v>16192</v>
      </c>
      <c r="X9" s="53">
        <f>N(INDEX(lr_m0,6))*$V9</f>
        <v>16016</v>
      </c>
      <c r="Y9" s="53">
        <f>N(INDEX(lr_m1,6))*$V9</f>
        <v>15928</v>
      </c>
      <c r="Z9" s="53">
        <f t="shared" si="6"/>
        <v>18392</v>
      </c>
      <c r="AA9" s="53">
        <f t="shared" si="7"/>
        <v>18637.226666666658</v>
      </c>
      <c r="AB9" s="53">
        <f t="shared" si="8"/>
        <v>17368.421052631587</v>
      </c>
      <c r="AC9" s="53">
        <f t="shared" si="9"/>
        <v>15979.516287481389</v>
      </c>
      <c r="AD9" s="53">
        <f t="shared" si="10"/>
        <v>17834.031698647683</v>
      </c>
      <c r="AE9" s="53">
        <f t="shared" si="11"/>
        <v>9996.7999999999993</v>
      </c>
      <c r="AF9" s="53">
        <f t="shared" si="12"/>
        <v>9996.4440837156781</v>
      </c>
      <c r="AG9" s="53">
        <f t="shared" si="13"/>
        <v>0</v>
      </c>
      <c r="AH9" s="53">
        <f t="shared" si="14"/>
        <v>16923.076923076929</v>
      </c>
      <c r="AI9" s="53">
        <f t="shared" si="15"/>
        <v>17859.618201587888</v>
      </c>
      <c r="AJ9" s="53">
        <f t="shared" si="16"/>
        <v>9754.0991716364642</v>
      </c>
      <c r="AK9" s="55">
        <f>IF($L$346,1,0)</f>
        <v>0</v>
      </c>
      <c r="AL9" s="52">
        <f>IF($L$346,$M$346,0)</f>
        <v>0</v>
      </c>
    </row>
    <row r="10" spans="1:38" x14ac:dyDescent="0.25">
      <c r="A10" s="81" t="str">
        <f>$A$400</f>
        <v>BU-A|IL</v>
      </c>
      <c r="B10" s="55">
        <f>$C$400</f>
        <v>6</v>
      </c>
      <c r="C10" s="53">
        <f>$B$451</f>
        <v>1.03</v>
      </c>
      <c r="D10" s="53">
        <f>$C$451</f>
        <v>1.0075000000000001</v>
      </c>
      <c r="E10" s="53">
        <f>$D$451</f>
        <v>1.03</v>
      </c>
      <c r="F10" s="53">
        <f>$E$451</f>
        <v>1.03</v>
      </c>
      <c r="G10" s="172">
        <f>$F$451</f>
        <v>0.91399252370532447</v>
      </c>
      <c r="H10" s="172">
        <f>$G$451</f>
        <v>0.91966022368101141</v>
      </c>
      <c r="I10" s="53">
        <f t="shared" si="0"/>
        <v>1</v>
      </c>
      <c r="J10" s="53">
        <f t="shared" si="1"/>
        <v>1</v>
      </c>
      <c r="K10" s="53">
        <f>IF($L$400,1,IF(AND(nr_ModAdjMaster="ON",INDEX(lr_modadj,7)="ON"),$F$400/$G10,1))</f>
        <v>1.0065727849395543</v>
      </c>
      <c r="L10" s="53">
        <f>IF($L$400,1,IF(AND(nr_ModAdjMaster="ON",INDEX(lr_modadj,7)="ON"),$F$400/$H10,1))</f>
        <v>1.000369458535054</v>
      </c>
      <c r="M10" s="52">
        <f>IF(INDEX(lr_basis,7)="proposed",N(INDEX(lr_lrproj,7))*(1+N(INDEX(lr_s,7))),N(INDEX(lr_lrproj,7)))</f>
        <v>0.59599999999999997</v>
      </c>
      <c r="N10" s="52">
        <f t="shared" si="2"/>
        <v>0.59991737982397431</v>
      </c>
      <c r="O10" s="52">
        <f t="shared" si="3"/>
        <v>0.59622019728689213</v>
      </c>
      <c r="P10" s="52">
        <f t="shared" si="4"/>
        <v>0</v>
      </c>
      <c r="Q10" s="52">
        <f t="shared" si="5"/>
        <v>0</v>
      </c>
      <c r="R10" s="53">
        <f>IF(N(INDEX(lr_aother,7))=0,1,INDEX(lr_aother,7))</f>
        <v>1</v>
      </c>
      <c r="S10" s="52">
        <f>IF(ISBLANK(INDEX(lr_trend,7)),N(nr_TrendDefault),N(INDEX(lr_trend,7)))</f>
        <v>0</v>
      </c>
      <c r="T10" s="81" t="str">
        <f>INDEX(lr_state,7)</f>
        <v>IL</v>
      </c>
      <c r="U10" s="81" t="str">
        <f>INDEX(lr_bu,7)</f>
        <v>BU-A</v>
      </c>
      <c r="V10" s="189">
        <f>N(INDEX(lr_ep,7))</f>
        <v>14400</v>
      </c>
      <c r="W10" s="53">
        <f>N(INDEX(lr_mind,7))*$V10</f>
        <v>13248</v>
      </c>
      <c r="X10" s="53">
        <f>N(INDEX(lr_m0,7))*$V10</f>
        <v>13104</v>
      </c>
      <c r="Y10" s="53">
        <f>N(INDEX(lr_m1,7))*$V10</f>
        <v>13248</v>
      </c>
      <c r="Z10" s="53">
        <f t="shared" si="6"/>
        <v>14832</v>
      </c>
      <c r="AA10" s="53">
        <f t="shared" si="7"/>
        <v>14832</v>
      </c>
      <c r="AB10" s="53">
        <f t="shared" si="8"/>
        <v>14400</v>
      </c>
      <c r="AC10" s="53">
        <f t="shared" si="9"/>
        <v>13161.492341356672</v>
      </c>
      <c r="AD10" s="53">
        <f t="shared" si="10"/>
        <v>14494.648103129581</v>
      </c>
      <c r="AE10" s="53">
        <f t="shared" si="11"/>
        <v>8582.4</v>
      </c>
      <c r="AF10" s="53">
        <f t="shared" si="12"/>
        <v>8638.8102694652298</v>
      </c>
      <c r="AG10" s="53">
        <f t="shared" si="13"/>
        <v>0</v>
      </c>
      <c r="AH10" s="53">
        <f t="shared" si="14"/>
        <v>14400</v>
      </c>
      <c r="AI10" s="53">
        <f t="shared" si="15"/>
        <v>14405.320202904777</v>
      </c>
      <c r="AJ10" s="53">
        <f t="shared" si="16"/>
        <v>8585.5708409312465</v>
      </c>
      <c r="AK10" s="55">
        <f>IF($L$400,1,0)</f>
        <v>0</v>
      </c>
      <c r="AL10" s="52">
        <f>IF($L$400,$M$400,0)</f>
        <v>0</v>
      </c>
    </row>
    <row r="11" spans="1:38" x14ac:dyDescent="0.25">
      <c r="A11" s="81" t="str">
        <f>$A$454</f>
        <v>BU-A|IN</v>
      </c>
      <c r="B11" s="55">
        <f>$C$454</f>
        <v>6</v>
      </c>
      <c r="C11" s="53">
        <f>$B$505</f>
        <v>1.04</v>
      </c>
      <c r="D11" s="53">
        <f>$C$505</f>
        <v>1.0069444444444444</v>
      </c>
      <c r="E11" s="53">
        <f>$D$505</f>
        <v>1.039722222222222</v>
      </c>
      <c r="F11" s="53">
        <f>$E$505</f>
        <v>1.0399999999999998</v>
      </c>
      <c r="G11" s="172">
        <f>$F$505</f>
        <v>0.90600747629467537</v>
      </c>
      <c r="H11" s="172">
        <f>$G$505</f>
        <v>0.90033977631898854</v>
      </c>
      <c r="I11" s="53">
        <f t="shared" si="0"/>
        <v>1.0002671653753676</v>
      </c>
      <c r="J11" s="53">
        <f t="shared" si="1"/>
        <v>1.0000000000000002</v>
      </c>
      <c r="K11" s="53">
        <f>IF($L$454,1,IF(AND(nr_ModAdjMaster="ON",INDEX(lr_modadj,8)="ON"),$F$454/$G11,1))</f>
        <v>1.0154441592055623</v>
      </c>
      <c r="L11" s="53">
        <f>IF($L$454,1,IF(AND(nr_ModAdjMaster="ON",INDEX(lr_modadj,8)="ON"),$F$454/$H11,1))</f>
        <v>1.0218364490808034</v>
      </c>
      <c r="M11" s="52">
        <f>IF(INDEX(lr_basis,8)="proposed",N(INDEX(lr_lrproj,8))*(1+N(INDEX(lr_s,8))),N(INDEX(lr_lrproj,8)))</f>
        <v>0.57999999999999996</v>
      </c>
      <c r="N11" s="52">
        <f t="shared" si="2"/>
        <v>0.58911496142080233</v>
      </c>
      <c r="O11" s="52">
        <f t="shared" si="3"/>
        <v>0.59266514046686603</v>
      </c>
      <c r="P11" s="52">
        <f t="shared" si="4"/>
        <v>-2.6709401709423819E-4</v>
      </c>
      <c r="Q11" s="52">
        <f t="shared" si="5"/>
        <v>2.6716537536741747E-4</v>
      </c>
      <c r="R11" s="53">
        <f>IF(N(INDEX(lr_aother,8))=0,1,INDEX(lr_aother,8))</f>
        <v>1</v>
      </c>
      <c r="S11" s="52">
        <f>IF(ISBLANK(INDEX(lr_trend,8)),N(nr_TrendDefault),N(INDEX(lr_trend,8)))</f>
        <v>0</v>
      </c>
      <c r="T11" s="81" t="str">
        <f>INDEX(lr_state,8)</f>
        <v>IN</v>
      </c>
      <c r="U11" s="81" t="str">
        <f>INDEX(lr_bu,8)</f>
        <v>BU-A</v>
      </c>
      <c r="V11" s="189">
        <f>N(INDEX(lr_ep,8))</f>
        <v>11200</v>
      </c>
      <c r="W11" s="53">
        <f>N(INDEX(lr_mind,8))*$V11</f>
        <v>10304</v>
      </c>
      <c r="X11" s="53">
        <f>N(INDEX(lr_m0,8))*$V11</f>
        <v>10192</v>
      </c>
      <c r="Y11" s="53">
        <f>N(INDEX(lr_m1,8))*$V11</f>
        <v>10080</v>
      </c>
      <c r="Z11" s="53">
        <f t="shared" si="6"/>
        <v>11648</v>
      </c>
      <c r="AA11" s="53">
        <f t="shared" si="7"/>
        <v>11644.888888888887</v>
      </c>
      <c r="AB11" s="53">
        <f t="shared" si="8"/>
        <v>11202.992252204118</v>
      </c>
      <c r="AC11" s="53">
        <f t="shared" si="9"/>
        <v>10147.283734500365</v>
      </c>
      <c r="AD11" s="53">
        <f t="shared" si="10"/>
        <v>11372.974583102297</v>
      </c>
      <c r="AE11" s="53">
        <f t="shared" si="11"/>
        <v>6496</v>
      </c>
      <c r="AF11" s="53">
        <f t="shared" si="12"/>
        <v>6598.0875679129858</v>
      </c>
      <c r="AG11" s="53">
        <f t="shared" si="13"/>
        <v>0</v>
      </c>
      <c r="AH11" s="53">
        <f t="shared" si="14"/>
        <v>11200.000000000002</v>
      </c>
      <c r="AI11" s="53">
        <f t="shared" si="15"/>
        <v>11444.568229704999</v>
      </c>
      <c r="AJ11" s="53">
        <f t="shared" si="16"/>
        <v>6637.8495732288993</v>
      </c>
      <c r="AK11" s="55">
        <f>IF($L$454,1,0)</f>
        <v>0</v>
      </c>
      <c r="AL11" s="52">
        <f>IF($L$454,$M$454,0)</f>
        <v>0</v>
      </c>
    </row>
    <row r="12" spans="1:38" x14ac:dyDescent="0.25">
      <c r="A12" s="81" t="str">
        <f>$A$508</f>
        <v>BU-A|IA</v>
      </c>
      <c r="B12" s="55">
        <f>$C$508</f>
        <v>6</v>
      </c>
      <c r="C12" s="53">
        <f>$B$559</f>
        <v>1</v>
      </c>
      <c r="D12" s="53">
        <f>$C$559</f>
        <v>1</v>
      </c>
      <c r="E12" s="53">
        <f>$D$559</f>
        <v>1</v>
      </c>
      <c r="F12" s="53">
        <f>$E$559</f>
        <v>1</v>
      </c>
      <c r="G12" s="172">
        <f>$F$559</f>
        <v>0.91199626185266247</v>
      </c>
      <c r="H12" s="172">
        <f>$G$559</f>
        <v>0.91483011184050556</v>
      </c>
      <c r="I12" s="53">
        <f t="shared" si="0"/>
        <v>1</v>
      </c>
      <c r="J12" s="53">
        <f t="shared" si="1"/>
        <v>1</v>
      </c>
      <c r="K12" s="53">
        <f>IF($L$508,1,IF(AND(nr_ModAdjMaster="ON",INDEX(lr_modadj,9)="ON"),$F$508/$G12,1))</f>
        <v>1.0087760646420616</v>
      </c>
      <c r="L12" s="53">
        <f>IF($L$508,1,IF(AND(nr_ModAdjMaster="ON",INDEX(lr_modadj,9)="ON"),$F$508/$H12,1))</f>
        <v>1.0056512002530102</v>
      </c>
      <c r="M12" s="52">
        <f>IF(INDEX(lr_basis,9)="proposed",N(INDEX(lr_lrproj,9))*(1+N(INDEX(lr_s,9))),N(INDEX(lr_lrproj,9)))</f>
        <v>0.56399999999999995</v>
      </c>
      <c r="N12" s="52">
        <f t="shared" si="2"/>
        <v>0.56894970045812265</v>
      </c>
      <c r="O12" s="52">
        <f t="shared" si="3"/>
        <v>0.56718727694269777</v>
      </c>
      <c r="P12" s="52">
        <f t="shared" si="4"/>
        <v>0</v>
      </c>
      <c r="Q12" s="52">
        <f t="shared" si="5"/>
        <v>0</v>
      </c>
      <c r="R12" s="53">
        <f>IF(N(INDEX(lr_aother,9))=0,1,INDEX(lr_aother,9))</f>
        <v>1</v>
      </c>
      <c r="S12" s="52">
        <f>IF(ISBLANK(INDEX(lr_trend,9)),N(nr_TrendDefault),N(INDEX(lr_trend,9)))</f>
        <v>0</v>
      </c>
      <c r="T12" s="81" t="str">
        <f>INDEX(lr_state,9)</f>
        <v>IA</v>
      </c>
      <c r="U12" s="81" t="str">
        <f>INDEX(lr_bu,9)</f>
        <v>BU-A</v>
      </c>
      <c r="V12" s="189">
        <f>N(INDEX(lr_ep,9))</f>
        <v>8000</v>
      </c>
      <c r="W12" s="53">
        <f>N(INDEX(lr_mind,9))*$V12</f>
        <v>7360</v>
      </c>
      <c r="X12" s="53">
        <f>N(INDEX(lr_m0,9))*$V12</f>
        <v>7280</v>
      </c>
      <c r="Y12" s="53">
        <f>N(INDEX(lr_m1,9))*$V12</f>
        <v>7320</v>
      </c>
      <c r="Z12" s="53">
        <f t="shared" si="6"/>
        <v>8000</v>
      </c>
      <c r="AA12" s="53">
        <f t="shared" si="7"/>
        <v>8000</v>
      </c>
      <c r="AB12" s="53">
        <f t="shared" si="8"/>
        <v>8000</v>
      </c>
      <c r="AC12" s="53">
        <f t="shared" si="9"/>
        <v>7295.9700948212994</v>
      </c>
      <c r="AD12" s="53">
        <f t="shared" si="10"/>
        <v>8070.2085171364924</v>
      </c>
      <c r="AE12" s="53">
        <f t="shared" si="11"/>
        <v>4512</v>
      </c>
      <c r="AF12" s="53">
        <f t="shared" si="12"/>
        <v>4551.5976036649809</v>
      </c>
      <c r="AG12" s="53">
        <f t="shared" si="13"/>
        <v>0</v>
      </c>
      <c r="AH12" s="53">
        <f t="shared" si="14"/>
        <v>8000</v>
      </c>
      <c r="AI12" s="53">
        <f t="shared" si="15"/>
        <v>8045.2096020240824</v>
      </c>
      <c r="AJ12" s="53">
        <f t="shared" si="16"/>
        <v>4537.4982155415819</v>
      </c>
      <c r="AK12" s="55">
        <f>IF($L$508,1,0)</f>
        <v>0</v>
      </c>
      <c r="AL12" s="52">
        <f>IF($L$508,$M$508,0)</f>
        <v>0</v>
      </c>
    </row>
    <row r="13" spans="1:38" x14ac:dyDescent="0.25">
      <c r="A13" s="81" t="str">
        <f>$A$562</f>
        <v>BU-A|KY</v>
      </c>
      <c r="B13" s="55">
        <f>$C$562</f>
        <v>6</v>
      </c>
      <c r="C13" s="53">
        <f>$B$613</f>
        <v>1.06</v>
      </c>
      <c r="D13" s="53">
        <f>$C$613</f>
        <v>1.0037499999999999</v>
      </c>
      <c r="E13" s="53">
        <f>$D$613</f>
        <v>1.0589000000000002</v>
      </c>
      <c r="F13" s="53">
        <f>$E$613</f>
        <v>1.09975</v>
      </c>
      <c r="G13" s="172">
        <f>$F$613</f>
        <v>0.91798504741064912</v>
      </c>
      <c r="H13" s="172">
        <f>$G$613</f>
        <v>0.92932044736202268</v>
      </c>
      <c r="I13" s="53">
        <f t="shared" si="0"/>
        <v>1.0010388138634432</v>
      </c>
      <c r="J13" s="53">
        <f t="shared" si="1"/>
        <v>0.96385542168674698</v>
      </c>
      <c r="K13" s="53">
        <f>IF($L$562,1,IF(AND(nr_ModAdjMaster="ON",INDEX(lr_modadj,10)="ON"),$F$562/$G13,1))</f>
        <v>1.0021949732133812</v>
      </c>
      <c r="L13" s="53">
        <f>IF($L$562,1,IF(AND(nr_ModAdjMaster="ON",INDEX(lr_modadj,10)="ON"),$F$562/$H13,1))</f>
        <v>0.98997068515119868</v>
      </c>
      <c r="M13" s="52">
        <f>IF(INDEX(lr_basis,10)="proposed",N(INDEX(lr_lrproj,10))*(1+N(INDEX(lr_s,10))),N(INDEX(lr_lrproj,10)))</f>
        <v>0.59199999999999997</v>
      </c>
      <c r="N13" s="52">
        <f t="shared" si="2"/>
        <v>0.59391575180929357</v>
      </c>
      <c r="O13" s="52">
        <f t="shared" si="3"/>
        <v>0.56487965841880439</v>
      </c>
      <c r="P13" s="52">
        <f t="shared" si="4"/>
        <v>-1.0377358490565314E-3</v>
      </c>
      <c r="Q13" s="52">
        <f t="shared" si="5"/>
        <v>3.8577769383322247E-2</v>
      </c>
      <c r="R13" s="53">
        <f>IF(N(INDEX(lr_aother,10))=0,1,INDEX(lr_aother,10))</f>
        <v>1</v>
      </c>
      <c r="S13" s="52">
        <f>IF(ISBLANK(INDEX(lr_trend,10)),N(nr_TrendDefault),N(INDEX(lr_trend,10)))</f>
        <v>0</v>
      </c>
      <c r="T13" s="81" t="str">
        <f>INDEX(lr_state,10)</f>
        <v>KY</v>
      </c>
      <c r="U13" s="81" t="str">
        <f>INDEX(lr_bu,10)</f>
        <v>BU-A</v>
      </c>
      <c r="V13" s="189">
        <f>N(INDEX(lr_ep,10))</f>
        <v>18400</v>
      </c>
      <c r="W13" s="53">
        <f>N(INDEX(lr_mind,10))*$V13</f>
        <v>16928</v>
      </c>
      <c r="X13" s="53">
        <f>N(INDEX(lr_m0,10))*$V13</f>
        <v>16744</v>
      </c>
      <c r="Y13" s="53">
        <f>N(INDEX(lr_m1,10))*$V13</f>
        <v>17112</v>
      </c>
      <c r="Z13" s="53">
        <f t="shared" si="6"/>
        <v>19504</v>
      </c>
      <c r="AA13" s="53">
        <f t="shared" si="7"/>
        <v>19483.760000000002</v>
      </c>
      <c r="AB13" s="53">
        <f t="shared" si="8"/>
        <v>18419.114175087354</v>
      </c>
      <c r="AC13" s="53">
        <f t="shared" si="9"/>
        <v>16890.924872355943</v>
      </c>
      <c r="AD13" s="53">
        <f t="shared" si="10"/>
        <v>18440.387507126215</v>
      </c>
      <c r="AE13" s="53">
        <f t="shared" si="11"/>
        <v>10892.8</v>
      </c>
      <c r="AF13" s="53">
        <f t="shared" si="12"/>
        <v>10928.049833291001</v>
      </c>
      <c r="AG13" s="53">
        <f t="shared" si="13"/>
        <v>0</v>
      </c>
      <c r="AH13" s="53">
        <f t="shared" si="14"/>
        <v>17734.939759036144</v>
      </c>
      <c r="AI13" s="53">
        <f t="shared" si="15"/>
        <v>18215.460606782057</v>
      </c>
      <c r="AJ13" s="53">
        <f t="shared" si="16"/>
        <v>10393.785714906</v>
      </c>
      <c r="AK13" s="55">
        <f>IF($L$562,1,0)</f>
        <v>0</v>
      </c>
      <c r="AL13" s="52">
        <f>IF($L$562,$M$562,0)</f>
        <v>0</v>
      </c>
    </row>
    <row r="14" spans="1:38" x14ac:dyDescent="0.25">
      <c r="A14" s="81" t="str">
        <f>$A$616</f>
        <v>BU-A|MD</v>
      </c>
      <c r="B14" s="55">
        <f>$C$616</f>
        <v>6</v>
      </c>
      <c r="C14" s="53">
        <f>$B$667</f>
        <v>1.02</v>
      </c>
      <c r="D14" s="53">
        <f>$C$667</f>
        <v>1.0005555555555556</v>
      </c>
      <c r="E14" s="53">
        <f>$D$667</f>
        <v>1.0177777777777779</v>
      </c>
      <c r="F14" s="53">
        <f>$E$667</f>
        <v>1.0200000000000002</v>
      </c>
      <c r="G14" s="172">
        <f>$F$667</f>
        <v>0.90999999999999981</v>
      </c>
      <c r="H14" s="172">
        <f>$G$667</f>
        <v>0.90999999999999981</v>
      </c>
      <c r="I14" s="53">
        <f t="shared" si="0"/>
        <v>1.0021834061135371</v>
      </c>
      <c r="J14" s="53">
        <f t="shared" si="1"/>
        <v>0.99999999999999978</v>
      </c>
      <c r="K14" s="53">
        <f>IF($L$616,1,IF(AND(nr_ModAdjMaster="ON",INDEX(lr_modadj,11)="ON"),$F$616/$G14,1))</f>
        <v>1.0109890109890112</v>
      </c>
      <c r="L14" s="53">
        <f>IF($L$616,1,IF(AND(nr_ModAdjMaster="ON",INDEX(lr_modadj,11)="ON"),$F$616/$H14,1))</f>
        <v>1.0109890109890112</v>
      </c>
      <c r="M14" s="52">
        <f>IF(INDEX(lr_basis,11)="proposed",N(INDEX(lr_lrproj,11))*(1+N(INDEX(lr_s,11))),N(INDEX(lr_lrproj,11)))</f>
        <v>0.57599999999999996</v>
      </c>
      <c r="N14" s="52">
        <f t="shared" si="2"/>
        <v>0.58360113249196222</v>
      </c>
      <c r="O14" s="52">
        <f t="shared" si="3"/>
        <v>0.58232967032967031</v>
      </c>
      <c r="P14" s="52">
        <f t="shared" si="4"/>
        <v>-2.1786492374726851E-3</v>
      </c>
      <c r="Q14" s="52">
        <f t="shared" si="5"/>
        <v>2.1834061135372895E-3</v>
      </c>
      <c r="R14" s="53">
        <f>IF(N(INDEX(lr_aother,11))=0,1,INDEX(lr_aother,11))</f>
        <v>1</v>
      </c>
      <c r="S14" s="52">
        <f>IF(ISBLANK(INDEX(lr_trend,11)),N(nr_TrendDefault),N(INDEX(lr_trend,11)))</f>
        <v>0</v>
      </c>
      <c r="T14" s="81" t="str">
        <f>INDEX(lr_state,11)</f>
        <v>MD</v>
      </c>
      <c r="U14" s="81" t="str">
        <f>INDEX(lr_bu,11)</f>
        <v>BU-A</v>
      </c>
      <c r="V14" s="189">
        <f>N(INDEX(lr_ep,11))</f>
        <v>15200</v>
      </c>
      <c r="W14" s="53">
        <f>N(INDEX(lr_mind,11))*$V14</f>
        <v>13984</v>
      </c>
      <c r="X14" s="53">
        <f>N(INDEX(lr_m0,11))*$V14</f>
        <v>13832</v>
      </c>
      <c r="Y14" s="53">
        <f>N(INDEX(lr_m1,11))*$V14</f>
        <v>13832</v>
      </c>
      <c r="Z14" s="53">
        <f t="shared" si="6"/>
        <v>15504</v>
      </c>
      <c r="AA14" s="53">
        <f t="shared" si="7"/>
        <v>15470.222222222224</v>
      </c>
      <c r="AB14" s="53">
        <f t="shared" si="8"/>
        <v>15233.187772925763</v>
      </c>
      <c r="AC14" s="53">
        <f t="shared" si="9"/>
        <v>13831.999999999996</v>
      </c>
      <c r="AD14" s="53">
        <f t="shared" si="10"/>
        <v>15367.03296703297</v>
      </c>
      <c r="AE14" s="53">
        <f t="shared" si="11"/>
        <v>8755.1999999999989</v>
      </c>
      <c r="AF14" s="53">
        <f t="shared" si="12"/>
        <v>8870.7372138778264</v>
      </c>
      <c r="AG14" s="53">
        <f t="shared" si="13"/>
        <v>0</v>
      </c>
      <c r="AH14" s="53">
        <f t="shared" si="14"/>
        <v>15199.999999999996</v>
      </c>
      <c r="AI14" s="53">
        <f t="shared" si="15"/>
        <v>15367.03296703297</v>
      </c>
      <c r="AJ14" s="53">
        <f t="shared" si="16"/>
        <v>8851.4109890109885</v>
      </c>
      <c r="AK14" s="55">
        <f>IF($L$616,1,0)</f>
        <v>0</v>
      </c>
      <c r="AL14" s="52">
        <f>IF($L$616,$M$616,0)</f>
        <v>0</v>
      </c>
    </row>
    <row r="15" spans="1:38" x14ac:dyDescent="0.25">
      <c r="A15" s="81" t="str">
        <f>$A$670</f>
        <v>BU-A|MI</v>
      </c>
      <c r="B15" s="55">
        <f>$C$670</f>
        <v>6</v>
      </c>
      <c r="C15" s="53">
        <f>$B$721</f>
        <v>1</v>
      </c>
      <c r="D15" s="53">
        <f>$C$721</f>
        <v>1</v>
      </c>
      <c r="E15" s="53">
        <f>$D$721</f>
        <v>1</v>
      </c>
      <c r="F15" s="53">
        <f>$E$721</f>
        <v>1</v>
      </c>
      <c r="G15" s="172">
        <f>$F$721</f>
        <v>0.91598878555798668</v>
      </c>
      <c r="H15" s="172">
        <f>$G$721</f>
        <v>0.92449033552151683</v>
      </c>
      <c r="I15" s="53">
        <f t="shared" si="0"/>
        <v>1</v>
      </c>
      <c r="J15" s="53">
        <f t="shared" si="1"/>
        <v>1</v>
      </c>
      <c r="K15" s="53">
        <f>IF($L$670,1,IF(AND(nr_ModAdjMaster="ON",INDEX(lr_modadj,12)="ON"),$F$670/$G15,1))</f>
        <v>1.0043791086804299</v>
      </c>
      <c r="L15" s="53">
        <f>IF($L$670,1,IF(AND(nr_ModAdjMaster="ON",INDEX(lr_modadj,12)="ON"),$F$670/$H15,1))</f>
        <v>0.99514290701699581</v>
      </c>
      <c r="M15" s="52">
        <f>IF(INDEX(lr_basis,12)="proposed",N(INDEX(lr_lrproj,12))*(1+N(INDEX(lr_s,12))),N(INDEX(lr_lrproj,12)))</f>
        <v>0.56000000000000005</v>
      </c>
      <c r="N15" s="52">
        <f t="shared" si="2"/>
        <v>0.56245230086104081</v>
      </c>
      <c r="O15" s="52">
        <f t="shared" si="3"/>
        <v>0.5572800279295177</v>
      </c>
      <c r="P15" s="52">
        <f t="shared" si="4"/>
        <v>0</v>
      </c>
      <c r="Q15" s="52">
        <f t="shared" si="5"/>
        <v>0</v>
      </c>
      <c r="R15" s="53">
        <f>IF(N(INDEX(lr_aother,12))=0,1,INDEX(lr_aother,12))</f>
        <v>1</v>
      </c>
      <c r="S15" s="52">
        <f>IF(ISBLANK(INDEX(lr_trend,12)),N(nr_TrendDefault),N(INDEX(lr_trend,12)))</f>
        <v>0</v>
      </c>
      <c r="T15" s="81" t="str">
        <f>INDEX(lr_state,12)</f>
        <v>MI</v>
      </c>
      <c r="U15" s="81" t="str">
        <f>INDEX(lr_bu,12)</f>
        <v>BU-A</v>
      </c>
      <c r="V15" s="189">
        <f>N(INDEX(lr_ep,12))</f>
        <v>12000</v>
      </c>
      <c r="W15" s="53">
        <f>N(INDEX(lr_mind,12))*$V15</f>
        <v>11040</v>
      </c>
      <c r="X15" s="53">
        <f>N(INDEX(lr_m0,12))*$V15</f>
        <v>10920</v>
      </c>
      <c r="Y15" s="53">
        <f>N(INDEX(lr_m1,12))*$V15</f>
        <v>11100</v>
      </c>
      <c r="Z15" s="53">
        <f t="shared" si="6"/>
        <v>12000</v>
      </c>
      <c r="AA15" s="53">
        <f t="shared" si="7"/>
        <v>12000</v>
      </c>
      <c r="AB15" s="53">
        <f t="shared" si="8"/>
        <v>12000</v>
      </c>
      <c r="AC15" s="53">
        <f t="shared" si="9"/>
        <v>10991.86542669584</v>
      </c>
      <c r="AD15" s="53">
        <f t="shared" si="10"/>
        <v>12052.549304165159</v>
      </c>
      <c r="AE15" s="53">
        <f t="shared" si="11"/>
        <v>6720.0000000000009</v>
      </c>
      <c r="AF15" s="53">
        <f t="shared" si="12"/>
        <v>6749.4276103324901</v>
      </c>
      <c r="AG15" s="53">
        <f t="shared" si="13"/>
        <v>0</v>
      </c>
      <c r="AH15" s="53">
        <f t="shared" si="14"/>
        <v>12000</v>
      </c>
      <c r="AI15" s="53">
        <f t="shared" si="15"/>
        <v>11941.71488420395</v>
      </c>
      <c r="AJ15" s="53">
        <f t="shared" si="16"/>
        <v>6687.3603351542124</v>
      </c>
      <c r="AK15" s="55">
        <f>IF($L$670,1,0)</f>
        <v>0</v>
      </c>
      <c r="AL15" s="52">
        <f>IF($L$670,$M$670,0)</f>
        <v>0</v>
      </c>
    </row>
    <row r="16" spans="1:38" x14ac:dyDescent="0.25">
      <c r="A16" s="81" t="str">
        <f>$A$724</f>
        <v>BU-A|MN</v>
      </c>
      <c r="B16" s="55">
        <f>$C$724</f>
        <v>6</v>
      </c>
      <c r="C16" s="53">
        <f>$B$775</f>
        <v>1.04</v>
      </c>
      <c r="D16" s="53">
        <f>$C$775</f>
        <v>1.0299999999999998</v>
      </c>
      <c r="E16" s="53">
        <f>$D$775</f>
        <v>1.0399999999999998</v>
      </c>
      <c r="F16" s="53">
        <f>$E$775</f>
        <v>1.0399999999999998</v>
      </c>
      <c r="G16" s="172">
        <f>$F$775</f>
        <v>0.9080037381473377</v>
      </c>
      <c r="H16" s="172">
        <f>$G$775</f>
        <v>0.90516988815949428</v>
      </c>
      <c r="I16" s="53">
        <f t="shared" si="0"/>
        <v>1.0000000000000002</v>
      </c>
      <c r="J16" s="53">
        <f t="shared" si="1"/>
        <v>1.0000000000000002</v>
      </c>
      <c r="K16" s="53">
        <f>IF($L$724,1,IF(AND(nr_ModAdjMaster="ON",INDEX(lr_modadj,13)="ON"),$F$724/$G16,1))</f>
        <v>1.0132116877372543</v>
      </c>
      <c r="L16" s="53">
        <f>IF($L$724,1,IF(AND(nr_ModAdjMaster="ON",INDEX(lr_modadj,13)="ON"),$F$724/$H16,1))</f>
        <v>1.0163837883191853</v>
      </c>
      <c r="M16" s="52">
        <f>IF(INDEX(lr_basis,13)="proposed",N(INDEX(lr_lrproj,13))*(1+N(INDEX(lr_s,13))),N(INDEX(lr_lrproj,13)))</f>
        <v>0.58799999999999997</v>
      </c>
      <c r="N16" s="52">
        <f t="shared" si="2"/>
        <v>0.59576847238950559</v>
      </c>
      <c r="O16" s="52">
        <f t="shared" si="3"/>
        <v>0.59763366753168101</v>
      </c>
      <c r="P16" s="52">
        <f t="shared" si="4"/>
        <v>0</v>
      </c>
      <c r="Q16" s="52">
        <f t="shared" si="5"/>
        <v>0</v>
      </c>
      <c r="R16" s="53">
        <f>IF(N(INDEX(lr_aother,13))=0,1,INDEX(lr_aother,13))</f>
        <v>1</v>
      </c>
      <c r="S16" s="52">
        <f>IF(ISBLANK(INDEX(lr_trend,13)),N(nr_TrendDefault),N(INDEX(lr_trend,13)))</f>
        <v>0</v>
      </c>
      <c r="T16" s="81" t="str">
        <f>INDEX(lr_state,13)</f>
        <v>MN</v>
      </c>
      <c r="U16" s="81" t="str">
        <f>INDEX(lr_bu,13)</f>
        <v>BU-A</v>
      </c>
      <c r="V16" s="189">
        <f>N(INDEX(lr_ep,13))</f>
        <v>8800</v>
      </c>
      <c r="W16" s="53">
        <f>N(INDEX(lr_mind,13))*$V16</f>
        <v>8096</v>
      </c>
      <c r="X16" s="53">
        <f>N(INDEX(lr_m0,13))*$V16</f>
        <v>8008</v>
      </c>
      <c r="Y16" s="53">
        <f>N(INDEX(lr_m1,13))*$V16</f>
        <v>7964</v>
      </c>
      <c r="Z16" s="53">
        <f t="shared" si="6"/>
        <v>9152</v>
      </c>
      <c r="AA16" s="53">
        <f t="shared" si="7"/>
        <v>9151.9999999999982</v>
      </c>
      <c r="AB16" s="53">
        <f t="shared" si="8"/>
        <v>8800.0000000000018</v>
      </c>
      <c r="AC16" s="53">
        <f t="shared" si="9"/>
        <v>7990.4328956965719</v>
      </c>
      <c r="AD16" s="53">
        <f t="shared" si="10"/>
        <v>8916.2628520878388</v>
      </c>
      <c r="AE16" s="53">
        <f t="shared" si="11"/>
        <v>5174.3999999999996</v>
      </c>
      <c r="AF16" s="53">
        <f t="shared" si="12"/>
        <v>5242.7625570276496</v>
      </c>
      <c r="AG16" s="53">
        <f t="shared" si="13"/>
        <v>0</v>
      </c>
      <c r="AH16" s="53">
        <f t="shared" si="14"/>
        <v>8800.0000000000018</v>
      </c>
      <c r="AI16" s="53">
        <f t="shared" si="15"/>
        <v>8944.1773372088301</v>
      </c>
      <c r="AJ16" s="53">
        <f t="shared" si="16"/>
        <v>5259.1762742787932</v>
      </c>
      <c r="AK16" s="55">
        <f>IF($L$724,1,0)</f>
        <v>0</v>
      </c>
      <c r="AL16" s="52">
        <f>IF($L$724,$M$724,0)</f>
        <v>0</v>
      </c>
    </row>
    <row r="17" spans="1:38" x14ac:dyDescent="0.25">
      <c r="A17" s="81" t="str">
        <f>$A$778</f>
        <v>BU-A|MO</v>
      </c>
      <c r="B17" s="55">
        <f>$C$778</f>
        <v>6</v>
      </c>
      <c r="C17" s="53">
        <f>$B$829</f>
        <v>1.05</v>
      </c>
      <c r="D17" s="53">
        <f>$C$829</f>
        <v>1.0333333333333334</v>
      </c>
      <c r="E17" s="53">
        <f>$D$829</f>
        <v>1.071</v>
      </c>
      <c r="F17" s="53">
        <f>$E$829</f>
        <v>1.0920000000000003</v>
      </c>
      <c r="G17" s="172">
        <f>$F$829</f>
        <v>0.91399252370532447</v>
      </c>
      <c r="H17" s="172">
        <f>$G$829</f>
        <v>0.91966022368101141</v>
      </c>
      <c r="I17" s="53">
        <f t="shared" si="0"/>
        <v>0.98039215686274517</v>
      </c>
      <c r="J17" s="53">
        <f t="shared" si="1"/>
        <v>0.96153846153846134</v>
      </c>
      <c r="K17" s="53">
        <f>IF($L$778,1,IF(AND(nr_ModAdjMaster="ON",INDEX(lr_modadj,14)="ON"),$F$778/$G17,1))</f>
        <v>1.0065727849395543</v>
      </c>
      <c r="L17" s="53">
        <f>IF($L$778,1,IF(AND(nr_ModAdjMaster="ON",INDEX(lr_modadj,14)="ON"),$F$778/$H17,1))</f>
        <v>1.000369458535054</v>
      </c>
      <c r="M17" s="52">
        <f>IF(INDEX(lr_basis,14)="proposed",N(INDEX(lr_lrproj,14))*(1+N(INDEX(lr_s,14))),N(INDEX(lr_lrproj,14)))</f>
        <v>0.57199999999999995</v>
      </c>
      <c r="N17" s="52">
        <f t="shared" si="2"/>
        <v>0.56447022841708339</v>
      </c>
      <c r="O17" s="52">
        <f t="shared" si="3"/>
        <v>0.55020320219427954</v>
      </c>
      <c r="P17" s="52">
        <f t="shared" si="4"/>
        <v>2.0000000000000018E-2</v>
      </c>
      <c r="Q17" s="52">
        <f t="shared" si="5"/>
        <v>1.9607843137255276E-2</v>
      </c>
      <c r="R17" s="53">
        <f>IF(N(INDEX(lr_aother,14))=0,1,INDEX(lr_aother,14))</f>
        <v>1</v>
      </c>
      <c r="S17" s="52">
        <f>IF(ISBLANK(INDEX(lr_trend,14)),N(nr_TrendDefault),N(INDEX(lr_trend,14)))</f>
        <v>0</v>
      </c>
      <c r="T17" s="81" t="str">
        <f>INDEX(lr_state,14)</f>
        <v>MO</v>
      </c>
      <c r="U17" s="81" t="str">
        <f>INDEX(lr_bu,14)</f>
        <v>BU-A</v>
      </c>
      <c r="V17" s="189">
        <f>N(INDEX(lr_ep,14))</f>
        <v>19200</v>
      </c>
      <c r="W17" s="53">
        <f>N(INDEX(lr_mind,14))*$V17</f>
        <v>17664</v>
      </c>
      <c r="X17" s="53">
        <f>N(INDEX(lr_m0,14))*$V17</f>
        <v>17472</v>
      </c>
      <c r="Y17" s="53">
        <f>N(INDEX(lr_m1,14))*$V17</f>
        <v>17664</v>
      </c>
      <c r="Z17" s="53">
        <f t="shared" si="6"/>
        <v>20160</v>
      </c>
      <c r="AA17" s="53">
        <f t="shared" si="7"/>
        <v>20563.2</v>
      </c>
      <c r="AB17" s="53">
        <f t="shared" si="8"/>
        <v>18823.529411764706</v>
      </c>
      <c r="AC17" s="53">
        <f t="shared" si="9"/>
        <v>17548.656455142231</v>
      </c>
      <c r="AD17" s="53">
        <f t="shared" si="10"/>
        <v>19326.197470839441</v>
      </c>
      <c r="AE17" s="53">
        <f t="shared" si="11"/>
        <v>10982.4</v>
      </c>
      <c r="AF17" s="53">
        <f t="shared" si="12"/>
        <v>10837.828385608002</v>
      </c>
      <c r="AG17" s="53">
        <f t="shared" si="13"/>
        <v>0</v>
      </c>
      <c r="AH17" s="53">
        <f t="shared" si="14"/>
        <v>18461.538461538457</v>
      </c>
      <c r="AI17" s="53">
        <f t="shared" si="15"/>
        <v>19207.093603873036</v>
      </c>
      <c r="AJ17" s="53">
        <f t="shared" si="16"/>
        <v>10563.901482130168</v>
      </c>
      <c r="AK17" s="55">
        <f>IF($L$778,1,0)</f>
        <v>0</v>
      </c>
      <c r="AL17" s="52">
        <f>IF($L$778,$M$778,0)</f>
        <v>0</v>
      </c>
    </row>
    <row r="18" spans="1:38" x14ac:dyDescent="0.25">
      <c r="A18" s="81" t="str">
        <f>$A$832</f>
        <v>BU-A|NC</v>
      </c>
      <c r="B18" s="55">
        <f>$C$832</f>
        <v>6</v>
      </c>
      <c r="C18" s="53">
        <f>$B$883</f>
        <v>1</v>
      </c>
      <c r="D18" s="53">
        <f>$C$883</f>
        <v>1</v>
      </c>
      <c r="E18" s="53">
        <f>$D$883</f>
        <v>1</v>
      </c>
      <c r="F18" s="53">
        <f>$E$883</f>
        <v>1</v>
      </c>
      <c r="G18" s="172">
        <f>$F$883</f>
        <v>0.90600747629467537</v>
      </c>
      <c r="H18" s="172">
        <f>$G$883</f>
        <v>0.90033977631898854</v>
      </c>
      <c r="I18" s="53">
        <f t="shared" si="0"/>
        <v>1</v>
      </c>
      <c r="J18" s="53">
        <f t="shared" si="1"/>
        <v>1</v>
      </c>
      <c r="K18" s="53">
        <f>IF($L$832,1,IF(AND(nr_ModAdjMaster="ON",INDEX(lr_modadj,15)="ON"),$F$832/$G18,1))</f>
        <v>1.0154441592055623</v>
      </c>
      <c r="L18" s="53">
        <f>IF($L$832,1,IF(AND(nr_ModAdjMaster="ON",INDEX(lr_modadj,15)="ON"),$F$832/$H18,1))</f>
        <v>1.0218364490808034</v>
      </c>
      <c r="M18" s="52">
        <f>IF(INDEX(lr_basis,15)="proposed",N(INDEX(lr_lrproj,15))*(1+N(INDEX(lr_s,15))),N(INDEX(lr_lrproj,15)))</f>
        <v>0.6</v>
      </c>
      <c r="N18" s="52">
        <f t="shared" si="2"/>
        <v>0.60926649552333734</v>
      </c>
      <c r="O18" s="52">
        <f t="shared" si="3"/>
        <v>0.613101869448482</v>
      </c>
      <c r="P18" s="52">
        <f t="shared" si="4"/>
        <v>0</v>
      </c>
      <c r="Q18" s="52">
        <f t="shared" si="5"/>
        <v>0</v>
      </c>
      <c r="R18" s="53">
        <f>IF(N(INDEX(lr_aother,15))=0,1,INDEX(lr_aother,15))</f>
        <v>1</v>
      </c>
      <c r="S18" s="52">
        <f>IF(ISBLANK(INDEX(lr_trend,15)),N(nr_TrendDefault),N(INDEX(lr_trend,15)))</f>
        <v>0</v>
      </c>
      <c r="T18" s="81" t="str">
        <f>INDEX(lr_state,15)</f>
        <v>NC</v>
      </c>
      <c r="U18" s="81" t="str">
        <f>INDEX(lr_bu,15)</f>
        <v>BU-A</v>
      </c>
      <c r="V18" s="189">
        <f>N(INDEX(lr_ep,15))</f>
        <v>16000</v>
      </c>
      <c r="W18" s="53">
        <f>N(INDEX(lr_mind,15))*$V18</f>
        <v>14720</v>
      </c>
      <c r="X18" s="53">
        <f>N(INDEX(lr_m0,15))*$V18</f>
        <v>14560</v>
      </c>
      <c r="Y18" s="53">
        <f>N(INDEX(lr_m1,15))*$V18</f>
        <v>14400</v>
      </c>
      <c r="Z18" s="53">
        <f t="shared" si="6"/>
        <v>16000</v>
      </c>
      <c r="AA18" s="53">
        <f t="shared" si="7"/>
        <v>16000</v>
      </c>
      <c r="AB18" s="53">
        <f t="shared" si="8"/>
        <v>16000</v>
      </c>
      <c r="AC18" s="53">
        <f t="shared" si="9"/>
        <v>14496.119620714806</v>
      </c>
      <c r="AD18" s="53">
        <f t="shared" si="10"/>
        <v>16247.106547288997</v>
      </c>
      <c r="AE18" s="53">
        <f t="shared" si="11"/>
        <v>9600</v>
      </c>
      <c r="AF18" s="53">
        <f t="shared" si="12"/>
        <v>9748.263928373397</v>
      </c>
      <c r="AG18" s="53">
        <f t="shared" si="13"/>
        <v>0</v>
      </c>
      <c r="AH18" s="53">
        <f t="shared" si="14"/>
        <v>16000</v>
      </c>
      <c r="AI18" s="53">
        <f t="shared" si="15"/>
        <v>16349.383185292854</v>
      </c>
      <c r="AJ18" s="53">
        <f t="shared" si="16"/>
        <v>9809.6299111757126</v>
      </c>
      <c r="AK18" s="55">
        <f>IF($L$832,1,0)</f>
        <v>0</v>
      </c>
      <c r="AL18" s="52">
        <f>IF($L$832,$M$832,0)</f>
        <v>0</v>
      </c>
    </row>
    <row r="19" spans="1:38" x14ac:dyDescent="0.25">
      <c r="A19" s="81" t="str">
        <f>$A$886</f>
        <v>BU-A|NJ</v>
      </c>
      <c r="B19" s="55">
        <f>$C$886</f>
        <v>6</v>
      </c>
      <c r="C19" s="53">
        <f>$B$937</f>
        <v>1.02</v>
      </c>
      <c r="D19" s="53">
        <f>$C$937</f>
        <v>1.0100000000000002</v>
      </c>
      <c r="E19" s="53">
        <f>$D$937</f>
        <v>1.0200000000000002</v>
      </c>
      <c r="F19" s="53">
        <f>$E$937</f>
        <v>1.0200000000000002</v>
      </c>
      <c r="G19" s="172">
        <f>$F$937</f>
        <v>0.91199626185266247</v>
      </c>
      <c r="H19" s="172">
        <f>$G$937</f>
        <v>0.91483011184050556</v>
      </c>
      <c r="I19" s="53">
        <f t="shared" si="0"/>
        <v>0.99999999999999978</v>
      </c>
      <c r="J19" s="53">
        <f t="shared" si="1"/>
        <v>0.99999999999999978</v>
      </c>
      <c r="K19" s="53">
        <f>IF($L$886,1,IF(AND(nr_ModAdjMaster="ON",INDEX(lr_modadj,16)="ON"),$F$886/$G19,1))</f>
        <v>1.0087760646420616</v>
      </c>
      <c r="L19" s="53">
        <f>IF($L$886,1,IF(AND(nr_ModAdjMaster="ON",INDEX(lr_modadj,16)="ON"),$F$886/$H19,1))</f>
        <v>1.0056512002530102</v>
      </c>
      <c r="M19" s="52">
        <f>IF(INDEX(lr_basis,16)="proposed",N(INDEX(lr_lrproj,16))*(1+N(INDEX(lr_s,16))),N(INDEX(lr_lrproj,16)))</f>
        <v>0.58399999999999996</v>
      </c>
      <c r="N19" s="52">
        <f t="shared" si="2"/>
        <v>0.58912522175096382</v>
      </c>
      <c r="O19" s="52">
        <f t="shared" si="3"/>
        <v>0.58730030094775787</v>
      </c>
      <c r="P19" s="52">
        <f t="shared" si="4"/>
        <v>0</v>
      </c>
      <c r="Q19" s="52">
        <f t="shared" si="5"/>
        <v>0</v>
      </c>
      <c r="R19" s="53">
        <f>IF(N(INDEX(lr_aother,16))=0,1,INDEX(lr_aother,16))</f>
        <v>1</v>
      </c>
      <c r="S19" s="52">
        <f>IF(ISBLANK(INDEX(lr_trend,16)),N(nr_TrendDefault),N(INDEX(lr_trend,16)))</f>
        <v>0</v>
      </c>
      <c r="T19" s="81" t="str">
        <f>INDEX(lr_state,16)</f>
        <v>NJ</v>
      </c>
      <c r="U19" s="81" t="str">
        <f>INDEX(lr_bu,16)</f>
        <v>BU-A</v>
      </c>
      <c r="V19" s="189">
        <f>N(INDEX(lr_ep,16))</f>
        <v>12800</v>
      </c>
      <c r="W19" s="53">
        <f>N(INDEX(lr_mind,16))*$V19</f>
        <v>11776</v>
      </c>
      <c r="X19" s="53">
        <f>N(INDEX(lr_m0,16))*$V19</f>
        <v>11648</v>
      </c>
      <c r="Y19" s="53">
        <f>N(INDEX(lr_m1,16))*$V19</f>
        <v>11712</v>
      </c>
      <c r="Z19" s="53">
        <f t="shared" si="6"/>
        <v>13056</v>
      </c>
      <c r="AA19" s="53">
        <f t="shared" si="7"/>
        <v>13056.000000000004</v>
      </c>
      <c r="AB19" s="53">
        <f t="shared" si="8"/>
        <v>12799.999999999996</v>
      </c>
      <c r="AC19" s="53">
        <f t="shared" si="9"/>
        <v>11673.552151714081</v>
      </c>
      <c r="AD19" s="53">
        <f t="shared" si="10"/>
        <v>12912.333627418389</v>
      </c>
      <c r="AE19" s="53">
        <f t="shared" si="11"/>
        <v>7475.2</v>
      </c>
      <c r="AF19" s="53">
        <f t="shared" si="12"/>
        <v>7540.8028384123372</v>
      </c>
      <c r="AG19" s="53">
        <f t="shared" si="13"/>
        <v>0</v>
      </c>
      <c r="AH19" s="53">
        <f t="shared" si="14"/>
        <v>12799.999999999996</v>
      </c>
      <c r="AI19" s="53">
        <f t="shared" si="15"/>
        <v>12872.335363238531</v>
      </c>
      <c r="AJ19" s="53">
        <f t="shared" si="16"/>
        <v>7517.4438521313004</v>
      </c>
      <c r="AK19" s="55">
        <f>IF($L$886,1,0)</f>
        <v>0</v>
      </c>
      <c r="AL19" s="52">
        <f>IF($L$886,$M$886,0)</f>
        <v>0</v>
      </c>
    </row>
    <row r="20" spans="1:38" x14ac:dyDescent="0.25">
      <c r="A20" s="81" t="str">
        <f>$A$940</f>
        <v>BU-A|NY</v>
      </c>
      <c r="B20" s="55">
        <f>$C$940</f>
        <v>6</v>
      </c>
      <c r="C20" s="53">
        <f>$B$991</f>
        <v>1.03</v>
      </c>
      <c r="D20" s="53">
        <f>$C$991</f>
        <v>1.0125</v>
      </c>
      <c r="E20" s="53">
        <f>$D$991</f>
        <v>1.03</v>
      </c>
      <c r="F20" s="53">
        <f>$E$991</f>
        <v>1.03</v>
      </c>
      <c r="G20" s="172">
        <f>$F$991</f>
        <v>0.91798504741064912</v>
      </c>
      <c r="H20" s="172">
        <f>$G$991</f>
        <v>0.92932044736202268</v>
      </c>
      <c r="I20" s="53">
        <f t="shared" si="0"/>
        <v>1</v>
      </c>
      <c r="J20" s="53">
        <f t="shared" si="1"/>
        <v>1</v>
      </c>
      <c r="K20" s="53">
        <f>IF($L$940,1,IF(AND(nr_ModAdjMaster="ON",INDEX(lr_modadj,17)="ON"),$F$940/$G20,1))</f>
        <v>1.0021949732133812</v>
      </c>
      <c r="L20" s="53">
        <f>IF($L$940,1,IF(AND(nr_ModAdjMaster="ON",INDEX(lr_modadj,17)="ON"),$F$940/$H20,1))</f>
        <v>0.98997068515119868</v>
      </c>
      <c r="M20" s="52">
        <f>IF(INDEX(lr_basis,17)="proposed",N(INDEX(lr_lrproj,17))*(1+N(INDEX(lr_s,17))),N(INDEX(lr_lrproj,17)))</f>
        <v>0.56799999999999995</v>
      </c>
      <c r="N20" s="52">
        <f t="shared" si="2"/>
        <v>0.56924674478520054</v>
      </c>
      <c r="O20" s="52">
        <f t="shared" si="3"/>
        <v>0.56230334916588076</v>
      </c>
      <c r="P20" s="52">
        <f t="shared" si="4"/>
        <v>0</v>
      </c>
      <c r="Q20" s="52">
        <f t="shared" si="5"/>
        <v>0</v>
      </c>
      <c r="R20" s="53">
        <f>IF(N(INDEX(lr_aother,17))=0,1,INDEX(lr_aother,17))</f>
        <v>1</v>
      </c>
      <c r="S20" s="52">
        <f>IF(ISBLANK(INDEX(lr_trend,17)),N(nr_TrendDefault),N(INDEX(lr_trend,17)))</f>
        <v>0</v>
      </c>
      <c r="T20" s="81" t="str">
        <f>INDEX(lr_state,17)</f>
        <v>NY</v>
      </c>
      <c r="U20" s="81" t="str">
        <f>INDEX(lr_bu,17)</f>
        <v>BU-A</v>
      </c>
      <c r="V20" s="189">
        <f>N(INDEX(lr_ep,17))</f>
        <v>9600</v>
      </c>
      <c r="W20" s="53">
        <f>N(INDEX(lr_mind,17))*$V20</f>
        <v>8832</v>
      </c>
      <c r="X20" s="53">
        <f>N(INDEX(lr_m0,17))*$V20</f>
        <v>8736</v>
      </c>
      <c r="Y20" s="53">
        <f>N(INDEX(lr_m1,17))*$V20</f>
        <v>8928</v>
      </c>
      <c r="Z20" s="53">
        <f t="shared" si="6"/>
        <v>9888</v>
      </c>
      <c r="AA20" s="53">
        <f t="shared" si="7"/>
        <v>9888</v>
      </c>
      <c r="AB20" s="53">
        <f t="shared" si="8"/>
        <v>9600</v>
      </c>
      <c r="AC20" s="53">
        <f t="shared" si="9"/>
        <v>8812.6564551422307</v>
      </c>
      <c r="AD20" s="53">
        <f t="shared" si="10"/>
        <v>9621.0717428484604</v>
      </c>
      <c r="AE20" s="53">
        <f t="shared" si="11"/>
        <v>5452.7999999999993</v>
      </c>
      <c r="AF20" s="53">
        <f t="shared" si="12"/>
        <v>5464.7687499379253</v>
      </c>
      <c r="AG20" s="53">
        <f t="shared" si="13"/>
        <v>0</v>
      </c>
      <c r="AH20" s="53">
        <f t="shared" si="14"/>
        <v>9600</v>
      </c>
      <c r="AI20" s="53">
        <f t="shared" si="15"/>
        <v>9503.7185774515074</v>
      </c>
      <c r="AJ20" s="53">
        <f t="shared" si="16"/>
        <v>5398.1121519924554</v>
      </c>
      <c r="AK20" s="55">
        <f>IF($L$940,1,0)</f>
        <v>0</v>
      </c>
      <c r="AL20" s="52">
        <f>IF($L$940,$M$940,0)</f>
        <v>0</v>
      </c>
    </row>
    <row r="21" spans="1:38" x14ac:dyDescent="0.25">
      <c r="A21" s="81" t="str">
        <f>$A$994</f>
        <v>BU-A|OH</v>
      </c>
      <c r="B21" s="55">
        <f>$C$994</f>
        <v>6</v>
      </c>
      <c r="C21" s="53">
        <f>$B$1045</f>
        <v>1</v>
      </c>
      <c r="D21" s="53">
        <f>$C$1045</f>
        <v>1</v>
      </c>
      <c r="E21" s="53">
        <f>$D$1045</f>
        <v>1.0069444444444444</v>
      </c>
      <c r="F21" s="53">
        <f>$E$1045</f>
        <v>1.039722222222222</v>
      </c>
      <c r="G21" s="172">
        <f>$F$1045</f>
        <v>0.90999999999999981</v>
      </c>
      <c r="H21" s="172">
        <f>$G$1045</f>
        <v>0.90999999999999981</v>
      </c>
      <c r="I21" s="53">
        <f t="shared" si="0"/>
        <v>0.99310344827586206</v>
      </c>
      <c r="J21" s="53">
        <f t="shared" si="1"/>
        <v>0.96179535132246885</v>
      </c>
      <c r="K21" s="53">
        <f>IF($L$994,1,IF(AND(nr_ModAdjMaster="ON",INDEX(lr_modadj,18)="ON"),$F$994/$G21,1))</f>
        <v>1.0109890109890112</v>
      </c>
      <c r="L21" s="53">
        <f>IF($L$994,1,IF(AND(nr_ModAdjMaster="ON",INDEX(lr_modadj,18)="ON"),$F$994/$H21,1))</f>
        <v>1.0109890109890112</v>
      </c>
      <c r="M21" s="52">
        <f>IF(INDEX(lr_basis,18)="proposed",N(INDEX(lr_lrproj,18))*(1+N(INDEX(lr_s,18))),N(INDEX(lr_lrproj,18)))</f>
        <v>0.59599999999999997</v>
      </c>
      <c r="N21" s="52">
        <f t="shared" si="2"/>
        <v>0.59839393709738542</v>
      </c>
      <c r="O21" s="52">
        <f t="shared" si="3"/>
        <v>0.57952926048036946</v>
      </c>
      <c r="P21" s="52">
        <f t="shared" si="4"/>
        <v>6.9444444444444198E-3</v>
      </c>
      <c r="Q21" s="52">
        <f t="shared" si="5"/>
        <v>3.2551724137930726E-2</v>
      </c>
      <c r="R21" s="53">
        <f>IF(N(INDEX(lr_aother,18))=0,1,INDEX(lr_aother,18))</f>
        <v>1</v>
      </c>
      <c r="S21" s="52">
        <f>IF(ISBLANK(INDEX(lr_trend,18)),N(nr_TrendDefault),N(INDEX(lr_trend,18)))</f>
        <v>0</v>
      </c>
      <c r="T21" s="81" t="str">
        <f>INDEX(lr_state,18)</f>
        <v>OH</v>
      </c>
      <c r="U21" s="81" t="str">
        <f>INDEX(lr_bu,18)</f>
        <v>BU-A</v>
      </c>
      <c r="V21" s="189">
        <f>N(INDEX(lr_ep,18))</f>
        <v>6400</v>
      </c>
      <c r="W21" s="53">
        <f>N(INDEX(lr_mind,18))*$V21</f>
        <v>5888</v>
      </c>
      <c r="X21" s="53">
        <f>N(INDEX(lr_m0,18))*$V21</f>
        <v>5824</v>
      </c>
      <c r="Y21" s="53">
        <f>N(INDEX(lr_m1,18))*$V21</f>
        <v>5824</v>
      </c>
      <c r="Z21" s="53">
        <f t="shared" si="6"/>
        <v>6400</v>
      </c>
      <c r="AA21" s="53">
        <f t="shared" si="7"/>
        <v>6444.4444444444443</v>
      </c>
      <c r="AB21" s="53">
        <f t="shared" si="8"/>
        <v>6355.8620689655172</v>
      </c>
      <c r="AC21" s="53">
        <f t="shared" si="9"/>
        <v>5823.9999999999991</v>
      </c>
      <c r="AD21" s="53">
        <f t="shared" si="10"/>
        <v>6470.3296703296719</v>
      </c>
      <c r="AE21" s="53">
        <f t="shared" si="11"/>
        <v>3814.3999999999996</v>
      </c>
      <c r="AF21" s="53">
        <f t="shared" si="12"/>
        <v>3829.7211974232669</v>
      </c>
      <c r="AG21" s="53">
        <f t="shared" si="13"/>
        <v>0</v>
      </c>
      <c r="AH21" s="53">
        <f t="shared" si="14"/>
        <v>6155.4902484638005</v>
      </c>
      <c r="AI21" s="53">
        <f t="shared" si="15"/>
        <v>6470.3296703296719</v>
      </c>
      <c r="AJ21" s="53">
        <f t="shared" si="16"/>
        <v>3708.9872670743644</v>
      </c>
      <c r="AK21" s="55">
        <f>IF($L$994,1,0)</f>
        <v>0</v>
      </c>
      <c r="AL21" s="52">
        <f>IF($L$994,$M$994,0)</f>
        <v>0</v>
      </c>
    </row>
    <row r="22" spans="1:38" x14ac:dyDescent="0.25">
      <c r="A22" s="81" t="str">
        <f>$A$1048</f>
        <v>BU-A|PA</v>
      </c>
      <c r="B22" s="55">
        <f>$C$1048</f>
        <v>6</v>
      </c>
      <c r="C22" s="53">
        <f>$B$1099</f>
        <v>1.05</v>
      </c>
      <c r="D22" s="53">
        <f>$C$1099</f>
        <v>1.0125</v>
      </c>
      <c r="E22" s="53">
        <f>$D$1099</f>
        <v>1.05</v>
      </c>
      <c r="F22" s="53">
        <f>$E$1099</f>
        <v>1.05</v>
      </c>
      <c r="G22" s="172">
        <f>$F$1099</f>
        <v>0.91598878555798668</v>
      </c>
      <c r="H22" s="172">
        <f>$G$1099</f>
        <v>0.92449033552151683</v>
      </c>
      <c r="I22" s="53">
        <f t="shared" si="0"/>
        <v>1</v>
      </c>
      <c r="J22" s="53">
        <f t="shared" si="1"/>
        <v>1</v>
      </c>
      <c r="K22" s="53">
        <f>IF($L$1048,1,IF(AND(nr_ModAdjMaster="ON",INDEX(lr_modadj,19)="ON"),$F$1048/$G22,1))</f>
        <v>1.0043791086804299</v>
      </c>
      <c r="L22" s="53">
        <f>IF($L$1048,1,IF(AND(nr_ModAdjMaster="ON",INDEX(lr_modadj,19)="ON"),$F$1048/$H22,1))</f>
        <v>0.99514290701699581</v>
      </c>
      <c r="M22" s="52">
        <f>IF(INDEX(lr_basis,19)="proposed",N(INDEX(lr_lrproj,19))*(1+N(INDEX(lr_s,19))),N(INDEX(lr_lrproj,19)))</f>
        <v>0.57999999999999996</v>
      </c>
      <c r="N22" s="52">
        <f t="shared" si="2"/>
        <v>0.58253988303464932</v>
      </c>
      <c r="O22" s="52">
        <f t="shared" si="3"/>
        <v>0.57718288606985757</v>
      </c>
      <c r="P22" s="52">
        <f t="shared" si="4"/>
        <v>0</v>
      </c>
      <c r="Q22" s="52">
        <f t="shared" si="5"/>
        <v>0</v>
      </c>
      <c r="R22" s="53">
        <f>IF(N(INDEX(lr_aother,19))=0,1,INDEX(lr_aother,19))</f>
        <v>1</v>
      </c>
      <c r="S22" s="52">
        <f>IF(ISBLANK(INDEX(lr_trend,19)),N(nr_TrendDefault),N(INDEX(lr_trend,19)))</f>
        <v>0</v>
      </c>
      <c r="T22" s="81" t="str">
        <f>INDEX(lr_state,19)</f>
        <v>PA</v>
      </c>
      <c r="U22" s="81" t="str">
        <f>INDEX(lr_bu,19)</f>
        <v>BU-A</v>
      </c>
      <c r="V22" s="189">
        <f>N(INDEX(lr_ep,19))</f>
        <v>16800</v>
      </c>
      <c r="W22" s="53">
        <f>N(INDEX(lr_mind,19))*$V22</f>
        <v>15456</v>
      </c>
      <c r="X22" s="53">
        <f>N(INDEX(lr_m0,19))*$V22</f>
        <v>15288</v>
      </c>
      <c r="Y22" s="53">
        <f>N(INDEX(lr_m1,19))*$V22</f>
        <v>15540</v>
      </c>
      <c r="Z22" s="53">
        <f t="shared" si="6"/>
        <v>17640</v>
      </c>
      <c r="AA22" s="53">
        <f t="shared" si="7"/>
        <v>17640</v>
      </c>
      <c r="AB22" s="53">
        <f t="shared" si="8"/>
        <v>16800</v>
      </c>
      <c r="AC22" s="53">
        <f t="shared" si="9"/>
        <v>15388.611597374176</v>
      </c>
      <c r="AD22" s="53">
        <f t="shared" si="10"/>
        <v>16873.569025831221</v>
      </c>
      <c r="AE22" s="53">
        <f t="shared" si="11"/>
        <v>9744</v>
      </c>
      <c r="AF22" s="53">
        <f t="shared" si="12"/>
        <v>9786.6700349821094</v>
      </c>
      <c r="AG22" s="53">
        <f t="shared" si="13"/>
        <v>0</v>
      </c>
      <c r="AH22" s="53">
        <f t="shared" si="14"/>
        <v>16800</v>
      </c>
      <c r="AI22" s="53">
        <f t="shared" si="15"/>
        <v>16718.400837885529</v>
      </c>
      <c r="AJ22" s="53">
        <f t="shared" si="16"/>
        <v>9696.6724859736078</v>
      </c>
      <c r="AK22" s="55">
        <f>IF($L$1048,1,0)</f>
        <v>0</v>
      </c>
      <c r="AL22" s="52">
        <f>IF($L$1048,$M$1048,0)</f>
        <v>0</v>
      </c>
    </row>
    <row r="23" spans="1:38" x14ac:dyDescent="0.25">
      <c r="A23" s="81" t="str">
        <f>$A$1102</f>
        <v>BU-A|TN</v>
      </c>
      <c r="B23" s="55">
        <f>$C$1102</f>
        <v>6</v>
      </c>
      <c r="C23" s="53">
        <f>$B$1153</f>
        <v>1.06</v>
      </c>
      <c r="D23" s="53">
        <f>$C$1153</f>
        <v>1.0104166666666667</v>
      </c>
      <c r="E23" s="53">
        <f>$D$1153</f>
        <v>1.0595833333333335</v>
      </c>
      <c r="F23" s="53">
        <f>$E$1153</f>
        <v>1.0600000000000003</v>
      </c>
      <c r="G23" s="172">
        <f>$F$1153</f>
        <v>0.9080037381473377</v>
      </c>
      <c r="H23" s="172">
        <f>$G$1153</f>
        <v>0.90516988815949428</v>
      </c>
      <c r="I23" s="53">
        <f t="shared" si="0"/>
        <v>1.0003932363350372</v>
      </c>
      <c r="J23" s="53">
        <f t="shared" si="1"/>
        <v>0.99999999999999978</v>
      </c>
      <c r="K23" s="53">
        <f>IF($L$1102,1,IF(AND(nr_ModAdjMaster="ON",INDEX(lr_modadj,20)="ON"),$F$1102/$G23,1))</f>
        <v>1.0132116877372543</v>
      </c>
      <c r="L23" s="53">
        <f>IF($L$1102,1,IF(AND(nr_ModAdjMaster="ON",INDEX(lr_modadj,20)="ON"),$F$1102/$H23,1))</f>
        <v>1.0163837883191853</v>
      </c>
      <c r="M23" s="52">
        <f>IF(INDEX(lr_basis,20)="proposed",N(INDEX(lr_lrproj,20))*(1+N(INDEX(lr_s,20))),N(INDEX(lr_lrproj,20)))</f>
        <v>0.56399999999999995</v>
      </c>
      <c r="N23" s="52">
        <f t="shared" si="2"/>
        <v>0.57167610733480778</v>
      </c>
      <c r="O23" s="52">
        <f t="shared" si="3"/>
        <v>0.57324045661202039</v>
      </c>
      <c r="P23" s="52">
        <f t="shared" si="4"/>
        <v>-3.9308176100616432E-4</v>
      </c>
      <c r="Q23" s="52">
        <f t="shared" si="5"/>
        <v>3.9323633503740574E-4</v>
      </c>
      <c r="R23" s="53">
        <f>IF(N(INDEX(lr_aother,20))=0,1,INDEX(lr_aother,20))</f>
        <v>1</v>
      </c>
      <c r="S23" s="52">
        <f>IF(ISBLANK(INDEX(lr_trend,20)),N(nr_TrendDefault),N(INDEX(lr_trend,20)))</f>
        <v>0</v>
      </c>
      <c r="T23" s="81" t="str">
        <f>INDEX(lr_state,20)</f>
        <v>TN</v>
      </c>
      <c r="U23" s="81" t="str">
        <f>INDEX(lr_bu,20)</f>
        <v>BU-A</v>
      </c>
      <c r="V23" s="189">
        <f>N(INDEX(lr_ep,20))</f>
        <v>13600</v>
      </c>
      <c r="W23" s="53">
        <f>N(INDEX(lr_mind,20))*$V23</f>
        <v>12512</v>
      </c>
      <c r="X23" s="53">
        <f>N(INDEX(lr_m0,20))*$V23</f>
        <v>12376</v>
      </c>
      <c r="Y23" s="53">
        <f>N(INDEX(lr_m1,20))*$V23</f>
        <v>12308</v>
      </c>
      <c r="Z23" s="53">
        <f t="shared" si="6"/>
        <v>14416</v>
      </c>
      <c r="AA23" s="53">
        <f t="shared" si="7"/>
        <v>14410.333333333336</v>
      </c>
      <c r="AB23" s="53">
        <f t="shared" si="8"/>
        <v>13605.348014156505</v>
      </c>
      <c r="AC23" s="53">
        <f t="shared" si="9"/>
        <v>12348.850838803794</v>
      </c>
      <c r="AD23" s="53">
        <f t="shared" si="10"/>
        <v>13779.678953226659</v>
      </c>
      <c r="AE23" s="53">
        <f t="shared" si="11"/>
        <v>7670.4</v>
      </c>
      <c r="AF23" s="53">
        <f t="shared" si="12"/>
        <v>7774.7950597533854</v>
      </c>
      <c r="AG23" s="53">
        <f t="shared" si="13"/>
        <v>0</v>
      </c>
      <c r="AH23" s="53">
        <f t="shared" si="14"/>
        <v>13599.999999999996</v>
      </c>
      <c r="AI23" s="53">
        <f t="shared" si="15"/>
        <v>13822.81952114092</v>
      </c>
      <c r="AJ23" s="53">
        <f t="shared" si="16"/>
        <v>7796.0702099234777</v>
      </c>
      <c r="AK23" s="55">
        <f>IF($L$1102,1,0)</f>
        <v>0</v>
      </c>
      <c r="AL23" s="52">
        <f>IF($L$1102,$M$1102,0)</f>
        <v>0</v>
      </c>
    </row>
    <row r="24" spans="1:38" x14ac:dyDescent="0.25">
      <c r="A24" s="81" t="str">
        <f>$A$1156</f>
        <v>BU-A|TX</v>
      </c>
      <c r="B24" s="55">
        <f>$C$1156</f>
        <v>6</v>
      </c>
      <c r="C24" s="53">
        <f>$B$1207</f>
        <v>1</v>
      </c>
      <c r="D24" s="53">
        <f>$C$1207</f>
        <v>1</v>
      </c>
      <c r="E24" s="53">
        <f>$D$1207</f>
        <v>1</v>
      </c>
      <c r="F24" s="53">
        <f>$E$1207</f>
        <v>1</v>
      </c>
      <c r="G24" s="172">
        <f>$F$1207</f>
        <v>0.91399252370532447</v>
      </c>
      <c r="H24" s="172">
        <f>$G$1207</f>
        <v>0.91966022368101141</v>
      </c>
      <c r="I24" s="53">
        <f t="shared" si="0"/>
        <v>1</v>
      </c>
      <c r="J24" s="53">
        <f t="shared" si="1"/>
        <v>1</v>
      </c>
      <c r="K24" s="53">
        <f>IF($L$1156,1,IF(AND(nr_ModAdjMaster="ON",INDEX(lr_modadj,21)="ON"),$F$1156/$G24,1))</f>
        <v>1.0065727849395543</v>
      </c>
      <c r="L24" s="53">
        <f>IF($L$1156,1,IF(AND(nr_ModAdjMaster="ON",INDEX(lr_modadj,21)="ON"),$F$1156/$H24,1))</f>
        <v>1.000369458535054</v>
      </c>
      <c r="M24" s="52">
        <f>IF(INDEX(lr_basis,21)="proposed",N(INDEX(lr_lrproj,21))*(1+N(INDEX(lr_s,21))),N(INDEX(lr_lrproj,21)))</f>
        <v>0.59199999999999997</v>
      </c>
      <c r="N24" s="52">
        <f t="shared" si="2"/>
        <v>0.59589108868421614</v>
      </c>
      <c r="O24" s="52">
        <f t="shared" si="3"/>
        <v>0.59221871945275195</v>
      </c>
      <c r="P24" s="52">
        <f t="shared" si="4"/>
        <v>0</v>
      </c>
      <c r="Q24" s="52">
        <f t="shared" si="5"/>
        <v>0</v>
      </c>
      <c r="R24" s="53">
        <f>IF(N(INDEX(lr_aother,21))=0,1,INDEX(lr_aother,21))</f>
        <v>1</v>
      </c>
      <c r="S24" s="52">
        <f>IF(ISBLANK(INDEX(lr_trend,21)),N(nr_TrendDefault),N(INDEX(lr_trend,21)))</f>
        <v>0</v>
      </c>
      <c r="T24" s="81" t="str">
        <f>INDEX(lr_state,21)</f>
        <v>TX</v>
      </c>
      <c r="U24" s="81" t="str">
        <f>INDEX(lr_bu,21)</f>
        <v>BU-A</v>
      </c>
      <c r="V24" s="189">
        <f>N(INDEX(lr_ep,21))</f>
        <v>10400</v>
      </c>
      <c r="W24" s="53">
        <f>N(INDEX(lr_mind,21))*$V24</f>
        <v>9568</v>
      </c>
      <c r="X24" s="53">
        <f>N(INDEX(lr_m0,21))*$V24</f>
        <v>9464</v>
      </c>
      <c r="Y24" s="53">
        <f>N(INDEX(lr_m1,21))*$V24</f>
        <v>9568</v>
      </c>
      <c r="Z24" s="53">
        <f t="shared" si="6"/>
        <v>10400</v>
      </c>
      <c r="AA24" s="53">
        <f t="shared" si="7"/>
        <v>10400</v>
      </c>
      <c r="AB24" s="53">
        <f t="shared" si="8"/>
        <v>10400</v>
      </c>
      <c r="AC24" s="53">
        <f t="shared" si="9"/>
        <v>9505.5222465353745</v>
      </c>
      <c r="AD24" s="53">
        <f t="shared" si="10"/>
        <v>10468.356963371365</v>
      </c>
      <c r="AE24" s="53">
        <f t="shared" si="11"/>
        <v>6156.7999999999993</v>
      </c>
      <c r="AF24" s="53">
        <f t="shared" si="12"/>
        <v>6197.2673223158481</v>
      </c>
      <c r="AG24" s="53">
        <f t="shared" si="13"/>
        <v>0</v>
      </c>
      <c r="AH24" s="53">
        <f t="shared" si="14"/>
        <v>10400</v>
      </c>
      <c r="AI24" s="53">
        <f t="shared" si="15"/>
        <v>10403.842368764561</v>
      </c>
      <c r="AJ24" s="53">
        <f t="shared" si="16"/>
        <v>6159.0746823086201</v>
      </c>
      <c r="AK24" s="55">
        <f>IF($L$1156,1,0)</f>
        <v>0</v>
      </c>
      <c r="AL24" s="52">
        <f>IF($L$1156,$M$1156,0)</f>
        <v>0</v>
      </c>
    </row>
    <row r="25" spans="1:38" x14ac:dyDescent="0.25">
      <c r="A25" s="81" t="str">
        <f>$A$1210</f>
        <v>BU-B|AZ</v>
      </c>
      <c r="B25" s="55">
        <f>$C$1210</f>
        <v>6</v>
      </c>
      <c r="C25" s="53">
        <f>$B$1261</f>
        <v>1.03</v>
      </c>
      <c r="D25" s="53">
        <f>$C$1261</f>
        <v>1.0018750000000001</v>
      </c>
      <c r="E25" s="53">
        <f>$D$1261</f>
        <v>1.0555916666666669</v>
      </c>
      <c r="F25" s="53">
        <f>$E$1261</f>
        <v>1.0712000000000004</v>
      </c>
      <c r="G25" s="172">
        <f>$F$1261</f>
        <v>0.90600747629467537</v>
      </c>
      <c r="H25" s="172">
        <f>$G$1261</f>
        <v>0.90033977631898854</v>
      </c>
      <c r="I25" s="53">
        <f t="shared" si="0"/>
        <v>0.97575609255472817</v>
      </c>
      <c r="J25" s="53">
        <f t="shared" si="1"/>
        <v>0.96153846153846123</v>
      </c>
      <c r="K25" s="53">
        <f>IF($L$1210,1,IF(AND(nr_ModAdjMaster="ON",INDEX(lr_modadj,22)="ON"),$F$1210/$G25,1))</f>
        <v>1.0154441592055623</v>
      </c>
      <c r="L25" s="53">
        <f>IF($L$1210,1,IF(AND(nr_ModAdjMaster="ON",INDEX(lr_modadj,22)="ON"),$F$1210/$H25,1))</f>
        <v>1.0218364490808034</v>
      </c>
      <c r="M25" s="52">
        <f>IF(INDEX(lr_basis,22)="proposed",N(INDEX(lr_lrproj,22))*(1+N(INDEX(lr_s,22))),N(INDEX(lr_lrproj,22)))</f>
        <v>0.57599999999999996</v>
      </c>
      <c r="N25" s="52">
        <f t="shared" si="2"/>
        <v>0.57071567519650979</v>
      </c>
      <c r="O25" s="52">
        <f t="shared" si="3"/>
        <v>0.56594018718321404</v>
      </c>
      <c r="P25" s="52">
        <f t="shared" si="4"/>
        <v>2.4846278317152359E-2</v>
      </c>
      <c r="Q25" s="52">
        <f t="shared" si="5"/>
        <v>1.4786336256917609E-2</v>
      </c>
      <c r="R25" s="53">
        <f>IF(N(INDEX(lr_aother,22))=0,1,INDEX(lr_aother,22))</f>
        <v>1</v>
      </c>
      <c r="S25" s="52">
        <f>IF(ISBLANK(INDEX(lr_trend,22)),N(nr_TrendDefault),N(INDEX(lr_trend,22)))</f>
        <v>0</v>
      </c>
      <c r="T25" s="81" t="str">
        <f>INDEX(lr_state,22)</f>
        <v>AZ</v>
      </c>
      <c r="U25" s="81" t="str">
        <f>INDEX(lr_bu,22)</f>
        <v>BU-B</v>
      </c>
      <c r="V25" s="189">
        <f>N(INDEX(lr_ep,22))</f>
        <v>7200</v>
      </c>
      <c r="W25" s="53">
        <f>N(INDEX(lr_mind,22))*$V25</f>
        <v>6624</v>
      </c>
      <c r="X25" s="53">
        <f>N(INDEX(lr_m0,22))*$V25</f>
        <v>6552</v>
      </c>
      <c r="Y25" s="53">
        <f>N(INDEX(lr_m1,22))*$V25</f>
        <v>6480</v>
      </c>
      <c r="Z25" s="53">
        <f t="shared" si="6"/>
        <v>7416</v>
      </c>
      <c r="AA25" s="53">
        <f t="shared" si="7"/>
        <v>7600.260000000002</v>
      </c>
      <c r="AB25" s="53">
        <f t="shared" si="8"/>
        <v>7025.4438663940427</v>
      </c>
      <c r="AC25" s="53">
        <f t="shared" si="9"/>
        <v>6523.253829321663</v>
      </c>
      <c r="AD25" s="53">
        <f t="shared" si="10"/>
        <v>7311.1979462800482</v>
      </c>
      <c r="AE25" s="53">
        <f t="shared" si="11"/>
        <v>4147.2</v>
      </c>
      <c r="AF25" s="53">
        <f t="shared" si="12"/>
        <v>4109.1528614148701</v>
      </c>
      <c r="AG25" s="53">
        <f t="shared" si="13"/>
        <v>0</v>
      </c>
      <c r="AH25" s="53">
        <f t="shared" si="14"/>
        <v>6923.076923076921</v>
      </c>
      <c r="AI25" s="53">
        <f t="shared" si="15"/>
        <v>7357.2224333817849</v>
      </c>
      <c r="AJ25" s="53">
        <f t="shared" si="16"/>
        <v>4074.769347719141</v>
      </c>
      <c r="AK25" s="55">
        <f>IF($L$1210,1,0)</f>
        <v>0</v>
      </c>
      <c r="AL25" s="52">
        <f>IF($L$1210,$M$1210,0)</f>
        <v>0</v>
      </c>
    </row>
    <row r="26" spans="1:38" x14ac:dyDescent="0.25">
      <c r="A26" s="81" t="str">
        <f>$A$1264</f>
        <v>BU-B|CA</v>
      </c>
      <c r="B26" s="55">
        <f>$C$1264</f>
        <v>6</v>
      </c>
      <c r="C26" s="53">
        <f>$B$1315</f>
        <v>1.04</v>
      </c>
      <c r="D26" s="53">
        <f>$C$1315</f>
        <v>1.0011111111111111</v>
      </c>
      <c r="E26" s="53">
        <f>$D$1315</f>
        <v>1.0355555555555553</v>
      </c>
      <c r="F26" s="53">
        <f>$E$1315</f>
        <v>1.0399999999999998</v>
      </c>
      <c r="G26" s="172">
        <f>$F$1315</f>
        <v>0.91199626185266247</v>
      </c>
      <c r="H26" s="172">
        <f>$G$1315</f>
        <v>0.91483011184050556</v>
      </c>
      <c r="I26" s="53">
        <f t="shared" si="0"/>
        <v>1.0042918454935625</v>
      </c>
      <c r="J26" s="53">
        <f t="shared" si="1"/>
        <v>1.0000000000000002</v>
      </c>
      <c r="K26" s="53">
        <f>IF($L$1264,1,IF(AND(nr_ModAdjMaster="ON",INDEX(lr_modadj,23)="ON"),$F$1264/$G26,1))</f>
        <v>1.0087760646420616</v>
      </c>
      <c r="L26" s="53">
        <f>IF($L$1264,1,IF(AND(nr_ModAdjMaster="ON",INDEX(lr_modadj,23)="ON"),$F$1264/$H26,1))</f>
        <v>1.0056512002530102</v>
      </c>
      <c r="M26" s="52">
        <f>IF(INDEX(lr_basis,23)="proposed",N(INDEX(lr_lrproj,23))*(1+N(INDEX(lr_s,23))),N(INDEX(lr_lrproj,23)))</f>
        <v>0.60480000000000012</v>
      </c>
      <c r="N26" s="52">
        <f t="shared" si="2"/>
        <v>0.61272625215258147</v>
      </c>
      <c r="O26" s="52">
        <f t="shared" si="3"/>
        <v>0.61430002437215103</v>
      </c>
      <c r="P26" s="52">
        <f t="shared" si="4"/>
        <v>-4.2735042735044804E-3</v>
      </c>
      <c r="Q26" s="52">
        <f t="shared" si="5"/>
        <v>4.2918454935623185E-3</v>
      </c>
      <c r="R26" s="53">
        <f>IF(N(INDEX(lr_aother,23))=0,1,INDEX(lr_aother,23))</f>
        <v>1</v>
      </c>
      <c r="S26" s="52">
        <f>IF(ISBLANK(INDEX(lr_trend,23)),N(nr_TrendDefault),N(INDEX(lr_trend,23)))</f>
        <v>0.01</v>
      </c>
      <c r="T26" s="81" t="str">
        <f>INDEX(lr_state,23)</f>
        <v>CA</v>
      </c>
      <c r="U26" s="81" t="str">
        <f>INDEX(lr_bu,23)</f>
        <v>BU-B</v>
      </c>
      <c r="V26" s="189">
        <f>N(INDEX(lr_ep,23))</f>
        <v>17600</v>
      </c>
      <c r="W26" s="53">
        <f>N(INDEX(lr_mind,23))*$V26</f>
        <v>16192</v>
      </c>
      <c r="X26" s="53">
        <f>N(INDEX(lr_m0,23))*$V26</f>
        <v>16016</v>
      </c>
      <c r="Y26" s="53">
        <f>N(INDEX(lr_m1,23))*$V26</f>
        <v>16104</v>
      </c>
      <c r="Z26" s="53">
        <f t="shared" si="6"/>
        <v>18304</v>
      </c>
      <c r="AA26" s="53">
        <f t="shared" si="7"/>
        <v>18225.777777777774</v>
      </c>
      <c r="AB26" s="53">
        <f t="shared" si="8"/>
        <v>17675.5364806867</v>
      </c>
      <c r="AC26" s="53">
        <f t="shared" si="9"/>
        <v>16051.13420860686</v>
      </c>
      <c r="AD26" s="53">
        <f t="shared" si="10"/>
        <v>17754.458737700283</v>
      </c>
      <c r="AE26" s="53">
        <f t="shared" si="11"/>
        <v>10644.480000000001</v>
      </c>
      <c r="AF26" s="53">
        <f t="shared" si="12"/>
        <v>10783.982037885435</v>
      </c>
      <c r="AG26" s="53">
        <f t="shared" si="13"/>
        <v>176</v>
      </c>
      <c r="AH26" s="53">
        <f t="shared" si="14"/>
        <v>17600.000000000004</v>
      </c>
      <c r="AI26" s="53">
        <f t="shared" si="15"/>
        <v>17699.461124452981</v>
      </c>
      <c r="AJ26" s="53">
        <f t="shared" si="16"/>
        <v>10811.680428949858</v>
      </c>
      <c r="AK26" s="55">
        <f>IF($L$1264,1,0)</f>
        <v>0</v>
      </c>
      <c r="AL26" s="52">
        <f>IF($L$1264,$M$1264,0)</f>
        <v>0</v>
      </c>
    </row>
    <row r="27" spans="1:38" x14ac:dyDescent="0.25">
      <c r="A27" s="81" t="str">
        <f>$A$1318</f>
        <v>BU-B|CO</v>
      </c>
      <c r="B27" s="55">
        <f>$C$1318</f>
        <v>6</v>
      </c>
      <c r="C27" s="53">
        <f>$B$1369</f>
        <v>1.05</v>
      </c>
      <c r="D27" s="53">
        <f>$C$1369</f>
        <v>1.0250000000000001</v>
      </c>
      <c r="E27" s="53">
        <f>$D$1369</f>
        <v>1.0619395161290324</v>
      </c>
      <c r="F27" s="53">
        <f>$E$1369</f>
        <v>1.0815000000000001</v>
      </c>
      <c r="G27" s="172">
        <f>$F$1369</f>
        <v>0.91798504741064912</v>
      </c>
      <c r="H27" s="172">
        <f>$G$1369</f>
        <v>0.92932044736202268</v>
      </c>
      <c r="I27" s="53">
        <f t="shared" si="0"/>
        <v>0.98875687744199026</v>
      </c>
      <c r="J27" s="53">
        <f t="shared" si="1"/>
        <v>0.97087378640776689</v>
      </c>
      <c r="K27" s="53">
        <f>IF($L$1318,1,IF(AND(nr_ModAdjMaster="ON",INDEX(lr_modadj,24)="ON"),$F$1318/$G27,1))</f>
        <v>1.0021949732133812</v>
      </c>
      <c r="L27" s="53">
        <f>IF($L$1318,1,IF(AND(nr_ModAdjMaster="ON",INDEX(lr_modadj,24)="ON"),$F$1318/$H27,1))</f>
        <v>0.98997068515119868</v>
      </c>
      <c r="M27" s="52">
        <f>IF(INDEX(lr_basis,24)="proposed",N(INDEX(lr_lrproj,24))*(1+N(INDEX(lr_s,24))),N(INDEX(lr_lrproj,24)))</f>
        <v>0.58799999999999997</v>
      </c>
      <c r="N27" s="52">
        <f t="shared" si="2"/>
        <v>0.59431848086016048</v>
      </c>
      <c r="O27" s="52">
        <f t="shared" si="3"/>
        <v>0.57645127973425514</v>
      </c>
      <c r="P27" s="52">
        <f t="shared" si="4"/>
        <v>1.1370967741935578E-2</v>
      </c>
      <c r="Q27" s="52">
        <f t="shared" si="5"/>
        <v>1.8419583765250103E-2</v>
      </c>
      <c r="R27" s="53">
        <f>IF(N(INDEX(lr_aother,24))=0,1,INDEX(lr_aother,24))</f>
        <v>1.02</v>
      </c>
      <c r="S27" s="52">
        <f>IF(ISBLANK(INDEX(lr_trend,24)),N(nr_TrendDefault),N(INDEX(lr_trend,24)))</f>
        <v>0</v>
      </c>
      <c r="T27" s="81" t="str">
        <f>INDEX(lr_state,24)</f>
        <v>CO</v>
      </c>
      <c r="U27" s="81" t="str">
        <f>INDEX(lr_bu,24)</f>
        <v>BU-B</v>
      </c>
      <c r="V27" s="189">
        <f>N(INDEX(lr_ep,24))</f>
        <v>14400</v>
      </c>
      <c r="W27" s="53">
        <f>N(INDEX(lr_mind,24))*$V27</f>
        <v>13248</v>
      </c>
      <c r="X27" s="53">
        <f>N(INDEX(lr_m0,24))*$V27</f>
        <v>13104</v>
      </c>
      <c r="Y27" s="53">
        <f>N(INDEX(lr_m1,24))*$V27</f>
        <v>13392</v>
      </c>
      <c r="Z27" s="53">
        <f t="shared" si="6"/>
        <v>15120</v>
      </c>
      <c r="AA27" s="53">
        <f t="shared" si="7"/>
        <v>15291.929032258065</v>
      </c>
      <c r="AB27" s="53">
        <f t="shared" si="8"/>
        <v>14238.09903516466</v>
      </c>
      <c r="AC27" s="53">
        <f t="shared" si="9"/>
        <v>13218.984682713348</v>
      </c>
      <c r="AD27" s="53">
        <f t="shared" si="10"/>
        <v>14431.607614272691</v>
      </c>
      <c r="AE27" s="53">
        <f t="shared" si="11"/>
        <v>8467.1999999999989</v>
      </c>
      <c r="AF27" s="53">
        <f t="shared" si="12"/>
        <v>8558.1861243863113</v>
      </c>
      <c r="AG27" s="53">
        <f t="shared" si="13"/>
        <v>0</v>
      </c>
      <c r="AH27" s="53">
        <f t="shared" si="14"/>
        <v>13980.582524271844</v>
      </c>
      <c r="AI27" s="53">
        <f t="shared" si="15"/>
        <v>14255.57786617726</v>
      </c>
      <c r="AJ27" s="53">
        <f t="shared" si="16"/>
        <v>8300.8984281732737</v>
      </c>
      <c r="AK27" s="55">
        <f>IF($L$1318,1,0)</f>
        <v>0</v>
      </c>
      <c r="AL27" s="52">
        <f>IF($L$1318,$M$1318,0)</f>
        <v>0</v>
      </c>
    </row>
    <row r="28" spans="1:38" x14ac:dyDescent="0.25">
      <c r="A28" s="81" t="str">
        <f>$A$1372</f>
        <v>BU-B|CT</v>
      </c>
      <c r="B28" s="55">
        <f>$C$1372</f>
        <v>6</v>
      </c>
      <c r="C28" s="53">
        <f>$B$1423</f>
        <v>1.08</v>
      </c>
      <c r="D28" s="53">
        <f>$C$1423</f>
        <v>1.0049999999999999</v>
      </c>
      <c r="E28" s="53">
        <f>$D$1423</f>
        <v>1.10524</v>
      </c>
      <c r="F28" s="53">
        <f>$E$1423</f>
        <v>1.1318400000000002</v>
      </c>
      <c r="G28" s="172">
        <f>$F$1423</f>
        <v>0.90999999999999981</v>
      </c>
      <c r="H28" s="172">
        <f>$G$1423</f>
        <v>0.90999999999999981</v>
      </c>
      <c r="I28" s="53">
        <f t="shared" si="0"/>
        <v>0.97716333104122188</v>
      </c>
      <c r="J28" s="53">
        <f t="shared" si="1"/>
        <v>0.95419847328244267</v>
      </c>
      <c r="K28" s="53">
        <f>IF($L$1372,1,IF(AND(nr_ModAdjMaster="ON",INDEX(lr_modadj,25)="ON"),$F$1372/$G28,1))</f>
        <v>1.0109890109890112</v>
      </c>
      <c r="L28" s="53">
        <f>IF($L$1372,1,IF(AND(nr_ModAdjMaster="ON",INDEX(lr_modadj,25)="ON"),$F$1372/$H28,1))</f>
        <v>1.0109890109890112</v>
      </c>
      <c r="M28" s="52">
        <f>IF(INDEX(lr_basis,25)="proposed",N(INDEX(lr_lrproj,25))*(1+N(INDEX(lr_s,25))),N(INDEX(lr_lrproj,25)))</f>
        <v>0.57199999999999995</v>
      </c>
      <c r="N28" s="52">
        <f t="shared" si="2"/>
        <v>0.56507959486498094</v>
      </c>
      <c r="O28" s="52">
        <f t="shared" si="3"/>
        <v>0.55179934569247557</v>
      </c>
      <c r="P28" s="52">
        <f t="shared" si="4"/>
        <v>2.3370370370370264E-2</v>
      </c>
      <c r="Q28" s="52">
        <f t="shared" si="5"/>
        <v>2.4067170931200588E-2</v>
      </c>
      <c r="R28" s="53">
        <f>IF(N(INDEX(lr_aother,25))=0,1,INDEX(lr_aother,25))</f>
        <v>1</v>
      </c>
      <c r="S28" s="52">
        <f>IF(ISBLANK(INDEX(lr_trend,25)),N(nr_TrendDefault),N(INDEX(lr_trend,25)))</f>
        <v>0</v>
      </c>
      <c r="T28" s="81" t="str">
        <f>INDEX(lr_state,25)</f>
        <v>CT</v>
      </c>
      <c r="U28" s="81" t="str">
        <f>INDEX(lr_bu,25)</f>
        <v>BU-B</v>
      </c>
      <c r="V28" s="189">
        <f>N(INDEX(lr_ep,25))</f>
        <v>11200</v>
      </c>
      <c r="W28" s="53">
        <f>N(INDEX(lr_mind,25))*$V28</f>
        <v>10304</v>
      </c>
      <c r="X28" s="53">
        <f>N(INDEX(lr_m0,25))*$V28</f>
        <v>10192</v>
      </c>
      <c r="Y28" s="53">
        <f>N(INDEX(lr_m1,25))*$V28</f>
        <v>10192</v>
      </c>
      <c r="Z28" s="53">
        <f t="shared" si="6"/>
        <v>12096</v>
      </c>
      <c r="AA28" s="53">
        <f t="shared" si="7"/>
        <v>12378.688</v>
      </c>
      <c r="AB28" s="53">
        <f t="shared" si="8"/>
        <v>10944.229307661684</v>
      </c>
      <c r="AC28" s="53">
        <f t="shared" si="9"/>
        <v>10191.999999999998</v>
      </c>
      <c r="AD28" s="53">
        <f t="shared" si="10"/>
        <v>11323.076923076926</v>
      </c>
      <c r="AE28" s="53">
        <f t="shared" si="11"/>
        <v>6406.4</v>
      </c>
      <c r="AF28" s="53">
        <f t="shared" si="12"/>
        <v>6328.8914624877862</v>
      </c>
      <c r="AG28" s="53">
        <f t="shared" si="13"/>
        <v>0</v>
      </c>
      <c r="AH28" s="53">
        <f t="shared" si="14"/>
        <v>10687.022900763357</v>
      </c>
      <c r="AI28" s="53">
        <f t="shared" si="15"/>
        <v>11323.076923076926</v>
      </c>
      <c r="AJ28" s="53">
        <f t="shared" si="16"/>
        <v>6180.1526717557263</v>
      </c>
      <c r="AK28" s="55">
        <f>IF($L$1372,1,0)</f>
        <v>0</v>
      </c>
      <c r="AL28" s="52">
        <f>IF($L$1372,$M$1372,0)</f>
        <v>0</v>
      </c>
    </row>
    <row r="29" spans="1:38" x14ac:dyDescent="0.25">
      <c r="A29" s="81" t="str">
        <f>$A$1426</f>
        <v>BU-B|FL</v>
      </c>
      <c r="B29" s="55">
        <f>$C$1426</f>
        <v>6</v>
      </c>
      <c r="C29" s="53">
        <f>$B$1477</f>
        <v>1.02</v>
      </c>
      <c r="D29" s="53">
        <f>$C$1477</f>
        <v>1.0133333333333334</v>
      </c>
      <c r="E29" s="53">
        <f>$D$1477</f>
        <v>1.0336000000000001</v>
      </c>
      <c r="F29" s="53">
        <f>$E$1477</f>
        <v>1.0608000000000002</v>
      </c>
      <c r="G29" s="172">
        <f>$F$1477</f>
        <v>0.91598878555798668</v>
      </c>
      <c r="H29" s="172">
        <f>$G$1477</f>
        <v>0.92449033552151683</v>
      </c>
      <c r="I29" s="53">
        <f t="shared" si="0"/>
        <v>0.98684210526315785</v>
      </c>
      <c r="J29" s="53">
        <f t="shared" si="1"/>
        <v>0.96153846153846134</v>
      </c>
      <c r="K29" s="53">
        <f>IF($L$1426,1,IF(AND(nr_ModAdjMaster="ON",INDEX(lr_modadj,26)="ON"),$F$1426/$G29,1))</f>
        <v>1.0043791086804299</v>
      </c>
      <c r="L29" s="53">
        <f>IF($L$1426,1,IF(AND(nr_ModAdjMaster="ON",INDEX(lr_modadj,26)="ON"),$F$1426/$H29,1))</f>
        <v>0.99514290701699581</v>
      </c>
      <c r="M29" s="52">
        <f>IF(INDEX(lr_basis,26)="proposed",N(INDEX(lr_lrproj,26))*(1+N(INDEX(lr_s,26))),N(INDEX(lr_lrproj,26)))</f>
        <v>0.6</v>
      </c>
      <c r="N29" s="52">
        <f t="shared" si="2"/>
        <v>0.5946981564555176</v>
      </c>
      <c r="O29" s="52">
        <f t="shared" si="3"/>
        <v>0.5741209078944205</v>
      </c>
      <c r="P29" s="52">
        <f t="shared" si="4"/>
        <v>1.3333333333333419E-2</v>
      </c>
      <c r="Q29" s="52">
        <f t="shared" si="5"/>
        <v>2.6315789473684292E-2</v>
      </c>
      <c r="R29" s="53">
        <f>IF(N(INDEX(lr_aother,26))=0,1,INDEX(lr_aother,26))</f>
        <v>1</v>
      </c>
      <c r="S29" s="52">
        <f>IF(ISBLANK(INDEX(lr_trend,26)),N(nr_TrendDefault),N(INDEX(lr_trend,26)))</f>
        <v>0</v>
      </c>
      <c r="T29" s="81" t="str">
        <f>INDEX(lr_state,26)</f>
        <v>FL</v>
      </c>
      <c r="U29" s="81" t="str">
        <f>INDEX(lr_bu,26)</f>
        <v>BU-B</v>
      </c>
      <c r="V29" s="189">
        <f>N(INDEX(lr_ep,26))</f>
        <v>8000</v>
      </c>
      <c r="W29" s="53">
        <f>N(INDEX(lr_mind,26))*$V29</f>
        <v>7360</v>
      </c>
      <c r="X29" s="53">
        <f>N(INDEX(lr_m0,26))*$V29</f>
        <v>7280</v>
      </c>
      <c r="Y29" s="53">
        <f>N(INDEX(lr_m1,26))*$V29</f>
        <v>7400</v>
      </c>
      <c r="Z29" s="53">
        <f t="shared" si="6"/>
        <v>8160</v>
      </c>
      <c r="AA29" s="53">
        <f t="shared" si="7"/>
        <v>8268.8000000000011</v>
      </c>
      <c r="AB29" s="53">
        <f t="shared" si="8"/>
        <v>7894.7368421052624</v>
      </c>
      <c r="AC29" s="53">
        <f t="shared" si="9"/>
        <v>7327.9102844638937</v>
      </c>
      <c r="AD29" s="53">
        <f t="shared" si="10"/>
        <v>8035.0328694434393</v>
      </c>
      <c r="AE29" s="53">
        <f t="shared" si="11"/>
        <v>4800</v>
      </c>
      <c r="AF29" s="53">
        <f t="shared" si="12"/>
        <v>4757.585251644141</v>
      </c>
      <c r="AG29" s="53">
        <f t="shared" si="13"/>
        <v>0</v>
      </c>
      <c r="AH29" s="53">
        <f t="shared" si="14"/>
        <v>7692.3076923076906</v>
      </c>
      <c r="AI29" s="53">
        <f t="shared" si="15"/>
        <v>7961.1432561359661</v>
      </c>
      <c r="AJ29" s="53">
        <f t="shared" si="16"/>
        <v>4592.967263155364</v>
      </c>
      <c r="AK29" s="55">
        <f>IF($L$1426,1,0)</f>
        <v>0</v>
      </c>
      <c r="AL29" s="52">
        <f>IF($L$1426,$M$1426,0)</f>
        <v>0</v>
      </c>
    </row>
    <row r="30" spans="1:38" x14ac:dyDescent="0.25">
      <c r="A30" s="81" t="str">
        <f>$A$1480</f>
        <v>BU-B|GA</v>
      </c>
      <c r="B30" s="55">
        <f>$C$1480</f>
        <v>6</v>
      </c>
      <c r="C30" s="53">
        <f>$B$1531</f>
        <v>1</v>
      </c>
      <c r="D30" s="53">
        <f>$C$1531</f>
        <v>1</v>
      </c>
      <c r="E30" s="53">
        <f>$D$1531</f>
        <v>1</v>
      </c>
      <c r="F30" s="53">
        <f>$E$1531</f>
        <v>1</v>
      </c>
      <c r="G30" s="172">
        <f>$F$1531</f>
        <v>0.9080037381473377</v>
      </c>
      <c r="H30" s="172">
        <f>$G$1531</f>
        <v>0.90516988815949428</v>
      </c>
      <c r="I30" s="53">
        <f t="shared" si="0"/>
        <v>1</v>
      </c>
      <c r="J30" s="53">
        <f t="shared" si="1"/>
        <v>1</v>
      </c>
      <c r="K30" s="53">
        <f>IF($L$1480,1,IF(AND(nr_ModAdjMaster="ON",INDEX(lr_modadj,27)="ON"),$F$1480/$G30,1))</f>
        <v>1.0132116877372543</v>
      </c>
      <c r="L30" s="53">
        <f>IF($L$1480,1,IF(AND(nr_ModAdjMaster="ON",INDEX(lr_modadj,27)="ON"),$F$1480/$H30,1))</f>
        <v>1.0163837883191853</v>
      </c>
      <c r="M30" s="52">
        <f>IF(INDEX(lr_basis,27)="proposed",N(INDEX(lr_lrproj,27))*(1+N(INDEX(lr_s,27))),N(INDEX(lr_lrproj,27)))</f>
        <v>0.58399999999999996</v>
      </c>
      <c r="N30" s="52">
        <f t="shared" si="2"/>
        <v>0.59171562563855651</v>
      </c>
      <c r="O30" s="52">
        <f t="shared" si="3"/>
        <v>0.59356813237840422</v>
      </c>
      <c r="P30" s="52">
        <f t="shared" si="4"/>
        <v>0</v>
      </c>
      <c r="Q30" s="52">
        <f t="shared" si="5"/>
        <v>0</v>
      </c>
      <c r="R30" s="53">
        <f>IF(N(INDEX(lr_aother,27))=0,1,INDEX(lr_aother,27))</f>
        <v>1</v>
      </c>
      <c r="S30" s="52">
        <f>IF(ISBLANK(INDEX(lr_trend,27)),N(nr_TrendDefault),N(INDEX(lr_trend,27)))</f>
        <v>0</v>
      </c>
      <c r="T30" s="81" t="str">
        <f>INDEX(lr_state,27)</f>
        <v>GA</v>
      </c>
      <c r="U30" s="81" t="str">
        <f>INDEX(lr_bu,27)</f>
        <v>BU-B</v>
      </c>
      <c r="V30" s="189">
        <f>N(INDEX(lr_ep,27))</f>
        <v>18400</v>
      </c>
      <c r="W30" s="53">
        <f>N(INDEX(lr_mind,27))*$V30</f>
        <v>16928</v>
      </c>
      <c r="X30" s="53">
        <f>N(INDEX(lr_m0,27))*$V30</f>
        <v>16744</v>
      </c>
      <c r="Y30" s="53">
        <f>N(INDEX(lr_m1,27))*$V30</f>
        <v>16652</v>
      </c>
      <c r="Z30" s="53">
        <f t="shared" si="6"/>
        <v>18400</v>
      </c>
      <c r="AA30" s="53">
        <f t="shared" si="7"/>
        <v>18400</v>
      </c>
      <c r="AB30" s="53">
        <f t="shared" si="8"/>
        <v>18400</v>
      </c>
      <c r="AC30" s="53">
        <f t="shared" si="9"/>
        <v>16707.268781911014</v>
      </c>
      <c r="AD30" s="53">
        <f t="shared" si="10"/>
        <v>18643.09505436548</v>
      </c>
      <c r="AE30" s="53">
        <f t="shared" si="11"/>
        <v>10745.599999999999</v>
      </c>
      <c r="AF30" s="53">
        <f t="shared" si="12"/>
        <v>10887.567511749439</v>
      </c>
      <c r="AG30" s="53">
        <f t="shared" si="13"/>
        <v>0</v>
      </c>
      <c r="AH30" s="53">
        <f t="shared" si="14"/>
        <v>18400</v>
      </c>
      <c r="AI30" s="53">
        <f t="shared" si="15"/>
        <v>18701.461705073008</v>
      </c>
      <c r="AJ30" s="53">
        <f t="shared" si="16"/>
        <v>10921.653635762637</v>
      </c>
      <c r="AK30" s="55">
        <f>IF($L$1480,1,0)</f>
        <v>0</v>
      </c>
      <c r="AL30" s="52">
        <f>IF($L$1480,$M$1480,0)</f>
        <v>0</v>
      </c>
    </row>
    <row r="31" spans="1:38" x14ac:dyDescent="0.25">
      <c r="A31" s="81" t="str">
        <f>$A$1534</f>
        <v>BU-B|IL</v>
      </c>
      <c r="B31" s="55">
        <f>$C$1534</f>
        <v>6</v>
      </c>
      <c r="C31" s="53">
        <f>$B$1585</f>
        <v>1.04</v>
      </c>
      <c r="D31" s="53">
        <f>$C$1585</f>
        <v>1.02</v>
      </c>
      <c r="E31" s="53">
        <f>$D$1585</f>
        <v>1.0399999999999998</v>
      </c>
      <c r="F31" s="53">
        <f>$E$1585</f>
        <v>1.0399999999999998</v>
      </c>
      <c r="G31" s="172">
        <f>$F$1585</f>
        <v>0.91399252370532447</v>
      </c>
      <c r="H31" s="172">
        <f>$G$1585</f>
        <v>0.91966022368101141</v>
      </c>
      <c r="I31" s="53">
        <f t="shared" si="0"/>
        <v>1.0000000000000002</v>
      </c>
      <c r="J31" s="53">
        <f t="shared" si="1"/>
        <v>1.0000000000000002</v>
      </c>
      <c r="K31" s="53">
        <f>IF($L$1534,1,IF(AND(nr_ModAdjMaster="ON",INDEX(lr_modadj,28)="ON"),$F$1534/$G31,1))</f>
        <v>1.0065727849395543</v>
      </c>
      <c r="L31" s="53">
        <f>IF($L$1534,1,IF(AND(nr_ModAdjMaster="ON",INDEX(lr_modadj,28)="ON"),$F$1534/$H31,1))</f>
        <v>1.000369458535054</v>
      </c>
      <c r="M31" s="52">
        <f>IF(INDEX(lr_basis,28)="proposed",N(INDEX(lr_lrproj,28))*(1+N(INDEX(lr_s,28))),N(INDEX(lr_lrproj,28)))</f>
        <v>0.56799999999999995</v>
      </c>
      <c r="N31" s="52">
        <f t="shared" si="2"/>
        <v>0.57173334184566693</v>
      </c>
      <c r="O31" s="52">
        <f t="shared" si="3"/>
        <v>0.56820985244791078</v>
      </c>
      <c r="P31" s="52">
        <f t="shared" si="4"/>
        <v>0</v>
      </c>
      <c r="Q31" s="52">
        <f t="shared" si="5"/>
        <v>0</v>
      </c>
      <c r="R31" s="53">
        <f>IF(N(INDEX(lr_aother,28))=0,1,INDEX(lr_aother,28))</f>
        <v>1</v>
      </c>
      <c r="S31" s="52">
        <f>IF(ISBLANK(INDEX(lr_trend,28)),N(nr_TrendDefault),N(INDEX(lr_trend,28)))</f>
        <v>0</v>
      </c>
      <c r="T31" s="81" t="str">
        <f>INDEX(lr_state,28)</f>
        <v>IL</v>
      </c>
      <c r="U31" s="81" t="str">
        <f>INDEX(lr_bu,28)</f>
        <v>BU-B</v>
      </c>
      <c r="V31" s="189">
        <f>N(INDEX(lr_ep,28))</f>
        <v>15200</v>
      </c>
      <c r="W31" s="53">
        <f>N(INDEX(lr_mind,28))*$V31</f>
        <v>13984</v>
      </c>
      <c r="X31" s="53">
        <f>N(INDEX(lr_m0,28))*$V31</f>
        <v>13832</v>
      </c>
      <c r="Y31" s="53">
        <f>N(INDEX(lr_m1,28))*$V31</f>
        <v>13984</v>
      </c>
      <c r="Z31" s="53">
        <f t="shared" si="6"/>
        <v>15808</v>
      </c>
      <c r="AA31" s="53">
        <f t="shared" si="7"/>
        <v>15807.999999999996</v>
      </c>
      <c r="AB31" s="53">
        <f t="shared" si="8"/>
        <v>15200.000000000004</v>
      </c>
      <c r="AC31" s="53">
        <f t="shared" si="9"/>
        <v>13892.686360320931</v>
      </c>
      <c r="AD31" s="53">
        <f t="shared" si="10"/>
        <v>15299.906331081225</v>
      </c>
      <c r="AE31" s="53">
        <f t="shared" si="11"/>
        <v>8633.5999999999985</v>
      </c>
      <c r="AF31" s="53">
        <f t="shared" si="12"/>
        <v>8690.3467960541366</v>
      </c>
      <c r="AG31" s="53">
        <f t="shared" si="13"/>
        <v>0</v>
      </c>
      <c r="AH31" s="53">
        <f t="shared" si="14"/>
        <v>15200.000000000004</v>
      </c>
      <c r="AI31" s="53">
        <f t="shared" si="15"/>
        <v>15205.61576973282</v>
      </c>
      <c r="AJ31" s="53">
        <f t="shared" si="16"/>
        <v>8636.7897572082438</v>
      </c>
      <c r="AK31" s="55">
        <f>IF($L$1534,1,0)</f>
        <v>0</v>
      </c>
      <c r="AL31" s="52">
        <f>IF($L$1534,$M$1534,0)</f>
        <v>0</v>
      </c>
    </row>
    <row r="32" spans="1:38" x14ac:dyDescent="0.25">
      <c r="A32" s="81" t="str">
        <f>$A$1588</f>
        <v>BU-B|IN</v>
      </c>
      <c r="B32" s="55">
        <f>$C$1588</f>
        <v>6</v>
      </c>
      <c r="C32" s="53">
        <f>$B$1639</f>
        <v>1.05</v>
      </c>
      <c r="D32" s="53">
        <f>$C$1639</f>
        <v>1.0208333333333335</v>
      </c>
      <c r="E32" s="53">
        <f>$D$1639</f>
        <v>1.05</v>
      </c>
      <c r="F32" s="53">
        <f>$E$1639</f>
        <v>1.05</v>
      </c>
      <c r="G32" s="172">
        <f>$F$1639</f>
        <v>0.90600747629467537</v>
      </c>
      <c r="H32" s="172">
        <f>$G$1639</f>
        <v>0.90033977631898854</v>
      </c>
      <c r="I32" s="53">
        <f t="shared" si="0"/>
        <v>1</v>
      </c>
      <c r="J32" s="53">
        <f t="shared" si="1"/>
        <v>1</v>
      </c>
      <c r="K32" s="53">
        <f>IF($L$1588,1,IF(AND(nr_ModAdjMaster="ON",INDEX(lr_modadj,29)="ON"),$F$1588/$G32,1))</f>
        <v>1.0154441592055623</v>
      </c>
      <c r="L32" s="53">
        <f>IF($L$1588,1,IF(AND(nr_ModAdjMaster="ON",INDEX(lr_modadj,29)="ON"),$F$1588/$H32,1))</f>
        <v>1.0218364490808034</v>
      </c>
      <c r="M32" s="52">
        <f>IF(INDEX(lr_basis,29)="proposed",N(INDEX(lr_lrproj,29))*(1+N(INDEX(lr_s,29))),N(INDEX(lr_lrproj,29)))</f>
        <v>0.59599999999999997</v>
      </c>
      <c r="N32" s="52">
        <f t="shared" si="2"/>
        <v>0.60520471888651506</v>
      </c>
      <c r="O32" s="52">
        <f t="shared" si="3"/>
        <v>0.6090145236521588</v>
      </c>
      <c r="P32" s="52">
        <f t="shared" si="4"/>
        <v>0</v>
      </c>
      <c r="Q32" s="52">
        <f t="shared" si="5"/>
        <v>0</v>
      </c>
      <c r="R32" s="53">
        <f>IF(N(INDEX(lr_aother,29))=0,1,INDEX(lr_aother,29))</f>
        <v>1</v>
      </c>
      <c r="S32" s="52">
        <f>IF(ISBLANK(INDEX(lr_trend,29)),N(nr_TrendDefault),N(INDEX(lr_trend,29)))</f>
        <v>0</v>
      </c>
      <c r="T32" s="81" t="str">
        <f>INDEX(lr_state,29)</f>
        <v>IN</v>
      </c>
      <c r="U32" s="81" t="str">
        <f>INDEX(lr_bu,29)</f>
        <v>BU-B</v>
      </c>
      <c r="V32" s="189">
        <f>N(INDEX(lr_ep,29))</f>
        <v>12000</v>
      </c>
      <c r="W32" s="53">
        <f>N(INDEX(lr_mind,29))*$V32</f>
        <v>11040</v>
      </c>
      <c r="X32" s="53">
        <f>N(INDEX(lr_m0,29))*$V32</f>
        <v>10920</v>
      </c>
      <c r="Y32" s="53">
        <f>N(INDEX(lr_m1,29))*$V32</f>
        <v>10800</v>
      </c>
      <c r="Z32" s="53">
        <f t="shared" si="6"/>
        <v>12600</v>
      </c>
      <c r="AA32" s="53">
        <f t="shared" si="7"/>
        <v>12600</v>
      </c>
      <c r="AB32" s="53">
        <f t="shared" si="8"/>
        <v>12000</v>
      </c>
      <c r="AC32" s="53">
        <f t="shared" si="9"/>
        <v>10872.089715536105</v>
      </c>
      <c r="AD32" s="53">
        <f t="shared" si="10"/>
        <v>12185.329910466748</v>
      </c>
      <c r="AE32" s="53">
        <f t="shared" si="11"/>
        <v>7152</v>
      </c>
      <c r="AF32" s="53">
        <f t="shared" si="12"/>
        <v>7262.4566266381808</v>
      </c>
      <c r="AG32" s="53">
        <f t="shared" si="13"/>
        <v>0</v>
      </c>
      <c r="AH32" s="53">
        <f t="shared" si="14"/>
        <v>12000</v>
      </c>
      <c r="AI32" s="53">
        <f t="shared" si="15"/>
        <v>12262.03738896964</v>
      </c>
      <c r="AJ32" s="53">
        <f t="shared" si="16"/>
        <v>7308.1742838259061</v>
      </c>
      <c r="AK32" s="55">
        <f>IF($L$1588,1,0)</f>
        <v>0</v>
      </c>
      <c r="AL32" s="52">
        <f>IF($L$1588,$M$1588,0)</f>
        <v>0</v>
      </c>
    </row>
    <row r="33" spans="1:38" x14ac:dyDescent="0.25">
      <c r="A33" s="81" t="str">
        <f>$A$1642</f>
        <v>BU-B|IA</v>
      </c>
      <c r="B33" s="55">
        <f>$C$1642</f>
        <v>6</v>
      </c>
      <c r="C33" s="53">
        <f>$B$1693</f>
        <v>1</v>
      </c>
      <c r="D33" s="53">
        <f>$C$1693</f>
        <v>1</v>
      </c>
      <c r="E33" s="53">
        <f>$D$1693</f>
        <v>1.0024999999999999</v>
      </c>
      <c r="F33" s="53">
        <f>$E$1693</f>
        <v>1.0374999999999999</v>
      </c>
      <c r="G33" s="172">
        <f>$F$1693</f>
        <v>0.91199626185266247</v>
      </c>
      <c r="H33" s="172">
        <f>$G$1693</f>
        <v>0.91483011184050556</v>
      </c>
      <c r="I33" s="53">
        <f t="shared" si="0"/>
        <v>0.99750623441396513</v>
      </c>
      <c r="J33" s="53">
        <f t="shared" si="1"/>
        <v>0.96385542168674709</v>
      </c>
      <c r="K33" s="53">
        <f>IF($L$1642,1,IF(AND(nr_ModAdjMaster="ON",INDEX(lr_modadj,30)="ON"),$F$1642/$G33,1))</f>
        <v>1.0087760646420616</v>
      </c>
      <c r="L33" s="53">
        <f>IF($L$1642,1,IF(AND(nr_ModAdjMaster="ON",INDEX(lr_modadj,30)="ON"),$F$1642/$H33,1))</f>
        <v>1.0056512002530102</v>
      </c>
      <c r="M33" s="52">
        <f>IF(INDEX(lr_basis,30)="proposed",N(INDEX(lr_lrproj,30))*(1+N(INDEX(lr_s,30))),N(INDEX(lr_lrproj,30)))</f>
        <v>0.57999999999999996</v>
      </c>
      <c r="N33" s="52">
        <f t="shared" si="2"/>
        <v>0.58363103989266396</v>
      </c>
      <c r="O33" s="52">
        <f t="shared" si="3"/>
        <v>0.56219536977999618</v>
      </c>
      <c r="P33" s="52">
        <f t="shared" si="4"/>
        <v>2.4999999999999467E-3</v>
      </c>
      <c r="Q33" s="52">
        <f t="shared" si="5"/>
        <v>3.4912718204488602E-2</v>
      </c>
      <c r="R33" s="53">
        <f>IF(N(INDEX(lr_aother,30))=0,1,INDEX(lr_aother,30))</f>
        <v>1</v>
      </c>
      <c r="S33" s="52">
        <f>IF(ISBLANK(INDEX(lr_trend,30)),N(nr_TrendDefault),N(INDEX(lr_trend,30)))</f>
        <v>0</v>
      </c>
      <c r="T33" s="81" t="str">
        <f>INDEX(lr_state,30)</f>
        <v>IA</v>
      </c>
      <c r="U33" s="81" t="str">
        <f>INDEX(lr_bu,30)</f>
        <v>BU-B</v>
      </c>
      <c r="V33" s="189">
        <f>N(INDEX(lr_ep,30))</f>
        <v>8800</v>
      </c>
      <c r="W33" s="53">
        <f>N(INDEX(lr_mind,30))*$V33</f>
        <v>8096</v>
      </c>
      <c r="X33" s="53">
        <f>N(INDEX(lr_m0,30))*$V33</f>
        <v>8008</v>
      </c>
      <c r="Y33" s="53">
        <f>N(INDEX(lr_m1,30))*$V33</f>
        <v>8052</v>
      </c>
      <c r="Z33" s="53">
        <f t="shared" si="6"/>
        <v>8800</v>
      </c>
      <c r="AA33" s="53">
        <f t="shared" si="7"/>
        <v>8822</v>
      </c>
      <c r="AB33" s="53">
        <f t="shared" si="8"/>
        <v>8778.0548628428933</v>
      </c>
      <c r="AC33" s="53">
        <f t="shared" si="9"/>
        <v>8025.5671043034299</v>
      </c>
      <c r="AD33" s="53">
        <f t="shared" si="10"/>
        <v>8877.2293688501413</v>
      </c>
      <c r="AE33" s="53">
        <f t="shared" si="11"/>
        <v>5104</v>
      </c>
      <c r="AF33" s="53">
        <f t="shared" si="12"/>
        <v>5135.9531510554425</v>
      </c>
      <c r="AG33" s="53">
        <f t="shared" si="13"/>
        <v>0</v>
      </c>
      <c r="AH33" s="53">
        <f t="shared" si="14"/>
        <v>8481.9277108433744</v>
      </c>
      <c r="AI33" s="53">
        <f t="shared" si="15"/>
        <v>8849.7305622264903</v>
      </c>
      <c r="AJ33" s="53">
        <f t="shared" si="16"/>
        <v>4947.3192540639666</v>
      </c>
      <c r="AK33" s="55">
        <f>IF($L$1642,1,0)</f>
        <v>0</v>
      </c>
      <c r="AL33" s="52">
        <f>IF($L$1642,$M$1642,0)</f>
        <v>0</v>
      </c>
    </row>
    <row r="34" spans="1:38" x14ac:dyDescent="0.25">
      <c r="A34" s="81" t="str">
        <f>$A$1696</f>
        <v>BU-B|KY</v>
      </c>
      <c r="B34" s="55">
        <f>$C$1696</f>
        <v>6</v>
      </c>
      <c r="C34" s="53">
        <f>$B$1747</f>
        <v>1.02</v>
      </c>
      <c r="D34" s="53">
        <f>$C$1747</f>
        <v>1.0050000000000003</v>
      </c>
      <c r="E34" s="53">
        <f>$D$1747</f>
        <v>1.0200000000000002</v>
      </c>
      <c r="F34" s="53">
        <f>$E$1747</f>
        <v>1.0200000000000002</v>
      </c>
      <c r="G34" s="172">
        <f>$F$1747</f>
        <v>0.91798504741064912</v>
      </c>
      <c r="H34" s="172">
        <f>$G$1747</f>
        <v>0.92932044736202268</v>
      </c>
      <c r="I34" s="53">
        <f t="shared" si="0"/>
        <v>0.99999999999999978</v>
      </c>
      <c r="J34" s="53">
        <f t="shared" si="1"/>
        <v>0.99999999999999978</v>
      </c>
      <c r="K34" s="53">
        <f>IF($L$1696,1,IF(AND(nr_ModAdjMaster="ON",INDEX(lr_modadj,31)="ON"),$F$1696/$G34,1))</f>
        <v>1.0021949732133812</v>
      </c>
      <c r="L34" s="53">
        <f>IF($L$1696,1,IF(AND(nr_ModAdjMaster="ON",INDEX(lr_modadj,31)="ON"),$F$1696/$H34,1))</f>
        <v>0.98997068515119868</v>
      </c>
      <c r="M34" s="52">
        <f>IF(INDEX(lr_basis,31)="proposed",N(INDEX(lr_lrproj,31))*(1+N(INDEX(lr_s,31))),N(INDEX(lr_lrproj,31)))</f>
        <v>0.56399999999999995</v>
      </c>
      <c r="N34" s="52">
        <f t="shared" si="2"/>
        <v>0.5652379648923469</v>
      </c>
      <c r="O34" s="52">
        <f t="shared" si="3"/>
        <v>0.55834346642527588</v>
      </c>
      <c r="P34" s="52">
        <f t="shared" si="4"/>
        <v>0</v>
      </c>
      <c r="Q34" s="52">
        <f t="shared" si="5"/>
        <v>0</v>
      </c>
      <c r="R34" s="53">
        <f>IF(N(INDEX(lr_aother,31))=0,1,INDEX(lr_aother,31))</f>
        <v>1</v>
      </c>
      <c r="S34" s="52">
        <f>IF(ISBLANK(INDEX(lr_trend,31)),N(nr_TrendDefault),N(INDEX(lr_trend,31)))</f>
        <v>0</v>
      </c>
      <c r="T34" s="81" t="str">
        <f>INDEX(lr_state,31)</f>
        <v>KY</v>
      </c>
      <c r="U34" s="81" t="str">
        <f>INDEX(lr_bu,31)</f>
        <v>BU-B</v>
      </c>
      <c r="V34" s="189">
        <f>N(INDEX(lr_ep,31))</f>
        <v>19200</v>
      </c>
      <c r="W34" s="53">
        <f>N(INDEX(lr_mind,31))*$V34</f>
        <v>17664</v>
      </c>
      <c r="X34" s="53">
        <f>N(INDEX(lr_m0,31))*$V34</f>
        <v>17472</v>
      </c>
      <c r="Y34" s="53">
        <f>N(INDEX(lr_m1,31))*$V34</f>
        <v>17856</v>
      </c>
      <c r="Z34" s="53">
        <f t="shared" si="6"/>
        <v>19584</v>
      </c>
      <c r="AA34" s="53">
        <f t="shared" si="7"/>
        <v>19584.000000000004</v>
      </c>
      <c r="AB34" s="53">
        <f t="shared" si="8"/>
        <v>19199.999999999996</v>
      </c>
      <c r="AC34" s="53">
        <f t="shared" si="9"/>
        <v>17625.312910284461</v>
      </c>
      <c r="AD34" s="53">
        <f t="shared" si="10"/>
        <v>19242.143485696921</v>
      </c>
      <c r="AE34" s="53">
        <f t="shared" si="11"/>
        <v>10828.8</v>
      </c>
      <c r="AF34" s="53">
        <f t="shared" si="12"/>
        <v>10852.568925933061</v>
      </c>
      <c r="AG34" s="53">
        <f t="shared" si="13"/>
        <v>0</v>
      </c>
      <c r="AH34" s="53">
        <f t="shared" si="14"/>
        <v>19199.999999999996</v>
      </c>
      <c r="AI34" s="53">
        <f t="shared" si="15"/>
        <v>19007.437154903015</v>
      </c>
      <c r="AJ34" s="53">
        <f t="shared" si="16"/>
        <v>10720.194555365297</v>
      </c>
      <c r="AK34" s="55">
        <f>IF($L$1696,1,0)</f>
        <v>0</v>
      </c>
      <c r="AL34" s="52">
        <f>IF($L$1696,$M$1696,0)</f>
        <v>0</v>
      </c>
    </row>
    <row r="35" spans="1:38" x14ac:dyDescent="0.25">
      <c r="A35" s="81" t="str">
        <f>$A$1750</f>
        <v>BU-B|MD</v>
      </c>
      <c r="B35" s="55">
        <f>$C$1750</f>
        <v>6</v>
      </c>
      <c r="C35" s="53">
        <f>$B$1801</f>
        <v>1.03</v>
      </c>
      <c r="D35" s="53">
        <f>$C$1801</f>
        <v>1.0052083333333333</v>
      </c>
      <c r="E35" s="53">
        <f>$D$1801</f>
        <v>1.0297916666666669</v>
      </c>
      <c r="F35" s="53">
        <f>$E$1801</f>
        <v>1.03</v>
      </c>
      <c r="G35" s="172">
        <f>$F$1801</f>
        <v>0.90999999999999981</v>
      </c>
      <c r="H35" s="172">
        <f>$G$1801</f>
        <v>0.90999999999999981</v>
      </c>
      <c r="I35" s="53">
        <f t="shared" si="0"/>
        <v>1.0002023062917256</v>
      </c>
      <c r="J35" s="53">
        <f t="shared" si="1"/>
        <v>1</v>
      </c>
      <c r="K35" s="53">
        <f>IF($L$1750,1,IF(AND(nr_ModAdjMaster="ON",INDEX(lr_modadj,32)="ON"),$F$1750/$G35,1))</f>
        <v>1.0109890109890112</v>
      </c>
      <c r="L35" s="53">
        <f>IF($L$1750,1,IF(AND(nr_ModAdjMaster="ON",INDEX(lr_modadj,32)="ON"),$F$1750/$H35,1))</f>
        <v>1.0109890109890112</v>
      </c>
      <c r="M35" s="52">
        <f>IF(INDEX(lr_basis,32)="proposed",N(INDEX(lr_lrproj,32))*(1+N(INDEX(lr_s,32))),N(INDEX(lr_lrproj,32)))</f>
        <v>0.59199999999999997</v>
      </c>
      <c r="N35" s="52">
        <f t="shared" si="2"/>
        <v>0.59862657593266544</v>
      </c>
      <c r="O35" s="52">
        <f t="shared" si="3"/>
        <v>0.59850549450549462</v>
      </c>
      <c r="P35" s="52">
        <f t="shared" si="4"/>
        <v>-2.022653721680534E-4</v>
      </c>
      <c r="Q35" s="52">
        <f t="shared" si="5"/>
        <v>2.0230629172557357E-4</v>
      </c>
      <c r="R35" s="53">
        <f>IF(N(INDEX(lr_aother,32))=0,1,INDEX(lr_aother,32))</f>
        <v>1</v>
      </c>
      <c r="S35" s="52">
        <f>IF(ISBLANK(INDEX(lr_trend,32)),N(nr_TrendDefault),N(INDEX(lr_trend,32)))</f>
        <v>0</v>
      </c>
      <c r="T35" s="81" t="str">
        <f>INDEX(lr_state,32)</f>
        <v>MD</v>
      </c>
      <c r="U35" s="81" t="str">
        <f>INDEX(lr_bu,32)</f>
        <v>BU-B</v>
      </c>
      <c r="V35" s="189">
        <f>N(INDEX(lr_ep,32))</f>
        <v>16000</v>
      </c>
      <c r="W35" s="53">
        <f>N(INDEX(lr_mind,32))*$V35</f>
        <v>14720</v>
      </c>
      <c r="X35" s="53">
        <f>N(INDEX(lr_m0,32))*$V35</f>
        <v>14560</v>
      </c>
      <c r="Y35" s="53">
        <f>N(INDEX(lr_m1,32))*$V35</f>
        <v>14560</v>
      </c>
      <c r="Z35" s="53">
        <f t="shared" si="6"/>
        <v>16480</v>
      </c>
      <c r="AA35" s="53">
        <f t="shared" si="7"/>
        <v>16476.666666666672</v>
      </c>
      <c r="AB35" s="53">
        <f t="shared" si="8"/>
        <v>16003.236900667609</v>
      </c>
      <c r="AC35" s="53">
        <f t="shared" si="9"/>
        <v>14559.999999999996</v>
      </c>
      <c r="AD35" s="53">
        <f t="shared" si="10"/>
        <v>16175.824175824178</v>
      </c>
      <c r="AE35" s="53">
        <f t="shared" si="11"/>
        <v>9472</v>
      </c>
      <c r="AF35" s="53">
        <f t="shared" si="12"/>
        <v>9578.0252149226471</v>
      </c>
      <c r="AG35" s="53">
        <f t="shared" si="13"/>
        <v>0</v>
      </c>
      <c r="AH35" s="53">
        <f t="shared" si="14"/>
        <v>16000</v>
      </c>
      <c r="AI35" s="53">
        <f t="shared" si="15"/>
        <v>16175.824175824178</v>
      </c>
      <c r="AJ35" s="53">
        <f t="shared" si="16"/>
        <v>9576.0879120879144</v>
      </c>
      <c r="AK35" s="55">
        <f>IF($L$1750,1,0)</f>
        <v>0</v>
      </c>
      <c r="AL35" s="52">
        <f>IF($L$1750,$M$1750,0)</f>
        <v>0</v>
      </c>
    </row>
    <row r="36" spans="1:38" x14ac:dyDescent="0.25">
      <c r="A36" s="81" t="str">
        <f>$A$1804</f>
        <v>BU-B|MI</v>
      </c>
      <c r="B36" s="55">
        <f>$C$1804</f>
        <v>6</v>
      </c>
      <c r="C36" s="53">
        <f>$B$1855</f>
        <v>1</v>
      </c>
      <c r="D36" s="53">
        <f>$C$1855</f>
        <v>1</v>
      </c>
      <c r="E36" s="53">
        <f>$D$1855</f>
        <v>1</v>
      </c>
      <c r="F36" s="53">
        <f>$E$1855</f>
        <v>1</v>
      </c>
      <c r="G36" s="172">
        <f>$F$1855</f>
        <v>0.91598878555798668</v>
      </c>
      <c r="H36" s="172">
        <f>$G$1855</f>
        <v>0.92449033552151683</v>
      </c>
      <c r="I36" s="53">
        <f t="shared" ref="I36:I72" si="17">$C36/$E36</f>
        <v>1</v>
      </c>
      <c r="J36" s="53">
        <f t="shared" ref="J36:J72" si="18">$C36/$F36</f>
        <v>1</v>
      </c>
      <c r="K36" s="53">
        <f>IF($L$1804,1,IF(AND(nr_ModAdjMaster="ON",INDEX(lr_modadj,33)="ON"),$F$1804/$G36,1))</f>
        <v>1.0043791086804299</v>
      </c>
      <c r="L36" s="53">
        <f>IF($L$1804,1,IF(AND(nr_ModAdjMaster="ON",INDEX(lr_modadj,33)="ON"),$F$1804/$H36,1))</f>
        <v>0.99514290701699581</v>
      </c>
      <c r="M36" s="52">
        <f>IF(INDEX(lr_basis,33)="proposed",N(INDEX(lr_lrproj,33))*(1+N(INDEX(lr_s,33))),N(INDEX(lr_lrproj,33)))</f>
        <v>0.57599999999999996</v>
      </c>
      <c r="N36" s="52">
        <f t="shared" ref="N36:N72" si="19">$M36*$I36*$K36*$R36</f>
        <v>0.57852236659992762</v>
      </c>
      <c r="O36" s="52">
        <f t="shared" ref="O36:O72" si="20">$M36*(1+$S36)*$J36*$L36*$R36</f>
        <v>0.5732023144417896</v>
      </c>
      <c r="P36" s="52">
        <f t="shared" ref="P36:P72" si="21">$E36/$C36-1</f>
        <v>0</v>
      </c>
      <c r="Q36" s="52">
        <f t="shared" ref="Q36:Q72" si="22">$F36/$E36-1</f>
        <v>0</v>
      </c>
      <c r="R36" s="53">
        <f>IF(N(INDEX(lr_aother,33))=0,1,INDEX(lr_aother,33))</f>
        <v>1</v>
      </c>
      <c r="S36" s="52">
        <f>IF(ISBLANK(INDEX(lr_trend,33)),N(nr_TrendDefault),N(INDEX(lr_trend,33)))</f>
        <v>0</v>
      </c>
      <c r="T36" s="81" t="str">
        <f>INDEX(lr_state,33)</f>
        <v>MI</v>
      </c>
      <c r="U36" s="81" t="str">
        <f>INDEX(lr_bu,33)</f>
        <v>BU-B</v>
      </c>
      <c r="V36" s="189">
        <f>N(INDEX(lr_ep,33))</f>
        <v>12800</v>
      </c>
      <c r="W36" s="53">
        <f>N(INDEX(lr_mind,33))*$V36</f>
        <v>11776</v>
      </c>
      <c r="X36" s="53">
        <f>N(INDEX(lr_m0,33))*$V36</f>
        <v>11648</v>
      </c>
      <c r="Y36" s="53">
        <f>N(INDEX(lr_m1,33))*$V36</f>
        <v>11840</v>
      </c>
      <c r="Z36" s="53">
        <f t="shared" ref="Z36:Z72" si="23">$C36*$V36</f>
        <v>12800</v>
      </c>
      <c r="AA36" s="53">
        <f t="shared" ref="AA36:AA72" si="24">$E36*$V36</f>
        <v>12800</v>
      </c>
      <c r="AB36" s="53">
        <f t="shared" ref="AB36:AB72" si="25">$I36*$V36</f>
        <v>12800</v>
      </c>
      <c r="AC36" s="53">
        <f t="shared" ref="AC36:AC72" si="26">$G36*$V36</f>
        <v>11724.656455142229</v>
      </c>
      <c r="AD36" s="53">
        <f t="shared" ref="AD36:AD72" si="27">$K36*$V36</f>
        <v>12856.052591109503</v>
      </c>
      <c r="AE36" s="53">
        <f t="shared" ref="AE36:AE72" si="28">$M36*$V36</f>
        <v>7372.7999999999993</v>
      </c>
      <c r="AF36" s="53">
        <f t="shared" ref="AF36:AF72" si="29">$N36*$V36</f>
        <v>7405.0862924790736</v>
      </c>
      <c r="AG36" s="53">
        <f t="shared" ref="AG36:AG72" si="30">$S36*$V36</f>
        <v>0</v>
      </c>
      <c r="AH36" s="53">
        <f t="shared" ref="AH36:AH72" si="31">$J36*$V36</f>
        <v>12800</v>
      </c>
      <c r="AI36" s="53">
        <f t="shared" ref="AI36:AI72" si="32">$L36*$V36</f>
        <v>12737.829209817546</v>
      </c>
      <c r="AJ36" s="53">
        <f t="shared" ref="AJ36:AJ72" si="33">$O36*$V36</f>
        <v>7336.9896248549067</v>
      </c>
      <c r="AK36" s="55">
        <f>IF($L$1804,1,0)</f>
        <v>0</v>
      </c>
      <c r="AL36" s="52">
        <f>IF($L$1804,$M$1804,0)</f>
        <v>0</v>
      </c>
    </row>
    <row r="37" spans="1:38" x14ac:dyDescent="0.25">
      <c r="A37" s="81" t="str">
        <f>$A$1858</f>
        <v>BU-B|MN</v>
      </c>
      <c r="B37" s="55">
        <f>$C$1858</f>
        <v>6</v>
      </c>
      <c r="C37" s="53">
        <f>$B$1909</f>
        <v>1.05</v>
      </c>
      <c r="D37" s="53">
        <f>$C$1909</f>
        <v>1.003125</v>
      </c>
      <c r="E37" s="53">
        <f>$D$1909</f>
        <v>1.0678750000000001</v>
      </c>
      <c r="F37" s="53">
        <f>$E$1909</f>
        <v>1.0920000000000003</v>
      </c>
      <c r="G37" s="172">
        <f>$F$1909</f>
        <v>0.9080037381473377</v>
      </c>
      <c r="H37" s="172">
        <f>$G$1909</f>
        <v>0.90516988815949428</v>
      </c>
      <c r="I37" s="53">
        <f t="shared" si="17"/>
        <v>0.98326114947910559</v>
      </c>
      <c r="J37" s="53">
        <f t="shared" si="18"/>
        <v>0.96153846153846134</v>
      </c>
      <c r="K37" s="53">
        <f>IF($L$1858,1,IF(AND(nr_ModAdjMaster="ON",INDEX(lr_modadj,34)="ON"),$F$1858/$G37,1))</f>
        <v>1.0132116877372543</v>
      </c>
      <c r="L37" s="53">
        <f>IF($L$1858,1,IF(AND(nr_ModAdjMaster="ON",INDEX(lr_modadj,34)="ON"),$F$1858/$H37,1))</f>
        <v>1.0163837883191853</v>
      </c>
      <c r="M37" s="52">
        <f>IF(INDEX(lr_basis,34)="proposed",N(INDEX(lr_lrproj,34))*(1+N(INDEX(lr_s,34))),N(INDEX(lr_lrproj,34)))</f>
        <v>0.56000000000000005</v>
      </c>
      <c r="N37" s="52">
        <f t="shared" si="19"/>
        <v>0.55790094570011051</v>
      </c>
      <c r="O37" s="52">
        <f t="shared" si="20"/>
        <v>0.54728357832571517</v>
      </c>
      <c r="P37" s="52">
        <f t="shared" si="21"/>
        <v>1.7023809523809552E-2</v>
      </c>
      <c r="Q37" s="52">
        <f t="shared" si="22"/>
        <v>2.2591595458270053E-2</v>
      </c>
      <c r="R37" s="53">
        <f>IF(N(INDEX(lr_aother,34))=0,1,INDEX(lr_aother,34))</f>
        <v>1</v>
      </c>
      <c r="S37" s="52">
        <f>IF(ISBLANK(INDEX(lr_trend,34)),N(nr_TrendDefault),N(INDEX(lr_trend,34)))</f>
        <v>0</v>
      </c>
      <c r="T37" s="81" t="str">
        <f>INDEX(lr_state,34)</f>
        <v>MN</v>
      </c>
      <c r="U37" s="81" t="str">
        <f>INDEX(lr_bu,34)</f>
        <v>BU-B</v>
      </c>
      <c r="V37" s="189">
        <f>N(INDEX(lr_ep,34))</f>
        <v>9600</v>
      </c>
      <c r="W37" s="53">
        <f>N(INDEX(lr_mind,34))*$V37</f>
        <v>8832</v>
      </c>
      <c r="X37" s="53">
        <f>N(INDEX(lr_m0,34))*$V37</f>
        <v>8736</v>
      </c>
      <c r="Y37" s="53">
        <f>N(INDEX(lr_m1,34))*$V37</f>
        <v>8688</v>
      </c>
      <c r="Z37" s="53">
        <f t="shared" si="23"/>
        <v>10080</v>
      </c>
      <c r="AA37" s="53">
        <f t="shared" si="24"/>
        <v>10251.6</v>
      </c>
      <c r="AB37" s="53">
        <f t="shared" si="25"/>
        <v>9439.3070349994141</v>
      </c>
      <c r="AC37" s="53">
        <f t="shared" si="26"/>
        <v>8716.8358862144414</v>
      </c>
      <c r="AD37" s="53">
        <f t="shared" si="27"/>
        <v>9726.832202277641</v>
      </c>
      <c r="AE37" s="53">
        <f t="shared" si="28"/>
        <v>5376.0000000000009</v>
      </c>
      <c r="AF37" s="53">
        <f t="shared" si="29"/>
        <v>5355.8490787210612</v>
      </c>
      <c r="AG37" s="53">
        <f t="shared" si="30"/>
        <v>0</v>
      </c>
      <c r="AH37" s="53">
        <f t="shared" si="31"/>
        <v>9230.7692307692287</v>
      </c>
      <c r="AI37" s="53">
        <f t="shared" si="32"/>
        <v>9757.2843678641784</v>
      </c>
      <c r="AJ37" s="53">
        <f t="shared" si="33"/>
        <v>5253.9223519268653</v>
      </c>
      <c r="AK37" s="55">
        <f>IF($L$1858,1,0)</f>
        <v>0</v>
      </c>
      <c r="AL37" s="52">
        <f>IF($L$1858,$M$1858,0)</f>
        <v>0</v>
      </c>
    </row>
    <row r="38" spans="1:38" x14ac:dyDescent="0.25">
      <c r="A38" s="81" t="str">
        <f>$A$1912</f>
        <v>BU-B|MO</v>
      </c>
      <c r="B38" s="55">
        <f>$C$1912</f>
        <v>6</v>
      </c>
      <c r="C38" s="53">
        <f>$B$1963</f>
        <v>1.06</v>
      </c>
      <c r="D38" s="53">
        <f>$C$1963</f>
        <v>1.0016666666666667</v>
      </c>
      <c r="E38" s="53">
        <f>$D$1963</f>
        <v>1.0533333333333335</v>
      </c>
      <c r="F38" s="53">
        <f>$E$1963</f>
        <v>1.0600000000000003</v>
      </c>
      <c r="G38" s="172">
        <f>$F$1963</f>
        <v>0.91399252370532447</v>
      </c>
      <c r="H38" s="172">
        <f>$G$1963</f>
        <v>0.91966022368101141</v>
      </c>
      <c r="I38" s="53">
        <f t="shared" si="17"/>
        <v>1.0063291139240507</v>
      </c>
      <c r="J38" s="53">
        <f t="shared" si="18"/>
        <v>0.99999999999999978</v>
      </c>
      <c r="K38" s="53">
        <f>IF($L$1912,1,IF(AND(nr_ModAdjMaster="ON",INDEX(lr_modadj,35)="ON"),$F$1912/$G38,1))</f>
        <v>1.0065727849395543</v>
      </c>
      <c r="L38" s="53">
        <f>IF($L$1912,1,IF(AND(nr_ModAdjMaster="ON",INDEX(lr_modadj,35)="ON"),$F$1912/$H38,1))</f>
        <v>1.000369458535054</v>
      </c>
      <c r="M38" s="52">
        <f>IF(INDEX(lr_basis,35)="proposed",N(INDEX(lr_lrproj,35))*(1+N(INDEX(lr_s,35))),N(INDEX(lr_lrproj,35)))</f>
        <v>0.58799999999999997</v>
      </c>
      <c r="N38" s="52">
        <f t="shared" si="19"/>
        <v>0.59561077727575185</v>
      </c>
      <c r="O38" s="52">
        <f t="shared" si="20"/>
        <v>0.58821724161861155</v>
      </c>
      <c r="P38" s="52">
        <f t="shared" si="21"/>
        <v>-6.2893081761005165E-3</v>
      </c>
      <c r="Q38" s="52">
        <f t="shared" si="22"/>
        <v>6.3291139240508887E-3</v>
      </c>
      <c r="R38" s="53">
        <f>IF(N(INDEX(lr_aother,35))=0,1,INDEX(lr_aother,35))</f>
        <v>1</v>
      </c>
      <c r="S38" s="52">
        <f>IF(ISBLANK(INDEX(lr_trend,35)),N(nr_TrendDefault),N(INDEX(lr_trend,35)))</f>
        <v>0</v>
      </c>
      <c r="T38" s="81" t="str">
        <f>INDEX(lr_state,35)</f>
        <v>MO</v>
      </c>
      <c r="U38" s="81" t="str">
        <f>INDEX(lr_bu,35)</f>
        <v>BU-B</v>
      </c>
      <c r="V38" s="189">
        <f>N(INDEX(lr_ep,35))</f>
        <v>6400</v>
      </c>
      <c r="W38" s="53">
        <f>N(INDEX(lr_mind,35))*$V38</f>
        <v>5888</v>
      </c>
      <c r="X38" s="53">
        <f>N(INDEX(lr_m0,35))*$V38</f>
        <v>5824</v>
      </c>
      <c r="Y38" s="53">
        <f>N(INDEX(lr_m1,35))*$V38</f>
        <v>5888</v>
      </c>
      <c r="Z38" s="53">
        <f t="shared" si="23"/>
        <v>6784</v>
      </c>
      <c r="AA38" s="53">
        <f t="shared" si="24"/>
        <v>6741.3333333333339</v>
      </c>
      <c r="AB38" s="53">
        <f t="shared" si="25"/>
        <v>6440.506329113924</v>
      </c>
      <c r="AC38" s="53">
        <f t="shared" si="26"/>
        <v>5849.5521517140769</v>
      </c>
      <c r="AD38" s="53">
        <f t="shared" si="27"/>
        <v>6442.0658236131476</v>
      </c>
      <c r="AE38" s="53">
        <f t="shared" si="28"/>
        <v>3763.2</v>
      </c>
      <c r="AF38" s="53">
        <f t="shared" si="29"/>
        <v>3811.9089745648116</v>
      </c>
      <c r="AG38" s="53">
        <f t="shared" si="30"/>
        <v>0</v>
      </c>
      <c r="AH38" s="53">
        <f t="shared" si="31"/>
        <v>6399.9999999999982</v>
      </c>
      <c r="AI38" s="53">
        <f t="shared" si="32"/>
        <v>6402.3645346243457</v>
      </c>
      <c r="AJ38" s="53">
        <f t="shared" si="33"/>
        <v>3764.5903463591139</v>
      </c>
      <c r="AK38" s="55">
        <f>IF($L$1912,1,0)</f>
        <v>0</v>
      </c>
      <c r="AL38" s="52">
        <f>IF($L$1912,$M$1912,0)</f>
        <v>0</v>
      </c>
    </row>
    <row r="39" spans="1:38" x14ac:dyDescent="0.25">
      <c r="A39" s="81" t="str">
        <f>$A$1966</f>
        <v>BU-B|NC</v>
      </c>
      <c r="B39" s="55">
        <f>$C$1966</f>
        <v>6</v>
      </c>
      <c r="C39" s="53">
        <f>$B$2017</f>
        <v>1</v>
      </c>
      <c r="D39" s="53">
        <f>$C$2017</f>
        <v>1</v>
      </c>
      <c r="E39" s="53">
        <f>$D$2017</f>
        <v>1</v>
      </c>
      <c r="F39" s="53">
        <f>$E$2017</f>
        <v>1</v>
      </c>
      <c r="G39" s="172">
        <f>$F$2017</f>
        <v>0.90600747629467537</v>
      </c>
      <c r="H39" s="172">
        <f>$G$2017</f>
        <v>0.90033977631898854</v>
      </c>
      <c r="I39" s="53">
        <f t="shared" si="17"/>
        <v>1</v>
      </c>
      <c r="J39" s="53">
        <f t="shared" si="18"/>
        <v>1</v>
      </c>
      <c r="K39" s="53">
        <f>IF($L$1966,1,IF(AND(nr_ModAdjMaster="ON",INDEX(lr_modadj,36)="ON"),$F$1966/$G39,1))</f>
        <v>1.0154441592055623</v>
      </c>
      <c r="L39" s="53">
        <f>IF($L$1966,1,IF(AND(nr_ModAdjMaster="ON",INDEX(lr_modadj,36)="ON"),$F$1966/$H39,1))</f>
        <v>1.0218364490808034</v>
      </c>
      <c r="M39" s="52">
        <f>IF(INDEX(lr_basis,36)="proposed",N(INDEX(lr_lrproj,36))*(1+N(INDEX(lr_s,36))),N(INDEX(lr_lrproj,36)))</f>
        <v>0.57199999999999995</v>
      </c>
      <c r="N39" s="52">
        <f t="shared" si="19"/>
        <v>0.58083405906558161</v>
      </c>
      <c r="O39" s="52">
        <f t="shared" si="20"/>
        <v>0.58449044887421953</v>
      </c>
      <c r="P39" s="52">
        <f t="shared" si="21"/>
        <v>0</v>
      </c>
      <c r="Q39" s="52">
        <f t="shared" si="22"/>
        <v>0</v>
      </c>
      <c r="R39" s="53">
        <f>IF(N(INDEX(lr_aother,36))=0,1,INDEX(lr_aother,36))</f>
        <v>1</v>
      </c>
      <c r="S39" s="52">
        <f>IF(ISBLANK(INDEX(lr_trend,36)),N(nr_TrendDefault),N(INDEX(lr_trend,36)))</f>
        <v>0</v>
      </c>
      <c r="T39" s="81" t="str">
        <f>INDEX(lr_state,36)</f>
        <v>NC</v>
      </c>
      <c r="U39" s="81" t="str">
        <f>INDEX(lr_bu,36)</f>
        <v>BU-B</v>
      </c>
      <c r="V39" s="189">
        <f>N(INDEX(lr_ep,36))</f>
        <v>16800</v>
      </c>
      <c r="W39" s="53">
        <f>N(INDEX(lr_mind,36))*$V39</f>
        <v>15456</v>
      </c>
      <c r="X39" s="53">
        <f>N(INDEX(lr_m0,36))*$V39</f>
        <v>15288</v>
      </c>
      <c r="Y39" s="53">
        <f>N(INDEX(lr_m1,36))*$V39</f>
        <v>15120</v>
      </c>
      <c r="Z39" s="53">
        <f t="shared" si="23"/>
        <v>16800</v>
      </c>
      <c r="AA39" s="53">
        <f t="shared" si="24"/>
        <v>16800</v>
      </c>
      <c r="AB39" s="53">
        <f t="shared" si="25"/>
        <v>16800</v>
      </c>
      <c r="AC39" s="53">
        <f t="shared" si="26"/>
        <v>15220.925601750547</v>
      </c>
      <c r="AD39" s="53">
        <f t="shared" si="27"/>
        <v>17059.461874653447</v>
      </c>
      <c r="AE39" s="53">
        <f t="shared" si="28"/>
        <v>9609.5999999999985</v>
      </c>
      <c r="AF39" s="53">
        <f t="shared" si="29"/>
        <v>9758.0121923017705</v>
      </c>
      <c r="AG39" s="53">
        <f t="shared" si="30"/>
        <v>0</v>
      </c>
      <c r="AH39" s="53">
        <f t="shared" si="31"/>
        <v>16800</v>
      </c>
      <c r="AI39" s="53">
        <f t="shared" si="32"/>
        <v>17166.852344557497</v>
      </c>
      <c r="AJ39" s="53">
        <f t="shared" si="33"/>
        <v>9819.4395410868874</v>
      </c>
      <c r="AK39" s="55">
        <f>IF($L$1966,1,0)</f>
        <v>0</v>
      </c>
      <c r="AL39" s="52">
        <f>IF($L$1966,$M$1966,0)</f>
        <v>0</v>
      </c>
    </row>
    <row r="40" spans="1:38" x14ac:dyDescent="0.25">
      <c r="A40" s="81" t="str">
        <f>$A$2020</f>
        <v>BU-B|NJ</v>
      </c>
      <c r="B40" s="55">
        <f>$C$2020</f>
        <v>6</v>
      </c>
      <c r="C40" s="53">
        <f>$B$2071</f>
        <v>1.03</v>
      </c>
      <c r="D40" s="53">
        <f>$C$2071</f>
        <v>1.0225</v>
      </c>
      <c r="E40" s="53">
        <f>$D$2071</f>
        <v>1.03</v>
      </c>
      <c r="F40" s="53">
        <f>$E$2071</f>
        <v>1.03</v>
      </c>
      <c r="G40" s="172">
        <f>$F$2071</f>
        <v>0.91199626185266247</v>
      </c>
      <c r="H40" s="172">
        <f>$G$2071</f>
        <v>0.91483011184050556</v>
      </c>
      <c r="I40" s="53">
        <f t="shared" si="17"/>
        <v>1</v>
      </c>
      <c r="J40" s="53">
        <f t="shared" si="18"/>
        <v>1</v>
      </c>
      <c r="K40" s="53">
        <f>IF($L$2020,1,IF(AND(nr_ModAdjMaster="ON",INDEX(lr_modadj,37)="ON"),$F$2020/$G40,1))</f>
        <v>1.0087760646420616</v>
      </c>
      <c r="L40" s="53">
        <f>IF($L$2020,1,IF(AND(nr_ModAdjMaster="ON",INDEX(lr_modadj,37)="ON"),$F$2020/$H40,1))</f>
        <v>1.0056512002530102</v>
      </c>
      <c r="M40" s="52">
        <f>IF(INDEX(lr_basis,37)="proposed",N(INDEX(lr_lrproj,37))*(1+N(INDEX(lr_s,37))),N(INDEX(lr_lrproj,37)))</f>
        <v>0.6</v>
      </c>
      <c r="N40" s="52">
        <f t="shared" si="19"/>
        <v>0.60526563878523698</v>
      </c>
      <c r="O40" s="52">
        <f t="shared" si="20"/>
        <v>0.60339072015180617</v>
      </c>
      <c r="P40" s="52">
        <f t="shared" si="21"/>
        <v>0</v>
      </c>
      <c r="Q40" s="52">
        <f t="shared" si="22"/>
        <v>0</v>
      </c>
      <c r="R40" s="53">
        <f>IF(N(INDEX(lr_aother,37))=0,1,INDEX(lr_aother,37))</f>
        <v>1</v>
      </c>
      <c r="S40" s="52">
        <f>IF(ISBLANK(INDEX(lr_trend,37)),N(nr_TrendDefault),N(INDEX(lr_trend,37)))</f>
        <v>0</v>
      </c>
      <c r="T40" s="81" t="str">
        <f>INDEX(lr_state,37)</f>
        <v>NJ</v>
      </c>
      <c r="U40" s="81" t="str">
        <f>INDEX(lr_bu,37)</f>
        <v>BU-B</v>
      </c>
      <c r="V40" s="189">
        <f>N(INDEX(lr_ep,37))</f>
        <v>13600</v>
      </c>
      <c r="W40" s="53">
        <f>N(INDEX(lr_mind,37))*$V40</f>
        <v>12512</v>
      </c>
      <c r="X40" s="53">
        <f>N(INDEX(lr_m0,37))*$V40</f>
        <v>12376</v>
      </c>
      <c r="Y40" s="53">
        <f>N(INDEX(lr_m1,37))*$V40</f>
        <v>12444</v>
      </c>
      <c r="Z40" s="53">
        <f t="shared" si="23"/>
        <v>14008</v>
      </c>
      <c r="AA40" s="53">
        <f t="shared" si="24"/>
        <v>14008</v>
      </c>
      <c r="AB40" s="53">
        <f t="shared" si="25"/>
        <v>13600</v>
      </c>
      <c r="AC40" s="53">
        <f t="shared" si="26"/>
        <v>12403.14916119621</v>
      </c>
      <c r="AD40" s="53">
        <f t="shared" si="27"/>
        <v>13719.354479132038</v>
      </c>
      <c r="AE40" s="53">
        <f t="shared" si="28"/>
        <v>8160</v>
      </c>
      <c r="AF40" s="53">
        <f t="shared" si="29"/>
        <v>8231.6126874792226</v>
      </c>
      <c r="AG40" s="53">
        <f t="shared" si="30"/>
        <v>0</v>
      </c>
      <c r="AH40" s="53">
        <f t="shared" si="31"/>
        <v>13600</v>
      </c>
      <c r="AI40" s="53">
        <f t="shared" si="32"/>
        <v>13676.856323440939</v>
      </c>
      <c r="AJ40" s="53">
        <f t="shared" si="33"/>
        <v>8206.113794064564</v>
      </c>
      <c r="AK40" s="55">
        <f>IF($L$2020,1,0)</f>
        <v>0</v>
      </c>
      <c r="AL40" s="52">
        <f>IF($L$2020,$M$2020,0)</f>
        <v>0</v>
      </c>
    </row>
    <row r="41" spans="1:38" x14ac:dyDescent="0.25">
      <c r="A41" s="81" t="str">
        <f>$A$2074</f>
        <v>BU-B|NY</v>
      </c>
      <c r="B41" s="55">
        <f>$C$2074</f>
        <v>6</v>
      </c>
      <c r="C41" s="53">
        <f>$B$2125</f>
        <v>1.04</v>
      </c>
      <c r="D41" s="53">
        <f>$C$2125</f>
        <v>1.0266666666666666</v>
      </c>
      <c r="E41" s="53">
        <f>$D$2125</f>
        <v>1.0472222222222223</v>
      </c>
      <c r="F41" s="53">
        <f>$E$2125</f>
        <v>1.0813111111111111</v>
      </c>
      <c r="G41" s="172">
        <f>$F$2125</f>
        <v>0.91798504741064912</v>
      </c>
      <c r="H41" s="172">
        <f>$G$2125</f>
        <v>0.92932044736202268</v>
      </c>
      <c r="I41" s="53">
        <f t="shared" si="17"/>
        <v>0.99310344827586206</v>
      </c>
      <c r="J41" s="53">
        <f t="shared" si="18"/>
        <v>0.96179535132246863</v>
      </c>
      <c r="K41" s="53">
        <f>IF($L$2074,1,IF(AND(nr_ModAdjMaster="ON",INDEX(lr_modadj,38)="ON"),$F$2074/$G41,1))</f>
        <v>1.0021949732133812</v>
      </c>
      <c r="L41" s="53">
        <f>IF($L$2074,1,IF(AND(nr_ModAdjMaster="ON",INDEX(lr_modadj,38)="ON"),$F$2074/$H41,1))</f>
        <v>0.98997068515119868</v>
      </c>
      <c r="M41" s="52">
        <f>IF(INDEX(lr_basis,38)="proposed",N(INDEX(lr_lrproj,38))*(1+N(INDEX(lr_s,38))),N(INDEX(lr_lrproj,38)))</f>
        <v>0.58399999999999996</v>
      </c>
      <c r="N41" s="52">
        <f t="shared" si="19"/>
        <v>0.58124543770587933</v>
      </c>
      <c r="O41" s="52">
        <f t="shared" si="20"/>
        <v>0.55605513450758215</v>
      </c>
      <c r="P41" s="52">
        <f t="shared" si="21"/>
        <v>6.9444444444444198E-3</v>
      </c>
      <c r="Q41" s="52">
        <f t="shared" si="22"/>
        <v>3.2551724137930949E-2</v>
      </c>
      <c r="R41" s="53">
        <f>IF(N(INDEX(lr_aother,38))=0,1,INDEX(lr_aother,38))</f>
        <v>1</v>
      </c>
      <c r="S41" s="52">
        <f>IF(ISBLANK(INDEX(lr_trend,38)),N(nr_TrendDefault),N(INDEX(lr_trend,38)))</f>
        <v>0</v>
      </c>
      <c r="T41" s="81" t="str">
        <f>INDEX(lr_state,38)</f>
        <v>NY</v>
      </c>
      <c r="U41" s="81" t="str">
        <f>INDEX(lr_bu,38)</f>
        <v>BU-B</v>
      </c>
      <c r="V41" s="189">
        <f>N(INDEX(lr_ep,38))</f>
        <v>10400</v>
      </c>
      <c r="W41" s="53">
        <f>N(INDEX(lr_mind,38))*$V41</f>
        <v>9568</v>
      </c>
      <c r="X41" s="53">
        <f>N(INDEX(lr_m0,38))*$V41</f>
        <v>9464</v>
      </c>
      <c r="Y41" s="53">
        <f>N(INDEX(lr_m1,38))*$V41</f>
        <v>9672</v>
      </c>
      <c r="Z41" s="53">
        <f t="shared" si="23"/>
        <v>10816</v>
      </c>
      <c r="AA41" s="53">
        <f t="shared" si="24"/>
        <v>10891.111111111111</v>
      </c>
      <c r="AB41" s="53">
        <f t="shared" si="25"/>
        <v>10328.275862068966</v>
      </c>
      <c r="AC41" s="53">
        <f t="shared" si="26"/>
        <v>9547.0444930707508</v>
      </c>
      <c r="AD41" s="53">
        <f t="shared" si="27"/>
        <v>10422.827721419166</v>
      </c>
      <c r="AE41" s="53">
        <f t="shared" si="28"/>
        <v>6073.5999999999995</v>
      </c>
      <c r="AF41" s="53">
        <f t="shared" si="29"/>
        <v>6044.9525521411451</v>
      </c>
      <c r="AG41" s="53">
        <f t="shared" si="30"/>
        <v>0</v>
      </c>
      <c r="AH41" s="53">
        <f t="shared" si="31"/>
        <v>10002.671653753674</v>
      </c>
      <c r="AI41" s="53">
        <f t="shared" si="32"/>
        <v>10295.695125572467</v>
      </c>
      <c r="AJ41" s="53">
        <f t="shared" si="33"/>
        <v>5782.9733988788539</v>
      </c>
      <c r="AK41" s="55">
        <f>IF($L$2074,1,0)</f>
        <v>0</v>
      </c>
      <c r="AL41" s="52">
        <f>IF($L$2074,$M$2074,0)</f>
        <v>0</v>
      </c>
    </row>
    <row r="42" spans="1:38" x14ac:dyDescent="0.25">
      <c r="A42" s="81" t="str">
        <f>$A$2128</f>
        <v>BU-B|OH</v>
      </c>
      <c r="B42" s="55">
        <f>$C$2128</f>
        <v>6</v>
      </c>
      <c r="C42" s="53">
        <f>$B$2179</f>
        <v>1</v>
      </c>
      <c r="D42" s="53">
        <f>$C$2179</f>
        <v>1</v>
      </c>
      <c r="E42" s="53">
        <f>$D$2179</f>
        <v>1</v>
      </c>
      <c r="F42" s="53">
        <f>$E$2179</f>
        <v>1</v>
      </c>
      <c r="G42" s="172">
        <f>$F$2179</f>
        <v>0.90999999999999981</v>
      </c>
      <c r="H42" s="172">
        <f>$G$2179</f>
        <v>0.90999999999999981</v>
      </c>
      <c r="I42" s="53">
        <f t="shared" si="17"/>
        <v>1</v>
      </c>
      <c r="J42" s="53">
        <f t="shared" si="18"/>
        <v>1</v>
      </c>
      <c r="K42" s="53">
        <f>IF($L$2128,1,IF(AND(nr_ModAdjMaster="ON",INDEX(lr_modadj,39)="ON"),$F$2128/$G42,1))</f>
        <v>1.0109890109890112</v>
      </c>
      <c r="L42" s="53">
        <f>IF($L$2128,1,IF(AND(nr_ModAdjMaster="ON",INDEX(lr_modadj,39)="ON"),$F$2128/$H42,1))</f>
        <v>1.0109890109890112</v>
      </c>
      <c r="M42" s="52">
        <f>IF(INDEX(lr_basis,39)="proposed",N(INDEX(lr_lrproj,39))*(1+N(INDEX(lr_s,39))),N(INDEX(lr_lrproj,39)))</f>
        <v>0.56799999999999995</v>
      </c>
      <c r="N42" s="52">
        <f t="shared" si="19"/>
        <v>0.57424175824175827</v>
      </c>
      <c r="O42" s="52">
        <f t="shared" si="20"/>
        <v>0.57424175824175827</v>
      </c>
      <c r="P42" s="52">
        <f t="shared" si="21"/>
        <v>0</v>
      </c>
      <c r="Q42" s="52">
        <f t="shared" si="22"/>
        <v>0</v>
      </c>
      <c r="R42" s="53">
        <f>IF(N(INDEX(lr_aother,39))=0,1,INDEX(lr_aother,39))</f>
        <v>1</v>
      </c>
      <c r="S42" s="52">
        <f>IF(ISBLANK(INDEX(lr_trend,39)),N(nr_TrendDefault),N(INDEX(lr_trend,39)))</f>
        <v>0</v>
      </c>
      <c r="T42" s="81" t="str">
        <f>INDEX(lr_state,39)</f>
        <v>OH</v>
      </c>
      <c r="U42" s="81" t="str">
        <f>INDEX(lr_bu,39)</f>
        <v>BU-B</v>
      </c>
      <c r="V42" s="189">
        <f>N(INDEX(lr_ep,39))</f>
        <v>7200</v>
      </c>
      <c r="W42" s="53">
        <f>N(INDEX(lr_mind,39))*$V42</f>
        <v>6624</v>
      </c>
      <c r="X42" s="53">
        <f>N(INDEX(lr_m0,39))*$V42</f>
        <v>6552</v>
      </c>
      <c r="Y42" s="53">
        <f>N(INDEX(lr_m1,39))*$V42</f>
        <v>6552</v>
      </c>
      <c r="Z42" s="53">
        <f t="shared" si="23"/>
        <v>7200</v>
      </c>
      <c r="AA42" s="53">
        <f t="shared" si="24"/>
        <v>7200</v>
      </c>
      <c r="AB42" s="53">
        <f t="shared" si="25"/>
        <v>7200</v>
      </c>
      <c r="AC42" s="53">
        <f t="shared" si="26"/>
        <v>6551.9999999999982</v>
      </c>
      <c r="AD42" s="53">
        <f t="shared" si="27"/>
        <v>7279.1208791208801</v>
      </c>
      <c r="AE42" s="53">
        <f t="shared" si="28"/>
        <v>4089.5999999999995</v>
      </c>
      <c r="AF42" s="53">
        <f t="shared" si="29"/>
        <v>4134.5406593406597</v>
      </c>
      <c r="AG42" s="53">
        <f t="shared" si="30"/>
        <v>0</v>
      </c>
      <c r="AH42" s="53">
        <f t="shared" si="31"/>
        <v>7200</v>
      </c>
      <c r="AI42" s="53">
        <f t="shared" si="32"/>
        <v>7279.1208791208801</v>
      </c>
      <c r="AJ42" s="53">
        <f t="shared" si="33"/>
        <v>4134.5406593406597</v>
      </c>
      <c r="AK42" s="55">
        <f>IF($L$2128,1,0)</f>
        <v>0</v>
      </c>
      <c r="AL42" s="52">
        <f>IF($L$2128,$M$2128,0)</f>
        <v>0</v>
      </c>
    </row>
    <row r="43" spans="1:38" x14ac:dyDescent="0.25">
      <c r="A43" s="81" t="str">
        <f>$A$2182</f>
        <v>BU-B|PA</v>
      </c>
      <c r="B43" s="55">
        <f>$C$2182</f>
        <v>6</v>
      </c>
      <c r="C43" s="53">
        <f>$B$2233</f>
        <v>1.06</v>
      </c>
      <c r="D43" s="53">
        <f>$C$2233</f>
        <v>1.03</v>
      </c>
      <c r="E43" s="53">
        <f>$D$2233</f>
        <v>1.0600000000000003</v>
      </c>
      <c r="F43" s="53">
        <f>$E$2233</f>
        <v>1.0600000000000003</v>
      </c>
      <c r="G43" s="172">
        <f>$F$2233</f>
        <v>0.91598878555798668</v>
      </c>
      <c r="H43" s="172">
        <f>$G$2233</f>
        <v>0.92449033552151683</v>
      </c>
      <c r="I43" s="53">
        <f t="shared" si="17"/>
        <v>0.99999999999999978</v>
      </c>
      <c r="J43" s="53">
        <f t="shared" si="18"/>
        <v>0.99999999999999978</v>
      </c>
      <c r="K43" s="53">
        <f>IF($L$2182,1,IF(AND(nr_ModAdjMaster="ON",INDEX(lr_modadj,40)="ON"),$F$2182/$G43,1))</f>
        <v>1.0043791086804299</v>
      </c>
      <c r="L43" s="53">
        <f>IF($L$2182,1,IF(AND(nr_ModAdjMaster="ON",INDEX(lr_modadj,40)="ON"),$F$2182/$H43,1))</f>
        <v>0.99514290701699581</v>
      </c>
      <c r="M43" s="52">
        <f>IF(INDEX(lr_basis,40)="proposed",N(INDEX(lr_lrproj,40))*(1+N(INDEX(lr_s,40))),N(INDEX(lr_lrproj,40)))</f>
        <v>0.59599999999999997</v>
      </c>
      <c r="N43" s="52">
        <f t="shared" si="19"/>
        <v>0.59860994877353613</v>
      </c>
      <c r="O43" s="52">
        <f t="shared" si="20"/>
        <v>0.59310517258212936</v>
      </c>
      <c r="P43" s="52">
        <f t="shared" si="21"/>
        <v>0</v>
      </c>
      <c r="Q43" s="52">
        <f t="shared" si="22"/>
        <v>0</v>
      </c>
      <c r="R43" s="53">
        <f>IF(N(INDEX(lr_aother,40))=0,1,INDEX(lr_aother,40))</f>
        <v>1</v>
      </c>
      <c r="S43" s="52">
        <f>IF(ISBLANK(INDEX(lr_trend,40)),N(nr_TrendDefault),N(INDEX(lr_trend,40)))</f>
        <v>0</v>
      </c>
      <c r="T43" s="81" t="str">
        <f>INDEX(lr_state,40)</f>
        <v>PA</v>
      </c>
      <c r="U43" s="81" t="str">
        <f>INDEX(lr_bu,40)</f>
        <v>BU-B</v>
      </c>
      <c r="V43" s="189">
        <f>N(INDEX(lr_ep,40))</f>
        <v>17600</v>
      </c>
      <c r="W43" s="53">
        <f>N(INDEX(lr_mind,40))*$V43</f>
        <v>16192</v>
      </c>
      <c r="X43" s="53">
        <f>N(INDEX(lr_m0,40))*$V43</f>
        <v>16016</v>
      </c>
      <c r="Y43" s="53">
        <f>N(INDEX(lr_m1,40))*$V43</f>
        <v>16280</v>
      </c>
      <c r="Z43" s="53">
        <f t="shared" si="23"/>
        <v>18656</v>
      </c>
      <c r="AA43" s="53">
        <f t="shared" si="24"/>
        <v>18656.000000000004</v>
      </c>
      <c r="AB43" s="53">
        <f t="shared" si="25"/>
        <v>17599.999999999996</v>
      </c>
      <c r="AC43" s="53">
        <f t="shared" si="26"/>
        <v>16121.402625820565</v>
      </c>
      <c r="AD43" s="53">
        <f t="shared" si="27"/>
        <v>17677.072312775566</v>
      </c>
      <c r="AE43" s="53">
        <f t="shared" si="28"/>
        <v>10489.6</v>
      </c>
      <c r="AF43" s="53">
        <f t="shared" si="29"/>
        <v>10535.535098414235</v>
      </c>
      <c r="AG43" s="53">
        <f t="shared" si="30"/>
        <v>0</v>
      </c>
      <c r="AH43" s="53">
        <f t="shared" si="31"/>
        <v>17599.999999999996</v>
      </c>
      <c r="AI43" s="53">
        <f t="shared" si="32"/>
        <v>17514.515163499127</v>
      </c>
      <c r="AJ43" s="53">
        <f t="shared" si="33"/>
        <v>10438.651037445477</v>
      </c>
      <c r="AK43" s="55">
        <f>IF($L$2182,1,0)</f>
        <v>0</v>
      </c>
      <c r="AL43" s="52">
        <f>IF($L$2182,$M$2182,0)</f>
        <v>0</v>
      </c>
    </row>
    <row r="44" spans="1:38" x14ac:dyDescent="0.25">
      <c r="A44" s="81" t="str">
        <f>$A$2236</f>
        <v>BU-B|TN</v>
      </c>
      <c r="B44" s="55">
        <f>$C$2236</f>
        <v>6</v>
      </c>
      <c r="C44" s="53">
        <f>$B$2287</f>
        <v>1.02</v>
      </c>
      <c r="D44" s="53">
        <f>$C$2287</f>
        <v>1.0083333333333335</v>
      </c>
      <c r="E44" s="53">
        <f>$D$2287</f>
        <v>1.0200000000000002</v>
      </c>
      <c r="F44" s="53">
        <f>$E$2287</f>
        <v>1.0200000000000002</v>
      </c>
      <c r="G44" s="172">
        <f>$F$2287</f>
        <v>0.9080037381473377</v>
      </c>
      <c r="H44" s="172">
        <f>$G$2287</f>
        <v>0.90516988815949428</v>
      </c>
      <c r="I44" s="53">
        <f t="shared" si="17"/>
        <v>0.99999999999999978</v>
      </c>
      <c r="J44" s="53">
        <f t="shared" si="18"/>
        <v>0.99999999999999978</v>
      </c>
      <c r="K44" s="53">
        <f>IF($L$2236,1,IF(AND(nr_ModAdjMaster="ON",INDEX(lr_modadj,41)="ON"),$F$2236/$G44,1))</f>
        <v>1.0132116877372543</v>
      </c>
      <c r="L44" s="53">
        <f>IF($L$2236,1,IF(AND(nr_ModAdjMaster="ON",INDEX(lr_modadj,41)="ON"),$F$2236/$H44,1))</f>
        <v>1.0163837883191853</v>
      </c>
      <c r="M44" s="52">
        <f>IF(INDEX(lr_basis,41)="proposed",N(INDEX(lr_lrproj,41))*(1+N(INDEX(lr_s,41))),N(INDEX(lr_lrproj,41)))</f>
        <v>0.57999999999999996</v>
      </c>
      <c r="N44" s="52">
        <f t="shared" si="19"/>
        <v>0.58766277888760732</v>
      </c>
      <c r="O44" s="52">
        <f t="shared" si="20"/>
        <v>0.58950259722512732</v>
      </c>
      <c r="P44" s="52">
        <f t="shared" si="21"/>
        <v>0</v>
      </c>
      <c r="Q44" s="52">
        <f t="shared" si="22"/>
        <v>0</v>
      </c>
      <c r="R44" s="53">
        <f>IF(N(INDEX(lr_aother,41))=0,1,INDEX(lr_aother,41))</f>
        <v>1</v>
      </c>
      <c r="S44" s="52">
        <f>IF(ISBLANK(INDEX(lr_trend,41)),N(nr_TrendDefault),N(INDEX(lr_trend,41)))</f>
        <v>0</v>
      </c>
      <c r="T44" s="81" t="str">
        <f>INDEX(lr_state,41)</f>
        <v>TN</v>
      </c>
      <c r="U44" s="81" t="str">
        <f>INDEX(lr_bu,41)</f>
        <v>BU-B</v>
      </c>
      <c r="V44" s="189">
        <f>N(INDEX(lr_ep,41))</f>
        <v>14400</v>
      </c>
      <c r="W44" s="53">
        <f>N(INDEX(lr_mind,41))*$V44</f>
        <v>13248</v>
      </c>
      <c r="X44" s="53">
        <f>N(INDEX(lr_m0,41))*$V44</f>
        <v>13104</v>
      </c>
      <c r="Y44" s="53">
        <f>N(INDEX(lr_m1,41))*$V44</f>
        <v>13032</v>
      </c>
      <c r="Z44" s="53">
        <f t="shared" si="23"/>
        <v>14688</v>
      </c>
      <c r="AA44" s="53">
        <f t="shared" si="24"/>
        <v>14688.000000000004</v>
      </c>
      <c r="AB44" s="53">
        <f t="shared" si="25"/>
        <v>14399.999999999996</v>
      </c>
      <c r="AC44" s="53">
        <f t="shared" si="26"/>
        <v>13075.253829321662</v>
      </c>
      <c r="AD44" s="53">
        <f t="shared" si="27"/>
        <v>14590.248303416463</v>
      </c>
      <c r="AE44" s="53">
        <f t="shared" si="28"/>
        <v>8352</v>
      </c>
      <c r="AF44" s="53">
        <f t="shared" si="29"/>
        <v>8462.3440159815455</v>
      </c>
      <c r="AG44" s="53">
        <f t="shared" si="30"/>
        <v>0</v>
      </c>
      <c r="AH44" s="53">
        <f t="shared" si="31"/>
        <v>14399.999999999996</v>
      </c>
      <c r="AI44" s="53">
        <f t="shared" si="32"/>
        <v>14635.926551796269</v>
      </c>
      <c r="AJ44" s="53">
        <f t="shared" si="33"/>
        <v>8488.8374000418335</v>
      </c>
      <c r="AK44" s="55">
        <f>IF($L$2236,1,0)</f>
        <v>0</v>
      </c>
      <c r="AL44" s="52">
        <f>IF($L$2236,$M$2236,0)</f>
        <v>0</v>
      </c>
    </row>
    <row r="45" spans="1:38" x14ac:dyDescent="0.25">
      <c r="A45" s="81" t="str">
        <f>$A$2290</f>
        <v>BU-B|TX</v>
      </c>
      <c r="B45" s="55">
        <f>$C$2290</f>
        <v>6</v>
      </c>
      <c r="C45" s="53">
        <f>$B$2341</f>
        <v>1</v>
      </c>
      <c r="D45" s="53">
        <f>$C$2341</f>
        <v>1</v>
      </c>
      <c r="E45" s="53">
        <f>$D$2341</f>
        <v>1.0266666666666666</v>
      </c>
      <c r="F45" s="53">
        <f>$E$2341</f>
        <v>1.0399999999999998</v>
      </c>
      <c r="G45" s="172">
        <f>$F$2341</f>
        <v>0.91399252370532447</v>
      </c>
      <c r="H45" s="172">
        <f>$G$2341</f>
        <v>0.91966022368101141</v>
      </c>
      <c r="I45" s="53">
        <f t="shared" si="17"/>
        <v>0.97402597402597413</v>
      </c>
      <c r="J45" s="53">
        <f t="shared" si="18"/>
        <v>0.96153846153846168</v>
      </c>
      <c r="K45" s="53">
        <f>IF($L$2290,1,IF(AND(nr_ModAdjMaster="ON",INDEX(lr_modadj,42)="ON"),$F$2290/$G45,1))</f>
        <v>1.0065727849395543</v>
      </c>
      <c r="L45" s="53">
        <f>IF($L$2290,1,IF(AND(nr_ModAdjMaster="ON",INDEX(lr_modadj,42)="ON"),$F$2290/$H45,1))</f>
        <v>1.000369458535054</v>
      </c>
      <c r="M45" s="52">
        <f>IF(INDEX(lr_basis,42)="proposed",N(INDEX(lr_lrproj,42))*(1+N(INDEX(lr_s,42))),N(INDEX(lr_lrproj,42)))</f>
        <v>0.56399999999999995</v>
      </c>
      <c r="N45" s="52">
        <f t="shared" si="19"/>
        <v>0.55296141302523572</v>
      </c>
      <c r="O45" s="52">
        <f t="shared" si="20"/>
        <v>0.54250805251324086</v>
      </c>
      <c r="P45" s="52">
        <f t="shared" si="21"/>
        <v>2.6666666666666616E-2</v>
      </c>
      <c r="Q45" s="52">
        <f t="shared" si="22"/>
        <v>1.298701298701288E-2</v>
      </c>
      <c r="R45" s="53">
        <f>IF(N(INDEX(lr_aother,42))=0,1,INDEX(lr_aother,42))</f>
        <v>1</v>
      </c>
      <c r="S45" s="52">
        <f>IF(ISBLANK(INDEX(lr_trend,42)),N(nr_TrendDefault),N(INDEX(lr_trend,42)))</f>
        <v>0</v>
      </c>
      <c r="T45" s="81" t="str">
        <f>INDEX(lr_state,42)</f>
        <v>TX</v>
      </c>
      <c r="U45" s="81" t="str">
        <f>INDEX(lr_bu,42)</f>
        <v>BU-B</v>
      </c>
      <c r="V45" s="189">
        <f>N(INDEX(lr_ep,42))</f>
        <v>11200</v>
      </c>
      <c r="W45" s="53">
        <f>N(INDEX(lr_mind,42))*$V45</f>
        <v>10304</v>
      </c>
      <c r="X45" s="53">
        <f>N(INDEX(lr_m0,42))*$V45</f>
        <v>10192</v>
      </c>
      <c r="Y45" s="53">
        <f>N(INDEX(lr_m1,42))*$V45</f>
        <v>10304</v>
      </c>
      <c r="Z45" s="53">
        <f t="shared" si="23"/>
        <v>11200</v>
      </c>
      <c r="AA45" s="53">
        <f t="shared" si="24"/>
        <v>11498.666666666666</v>
      </c>
      <c r="AB45" s="53">
        <f t="shared" si="25"/>
        <v>10909.09090909091</v>
      </c>
      <c r="AC45" s="53">
        <f t="shared" si="26"/>
        <v>10236.716265499634</v>
      </c>
      <c r="AD45" s="53">
        <f t="shared" si="27"/>
        <v>11273.615191323008</v>
      </c>
      <c r="AE45" s="53">
        <f t="shared" si="28"/>
        <v>6316.7999999999993</v>
      </c>
      <c r="AF45" s="53">
        <f t="shared" si="29"/>
        <v>6193.1678258826396</v>
      </c>
      <c r="AG45" s="53">
        <f t="shared" si="30"/>
        <v>0</v>
      </c>
      <c r="AH45" s="53">
        <f t="shared" si="31"/>
        <v>10769.230769230771</v>
      </c>
      <c r="AI45" s="53">
        <f t="shared" si="32"/>
        <v>11204.137935592606</v>
      </c>
      <c r="AJ45" s="53">
        <f t="shared" si="33"/>
        <v>6076.0901881482978</v>
      </c>
      <c r="AK45" s="55">
        <f>IF($L$2290,1,0)</f>
        <v>0</v>
      </c>
      <c r="AL45" s="52">
        <f>IF($L$2290,$M$2290,0)</f>
        <v>0</v>
      </c>
    </row>
    <row r="46" spans="1:38" x14ac:dyDescent="0.25">
      <c r="A46" s="81" t="str">
        <f>$A$2344</f>
        <v>BU-C|AZ</v>
      </c>
      <c r="B46" s="55">
        <f>$C$2344</f>
        <v>6</v>
      </c>
      <c r="C46" s="53">
        <f>$B$2395</f>
        <v>1.04</v>
      </c>
      <c r="D46" s="53">
        <f>$C$2395</f>
        <v>1.01</v>
      </c>
      <c r="E46" s="53">
        <f>$D$2395</f>
        <v>1.0399999999999998</v>
      </c>
      <c r="F46" s="53">
        <f>$E$2395</f>
        <v>1.0399999999999998</v>
      </c>
      <c r="G46" s="172">
        <f>$F$2395</f>
        <v>0.90600747629467537</v>
      </c>
      <c r="H46" s="172">
        <f>$G$2395</f>
        <v>0.90033977631898854</v>
      </c>
      <c r="I46" s="53">
        <f t="shared" si="17"/>
        <v>1.0000000000000002</v>
      </c>
      <c r="J46" s="53">
        <f t="shared" si="18"/>
        <v>1.0000000000000002</v>
      </c>
      <c r="K46" s="53">
        <f>IF($L$2344,1,IF(AND(nr_ModAdjMaster="ON",INDEX(lr_modadj,43)="ON"),$F$2344/$G46,1))</f>
        <v>1.0154441592055623</v>
      </c>
      <c r="L46" s="53">
        <f>IF($L$2344,1,IF(AND(nr_ModAdjMaster="ON",INDEX(lr_modadj,43)="ON"),$F$2344/$H46,1))</f>
        <v>1.0218364490808034</v>
      </c>
      <c r="M46" s="52">
        <f>IF(INDEX(lr_basis,43)="proposed",N(INDEX(lr_lrproj,43))*(1+N(INDEX(lr_s,43))),N(INDEX(lr_lrproj,43)))</f>
        <v>0.59199999999999997</v>
      </c>
      <c r="N46" s="52">
        <f t="shared" si="19"/>
        <v>0.601142942249693</v>
      </c>
      <c r="O46" s="52">
        <f t="shared" si="20"/>
        <v>0.60492717785583572</v>
      </c>
      <c r="P46" s="52">
        <f t="shared" si="21"/>
        <v>0</v>
      </c>
      <c r="Q46" s="52">
        <f t="shared" si="22"/>
        <v>0</v>
      </c>
      <c r="R46" s="53">
        <f>IF(N(INDEX(lr_aother,43))=0,1,INDEX(lr_aother,43))</f>
        <v>1</v>
      </c>
      <c r="S46" s="52">
        <f>IF(ISBLANK(INDEX(lr_trend,43)),N(nr_TrendDefault),N(INDEX(lr_trend,43)))</f>
        <v>0</v>
      </c>
      <c r="T46" s="81" t="str">
        <f>INDEX(lr_state,43)</f>
        <v>AZ</v>
      </c>
      <c r="U46" s="81" t="str">
        <f>INDEX(lr_bu,43)</f>
        <v>BU-C</v>
      </c>
      <c r="V46" s="189">
        <f>N(INDEX(lr_ep,43))</f>
        <v>8000</v>
      </c>
      <c r="W46" s="53">
        <f>N(INDEX(lr_mind,43))*$V46</f>
        <v>7360</v>
      </c>
      <c r="X46" s="53">
        <f>N(INDEX(lr_m0,43))*$V46</f>
        <v>7280</v>
      </c>
      <c r="Y46" s="53">
        <f>N(INDEX(lr_m1,43))*$V46</f>
        <v>7200</v>
      </c>
      <c r="Z46" s="53">
        <f t="shared" si="23"/>
        <v>8320</v>
      </c>
      <c r="AA46" s="53">
        <f t="shared" si="24"/>
        <v>8319.9999999999982</v>
      </c>
      <c r="AB46" s="53">
        <f t="shared" si="25"/>
        <v>8000.0000000000018</v>
      </c>
      <c r="AC46" s="53">
        <f t="shared" si="26"/>
        <v>7248.059810357403</v>
      </c>
      <c r="AD46" s="53">
        <f t="shared" si="27"/>
        <v>8123.5532736444984</v>
      </c>
      <c r="AE46" s="53">
        <f t="shared" si="28"/>
        <v>4736</v>
      </c>
      <c r="AF46" s="53">
        <f t="shared" si="29"/>
        <v>4809.1435379975437</v>
      </c>
      <c r="AG46" s="53">
        <f t="shared" si="30"/>
        <v>0</v>
      </c>
      <c r="AH46" s="53">
        <f t="shared" si="31"/>
        <v>8000.0000000000018</v>
      </c>
      <c r="AI46" s="53">
        <f t="shared" si="32"/>
        <v>8174.6915926464271</v>
      </c>
      <c r="AJ46" s="53">
        <f t="shared" si="33"/>
        <v>4839.4174228466854</v>
      </c>
      <c r="AK46" s="55">
        <f>IF($L$2344,1,0)</f>
        <v>0</v>
      </c>
      <c r="AL46" s="52">
        <f>IF($L$2344,$M$2344,0)</f>
        <v>0</v>
      </c>
    </row>
    <row r="47" spans="1:38" x14ac:dyDescent="0.25">
      <c r="A47" s="81" t="str">
        <f>$A$2398</f>
        <v>BU-C|CA</v>
      </c>
      <c r="B47" s="55">
        <f>$C$2398</f>
        <v>6</v>
      </c>
      <c r="C47" s="53">
        <f>$B$2449</f>
        <v>1.05</v>
      </c>
      <c r="D47" s="53">
        <f>$C$2449</f>
        <v>1.0086805555555556</v>
      </c>
      <c r="E47" s="53">
        <f>$D$2449</f>
        <v>1.049652777777778</v>
      </c>
      <c r="F47" s="53">
        <f>$E$2449</f>
        <v>1.05</v>
      </c>
      <c r="G47" s="172">
        <f>$F$2449</f>
        <v>0.91199626185266247</v>
      </c>
      <c r="H47" s="172">
        <f>$G$2449</f>
        <v>0.91483011184050556</v>
      </c>
      <c r="I47" s="53">
        <f t="shared" si="17"/>
        <v>1.0003307972213031</v>
      </c>
      <c r="J47" s="53">
        <f t="shared" si="18"/>
        <v>1</v>
      </c>
      <c r="K47" s="53">
        <f>IF($L$2398,1,IF(AND(nr_ModAdjMaster="ON",INDEX(lr_modadj,44)="ON"),$F$2398/$G47,1))</f>
        <v>1.0087760646420616</v>
      </c>
      <c r="L47" s="53">
        <f>IF($L$2398,1,IF(AND(nr_ModAdjMaster="ON",INDEX(lr_modadj,44)="ON"),$F$2398/$H47,1))</f>
        <v>1.0056512002530102</v>
      </c>
      <c r="M47" s="52">
        <f>IF(INDEX(lr_basis,44)="proposed",N(INDEX(lr_lrproj,44))*(1+N(INDEX(lr_s,44))),N(INDEX(lr_lrproj,44)))</f>
        <v>0.57599999999999996</v>
      </c>
      <c r="N47" s="52">
        <f t="shared" si="19"/>
        <v>0.58124722461762945</v>
      </c>
      <c r="O47" s="52">
        <f t="shared" si="20"/>
        <v>0.57925509134573383</v>
      </c>
      <c r="P47" s="52">
        <f t="shared" si="21"/>
        <v>-3.3068783068768148E-4</v>
      </c>
      <c r="Q47" s="52">
        <f t="shared" si="22"/>
        <v>3.3079722130313627E-4</v>
      </c>
      <c r="R47" s="53">
        <f>IF(N(INDEX(lr_aother,44))=0,1,INDEX(lr_aother,44))</f>
        <v>1</v>
      </c>
      <c r="S47" s="52">
        <f>IF(ISBLANK(INDEX(lr_trend,44)),N(nr_TrendDefault),N(INDEX(lr_trend,44)))</f>
        <v>0</v>
      </c>
      <c r="T47" s="81" t="str">
        <f>INDEX(lr_state,44)</f>
        <v>CA</v>
      </c>
      <c r="U47" s="81" t="str">
        <f>INDEX(lr_bu,44)</f>
        <v>BU-C</v>
      </c>
      <c r="V47" s="189">
        <f>N(INDEX(lr_ep,44))</f>
        <v>18400</v>
      </c>
      <c r="W47" s="53">
        <f>N(INDEX(lr_mind,44))*$V47</f>
        <v>16928</v>
      </c>
      <c r="X47" s="53">
        <f>N(INDEX(lr_m0,44))*$V47</f>
        <v>16744</v>
      </c>
      <c r="Y47" s="53">
        <f>N(INDEX(lr_m1,44))*$V47</f>
        <v>16836</v>
      </c>
      <c r="Z47" s="53">
        <f t="shared" si="23"/>
        <v>19320</v>
      </c>
      <c r="AA47" s="53">
        <f t="shared" si="24"/>
        <v>19313.611111111117</v>
      </c>
      <c r="AB47" s="53">
        <f t="shared" si="25"/>
        <v>18406.086668871976</v>
      </c>
      <c r="AC47" s="53">
        <f t="shared" si="26"/>
        <v>16780.731218088989</v>
      </c>
      <c r="AD47" s="53">
        <f t="shared" si="27"/>
        <v>18561.479589413935</v>
      </c>
      <c r="AE47" s="53">
        <f t="shared" si="28"/>
        <v>10598.4</v>
      </c>
      <c r="AF47" s="53">
        <f t="shared" si="29"/>
        <v>10694.948932964382</v>
      </c>
      <c r="AG47" s="53">
        <f t="shared" si="30"/>
        <v>0</v>
      </c>
      <c r="AH47" s="53">
        <f t="shared" si="31"/>
        <v>18400</v>
      </c>
      <c r="AI47" s="53">
        <f t="shared" si="32"/>
        <v>18503.982084655388</v>
      </c>
      <c r="AJ47" s="53">
        <f t="shared" si="33"/>
        <v>10658.293680761502</v>
      </c>
      <c r="AK47" s="55">
        <f>IF($L$2398,1,0)</f>
        <v>0</v>
      </c>
      <c r="AL47" s="52">
        <f>IF($L$2398,$M$2398,0)</f>
        <v>0</v>
      </c>
    </row>
    <row r="48" spans="1:38" x14ac:dyDescent="0.25">
      <c r="A48" s="81" t="str">
        <f>$A$2452</f>
        <v>BU-C|CO</v>
      </c>
      <c r="B48" s="55">
        <f>$C$2452</f>
        <v>6</v>
      </c>
      <c r="C48" s="53">
        <f>$B$2503</f>
        <v>1</v>
      </c>
      <c r="D48" s="53">
        <f>$C$2503</f>
        <v>1</v>
      </c>
      <c r="E48" s="53">
        <f>$D$2503</f>
        <v>1</v>
      </c>
      <c r="F48" s="53">
        <f>$E$2503</f>
        <v>1</v>
      </c>
      <c r="G48" s="172">
        <f>$F$2503</f>
        <v>0.91798504741064912</v>
      </c>
      <c r="H48" s="172">
        <f>$G$2503</f>
        <v>0.92932044736202268</v>
      </c>
      <c r="I48" s="53">
        <f t="shared" si="17"/>
        <v>1</v>
      </c>
      <c r="J48" s="53">
        <f t="shared" si="18"/>
        <v>1</v>
      </c>
      <c r="K48" s="53">
        <f>IF($L$2452,1,IF(AND(nr_ModAdjMaster="ON",INDEX(lr_modadj,45)="ON"),$F$2452/$G48,1))</f>
        <v>1.0021949732133812</v>
      </c>
      <c r="L48" s="53">
        <f>IF($L$2452,1,IF(AND(nr_ModAdjMaster="ON",INDEX(lr_modadj,45)="ON"),$F$2452/$H48,1))</f>
        <v>0.98997068515119868</v>
      </c>
      <c r="M48" s="52">
        <f>IF(INDEX(lr_basis,45)="proposed",N(INDEX(lr_lrproj,45))*(1+N(INDEX(lr_s,45))),N(INDEX(lr_lrproj,45)))</f>
        <v>0.56000000000000005</v>
      </c>
      <c r="N48" s="52">
        <f t="shared" si="19"/>
        <v>0.56122918499949359</v>
      </c>
      <c r="O48" s="52">
        <f t="shared" si="20"/>
        <v>0.55438358368467133</v>
      </c>
      <c r="P48" s="52">
        <f t="shared" si="21"/>
        <v>0</v>
      </c>
      <c r="Q48" s="52">
        <f t="shared" si="22"/>
        <v>0</v>
      </c>
      <c r="R48" s="53">
        <f>IF(N(INDEX(lr_aother,45))=0,1,INDEX(lr_aother,45))</f>
        <v>1</v>
      </c>
      <c r="S48" s="52">
        <f>IF(ISBLANK(INDEX(lr_trend,45)),N(nr_TrendDefault),N(INDEX(lr_trend,45)))</f>
        <v>0</v>
      </c>
      <c r="T48" s="81" t="str">
        <f>INDEX(lr_state,45)</f>
        <v>CO</v>
      </c>
      <c r="U48" s="81" t="str">
        <f>INDEX(lr_bu,45)</f>
        <v>BU-C</v>
      </c>
      <c r="V48" s="189">
        <f>N(INDEX(lr_ep,45))</f>
        <v>15200</v>
      </c>
      <c r="W48" s="53">
        <f>N(INDEX(lr_mind,45))*$V48</f>
        <v>13984</v>
      </c>
      <c r="X48" s="53">
        <f>N(INDEX(lr_m0,45))*$V48</f>
        <v>13832</v>
      </c>
      <c r="Y48" s="53">
        <f>N(INDEX(lr_m1,45))*$V48</f>
        <v>14136</v>
      </c>
      <c r="Z48" s="53">
        <f t="shared" si="23"/>
        <v>15200</v>
      </c>
      <c r="AA48" s="53">
        <f t="shared" si="24"/>
        <v>15200</v>
      </c>
      <c r="AB48" s="53">
        <f t="shared" si="25"/>
        <v>15200</v>
      </c>
      <c r="AC48" s="53">
        <f t="shared" si="26"/>
        <v>13953.372720641866</v>
      </c>
      <c r="AD48" s="53">
        <f t="shared" si="27"/>
        <v>15233.363592843394</v>
      </c>
      <c r="AE48" s="53">
        <f t="shared" si="28"/>
        <v>8512</v>
      </c>
      <c r="AF48" s="53">
        <f t="shared" si="29"/>
        <v>8530.6836119923028</v>
      </c>
      <c r="AG48" s="53">
        <f t="shared" si="30"/>
        <v>0</v>
      </c>
      <c r="AH48" s="53">
        <f t="shared" si="31"/>
        <v>15200</v>
      </c>
      <c r="AI48" s="53">
        <f t="shared" si="32"/>
        <v>15047.55441429822</v>
      </c>
      <c r="AJ48" s="53">
        <f t="shared" si="33"/>
        <v>8426.6304720070038</v>
      </c>
      <c r="AK48" s="55">
        <f>IF($L$2452,1,0)</f>
        <v>0</v>
      </c>
      <c r="AL48" s="52">
        <f>IF($L$2452,$M$2452,0)</f>
        <v>0</v>
      </c>
    </row>
    <row r="49" spans="1:38" x14ac:dyDescent="0.25">
      <c r="A49" s="81" t="str">
        <f>$A$2506</f>
        <v>BU-C|CT</v>
      </c>
      <c r="B49" s="55">
        <f>$C$2506</f>
        <v>6</v>
      </c>
      <c r="C49" s="53">
        <f>$B$2557</f>
        <v>1.02</v>
      </c>
      <c r="D49" s="53">
        <f>$C$2557</f>
        <v>1.0012500000000002</v>
      </c>
      <c r="E49" s="53">
        <f>$D$2557</f>
        <v>1.0323499999999999</v>
      </c>
      <c r="F49" s="53">
        <f>$E$2557</f>
        <v>1.0608000000000002</v>
      </c>
      <c r="G49" s="172">
        <f>$F$2557</f>
        <v>0.90999999999999981</v>
      </c>
      <c r="H49" s="172">
        <f>$G$2557</f>
        <v>0.90999999999999981</v>
      </c>
      <c r="I49" s="53">
        <f t="shared" si="17"/>
        <v>0.98803700295442454</v>
      </c>
      <c r="J49" s="53">
        <f t="shared" si="18"/>
        <v>0.96153846153846134</v>
      </c>
      <c r="K49" s="53">
        <f>IF($L$2506,1,IF(AND(nr_ModAdjMaster="ON",INDEX(lr_modadj,46)="ON"),$F$2506/$G49,1))</f>
        <v>1.0109890109890112</v>
      </c>
      <c r="L49" s="53">
        <f>IF($L$2506,1,IF(AND(nr_ModAdjMaster="ON",INDEX(lr_modadj,46)="ON"),$F$2506/$H49,1))</f>
        <v>1.0109890109890112</v>
      </c>
      <c r="M49" s="52">
        <f>IF(INDEX(lr_basis,46)="proposed",N(INDEX(lr_lrproj,46))*(1+N(INDEX(lr_s,46))),N(INDEX(lr_lrproj,46)))</f>
        <v>0.58799999999999997</v>
      </c>
      <c r="N49" s="52">
        <f t="shared" si="19"/>
        <v>0.58734999683321487</v>
      </c>
      <c r="O49" s="52">
        <f t="shared" si="20"/>
        <v>0.57159763313609468</v>
      </c>
      <c r="P49" s="52">
        <f t="shared" si="21"/>
        <v>1.210784313725477E-2</v>
      </c>
      <c r="Q49" s="52">
        <f t="shared" si="22"/>
        <v>2.7558483072601669E-2</v>
      </c>
      <c r="R49" s="53">
        <f>IF(N(INDEX(lr_aother,46))=0,1,INDEX(lr_aother,46))</f>
        <v>1</v>
      </c>
      <c r="S49" s="52">
        <f>IF(ISBLANK(INDEX(lr_trend,46)),N(nr_TrendDefault),N(INDEX(lr_trend,46)))</f>
        <v>0</v>
      </c>
      <c r="T49" s="81" t="str">
        <f>INDEX(lr_state,46)</f>
        <v>CT</v>
      </c>
      <c r="U49" s="81" t="str">
        <f>INDEX(lr_bu,46)</f>
        <v>BU-C</v>
      </c>
      <c r="V49" s="189">
        <f>N(INDEX(lr_ep,46))</f>
        <v>12000</v>
      </c>
      <c r="W49" s="53">
        <f>N(INDEX(lr_mind,46))*$V49</f>
        <v>11040</v>
      </c>
      <c r="X49" s="53">
        <f>N(INDEX(lr_m0,46))*$V49</f>
        <v>10920</v>
      </c>
      <c r="Y49" s="53">
        <f>N(INDEX(lr_m1,46))*$V49</f>
        <v>10920</v>
      </c>
      <c r="Z49" s="53">
        <f t="shared" si="23"/>
        <v>12240</v>
      </c>
      <c r="AA49" s="53">
        <f t="shared" si="24"/>
        <v>12388.199999999999</v>
      </c>
      <c r="AB49" s="53">
        <f t="shared" si="25"/>
        <v>11856.444035453094</v>
      </c>
      <c r="AC49" s="53">
        <f t="shared" si="26"/>
        <v>10919.999999999998</v>
      </c>
      <c r="AD49" s="53">
        <f t="shared" si="27"/>
        <v>12131.868131868134</v>
      </c>
      <c r="AE49" s="53">
        <f t="shared" si="28"/>
        <v>7056</v>
      </c>
      <c r="AF49" s="53">
        <f t="shared" si="29"/>
        <v>7048.1999619985781</v>
      </c>
      <c r="AG49" s="53">
        <f t="shared" si="30"/>
        <v>0</v>
      </c>
      <c r="AH49" s="53">
        <f t="shared" si="31"/>
        <v>11538.461538461535</v>
      </c>
      <c r="AI49" s="53">
        <f t="shared" si="32"/>
        <v>12131.868131868134</v>
      </c>
      <c r="AJ49" s="53">
        <f t="shared" si="33"/>
        <v>6859.1715976331361</v>
      </c>
      <c r="AK49" s="55">
        <f>IF($L$2506,1,0)</f>
        <v>0</v>
      </c>
      <c r="AL49" s="52">
        <f>IF($L$2506,$M$2506,0)</f>
        <v>0</v>
      </c>
    </row>
    <row r="50" spans="1:38" x14ac:dyDescent="0.25">
      <c r="A50" s="81" t="str">
        <f>$A$2560</f>
        <v>BU-C|FL</v>
      </c>
      <c r="B50" s="55">
        <f>$C$2560</f>
        <v>6</v>
      </c>
      <c r="C50" s="53">
        <f>$B$2611</f>
        <v>1</v>
      </c>
      <c r="D50" s="53">
        <f>$C$2611</f>
        <v>1</v>
      </c>
      <c r="E50" s="53">
        <f>$D$2611</f>
        <v>1</v>
      </c>
      <c r="F50" s="53">
        <f>$E$2611</f>
        <v>1</v>
      </c>
      <c r="G50" s="172">
        <f>$F$2611</f>
        <v>0.91598878555798668</v>
      </c>
      <c r="H50" s="172">
        <f>$G$2611</f>
        <v>0.92449033552151683</v>
      </c>
      <c r="I50" s="53">
        <f t="shared" si="17"/>
        <v>1</v>
      </c>
      <c r="J50" s="53">
        <f t="shared" si="18"/>
        <v>1</v>
      </c>
      <c r="K50" s="53">
        <f>IF($L$2560,1,IF(AND(nr_ModAdjMaster="ON",INDEX(lr_modadj,47)="ON"),$F$2560/$G50,1))</f>
        <v>1.0043791086804299</v>
      </c>
      <c r="L50" s="53">
        <f>IF($L$2560,1,IF(AND(nr_ModAdjMaster="ON",INDEX(lr_modadj,47)="ON"),$F$2560/$H50,1))</f>
        <v>0.99514290701699581</v>
      </c>
      <c r="M50" s="52">
        <f>IF(INDEX(lr_basis,47)="proposed",N(INDEX(lr_lrproj,47))*(1+N(INDEX(lr_s,47))),N(INDEX(lr_lrproj,47)))</f>
        <v>0.57199999999999995</v>
      </c>
      <c r="N50" s="52">
        <f t="shared" si="19"/>
        <v>0.5745048501652058</v>
      </c>
      <c r="O50" s="52">
        <f t="shared" si="20"/>
        <v>0.56922174281372151</v>
      </c>
      <c r="P50" s="52">
        <f t="shared" si="21"/>
        <v>0</v>
      </c>
      <c r="Q50" s="52">
        <f t="shared" si="22"/>
        <v>0</v>
      </c>
      <c r="R50" s="53">
        <f>IF(N(INDEX(lr_aother,47))=0,1,INDEX(lr_aother,47))</f>
        <v>1</v>
      </c>
      <c r="S50" s="52">
        <f>IF(ISBLANK(INDEX(lr_trend,47)),N(nr_TrendDefault),N(INDEX(lr_trend,47)))</f>
        <v>0</v>
      </c>
      <c r="T50" s="81" t="str">
        <f>INDEX(lr_state,47)</f>
        <v>FL</v>
      </c>
      <c r="U50" s="81" t="str">
        <f>INDEX(lr_bu,47)</f>
        <v>BU-C</v>
      </c>
      <c r="V50" s="189">
        <f>N(INDEX(lr_ep,47))</f>
        <v>8800</v>
      </c>
      <c r="W50" s="53">
        <f>N(INDEX(lr_mind,47))*$V50</f>
        <v>8096</v>
      </c>
      <c r="X50" s="53">
        <f>N(INDEX(lr_m0,47))*$V50</f>
        <v>8008</v>
      </c>
      <c r="Y50" s="53">
        <f>N(INDEX(lr_m1,47))*$V50</f>
        <v>8140</v>
      </c>
      <c r="Z50" s="53">
        <f t="shared" si="23"/>
        <v>8800</v>
      </c>
      <c r="AA50" s="53">
        <f t="shared" si="24"/>
        <v>8800</v>
      </c>
      <c r="AB50" s="53">
        <f t="shared" si="25"/>
        <v>8800</v>
      </c>
      <c r="AC50" s="53">
        <f t="shared" si="26"/>
        <v>8060.7013129102825</v>
      </c>
      <c r="AD50" s="53">
        <f t="shared" si="27"/>
        <v>8838.5361563877832</v>
      </c>
      <c r="AE50" s="53">
        <f t="shared" si="28"/>
        <v>5033.5999999999995</v>
      </c>
      <c r="AF50" s="53">
        <f t="shared" si="29"/>
        <v>5055.6426814538108</v>
      </c>
      <c r="AG50" s="53">
        <f t="shared" si="30"/>
        <v>0</v>
      </c>
      <c r="AH50" s="53">
        <f t="shared" si="31"/>
        <v>8800</v>
      </c>
      <c r="AI50" s="53">
        <f t="shared" si="32"/>
        <v>8757.2575817495635</v>
      </c>
      <c r="AJ50" s="53">
        <f t="shared" si="33"/>
        <v>5009.1513367607495</v>
      </c>
      <c r="AK50" s="55">
        <f>IF($L$2560,1,0)</f>
        <v>0</v>
      </c>
      <c r="AL50" s="52">
        <f>IF($L$2560,$M$2560,0)</f>
        <v>0</v>
      </c>
    </row>
    <row r="51" spans="1:38" x14ac:dyDescent="0.25">
      <c r="A51" s="81" t="str">
        <f>$A$2614</f>
        <v>BU-C|GA</v>
      </c>
      <c r="B51" s="55">
        <f>$C$2614</f>
        <v>6</v>
      </c>
      <c r="C51" s="53">
        <f>$B$2665</f>
        <v>1</v>
      </c>
      <c r="D51" s="53">
        <f>$C$2665</f>
        <v>1</v>
      </c>
      <c r="E51" s="53">
        <f>$D$2665</f>
        <v>1</v>
      </c>
      <c r="F51" s="53">
        <f>$E$2665</f>
        <v>1</v>
      </c>
      <c r="G51" s="172">
        <f>$F$2665</f>
        <v>0.9080037381473377</v>
      </c>
      <c r="H51" s="172">
        <f>$G$2665</f>
        <v>0.90516988815949428</v>
      </c>
      <c r="I51" s="53">
        <f t="shared" si="17"/>
        <v>1</v>
      </c>
      <c r="J51" s="53">
        <f t="shared" si="18"/>
        <v>1</v>
      </c>
      <c r="K51" s="53">
        <f>IF($L$2614,1,IF(AND(nr_ModAdjMaster="ON",INDEX(lr_modadj,48)="ON"),$F$2614/$G51,1))</f>
        <v>1.0132116877372543</v>
      </c>
      <c r="L51" s="53">
        <f>IF($L$2614,1,IF(AND(nr_ModAdjMaster="ON",INDEX(lr_modadj,48)="ON"),$F$2614/$H51,1))</f>
        <v>1.0163837883191853</v>
      </c>
      <c r="M51" s="52">
        <f>IF(INDEX(lr_basis,48)="proposed",N(INDEX(lr_lrproj,48))*(1+N(INDEX(lr_s,48))),N(INDEX(lr_lrproj,48)))</f>
        <v>0.6</v>
      </c>
      <c r="N51" s="52">
        <f t="shared" si="19"/>
        <v>0.6079270126423526</v>
      </c>
      <c r="O51" s="52">
        <f t="shared" si="20"/>
        <v>0.60983027299151116</v>
      </c>
      <c r="P51" s="52">
        <f t="shared" si="21"/>
        <v>0</v>
      </c>
      <c r="Q51" s="52">
        <f t="shared" si="22"/>
        <v>0</v>
      </c>
      <c r="R51" s="53">
        <f>IF(N(INDEX(lr_aother,48))=0,1,INDEX(lr_aother,48))</f>
        <v>1</v>
      </c>
      <c r="S51" s="52">
        <f>IF(ISBLANK(INDEX(lr_trend,48)),N(nr_TrendDefault),N(INDEX(lr_trend,48)))</f>
        <v>0</v>
      </c>
      <c r="T51" s="81" t="str">
        <f>INDEX(lr_state,48)</f>
        <v>GA</v>
      </c>
      <c r="U51" s="81" t="str">
        <f>INDEX(lr_bu,48)</f>
        <v>BU-C</v>
      </c>
      <c r="V51" s="189">
        <f>N(INDEX(lr_ep,48))</f>
        <v>19200</v>
      </c>
      <c r="W51" s="53">
        <f>N(INDEX(lr_mind,48))*$V51</f>
        <v>17664</v>
      </c>
      <c r="X51" s="53">
        <f>N(INDEX(lr_m0,48))*$V51</f>
        <v>17472</v>
      </c>
      <c r="Y51" s="53">
        <f>N(INDEX(lr_m1,48))*$V51</f>
        <v>17376</v>
      </c>
      <c r="Z51" s="53">
        <f t="shared" si="23"/>
        <v>19200</v>
      </c>
      <c r="AA51" s="53">
        <f t="shared" si="24"/>
        <v>19200</v>
      </c>
      <c r="AB51" s="53">
        <f t="shared" si="25"/>
        <v>19200</v>
      </c>
      <c r="AC51" s="53">
        <f t="shared" si="26"/>
        <v>17433.671772428883</v>
      </c>
      <c r="AD51" s="53">
        <f t="shared" si="27"/>
        <v>19453.664404555282</v>
      </c>
      <c r="AE51" s="53">
        <f t="shared" si="28"/>
        <v>11520</v>
      </c>
      <c r="AF51" s="53">
        <f t="shared" si="29"/>
        <v>11672.19864273317</v>
      </c>
      <c r="AG51" s="53">
        <f t="shared" si="30"/>
        <v>0</v>
      </c>
      <c r="AH51" s="53">
        <f t="shared" si="31"/>
        <v>19200</v>
      </c>
      <c r="AI51" s="53">
        <f t="shared" si="32"/>
        <v>19514.568735728357</v>
      </c>
      <c r="AJ51" s="53">
        <f t="shared" si="33"/>
        <v>11708.741241437014</v>
      </c>
      <c r="AK51" s="55">
        <f>IF($L$2614,1,0)</f>
        <v>0</v>
      </c>
      <c r="AL51" s="52">
        <f>IF($L$2614,$M$2614,0)</f>
        <v>0</v>
      </c>
    </row>
    <row r="52" spans="1:38" x14ac:dyDescent="0.25">
      <c r="A52" s="81" t="str">
        <f>$A$2668</f>
        <v>BU-C|IL</v>
      </c>
      <c r="B52" s="55">
        <f>$C$2668</f>
        <v>6</v>
      </c>
      <c r="C52" s="53">
        <f>$B$2719</f>
        <v>1</v>
      </c>
      <c r="D52" s="53">
        <f>$C$2719</f>
        <v>1.0162499999999999</v>
      </c>
      <c r="E52" s="53">
        <f>$D$2719</f>
        <v>1.0649999999999997</v>
      </c>
      <c r="F52" s="53">
        <f>$E$2719</f>
        <v>1.0649999999999997</v>
      </c>
      <c r="G52" s="172">
        <f>$F$2719</f>
        <v>0.91399252370532447</v>
      </c>
      <c r="H52" s="172">
        <f>$G$2719</f>
        <v>0.91966022368101141</v>
      </c>
      <c r="I52" s="53">
        <f t="shared" si="17"/>
        <v>0.93896713615023497</v>
      </c>
      <c r="J52" s="53">
        <f t="shared" si="18"/>
        <v>0.93896713615023497</v>
      </c>
      <c r="K52" s="53">
        <f>IF($L$2668,1,IF(AND(nr_ModAdjMaster="ON",INDEX(lr_modadj,49)="ON"),$F$2668/$G52,1))</f>
        <v>1.0065727849395543</v>
      </c>
      <c r="L52" s="53">
        <f>IF($L$2668,1,IF(AND(nr_ModAdjMaster="ON",INDEX(lr_modadj,49)="ON"),$F$2668/$H52,1))</f>
        <v>1.000369458535054</v>
      </c>
      <c r="M52" s="52">
        <f>IF(INDEX(lr_basis,49)="proposed",N(INDEX(lr_lrproj,49))*(1+N(INDEX(lr_s,49))),N(INDEX(lr_lrproj,49)))</f>
        <v>0.58399999999999996</v>
      </c>
      <c r="N52" s="52">
        <f t="shared" si="19"/>
        <v>0.55196103887765247</v>
      </c>
      <c r="O52" s="52">
        <f t="shared" si="20"/>
        <v>0.5485594026145274</v>
      </c>
      <c r="P52" s="52">
        <f t="shared" si="21"/>
        <v>6.4999999999999725E-2</v>
      </c>
      <c r="Q52" s="52">
        <f t="shared" si="22"/>
        <v>0</v>
      </c>
      <c r="R52" s="53">
        <f>IF(N(INDEX(lr_aother,49))=0,1,INDEX(lr_aother,49))</f>
        <v>1</v>
      </c>
      <c r="S52" s="52">
        <f>IF(ISBLANK(INDEX(lr_trend,49)),N(nr_TrendDefault),N(INDEX(lr_trend,49)))</f>
        <v>0</v>
      </c>
      <c r="T52" s="81" t="str">
        <f>INDEX(lr_state,49)</f>
        <v>IL</v>
      </c>
      <c r="U52" s="81" t="str">
        <f>INDEX(lr_bu,49)</f>
        <v>BU-C</v>
      </c>
      <c r="V52" s="189">
        <f>N(INDEX(lr_ep,49))</f>
        <v>16000</v>
      </c>
      <c r="W52" s="53">
        <f>N(INDEX(lr_mind,49))*$V52</f>
        <v>14720</v>
      </c>
      <c r="X52" s="53">
        <f>N(INDEX(lr_m0,49))*$V52</f>
        <v>14560</v>
      </c>
      <c r="Y52" s="53">
        <f>N(INDEX(lr_m1,49))*$V52</f>
        <v>14720</v>
      </c>
      <c r="Z52" s="53">
        <f t="shared" si="23"/>
        <v>16000</v>
      </c>
      <c r="AA52" s="53">
        <f t="shared" si="24"/>
        <v>17039.999999999996</v>
      </c>
      <c r="AB52" s="53">
        <f t="shared" si="25"/>
        <v>15023.47417840376</v>
      </c>
      <c r="AC52" s="53">
        <f t="shared" si="26"/>
        <v>14623.880379285192</v>
      </c>
      <c r="AD52" s="53">
        <f t="shared" si="27"/>
        <v>16105.164559032868</v>
      </c>
      <c r="AE52" s="53">
        <f t="shared" si="28"/>
        <v>9344</v>
      </c>
      <c r="AF52" s="53">
        <f t="shared" si="29"/>
        <v>8831.3766220424386</v>
      </c>
      <c r="AG52" s="53">
        <f t="shared" si="30"/>
        <v>0</v>
      </c>
      <c r="AH52" s="53">
        <f t="shared" si="31"/>
        <v>15023.47417840376</v>
      </c>
      <c r="AI52" s="53">
        <f t="shared" si="32"/>
        <v>16005.911336560865</v>
      </c>
      <c r="AJ52" s="53">
        <f t="shared" si="33"/>
        <v>8776.9504418324377</v>
      </c>
      <c r="AK52" s="55">
        <f>IF($L$2668,1,0)</f>
        <v>0</v>
      </c>
      <c r="AL52" s="52">
        <f>IF($L$2668,$M$2668,0)</f>
        <v>0</v>
      </c>
    </row>
    <row r="53" spans="1:38" x14ac:dyDescent="0.25">
      <c r="A53" s="81" t="str">
        <f>$A$2722</f>
        <v>BU-C|IN</v>
      </c>
      <c r="B53" s="55">
        <f>$C$2722</f>
        <v>6</v>
      </c>
      <c r="C53" s="53">
        <f>$B$2773</f>
        <v>1.06</v>
      </c>
      <c r="D53" s="53">
        <f>$C$2773</f>
        <v>1.0400000000000003</v>
      </c>
      <c r="E53" s="53">
        <f>$D$2773</f>
        <v>1.0626500000000003</v>
      </c>
      <c r="F53" s="53">
        <f>$E$2773</f>
        <v>1.09975</v>
      </c>
      <c r="G53" s="172">
        <f>$F$2773</f>
        <v>0.90600747629467537</v>
      </c>
      <c r="H53" s="172">
        <f>$G$2773</f>
        <v>0.90033977631898854</v>
      </c>
      <c r="I53" s="53">
        <f t="shared" si="17"/>
        <v>0.9975062344139648</v>
      </c>
      <c r="J53" s="53">
        <f t="shared" si="18"/>
        <v>0.96385542168674698</v>
      </c>
      <c r="K53" s="53">
        <f>IF($L$2722,1,IF(AND(nr_ModAdjMaster="ON",INDEX(lr_modadj,50)="ON"),$F$2722/$G53,1))</f>
        <v>1.0154441592055623</v>
      </c>
      <c r="L53" s="53">
        <f>IF($L$2722,1,IF(AND(nr_ModAdjMaster="ON",INDEX(lr_modadj,50)="ON"),$F$2722/$H53,1))</f>
        <v>1.0218364490808034</v>
      </c>
      <c r="M53" s="52">
        <f>IF(INDEX(lr_basis,50)="proposed",N(INDEX(lr_lrproj,50))*(1+N(INDEX(lr_s,50))),N(INDEX(lr_lrproj,50)))</f>
        <v>0.56799999999999995</v>
      </c>
      <c r="N53" s="52">
        <f t="shared" si="19"/>
        <v>0.57533394755985956</v>
      </c>
      <c r="O53" s="52">
        <f t="shared" si="20"/>
        <v>0.55942467766544224</v>
      </c>
      <c r="P53" s="52">
        <f t="shared" si="21"/>
        <v>2.5000000000001688E-3</v>
      </c>
      <c r="Q53" s="52">
        <f t="shared" si="22"/>
        <v>3.491271820448838E-2</v>
      </c>
      <c r="R53" s="53">
        <f>IF(N(INDEX(lr_aother,50))=0,1,INDEX(lr_aother,50))</f>
        <v>1</v>
      </c>
      <c r="S53" s="52">
        <f>IF(ISBLANK(INDEX(lr_trend,50)),N(nr_TrendDefault),N(INDEX(lr_trend,50)))</f>
        <v>0</v>
      </c>
      <c r="T53" s="81" t="str">
        <f>INDEX(lr_state,50)</f>
        <v>IN</v>
      </c>
      <c r="U53" s="81" t="str">
        <f>INDEX(lr_bu,50)</f>
        <v>BU-C</v>
      </c>
      <c r="V53" s="189">
        <f>N(INDEX(lr_ep,50))</f>
        <v>12800</v>
      </c>
      <c r="W53" s="53">
        <f>N(INDEX(lr_mind,50))*$V53</f>
        <v>11776</v>
      </c>
      <c r="X53" s="53">
        <f>N(INDEX(lr_m0,50))*$V53</f>
        <v>11648</v>
      </c>
      <c r="Y53" s="53">
        <f>N(INDEX(lr_m1,50))*$V53</f>
        <v>11520</v>
      </c>
      <c r="Z53" s="53">
        <f t="shared" si="23"/>
        <v>13568</v>
      </c>
      <c r="AA53" s="53">
        <f t="shared" si="24"/>
        <v>13601.920000000004</v>
      </c>
      <c r="AB53" s="53">
        <f t="shared" si="25"/>
        <v>12768.07980049875</v>
      </c>
      <c r="AC53" s="53">
        <f t="shared" si="26"/>
        <v>11596.895696571844</v>
      </c>
      <c r="AD53" s="53">
        <f t="shared" si="27"/>
        <v>12997.685237831198</v>
      </c>
      <c r="AE53" s="53">
        <f t="shared" si="28"/>
        <v>7270.4</v>
      </c>
      <c r="AF53" s="53">
        <f t="shared" si="29"/>
        <v>7364.2745287662019</v>
      </c>
      <c r="AG53" s="53">
        <f t="shared" si="30"/>
        <v>0</v>
      </c>
      <c r="AH53" s="53">
        <f t="shared" si="31"/>
        <v>12337.349397590362</v>
      </c>
      <c r="AI53" s="53">
        <f t="shared" si="32"/>
        <v>13079.506548234283</v>
      </c>
      <c r="AJ53" s="53">
        <f t="shared" si="33"/>
        <v>7160.6358741176609</v>
      </c>
      <c r="AK53" s="55">
        <f>IF($L$2722,1,0)</f>
        <v>0</v>
      </c>
      <c r="AL53" s="52">
        <f>IF($L$2722,$M$2722,0)</f>
        <v>0</v>
      </c>
    </row>
    <row r="54" spans="1:38" x14ac:dyDescent="0.25">
      <c r="A54" s="81" t="str">
        <f>$A$2776</f>
        <v>BU-C|IA</v>
      </c>
      <c r="B54" s="55">
        <f>$C$2776</f>
        <v>6</v>
      </c>
      <c r="C54" s="53">
        <f>$B$2827</f>
        <v>1</v>
      </c>
      <c r="D54" s="53">
        <f>$C$2827</f>
        <v>0.99314407062971088</v>
      </c>
      <c r="E54" s="53">
        <f>$D$2827</f>
        <v>1.0874724808798193</v>
      </c>
      <c r="F54" s="53">
        <f>$E$2827</f>
        <v>1.1962197289678012</v>
      </c>
      <c r="G54" s="172">
        <f>$F$2827</f>
        <v>0.91199626185266247</v>
      </c>
      <c r="H54" s="172">
        <f>$G$2827</f>
        <v>0.91483011184050556</v>
      </c>
      <c r="I54" s="53">
        <f t="shared" si="17"/>
        <v>0.91956349938248583</v>
      </c>
      <c r="J54" s="53">
        <f t="shared" si="18"/>
        <v>0.83596681762044167</v>
      </c>
      <c r="K54" s="53">
        <f>IF($L$2776,1,IF(AND(nr_ModAdjMaster="ON",INDEX(lr_modadj,51)="ON"),$F$2776/$G54,1))</f>
        <v>1</v>
      </c>
      <c r="L54" s="53">
        <f>IF($L$2776,1,IF(AND(nr_ModAdjMaster="ON",INDEX(lr_modadj,51)="ON"),$F$2776/$H54,1))</f>
        <v>1</v>
      </c>
      <c r="M54" s="52">
        <f>IF(INDEX(lr_basis,51)="proposed",N(INDEX(lr_lrproj,51))*(1+N(INDEX(lr_s,51))),N(INDEX(lr_lrproj,51)))</f>
        <v>0.59599999999999997</v>
      </c>
      <c r="N54" s="52">
        <f t="shared" si="19"/>
        <v>0.54805984563196153</v>
      </c>
      <c r="O54" s="52">
        <f t="shared" si="20"/>
        <v>0.49823622330178319</v>
      </c>
      <c r="P54" s="52">
        <f t="shared" si="21"/>
        <v>8.7472480879819292E-2</v>
      </c>
      <c r="Q54" s="52">
        <f t="shared" si="22"/>
        <v>9.9999999999999867E-2</v>
      </c>
      <c r="R54" s="53">
        <f>IF(N(INDEX(lr_aother,51))=0,1,INDEX(lr_aother,51))</f>
        <v>1</v>
      </c>
      <c r="S54" s="52">
        <f>IF(ISBLANK(INDEX(lr_trend,51)),N(nr_TrendDefault),N(INDEX(lr_trend,51)))</f>
        <v>0</v>
      </c>
      <c r="T54" s="81" t="str">
        <f>INDEX(lr_state,51)</f>
        <v>IA</v>
      </c>
      <c r="U54" s="81" t="str">
        <f>INDEX(lr_bu,51)</f>
        <v>BU-C</v>
      </c>
      <c r="V54" s="189">
        <f>N(INDEX(lr_ep,51))</f>
        <v>9600</v>
      </c>
      <c r="W54" s="53">
        <f>N(INDEX(lr_mind,51))*$V54</f>
        <v>8832</v>
      </c>
      <c r="X54" s="53">
        <f>N(INDEX(lr_m0,51))*$V54</f>
        <v>8736</v>
      </c>
      <c r="Y54" s="53">
        <f>N(INDEX(lr_m1,51))*$V54</f>
        <v>8784</v>
      </c>
      <c r="Z54" s="53">
        <f t="shared" si="23"/>
        <v>9600</v>
      </c>
      <c r="AA54" s="53">
        <f t="shared" si="24"/>
        <v>10439.735816446266</v>
      </c>
      <c r="AB54" s="53">
        <f t="shared" si="25"/>
        <v>8827.8095940718631</v>
      </c>
      <c r="AC54" s="53">
        <f t="shared" si="26"/>
        <v>8755.1641137855604</v>
      </c>
      <c r="AD54" s="53">
        <f t="shared" si="27"/>
        <v>9600</v>
      </c>
      <c r="AE54" s="53">
        <f t="shared" si="28"/>
        <v>5721.5999999999995</v>
      </c>
      <c r="AF54" s="53">
        <f t="shared" si="29"/>
        <v>5261.3745180668311</v>
      </c>
      <c r="AG54" s="53">
        <f t="shared" si="30"/>
        <v>0</v>
      </c>
      <c r="AH54" s="53">
        <f t="shared" si="31"/>
        <v>8025.2814491562403</v>
      </c>
      <c r="AI54" s="53">
        <f t="shared" si="32"/>
        <v>9600</v>
      </c>
      <c r="AJ54" s="53">
        <f t="shared" si="33"/>
        <v>4783.0677436971182</v>
      </c>
      <c r="AK54" s="55">
        <f>IF($L$2776,1,0)</f>
        <v>1</v>
      </c>
      <c r="AL54" s="52">
        <f>IF($L$2776,$M$2776,0)</f>
        <v>0.1</v>
      </c>
    </row>
    <row r="55" spans="1:38" x14ac:dyDescent="0.25">
      <c r="A55" s="81" t="str">
        <f>$A$2830</f>
        <v>BU-C|KY</v>
      </c>
      <c r="B55" s="55">
        <f>$C$2830</f>
        <v>6</v>
      </c>
      <c r="C55" s="53">
        <f>$B$2881</f>
        <v>1.03</v>
      </c>
      <c r="D55" s="53">
        <f>$C$2881</f>
        <v>1.0149999999999999</v>
      </c>
      <c r="E55" s="53">
        <f>$D$2881</f>
        <v>1.03</v>
      </c>
      <c r="F55" s="53">
        <f>$E$2881</f>
        <v>1.03</v>
      </c>
      <c r="G55" s="172">
        <f>$F$2881</f>
        <v>0.91798504741064912</v>
      </c>
      <c r="H55" s="172">
        <f>$G$2881</f>
        <v>0.92932044736202268</v>
      </c>
      <c r="I55" s="53">
        <f t="shared" si="17"/>
        <v>1</v>
      </c>
      <c r="J55" s="53">
        <f t="shared" si="18"/>
        <v>1</v>
      </c>
      <c r="K55" s="53">
        <f>IF($L$2830,1,IF(AND(nr_ModAdjMaster="ON",INDEX(lr_modadj,52)="ON"),$F$2830/$G55,1))</f>
        <v>1.0021949732133812</v>
      </c>
      <c r="L55" s="53">
        <f>IF($L$2830,1,IF(AND(nr_ModAdjMaster="ON",INDEX(lr_modadj,52)="ON"),$F$2830/$H55,1))</f>
        <v>0.98997068515119868</v>
      </c>
      <c r="M55" s="52">
        <f>IF(INDEX(lr_basis,52)="proposed",N(INDEX(lr_lrproj,52))*(1+N(INDEX(lr_s,52))),N(INDEX(lr_lrproj,52)))</f>
        <v>0.57999999999999996</v>
      </c>
      <c r="N55" s="52">
        <f t="shared" si="19"/>
        <v>0.58127308446376114</v>
      </c>
      <c r="O55" s="52">
        <f t="shared" si="20"/>
        <v>0.57418299738769518</v>
      </c>
      <c r="P55" s="52">
        <f t="shared" si="21"/>
        <v>0</v>
      </c>
      <c r="Q55" s="52">
        <f t="shared" si="22"/>
        <v>0</v>
      </c>
      <c r="R55" s="53">
        <f>IF(N(INDEX(lr_aother,52))=0,1,INDEX(lr_aother,52))</f>
        <v>1</v>
      </c>
      <c r="S55" s="52">
        <f>IF(ISBLANK(INDEX(lr_trend,52)),N(nr_TrendDefault),N(INDEX(lr_trend,52)))</f>
        <v>0</v>
      </c>
      <c r="T55" s="81" t="str">
        <f>INDEX(lr_state,52)</f>
        <v>KY</v>
      </c>
      <c r="U55" s="81" t="str">
        <f>INDEX(lr_bu,52)</f>
        <v>BU-C</v>
      </c>
      <c r="V55" s="189">
        <f>N(INDEX(lr_ep,52))</f>
        <v>6400</v>
      </c>
      <c r="W55" s="53">
        <f>N(INDEX(lr_mind,52))*$V55</f>
        <v>5888</v>
      </c>
      <c r="X55" s="53">
        <f>N(INDEX(lr_m0,52))*$V55</f>
        <v>5824</v>
      </c>
      <c r="Y55" s="53">
        <f>N(INDEX(lr_m1,52))*$V55</f>
        <v>5952</v>
      </c>
      <c r="Z55" s="53">
        <f t="shared" si="23"/>
        <v>6592</v>
      </c>
      <c r="AA55" s="53">
        <f t="shared" si="24"/>
        <v>6592</v>
      </c>
      <c r="AB55" s="53">
        <f t="shared" si="25"/>
        <v>6400</v>
      </c>
      <c r="AC55" s="53">
        <f t="shared" si="26"/>
        <v>5875.1043034281547</v>
      </c>
      <c r="AD55" s="53">
        <f t="shared" si="27"/>
        <v>6414.04782856564</v>
      </c>
      <c r="AE55" s="53">
        <f t="shared" si="28"/>
        <v>3711.9999999999995</v>
      </c>
      <c r="AF55" s="53">
        <f t="shared" si="29"/>
        <v>3720.1477405680712</v>
      </c>
      <c r="AG55" s="53">
        <f t="shared" si="30"/>
        <v>0</v>
      </c>
      <c r="AH55" s="53">
        <f t="shared" si="31"/>
        <v>6400</v>
      </c>
      <c r="AI55" s="53">
        <f t="shared" si="32"/>
        <v>6335.8123849676713</v>
      </c>
      <c r="AJ55" s="53">
        <f t="shared" si="33"/>
        <v>3674.7711832812493</v>
      </c>
      <c r="AK55" s="55">
        <f>IF($L$2830,1,0)</f>
        <v>0</v>
      </c>
      <c r="AL55" s="52">
        <f>IF($L$2830,$M$2830,0)</f>
        <v>0</v>
      </c>
    </row>
    <row r="56" spans="1:38" x14ac:dyDescent="0.25">
      <c r="A56" s="81" t="str">
        <f>$A$2884</f>
        <v>BU-C|MD</v>
      </c>
      <c r="B56" s="55">
        <f>$C$2884</f>
        <v>6</v>
      </c>
      <c r="C56" s="53">
        <f>$B$2935</f>
        <v>1.04</v>
      </c>
      <c r="D56" s="53">
        <f>$C$2935</f>
        <v>1.0166666666666664</v>
      </c>
      <c r="E56" s="53">
        <f>$D$2935</f>
        <v>1.0399999999999998</v>
      </c>
      <c r="F56" s="53">
        <f>$E$2935</f>
        <v>1.0399999999999998</v>
      </c>
      <c r="G56" s="172">
        <f>$F$2935</f>
        <v>0.90999999999999981</v>
      </c>
      <c r="H56" s="172">
        <f>$G$2935</f>
        <v>0.90999999999999981</v>
      </c>
      <c r="I56" s="53">
        <f t="shared" si="17"/>
        <v>1.0000000000000002</v>
      </c>
      <c r="J56" s="53">
        <f t="shared" si="18"/>
        <v>1.0000000000000002</v>
      </c>
      <c r="K56" s="53">
        <f>IF($L$2884,1,IF(AND(nr_ModAdjMaster="ON",INDEX(lr_modadj,53)="ON"),$F$2884/$G56,1))</f>
        <v>1.0109890109890112</v>
      </c>
      <c r="L56" s="53">
        <f>IF($L$2884,1,IF(AND(nr_ModAdjMaster="ON",INDEX(lr_modadj,53)="ON"),$F$2884/$H56,1))</f>
        <v>1.0109890109890112</v>
      </c>
      <c r="M56" s="52">
        <f>IF(INDEX(lr_basis,53)="proposed",N(INDEX(lr_lrproj,53))*(1+N(INDEX(lr_s,53))),N(INDEX(lr_lrproj,53)))</f>
        <v>0.56399999999999995</v>
      </c>
      <c r="N56" s="52">
        <f t="shared" si="19"/>
        <v>0.57019780219780236</v>
      </c>
      <c r="O56" s="52">
        <f t="shared" si="20"/>
        <v>0.57019780219780236</v>
      </c>
      <c r="P56" s="52">
        <f t="shared" si="21"/>
        <v>0</v>
      </c>
      <c r="Q56" s="52">
        <f t="shared" si="22"/>
        <v>0</v>
      </c>
      <c r="R56" s="53">
        <f>IF(N(INDEX(lr_aother,53))=0,1,INDEX(lr_aother,53))</f>
        <v>1</v>
      </c>
      <c r="S56" s="52">
        <f>IF(ISBLANK(INDEX(lr_trend,53)),N(nr_TrendDefault),N(INDEX(lr_trend,53)))</f>
        <v>0</v>
      </c>
      <c r="T56" s="81" t="str">
        <f>INDEX(lr_state,53)</f>
        <v>MD</v>
      </c>
      <c r="U56" s="81" t="str">
        <f>INDEX(lr_bu,53)</f>
        <v>BU-C</v>
      </c>
      <c r="V56" s="189">
        <f>N(INDEX(lr_ep,53))</f>
        <v>16800</v>
      </c>
      <c r="W56" s="53">
        <f>N(INDEX(lr_mind,53))*$V56</f>
        <v>15456</v>
      </c>
      <c r="X56" s="53">
        <f>N(INDEX(lr_m0,53))*$V56</f>
        <v>15288</v>
      </c>
      <c r="Y56" s="53">
        <f>N(INDEX(lr_m1,53))*$V56</f>
        <v>15288</v>
      </c>
      <c r="Z56" s="53">
        <f t="shared" si="23"/>
        <v>17472</v>
      </c>
      <c r="AA56" s="53">
        <f t="shared" si="24"/>
        <v>17471.999999999996</v>
      </c>
      <c r="AB56" s="53">
        <f t="shared" si="25"/>
        <v>16800.000000000004</v>
      </c>
      <c r="AC56" s="53">
        <f t="shared" si="26"/>
        <v>15287.999999999996</v>
      </c>
      <c r="AD56" s="53">
        <f t="shared" si="27"/>
        <v>16984.615384615387</v>
      </c>
      <c r="AE56" s="53">
        <f t="shared" si="28"/>
        <v>9475.1999999999989</v>
      </c>
      <c r="AF56" s="53">
        <f t="shared" si="29"/>
        <v>9579.3230769230795</v>
      </c>
      <c r="AG56" s="53">
        <f t="shared" si="30"/>
        <v>0</v>
      </c>
      <c r="AH56" s="53">
        <f t="shared" si="31"/>
        <v>16800.000000000004</v>
      </c>
      <c r="AI56" s="53">
        <f t="shared" si="32"/>
        <v>16984.615384615387</v>
      </c>
      <c r="AJ56" s="53">
        <f t="shared" si="33"/>
        <v>9579.3230769230795</v>
      </c>
      <c r="AK56" s="55">
        <f>IF($L$2884,1,0)</f>
        <v>0</v>
      </c>
      <c r="AL56" s="52">
        <f>IF($L$2884,$M$2884,0)</f>
        <v>0</v>
      </c>
    </row>
    <row r="57" spans="1:38" x14ac:dyDescent="0.25">
      <c r="A57" s="81" t="str">
        <f>$A$2938</f>
        <v>BU-C|MI</v>
      </c>
      <c r="B57" s="55">
        <f>$C$2938</f>
        <v>6</v>
      </c>
      <c r="C57" s="53">
        <f>$B$2989</f>
        <v>1</v>
      </c>
      <c r="D57" s="53">
        <f>$C$2989</f>
        <v>1</v>
      </c>
      <c r="E57" s="53">
        <f>$D$2989</f>
        <v>1.02</v>
      </c>
      <c r="F57" s="53">
        <f>$E$2989</f>
        <v>1.0399999999999998</v>
      </c>
      <c r="G57" s="172">
        <f>$F$2989</f>
        <v>0.91598878555798668</v>
      </c>
      <c r="H57" s="172">
        <f>$G$2989</f>
        <v>0.92449033552151683</v>
      </c>
      <c r="I57" s="53">
        <f t="shared" si="17"/>
        <v>0.98039215686274506</v>
      </c>
      <c r="J57" s="53">
        <f t="shared" si="18"/>
        <v>0.96153846153846168</v>
      </c>
      <c r="K57" s="53">
        <f>IF($L$2938,1,IF(AND(nr_ModAdjMaster="ON",INDEX(lr_modadj,54)="ON"),$F$2938/$G57,1))</f>
        <v>1.0043791086804299</v>
      </c>
      <c r="L57" s="53">
        <f>IF($L$2938,1,IF(AND(nr_ModAdjMaster="ON",INDEX(lr_modadj,54)="ON"),$F$2938/$H57,1))</f>
        <v>0.99514290701699581</v>
      </c>
      <c r="M57" s="52">
        <f>IF(INDEX(lr_basis,54)="proposed",N(INDEX(lr_lrproj,54))*(1+N(INDEX(lr_s,54))),N(INDEX(lr_lrproj,54)))</f>
        <v>0.59199999999999997</v>
      </c>
      <c r="N57" s="52">
        <f t="shared" si="19"/>
        <v>0.58293375719491614</v>
      </c>
      <c r="O57" s="52">
        <f t="shared" si="20"/>
        <v>0.56646596245582848</v>
      </c>
      <c r="P57" s="52">
        <f t="shared" si="21"/>
        <v>2.0000000000000018E-2</v>
      </c>
      <c r="Q57" s="52">
        <f t="shared" si="22"/>
        <v>1.960784313725461E-2</v>
      </c>
      <c r="R57" s="53">
        <f>IF(N(INDEX(lr_aother,54))=0,1,INDEX(lr_aother,54))</f>
        <v>1</v>
      </c>
      <c r="S57" s="52">
        <f>IF(ISBLANK(INDEX(lr_trend,54)),N(nr_TrendDefault),N(INDEX(lr_trend,54)))</f>
        <v>0</v>
      </c>
      <c r="T57" s="81" t="str">
        <f>INDEX(lr_state,54)</f>
        <v>MI</v>
      </c>
      <c r="U57" s="81" t="str">
        <f>INDEX(lr_bu,54)</f>
        <v>BU-C</v>
      </c>
      <c r="V57" s="189">
        <f>N(INDEX(lr_ep,54))</f>
        <v>13600</v>
      </c>
      <c r="W57" s="53">
        <f>N(INDEX(lr_mind,54))*$V57</f>
        <v>12512</v>
      </c>
      <c r="X57" s="53">
        <f>N(INDEX(lr_m0,54))*$V57</f>
        <v>12376</v>
      </c>
      <c r="Y57" s="53">
        <f>N(INDEX(lr_m1,54))*$V57</f>
        <v>12580</v>
      </c>
      <c r="Z57" s="53">
        <f t="shared" si="23"/>
        <v>13600</v>
      </c>
      <c r="AA57" s="53">
        <f t="shared" si="24"/>
        <v>13872</v>
      </c>
      <c r="AB57" s="53">
        <f t="shared" si="25"/>
        <v>13333.333333333332</v>
      </c>
      <c r="AC57" s="53">
        <f t="shared" si="26"/>
        <v>12457.447483588619</v>
      </c>
      <c r="AD57" s="53">
        <f t="shared" si="27"/>
        <v>13659.555878053847</v>
      </c>
      <c r="AE57" s="53">
        <f t="shared" si="28"/>
        <v>8051.2</v>
      </c>
      <c r="AF57" s="53">
        <f t="shared" si="29"/>
        <v>7927.8990978508591</v>
      </c>
      <c r="AG57" s="53">
        <f t="shared" si="30"/>
        <v>0</v>
      </c>
      <c r="AH57" s="53">
        <f t="shared" si="31"/>
        <v>13076.923076923078</v>
      </c>
      <c r="AI57" s="53">
        <f t="shared" si="32"/>
        <v>13533.943535431143</v>
      </c>
      <c r="AJ57" s="53">
        <f t="shared" si="33"/>
        <v>7703.9370893992673</v>
      </c>
      <c r="AK57" s="55">
        <f>IF($L$2938,1,0)</f>
        <v>0</v>
      </c>
      <c r="AL57" s="52">
        <f>IF($L$2938,$M$2938,0)</f>
        <v>0</v>
      </c>
    </row>
    <row r="58" spans="1:38" x14ac:dyDescent="0.25">
      <c r="A58" s="81" t="str">
        <f>$A$2992</f>
        <v>BU-C|MN</v>
      </c>
      <c r="B58" s="55">
        <f>$C$2992</f>
        <v>6</v>
      </c>
      <c r="C58" s="53">
        <f>$B$3043</f>
        <v>1.06</v>
      </c>
      <c r="D58" s="53">
        <f>$C$3043</f>
        <v>1.0150000000000001</v>
      </c>
      <c r="E58" s="53">
        <f>$D$3043</f>
        <v>1.0600000000000003</v>
      </c>
      <c r="F58" s="53">
        <f>$E$3043</f>
        <v>1.0600000000000003</v>
      </c>
      <c r="G58" s="172">
        <f>$F$3043</f>
        <v>0.9080037381473377</v>
      </c>
      <c r="H58" s="172">
        <f>$G$3043</f>
        <v>0.90516988815949428</v>
      </c>
      <c r="I58" s="53">
        <f t="shared" si="17"/>
        <v>0.99999999999999978</v>
      </c>
      <c r="J58" s="53">
        <f t="shared" si="18"/>
        <v>0.99999999999999978</v>
      </c>
      <c r="K58" s="53">
        <f>IF($L$2992,1,IF(AND(nr_ModAdjMaster="ON",INDEX(lr_modadj,55)="ON"),$F$2992/$G58,1))</f>
        <v>1.0132116877372543</v>
      </c>
      <c r="L58" s="53">
        <f>IF($L$2992,1,IF(AND(nr_ModAdjMaster="ON",INDEX(lr_modadj,55)="ON"),$F$2992/$H58,1))</f>
        <v>1.0163837883191853</v>
      </c>
      <c r="M58" s="52">
        <f>IF(INDEX(lr_basis,55)="proposed",N(INDEX(lr_lrproj,55))*(1+N(INDEX(lr_s,55))),N(INDEX(lr_lrproj,55)))</f>
        <v>0.57599999999999996</v>
      </c>
      <c r="N58" s="52">
        <f t="shared" si="19"/>
        <v>0.58360993213665835</v>
      </c>
      <c r="O58" s="52">
        <f t="shared" si="20"/>
        <v>0.58543706207185053</v>
      </c>
      <c r="P58" s="52">
        <f t="shared" si="21"/>
        <v>0</v>
      </c>
      <c r="Q58" s="52">
        <f t="shared" si="22"/>
        <v>0</v>
      </c>
      <c r="R58" s="53">
        <f>IF(N(INDEX(lr_aother,55))=0,1,INDEX(lr_aother,55))</f>
        <v>1</v>
      </c>
      <c r="S58" s="52">
        <f>IF(ISBLANK(INDEX(lr_trend,55)),N(nr_TrendDefault),N(INDEX(lr_trend,55)))</f>
        <v>0</v>
      </c>
      <c r="T58" s="81" t="str">
        <f>INDEX(lr_state,55)</f>
        <v>MN</v>
      </c>
      <c r="U58" s="81" t="str">
        <f>INDEX(lr_bu,55)</f>
        <v>BU-C</v>
      </c>
      <c r="V58" s="189">
        <f>N(INDEX(lr_ep,55))</f>
        <v>10400</v>
      </c>
      <c r="W58" s="53">
        <f>N(INDEX(lr_mind,55))*$V58</f>
        <v>9568</v>
      </c>
      <c r="X58" s="53">
        <f>N(INDEX(lr_m0,55))*$V58</f>
        <v>9464</v>
      </c>
      <c r="Y58" s="53">
        <f>N(INDEX(lr_m1,55))*$V58</f>
        <v>9412</v>
      </c>
      <c r="Z58" s="53">
        <f t="shared" si="23"/>
        <v>11024</v>
      </c>
      <c r="AA58" s="53">
        <f t="shared" si="24"/>
        <v>11024.000000000004</v>
      </c>
      <c r="AB58" s="53">
        <f t="shared" si="25"/>
        <v>10399.999999999998</v>
      </c>
      <c r="AC58" s="53">
        <f t="shared" si="26"/>
        <v>9443.2388767323118</v>
      </c>
      <c r="AD58" s="53">
        <f t="shared" si="27"/>
        <v>10537.401552467445</v>
      </c>
      <c r="AE58" s="53">
        <f t="shared" si="28"/>
        <v>5990.4</v>
      </c>
      <c r="AF58" s="53">
        <f t="shared" si="29"/>
        <v>6069.5432942212465</v>
      </c>
      <c r="AG58" s="53">
        <f t="shared" si="30"/>
        <v>0</v>
      </c>
      <c r="AH58" s="53">
        <f t="shared" si="31"/>
        <v>10399.999999999998</v>
      </c>
      <c r="AI58" s="53">
        <f t="shared" si="32"/>
        <v>10570.391398519527</v>
      </c>
      <c r="AJ58" s="53">
        <f t="shared" si="33"/>
        <v>6088.5454455472454</v>
      </c>
      <c r="AK58" s="55">
        <f>IF($L$2992,1,0)</f>
        <v>0</v>
      </c>
      <c r="AL58" s="52">
        <f>IF($L$2992,$M$2992,0)</f>
        <v>0</v>
      </c>
    </row>
    <row r="59" spans="1:38" x14ac:dyDescent="0.25">
      <c r="A59" s="81" t="str">
        <f>$A$3046</f>
        <v>BU-C|MO</v>
      </c>
      <c r="B59" s="55">
        <f>$C$3046</f>
        <v>6</v>
      </c>
      <c r="C59" s="53">
        <f>$B$3097</f>
        <v>1.02</v>
      </c>
      <c r="D59" s="53">
        <f>$C$3097</f>
        <v>1.0034722222222225</v>
      </c>
      <c r="E59" s="53">
        <f>$D$3097</f>
        <v>1.0198611111111113</v>
      </c>
      <c r="F59" s="53">
        <f>$E$3097</f>
        <v>1.0200000000000002</v>
      </c>
      <c r="G59" s="172">
        <f>$F$3097</f>
        <v>0.91399252370532447</v>
      </c>
      <c r="H59" s="172">
        <f>$G$3097</f>
        <v>0.91966022368101141</v>
      </c>
      <c r="I59" s="53">
        <f t="shared" si="17"/>
        <v>1.0001361841209313</v>
      </c>
      <c r="J59" s="53">
        <f t="shared" si="18"/>
        <v>0.99999999999999978</v>
      </c>
      <c r="K59" s="53">
        <f>IF($L$3046,1,IF(AND(nr_ModAdjMaster="ON",INDEX(lr_modadj,56)="ON"),$F$3046/$G59,1))</f>
        <v>1.0065727849395543</v>
      </c>
      <c r="L59" s="53">
        <f>IF($L$3046,1,IF(AND(nr_ModAdjMaster="ON",INDEX(lr_modadj,56)="ON"),$F$3046/$H59,1))</f>
        <v>1.000369458535054</v>
      </c>
      <c r="M59" s="52">
        <f>IF(INDEX(lr_basis,56)="proposed",N(INDEX(lr_lrproj,56))*(1+N(INDEX(lr_s,56))),N(INDEX(lr_lrproj,56)))</f>
        <v>0.56000000000000005</v>
      </c>
      <c r="N59" s="52">
        <f t="shared" si="19"/>
        <v>0.56375752393487788</v>
      </c>
      <c r="O59" s="52">
        <f t="shared" si="20"/>
        <v>0.5602068967796302</v>
      </c>
      <c r="P59" s="52">
        <f t="shared" si="21"/>
        <v>-1.3616557734186241E-4</v>
      </c>
      <c r="Q59" s="52">
        <f t="shared" si="22"/>
        <v>1.3618412093152621E-4</v>
      </c>
      <c r="R59" s="53">
        <f>IF(N(INDEX(lr_aother,56))=0,1,INDEX(lr_aother,56))</f>
        <v>1</v>
      </c>
      <c r="S59" s="52">
        <f>IF(ISBLANK(INDEX(lr_trend,56)),N(nr_TrendDefault),N(INDEX(lr_trend,56)))</f>
        <v>0</v>
      </c>
      <c r="T59" s="81" t="str">
        <f>INDEX(lr_state,56)</f>
        <v>MO</v>
      </c>
      <c r="U59" s="81" t="str">
        <f>INDEX(lr_bu,56)</f>
        <v>BU-C</v>
      </c>
      <c r="V59" s="189">
        <f>N(INDEX(lr_ep,56))</f>
        <v>7200</v>
      </c>
      <c r="W59" s="53">
        <f>N(INDEX(lr_mind,56))*$V59</f>
        <v>6624</v>
      </c>
      <c r="X59" s="53">
        <f>N(INDEX(lr_m0,56))*$V59</f>
        <v>6552</v>
      </c>
      <c r="Y59" s="53">
        <f>N(INDEX(lr_m1,56))*$V59</f>
        <v>6624</v>
      </c>
      <c r="Z59" s="53">
        <f t="shared" si="23"/>
        <v>7344</v>
      </c>
      <c r="AA59" s="53">
        <f t="shared" si="24"/>
        <v>7343.0000000000018</v>
      </c>
      <c r="AB59" s="53">
        <f t="shared" si="25"/>
        <v>7200.980525670705</v>
      </c>
      <c r="AC59" s="53">
        <f t="shared" si="26"/>
        <v>6580.7461706783361</v>
      </c>
      <c r="AD59" s="53">
        <f t="shared" si="27"/>
        <v>7247.3240515647904</v>
      </c>
      <c r="AE59" s="53">
        <f t="shared" si="28"/>
        <v>4032.0000000000005</v>
      </c>
      <c r="AF59" s="53">
        <f t="shared" si="29"/>
        <v>4059.0541723311208</v>
      </c>
      <c r="AG59" s="53">
        <f t="shared" si="30"/>
        <v>0</v>
      </c>
      <c r="AH59" s="53">
        <f t="shared" si="31"/>
        <v>7199.9999999999982</v>
      </c>
      <c r="AI59" s="53">
        <f t="shared" si="32"/>
        <v>7202.6601014523885</v>
      </c>
      <c r="AJ59" s="53">
        <f t="shared" si="33"/>
        <v>4033.4896568133377</v>
      </c>
      <c r="AK59" s="55">
        <f>IF($L$3046,1,0)</f>
        <v>0</v>
      </c>
      <c r="AL59" s="52">
        <f>IF($L$3046,$M$3046,0)</f>
        <v>0</v>
      </c>
    </row>
    <row r="60" spans="1:38" x14ac:dyDescent="0.25">
      <c r="A60" s="81" t="str">
        <f>$A$3100</f>
        <v>BU-C|NC</v>
      </c>
      <c r="B60" s="55">
        <f>$C$3100</f>
        <v>6</v>
      </c>
      <c r="C60" s="53">
        <f>$B$3151</f>
        <v>1</v>
      </c>
      <c r="D60" s="53">
        <f>$C$3151</f>
        <v>1</v>
      </c>
      <c r="E60" s="53">
        <f>$D$3151</f>
        <v>1</v>
      </c>
      <c r="F60" s="53">
        <f>$E$3151</f>
        <v>1</v>
      </c>
      <c r="G60" s="172">
        <f>$F$3151</f>
        <v>0.90600747629467537</v>
      </c>
      <c r="H60" s="172">
        <f>$G$3151</f>
        <v>0.90033977631898854</v>
      </c>
      <c r="I60" s="53">
        <f t="shared" si="17"/>
        <v>1</v>
      </c>
      <c r="J60" s="53">
        <f t="shared" si="18"/>
        <v>1</v>
      </c>
      <c r="K60" s="53">
        <f>IF($L$3100,1,IF(AND(nr_ModAdjMaster="ON",INDEX(lr_modadj,57)="ON"),$F$3100/$G60,1))</f>
        <v>1.0154441592055623</v>
      </c>
      <c r="L60" s="53">
        <f>IF($L$3100,1,IF(AND(nr_ModAdjMaster="ON",INDEX(lr_modadj,57)="ON"),$F$3100/$H60,1))</f>
        <v>1.0218364490808034</v>
      </c>
      <c r="M60" s="52">
        <f>IF(INDEX(lr_basis,57)="proposed",N(INDEX(lr_lrproj,57))*(1+N(INDEX(lr_s,57))),N(INDEX(lr_lrproj,57)))</f>
        <v>0.58799999999999997</v>
      </c>
      <c r="N60" s="52">
        <f t="shared" si="19"/>
        <v>0.59708116561287061</v>
      </c>
      <c r="O60" s="52">
        <f t="shared" si="20"/>
        <v>0.60083983205951241</v>
      </c>
      <c r="P60" s="52">
        <f t="shared" si="21"/>
        <v>0</v>
      </c>
      <c r="Q60" s="52">
        <f t="shared" si="22"/>
        <v>0</v>
      </c>
      <c r="R60" s="53">
        <f>IF(N(INDEX(lr_aother,57))=0,1,INDEX(lr_aother,57))</f>
        <v>1</v>
      </c>
      <c r="S60" s="52">
        <f>IF(ISBLANK(INDEX(lr_trend,57)),N(nr_TrendDefault),N(INDEX(lr_trend,57)))</f>
        <v>0</v>
      </c>
      <c r="T60" s="81" t="str">
        <f>INDEX(lr_state,57)</f>
        <v>NC</v>
      </c>
      <c r="U60" s="81" t="str">
        <f>INDEX(lr_bu,57)</f>
        <v>BU-C</v>
      </c>
      <c r="V60" s="189">
        <f>N(INDEX(lr_ep,57))</f>
        <v>17600</v>
      </c>
      <c r="W60" s="53">
        <f>N(INDEX(lr_mind,57))*$V60</f>
        <v>16192</v>
      </c>
      <c r="X60" s="53">
        <f>N(INDEX(lr_m0,57))*$V60</f>
        <v>16016</v>
      </c>
      <c r="Y60" s="53">
        <f>N(INDEX(lr_m1,57))*$V60</f>
        <v>15840</v>
      </c>
      <c r="Z60" s="53">
        <f t="shared" si="23"/>
        <v>17600</v>
      </c>
      <c r="AA60" s="53">
        <f t="shared" si="24"/>
        <v>17600</v>
      </c>
      <c r="AB60" s="53">
        <f t="shared" si="25"/>
        <v>17600</v>
      </c>
      <c r="AC60" s="53">
        <f t="shared" si="26"/>
        <v>15945.731582786286</v>
      </c>
      <c r="AD60" s="53">
        <f t="shared" si="27"/>
        <v>17871.817202017897</v>
      </c>
      <c r="AE60" s="53">
        <f t="shared" si="28"/>
        <v>10348.799999999999</v>
      </c>
      <c r="AF60" s="53">
        <f t="shared" si="29"/>
        <v>10508.628514786522</v>
      </c>
      <c r="AG60" s="53">
        <f t="shared" si="30"/>
        <v>0</v>
      </c>
      <c r="AH60" s="53">
        <f t="shared" si="31"/>
        <v>17600</v>
      </c>
      <c r="AI60" s="53">
        <f t="shared" si="32"/>
        <v>17984.321503822139</v>
      </c>
      <c r="AJ60" s="53">
        <f t="shared" si="33"/>
        <v>10574.781044247418</v>
      </c>
      <c r="AK60" s="55">
        <f>IF($L$3100,1,0)</f>
        <v>0</v>
      </c>
      <c r="AL60" s="52">
        <f>IF($L$3100,$M$3100,0)</f>
        <v>0</v>
      </c>
    </row>
    <row r="61" spans="1:38" x14ac:dyDescent="0.25">
      <c r="A61" s="81" t="str">
        <f>$A$3154</f>
        <v>BU-C|NJ</v>
      </c>
      <c r="B61" s="55">
        <f>$C$3154</f>
        <v>6</v>
      </c>
      <c r="C61" s="53">
        <f>$B$3205</f>
        <v>1.04</v>
      </c>
      <c r="D61" s="53">
        <f>$C$3205</f>
        <v>1.0024999999999999</v>
      </c>
      <c r="E61" s="53">
        <f>$D$3205</f>
        <v>1.0447222222222221</v>
      </c>
      <c r="F61" s="53">
        <f>$E$3205</f>
        <v>1.0813111111111111</v>
      </c>
      <c r="G61" s="172">
        <f>$F$3205</f>
        <v>0.91199626185266247</v>
      </c>
      <c r="H61" s="172">
        <f>$G$3205</f>
        <v>0.91483011184050556</v>
      </c>
      <c r="I61" s="53">
        <f t="shared" si="17"/>
        <v>0.99547992555171516</v>
      </c>
      <c r="J61" s="53">
        <f t="shared" si="18"/>
        <v>0.96179535132246863</v>
      </c>
      <c r="K61" s="53">
        <f>IF($L$3154,1,IF(AND(nr_ModAdjMaster="ON",INDEX(lr_modadj,58)="ON"),$F$3154/$G61,1))</f>
        <v>1.0087760646420616</v>
      </c>
      <c r="L61" s="53">
        <f>IF($L$3154,1,IF(AND(nr_ModAdjMaster="ON",INDEX(lr_modadj,58)="ON"),$F$3154/$H61,1))</f>
        <v>1.0056512002530102</v>
      </c>
      <c r="M61" s="52">
        <f>IF(INDEX(lr_basis,58)="proposed",N(INDEX(lr_lrproj,58))*(1+N(INDEX(lr_s,58))),N(INDEX(lr_lrproj,58)))</f>
        <v>0.57199999999999995</v>
      </c>
      <c r="N61" s="52">
        <f t="shared" si="19"/>
        <v>0.57441173602854845</v>
      </c>
      <c r="O61" s="52">
        <f t="shared" si="20"/>
        <v>0.55325593148837793</v>
      </c>
      <c r="P61" s="52">
        <f t="shared" si="21"/>
        <v>4.5405982905981634E-3</v>
      </c>
      <c r="Q61" s="52">
        <f t="shared" si="22"/>
        <v>3.5022600372241586E-2</v>
      </c>
      <c r="R61" s="53">
        <f>IF(N(INDEX(lr_aother,58))=0,1,INDEX(lr_aother,58))</f>
        <v>1</v>
      </c>
      <c r="S61" s="52">
        <f>IF(ISBLANK(INDEX(lr_trend,58)),N(nr_TrendDefault),N(INDEX(lr_trend,58)))</f>
        <v>0</v>
      </c>
      <c r="T61" s="81" t="str">
        <f>INDEX(lr_state,58)</f>
        <v>NJ</v>
      </c>
      <c r="U61" s="81" t="str">
        <f>INDEX(lr_bu,58)</f>
        <v>BU-C</v>
      </c>
      <c r="V61" s="189">
        <f>N(INDEX(lr_ep,58))</f>
        <v>14400</v>
      </c>
      <c r="W61" s="53">
        <f>N(INDEX(lr_mind,58))*$V61</f>
        <v>13248</v>
      </c>
      <c r="X61" s="53">
        <f>N(INDEX(lr_m0,58))*$V61</f>
        <v>13104</v>
      </c>
      <c r="Y61" s="53">
        <f>N(INDEX(lr_m1,58))*$V61</f>
        <v>13176</v>
      </c>
      <c r="Z61" s="53">
        <f t="shared" si="23"/>
        <v>14976</v>
      </c>
      <c r="AA61" s="53">
        <f t="shared" si="24"/>
        <v>15043.999999999998</v>
      </c>
      <c r="AB61" s="53">
        <f t="shared" si="25"/>
        <v>14334.910927944698</v>
      </c>
      <c r="AC61" s="53">
        <f t="shared" si="26"/>
        <v>13132.74617067834</v>
      </c>
      <c r="AD61" s="53">
        <f t="shared" si="27"/>
        <v>14526.375330845687</v>
      </c>
      <c r="AE61" s="53">
        <f t="shared" si="28"/>
        <v>8236.7999999999993</v>
      </c>
      <c r="AF61" s="53">
        <f t="shared" si="29"/>
        <v>8271.5289988110981</v>
      </c>
      <c r="AG61" s="53">
        <f t="shared" si="30"/>
        <v>0</v>
      </c>
      <c r="AH61" s="53">
        <f t="shared" si="31"/>
        <v>13849.853059043548</v>
      </c>
      <c r="AI61" s="53">
        <f t="shared" si="32"/>
        <v>14481.377283643347</v>
      </c>
      <c r="AJ61" s="53">
        <f t="shared" si="33"/>
        <v>7966.8854134326421</v>
      </c>
      <c r="AK61" s="55">
        <f>IF($L$3154,1,0)</f>
        <v>0</v>
      </c>
      <c r="AL61" s="52">
        <f>IF($L$3154,$M$3154,0)</f>
        <v>0</v>
      </c>
    </row>
    <row r="62" spans="1:38" x14ac:dyDescent="0.25">
      <c r="A62" s="81" t="str">
        <f>$A$3208</f>
        <v>BU-C|NY</v>
      </c>
      <c r="B62" s="55">
        <f>$C$3208</f>
        <v>6</v>
      </c>
      <c r="C62" s="53">
        <f>$B$3259</f>
        <v>1.05</v>
      </c>
      <c r="D62" s="53">
        <f>$C$3259</f>
        <v>1.0013888888888889</v>
      </c>
      <c r="E62" s="53">
        <f>$D$3259</f>
        <v>1.0444444444444445</v>
      </c>
      <c r="F62" s="53">
        <f>$E$3259</f>
        <v>1.05</v>
      </c>
      <c r="G62" s="172">
        <f>$F$3259</f>
        <v>0.91798504741064912</v>
      </c>
      <c r="H62" s="172">
        <f>$G$3259</f>
        <v>0.92932044736202268</v>
      </c>
      <c r="I62" s="53">
        <f t="shared" si="17"/>
        <v>1.0053191489361701</v>
      </c>
      <c r="J62" s="53">
        <f t="shared" si="18"/>
        <v>1</v>
      </c>
      <c r="K62" s="53">
        <f>IF($L$3208,1,IF(AND(nr_ModAdjMaster="ON",INDEX(lr_modadj,59)="ON"),$F$3208/$G62,1))</f>
        <v>1.0021949732133812</v>
      </c>
      <c r="L62" s="53">
        <f>IF($L$3208,1,IF(AND(nr_ModAdjMaster="ON",INDEX(lr_modadj,59)="ON"),$F$3208/$H62,1))</f>
        <v>0.98997068515119868</v>
      </c>
      <c r="M62" s="52">
        <f>IF(INDEX(lr_basis,59)="proposed",N(INDEX(lr_lrproj,59))*(1+N(INDEX(lr_s,59))),N(INDEX(lr_lrproj,59)))</f>
        <v>0.6</v>
      </c>
      <c r="N62" s="52">
        <f t="shared" si="19"/>
        <v>0.6045154785233906</v>
      </c>
      <c r="O62" s="52">
        <f t="shared" si="20"/>
        <v>0.59398241109071914</v>
      </c>
      <c r="P62" s="52">
        <f t="shared" si="21"/>
        <v>-5.2910052910052352E-3</v>
      </c>
      <c r="Q62" s="52">
        <f t="shared" si="22"/>
        <v>5.3191489361701372E-3</v>
      </c>
      <c r="R62" s="53">
        <f>IF(N(INDEX(lr_aother,59))=0,1,INDEX(lr_aother,59))</f>
        <v>1</v>
      </c>
      <c r="S62" s="52">
        <f>IF(ISBLANK(INDEX(lr_trend,59)),N(nr_TrendDefault),N(INDEX(lr_trend,59)))</f>
        <v>0</v>
      </c>
      <c r="T62" s="81" t="str">
        <f>INDEX(lr_state,59)</f>
        <v>NY</v>
      </c>
      <c r="U62" s="81" t="str">
        <f>INDEX(lr_bu,59)</f>
        <v>BU-C</v>
      </c>
      <c r="V62" s="189">
        <f>N(INDEX(lr_ep,59))</f>
        <v>11200</v>
      </c>
      <c r="W62" s="53">
        <f>N(INDEX(lr_mind,59))*$V62</f>
        <v>10304</v>
      </c>
      <c r="X62" s="53">
        <f>N(INDEX(lr_m0,59))*$V62</f>
        <v>10192</v>
      </c>
      <c r="Y62" s="53">
        <f>N(INDEX(lr_m1,59))*$V62</f>
        <v>10416</v>
      </c>
      <c r="Z62" s="53">
        <f t="shared" si="23"/>
        <v>11760</v>
      </c>
      <c r="AA62" s="53">
        <f t="shared" si="24"/>
        <v>11697.777777777779</v>
      </c>
      <c r="AB62" s="53">
        <f t="shared" si="25"/>
        <v>11259.574468085106</v>
      </c>
      <c r="AC62" s="53">
        <f t="shared" si="26"/>
        <v>10281.432530999271</v>
      </c>
      <c r="AD62" s="53">
        <f t="shared" si="27"/>
        <v>11224.583699989869</v>
      </c>
      <c r="AE62" s="53">
        <f t="shared" si="28"/>
        <v>6720</v>
      </c>
      <c r="AF62" s="53">
        <f t="shared" si="29"/>
        <v>6770.5733594619751</v>
      </c>
      <c r="AG62" s="53">
        <f t="shared" si="30"/>
        <v>0</v>
      </c>
      <c r="AH62" s="53">
        <f t="shared" si="31"/>
        <v>11200</v>
      </c>
      <c r="AI62" s="53">
        <f t="shared" si="32"/>
        <v>11087.671673693425</v>
      </c>
      <c r="AJ62" s="53">
        <f t="shared" si="33"/>
        <v>6652.6030042160546</v>
      </c>
      <c r="AK62" s="55">
        <f>IF($L$3208,1,0)</f>
        <v>0</v>
      </c>
      <c r="AL62" s="52">
        <f>IF($L$3208,$M$3208,0)</f>
        <v>0</v>
      </c>
    </row>
    <row r="63" spans="1:38" x14ac:dyDescent="0.25">
      <c r="A63" s="81" t="str">
        <f>$A$3262</f>
        <v>BU-C|OH</v>
      </c>
      <c r="B63" s="55">
        <f>$C$3262</f>
        <v>6</v>
      </c>
      <c r="C63" s="53">
        <f>$B$3313</f>
        <v>1</v>
      </c>
      <c r="D63" s="53">
        <f>$C$3313</f>
        <v>1</v>
      </c>
      <c r="E63" s="53">
        <f>$D$3313</f>
        <v>1</v>
      </c>
      <c r="F63" s="53">
        <f>$E$3313</f>
        <v>1</v>
      </c>
      <c r="G63" s="172">
        <f>$F$3313</f>
        <v>0.90999999999999981</v>
      </c>
      <c r="H63" s="172">
        <f>$G$3313</f>
        <v>0.90999999999999981</v>
      </c>
      <c r="I63" s="53">
        <f t="shared" si="17"/>
        <v>1</v>
      </c>
      <c r="J63" s="53">
        <f t="shared" si="18"/>
        <v>1</v>
      </c>
      <c r="K63" s="53">
        <f>IF($L$3262,1,IF(AND(nr_ModAdjMaster="ON",INDEX(lr_modadj,60)="ON"),$F$3262/$G63,1))</f>
        <v>1.0109890109890112</v>
      </c>
      <c r="L63" s="53">
        <f>IF($L$3262,1,IF(AND(nr_ModAdjMaster="ON",INDEX(lr_modadj,60)="ON"),$F$3262/$H63,1))</f>
        <v>1.0109890109890112</v>
      </c>
      <c r="M63" s="52">
        <f>IF(INDEX(lr_basis,60)="proposed",N(INDEX(lr_lrproj,60))*(1+N(INDEX(lr_s,60))),N(INDEX(lr_lrproj,60)))</f>
        <v>0.58399999999999996</v>
      </c>
      <c r="N63" s="52">
        <f t="shared" si="19"/>
        <v>0.59041758241758246</v>
      </c>
      <c r="O63" s="52">
        <f t="shared" si="20"/>
        <v>0.59041758241758246</v>
      </c>
      <c r="P63" s="52">
        <f t="shared" si="21"/>
        <v>0</v>
      </c>
      <c r="Q63" s="52">
        <f t="shared" si="22"/>
        <v>0</v>
      </c>
      <c r="R63" s="53">
        <f>IF(N(INDEX(lr_aother,60))=0,1,INDEX(lr_aother,60))</f>
        <v>1</v>
      </c>
      <c r="S63" s="52">
        <f>IF(ISBLANK(INDEX(lr_trend,60)),N(nr_TrendDefault),N(INDEX(lr_trend,60)))</f>
        <v>0</v>
      </c>
      <c r="T63" s="81" t="str">
        <f>INDEX(lr_state,60)</f>
        <v>OH</v>
      </c>
      <c r="U63" s="81" t="str">
        <f>INDEX(lr_bu,60)</f>
        <v>BU-C</v>
      </c>
      <c r="V63" s="189">
        <f>N(INDEX(lr_ep,60))</f>
        <v>8000</v>
      </c>
      <c r="W63" s="53">
        <f>N(INDEX(lr_mind,60))*$V63</f>
        <v>7360</v>
      </c>
      <c r="X63" s="53">
        <f>N(INDEX(lr_m0,60))*$V63</f>
        <v>7280</v>
      </c>
      <c r="Y63" s="53">
        <f>N(INDEX(lr_m1,60))*$V63</f>
        <v>7280</v>
      </c>
      <c r="Z63" s="53">
        <f t="shared" si="23"/>
        <v>8000</v>
      </c>
      <c r="AA63" s="53">
        <f t="shared" si="24"/>
        <v>8000</v>
      </c>
      <c r="AB63" s="53">
        <f t="shared" si="25"/>
        <v>8000</v>
      </c>
      <c r="AC63" s="53">
        <f t="shared" si="26"/>
        <v>7279.9999999999982</v>
      </c>
      <c r="AD63" s="53">
        <f t="shared" si="27"/>
        <v>8087.9120879120892</v>
      </c>
      <c r="AE63" s="53">
        <f t="shared" si="28"/>
        <v>4672</v>
      </c>
      <c r="AF63" s="53">
        <f t="shared" si="29"/>
        <v>4723.3406593406598</v>
      </c>
      <c r="AG63" s="53">
        <f t="shared" si="30"/>
        <v>0</v>
      </c>
      <c r="AH63" s="53">
        <f t="shared" si="31"/>
        <v>8000</v>
      </c>
      <c r="AI63" s="53">
        <f t="shared" si="32"/>
        <v>8087.9120879120892</v>
      </c>
      <c r="AJ63" s="53">
        <f t="shared" si="33"/>
        <v>4723.3406593406598</v>
      </c>
      <c r="AK63" s="55">
        <f>IF($L$3262,1,0)</f>
        <v>0</v>
      </c>
      <c r="AL63" s="52">
        <f>IF($L$3262,$M$3262,0)</f>
        <v>0</v>
      </c>
    </row>
    <row r="64" spans="1:38" x14ac:dyDescent="0.25">
      <c r="A64" s="81" t="str">
        <f>$A$3316</f>
        <v>BU-C|PA</v>
      </c>
      <c r="B64" s="55">
        <f>$C$3316</f>
        <v>6</v>
      </c>
      <c r="C64" s="53">
        <f>$B$3367</f>
        <v>1.02</v>
      </c>
      <c r="D64" s="53">
        <f>$C$3367</f>
        <v>1.0150000000000001</v>
      </c>
      <c r="E64" s="53">
        <f>$D$3367</f>
        <v>1.0200000000000002</v>
      </c>
      <c r="F64" s="53">
        <f>$E$3367</f>
        <v>1.0200000000000002</v>
      </c>
      <c r="G64" s="172">
        <f>$F$3367</f>
        <v>0.91598878555798668</v>
      </c>
      <c r="H64" s="172">
        <f>$G$3367</f>
        <v>0.92449033552151683</v>
      </c>
      <c r="I64" s="53">
        <f t="shared" si="17"/>
        <v>0.99999999999999978</v>
      </c>
      <c r="J64" s="53">
        <f t="shared" si="18"/>
        <v>0.99999999999999978</v>
      </c>
      <c r="K64" s="53">
        <f>IF($L$3316,1,IF(AND(nr_ModAdjMaster="ON",INDEX(lr_modadj,61)="ON"),$F$3316/$G64,1))</f>
        <v>1.0043791086804299</v>
      </c>
      <c r="L64" s="53">
        <f>IF($L$3316,1,IF(AND(nr_ModAdjMaster="ON",INDEX(lr_modadj,61)="ON"),$F$3316/$H64,1))</f>
        <v>0.99514290701699581</v>
      </c>
      <c r="M64" s="52">
        <f>IF(INDEX(lr_basis,61)="proposed",N(INDEX(lr_lrproj,61))*(1+N(INDEX(lr_s,61))),N(INDEX(lr_lrproj,61)))</f>
        <v>0.56799999999999995</v>
      </c>
      <c r="N64" s="52">
        <f t="shared" si="19"/>
        <v>0.57048733373048399</v>
      </c>
      <c r="O64" s="52">
        <f t="shared" si="20"/>
        <v>0.56524117118565342</v>
      </c>
      <c r="P64" s="52">
        <f t="shared" si="21"/>
        <v>0</v>
      </c>
      <c r="Q64" s="52">
        <f t="shared" si="22"/>
        <v>0</v>
      </c>
      <c r="R64" s="53">
        <f>IF(N(INDEX(lr_aother,61))=0,1,INDEX(lr_aother,61))</f>
        <v>1</v>
      </c>
      <c r="S64" s="52">
        <f>IF(ISBLANK(INDEX(lr_trend,61)),N(nr_TrendDefault),N(INDEX(lr_trend,61)))</f>
        <v>0</v>
      </c>
      <c r="T64" s="81" t="str">
        <f>INDEX(lr_state,61)</f>
        <v>PA</v>
      </c>
      <c r="U64" s="81" t="str">
        <f>INDEX(lr_bu,61)</f>
        <v>BU-C</v>
      </c>
      <c r="V64" s="189">
        <f>N(INDEX(lr_ep,61))</f>
        <v>18400</v>
      </c>
      <c r="W64" s="53">
        <f>N(INDEX(lr_mind,61))*$V64</f>
        <v>16928</v>
      </c>
      <c r="X64" s="53">
        <f>N(INDEX(lr_m0,61))*$V64</f>
        <v>16744</v>
      </c>
      <c r="Y64" s="53">
        <f>N(INDEX(lr_m1,61))*$V64</f>
        <v>17020</v>
      </c>
      <c r="Z64" s="53">
        <f t="shared" si="23"/>
        <v>18768</v>
      </c>
      <c r="AA64" s="53">
        <f t="shared" si="24"/>
        <v>18768.000000000004</v>
      </c>
      <c r="AB64" s="53">
        <f t="shared" si="25"/>
        <v>18399.999999999996</v>
      </c>
      <c r="AC64" s="53">
        <f t="shared" si="26"/>
        <v>16854.193654266954</v>
      </c>
      <c r="AD64" s="53">
        <f t="shared" si="27"/>
        <v>18480.575599719908</v>
      </c>
      <c r="AE64" s="53">
        <f t="shared" si="28"/>
        <v>10451.199999999999</v>
      </c>
      <c r="AF64" s="53">
        <f t="shared" si="29"/>
        <v>10496.966940640905</v>
      </c>
      <c r="AG64" s="53">
        <f t="shared" si="30"/>
        <v>0</v>
      </c>
      <c r="AH64" s="53">
        <f t="shared" si="31"/>
        <v>18399.999999999996</v>
      </c>
      <c r="AI64" s="53">
        <f t="shared" si="32"/>
        <v>18310.629489112722</v>
      </c>
      <c r="AJ64" s="53">
        <f t="shared" si="33"/>
        <v>10400.437549816023</v>
      </c>
      <c r="AK64" s="55">
        <f>IF($L$3316,1,0)</f>
        <v>0</v>
      </c>
      <c r="AL64" s="52">
        <f>IF($L$3316,$M$3316,0)</f>
        <v>0</v>
      </c>
    </row>
    <row r="65" spans="1:38" x14ac:dyDescent="0.25">
      <c r="A65" s="81" t="str">
        <f>$A$3370</f>
        <v>BU-C|TN</v>
      </c>
      <c r="B65" s="55">
        <f>$C$3370</f>
        <v>6</v>
      </c>
      <c r="C65" s="53">
        <f>$B$3421</f>
        <v>1.03</v>
      </c>
      <c r="D65" s="53">
        <f>$C$3421</f>
        <v>1.0199999999999998</v>
      </c>
      <c r="E65" s="53">
        <f>$D$3421</f>
        <v>1.057466666666667</v>
      </c>
      <c r="F65" s="53">
        <f>$E$3421</f>
        <v>1.0712000000000004</v>
      </c>
      <c r="G65" s="172">
        <f>$F$3421</f>
        <v>0.9080037381473377</v>
      </c>
      <c r="H65" s="172">
        <f>$G$3421</f>
        <v>0.90516988815949428</v>
      </c>
      <c r="I65" s="53">
        <f t="shared" si="17"/>
        <v>0.9740259740259738</v>
      </c>
      <c r="J65" s="53">
        <f t="shared" si="18"/>
        <v>0.96153846153846123</v>
      </c>
      <c r="K65" s="53">
        <f>IF($L$3370,1,IF(AND(nr_ModAdjMaster="ON",INDEX(lr_modadj,62)="ON"),$F$3370/$G65,1))</f>
        <v>1.0132116877372543</v>
      </c>
      <c r="L65" s="53">
        <f>IF($L$3370,1,IF(AND(nr_ModAdjMaster="ON",INDEX(lr_modadj,62)="ON"),$F$3370/$H65,1))</f>
        <v>1.0163837883191853</v>
      </c>
      <c r="M65" s="52">
        <f>IF(INDEX(lr_basis,62)="proposed",N(INDEX(lr_lrproj,62))*(1+N(INDEX(lr_s,62))),N(INDEX(lr_lrproj,62)))</f>
        <v>0.59599999999999997</v>
      </c>
      <c r="N65" s="52">
        <f t="shared" si="19"/>
        <v>0.58818912262149681</v>
      </c>
      <c r="O65" s="52">
        <f t="shared" si="20"/>
        <v>0.5824660940752252</v>
      </c>
      <c r="P65" s="52">
        <f t="shared" si="21"/>
        <v>2.666666666666706E-2</v>
      </c>
      <c r="Q65" s="52">
        <f t="shared" si="22"/>
        <v>1.2987012987013102E-2</v>
      </c>
      <c r="R65" s="53">
        <f>IF(N(INDEX(lr_aother,62))=0,1,INDEX(lr_aother,62))</f>
        <v>1</v>
      </c>
      <c r="S65" s="52">
        <f>IF(ISBLANK(INDEX(lr_trend,62)),N(nr_TrendDefault),N(INDEX(lr_trend,62)))</f>
        <v>0</v>
      </c>
      <c r="T65" s="81" t="str">
        <f>INDEX(lr_state,62)</f>
        <v>TN</v>
      </c>
      <c r="U65" s="81" t="str">
        <f>INDEX(lr_bu,62)</f>
        <v>BU-C</v>
      </c>
      <c r="V65" s="189">
        <f>N(INDEX(lr_ep,62))</f>
        <v>15200</v>
      </c>
      <c r="W65" s="53">
        <f>N(INDEX(lr_mind,62))*$V65</f>
        <v>13984</v>
      </c>
      <c r="X65" s="53">
        <f>N(INDEX(lr_m0,62))*$V65</f>
        <v>13832</v>
      </c>
      <c r="Y65" s="53">
        <f>N(INDEX(lr_m1,62))*$V65</f>
        <v>13756</v>
      </c>
      <c r="Z65" s="53">
        <f t="shared" si="23"/>
        <v>15656</v>
      </c>
      <c r="AA65" s="53">
        <f t="shared" si="24"/>
        <v>16073.493333333339</v>
      </c>
      <c r="AB65" s="53">
        <f t="shared" si="25"/>
        <v>14805.194805194802</v>
      </c>
      <c r="AC65" s="53">
        <f t="shared" si="26"/>
        <v>13801.656819839533</v>
      </c>
      <c r="AD65" s="53">
        <f t="shared" si="27"/>
        <v>15400.817653606266</v>
      </c>
      <c r="AE65" s="53">
        <f t="shared" si="28"/>
        <v>9059.1999999999989</v>
      </c>
      <c r="AF65" s="53">
        <f t="shared" si="29"/>
        <v>8940.4746638467514</v>
      </c>
      <c r="AG65" s="53">
        <f t="shared" si="30"/>
        <v>0</v>
      </c>
      <c r="AH65" s="53">
        <f t="shared" si="31"/>
        <v>14615.384615384612</v>
      </c>
      <c r="AI65" s="53">
        <f t="shared" si="32"/>
        <v>15449.033582451617</v>
      </c>
      <c r="AJ65" s="53">
        <f t="shared" si="33"/>
        <v>8853.484629943423</v>
      </c>
      <c r="AK65" s="55">
        <f>IF($L$3370,1,0)</f>
        <v>0</v>
      </c>
      <c r="AL65" s="52">
        <f>IF($L$3370,$M$3370,0)</f>
        <v>0</v>
      </c>
    </row>
    <row r="66" spans="1:38" x14ac:dyDescent="0.25">
      <c r="A66" s="81" t="str">
        <f>$A$3424</f>
        <v>BU-C|TX</v>
      </c>
      <c r="B66" s="55">
        <f>$C$3424</f>
        <v>6</v>
      </c>
      <c r="C66" s="53">
        <f>$B$3475</f>
        <v>1</v>
      </c>
      <c r="D66" s="53">
        <f>$C$3475</f>
        <v>1</v>
      </c>
      <c r="E66" s="53">
        <f>$D$3475</f>
        <v>1</v>
      </c>
      <c r="F66" s="53">
        <f>$E$3475</f>
        <v>1</v>
      </c>
      <c r="G66" s="172">
        <f>$F$3475</f>
        <v>0.91399252370532447</v>
      </c>
      <c r="H66" s="172">
        <f>$G$3475</f>
        <v>0.91966022368101141</v>
      </c>
      <c r="I66" s="53">
        <f t="shared" si="17"/>
        <v>1</v>
      </c>
      <c r="J66" s="53">
        <f t="shared" si="18"/>
        <v>1</v>
      </c>
      <c r="K66" s="53">
        <f>IF($L$3424,1,IF(AND(nr_ModAdjMaster="ON",INDEX(lr_modadj,63)="ON"),$F$3424/$G66,1))</f>
        <v>1.0065727849395543</v>
      </c>
      <c r="L66" s="53">
        <f>IF($L$3424,1,IF(AND(nr_ModAdjMaster="ON",INDEX(lr_modadj,63)="ON"),$F$3424/$H66,1))</f>
        <v>1.000369458535054</v>
      </c>
      <c r="M66" s="52">
        <f>IF(INDEX(lr_basis,63)="proposed",N(INDEX(lr_lrproj,63))*(1+N(INDEX(lr_s,63))),N(INDEX(lr_lrproj,63)))</f>
        <v>0.57999999999999996</v>
      </c>
      <c r="N66" s="52">
        <f t="shared" si="19"/>
        <v>0.58381221526494143</v>
      </c>
      <c r="O66" s="52">
        <f t="shared" si="20"/>
        <v>0.58021428595033131</v>
      </c>
      <c r="P66" s="52">
        <f t="shared" si="21"/>
        <v>0</v>
      </c>
      <c r="Q66" s="52">
        <f t="shared" si="22"/>
        <v>0</v>
      </c>
      <c r="R66" s="53">
        <f>IF(N(INDEX(lr_aother,63))=0,1,INDEX(lr_aother,63))</f>
        <v>1</v>
      </c>
      <c r="S66" s="52">
        <f>IF(ISBLANK(INDEX(lr_trend,63)),N(nr_TrendDefault),N(INDEX(lr_trend,63)))</f>
        <v>0</v>
      </c>
      <c r="T66" s="81" t="str">
        <f>INDEX(lr_state,63)</f>
        <v>TX</v>
      </c>
      <c r="U66" s="81" t="str">
        <f>INDEX(lr_bu,63)</f>
        <v>BU-C</v>
      </c>
      <c r="V66" s="189">
        <f>N(INDEX(lr_ep,63))</f>
        <v>12000</v>
      </c>
      <c r="W66" s="53">
        <f>N(INDEX(lr_mind,63))*$V66</f>
        <v>11040</v>
      </c>
      <c r="X66" s="53">
        <f>N(INDEX(lr_m0,63))*$V66</f>
        <v>10920</v>
      </c>
      <c r="Y66" s="53">
        <f>N(INDEX(lr_m1,63))*$V66</f>
        <v>11040</v>
      </c>
      <c r="Z66" s="53">
        <f t="shared" si="23"/>
        <v>12000</v>
      </c>
      <c r="AA66" s="53">
        <f t="shared" si="24"/>
        <v>12000</v>
      </c>
      <c r="AB66" s="53">
        <f t="shared" si="25"/>
        <v>12000</v>
      </c>
      <c r="AC66" s="53">
        <f t="shared" si="26"/>
        <v>10967.910284463893</v>
      </c>
      <c r="AD66" s="53">
        <f t="shared" si="27"/>
        <v>12078.873419274651</v>
      </c>
      <c r="AE66" s="53">
        <f t="shared" si="28"/>
        <v>6959.9999999999991</v>
      </c>
      <c r="AF66" s="53">
        <f t="shared" si="29"/>
        <v>7005.746583179297</v>
      </c>
      <c r="AG66" s="53">
        <f t="shared" si="30"/>
        <v>0</v>
      </c>
      <c r="AH66" s="53">
        <f t="shared" si="31"/>
        <v>12000</v>
      </c>
      <c r="AI66" s="53">
        <f t="shared" si="32"/>
        <v>12004.433502420648</v>
      </c>
      <c r="AJ66" s="53">
        <f t="shared" si="33"/>
        <v>6962.571431403976</v>
      </c>
      <c r="AK66" s="55">
        <f>IF($L$3424,1,0)</f>
        <v>0</v>
      </c>
      <c r="AL66" s="52">
        <f>IF($L$3424,$M$3424,0)</f>
        <v>0</v>
      </c>
    </row>
    <row r="67" spans="1:38" x14ac:dyDescent="0.25">
      <c r="A67" s="81" t="str">
        <f>$A$3478</f>
        <v/>
      </c>
      <c r="B67" s="55">
        <f>$C$3478</f>
        <v>6</v>
      </c>
      <c r="C67" s="53">
        <f>$B$3529</f>
        <v>1</v>
      </c>
      <c r="D67" s="53">
        <f>$C$3529</f>
        <v>1</v>
      </c>
      <c r="E67" s="53">
        <f>$D$3529</f>
        <v>1</v>
      </c>
      <c r="F67" s="53">
        <f>$E$3529</f>
        <v>1</v>
      </c>
      <c r="G67" s="172">
        <f>$F$3529</f>
        <v>1</v>
      </c>
      <c r="H67" s="172">
        <f>$G$3529</f>
        <v>1</v>
      </c>
      <c r="I67" s="53">
        <f t="shared" si="17"/>
        <v>1</v>
      </c>
      <c r="J67" s="53">
        <f t="shared" si="18"/>
        <v>1</v>
      </c>
      <c r="K67" s="53">
        <f>IF($L$3478,1,IF(AND(nr_ModAdjMaster="ON",INDEX(lr_modadj,64)="ON"),$F$3478/$G67,1))</f>
        <v>1</v>
      </c>
      <c r="L67" s="53">
        <f>IF($L$3478,1,IF(AND(nr_ModAdjMaster="ON",INDEX(lr_modadj,64)="ON"),$F$3478/$H67,1))</f>
        <v>1</v>
      </c>
      <c r="M67" s="52">
        <f>IF(INDEX(lr_basis,64)="proposed",N(INDEX(lr_lrproj,64))*(1+N(INDEX(lr_s,64))),N(INDEX(lr_lrproj,64)))</f>
        <v>0</v>
      </c>
      <c r="N67" s="52">
        <f t="shared" si="19"/>
        <v>0</v>
      </c>
      <c r="O67" s="52">
        <f t="shared" si="20"/>
        <v>0</v>
      </c>
      <c r="P67" s="52">
        <f t="shared" si="21"/>
        <v>0</v>
      </c>
      <c r="Q67" s="52">
        <f t="shared" si="22"/>
        <v>0</v>
      </c>
      <c r="R67" s="53">
        <f>IF(N(INDEX(lr_aother,64))=0,1,INDEX(lr_aother,64))</f>
        <v>1</v>
      </c>
      <c r="S67" s="52">
        <f>IF(ISBLANK(INDEX(lr_trend,64)),N(nr_TrendDefault),N(INDEX(lr_trend,64)))</f>
        <v>0</v>
      </c>
      <c r="T67" s="81">
        <f>INDEX(lr_state,64)</f>
        <v>0</v>
      </c>
      <c r="U67" s="81">
        <f>INDEX(lr_bu,64)</f>
        <v>0</v>
      </c>
      <c r="V67" s="189">
        <f>N(INDEX(lr_ep,64))</f>
        <v>0</v>
      </c>
      <c r="W67" s="53">
        <f>N(INDEX(lr_mind,64))*$V67</f>
        <v>0</v>
      </c>
      <c r="X67" s="53">
        <f>N(INDEX(lr_m0,64))*$V67</f>
        <v>0</v>
      </c>
      <c r="Y67" s="53">
        <f>N(INDEX(lr_m1,64))*$V67</f>
        <v>0</v>
      </c>
      <c r="Z67" s="53">
        <f t="shared" si="23"/>
        <v>0</v>
      </c>
      <c r="AA67" s="53">
        <f t="shared" si="24"/>
        <v>0</v>
      </c>
      <c r="AB67" s="53">
        <f t="shared" si="25"/>
        <v>0</v>
      </c>
      <c r="AC67" s="53">
        <f t="shared" si="26"/>
        <v>0</v>
      </c>
      <c r="AD67" s="53">
        <f t="shared" si="27"/>
        <v>0</v>
      </c>
      <c r="AE67" s="53">
        <f t="shared" si="28"/>
        <v>0</v>
      </c>
      <c r="AF67" s="53">
        <f t="shared" si="29"/>
        <v>0</v>
      </c>
      <c r="AG67" s="53">
        <f t="shared" si="30"/>
        <v>0</v>
      </c>
      <c r="AH67" s="53">
        <f t="shared" si="31"/>
        <v>0</v>
      </c>
      <c r="AI67" s="53">
        <f t="shared" si="32"/>
        <v>0</v>
      </c>
      <c r="AJ67" s="53">
        <f t="shared" si="33"/>
        <v>0</v>
      </c>
      <c r="AK67" s="55">
        <f>IF($L$3478,1,0)</f>
        <v>0</v>
      </c>
      <c r="AL67" s="52">
        <f>IF($L$3478,$M$3478,0)</f>
        <v>0</v>
      </c>
    </row>
    <row r="68" spans="1:38" x14ac:dyDescent="0.25">
      <c r="A68" s="81" t="str">
        <f>$A$3532</f>
        <v/>
      </c>
      <c r="B68" s="55">
        <f>$C$3532</f>
        <v>6</v>
      </c>
      <c r="C68" s="53">
        <f>$B$3583</f>
        <v>1</v>
      </c>
      <c r="D68" s="53">
        <f>$C$3583</f>
        <v>1</v>
      </c>
      <c r="E68" s="53">
        <f>$D$3583</f>
        <v>1</v>
      </c>
      <c r="F68" s="53">
        <f>$E$3583</f>
        <v>1</v>
      </c>
      <c r="G68" s="172">
        <f>$F$3583</f>
        <v>1</v>
      </c>
      <c r="H68" s="172">
        <f>$G$3583</f>
        <v>1</v>
      </c>
      <c r="I68" s="53">
        <f t="shared" si="17"/>
        <v>1</v>
      </c>
      <c r="J68" s="53">
        <f t="shared" si="18"/>
        <v>1</v>
      </c>
      <c r="K68" s="53">
        <f>IF($L$3532,1,IF(AND(nr_ModAdjMaster="ON",INDEX(lr_modadj,65)="ON"),$F$3532/$G68,1))</f>
        <v>1</v>
      </c>
      <c r="L68" s="53">
        <f>IF($L$3532,1,IF(AND(nr_ModAdjMaster="ON",INDEX(lr_modadj,65)="ON"),$F$3532/$H68,1))</f>
        <v>1</v>
      </c>
      <c r="M68" s="52">
        <f>IF(INDEX(lr_basis,65)="proposed",N(INDEX(lr_lrproj,65))*(1+N(INDEX(lr_s,65))),N(INDEX(lr_lrproj,65)))</f>
        <v>0</v>
      </c>
      <c r="N68" s="52">
        <f t="shared" si="19"/>
        <v>0</v>
      </c>
      <c r="O68" s="52">
        <f t="shared" si="20"/>
        <v>0</v>
      </c>
      <c r="P68" s="52">
        <f t="shared" si="21"/>
        <v>0</v>
      </c>
      <c r="Q68" s="52">
        <f t="shared" si="22"/>
        <v>0</v>
      </c>
      <c r="R68" s="53">
        <f>IF(N(INDEX(lr_aother,65))=0,1,INDEX(lr_aother,65))</f>
        <v>1</v>
      </c>
      <c r="S68" s="52">
        <f>IF(ISBLANK(INDEX(lr_trend,65)),N(nr_TrendDefault),N(INDEX(lr_trend,65)))</f>
        <v>0</v>
      </c>
      <c r="T68" s="81">
        <f>INDEX(lr_state,65)</f>
        <v>0</v>
      </c>
      <c r="U68" s="81">
        <f>INDEX(lr_bu,65)</f>
        <v>0</v>
      </c>
      <c r="V68" s="189">
        <f>N(INDEX(lr_ep,65))</f>
        <v>0</v>
      </c>
      <c r="W68" s="53">
        <f>N(INDEX(lr_mind,65))*$V68</f>
        <v>0</v>
      </c>
      <c r="X68" s="53">
        <f>N(INDEX(lr_m0,65))*$V68</f>
        <v>0</v>
      </c>
      <c r="Y68" s="53">
        <f>N(INDEX(lr_m1,65))*$V68</f>
        <v>0</v>
      </c>
      <c r="Z68" s="53">
        <f t="shared" si="23"/>
        <v>0</v>
      </c>
      <c r="AA68" s="53">
        <f t="shared" si="24"/>
        <v>0</v>
      </c>
      <c r="AB68" s="53">
        <f t="shared" si="25"/>
        <v>0</v>
      </c>
      <c r="AC68" s="53">
        <f t="shared" si="26"/>
        <v>0</v>
      </c>
      <c r="AD68" s="53">
        <f t="shared" si="27"/>
        <v>0</v>
      </c>
      <c r="AE68" s="53">
        <f t="shared" si="28"/>
        <v>0</v>
      </c>
      <c r="AF68" s="53">
        <f t="shared" si="29"/>
        <v>0</v>
      </c>
      <c r="AG68" s="53">
        <f t="shared" si="30"/>
        <v>0</v>
      </c>
      <c r="AH68" s="53">
        <f t="shared" si="31"/>
        <v>0</v>
      </c>
      <c r="AI68" s="53">
        <f t="shared" si="32"/>
        <v>0</v>
      </c>
      <c r="AJ68" s="53">
        <f t="shared" si="33"/>
        <v>0</v>
      </c>
      <c r="AK68" s="55">
        <f>IF($L$3532,1,0)</f>
        <v>0</v>
      </c>
      <c r="AL68" s="52">
        <f>IF($L$3532,$M$3532,0)</f>
        <v>0</v>
      </c>
    </row>
    <row r="69" spans="1:38" x14ac:dyDescent="0.25">
      <c r="A69" s="81" t="str">
        <f>$A$3586</f>
        <v/>
      </c>
      <c r="B69" s="55">
        <f>$C$3586</f>
        <v>6</v>
      </c>
      <c r="C69" s="53">
        <f>$B$3637</f>
        <v>1</v>
      </c>
      <c r="D69" s="53">
        <f>$C$3637</f>
        <v>1</v>
      </c>
      <c r="E69" s="53">
        <f>$D$3637</f>
        <v>1</v>
      </c>
      <c r="F69" s="53">
        <f>$E$3637</f>
        <v>1</v>
      </c>
      <c r="G69" s="172">
        <f>$F$3637</f>
        <v>1</v>
      </c>
      <c r="H69" s="172">
        <f>$G$3637</f>
        <v>1</v>
      </c>
      <c r="I69" s="53">
        <f t="shared" si="17"/>
        <v>1</v>
      </c>
      <c r="J69" s="53">
        <f t="shared" si="18"/>
        <v>1</v>
      </c>
      <c r="K69" s="53">
        <f>IF($L$3586,1,IF(AND(nr_ModAdjMaster="ON",INDEX(lr_modadj,66)="ON"),$F$3586/$G69,1))</f>
        <v>1</v>
      </c>
      <c r="L69" s="53">
        <f>IF($L$3586,1,IF(AND(nr_ModAdjMaster="ON",INDEX(lr_modadj,66)="ON"),$F$3586/$H69,1))</f>
        <v>1</v>
      </c>
      <c r="M69" s="52">
        <f>IF(INDEX(lr_basis,66)="proposed",N(INDEX(lr_lrproj,66))*(1+N(INDEX(lr_s,66))),N(INDEX(lr_lrproj,66)))</f>
        <v>0</v>
      </c>
      <c r="N69" s="52">
        <f t="shared" si="19"/>
        <v>0</v>
      </c>
      <c r="O69" s="52">
        <f t="shared" si="20"/>
        <v>0</v>
      </c>
      <c r="P69" s="52">
        <f t="shared" si="21"/>
        <v>0</v>
      </c>
      <c r="Q69" s="52">
        <f t="shared" si="22"/>
        <v>0</v>
      </c>
      <c r="R69" s="53">
        <f>IF(N(INDEX(lr_aother,66))=0,1,INDEX(lr_aother,66))</f>
        <v>1</v>
      </c>
      <c r="S69" s="52">
        <f>IF(ISBLANK(INDEX(lr_trend,66)),N(nr_TrendDefault),N(INDEX(lr_trend,66)))</f>
        <v>0</v>
      </c>
      <c r="T69" s="81">
        <f>INDEX(lr_state,66)</f>
        <v>0</v>
      </c>
      <c r="U69" s="81">
        <f>INDEX(lr_bu,66)</f>
        <v>0</v>
      </c>
      <c r="V69" s="189">
        <f>N(INDEX(lr_ep,66))</f>
        <v>0</v>
      </c>
      <c r="W69" s="53">
        <f>N(INDEX(lr_mind,66))*$V69</f>
        <v>0</v>
      </c>
      <c r="X69" s="53">
        <f>N(INDEX(lr_m0,66))*$V69</f>
        <v>0</v>
      </c>
      <c r="Y69" s="53">
        <f>N(INDEX(lr_m1,66))*$V69</f>
        <v>0</v>
      </c>
      <c r="Z69" s="53">
        <f t="shared" si="23"/>
        <v>0</v>
      </c>
      <c r="AA69" s="53">
        <f t="shared" si="24"/>
        <v>0</v>
      </c>
      <c r="AB69" s="53">
        <f t="shared" si="25"/>
        <v>0</v>
      </c>
      <c r="AC69" s="53">
        <f t="shared" si="26"/>
        <v>0</v>
      </c>
      <c r="AD69" s="53">
        <f t="shared" si="27"/>
        <v>0</v>
      </c>
      <c r="AE69" s="53">
        <f t="shared" si="28"/>
        <v>0</v>
      </c>
      <c r="AF69" s="53">
        <f t="shared" si="29"/>
        <v>0</v>
      </c>
      <c r="AG69" s="53">
        <f t="shared" si="30"/>
        <v>0</v>
      </c>
      <c r="AH69" s="53">
        <f t="shared" si="31"/>
        <v>0</v>
      </c>
      <c r="AI69" s="53">
        <f t="shared" si="32"/>
        <v>0</v>
      </c>
      <c r="AJ69" s="53">
        <f t="shared" si="33"/>
        <v>0</v>
      </c>
      <c r="AK69" s="55">
        <f>IF($L$3586,1,0)</f>
        <v>0</v>
      </c>
      <c r="AL69" s="52">
        <f>IF($L$3586,$M$3586,0)</f>
        <v>0</v>
      </c>
    </row>
    <row r="70" spans="1:38" x14ac:dyDescent="0.25">
      <c r="A70" s="81" t="str">
        <f>$A$3640</f>
        <v/>
      </c>
      <c r="B70" s="55">
        <f>$C$3640</f>
        <v>6</v>
      </c>
      <c r="C70" s="53">
        <f>$B$3691</f>
        <v>1</v>
      </c>
      <c r="D70" s="53">
        <f>$C$3691</f>
        <v>1</v>
      </c>
      <c r="E70" s="53">
        <f>$D$3691</f>
        <v>1</v>
      </c>
      <c r="F70" s="53">
        <f>$E$3691</f>
        <v>1</v>
      </c>
      <c r="G70" s="172">
        <f>$F$3691</f>
        <v>1</v>
      </c>
      <c r="H70" s="172">
        <f>$G$3691</f>
        <v>1</v>
      </c>
      <c r="I70" s="53">
        <f t="shared" si="17"/>
        <v>1</v>
      </c>
      <c r="J70" s="53">
        <f t="shared" si="18"/>
        <v>1</v>
      </c>
      <c r="K70" s="53">
        <f>IF($L$3640,1,IF(AND(nr_ModAdjMaster="ON",INDEX(lr_modadj,67)="ON"),$F$3640/$G70,1))</f>
        <v>1</v>
      </c>
      <c r="L70" s="53">
        <f>IF($L$3640,1,IF(AND(nr_ModAdjMaster="ON",INDEX(lr_modadj,67)="ON"),$F$3640/$H70,1))</f>
        <v>1</v>
      </c>
      <c r="M70" s="52">
        <f>IF(INDEX(lr_basis,67)="proposed",N(INDEX(lr_lrproj,67))*(1+N(INDEX(lr_s,67))),N(INDEX(lr_lrproj,67)))</f>
        <v>0</v>
      </c>
      <c r="N70" s="52">
        <f t="shared" si="19"/>
        <v>0</v>
      </c>
      <c r="O70" s="52">
        <f t="shared" si="20"/>
        <v>0</v>
      </c>
      <c r="P70" s="52">
        <f t="shared" si="21"/>
        <v>0</v>
      </c>
      <c r="Q70" s="52">
        <f t="shared" si="22"/>
        <v>0</v>
      </c>
      <c r="R70" s="53">
        <f>IF(N(INDEX(lr_aother,67))=0,1,INDEX(lr_aother,67))</f>
        <v>1</v>
      </c>
      <c r="S70" s="52">
        <f>IF(ISBLANK(INDEX(lr_trend,67)),N(nr_TrendDefault),N(INDEX(lr_trend,67)))</f>
        <v>0</v>
      </c>
      <c r="T70" s="81">
        <f>INDEX(lr_state,67)</f>
        <v>0</v>
      </c>
      <c r="U70" s="81">
        <f>INDEX(lr_bu,67)</f>
        <v>0</v>
      </c>
      <c r="V70" s="189">
        <f>N(INDEX(lr_ep,67))</f>
        <v>0</v>
      </c>
      <c r="W70" s="53">
        <f>N(INDEX(lr_mind,67))*$V70</f>
        <v>0</v>
      </c>
      <c r="X70" s="53">
        <f>N(INDEX(lr_m0,67))*$V70</f>
        <v>0</v>
      </c>
      <c r="Y70" s="53">
        <f>N(INDEX(lr_m1,67))*$V70</f>
        <v>0</v>
      </c>
      <c r="Z70" s="53">
        <f t="shared" si="23"/>
        <v>0</v>
      </c>
      <c r="AA70" s="53">
        <f t="shared" si="24"/>
        <v>0</v>
      </c>
      <c r="AB70" s="53">
        <f t="shared" si="25"/>
        <v>0</v>
      </c>
      <c r="AC70" s="53">
        <f t="shared" si="26"/>
        <v>0</v>
      </c>
      <c r="AD70" s="53">
        <f t="shared" si="27"/>
        <v>0</v>
      </c>
      <c r="AE70" s="53">
        <f t="shared" si="28"/>
        <v>0</v>
      </c>
      <c r="AF70" s="53">
        <f t="shared" si="29"/>
        <v>0</v>
      </c>
      <c r="AG70" s="53">
        <f t="shared" si="30"/>
        <v>0</v>
      </c>
      <c r="AH70" s="53">
        <f t="shared" si="31"/>
        <v>0</v>
      </c>
      <c r="AI70" s="53">
        <f t="shared" si="32"/>
        <v>0</v>
      </c>
      <c r="AJ70" s="53">
        <f t="shared" si="33"/>
        <v>0</v>
      </c>
      <c r="AK70" s="55">
        <f>IF($L$3640,1,0)</f>
        <v>0</v>
      </c>
      <c r="AL70" s="52">
        <f>IF($L$3640,$M$3640,0)</f>
        <v>0</v>
      </c>
    </row>
    <row r="71" spans="1:38" x14ac:dyDescent="0.25">
      <c r="A71" s="81" t="str">
        <f>$A$3694</f>
        <v/>
      </c>
      <c r="B71" s="55">
        <f>$C$3694</f>
        <v>6</v>
      </c>
      <c r="C71" s="53">
        <f>$B$3745</f>
        <v>1</v>
      </c>
      <c r="D71" s="53">
        <f>$C$3745</f>
        <v>1</v>
      </c>
      <c r="E71" s="53">
        <f>$D$3745</f>
        <v>1</v>
      </c>
      <c r="F71" s="53">
        <f>$E$3745</f>
        <v>1</v>
      </c>
      <c r="G71" s="172">
        <f>$F$3745</f>
        <v>1</v>
      </c>
      <c r="H71" s="172">
        <f>$G$3745</f>
        <v>1</v>
      </c>
      <c r="I71" s="53">
        <f t="shared" si="17"/>
        <v>1</v>
      </c>
      <c r="J71" s="53">
        <f t="shared" si="18"/>
        <v>1</v>
      </c>
      <c r="K71" s="53">
        <f>IF($L$3694,1,IF(AND(nr_ModAdjMaster="ON",INDEX(lr_modadj,68)="ON"),$F$3694/$G71,1))</f>
        <v>1</v>
      </c>
      <c r="L71" s="53">
        <f>IF($L$3694,1,IF(AND(nr_ModAdjMaster="ON",INDEX(lr_modadj,68)="ON"),$F$3694/$H71,1))</f>
        <v>1</v>
      </c>
      <c r="M71" s="52">
        <f>IF(INDEX(lr_basis,68)="proposed",N(INDEX(lr_lrproj,68))*(1+N(INDEX(lr_s,68))),N(INDEX(lr_lrproj,68)))</f>
        <v>0</v>
      </c>
      <c r="N71" s="52">
        <f t="shared" si="19"/>
        <v>0</v>
      </c>
      <c r="O71" s="52">
        <f t="shared" si="20"/>
        <v>0</v>
      </c>
      <c r="P71" s="52">
        <f t="shared" si="21"/>
        <v>0</v>
      </c>
      <c r="Q71" s="52">
        <f t="shared" si="22"/>
        <v>0</v>
      </c>
      <c r="R71" s="53">
        <f>IF(N(INDEX(lr_aother,68))=0,1,INDEX(lr_aother,68))</f>
        <v>1</v>
      </c>
      <c r="S71" s="52">
        <f>IF(ISBLANK(INDEX(lr_trend,68)),N(nr_TrendDefault),N(INDEX(lr_trend,68)))</f>
        <v>0</v>
      </c>
      <c r="T71" s="81">
        <f>INDEX(lr_state,68)</f>
        <v>0</v>
      </c>
      <c r="U71" s="81">
        <f>INDEX(lr_bu,68)</f>
        <v>0</v>
      </c>
      <c r="V71" s="189">
        <f>N(INDEX(lr_ep,68))</f>
        <v>0</v>
      </c>
      <c r="W71" s="53">
        <f>N(INDEX(lr_mind,68))*$V71</f>
        <v>0</v>
      </c>
      <c r="X71" s="53">
        <f>N(INDEX(lr_m0,68))*$V71</f>
        <v>0</v>
      </c>
      <c r="Y71" s="53">
        <f>N(INDEX(lr_m1,68))*$V71</f>
        <v>0</v>
      </c>
      <c r="Z71" s="53">
        <f t="shared" si="23"/>
        <v>0</v>
      </c>
      <c r="AA71" s="53">
        <f t="shared" si="24"/>
        <v>0</v>
      </c>
      <c r="AB71" s="53">
        <f t="shared" si="25"/>
        <v>0</v>
      </c>
      <c r="AC71" s="53">
        <f t="shared" si="26"/>
        <v>0</v>
      </c>
      <c r="AD71" s="53">
        <f t="shared" si="27"/>
        <v>0</v>
      </c>
      <c r="AE71" s="53">
        <f t="shared" si="28"/>
        <v>0</v>
      </c>
      <c r="AF71" s="53">
        <f t="shared" si="29"/>
        <v>0</v>
      </c>
      <c r="AG71" s="53">
        <f t="shared" si="30"/>
        <v>0</v>
      </c>
      <c r="AH71" s="53">
        <f t="shared" si="31"/>
        <v>0</v>
      </c>
      <c r="AI71" s="53">
        <f t="shared" si="32"/>
        <v>0</v>
      </c>
      <c r="AJ71" s="53">
        <f t="shared" si="33"/>
        <v>0</v>
      </c>
      <c r="AK71" s="55">
        <f>IF($L$3694,1,0)</f>
        <v>0</v>
      </c>
      <c r="AL71" s="52">
        <f>IF($L$3694,$M$3694,0)</f>
        <v>0</v>
      </c>
    </row>
    <row r="72" spans="1:38" x14ac:dyDescent="0.25">
      <c r="A72" s="81" t="str">
        <f>$A$3748</f>
        <v/>
      </c>
      <c r="B72" s="55">
        <f>$C$3748</f>
        <v>6</v>
      </c>
      <c r="C72" s="53">
        <f>$B$3799</f>
        <v>1</v>
      </c>
      <c r="D72" s="53">
        <f>$C$3799</f>
        <v>1</v>
      </c>
      <c r="E72" s="53">
        <f>$D$3799</f>
        <v>1</v>
      </c>
      <c r="F72" s="53">
        <f>$E$3799</f>
        <v>1</v>
      </c>
      <c r="G72" s="172">
        <f>$F$3799</f>
        <v>1</v>
      </c>
      <c r="H72" s="172">
        <f>$G$3799</f>
        <v>1</v>
      </c>
      <c r="I72" s="53">
        <f t="shared" si="17"/>
        <v>1</v>
      </c>
      <c r="J72" s="53">
        <f t="shared" si="18"/>
        <v>1</v>
      </c>
      <c r="K72" s="53">
        <f>IF($L$3748,1,IF(AND(nr_ModAdjMaster="ON",INDEX(lr_modadj,69)="ON"),$F$3748/$G72,1))</f>
        <v>1</v>
      </c>
      <c r="L72" s="53">
        <f>IF($L$3748,1,IF(AND(nr_ModAdjMaster="ON",INDEX(lr_modadj,69)="ON"),$F$3748/$H72,1))</f>
        <v>1</v>
      </c>
      <c r="M72" s="52">
        <f>IF(INDEX(lr_basis,69)="proposed",N(INDEX(lr_lrproj,69))*(1+N(INDEX(lr_s,69))),N(INDEX(lr_lrproj,69)))</f>
        <v>0</v>
      </c>
      <c r="N72" s="52">
        <f t="shared" si="19"/>
        <v>0</v>
      </c>
      <c r="O72" s="52">
        <f t="shared" si="20"/>
        <v>0</v>
      </c>
      <c r="P72" s="52">
        <f t="shared" si="21"/>
        <v>0</v>
      </c>
      <c r="Q72" s="52">
        <f t="shared" si="22"/>
        <v>0</v>
      </c>
      <c r="R72" s="53">
        <f>IF(N(INDEX(lr_aother,69))=0,1,INDEX(lr_aother,69))</f>
        <v>1</v>
      </c>
      <c r="S72" s="52">
        <f>IF(ISBLANK(INDEX(lr_trend,69)),N(nr_TrendDefault),N(INDEX(lr_trend,69)))</f>
        <v>0</v>
      </c>
      <c r="T72" s="81">
        <f>INDEX(lr_state,69)</f>
        <v>0</v>
      </c>
      <c r="U72" s="81">
        <f>INDEX(lr_bu,69)</f>
        <v>0</v>
      </c>
      <c r="V72" s="189">
        <f>N(INDEX(lr_ep,69))</f>
        <v>0</v>
      </c>
      <c r="W72" s="53">
        <f>N(INDEX(lr_mind,69))*$V72</f>
        <v>0</v>
      </c>
      <c r="X72" s="53">
        <f>N(INDEX(lr_m0,69))*$V72</f>
        <v>0</v>
      </c>
      <c r="Y72" s="53">
        <f>N(INDEX(lr_m1,69))*$V72</f>
        <v>0</v>
      </c>
      <c r="Z72" s="53">
        <f t="shared" si="23"/>
        <v>0</v>
      </c>
      <c r="AA72" s="53">
        <f t="shared" si="24"/>
        <v>0</v>
      </c>
      <c r="AB72" s="53">
        <f t="shared" si="25"/>
        <v>0</v>
      </c>
      <c r="AC72" s="53">
        <f t="shared" si="26"/>
        <v>0</v>
      </c>
      <c r="AD72" s="53">
        <f t="shared" si="27"/>
        <v>0</v>
      </c>
      <c r="AE72" s="53">
        <f t="shared" si="28"/>
        <v>0</v>
      </c>
      <c r="AF72" s="53">
        <f t="shared" si="29"/>
        <v>0</v>
      </c>
      <c r="AG72" s="53">
        <f t="shared" si="30"/>
        <v>0</v>
      </c>
      <c r="AH72" s="53">
        <f t="shared" si="31"/>
        <v>0</v>
      </c>
      <c r="AI72" s="53">
        <f t="shared" si="32"/>
        <v>0</v>
      </c>
      <c r="AJ72" s="53">
        <f t="shared" si="33"/>
        <v>0</v>
      </c>
      <c r="AK72" s="55">
        <f>IF($L$3748,1,0)</f>
        <v>0</v>
      </c>
      <c r="AL72" s="52">
        <f>IF($L$3748,$M$3748,0)</f>
        <v>0</v>
      </c>
    </row>
    <row r="76" spans="1:38" x14ac:dyDescent="0.25">
      <c r="A76" s="81" t="str">
        <f>INDEX(lr_key,1)</f>
        <v>BU-A|AZ</v>
      </c>
      <c r="B76" s="81" t="str">
        <f>INDEX(lr_state,1)</f>
        <v>AZ</v>
      </c>
      <c r="C76" s="55">
        <f>nr_TermMonths</f>
        <v>6</v>
      </c>
      <c r="D76" s="55">
        <f>IF(COUNTIF(se_state,$B76)=0,0,MATCH($B76,se_state,0))</f>
        <v>0</v>
      </c>
      <c r="E76" s="57">
        <f>IF($D76=0,0,INDEX(se_sum,$D76))</f>
        <v>0</v>
      </c>
      <c r="F76" s="172">
        <f>IF(N(INDEX(lr_mind,1))=0,1,INDEX(lr_mind,1))</f>
        <v>0.85</v>
      </c>
      <c r="G76" s="172">
        <f>IF(N(INDEX(lr_m0,1))=0,1,INDEX(lr_m0,1))</f>
        <v>0.86</v>
      </c>
      <c r="H76" s="54">
        <f>IF(N(INDEX(lr_m0asof,1))=0,DATE(nr_PlanYear-1,10,1),INDEX(lr_m0asof,1))</f>
        <v>46295</v>
      </c>
      <c r="I76" s="172">
        <f>IF(N(INDEX(lr_m1,1))=0,1,INDEX(lr_m1,1))</f>
        <v>0.89</v>
      </c>
      <c r="J76" s="172">
        <f>INDEX(lr_mprior,1)</f>
        <v>0</v>
      </c>
      <c r="K76" s="172">
        <f>INDEX(lr_m2,1)</f>
        <v>0</v>
      </c>
      <c r="L76" s="81" t="b">
        <f>NOT(ISBLANK(INDEX(lr_netp,1)))</f>
        <v>0</v>
      </c>
      <c r="M76" s="52">
        <f>N(INDEX(lr_netp,1))</f>
        <v>0</v>
      </c>
      <c r="N76" s="52">
        <f>IF(ISBLANK(INDEX(lr_netp1,1)),$M$76,N(INDEX(lr_netp1,1)))</f>
        <v>0</v>
      </c>
      <c r="O76" s="55">
        <f>IF(AND(nr_ModAdjMaster="ON",INDEX(lr_modadj,1)="ON"),1,0)</f>
        <v>1</v>
      </c>
    </row>
    <row r="77" spans="1:38" x14ac:dyDescent="0.25">
      <c r="A77" s="81">
        <f>EDATE($H$76,-12)+1</f>
        <v>45931</v>
      </c>
      <c r="B77" s="81">
        <f>$H$76+1</f>
        <v>46296</v>
      </c>
      <c r="C77" s="81">
        <f>DATE(nr_PlanYear,12,31)+1</f>
        <v>46753</v>
      </c>
      <c r="D77" s="81">
        <f>DATE(nr_PlanYear+1,12,31)+1</f>
        <v>47119</v>
      </c>
      <c r="E77" s="81">
        <f>IF(N($J$76)=0,$F$77-($G$77-$F$77)/($C$77-$B$77)*($B$77-$A$77),$J$76)</f>
        <v>0.83603938730853389</v>
      </c>
      <c r="F77" s="81">
        <f>$G$76</f>
        <v>0.86</v>
      </c>
      <c r="G77" s="81">
        <f>$I$76</f>
        <v>0.89</v>
      </c>
      <c r="H77" s="81">
        <f>IF(N($K$76)=0,$I$76,$K$76)</f>
        <v>0.89</v>
      </c>
      <c r="I77" s="81">
        <f>($F$77-$E$77)/($B$77-$A$77)</f>
        <v>6.5645514223194786E-5</v>
      </c>
      <c r="J77" s="81">
        <f>($G$77-$F$77)/($C$77-$B$77)</f>
        <v>6.5645514223194813E-5</v>
      </c>
      <c r="K77" s="81">
        <f>($H$77-$G$77)/($D$77-$C$77)</f>
        <v>0</v>
      </c>
    </row>
    <row r="78" spans="1:38" ht="36" x14ac:dyDescent="0.25">
      <c r="A78" s="50" t="s">
        <v>211</v>
      </c>
      <c r="B78" s="50" t="s">
        <v>212</v>
      </c>
      <c r="C78" s="50" t="s">
        <v>213</v>
      </c>
      <c r="D78" s="50" t="s">
        <v>214</v>
      </c>
      <c r="E78" s="50" t="s">
        <v>215</v>
      </c>
      <c r="F78" s="50" t="s">
        <v>216</v>
      </c>
      <c r="G78" s="50" t="s">
        <v>217</v>
      </c>
      <c r="H78" s="50" t="s">
        <v>218</v>
      </c>
      <c r="I78" s="50" t="s">
        <v>219</v>
      </c>
      <c r="J78" s="50" t="s">
        <v>220</v>
      </c>
      <c r="K78" s="50" t="s">
        <v>221</v>
      </c>
      <c r="L78" s="50" t="s">
        <v>222</v>
      </c>
      <c r="M78" s="50" t="s">
        <v>223</v>
      </c>
      <c r="N78" s="50" t="s">
        <v>224</v>
      </c>
      <c r="O78" s="50" t="s">
        <v>225</v>
      </c>
      <c r="P78" s="50" t="s">
        <v>226</v>
      </c>
      <c r="Q78" s="50" t="s">
        <v>227</v>
      </c>
      <c r="R78" s="50" t="s">
        <v>228</v>
      </c>
      <c r="S78" s="50" t="s">
        <v>229</v>
      </c>
      <c r="T78" s="50" t="s">
        <v>230</v>
      </c>
      <c r="U78" s="50" t="s">
        <v>231</v>
      </c>
    </row>
    <row r="79" spans="1:38" x14ac:dyDescent="0.25">
      <c r="A79" s="71">
        <v>1</v>
      </c>
      <c r="B79" s="72">
        <f>DATE(nr_PlanYear-2,1,1)</f>
        <v>45658</v>
      </c>
      <c r="C79" s="73">
        <f t="shared" ref="C79:C126" si="34">EOMONTH($B79,0)</f>
        <v>45688</v>
      </c>
      <c r="D79" s="67">
        <f t="shared" ref="D79:D126" si="35">$C79-$B79+1</f>
        <v>31</v>
      </c>
      <c r="E79" s="67">
        <f t="shared" ref="E79:E126" si="36">MONTH($B79)</f>
        <v>1</v>
      </c>
      <c r="F79" s="74">
        <f t="shared" ref="F79:F126" si="37">($B79+$C79+1)/2</f>
        <v>45673.5</v>
      </c>
      <c r="G79" s="67">
        <f t="shared" ref="G79:G126" si="38">YEAR($B79)*12+MONTH($B79)-1</f>
        <v>24300</v>
      </c>
      <c r="H79" s="75">
        <f t="shared" ref="H79:H126" si="39">IF(OR(nr_SeasonOn="OFF",$D$76=0,$E$76=0),1,12*INDEX(se_block,$D$76,$E79)/$E$76)</f>
        <v>1</v>
      </c>
      <c r="I79" s="76">
        <f t="shared" ref="I79:I126" si="40">EXP(SUMPRODUCT((rl_eff&lt;$B79)*(rl_key=$A$76)*rl_ln1p))</f>
        <v>1</v>
      </c>
      <c r="J79" s="76">
        <f t="shared" ref="J79:J126" si="41">EXP(SUMPRODUCT((rl_eff&lt;=$C79)*(rl_key=$A$76)*rl_ln1p))</f>
        <v>1</v>
      </c>
      <c r="K79" s="67">
        <f t="shared" ref="K79:K126" si="42">COUNTIFS(rl_key,$A$76,rl_eff,"&gt;="&amp;$B79,rl_eff,"&lt;="&amp;$C79)</f>
        <v>0</v>
      </c>
      <c r="L79" s="67">
        <f t="shared" ref="L79:L126" si="43">SUMIFS(rl_daysafter,rl_key,$A$76,rl_effmonth,$B79,rl_first,1)</f>
        <v>0</v>
      </c>
      <c r="M79" s="77">
        <f t="shared" ref="M79:M126" si="44">IF($K79=0,0,MIN(1,$L79/$D79))</f>
        <v>0</v>
      </c>
      <c r="N79" s="76">
        <f t="shared" ref="N79:N126" si="45">IF($K79=0,$J79,(1-$M79)*$I79+$M79*$J79)</f>
        <v>1</v>
      </c>
      <c r="O79" s="77">
        <f t="shared" ref="O79:O126" si="46">IF($F79&lt;$B$77,$E$77+$I$77*($F79-$A$77),IF($F79&lt;$C$77,$F$77+$J$77*($F79-$B$77),$G$77+$K$77*($F79-$C$77)))</f>
        <v>0.81913566739606125</v>
      </c>
      <c r="P79" s="76">
        <f t="shared" ref="P79:P126" si="47">MIN(1,MAX(0,(nr_MEndPm1-$G79+0.5)/$C$76))-MIN(1,MAX(0,(nr_MStartPm1-1-$G79+0.5)/$C$76))</f>
        <v>0</v>
      </c>
      <c r="Q79" s="76">
        <f t="shared" ref="Q79:Q126" si="48">MIN(1,MAX(0,(nr_MEndP-$G79+0.5)/$C$76))-MIN(1,MAX(0,(nr_MStartP-1-$G79+0.5)/$C$76))</f>
        <v>0</v>
      </c>
      <c r="R79" s="76">
        <f t="shared" ref="R79:R126" si="49">MIN(1,MAX(0,(nr_MEndP1-$G79+0.5)/$C$76))-MIN(1,MAX(0,(nr_MStartP1-1-$G79+0.5)/$C$76))</f>
        <v>0</v>
      </c>
      <c r="S79" s="76">
        <f t="shared" ref="S79:S126" si="50">$N79*IF($O$76=1,$O79/$F$76,1)</f>
        <v>0.96368902046595439</v>
      </c>
      <c r="T79" s="76">
        <f t="shared" ref="T79:T126" si="51">IF($G79&lt;nr_MStartP,$S79,$T67*(1+IF($G79&lt;nr_MStartP1,$M$76,$N$76)))</f>
        <v>0.96368902046595439</v>
      </c>
      <c r="U79" s="76">
        <f t="shared" ref="U79:U126" si="52">IF($L$76,$T79,$N79)</f>
        <v>1</v>
      </c>
    </row>
    <row r="80" spans="1:38" x14ac:dyDescent="0.25">
      <c r="A80" s="71">
        <v>2</v>
      </c>
      <c r="B80" s="72">
        <f t="shared" ref="B80:B126" si="53">EDATE($B79,1)</f>
        <v>45689</v>
      </c>
      <c r="C80" s="73">
        <f t="shared" si="34"/>
        <v>45716</v>
      </c>
      <c r="D80" s="67">
        <f t="shared" si="35"/>
        <v>28</v>
      </c>
      <c r="E80" s="67">
        <f t="shared" si="36"/>
        <v>2</v>
      </c>
      <c r="F80" s="74">
        <f t="shared" si="37"/>
        <v>45703</v>
      </c>
      <c r="G80" s="67">
        <f t="shared" si="38"/>
        <v>24301</v>
      </c>
      <c r="H80" s="75">
        <f t="shared" si="39"/>
        <v>1</v>
      </c>
      <c r="I80" s="76">
        <f t="shared" si="40"/>
        <v>1</v>
      </c>
      <c r="J80" s="76">
        <f t="shared" si="41"/>
        <v>1</v>
      </c>
      <c r="K80" s="67">
        <f t="shared" si="42"/>
        <v>0</v>
      </c>
      <c r="L80" s="67">
        <f t="shared" si="43"/>
        <v>0</v>
      </c>
      <c r="M80" s="77">
        <f t="shared" si="44"/>
        <v>0</v>
      </c>
      <c r="N80" s="76">
        <f t="shared" si="45"/>
        <v>1</v>
      </c>
      <c r="O80" s="77">
        <f t="shared" si="46"/>
        <v>0.82107221006564546</v>
      </c>
      <c r="P80" s="76">
        <f t="shared" si="47"/>
        <v>0</v>
      </c>
      <c r="Q80" s="76">
        <f t="shared" si="48"/>
        <v>0</v>
      </c>
      <c r="R80" s="76">
        <f t="shared" si="49"/>
        <v>0</v>
      </c>
      <c r="S80" s="76">
        <f t="shared" si="50"/>
        <v>0.96596730595958291</v>
      </c>
      <c r="T80" s="76">
        <f t="shared" si="51"/>
        <v>0.96596730595958291</v>
      </c>
      <c r="U80" s="76">
        <f t="shared" si="52"/>
        <v>1</v>
      </c>
    </row>
    <row r="81" spans="1:21" x14ac:dyDescent="0.25">
      <c r="A81" s="71">
        <v>3</v>
      </c>
      <c r="B81" s="72">
        <f t="shared" si="53"/>
        <v>45717</v>
      </c>
      <c r="C81" s="73">
        <f t="shared" si="34"/>
        <v>45747</v>
      </c>
      <c r="D81" s="67">
        <f t="shared" si="35"/>
        <v>31</v>
      </c>
      <c r="E81" s="67">
        <f t="shared" si="36"/>
        <v>3</v>
      </c>
      <c r="F81" s="74">
        <f t="shared" si="37"/>
        <v>45732.5</v>
      </c>
      <c r="G81" s="67">
        <f t="shared" si="38"/>
        <v>24302</v>
      </c>
      <c r="H81" s="75">
        <f t="shared" si="39"/>
        <v>1</v>
      </c>
      <c r="I81" s="76">
        <f t="shared" si="40"/>
        <v>1</v>
      </c>
      <c r="J81" s="76">
        <f t="shared" si="41"/>
        <v>1</v>
      </c>
      <c r="K81" s="67">
        <f t="shared" si="42"/>
        <v>0</v>
      </c>
      <c r="L81" s="67">
        <f t="shared" si="43"/>
        <v>0</v>
      </c>
      <c r="M81" s="77">
        <f t="shared" si="44"/>
        <v>0</v>
      </c>
      <c r="N81" s="76">
        <f t="shared" si="45"/>
        <v>1</v>
      </c>
      <c r="O81" s="77">
        <f t="shared" si="46"/>
        <v>0.82300875273522978</v>
      </c>
      <c r="P81" s="76">
        <f t="shared" si="47"/>
        <v>0</v>
      </c>
      <c r="Q81" s="76">
        <f t="shared" si="48"/>
        <v>0</v>
      </c>
      <c r="R81" s="76">
        <f t="shared" si="49"/>
        <v>0</v>
      </c>
      <c r="S81" s="76">
        <f t="shared" si="50"/>
        <v>0.96824559145321154</v>
      </c>
      <c r="T81" s="76">
        <f t="shared" si="51"/>
        <v>0.96824559145321154</v>
      </c>
      <c r="U81" s="76">
        <f t="shared" si="52"/>
        <v>1</v>
      </c>
    </row>
    <row r="82" spans="1:21" x14ac:dyDescent="0.25">
      <c r="A82" s="71">
        <v>4</v>
      </c>
      <c r="B82" s="72">
        <f t="shared" si="53"/>
        <v>45748</v>
      </c>
      <c r="C82" s="73">
        <f t="shared" si="34"/>
        <v>45777</v>
      </c>
      <c r="D82" s="67">
        <f t="shared" si="35"/>
        <v>30</v>
      </c>
      <c r="E82" s="67">
        <f t="shared" si="36"/>
        <v>4</v>
      </c>
      <c r="F82" s="74">
        <f t="shared" si="37"/>
        <v>45763</v>
      </c>
      <c r="G82" s="67">
        <f t="shared" si="38"/>
        <v>24303</v>
      </c>
      <c r="H82" s="75">
        <f t="shared" si="39"/>
        <v>1</v>
      </c>
      <c r="I82" s="76">
        <f t="shared" si="40"/>
        <v>1</v>
      </c>
      <c r="J82" s="76">
        <f t="shared" si="41"/>
        <v>1</v>
      </c>
      <c r="K82" s="67">
        <f t="shared" si="42"/>
        <v>0</v>
      </c>
      <c r="L82" s="67">
        <f t="shared" si="43"/>
        <v>0</v>
      </c>
      <c r="M82" s="77">
        <f t="shared" si="44"/>
        <v>0</v>
      </c>
      <c r="N82" s="76">
        <f t="shared" si="45"/>
        <v>1</v>
      </c>
      <c r="O82" s="77">
        <f t="shared" si="46"/>
        <v>0.82501094091903715</v>
      </c>
      <c r="P82" s="76">
        <f t="shared" si="47"/>
        <v>0</v>
      </c>
      <c r="Q82" s="76">
        <f t="shared" si="48"/>
        <v>0</v>
      </c>
      <c r="R82" s="76">
        <f t="shared" si="49"/>
        <v>0</v>
      </c>
      <c r="S82" s="76">
        <f t="shared" si="50"/>
        <v>0.97060110696357316</v>
      </c>
      <c r="T82" s="76">
        <f t="shared" si="51"/>
        <v>0.97060110696357316</v>
      </c>
      <c r="U82" s="76">
        <f t="shared" si="52"/>
        <v>1</v>
      </c>
    </row>
    <row r="83" spans="1:21" x14ac:dyDescent="0.25">
      <c r="A83" s="71">
        <v>5</v>
      </c>
      <c r="B83" s="72">
        <f t="shared" si="53"/>
        <v>45778</v>
      </c>
      <c r="C83" s="73">
        <f t="shared" si="34"/>
        <v>45808</v>
      </c>
      <c r="D83" s="67">
        <f t="shared" si="35"/>
        <v>31</v>
      </c>
      <c r="E83" s="67">
        <f t="shared" si="36"/>
        <v>5</v>
      </c>
      <c r="F83" s="74">
        <f t="shared" si="37"/>
        <v>45793.5</v>
      </c>
      <c r="G83" s="67">
        <f t="shared" si="38"/>
        <v>24304</v>
      </c>
      <c r="H83" s="75">
        <f t="shared" si="39"/>
        <v>1</v>
      </c>
      <c r="I83" s="76">
        <f t="shared" si="40"/>
        <v>1</v>
      </c>
      <c r="J83" s="76">
        <f t="shared" si="41"/>
        <v>1</v>
      </c>
      <c r="K83" s="67">
        <f t="shared" si="42"/>
        <v>0</v>
      </c>
      <c r="L83" s="67">
        <f t="shared" si="43"/>
        <v>0</v>
      </c>
      <c r="M83" s="77">
        <f t="shared" si="44"/>
        <v>0</v>
      </c>
      <c r="N83" s="76">
        <f t="shared" si="45"/>
        <v>1</v>
      </c>
      <c r="O83" s="77">
        <f t="shared" si="46"/>
        <v>0.82701312910284464</v>
      </c>
      <c r="P83" s="76">
        <f t="shared" si="47"/>
        <v>0</v>
      </c>
      <c r="Q83" s="76">
        <f t="shared" si="48"/>
        <v>0</v>
      </c>
      <c r="R83" s="76">
        <f t="shared" si="49"/>
        <v>0</v>
      </c>
      <c r="S83" s="76">
        <f t="shared" si="50"/>
        <v>0.97295662247393488</v>
      </c>
      <c r="T83" s="76">
        <f t="shared" si="51"/>
        <v>0.97295662247393488</v>
      </c>
      <c r="U83" s="76">
        <f t="shared" si="52"/>
        <v>1</v>
      </c>
    </row>
    <row r="84" spans="1:21" x14ac:dyDescent="0.25">
      <c r="A84" s="71">
        <v>6</v>
      </c>
      <c r="B84" s="72">
        <f t="shared" si="53"/>
        <v>45809</v>
      </c>
      <c r="C84" s="73">
        <f t="shared" si="34"/>
        <v>45838</v>
      </c>
      <c r="D84" s="67">
        <f t="shared" si="35"/>
        <v>30</v>
      </c>
      <c r="E84" s="67">
        <f t="shared" si="36"/>
        <v>6</v>
      </c>
      <c r="F84" s="74">
        <f t="shared" si="37"/>
        <v>45824</v>
      </c>
      <c r="G84" s="67">
        <f t="shared" si="38"/>
        <v>24305</v>
      </c>
      <c r="H84" s="75">
        <f t="shared" si="39"/>
        <v>1</v>
      </c>
      <c r="I84" s="76">
        <f t="shared" si="40"/>
        <v>1</v>
      </c>
      <c r="J84" s="76">
        <f t="shared" si="41"/>
        <v>1</v>
      </c>
      <c r="K84" s="67">
        <f t="shared" si="42"/>
        <v>0</v>
      </c>
      <c r="L84" s="67">
        <f t="shared" si="43"/>
        <v>0</v>
      </c>
      <c r="M84" s="77">
        <f t="shared" si="44"/>
        <v>0</v>
      </c>
      <c r="N84" s="76">
        <f t="shared" si="45"/>
        <v>1</v>
      </c>
      <c r="O84" s="77">
        <f t="shared" si="46"/>
        <v>0.82901531728665201</v>
      </c>
      <c r="P84" s="76">
        <f t="shared" si="47"/>
        <v>0</v>
      </c>
      <c r="Q84" s="76">
        <f t="shared" si="48"/>
        <v>0</v>
      </c>
      <c r="R84" s="76">
        <f t="shared" si="49"/>
        <v>0</v>
      </c>
      <c r="S84" s="76">
        <f t="shared" si="50"/>
        <v>0.9753121379842965</v>
      </c>
      <c r="T84" s="76">
        <f t="shared" si="51"/>
        <v>0.9753121379842965</v>
      </c>
      <c r="U84" s="76">
        <f t="shared" si="52"/>
        <v>1</v>
      </c>
    </row>
    <row r="85" spans="1:21" x14ac:dyDescent="0.25">
      <c r="A85" s="71">
        <v>7</v>
      </c>
      <c r="B85" s="72">
        <f t="shared" si="53"/>
        <v>45839</v>
      </c>
      <c r="C85" s="73">
        <f t="shared" si="34"/>
        <v>45869</v>
      </c>
      <c r="D85" s="67">
        <f t="shared" si="35"/>
        <v>31</v>
      </c>
      <c r="E85" s="67">
        <f t="shared" si="36"/>
        <v>7</v>
      </c>
      <c r="F85" s="74">
        <f t="shared" si="37"/>
        <v>45854.5</v>
      </c>
      <c r="G85" s="67">
        <f t="shared" si="38"/>
        <v>24306</v>
      </c>
      <c r="H85" s="75">
        <f t="shared" si="39"/>
        <v>1</v>
      </c>
      <c r="I85" s="76">
        <f t="shared" si="40"/>
        <v>1</v>
      </c>
      <c r="J85" s="76">
        <f t="shared" si="41"/>
        <v>1.04</v>
      </c>
      <c r="K85" s="67">
        <f t="shared" si="42"/>
        <v>1</v>
      </c>
      <c r="L85" s="67">
        <f t="shared" si="43"/>
        <v>31</v>
      </c>
      <c r="M85" s="77">
        <f t="shared" si="44"/>
        <v>1</v>
      </c>
      <c r="N85" s="76">
        <f t="shared" si="45"/>
        <v>1.04</v>
      </c>
      <c r="O85" s="77">
        <f t="shared" si="46"/>
        <v>0.83101750547045949</v>
      </c>
      <c r="P85" s="76">
        <f t="shared" si="47"/>
        <v>8.333333333333337E-2</v>
      </c>
      <c r="Q85" s="76">
        <f t="shared" si="48"/>
        <v>0</v>
      </c>
      <c r="R85" s="76">
        <f t="shared" si="49"/>
        <v>0</v>
      </c>
      <c r="S85" s="76">
        <f t="shared" si="50"/>
        <v>1.0167743596344445</v>
      </c>
      <c r="T85" s="76">
        <f t="shared" si="51"/>
        <v>1.0167743596344445</v>
      </c>
      <c r="U85" s="76">
        <f t="shared" si="52"/>
        <v>1.04</v>
      </c>
    </row>
    <row r="86" spans="1:21" x14ac:dyDescent="0.25">
      <c r="A86" s="71">
        <v>8</v>
      </c>
      <c r="B86" s="72">
        <f t="shared" si="53"/>
        <v>45870</v>
      </c>
      <c r="C86" s="73">
        <f t="shared" si="34"/>
        <v>45900</v>
      </c>
      <c r="D86" s="67">
        <f t="shared" si="35"/>
        <v>31</v>
      </c>
      <c r="E86" s="67">
        <f t="shared" si="36"/>
        <v>8</v>
      </c>
      <c r="F86" s="74">
        <f t="shared" si="37"/>
        <v>45885.5</v>
      </c>
      <c r="G86" s="67">
        <f t="shared" si="38"/>
        <v>24307</v>
      </c>
      <c r="H86" s="75">
        <f t="shared" si="39"/>
        <v>1</v>
      </c>
      <c r="I86" s="76">
        <f t="shared" si="40"/>
        <v>1.04</v>
      </c>
      <c r="J86" s="76">
        <f t="shared" si="41"/>
        <v>1.04</v>
      </c>
      <c r="K86" s="67">
        <f t="shared" si="42"/>
        <v>0</v>
      </c>
      <c r="L86" s="67">
        <f t="shared" si="43"/>
        <v>0</v>
      </c>
      <c r="M86" s="77">
        <f t="shared" si="44"/>
        <v>0</v>
      </c>
      <c r="N86" s="76">
        <f t="shared" si="45"/>
        <v>1.04</v>
      </c>
      <c r="O86" s="77">
        <f t="shared" si="46"/>
        <v>0.83305251641137856</v>
      </c>
      <c r="P86" s="76">
        <f t="shared" si="47"/>
        <v>0.25</v>
      </c>
      <c r="Q86" s="76">
        <f t="shared" si="48"/>
        <v>0</v>
      </c>
      <c r="R86" s="76">
        <f t="shared" si="49"/>
        <v>0</v>
      </c>
      <c r="S86" s="76">
        <f t="shared" si="50"/>
        <v>1.0192642553739222</v>
      </c>
      <c r="T86" s="76">
        <f t="shared" si="51"/>
        <v>1.0192642553739222</v>
      </c>
      <c r="U86" s="76">
        <f t="shared" si="52"/>
        <v>1.04</v>
      </c>
    </row>
    <row r="87" spans="1:21" x14ac:dyDescent="0.25">
      <c r="A87" s="71">
        <v>9</v>
      </c>
      <c r="B87" s="72">
        <f t="shared" si="53"/>
        <v>45901</v>
      </c>
      <c r="C87" s="73">
        <f t="shared" si="34"/>
        <v>45930</v>
      </c>
      <c r="D87" s="67">
        <f t="shared" si="35"/>
        <v>30</v>
      </c>
      <c r="E87" s="67">
        <f t="shared" si="36"/>
        <v>9</v>
      </c>
      <c r="F87" s="74">
        <f t="shared" si="37"/>
        <v>45916</v>
      </c>
      <c r="G87" s="67">
        <f t="shared" si="38"/>
        <v>24308</v>
      </c>
      <c r="H87" s="75">
        <f t="shared" si="39"/>
        <v>1</v>
      </c>
      <c r="I87" s="76">
        <f t="shared" si="40"/>
        <v>1.04</v>
      </c>
      <c r="J87" s="76">
        <f t="shared" si="41"/>
        <v>1.04</v>
      </c>
      <c r="K87" s="67">
        <f t="shared" si="42"/>
        <v>0</v>
      </c>
      <c r="L87" s="67">
        <f t="shared" si="43"/>
        <v>0</v>
      </c>
      <c r="M87" s="77">
        <f t="shared" si="44"/>
        <v>0</v>
      </c>
      <c r="N87" s="76">
        <f t="shared" si="45"/>
        <v>1.04</v>
      </c>
      <c r="O87" s="77">
        <f t="shared" si="46"/>
        <v>0.83505470459518594</v>
      </c>
      <c r="P87" s="76">
        <f t="shared" si="47"/>
        <v>0.41666666666666663</v>
      </c>
      <c r="Q87" s="76">
        <f t="shared" si="48"/>
        <v>0</v>
      </c>
      <c r="R87" s="76">
        <f t="shared" si="49"/>
        <v>0</v>
      </c>
      <c r="S87" s="76">
        <f t="shared" si="50"/>
        <v>1.0217139915046982</v>
      </c>
      <c r="T87" s="76">
        <f t="shared" si="51"/>
        <v>1.0217139915046982</v>
      </c>
      <c r="U87" s="76">
        <f t="shared" si="52"/>
        <v>1.04</v>
      </c>
    </row>
    <row r="88" spans="1:21" x14ac:dyDescent="0.25">
      <c r="A88" s="71">
        <v>10</v>
      </c>
      <c r="B88" s="72">
        <f t="shared" si="53"/>
        <v>45931</v>
      </c>
      <c r="C88" s="73">
        <f t="shared" si="34"/>
        <v>45961</v>
      </c>
      <c r="D88" s="67">
        <f t="shared" si="35"/>
        <v>31</v>
      </c>
      <c r="E88" s="67">
        <f t="shared" si="36"/>
        <v>10</v>
      </c>
      <c r="F88" s="74">
        <f t="shared" si="37"/>
        <v>45946.5</v>
      </c>
      <c r="G88" s="67">
        <f t="shared" si="38"/>
        <v>24309</v>
      </c>
      <c r="H88" s="75">
        <f t="shared" si="39"/>
        <v>1</v>
      </c>
      <c r="I88" s="76">
        <f t="shared" si="40"/>
        <v>1.04</v>
      </c>
      <c r="J88" s="76">
        <f t="shared" si="41"/>
        <v>1.04</v>
      </c>
      <c r="K88" s="67">
        <f t="shared" si="42"/>
        <v>0</v>
      </c>
      <c r="L88" s="67">
        <f t="shared" si="43"/>
        <v>0</v>
      </c>
      <c r="M88" s="77">
        <f t="shared" si="44"/>
        <v>0</v>
      </c>
      <c r="N88" s="76">
        <f t="shared" si="45"/>
        <v>1.04</v>
      </c>
      <c r="O88" s="77">
        <f t="shared" si="46"/>
        <v>0.83705689277899342</v>
      </c>
      <c r="P88" s="76">
        <f t="shared" si="47"/>
        <v>0.58333333333333326</v>
      </c>
      <c r="Q88" s="76">
        <f t="shared" si="48"/>
        <v>0</v>
      </c>
      <c r="R88" s="76">
        <f t="shared" si="49"/>
        <v>0</v>
      </c>
      <c r="S88" s="76">
        <f t="shared" si="50"/>
        <v>1.0241637276354745</v>
      </c>
      <c r="T88" s="76">
        <f t="shared" si="51"/>
        <v>1.0241637276354745</v>
      </c>
      <c r="U88" s="76">
        <f t="shared" si="52"/>
        <v>1.04</v>
      </c>
    </row>
    <row r="89" spans="1:21" x14ac:dyDescent="0.25">
      <c r="A89" s="71">
        <v>11</v>
      </c>
      <c r="B89" s="72">
        <f t="shared" si="53"/>
        <v>45962</v>
      </c>
      <c r="C89" s="73">
        <f t="shared" si="34"/>
        <v>45991</v>
      </c>
      <c r="D89" s="67">
        <f t="shared" si="35"/>
        <v>30</v>
      </c>
      <c r="E89" s="67">
        <f t="shared" si="36"/>
        <v>11</v>
      </c>
      <c r="F89" s="74">
        <f t="shared" si="37"/>
        <v>45977</v>
      </c>
      <c r="G89" s="67">
        <f t="shared" si="38"/>
        <v>24310</v>
      </c>
      <c r="H89" s="75">
        <f t="shared" si="39"/>
        <v>1</v>
      </c>
      <c r="I89" s="76">
        <f t="shared" si="40"/>
        <v>1.04</v>
      </c>
      <c r="J89" s="76">
        <f t="shared" si="41"/>
        <v>1.04</v>
      </c>
      <c r="K89" s="67">
        <f t="shared" si="42"/>
        <v>0</v>
      </c>
      <c r="L89" s="67">
        <f t="shared" si="43"/>
        <v>0</v>
      </c>
      <c r="M89" s="77">
        <f t="shared" si="44"/>
        <v>0</v>
      </c>
      <c r="N89" s="76">
        <f t="shared" si="45"/>
        <v>1.04</v>
      </c>
      <c r="O89" s="77">
        <f t="shared" si="46"/>
        <v>0.8390590809628008</v>
      </c>
      <c r="P89" s="76">
        <f t="shared" si="47"/>
        <v>0.75</v>
      </c>
      <c r="Q89" s="76">
        <f t="shared" si="48"/>
        <v>0</v>
      </c>
      <c r="R89" s="76">
        <f t="shared" si="49"/>
        <v>0</v>
      </c>
      <c r="S89" s="76">
        <f t="shared" si="50"/>
        <v>1.0266134637662505</v>
      </c>
      <c r="T89" s="76">
        <f t="shared" si="51"/>
        <v>1.0266134637662505</v>
      </c>
      <c r="U89" s="76">
        <f t="shared" si="52"/>
        <v>1.04</v>
      </c>
    </row>
    <row r="90" spans="1:21" x14ac:dyDescent="0.25">
      <c r="A90" s="71">
        <v>12</v>
      </c>
      <c r="B90" s="72">
        <f t="shared" si="53"/>
        <v>45992</v>
      </c>
      <c r="C90" s="73">
        <f t="shared" si="34"/>
        <v>46022</v>
      </c>
      <c r="D90" s="67">
        <f t="shared" si="35"/>
        <v>31</v>
      </c>
      <c r="E90" s="67">
        <f t="shared" si="36"/>
        <v>12</v>
      </c>
      <c r="F90" s="74">
        <f t="shared" si="37"/>
        <v>46007.5</v>
      </c>
      <c r="G90" s="67">
        <f t="shared" si="38"/>
        <v>24311</v>
      </c>
      <c r="H90" s="75">
        <f t="shared" si="39"/>
        <v>1</v>
      </c>
      <c r="I90" s="76">
        <f t="shared" si="40"/>
        <v>1.04</v>
      </c>
      <c r="J90" s="76">
        <f t="shared" si="41"/>
        <v>1.04</v>
      </c>
      <c r="K90" s="67">
        <f t="shared" si="42"/>
        <v>0</v>
      </c>
      <c r="L90" s="67">
        <f t="shared" si="43"/>
        <v>0</v>
      </c>
      <c r="M90" s="77">
        <f t="shared" si="44"/>
        <v>0</v>
      </c>
      <c r="N90" s="76">
        <f t="shared" si="45"/>
        <v>1.04</v>
      </c>
      <c r="O90" s="77">
        <f t="shared" si="46"/>
        <v>0.84106126914660828</v>
      </c>
      <c r="P90" s="76">
        <f t="shared" si="47"/>
        <v>0.91666666666666663</v>
      </c>
      <c r="Q90" s="76">
        <f t="shared" si="48"/>
        <v>0</v>
      </c>
      <c r="R90" s="76">
        <f t="shared" si="49"/>
        <v>0</v>
      </c>
      <c r="S90" s="76">
        <f t="shared" si="50"/>
        <v>1.0290631998970268</v>
      </c>
      <c r="T90" s="76">
        <f t="shared" si="51"/>
        <v>1.0290631998970268</v>
      </c>
      <c r="U90" s="76">
        <f t="shared" si="52"/>
        <v>1.04</v>
      </c>
    </row>
    <row r="91" spans="1:21" x14ac:dyDescent="0.25">
      <c r="A91" s="71">
        <v>13</v>
      </c>
      <c r="B91" s="72">
        <f t="shared" si="53"/>
        <v>46023</v>
      </c>
      <c r="C91" s="73">
        <f t="shared" si="34"/>
        <v>46053</v>
      </c>
      <c r="D91" s="67">
        <f t="shared" si="35"/>
        <v>31</v>
      </c>
      <c r="E91" s="67">
        <f t="shared" si="36"/>
        <v>1</v>
      </c>
      <c r="F91" s="74">
        <f t="shared" si="37"/>
        <v>46038.5</v>
      </c>
      <c r="G91" s="67">
        <f t="shared" si="38"/>
        <v>24312</v>
      </c>
      <c r="H91" s="75">
        <f t="shared" si="39"/>
        <v>1</v>
      </c>
      <c r="I91" s="76">
        <f t="shared" si="40"/>
        <v>1.04</v>
      </c>
      <c r="J91" s="76">
        <f t="shared" si="41"/>
        <v>1.04</v>
      </c>
      <c r="K91" s="67">
        <f t="shared" si="42"/>
        <v>0</v>
      </c>
      <c r="L91" s="67">
        <f t="shared" si="43"/>
        <v>0</v>
      </c>
      <c r="M91" s="77">
        <f t="shared" si="44"/>
        <v>0</v>
      </c>
      <c r="N91" s="76">
        <f t="shared" si="45"/>
        <v>1.04</v>
      </c>
      <c r="O91" s="77">
        <f t="shared" si="46"/>
        <v>0.84309628008752735</v>
      </c>
      <c r="P91" s="76">
        <f t="shared" si="47"/>
        <v>1</v>
      </c>
      <c r="Q91" s="76">
        <f t="shared" si="48"/>
        <v>0</v>
      </c>
      <c r="R91" s="76">
        <f t="shared" si="49"/>
        <v>0</v>
      </c>
      <c r="S91" s="76">
        <f t="shared" si="50"/>
        <v>1.031553095636504</v>
      </c>
      <c r="T91" s="76">
        <f t="shared" si="51"/>
        <v>1.031553095636504</v>
      </c>
      <c r="U91" s="76">
        <f t="shared" si="52"/>
        <v>1.04</v>
      </c>
    </row>
    <row r="92" spans="1:21" x14ac:dyDescent="0.25">
      <c r="A92" s="71">
        <v>14</v>
      </c>
      <c r="B92" s="72">
        <f t="shared" si="53"/>
        <v>46054</v>
      </c>
      <c r="C92" s="73">
        <f t="shared" si="34"/>
        <v>46081</v>
      </c>
      <c r="D92" s="67">
        <f t="shared" si="35"/>
        <v>28</v>
      </c>
      <c r="E92" s="67">
        <f t="shared" si="36"/>
        <v>2</v>
      </c>
      <c r="F92" s="74">
        <f t="shared" si="37"/>
        <v>46068</v>
      </c>
      <c r="G92" s="67">
        <f t="shared" si="38"/>
        <v>24313</v>
      </c>
      <c r="H92" s="75">
        <f t="shared" si="39"/>
        <v>1</v>
      </c>
      <c r="I92" s="76">
        <f t="shared" si="40"/>
        <v>1.04</v>
      </c>
      <c r="J92" s="76">
        <f t="shared" si="41"/>
        <v>1.04</v>
      </c>
      <c r="K92" s="67">
        <f t="shared" si="42"/>
        <v>0</v>
      </c>
      <c r="L92" s="67">
        <f t="shared" si="43"/>
        <v>0</v>
      </c>
      <c r="M92" s="77">
        <f t="shared" si="44"/>
        <v>0</v>
      </c>
      <c r="N92" s="76">
        <f t="shared" si="45"/>
        <v>1.04</v>
      </c>
      <c r="O92" s="77">
        <f t="shared" si="46"/>
        <v>0.84503282275711156</v>
      </c>
      <c r="P92" s="76">
        <f t="shared" si="47"/>
        <v>1</v>
      </c>
      <c r="Q92" s="76">
        <f t="shared" si="48"/>
        <v>0</v>
      </c>
      <c r="R92" s="76">
        <f t="shared" si="49"/>
        <v>0</v>
      </c>
      <c r="S92" s="76">
        <f t="shared" si="50"/>
        <v>1.0339225125498777</v>
      </c>
      <c r="T92" s="76">
        <f t="shared" si="51"/>
        <v>1.0339225125498777</v>
      </c>
      <c r="U92" s="76">
        <f t="shared" si="52"/>
        <v>1.04</v>
      </c>
    </row>
    <row r="93" spans="1:21" x14ac:dyDescent="0.25">
      <c r="A93" s="71">
        <v>15</v>
      </c>
      <c r="B93" s="72">
        <f t="shared" si="53"/>
        <v>46082</v>
      </c>
      <c r="C93" s="73">
        <f t="shared" si="34"/>
        <v>46112</v>
      </c>
      <c r="D93" s="67">
        <f t="shared" si="35"/>
        <v>31</v>
      </c>
      <c r="E93" s="67">
        <f t="shared" si="36"/>
        <v>3</v>
      </c>
      <c r="F93" s="74">
        <f t="shared" si="37"/>
        <v>46097.5</v>
      </c>
      <c r="G93" s="67">
        <f t="shared" si="38"/>
        <v>24314</v>
      </c>
      <c r="H93" s="75">
        <f t="shared" si="39"/>
        <v>1</v>
      </c>
      <c r="I93" s="76">
        <f t="shared" si="40"/>
        <v>1.04</v>
      </c>
      <c r="J93" s="76">
        <f t="shared" si="41"/>
        <v>1.04</v>
      </c>
      <c r="K93" s="67">
        <f t="shared" si="42"/>
        <v>0</v>
      </c>
      <c r="L93" s="67">
        <f t="shared" si="43"/>
        <v>0</v>
      </c>
      <c r="M93" s="77">
        <f t="shared" si="44"/>
        <v>0</v>
      </c>
      <c r="N93" s="76">
        <f t="shared" si="45"/>
        <v>1.04</v>
      </c>
      <c r="O93" s="77">
        <f t="shared" si="46"/>
        <v>0.84696936542669587</v>
      </c>
      <c r="P93" s="76">
        <f t="shared" si="47"/>
        <v>1</v>
      </c>
      <c r="Q93" s="76">
        <f t="shared" si="48"/>
        <v>0</v>
      </c>
      <c r="R93" s="76">
        <f t="shared" si="49"/>
        <v>0</v>
      </c>
      <c r="S93" s="76">
        <f t="shared" si="50"/>
        <v>1.0362919294632515</v>
      </c>
      <c r="T93" s="76">
        <f t="shared" si="51"/>
        <v>1.0362919294632515</v>
      </c>
      <c r="U93" s="76">
        <f t="shared" si="52"/>
        <v>1.04</v>
      </c>
    </row>
    <row r="94" spans="1:21" x14ac:dyDescent="0.25">
      <c r="A94" s="71">
        <v>16</v>
      </c>
      <c r="B94" s="72">
        <f t="shared" si="53"/>
        <v>46113</v>
      </c>
      <c r="C94" s="73">
        <f t="shared" si="34"/>
        <v>46142</v>
      </c>
      <c r="D94" s="67">
        <f t="shared" si="35"/>
        <v>30</v>
      </c>
      <c r="E94" s="67">
        <f t="shared" si="36"/>
        <v>4</v>
      </c>
      <c r="F94" s="74">
        <f t="shared" si="37"/>
        <v>46128</v>
      </c>
      <c r="G94" s="67">
        <f t="shared" si="38"/>
        <v>24315</v>
      </c>
      <c r="H94" s="75">
        <f t="shared" si="39"/>
        <v>1</v>
      </c>
      <c r="I94" s="76">
        <f t="shared" si="40"/>
        <v>1.04</v>
      </c>
      <c r="J94" s="76">
        <f t="shared" si="41"/>
        <v>1.04</v>
      </c>
      <c r="K94" s="67">
        <f t="shared" si="42"/>
        <v>0</v>
      </c>
      <c r="L94" s="67">
        <f t="shared" si="43"/>
        <v>0</v>
      </c>
      <c r="M94" s="77">
        <f t="shared" si="44"/>
        <v>0</v>
      </c>
      <c r="N94" s="76">
        <f t="shared" si="45"/>
        <v>1.04</v>
      </c>
      <c r="O94" s="77">
        <f t="shared" si="46"/>
        <v>0.84897155361050325</v>
      </c>
      <c r="P94" s="76">
        <f t="shared" si="47"/>
        <v>1</v>
      </c>
      <c r="Q94" s="76">
        <f t="shared" si="48"/>
        <v>0</v>
      </c>
      <c r="R94" s="76">
        <f t="shared" si="49"/>
        <v>0</v>
      </c>
      <c r="S94" s="76">
        <f t="shared" si="50"/>
        <v>1.0387416655940276</v>
      </c>
      <c r="T94" s="76">
        <f t="shared" si="51"/>
        <v>1.0387416655940276</v>
      </c>
      <c r="U94" s="76">
        <f t="shared" si="52"/>
        <v>1.04</v>
      </c>
    </row>
    <row r="95" spans="1:21" x14ac:dyDescent="0.25">
      <c r="A95" s="71">
        <v>17</v>
      </c>
      <c r="B95" s="72">
        <f t="shared" si="53"/>
        <v>46143</v>
      </c>
      <c r="C95" s="73">
        <f t="shared" si="34"/>
        <v>46173</v>
      </c>
      <c r="D95" s="67">
        <f t="shared" si="35"/>
        <v>31</v>
      </c>
      <c r="E95" s="67">
        <f t="shared" si="36"/>
        <v>5</v>
      </c>
      <c r="F95" s="74">
        <f t="shared" si="37"/>
        <v>46158.5</v>
      </c>
      <c r="G95" s="67">
        <f t="shared" si="38"/>
        <v>24316</v>
      </c>
      <c r="H95" s="75">
        <f t="shared" si="39"/>
        <v>1</v>
      </c>
      <c r="I95" s="76">
        <f t="shared" si="40"/>
        <v>1.04</v>
      </c>
      <c r="J95" s="76">
        <f t="shared" si="41"/>
        <v>1.04</v>
      </c>
      <c r="K95" s="67">
        <f t="shared" si="42"/>
        <v>0</v>
      </c>
      <c r="L95" s="67">
        <f t="shared" si="43"/>
        <v>0</v>
      </c>
      <c r="M95" s="77">
        <f t="shared" si="44"/>
        <v>0</v>
      </c>
      <c r="N95" s="76">
        <f t="shared" si="45"/>
        <v>1.04</v>
      </c>
      <c r="O95" s="77">
        <f t="shared" si="46"/>
        <v>0.85097374179431073</v>
      </c>
      <c r="P95" s="76">
        <f t="shared" si="47"/>
        <v>1</v>
      </c>
      <c r="Q95" s="76">
        <f t="shared" si="48"/>
        <v>0</v>
      </c>
      <c r="R95" s="76">
        <f t="shared" si="49"/>
        <v>0</v>
      </c>
      <c r="S95" s="76">
        <f t="shared" si="50"/>
        <v>1.0411914017248036</v>
      </c>
      <c r="T95" s="76">
        <f t="shared" si="51"/>
        <v>1.0411914017248036</v>
      </c>
      <c r="U95" s="76">
        <f t="shared" si="52"/>
        <v>1.04</v>
      </c>
    </row>
    <row r="96" spans="1:21" x14ac:dyDescent="0.25">
      <c r="A96" s="71">
        <v>18</v>
      </c>
      <c r="B96" s="72">
        <f t="shared" si="53"/>
        <v>46174</v>
      </c>
      <c r="C96" s="73">
        <f t="shared" si="34"/>
        <v>46203</v>
      </c>
      <c r="D96" s="67">
        <f t="shared" si="35"/>
        <v>30</v>
      </c>
      <c r="E96" s="67">
        <f t="shared" si="36"/>
        <v>6</v>
      </c>
      <c r="F96" s="74">
        <f t="shared" si="37"/>
        <v>46189</v>
      </c>
      <c r="G96" s="67">
        <f t="shared" si="38"/>
        <v>24317</v>
      </c>
      <c r="H96" s="75">
        <f t="shared" si="39"/>
        <v>1</v>
      </c>
      <c r="I96" s="76">
        <f t="shared" si="40"/>
        <v>1.04</v>
      </c>
      <c r="J96" s="76">
        <f t="shared" si="41"/>
        <v>1.04</v>
      </c>
      <c r="K96" s="67">
        <f t="shared" si="42"/>
        <v>0</v>
      </c>
      <c r="L96" s="67">
        <f t="shared" si="43"/>
        <v>0</v>
      </c>
      <c r="M96" s="77">
        <f t="shared" si="44"/>
        <v>0</v>
      </c>
      <c r="N96" s="76">
        <f t="shared" si="45"/>
        <v>1.04</v>
      </c>
      <c r="O96" s="77">
        <f t="shared" si="46"/>
        <v>0.85297592997811811</v>
      </c>
      <c r="P96" s="76">
        <f t="shared" si="47"/>
        <v>1</v>
      </c>
      <c r="Q96" s="76">
        <f t="shared" si="48"/>
        <v>0</v>
      </c>
      <c r="R96" s="76">
        <f t="shared" si="49"/>
        <v>0</v>
      </c>
      <c r="S96" s="76">
        <f t="shared" si="50"/>
        <v>1.0436411378555797</v>
      </c>
      <c r="T96" s="76">
        <f t="shared" si="51"/>
        <v>1.0436411378555797</v>
      </c>
      <c r="U96" s="76">
        <f t="shared" si="52"/>
        <v>1.04</v>
      </c>
    </row>
    <row r="97" spans="1:21" x14ac:dyDescent="0.25">
      <c r="A97" s="71">
        <v>19</v>
      </c>
      <c r="B97" s="72">
        <f t="shared" si="53"/>
        <v>46204</v>
      </c>
      <c r="C97" s="73">
        <f t="shared" si="34"/>
        <v>46234</v>
      </c>
      <c r="D97" s="67">
        <f t="shared" si="35"/>
        <v>31</v>
      </c>
      <c r="E97" s="67">
        <f t="shared" si="36"/>
        <v>7</v>
      </c>
      <c r="F97" s="74">
        <f t="shared" si="37"/>
        <v>46219.5</v>
      </c>
      <c r="G97" s="67">
        <f t="shared" si="38"/>
        <v>24318</v>
      </c>
      <c r="H97" s="75">
        <f t="shared" si="39"/>
        <v>1</v>
      </c>
      <c r="I97" s="76">
        <f t="shared" si="40"/>
        <v>1.04</v>
      </c>
      <c r="J97" s="76">
        <f t="shared" si="41"/>
        <v>1.1024</v>
      </c>
      <c r="K97" s="67">
        <f t="shared" si="42"/>
        <v>1</v>
      </c>
      <c r="L97" s="67">
        <f t="shared" si="43"/>
        <v>31</v>
      </c>
      <c r="M97" s="77">
        <f t="shared" si="44"/>
        <v>1</v>
      </c>
      <c r="N97" s="76">
        <f t="shared" si="45"/>
        <v>1.1024</v>
      </c>
      <c r="O97" s="77">
        <f t="shared" si="46"/>
        <v>0.85497811816192559</v>
      </c>
      <c r="P97" s="76">
        <f t="shared" si="47"/>
        <v>0.91666666666666663</v>
      </c>
      <c r="Q97" s="76">
        <f t="shared" si="48"/>
        <v>8.333333333333337E-2</v>
      </c>
      <c r="R97" s="76">
        <f t="shared" si="49"/>
        <v>0</v>
      </c>
      <c r="S97" s="76">
        <f t="shared" si="50"/>
        <v>1.1088563264255376</v>
      </c>
      <c r="T97" s="76">
        <f t="shared" si="51"/>
        <v>1.1088563264255376</v>
      </c>
      <c r="U97" s="76">
        <f t="shared" si="52"/>
        <v>1.1024</v>
      </c>
    </row>
    <row r="98" spans="1:21" x14ac:dyDescent="0.25">
      <c r="A98" s="71">
        <v>20</v>
      </c>
      <c r="B98" s="72">
        <f t="shared" si="53"/>
        <v>46235</v>
      </c>
      <c r="C98" s="73">
        <f t="shared" si="34"/>
        <v>46265</v>
      </c>
      <c r="D98" s="67">
        <f t="shared" si="35"/>
        <v>31</v>
      </c>
      <c r="E98" s="67">
        <f t="shared" si="36"/>
        <v>8</v>
      </c>
      <c r="F98" s="74">
        <f t="shared" si="37"/>
        <v>46250.5</v>
      </c>
      <c r="G98" s="67">
        <f t="shared" si="38"/>
        <v>24319</v>
      </c>
      <c r="H98" s="75">
        <f t="shared" si="39"/>
        <v>1</v>
      </c>
      <c r="I98" s="76">
        <f t="shared" si="40"/>
        <v>1.1024</v>
      </c>
      <c r="J98" s="76">
        <f t="shared" si="41"/>
        <v>1.1024</v>
      </c>
      <c r="K98" s="67">
        <f t="shared" si="42"/>
        <v>0</v>
      </c>
      <c r="L98" s="67">
        <f t="shared" si="43"/>
        <v>0</v>
      </c>
      <c r="M98" s="77">
        <f t="shared" si="44"/>
        <v>0</v>
      </c>
      <c r="N98" s="76">
        <f t="shared" si="45"/>
        <v>1.1024</v>
      </c>
      <c r="O98" s="77">
        <f t="shared" si="46"/>
        <v>0.85701312910284466</v>
      </c>
      <c r="P98" s="76">
        <f t="shared" si="47"/>
        <v>0.75</v>
      </c>
      <c r="Q98" s="76">
        <f t="shared" si="48"/>
        <v>0.25</v>
      </c>
      <c r="R98" s="76">
        <f t="shared" si="49"/>
        <v>0</v>
      </c>
      <c r="S98" s="76">
        <f t="shared" si="50"/>
        <v>1.1114956159093834</v>
      </c>
      <c r="T98" s="76">
        <f t="shared" si="51"/>
        <v>1.1114956159093834</v>
      </c>
      <c r="U98" s="76">
        <f t="shared" si="52"/>
        <v>1.1024</v>
      </c>
    </row>
    <row r="99" spans="1:21" x14ac:dyDescent="0.25">
      <c r="A99" s="71">
        <v>21</v>
      </c>
      <c r="B99" s="72">
        <f t="shared" si="53"/>
        <v>46266</v>
      </c>
      <c r="C99" s="73">
        <f t="shared" si="34"/>
        <v>46295</v>
      </c>
      <c r="D99" s="67">
        <f t="shared" si="35"/>
        <v>30</v>
      </c>
      <c r="E99" s="67">
        <f t="shared" si="36"/>
        <v>9</v>
      </c>
      <c r="F99" s="74">
        <f t="shared" si="37"/>
        <v>46281</v>
      </c>
      <c r="G99" s="67">
        <f t="shared" si="38"/>
        <v>24320</v>
      </c>
      <c r="H99" s="75">
        <f t="shared" si="39"/>
        <v>1</v>
      </c>
      <c r="I99" s="76">
        <f t="shared" si="40"/>
        <v>1.1024</v>
      </c>
      <c r="J99" s="76">
        <f t="shared" si="41"/>
        <v>1.1024</v>
      </c>
      <c r="K99" s="67">
        <f t="shared" si="42"/>
        <v>0</v>
      </c>
      <c r="L99" s="67">
        <f t="shared" si="43"/>
        <v>0</v>
      </c>
      <c r="M99" s="77">
        <f t="shared" si="44"/>
        <v>0</v>
      </c>
      <c r="N99" s="76">
        <f t="shared" si="45"/>
        <v>1.1024</v>
      </c>
      <c r="O99" s="77">
        <f t="shared" si="46"/>
        <v>0.85901531728665204</v>
      </c>
      <c r="P99" s="76">
        <f t="shared" si="47"/>
        <v>0.58333333333333337</v>
      </c>
      <c r="Q99" s="76">
        <f t="shared" si="48"/>
        <v>0.41666666666666663</v>
      </c>
      <c r="R99" s="76">
        <f t="shared" si="49"/>
        <v>0</v>
      </c>
      <c r="S99" s="76">
        <f t="shared" si="50"/>
        <v>1.1140923362080062</v>
      </c>
      <c r="T99" s="76">
        <f t="shared" si="51"/>
        <v>1.1140923362080062</v>
      </c>
      <c r="U99" s="76">
        <f t="shared" si="52"/>
        <v>1.1024</v>
      </c>
    </row>
    <row r="100" spans="1:21" x14ac:dyDescent="0.25">
      <c r="A100" s="71">
        <v>22</v>
      </c>
      <c r="B100" s="72">
        <f t="shared" si="53"/>
        <v>46296</v>
      </c>
      <c r="C100" s="73">
        <f t="shared" si="34"/>
        <v>46326</v>
      </c>
      <c r="D100" s="67">
        <f t="shared" si="35"/>
        <v>31</v>
      </c>
      <c r="E100" s="67">
        <f t="shared" si="36"/>
        <v>10</v>
      </c>
      <c r="F100" s="74">
        <f t="shared" si="37"/>
        <v>46311.5</v>
      </c>
      <c r="G100" s="67">
        <f t="shared" si="38"/>
        <v>24321</v>
      </c>
      <c r="H100" s="75">
        <f t="shared" si="39"/>
        <v>1</v>
      </c>
      <c r="I100" s="76">
        <f t="shared" si="40"/>
        <v>1.1024</v>
      </c>
      <c r="J100" s="76">
        <f t="shared" si="41"/>
        <v>1.1024</v>
      </c>
      <c r="K100" s="67">
        <f t="shared" si="42"/>
        <v>0</v>
      </c>
      <c r="L100" s="67">
        <f t="shared" si="43"/>
        <v>0</v>
      </c>
      <c r="M100" s="77">
        <f t="shared" si="44"/>
        <v>0</v>
      </c>
      <c r="N100" s="76">
        <f t="shared" si="45"/>
        <v>1.1024</v>
      </c>
      <c r="O100" s="77">
        <f t="shared" si="46"/>
        <v>0.86101750547045952</v>
      </c>
      <c r="P100" s="76">
        <f t="shared" si="47"/>
        <v>0.41666666666666669</v>
      </c>
      <c r="Q100" s="76">
        <f t="shared" si="48"/>
        <v>0.58333333333333326</v>
      </c>
      <c r="R100" s="76">
        <f t="shared" si="49"/>
        <v>0</v>
      </c>
      <c r="S100" s="76">
        <f t="shared" si="50"/>
        <v>1.116689056506629</v>
      </c>
      <c r="T100" s="76">
        <f t="shared" si="51"/>
        <v>1.116689056506629</v>
      </c>
      <c r="U100" s="76">
        <f t="shared" si="52"/>
        <v>1.1024</v>
      </c>
    </row>
    <row r="101" spans="1:21" x14ac:dyDescent="0.25">
      <c r="A101" s="71">
        <v>23</v>
      </c>
      <c r="B101" s="72">
        <f t="shared" si="53"/>
        <v>46327</v>
      </c>
      <c r="C101" s="73">
        <f t="shared" si="34"/>
        <v>46356</v>
      </c>
      <c r="D101" s="67">
        <f t="shared" si="35"/>
        <v>30</v>
      </c>
      <c r="E101" s="67">
        <f t="shared" si="36"/>
        <v>11</v>
      </c>
      <c r="F101" s="74">
        <f t="shared" si="37"/>
        <v>46342</v>
      </c>
      <c r="G101" s="67">
        <f t="shared" si="38"/>
        <v>24322</v>
      </c>
      <c r="H101" s="75">
        <f t="shared" si="39"/>
        <v>1</v>
      </c>
      <c r="I101" s="76">
        <f t="shared" si="40"/>
        <v>1.1024</v>
      </c>
      <c r="J101" s="76">
        <f t="shared" si="41"/>
        <v>1.1024</v>
      </c>
      <c r="K101" s="67">
        <f t="shared" si="42"/>
        <v>0</v>
      </c>
      <c r="L101" s="67">
        <f t="shared" si="43"/>
        <v>0</v>
      </c>
      <c r="M101" s="77">
        <f t="shared" si="44"/>
        <v>0</v>
      </c>
      <c r="N101" s="76">
        <f t="shared" si="45"/>
        <v>1.1024</v>
      </c>
      <c r="O101" s="77">
        <f t="shared" si="46"/>
        <v>0.8630196936542669</v>
      </c>
      <c r="P101" s="76">
        <f t="shared" si="47"/>
        <v>0.25</v>
      </c>
      <c r="Q101" s="76">
        <f t="shared" si="48"/>
        <v>0.75</v>
      </c>
      <c r="R101" s="76">
        <f t="shared" si="49"/>
        <v>0</v>
      </c>
      <c r="S101" s="76">
        <f t="shared" si="50"/>
        <v>1.1192857768052518</v>
      </c>
      <c r="T101" s="76">
        <f t="shared" si="51"/>
        <v>1.1192857768052518</v>
      </c>
      <c r="U101" s="76">
        <f t="shared" si="52"/>
        <v>1.1024</v>
      </c>
    </row>
    <row r="102" spans="1:21" x14ac:dyDescent="0.25">
      <c r="A102" s="71">
        <v>24</v>
      </c>
      <c r="B102" s="72">
        <f t="shared" si="53"/>
        <v>46357</v>
      </c>
      <c r="C102" s="73">
        <f t="shared" si="34"/>
        <v>46387</v>
      </c>
      <c r="D102" s="67">
        <f t="shared" si="35"/>
        <v>31</v>
      </c>
      <c r="E102" s="67">
        <f t="shared" si="36"/>
        <v>12</v>
      </c>
      <c r="F102" s="74">
        <f t="shared" si="37"/>
        <v>46372.5</v>
      </c>
      <c r="G102" s="67">
        <f t="shared" si="38"/>
        <v>24323</v>
      </c>
      <c r="H102" s="75">
        <f t="shared" si="39"/>
        <v>1</v>
      </c>
      <c r="I102" s="76">
        <f t="shared" si="40"/>
        <v>1.1024</v>
      </c>
      <c r="J102" s="76">
        <f t="shared" si="41"/>
        <v>1.1024</v>
      </c>
      <c r="K102" s="67">
        <f t="shared" si="42"/>
        <v>0</v>
      </c>
      <c r="L102" s="67">
        <f t="shared" si="43"/>
        <v>0</v>
      </c>
      <c r="M102" s="77">
        <f t="shared" si="44"/>
        <v>0</v>
      </c>
      <c r="N102" s="76">
        <f t="shared" si="45"/>
        <v>1.1024</v>
      </c>
      <c r="O102" s="77">
        <f t="shared" si="46"/>
        <v>0.86502188183807438</v>
      </c>
      <c r="P102" s="76">
        <f t="shared" si="47"/>
        <v>8.3333333333333329E-2</v>
      </c>
      <c r="Q102" s="76">
        <f t="shared" si="48"/>
        <v>0.91666666666666663</v>
      </c>
      <c r="R102" s="76">
        <f t="shared" si="49"/>
        <v>0</v>
      </c>
      <c r="S102" s="76">
        <f t="shared" si="50"/>
        <v>1.1218824971038743</v>
      </c>
      <c r="T102" s="76">
        <f t="shared" si="51"/>
        <v>1.1218824971038743</v>
      </c>
      <c r="U102" s="76">
        <f t="shared" si="52"/>
        <v>1.1024</v>
      </c>
    </row>
    <row r="103" spans="1:21" x14ac:dyDescent="0.25">
      <c r="A103" s="71">
        <v>25</v>
      </c>
      <c r="B103" s="72">
        <f t="shared" si="53"/>
        <v>46388</v>
      </c>
      <c r="C103" s="73">
        <f t="shared" si="34"/>
        <v>46418</v>
      </c>
      <c r="D103" s="67">
        <f t="shared" si="35"/>
        <v>31</v>
      </c>
      <c r="E103" s="67">
        <f t="shared" si="36"/>
        <v>1</v>
      </c>
      <c r="F103" s="74">
        <f t="shared" si="37"/>
        <v>46403.5</v>
      </c>
      <c r="G103" s="67">
        <f t="shared" si="38"/>
        <v>24324</v>
      </c>
      <c r="H103" s="75">
        <f t="shared" si="39"/>
        <v>1</v>
      </c>
      <c r="I103" s="76">
        <f t="shared" si="40"/>
        <v>1.1024</v>
      </c>
      <c r="J103" s="76">
        <f t="shared" si="41"/>
        <v>1.1024</v>
      </c>
      <c r="K103" s="67">
        <f t="shared" si="42"/>
        <v>0</v>
      </c>
      <c r="L103" s="67">
        <f t="shared" si="43"/>
        <v>0</v>
      </c>
      <c r="M103" s="77">
        <f t="shared" si="44"/>
        <v>0</v>
      </c>
      <c r="N103" s="76">
        <f t="shared" si="45"/>
        <v>1.1024</v>
      </c>
      <c r="O103" s="77">
        <f t="shared" si="46"/>
        <v>0.86705689277899345</v>
      </c>
      <c r="P103" s="76">
        <f t="shared" si="47"/>
        <v>0</v>
      </c>
      <c r="Q103" s="76">
        <f t="shared" si="48"/>
        <v>1</v>
      </c>
      <c r="R103" s="76">
        <f t="shared" si="49"/>
        <v>0</v>
      </c>
      <c r="S103" s="76">
        <f t="shared" si="50"/>
        <v>1.1245217865877206</v>
      </c>
      <c r="T103" s="76">
        <f t="shared" si="51"/>
        <v>1.031553095636504</v>
      </c>
      <c r="U103" s="76">
        <f t="shared" si="52"/>
        <v>1.1024</v>
      </c>
    </row>
    <row r="104" spans="1:21" x14ac:dyDescent="0.25">
      <c r="A104" s="71">
        <v>26</v>
      </c>
      <c r="B104" s="72">
        <f t="shared" si="53"/>
        <v>46419</v>
      </c>
      <c r="C104" s="73">
        <f t="shared" si="34"/>
        <v>46446</v>
      </c>
      <c r="D104" s="67">
        <f t="shared" si="35"/>
        <v>28</v>
      </c>
      <c r="E104" s="67">
        <f t="shared" si="36"/>
        <v>2</v>
      </c>
      <c r="F104" s="74">
        <f t="shared" si="37"/>
        <v>46433</v>
      </c>
      <c r="G104" s="67">
        <f t="shared" si="38"/>
        <v>24325</v>
      </c>
      <c r="H104" s="75">
        <f t="shared" si="39"/>
        <v>1</v>
      </c>
      <c r="I104" s="76">
        <f t="shared" si="40"/>
        <v>1.1024</v>
      </c>
      <c r="J104" s="76">
        <f t="shared" si="41"/>
        <v>1.1024</v>
      </c>
      <c r="K104" s="67">
        <f t="shared" si="42"/>
        <v>0</v>
      </c>
      <c r="L104" s="67">
        <f t="shared" si="43"/>
        <v>0</v>
      </c>
      <c r="M104" s="77">
        <f t="shared" si="44"/>
        <v>0</v>
      </c>
      <c r="N104" s="76">
        <f t="shared" si="45"/>
        <v>1.1024</v>
      </c>
      <c r="O104" s="77">
        <f t="shared" si="46"/>
        <v>0.86899343544857766</v>
      </c>
      <c r="P104" s="76">
        <f t="shared" si="47"/>
        <v>0</v>
      </c>
      <c r="Q104" s="76">
        <f t="shared" si="48"/>
        <v>1</v>
      </c>
      <c r="R104" s="76">
        <f t="shared" si="49"/>
        <v>0</v>
      </c>
      <c r="S104" s="76">
        <f t="shared" si="50"/>
        <v>1.1270333685158964</v>
      </c>
      <c r="T104" s="76">
        <f t="shared" si="51"/>
        <v>1.0339225125498777</v>
      </c>
      <c r="U104" s="76">
        <f t="shared" si="52"/>
        <v>1.1024</v>
      </c>
    </row>
    <row r="105" spans="1:21" x14ac:dyDescent="0.25">
      <c r="A105" s="71">
        <v>27</v>
      </c>
      <c r="B105" s="72">
        <f t="shared" si="53"/>
        <v>46447</v>
      </c>
      <c r="C105" s="73">
        <f t="shared" si="34"/>
        <v>46477</v>
      </c>
      <c r="D105" s="67">
        <f t="shared" si="35"/>
        <v>31</v>
      </c>
      <c r="E105" s="67">
        <f t="shared" si="36"/>
        <v>3</v>
      </c>
      <c r="F105" s="74">
        <f t="shared" si="37"/>
        <v>46462.5</v>
      </c>
      <c r="G105" s="67">
        <f t="shared" si="38"/>
        <v>24326</v>
      </c>
      <c r="H105" s="75">
        <f t="shared" si="39"/>
        <v>1</v>
      </c>
      <c r="I105" s="76">
        <f t="shared" si="40"/>
        <v>1.1024</v>
      </c>
      <c r="J105" s="76">
        <f t="shared" si="41"/>
        <v>1.1024</v>
      </c>
      <c r="K105" s="67">
        <f t="shared" si="42"/>
        <v>0</v>
      </c>
      <c r="L105" s="67">
        <f t="shared" si="43"/>
        <v>0</v>
      </c>
      <c r="M105" s="77">
        <f t="shared" si="44"/>
        <v>0</v>
      </c>
      <c r="N105" s="76">
        <f t="shared" si="45"/>
        <v>1.1024</v>
      </c>
      <c r="O105" s="77">
        <f t="shared" si="46"/>
        <v>0.87092997811816197</v>
      </c>
      <c r="P105" s="76">
        <f t="shared" si="47"/>
        <v>0</v>
      </c>
      <c r="Q105" s="76">
        <f t="shared" si="48"/>
        <v>1</v>
      </c>
      <c r="R105" s="76">
        <f t="shared" si="49"/>
        <v>0</v>
      </c>
      <c r="S105" s="76">
        <f t="shared" si="50"/>
        <v>1.1295449504440729</v>
      </c>
      <c r="T105" s="76">
        <f t="shared" si="51"/>
        <v>1.0362919294632515</v>
      </c>
      <c r="U105" s="76">
        <f t="shared" si="52"/>
        <v>1.1024</v>
      </c>
    </row>
    <row r="106" spans="1:21" x14ac:dyDescent="0.25">
      <c r="A106" s="71">
        <v>28</v>
      </c>
      <c r="B106" s="72">
        <f t="shared" si="53"/>
        <v>46478</v>
      </c>
      <c r="C106" s="73">
        <f t="shared" si="34"/>
        <v>46507</v>
      </c>
      <c r="D106" s="67">
        <f t="shared" si="35"/>
        <v>30</v>
      </c>
      <c r="E106" s="67">
        <f t="shared" si="36"/>
        <v>4</v>
      </c>
      <c r="F106" s="74">
        <f t="shared" si="37"/>
        <v>46493</v>
      </c>
      <c r="G106" s="67">
        <f t="shared" si="38"/>
        <v>24327</v>
      </c>
      <c r="H106" s="75">
        <f t="shared" si="39"/>
        <v>1</v>
      </c>
      <c r="I106" s="76">
        <f t="shared" si="40"/>
        <v>1.1024</v>
      </c>
      <c r="J106" s="76">
        <f t="shared" si="41"/>
        <v>1.1575200000000001</v>
      </c>
      <c r="K106" s="67">
        <f t="shared" si="42"/>
        <v>1</v>
      </c>
      <c r="L106" s="67">
        <f t="shared" si="43"/>
        <v>30</v>
      </c>
      <c r="M106" s="77">
        <f t="shared" si="44"/>
        <v>1</v>
      </c>
      <c r="N106" s="76">
        <f t="shared" si="45"/>
        <v>1.1575200000000001</v>
      </c>
      <c r="O106" s="77">
        <f t="shared" si="46"/>
        <v>0.87293216630196935</v>
      </c>
      <c r="P106" s="76">
        <f t="shared" si="47"/>
        <v>0</v>
      </c>
      <c r="Q106" s="76">
        <f t="shared" si="48"/>
        <v>1</v>
      </c>
      <c r="R106" s="76">
        <f t="shared" si="49"/>
        <v>0</v>
      </c>
      <c r="S106" s="76">
        <f t="shared" si="50"/>
        <v>1.1887487542798303</v>
      </c>
      <c r="T106" s="76">
        <f t="shared" si="51"/>
        <v>1.0387416655940276</v>
      </c>
      <c r="U106" s="76">
        <f t="shared" si="52"/>
        <v>1.1575200000000001</v>
      </c>
    </row>
    <row r="107" spans="1:21" x14ac:dyDescent="0.25">
      <c r="A107" s="71">
        <v>29</v>
      </c>
      <c r="B107" s="72">
        <f t="shared" si="53"/>
        <v>46508</v>
      </c>
      <c r="C107" s="73">
        <f t="shared" si="34"/>
        <v>46538</v>
      </c>
      <c r="D107" s="67">
        <f t="shared" si="35"/>
        <v>31</v>
      </c>
      <c r="E107" s="67">
        <f t="shared" si="36"/>
        <v>5</v>
      </c>
      <c r="F107" s="74">
        <f t="shared" si="37"/>
        <v>46523.5</v>
      </c>
      <c r="G107" s="67">
        <f t="shared" si="38"/>
        <v>24328</v>
      </c>
      <c r="H107" s="75">
        <f t="shared" si="39"/>
        <v>1</v>
      </c>
      <c r="I107" s="76">
        <f t="shared" si="40"/>
        <v>1.1575200000000001</v>
      </c>
      <c r="J107" s="76">
        <f t="shared" si="41"/>
        <v>1.1575200000000001</v>
      </c>
      <c r="K107" s="67">
        <f t="shared" si="42"/>
        <v>0</v>
      </c>
      <c r="L107" s="67">
        <f t="shared" si="43"/>
        <v>0</v>
      </c>
      <c r="M107" s="77">
        <f t="shared" si="44"/>
        <v>0</v>
      </c>
      <c r="N107" s="76">
        <f t="shared" si="45"/>
        <v>1.1575200000000001</v>
      </c>
      <c r="O107" s="77">
        <f t="shared" si="46"/>
        <v>0.87493435448577683</v>
      </c>
      <c r="P107" s="76">
        <f t="shared" si="47"/>
        <v>0</v>
      </c>
      <c r="Q107" s="76">
        <f t="shared" si="48"/>
        <v>1</v>
      </c>
      <c r="R107" s="76">
        <f t="shared" si="49"/>
        <v>0</v>
      </c>
      <c r="S107" s="76">
        <f t="shared" si="50"/>
        <v>1.191475310593384</v>
      </c>
      <c r="T107" s="76">
        <f t="shared" si="51"/>
        <v>1.0411914017248036</v>
      </c>
      <c r="U107" s="76">
        <f t="shared" si="52"/>
        <v>1.1575200000000001</v>
      </c>
    </row>
    <row r="108" spans="1:21" x14ac:dyDescent="0.25">
      <c r="A108" s="71">
        <v>30</v>
      </c>
      <c r="B108" s="72">
        <f t="shared" si="53"/>
        <v>46539</v>
      </c>
      <c r="C108" s="73">
        <f t="shared" si="34"/>
        <v>46568</v>
      </c>
      <c r="D108" s="67">
        <f t="shared" si="35"/>
        <v>30</v>
      </c>
      <c r="E108" s="67">
        <f t="shared" si="36"/>
        <v>6</v>
      </c>
      <c r="F108" s="74">
        <f t="shared" si="37"/>
        <v>46554</v>
      </c>
      <c r="G108" s="67">
        <f t="shared" si="38"/>
        <v>24329</v>
      </c>
      <c r="H108" s="75">
        <f t="shared" si="39"/>
        <v>1</v>
      </c>
      <c r="I108" s="76">
        <f t="shared" si="40"/>
        <v>1.1575200000000001</v>
      </c>
      <c r="J108" s="76">
        <f t="shared" si="41"/>
        <v>1.1575200000000001</v>
      </c>
      <c r="K108" s="67">
        <f t="shared" si="42"/>
        <v>0</v>
      </c>
      <c r="L108" s="67">
        <f t="shared" si="43"/>
        <v>0</v>
      </c>
      <c r="M108" s="77">
        <f t="shared" si="44"/>
        <v>0</v>
      </c>
      <c r="N108" s="76">
        <f t="shared" si="45"/>
        <v>1.1575200000000001</v>
      </c>
      <c r="O108" s="77">
        <f t="shared" si="46"/>
        <v>0.87693654266958421</v>
      </c>
      <c r="P108" s="76">
        <f t="shared" si="47"/>
        <v>0</v>
      </c>
      <c r="Q108" s="76">
        <f t="shared" si="48"/>
        <v>1</v>
      </c>
      <c r="R108" s="76">
        <f t="shared" si="49"/>
        <v>0</v>
      </c>
      <c r="S108" s="76">
        <f t="shared" si="50"/>
        <v>1.1942018669069379</v>
      </c>
      <c r="T108" s="76">
        <f t="shared" si="51"/>
        <v>1.0436411378555797</v>
      </c>
      <c r="U108" s="76">
        <f t="shared" si="52"/>
        <v>1.1575200000000001</v>
      </c>
    </row>
    <row r="109" spans="1:21" x14ac:dyDescent="0.25">
      <c r="A109" s="71">
        <v>31</v>
      </c>
      <c r="B109" s="72">
        <f t="shared" si="53"/>
        <v>46569</v>
      </c>
      <c r="C109" s="73">
        <f t="shared" si="34"/>
        <v>46599</v>
      </c>
      <c r="D109" s="67">
        <f t="shared" si="35"/>
        <v>31</v>
      </c>
      <c r="E109" s="67">
        <f t="shared" si="36"/>
        <v>7</v>
      </c>
      <c r="F109" s="74">
        <f t="shared" si="37"/>
        <v>46584.5</v>
      </c>
      <c r="G109" s="67">
        <f t="shared" si="38"/>
        <v>24330</v>
      </c>
      <c r="H109" s="75">
        <f t="shared" si="39"/>
        <v>1</v>
      </c>
      <c r="I109" s="76">
        <f t="shared" si="40"/>
        <v>1.1575200000000001</v>
      </c>
      <c r="J109" s="76">
        <f t="shared" si="41"/>
        <v>1.1575200000000001</v>
      </c>
      <c r="K109" s="67">
        <f t="shared" si="42"/>
        <v>0</v>
      </c>
      <c r="L109" s="67">
        <f t="shared" si="43"/>
        <v>0</v>
      </c>
      <c r="M109" s="77">
        <f t="shared" si="44"/>
        <v>0</v>
      </c>
      <c r="N109" s="76">
        <f t="shared" si="45"/>
        <v>1.1575200000000001</v>
      </c>
      <c r="O109" s="77">
        <f t="shared" si="46"/>
        <v>0.87893873085339169</v>
      </c>
      <c r="P109" s="76">
        <f t="shared" si="47"/>
        <v>0</v>
      </c>
      <c r="Q109" s="76">
        <f t="shared" si="48"/>
        <v>0.91666666666666663</v>
      </c>
      <c r="R109" s="76">
        <f t="shared" si="49"/>
        <v>8.333333333333337E-2</v>
      </c>
      <c r="S109" s="76">
        <f t="shared" si="50"/>
        <v>1.1969284232204918</v>
      </c>
      <c r="T109" s="76">
        <f t="shared" si="51"/>
        <v>1.1088563264255376</v>
      </c>
      <c r="U109" s="76">
        <f t="shared" si="52"/>
        <v>1.1575200000000001</v>
      </c>
    </row>
    <row r="110" spans="1:21" x14ac:dyDescent="0.25">
      <c r="A110" s="71">
        <v>32</v>
      </c>
      <c r="B110" s="72">
        <f t="shared" si="53"/>
        <v>46600</v>
      </c>
      <c r="C110" s="73">
        <f t="shared" si="34"/>
        <v>46630</v>
      </c>
      <c r="D110" s="67">
        <f t="shared" si="35"/>
        <v>31</v>
      </c>
      <c r="E110" s="67">
        <f t="shared" si="36"/>
        <v>8</v>
      </c>
      <c r="F110" s="74">
        <f t="shared" si="37"/>
        <v>46615.5</v>
      </c>
      <c r="G110" s="67">
        <f t="shared" si="38"/>
        <v>24331</v>
      </c>
      <c r="H110" s="75">
        <f t="shared" si="39"/>
        <v>1</v>
      </c>
      <c r="I110" s="76">
        <f t="shared" si="40"/>
        <v>1.1575200000000001</v>
      </c>
      <c r="J110" s="76">
        <f t="shared" si="41"/>
        <v>1.1575200000000001</v>
      </c>
      <c r="K110" s="67">
        <f t="shared" si="42"/>
        <v>0</v>
      </c>
      <c r="L110" s="67">
        <f t="shared" si="43"/>
        <v>0</v>
      </c>
      <c r="M110" s="77">
        <f t="shared" si="44"/>
        <v>0</v>
      </c>
      <c r="N110" s="76">
        <f t="shared" si="45"/>
        <v>1.1575200000000001</v>
      </c>
      <c r="O110" s="77">
        <f t="shared" si="46"/>
        <v>0.88097374179431076</v>
      </c>
      <c r="P110" s="76">
        <f t="shared" si="47"/>
        <v>0</v>
      </c>
      <c r="Q110" s="76">
        <f t="shared" si="48"/>
        <v>0.75</v>
      </c>
      <c r="R110" s="76">
        <f t="shared" si="49"/>
        <v>0.25</v>
      </c>
      <c r="S110" s="76">
        <f t="shared" si="50"/>
        <v>1.1996996771785302</v>
      </c>
      <c r="T110" s="76">
        <f t="shared" si="51"/>
        <v>1.1114956159093834</v>
      </c>
      <c r="U110" s="76">
        <f t="shared" si="52"/>
        <v>1.1575200000000001</v>
      </c>
    </row>
    <row r="111" spans="1:21" x14ac:dyDescent="0.25">
      <c r="A111" s="71">
        <v>33</v>
      </c>
      <c r="B111" s="72">
        <f t="shared" si="53"/>
        <v>46631</v>
      </c>
      <c r="C111" s="73">
        <f t="shared" si="34"/>
        <v>46660</v>
      </c>
      <c r="D111" s="67">
        <f t="shared" si="35"/>
        <v>30</v>
      </c>
      <c r="E111" s="67">
        <f t="shared" si="36"/>
        <v>9</v>
      </c>
      <c r="F111" s="74">
        <f t="shared" si="37"/>
        <v>46646</v>
      </c>
      <c r="G111" s="67">
        <f t="shared" si="38"/>
        <v>24332</v>
      </c>
      <c r="H111" s="75">
        <f t="shared" si="39"/>
        <v>1</v>
      </c>
      <c r="I111" s="76">
        <f t="shared" si="40"/>
        <v>1.1575200000000001</v>
      </c>
      <c r="J111" s="76">
        <f t="shared" si="41"/>
        <v>1.1575200000000001</v>
      </c>
      <c r="K111" s="67">
        <f t="shared" si="42"/>
        <v>0</v>
      </c>
      <c r="L111" s="67">
        <f t="shared" si="43"/>
        <v>0</v>
      </c>
      <c r="M111" s="77">
        <f t="shared" si="44"/>
        <v>0</v>
      </c>
      <c r="N111" s="76">
        <f t="shared" si="45"/>
        <v>1.1575200000000001</v>
      </c>
      <c r="O111" s="77">
        <f t="shared" si="46"/>
        <v>0.88297592997811813</v>
      </c>
      <c r="P111" s="76">
        <f t="shared" si="47"/>
        <v>0</v>
      </c>
      <c r="Q111" s="76">
        <f t="shared" si="48"/>
        <v>0.58333333333333337</v>
      </c>
      <c r="R111" s="76">
        <f t="shared" si="49"/>
        <v>0.41666666666666663</v>
      </c>
      <c r="S111" s="76">
        <f t="shared" si="50"/>
        <v>1.2024262334920839</v>
      </c>
      <c r="T111" s="76">
        <f t="shared" si="51"/>
        <v>1.1140923362080062</v>
      </c>
      <c r="U111" s="76">
        <f t="shared" si="52"/>
        <v>1.1575200000000001</v>
      </c>
    </row>
    <row r="112" spans="1:21" x14ac:dyDescent="0.25">
      <c r="A112" s="71">
        <v>34</v>
      </c>
      <c r="B112" s="72">
        <f t="shared" si="53"/>
        <v>46661</v>
      </c>
      <c r="C112" s="73">
        <f t="shared" si="34"/>
        <v>46691</v>
      </c>
      <c r="D112" s="67">
        <f t="shared" si="35"/>
        <v>31</v>
      </c>
      <c r="E112" s="67">
        <f t="shared" si="36"/>
        <v>10</v>
      </c>
      <c r="F112" s="74">
        <f t="shared" si="37"/>
        <v>46676.5</v>
      </c>
      <c r="G112" s="67">
        <f t="shared" si="38"/>
        <v>24333</v>
      </c>
      <c r="H112" s="75">
        <f t="shared" si="39"/>
        <v>1</v>
      </c>
      <c r="I112" s="76">
        <f t="shared" si="40"/>
        <v>1.1575200000000001</v>
      </c>
      <c r="J112" s="76">
        <f t="shared" si="41"/>
        <v>1.1575200000000001</v>
      </c>
      <c r="K112" s="67">
        <f t="shared" si="42"/>
        <v>0</v>
      </c>
      <c r="L112" s="67">
        <f t="shared" si="43"/>
        <v>0</v>
      </c>
      <c r="M112" s="77">
        <f t="shared" si="44"/>
        <v>0</v>
      </c>
      <c r="N112" s="76">
        <f t="shared" si="45"/>
        <v>1.1575200000000001</v>
      </c>
      <c r="O112" s="77">
        <f t="shared" si="46"/>
        <v>0.88497811816192562</v>
      </c>
      <c r="P112" s="76">
        <f t="shared" si="47"/>
        <v>0</v>
      </c>
      <c r="Q112" s="76">
        <f t="shared" si="48"/>
        <v>0.41666666666666669</v>
      </c>
      <c r="R112" s="76">
        <f t="shared" si="49"/>
        <v>0.58333333333333326</v>
      </c>
      <c r="S112" s="76">
        <f t="shared" si="50"/>
        <v>1.205152789805638</v>
      </c>
      <c r="T112" s="76">
        <f t="shared" si="51"/>
        <v>1.116689056506629</v>
      </c>
      <c r="U112" s="76">
        <f t="shared" si="52"/>
        <v>1.1575200000000001</v>
      </c>
    </row>
    <row r="113" spans="1:21" x14ac:dyDescent="0.25">
      <c r="A113" s="71">
        <v>35</v>
      </c>
      <c r="B113" s="72">
        <f t="shared" si="53"/>
        <v>46692</v>
      </c>
      <c r="C113" s="73">
        <f t="shared" si="34"/>
        <v>46721</v>
      </c>
      <c r="D113" s="67">
        <f t="shared" si="35"/>
        <v>30</v>
      </c>
      <c r="E113" s="67">
        <f t="shared" si="36"/>
        <v>11</v>
      </c>
      <c r="F113" s="74">
        <f t="shared" si="37"/>
        <v>46707</v>
      </c>
      <c r="G113" s="67">
        <f t="shared" si="38"/>
        <v>24334</v>
      </c>
      <c r="H113" s="75">
        <f t="shared" si="39"/>
        <v>1</v>
      </c>
      <c r="I113" s="76">
        <f t="shared" si="40"/>
        <v>1.1575200000000001</v>
      </c>
      <c r="J113" s="76">
        <f t="shared" si="41"/>
        <v>1.1575200000000001</v>
      </c>
      <c r="K113" s="67">
        <f t="shared" si="42"/>
        <v>0</v>
      </c>
      <c r="L113" s="67">
        <f t="shared" si="43"/>
        <v>0</v>
      </c>
      <c r="M113" s="77">
        <f t="shared" si="44"/>
        <v>0</v>
      </c>
      <c r="N113" s="76">
        <f t="shared" si="45"/>
        <v>1.1575200000000001</v>
      </c>
      <c r="O113" s="77">
        <f t="shared" si="46"/>
        <v>0.8869803063457331</v>
      </c>
      <c r="P113" s="76">
        <f t="shared" si="47"/>
        <v>0</v>
      </c>
      <c r="Q113" s="76">
        <f t="shared" si="48"/>
        <v>0.25</v>
      </c>
      <c r="R113" s="76">
        <f t="shared" si="49"/>
        <v>0.75</v>
      </c>
      <c r="S113" s="76">
        <f t="shared" si="50"/>
        <v>1.2078793461191919</v>
      </c>
      <c r="T113" s="76">
        <f t="shared" si="51"/>
        <v>1.1192857768052518</v>
      </c>
      <c r="U113" s="76">
        <f t="shared" si="52"/>
        <v>1.1575200000000001</v>
      </c>
    </row>
    <row r="114" spans="1:21" x14ac:dyDescent="0.25">
      <c r="A114" s="71">
        <v>36</v>
      </c>
      <c r="B114" s="72">
        <f t="shared" si="53"/>
        <v>46722</v>
      </c>
      <c r="C114" s="73">
        <f t="shared" si="34"/>
        <v>46752</v>
      </c>
      <c r="D114" s="67">
        <f t="shared" si="35"/>
        <v>31</v>
      </c>
      <c r="E114" s="67">
        <f t="shared" si="36"/>
        <v>12</v>
      </c>
      <c r="F114" s="74">
        <f t="shared" si="37"/>
        <v>46737.5</v>
      </c>
      <c r="G114" s="67">
        <f t="shared" si="38"/>
        <v>24335</v>
      </c>
      <c r="H114" s="75">
        <f t="shared" si="39"/>
        <v>1</v>
      </c>
      <c r="I114" s="76">
        <f t="shared" si="40"/>
        <v>1.1575200000000001</v>
      </c>
      <c r="J114" s="76">
        <f t="shared" si="41"/>
        <v>1.1575200000000001</v>
      </c>
      <c r="K114" s="67">
        <f t="shared" si="42"/>
        <v>0</v>
      </c>
      <c r="L114" s="67">
        <f t="shared" si="43"/>
        <v>0</v>
      </c>
      <c r="M114" s="77">
        <f t="shared" si="44"/>
        <v>0</v>
      </c>
      <c r="N114" s="76">
        <f t="shared" si="45"/>
        <v>1.1575200000000001</v>
      </c>
      <c r="O114" s="77">
        <f t="shared" si="46"/>
        <v>0.88898249452954048</v>
      </c>
      <c r="P114" s="76">
        <f t="shared" si="47"/>
        <v>0</v>
      </c>
      <c r="Q114" s="76">
        <f t="shared" si="48"/>
        <v>8.3333333333333329E-2</v>
      </c>
      <c r="R114" s="76">
        <f t="shared" si="49"/>
        <v>0.91666666666666663</v>
      </c>
      <c r="S114" s="76">
        <f t="shared" si="50"/>
        <v>1.2106059024327456</v>
      </c>
      <c r="T114" s="76">
        <f t="shared" si="51"/>
        <v>1.1218824971038743</v>
      </c>
      <c r="U114" s="76">
        <f t="shared" si="52"/>
        <v>1.1575200000000001</v>
      </c>
    </row>
    <row r="115" spans="1:21" x14ac:dyDescent="0.25">
      <c r="A115" s="71">
        <v>37</v>
      </c>
      <c r="B115" s="72">
        <f t="shared" si="53"/>
        <v>46753</v>
      </c>
      <c r="C115" s="73">
        <f t="shared" si="34"/>
        <v>46783</v>
      </c>
      <c r="D115" s="67">
        <f t="shared" si="35"/>
        <v>31</v>
      </c>
      <c r="E115" s="67">
        <f t="shared" si="36"/>
        <v>1</v>
      </c>
      <c r="F115" s="74">
        <f t="shared" si="37"/>
        <v>46768.5</v>
      </c>
      <c r="G115" s="67">
        <f t="shared" si="38"/>
        <v>24336</v>
      </c>
      <c r="H115" s="75">
        <f t="shared" si="39"/>
        <v>1</v>
      </c>
      <c r="I115" s="76">
        <f t="shared" si="40"/>
        <v>1.1575200000000001</v>
      </c>
      <c r="J115" s="76">
        <f t="shared" si="41"/>
        <v>1.1575200000000001</v>
      </c>
      <c r="K115" s="67">
        <f t="shared" si="42"/>
        <v>0</v>
      </c>
      <c r="L115" s="67">
        <f t="shared" si="43"/>
        <v>0</v>
      </c>
      <c r="M115" s="77">
        <f t="shared" si="44"/>
        <v>0</v>
      </c>
      <c r="N115" s="76">
        <f t="shared" si="45"/>
        <v>1.1575200000000001</v>
      </c>
      <c r="O115" s="77">
        <f t="shared" si="46"/>
        <v>0.89</v>
      </c>
      <c r="P115" s="76">
        <f t="shared" si="47"/>
        <v>0</v>
      </c>
      <c r="Q115" s="76">
        <f t="shared" si="48"/>
        <v>0</v>
      </c>
      <c r="R115" s="76">
        <f t="shared" si="49"/>
        <v>1</v>
      </c>
      <c r="S115" s="76">
        <f t="shared" si="50"/>
        <v>1.2119915294117649</v>
      </c>
      <c r="T115" s="76">
        <f t="shared" si="51"/>
        <v>1.031553095636504</v>
      </c>
      <c r="U115" s="76">
        <f t="shared" si="52"/>
        <v>1.1575200000000001</v>
      </c>
    </row>
    <row r="116" spans="1:21" x14ac:dyDescent="0.25">
      <c r="A116" s="71">
        <v>38</v>
      </c>
      <c r="B116" s="72">
        <f t="shared" si="53"/>
        <v>46784</v>
      </c>
      <c r="C116" s="73">
        <f t="shared" si="34"/>
        <v>46812</v>
      </c>
      <c r="D116" s="67">
        <f t="shared" si="35"/>
        <v>29</v>
      </c>
      <c r="E116" s="67">
        <f t="shared" si="36"/>
        <v>2</v>
      </c>
      <c r="F116" s="74">
        <f t="shared" si="37"/>
        <v>46798.5</v>
      </c>
      <c r="G116" s="67">
        <f t="shared" si="38"/>
        <v>24337</v>
      </c>
      <c r="H116" s="75">
        <f t="shared" si="39"/>
        <v>1</v>
      </c>
      <c r="I116" s="76">
        <f t="shared" si="40"/>
        <v>1.1575200000000001</v>
      </c>
      <c r="J116" s="76">
        <f t="shared" si="41"/>
        <v>1.1575200000000001</v>
      </c>
      <c r="K116" s="67">
        <f t="shared" si="42"/>
        <v>0</v>
      </c>
      <c r="L116" s="67">
        <f t="shared" si="43"/>
        <v>0</v>
      </c>
      <c r="M116" s="77">
        <f t="shared" si="44"/>
        <v>0</v>
      </c>
      <c r="N116" s="76">
        <f t="shared" si="45"/>
        <v>1.1575200000000001</v>
      </c>
      <c r="O116" s="77">
        <f t="shared" si="46"/>
        <v>0.89</v>
      </c>
      <c r="P116" s="76">
        <f t="shared" si="47"/>
        <v>0</v>
      </c>
      <c r="Q116" s="76">
        <f t="shared" si="48"/>
        <v>0</v>
      </c>
      <c r="R116" s="76">
        <f t="shared" si="49"/>
        <v>1</v>
      </c>
      <c r="S116" s="76">
        <f t="shared" si="50"/>
        <v>1.2119915294117649</v>
      </c>
      <c r="T116" s="76">
        <f t="shared" si="51"/>
        <v>1.0339225125498777</v>
      </c>
      <c r="U116" s="76">
        <f t="shared" si="52"/>
        <v>1.1575200000000001</v>
      </c>
    </row>
    <row r="117" spans="1:21" x14ac:dyDescent="0.25">
      <c r="A117" s="71">
        <v>39</v>
      </c>
      <c r="B117" s="72">
        <f t="shared" si="53"/>
        <v>46813</v>
      </c>
      <c r="C117" s="73">
        <f t="shared" si="34"/>
        <v>46843</v>
      </c>
      <c r="D117" s="67">
        <f t="shared" si="35"/>
        <v>31</v>
      </c>
      <c r="E117" s="67">
        <f t="shared" si="36"/>
        <v>3</v>
      </c>
      <c r="F117" s="74">
        <f t="shared" si="37"/>
        <v>46828.5</v>
      </c>
      <c r="G117" s="67">
        <f t="shared" si="38"/>
        <v>24338</v>
      </c>
      <c r="H117" s="75">
        <f t="shared" si="39"/>
        <v>1</v>
      </c>
      <c r="I117" s="76">
        <f t="shared" si="40"/>
        <v>1.1575200000000001</v>
      </c>
      <c r="J117" s="76">
        <f t="shared" si="41"/>
        <v>1.1575200000000001</v>
      </c>
      <c r="K117" s="67">
        <f t="shared" si="42"/>
        <v>0</v>
      </c>
      <c r="L117" s="67">
        <f t="shared" si="43"/>
        <v>0</v>
      </c>
      <c r="M117" s="77">
        <f t="shared" si="44"/>
        <v>0</v>
      </c>
      <c r="N117" s="76">
        <f t="shared" si="45"/>
        <v>1.1575200000000001</v>
      </c>
      <c r="O117" s="77">
        <f t="shared" si="46"/>
        <v>0.89</v>
      </c>
      <c r="P117" s="76">
        <f t="shared" si="47"/>
        <v>0</v>
      </c>
      <c r="Q117" s="76">
        <f t="shared" si="48"/>
        <v>0</v>
      </c>
      <c r="R117" s="76">
        <f t="shared" si="49"/>
        <v>1</v>
      </c>
      <c r="S117" s="76">
        <f t="shared" si="50"/>
        <v>1.2119915294117649</v>
      </c>
      <c r="T117" s="76">
        <f t="shared" si="51"/>
        <v>1.0362919294632515</v>
      </c>
      <c r="U117" s="76">
        <f t="shared" si="52"/>
        <v>1.1575200000000001</v>
      </c>
    </row>
    <row r="118" spans="1:21" x14ac:dyDescent="0.25">
      <c r="A118" s="71">
        <v>40</v>
      </c>
      <c r="B118" s="72">
        <f t="shared" si="53"/>
        <v>46844</v>
      </c>
      <c r="C118" s="73">
        <f t="shared" si="34"/>
        <v>46873</v>
      </c>
      <c r="D118" s="67">
        <f t="shared" si="35"/>
        <v>30</v>
      </c>
      <c r="E118" s="67">
        <f t="shared" si="36"/>
        <v>4</v>
      </c>
      <c r="F118" s="74">
        <f t="shared" si="37"/>
        <v>46859</v>
      </c>
      <c r="G118" s="67">
        <f t="shared" si="38"/>
        <v>24339</v>
      </c>
      <c r="H118" s="75">
        <f t="shared" si="39"/>
        <v>1</v>
      </c>
      <c r="I118" s="76">
        <f t="shared" si="40"/>
        <v>1.1575200000000001</v>
      </c>
      <c r="J118" s="76">
        <f t="shared" si="41"/>
        <v>1.1575200000000001</v>
      </c>
      <c r="K118" s="67">
        <f t="shared" si="42"/>
        <v>0</v>
      </c>
      <c r="L118" s="67">
        <f t="shared" si="43"/>
        <v>0</v>
      </c>
      <c r="M118" s="77">
        <f t="shared" si="44"/>
        <v>0</v>
      </c>
      <c r="N118" s="76">
        <f t="shared" si="45"/>
        <v>1.1575200000000001</v>
      </c>
      <c r="O118" s="77">
        <f t="shared" si="46"/>
        <v>0.89</v>
      </c>
      <c r="P118" s="76">
        <f t="shared" si="47"/>
        <v>0</v>
      </c>
      <c r="Q118" s="76">
        <f t="shared" si="48"/>
        <v>0</v>
      </c>
      <c r="R118" s="76">
        <f t="shared" si="49"/>
        <v>1</v>
      </c>
      <c r="S118" s="76">
        <f t="shared" si="50"/>
        <v>1.2119915294117649</v>
      </c>
      <c r="T118" s="76">
        <f t="shared" si="51"/>
        <v>1.0387416655940276</v>
      </c>
      <c r="U118" s="76">
        <f t="shared" si="52"/>
        <v>1.1575200000000001</v>
      </c>
    </row>
    <row r="119" spans="1:21" x14ac:dyDescent="0.25">
      <c r="A119" s="71">
        <v>41</v>
      </c>
      <c r="B119" s="72">
        <f t="shared" si="53"/>
        <v>46874</v>
      </c>
      <c r="C119" s="73">
        <f t="shared" si="34"/>
        <v>46904</v>
      </c>
      <c r="D119" s="67">
        <f t="shared" si="35"/>
        <v>31</v>
      </c>
      <c r="E119" s="67">
        <f t="shared" si="36"/>
        <v>5</v>
      </c>
      <c r="F119" s="74">
        <f t="shared" si="37"/>
        <v>46889.5</v>
      </c>
      <c r="G119" s="67">
        <f t="shared" si="38"/>
        <v>24340</v>
      </c>
      <c r="H119" s="75">
        <f t="shared" si="39"/>
        <v>1</v>
      </c>
      <c r="I119" s="76">
        <f t="shared" si="40"/>
        <v>1.1575200000000001</v>
      </c>
      <c r="J119" s="76">
        <f t="shared" si="41"/>
        <v>1.1575200000000001</v>
      </c>
      <c r="K119" s="67">
        <f t="shared" si="42"/>
        <v>0</v>
      </c>
      <c r="L119" s="67">
        <f t="shared" si="43"/>
        <v>0</v>
      </c>
      <c r="M119" s="77">
        <f t="shared" si="44"/>
        <v>0</v>
      </c>
      <c r="N119" s="76">
        <f t="shared" si="45"/>
        <v>1.1575200000000001</v>
      </c>
      <c r="O119" s="77">
        <f t="shared" si="46"/>
        <v>0.89</v>
      </c>
      <c r="P119" s="76">
        <f t="shared" si="47"/>
        <v>0</v>
      </c>
      <c r="Q119" s="76">
        <f t="shared" si="48"/>
        <v>0</v>
      </c>
      <c r="R119" s="76">
        <f t="shared" si="49"/>
        <v>1</v>
      </c>
      <c r="S119" s="76">
        <f t="shared" si="50"/>
        <v>1.2119915294117649</v>
      </c>
      <c r="T119" s="76">
        <f t="shared" si="51"/>
        <v>1.0411914017248036</v>
      </c>
      <c r="U119" s="76">
        <f t="shared" si="52"/>
        <v>1.1575200000000001</v>
      </c>
    </row>
    <row r="120" spans="1:21" x14ac:dyDescent="0.25">
      <c r="A120" s="71">
        <v>42</v>
      </c>
      <c r="B120" s="72">
        <f t="shared" si="53"/>
        <v>46905</v>
      </c>
      <c r="C120" s="73">
        <f t="shared" si="34"/>
        <v>46934</v>
      </c>
      <c r="D120" s="67">
        <f t="shared" si="35"/>
        <v>30</v>
      </c>
      <c r="E120" s="67">
        <f t="shared" si="36"/>
        <v>6</v>
      </c>
      <c r="F120" s="74">
        <f t="shared" si="37"/>
        <v>46920</v>
      </c>
      <c r="G120" s="67">
        <f t="shared" si="38"/>
        <v>24341</v>
      </c>
      <c r="H120" s="75">
        <f t="shared" si="39"/>
        <v>1</v>
      </c>
      <c r="I120" s="76">
        <f t="shared" si="40"/>
        <v>1.1575200000000001</v>
      </c>
      <c r="J120" s="76">
        <f t="shared" si="41"/>
        <v>1.1575200000000001</v>
      </c>
      <c r="K120" s="67">
        <f t="shared" si="42"/>
        <v>0</v>
      </c>
      <c r="L120" s="67">
        <f t="shared" si="43"/>
        <v>0</v>
      </c>
      <c r="M120" s="77">
        <f t="shared" si="44"/>
        <v>0</v>
      </c>
      <c r="N120" s="76">
        <f t="shared" si="45"/>
        <v>1.1575200000000001</v>
      </c>
      <c r="O120" s="77">
        <f t="shared" si="46"/>
        <v>0.89</v>
      </c>
      <c r="P120" s="76">
        <f t="shared" si="47"/>
        <v>0</v>
      </c>
      <c r="Q120" s="76">
        <f t="shared" si="48"/>
        <v>0</v>
      </c>
      <c r="R120" s="76">
        <f t="shared" si="49"/>
        <v>1</v>
      </c>
      <c r="S120" s="76">
        <f t="shared" si="50"/>
        <v>1.2119915294117649</v>
      </c>
      <c r="T120" s="76">
        <f t="shared" si="51"/>
        <v>1.0436411378555797</v>
      </c>
      <c r="U120" s="76">
        <f t="shared" si="52"/>
        <v>1.1575200000000001</v>
      </c>
    </row>
    <row r="121" spans="1:21" x14ac:dyDescent="0.25">
      <c r="A121" s="71">
        <v>43</v>
      </c>
      <c r="B121" s="72">
        <f t="shared" si="53"/>
        <v>46935</v>
      </c>
      <c r="C121" s="73">
        <f t="shared" si="34"/>
        <v>46965</v>
      </c>
      <c r="D121" s="67">
        <f t="shared" si="35"/>
        <v>31</v>
      </c>
      <c r="E121" s="67">
        <f t="shared" si="36"/>
        <v>7</v>
      </c>
      <c r="F121" s="74">
        <f t="shared" si="37"/>
        <v>46950.5</v>
      </c>
      <c r="G121" s="67">
        <f t="shared" si="38"/>
        <v>24342</v>
      </c>
      <c r="H121" s="75">
        <f t="shared" si="39"/>
        <v>1</v>
      </c>
      <c r="I121" s="76">
        <f t="shared" si="40"/>
        <v>1.1575200000000001</v>
      </c>
      <c r="J121" s="76">
        <f t="shared" si="41"/>
        <v>1.1575200000000001</v>
      </c>
      <c r="K121" s="67">
        <f t="shared" si="42"/>
        <v>0</v>
      </c>
      <c r="L121" s="67">
        <f t="shared" si="43"/>
        <v>0</v>
      </c>
      <c r="M121" s="77">
        <f t="shared" si="44"/>
        <v>0</v>
      </c>
      <c r="N121" s="76">
        <f t="shared" si="45"/>
        <v>1.1575200000000001</v>
      </c>
      <c r="O121" s="77">
        <f t="shared" si="46"/>
        <v>0.89</v>
      </c>
      <c r="P121" s="76">
        <f t="shared" si="47"/>
        <v>0</v>
      </c>
      <c r="Q121" s="76">
        <f t="shared" si="48"/>
        <v>0</v>
      </c>
      <c r="R121" s="76">
        <f t="shared" si="49"/>
        <v>0.91666666666666663</v>
      </c>
      <c r="S121" s="76">
        <f t="shared" si="50"/>
        <v>1.2119915294117649</v>
      </c>
      <c r="T121" s="76">
        <f t="shared" si="51"/>
        <v>1.1088563264255376</v>
      </c>
      <c r="U121" s="76">
        <f t="shared" si="52"/>
        <v>1.1575200000000001</v>
      </c>
    </row>
    <row r="122" spans="1:21" x14ac:dyDescent="0.25">
      <c r="A122" s="71">
        <v>44</v>
      </c>
      <c r="B122" s="72">
        <f t="shared" si="53"/>
        <v>46966</v>
      </c>
      <c r="C122" s="73">
        <f t="shared" si="34"/>
        <v>46996</v>
      </c>
      <c r="D122" s="67">
        <f t="shared" si="35"/>
        <v>31</v>
      </c>
      <c r="E122" s="67">
        <f t="shared" si="36"/>
        <v>8</v>
      </c>
      <c r="F122" s="74">
        <f t="shared" si="37"/>
        <v>46981.5</v>
      </c>
      <c r="G122" s="67">
        <f t="shared" si="38"/>
        <v>24343</v>
      </c>
      <c r="H122" s="75">
        <f t="shared" si="39"/>
        <v>1</v>
      </c>
      <c r="I122" s="76">
        <f t="shared" si="40"/>
        <v>1.1575200000000001</v>
      </c>
      <c r="J122" s="76">
        <f t="shared" si="41"/>
        <v>1.1575200000000001</v>
      </c>
      <c r="K122" s="67">
        <f t="shared" si="42"/>
        <v>0</v>
      </c>
      <c r="L122" s="67">
        <f t="shared" si="43"/>
        <v>0</v>
      </c>
      <c r="M122" s="77">
        <f t="shared" si="44"/>
        <v>0</v>
      </c>
      <c r="N122" s="76">
        <f t="shared" si="45"/>
        <v>1.1575200000000001</v>
      </c>
      <c r="O122" s="77">
        <f t="shared" si="46"/>
        <v>0.89</v>
      </c>
      <c r="P122" s="76">
        <f t="shared" si="47"/>
        <v>0</v>
      </c>
      <c r="Q122" s="76">
        <f t="shared" si="48"/>
        <v>0</v>
      </c>
      <c r="R122" s="76">
        <f t="shared" si="49"/>
        <v>0.75</v>
      </c>
      <c r="S122" s="76">
        <f t="shared" si="50"/>
        <v>1.2119915294117649</v>
      </c>
      <c r="T122" s="76">
        <f t="shared" si="51"/>
        <v>1.1114956159093834</v>
      </c>
      <c r="U122" s="76">
        <f t="shared" si="52"/>
        <v>1.1575200000000001</v>
      </c>
    </row>
    <row r="123" spans="1:21" x14ac:dyDescent="0.25">
      <c r="A123" s="71">
        <v>45</v>
      </c>
      <c r="B123" s="72">
        <f t="shared" si="53"/>
        <v>46997</v>
      </c>
      <c r="C123" s="73">
        <f t="shared" si="34"/>
        <v>47026</v>
      </c>
      <c r="D123" s="67">
        <f t="shared" si="35"/>
        <v>30</v>
      </c>
      <c r="E123" s="67">
        <f t="shared" si="36"/>
        <v>9</v>
      </c>
      <c r="F123" s="74">
        <f t="shared" si="37"/>
        <v>47012</v>
      </c>
      <c r="G123" s="67">
        <f t="shared" si="38"/>
        <v>24344</v>
      </c>
      <c r="H123" s="75">
        <f t="shared" si="39"/>
        <v>1</v>
      </c>
      <c r="I123" s="76">
        <f t="shared" si="40"/>
        <v>1.1575200000000001</v>
      </c>
      <c r="J123" s="76">
        <f t="shared" si="41"/>
        <v>1.1575200000000001</v>
      </c>
      <c r="K123" s="67">
        <f t="shared" si="42"/>
        <v>0</v>
      </c>
      <c r="L123" s="67">
        <f t="shared" si="43"/>
        <v>0</v>
      </c>
      <c r="M123" s="77">
        <f t="shared" si="44"/>
        <v>0</v>
      </c>
      <c r="N123" s="76">
        <f t="shared" si="45"/>
        <v>1.1575200000000001</v>
      </c>
      <c r="O123" s="77">
        <f t="shared" si="46"/>
        <v>0.89</v>
      </c>
      <c r="P123" s="76">
        <f t="shared" si="47"/>
        <v>0</v>
      </c>
      <c r="Q123" s="76">
        <f t="shared" si="48"/>
        <v>0</v>
      </c>
      <c r="R123" s="76">
        <f t="shared" si="49"/>
        <v>0.58333333333333337</v>
      </c>
      <c r="S123" s="76">
        <f t="shared" si="50"/>
        <v>1.2119915294117649</v>
      </c>
      <c r="T123" s="76">
        <f t="shared" si="51"/>
        <v>1.1140923362080062</v>
      </c>
      <c r="U123" s="76">
        <f t="shared" si="52"/>
        <v>1.1575200000000001</v>
      </c>
    </row>
    <row r="124" spans="1:21" x14ac:dyDescent="0.25">
      <c r="A124" s="71">
        <v>46</v>
      </c>
      <c r="B124" s="72">
        <f t="shared" si="53"/>
        <v>47027</v>
      </c>
      <c r="C124" s="73">
        <f t="shared" si="34"/>
        <v>47057</v>
      </c>
      <c r="D124" s="67">
        <f t="shared" si="35"/>
        <v>31</v>
      </c>
      <c r="E124" s="67">
        <f t="shared" si="36"/>
        <v>10</v>
      </c>
      <c r="F124" s="74">
        <f t="shared" si="37"/>
        <v>47042.5</v>
      </c>
      <c r="G124" s="67">
        <f t="shared" si="38"/>
        <v>24345</v>
      </c>
      <c r="H124" s="75">
        <f t="shared" si="39"/>
        <v>1</v>
      </c>
      <c r="I124" s="76">
        <f t="shared" si="40"/>
        <v>1.1575200000000001</v>
      </c>
      <c r="J124" s="76">
        <f t="shared" si="41"/>
        <v>1.1575200000000001</v>
      </c>
      <c r="K124" s="67">
        <f t="shared" si="42"/>
        <v>0</v>
      </c>
      <c r="L124" s="67">
        <f t="shared" si="43"/>
        <v>0</v>
      </c>
      <c r="M124" s="77">
        <f t="shared" si="44"/>
        <v>0</v>
      </c>
      <c r="N124" s="76">
        <f t="shared" si="45"/>
        <v>1.1575200000000001</v>
      </c>
      <c r="O124" s="77">
        <f t="shared" si="46"/>
        <v>0.89</v>
      </c>
      <c r="P124" s="76">
        <f t="shared" si="47"/>
        <v>0</v>
      </c>
      <c r="Q124" s="76">
        <f t="shared" si="48"/>
        <v>0</v>
      </c>
      <c r="R124" s="76">
        <f t="shared" si="49"/>
        <v>0.41666666666666669</v>
      </c>
      <c r="S124" s="76">
        <f t="shared" si="50"/>
        <v>1.2119915294117649</v>
      </c>
      <c r="T124" s="76">
        <f t="shared" si="51"/>
        <v>1.116689056506629</v>
      </c>
      <c r="U124" s="76">
        <f t="shared" si="52"/>
        <v>1.1575200000000001</v>
      </c>
    </row>
    <row r="125" spans="1:21" x14ac:dyDescent="0.25">
      <c r="A125" s="71">
        <v>47</v>
      </c>
      <c r="B125" s="72">
        <f t="shared" si="53"/>
        <v>47058</v>
      </c>
      <c r="C125" s="73">
        <f t="shared" si="34"/>
        <v>47087</v>
      </c>
      <c r="D125" s="67">
        <f t="shared" si="35"/>
        <v>30</v>
      </c>
      <c r="E125" s="67">
        <f t="shared" si="36"/>
        <v>11</v>
      </c>
      <c r="F125" s="74">
        <f t="shared" si="37"/>
        <v>47073</v>
      </c>
      <c r="G125" s="67">
        <f t="shared" si="38"/>
        <v>24346</v>
      </c>
      <c r="H125" s="75">
        <f t="shared" si="39"/>
        <v>1</v>
      </c>
      <c r="I125" s="76">
        <f t="shared" si="40"/>
        <v>1.1575200000000001</v>
      </c>
      <c r="J125" s="76">
        <f t="shared" si="41"/>
        <v>1.1575200000000001</v>
      </c>
      <c r="K125" s="67">
        <f t="shared" si="42"/>
        <v>0</v>
      </c>
      <c r="L125" s="67">
        <f t="shared" si="43"/>
        <v>0</v>
      </c>
      <c r="M125" s="77">
        <f t="shared" si="44"/>
        <v>0</v>
      </c>
      <c r="N125" s="76">
        <f t="shared" si="45"/>
        <v>1.1575200000000001</v>
      </c>
      <c r="O125" s="77">
        <f t="shared" si="46"/>
        <v>0.89</v>
      </c>
      <c r="P125" s="76">
        <f t="shared" si="47"/>
        <v>0</v>
      </c>
      <c r="Q125" s="76">
        <f t="shared" si="48"/>
        <v>0</v>
      </c>
      <c r="R125" s="76">
        <f t="shared" si="49"/>
        <v>0.25</v>
      </c>
      <c r="S125" s="76">
        <f t="shared" si="50"/>
        <v>1.2119915294117649</v>
      </c>
      <c r="T125" s="76">
        <f t="shared" si="51"/>
        <v>1.1192857768052518</v>
      </c>
      <c r="U125" s="76">
        <f t="shared" si="52"/>
        <v>1.1575200000000001</v>
      </c>
    </row>
    <row r="126" spans="1:21" x14ac:dyDescent="0.25">
      <c r="A126" s="71">
        <v>48</v>
      </c>
      <c r="B126" s="72">
        <f t="shared" si="53"/>
        <v>47088</v>
      </c>
      <c r="C126" s="73">
        <f t="shared" si="34"/>
        <v>47118</v>
      </c>
      <c r="D126" s="67">
        <f t="shared" si="35"/>
        <v>31</v>
      </c>
      <c r="E126" s="67">
        <f t="shared" si="36"/>
        <v>12</v>
      </c>
      <c r="F126" s="74">
        <f t="shared" si="37"/>
        <v>47103.5</v>
      </c>
      <c r="G126" s="67">
        <f t="shared" si="38"/>
        <v>24347</v>
      </c>
      <c r="H126" s="75">
        <f t="shared" si="39"/>
        <v>1</v>
      </c>
      <c r="I126" s="76">
        <f t="shared" si="40"/>
        <v>1.1575200000000001</v>
      </c>
      <c r="J126" s="76">
        <f t="shared" si="41"/>
        <v>1.1575200000000001</v>
      </c>
      <c r="K126" s="67">
        <f t="shared" si="42"/>
        <v>0</v>
      </c>
      <c r="L126" s="67">
        <f t="shared" si="43"/>
        <v>0</v>
      </c>
      <c r="M126" s="77">
        <f t="shared" si="44"/>
        <v>0</v>
      </c>
      <c r="N126" s="76">
        <f t="shared" si="45"/>
        <v>1.1575200000000001</v>
      </c>
      <c r="O126" s="77">
        <f t="shared" si="46"/>
        <v>0.89</v>
      </c>
      <c r="P126" s="76">
        <f t="shared" si="47"/>
        <v>0</v>
      </c>
      <c r="Q126" s="76">
        <f t="shared" si="48"/>
        <v>0</v>
      </c>
      <c r="R126" s="76">
        <f t="shared" si="49"/>
        <v>8.3333333333333329E-2</v>
      </c>
      <c r="S126" s="76">
        <f t="shared" si="50"/>
        <v>1.2119915294117649</v>
      </c>
      <c r="T126" s="76">
        <f t="shared" si="51"/>
        <v>1.1218824971038743</v>
      </c>
      <c r="U126" s="76">
        <f t="shared" si="52"/>
        <v>1.1575200000000001</v>
      </c>
    </row>
    <row r="127" spans="1:21" x14ac:dyDescent="0.25">
      <c r="A127" s="81" t="s">
        <v>1187</v>
      </c>
      <c r="B127" s="53">
        <f>EXP(SUMPRODUCT((rl_key=$A$76)*(rl_cons="Y")*rl_ln1p))</f>
        <v>1.1024</v>
      </c>
      <c r="C127" s="53">
        <f>SUMPRODUCT($H$79:$H$126,$P$79:$P$126,$U$79:$U$126)/SUMPRODUCT($H$79:$H$126,$P$79:$P$126)</f>
        <v>1.0555999999999999</v>
      </c>
      <c r="D127" s="53">
        <f>SUMPRODUCT($H$79:$H$126,$Q$79:$Q$126,$U$79:$U$126)/SUMPRODUCT($H$79:$H$126,$Q$79:$Q$126)</f>
        <v>1.1299600000000001</v>
      </c>
      <c r="E127" s="53">
        <f>SUMPRODUCT($H$79:$H$126,$R$79:$R$126,$U$79:$U$126)/SUMPRODUCT($H$79:$H$126,$R$79:$R$126)</f>
        <v>1.1575200000000001</v>
      </c>
      <c r="F127" s="172">
        <f>SUMPRODUCT($H$79:$H$126,$Q$79:$Q$126,$O$79:$O$126)/SUMPRODUCT($H$79:$H$126,$Q$79:$Q$126)</f>
        <v>0.87197757111597374</v>
      </c>
      <c r="G127" s="172">
        <f>SUMPRODUCT($H$79:$H$126,$R$79:$R$126,$O$79:$O$126)/SUMPRODUCT($H$79:$H$126,$R$79:$R$126)</f>
        <v>0.88898067104303424</v>
      </c>
    </row>
    <row r="130" spans="1:21" x14ac:dyDescent="0.25">
      <c r="A130" s="81" t="str">
        <f>INDEX(lr_key,2)</f>
        <v>BU-A|CA</v>
      </c>
      <c r="B130" s="81" t="str">
        <f>INDEX(lr_state,2)</f>
        <v>CA</v>
      </c>
      <c r="C130" s="55">
        <f>nr_TermMonths</f>
        <v>6</v>
      </c>
      <c r="D130" s="55">
        <f>IF(COUNTIF(se_state,$B130)=0,0,MATCH($B130,se_state,0))</f>
        <v>0</v>
      </c>
      <c r="E130" s="57">
        <f>IF($D130=0,0,INDEX(se_sum,$D130))</f>
        <v>0</v>
      </c>
      <c r="F130" s="172">
        <f>IF(N(INDEX(lr_mind,2))=0,1,INDEX(lr_mind,2))</f>
        <v>0.92</v>
      </c>
      <c r="G130" s="172">
        <f>IF(N(INDEX(lr_m0,2))=0,1,INDEX(lr_m0,2))</f>
        <v>0.91</v>
      </c>
      <c r="H130" s="54">
        <f>IF(N(INDEX(lr_m0asof,2))=0,DATE(nr_PlanYear-1,10,1),INDEX(lr_m0asof,2))</f>
        <v>46295</v>
      </c>
      <c r="I130" s="172">
        <f>IF(N(INDEX(lr_m1,2))=0,1,INDEX(lr_m1,2))</f>
        <v>0.91500000000000004</v>
      </c>
      <c r="J130" s="172">
        <f>INDEX(lr_mprior,2)</f>
        <v>0</v>
      </c>
      <c r="K130" s="172">
        <f>INDEX(lr_m2,2)</f>
        <v>0</v>
      </c>
      <c r="L130" s="81" t="b">
        <f>NOT(ISBLANK(INDEX(lr_netp,2)))</f>
        <v>0</v>
      </c>
      <c r="M130" s="52">
        <f>N(INDEX(lr_netp,2))</f>
        <v>0</v>
      </c>
      <c r="N130" s="52">
        <f>IF(ISBLANK(INDEX(lr_netp1,2)),$M$130,N(INDEX(lr_netp1,2)))</f>
        <v>0</v>
      </c>
      <c r="O130" s="55">
        <f>IF(AND(nr_ModAdjMaster="ON",INDEX(lr_modadj,2)="ON"),1,0)</f>
        <v>1</v>
      </c>
    </row>
    <row r="131" spans="1:21" x14ac:dyDescent="0.25">
      <c r="A131" s="81">
        <f>EDATE($H$130,-12)+1</f>
        <v>45931</v>
      </c>
      <c r="B131" s="81">
        <f>$H$130+1</f>
        <v>46296</v>
      </c>
      <c r="C131" s="81">
        <f>DATE(nr_PlanYear,12,31)+1</f>
        <v>46753</v>
      </c>
      <c r="D131" s="81">
        <f>DATE(nr_PlanYear+1,12,31)+1</f>
        <v>47119</v>
      </c>
      <c r="E131" s="81">
        <f>IF(N($J$130)=0,$F$131-($G$131-$F$131)/($C$131-$B$131)*($B$131-$A$131),$J$130)</f>
        <v>0.90600656455142237</v>
      </c>
      <c r="F131" s="81">
        <f>$G$130</f>
        <v>0.91</v>
      </c>
      <c r="G131" s="81">
        <f>$I$130</f>
        <v>0.91500000000000004</v>
      </c>
      <c r="H131" s="81">
        <f>IF(N($K$130)=0,$I$130,$K$130)</f>
        <v>0.91500000000000004</v>
      </c>
      <c r="I131" s="81">
        <f>($F$131-$E$131)/($B$131-$A$131)</f>
        <v>1.0940919037199081E-5</v>
      </c>
      <c r="J131" s="81">
        <f>($G$131-$F$131)/($C$131-$B$131)</f>
        <v>1.0940919037199135E-5</v>
      </c>
      <c r="K131" s="81">
        <f>($H$131-$G$131)/($D$131-$C$131)</f>
        <v>0</v>
      </c>
    </row>
    <row r="132" spans="1:21" ht="36" x14ac:dyDescent="0.25">
      <c r="A132" s="50" t="s">
        <v>211</v>
      </c>
      <c r="B132" s="50" t="s">
        <v>212</v>
      </c>
      <c r="C132" s="50" t="s">
        <v>213</v>
      </c>
      <c r="D132" s="50" t="s">
        <v>214</v>
      </c>
      <c r="E132" s="50" t="s">
        <v>215</v>
      </c>
      <c r="F132" s="50" t="s">
        <v>216</v>
      </c>
      <c r="G132" s="50" t="s">
        <v>217</v>
      </c>
      <c r="H132" s="50" t="s">
        <v>218</v>
      </c>
      <c r="I132" s="50" t="s">
        <v>219</v>
      </c>
      <c r="J132" s="50" t="s">
        <v>220</v>
      </c>
      <c r="K132" s="50" t="s">
        <v>221</v>
      </c>
      <c r="L132" s="50" t="s">
        <v>222</v>
      </c>
      <c r="M132" s="50" t="s">
        <v>223</v>
      </c>
      <c r="N132" s="50" t="s">
        <v>224</v>
      </c>
      <c r="O132" s="50" t="s">
        <v>225</v>
      </c>
      <c r="P132" s="50" t="s">
        <v>226</v>
      </c>
      <c r="Q132" s="50" t="s">
        <v>227</v>
      </c>
      <c r="R132" s="50" t="s">
        <v>228</v>
      </c>
      <c r="S132" s="50" t="s">
        <v>229</v>
      </c>
      <c r="T132" s="50" t="s">
        <v>230</v>
      </c>
      <c r="U132" s="50" t="s">
        <v>231</v>
      </c>
    </row>
    <row r="133" spans="1:21" x14ac:dyDescent="0.25">
      <c r="A133" s="71">
        <v>1</v>
      </c>
      <c r="B133" s="72">
        <f>DATE(nr_PlanYear-2,1,1)</f>
        <v>45658</v>
      </c>
      <c r="C133" s="73">
        <f t="shared" ref="C133:C180" si="54">EOMONTH($B133,0)</f>
        <v>45688</v>
      </c>
      <c r="D133" s="67">
        <f t="shared" ref="D133:D180" si="55">$C133-$B133+1</f>
        <v>31</v>
      </c>
      <c r="E133" s="67">
        <f t="shared" ref="E133:E180" si="56">MONTH($B133)</f>
        <v>1</v>
      </c>
      <c r="F133" s="74">
        <f t="shared" ref="F133:F180" si="57">($B133+$C133+1)/2</f>
        <v>45673.5</v>
      </c>
      <c r="G133" s="67">
        <f t="shared" ref="G133:G180" si="58">YEAR($B133)*12+MONTH($B133)-1</f>
        <v>24300</v>
      </c>
      <c r="H133" s="75">
        <f t="shared" ref="H133:H180" si="59">IF(OR(nr_SeasonOn="OFF",$D$130=0,$E$130=0),1,12*INDEX(se_block,$D$130,$E133)/$E$130)</f>
        <v>1</v>
      </c>
      <c r="I133" s="76">
        <f t="shared" ref="I133:I180" si="60">EXP(SUMPRODUCT((rl_eff&lt;$B133)*(rl_key=$A$130)*rl_ln1p))</f>
        <v>1</v>
      </c>
      <c r="J133" s="76">
        <f t="shared" ref="J133:J180" si="61">EXP(SUMPRODUCT((rl_eff&lt;=$C133)*(rl_key=$A$130)*rl_ln1p))</f>
        <v>1</v>
      </c>
      <c r="K133" s="67">
        <f t="shared" ref="K133:K180" si="62">COUNTIFS(rl_key,$A$130,rl_eff,"&gt;="&amp;$B133,rl_eff,"&lt;="&amp;$C133)</f>
        <v>0</v>
      </c>
      <c r="L133" s="67">
        <f t="shared" ref="L133:L180" si="63">SUMIFS(rl_daysafter,rl_key,$A$130,rl_effmonth,$B133,rl_first,1)</f>
        <v>0</v>
      </c>
      <c r="M133" s="77">
        <f t="shared" ref="M133:M180" si="64">IF($K133=0,0,MIN(1,$L133/$D133))</f>
        <v>0</v>
      </c>
      <c r="N133" s="76">
        <f t="shared" ref="N133:N180" si="65">IF($K133=0,$J133,(1-$M133)*$I133+$M133*$J133)</f>
        <v>1</v>
      </c>
      <c r="O133" s="77">
        <f t="shared" ref="O133:O180" si="66">IF($F133&lt;$B$131,$E$131+$I$131*($F133-$A$131),IF($F133&lt;$C$131,$F$131+$J$131*($F133-$B$131),$G$131+$K$131*($F133-$C$131)))</f>
        <v>0.90318927789934356</v>
      </c>
      <c r="P133" s="76">
        <f t="shared" ref="P133:P180" si="67">MIN(1,MAX(0,(nr_MEndPm1-$G133+0.5)/$C$130))-MIN(1,MAX(0,(nr_MStartPm1-1-$G133+0.5)/$C$130))</f>
        <v>0</v>
      </c>
      <c r="Q133" s="76">
        <f t="shared" ref="Q133:Q180" si="68">MIN(1,MAX(0,(nr_MEndP-$G133+0.5)/$C$130))-MIN(1,MAX(0,(nr_MStartP-1-$G133+0.5)/$C$130))</f>
        <v>0</v>
      </c>
      <c r="R133" s="76">
        <f t="shared" ref="R133:R180" si="69">MIN(1,MAX(0,(nr_MEndP1-$G133+0.5)/$C$130))-MIN(1,MAX(0,(nr_MStartP1-1-$G133+0.5)/$C$130))</f>
        <v>0</v>
      </c>
      <c r="S133" s="76">
        <f t="shared" ref="S133:S180" si="70">$N133*IF($O$130=1,$O133/$F$130,1)</f>
        <v>0.98172747597754728</v>
      </c>
      <c r="T133" s="76">
        <f t="shared" ref="T133:T180" si="71">IF($G133&lt;nr_MStartP,$S133,$T121*(1+IF($G133&lt;nr_MStartP1,$M$130,$N$130)))</f>
        <v>0.98172747597754728</v>
      </c>
      <c r="U133" s="76">
        <f t="shared" ref="U133:U180" si="72">IF($L$130,$T133,$N133)</f>
        <v>1</v>
      </c>
    </row>
    <row r="134" spans="1:21" x14ac:dyDescent="0.25">
      <c r="A134" s="71">
        <v>2</v>
      </c>
      <c r="B134" s="72">
        <f t="shared" ref="B134:B180" si="73">EDATE($B133,1)</f>
        <v>45689</v>
      </c>
      <c r="C134" s="73">
        <f t="shared" si="54"/>
        <v>45716</v>
      </c>
      <c r="D134" s="67">
        <f t="shared" si="55"/>
        <v>28</v>
      </c>
      <c r="E134" s="67">
        <f t="shared" si="56"/>
        <v>2</v>
      </c>
      <c r="F134" s="74">
        <f t="shared" si="57"/>
        <v>45703</v>
      </c>
      <c r="G134" s="67">
        <f t="shared" si="58"/>
        <v>24301</v>
      </c>
      <c r="H134" s="75">
        <f t="shared" si="59"/>
        <v>1</v>
      </c>
      <c r="I134" s="76">
        <f t="shared" si="60"/>
        <v>1</v>
      </c>
      <c r="J134" s="76">
        <f t="shared" si="61"/>
        <v>1</v>
      </c>
      <c r="K134" s="67">
        <f t="shared" si="62"/>
        <v>0</v>
      </c>
      <c r="L134" s="67">
        <f t="shared" si="63"/>
        <v>0</v>
      </c>
      <c r="M134" s="77">
        <f t="shared" si="64"/>
        <v>0</v>
      </c>
      <c r="N134" s="76">
        <f t="shared" si="65"/>
        <v>1</v>
      </c>
      <c r="O134" s="77">
        <f t="shared" si="66"/>
        <v>0.90351203501094102</v>
      </c>
      <c r="P134" s="76">
        <f t="shared" si="67"/>
        <v>0</v>
      </c>
      <c r="Q134" s="76">
        <f t="shared" si="68"/>
        <v>0</v>
      </c>
      <c r="R134" s="76">
        <f t="shared" si="69"/>
        <v>0</v>
      </c>
      <c r="S134" s="76">
        <f t="shared" si="70"/>
        <v>0.98207829892493581</v>
      </c>
      <c r="T134" s="76">
        <f t="shared" si="71"/>
        <v>0.98207829892493581</v>
      </c>
      <c r="U134" s="76">
        <f t="shared" si="72"/>
        <v>1</v>
      </c>
    </row>
    <row r="135" spans="1:21" x14ac:dyDescent="0.25">
      <c r="A135" s="71">
        <v>3</v>
      </c>
      <c r="B135" s="72">
        <f t="shared" si="73"/>
        <v>45717</v>
      </c>
      <c r="C135" s="73">
        <f t="shared" si="54"/>
        <v>45747</v>
      </c>
      <c r="D135" s="67">
        <f t="shared" si="55"/>
        <v>31</v>
      </c>
      <c r="E135" s="67">
        <f t="shared" si="56"/>
        <v>3</v>
      </c>
      <c r="F135" s="74">
        <f t="shared" si="57"/>
        <v>45732.5</v>
      </c>
      <c r="G135" s="67">
        <f t="shared" si="58"/>
        <v>24302</v>
      </c>
      <c r="H135" s="75">
        <f t="shared" si="59"/>
        <v>1</v>
      </c>
      <c r="I135" s="76">
        <f t="shared" si="60"/>
        <v>1</v>
      </c>
      <c r="J135" s="76">
        <f t="shared" si="61"/>
        <v>1</v>
      </c>
      <c r="K135" s="67">
        <f t="shared" si="62"/>
        <v>0</v>
      </c>
      <c r="L135" s="67">
        <f t="shared" si="63"/>
        <v>0</v>
      </c>
      <c r="M135" s="77">
        <f t="shared" si="64"/>
        <v>0</v>
      </c>
      <c r="N135" s="76">
        <f t="shared" si="65"/>
        <v>1</v>
      </c>
      <c r="O135" s="77">
        <f t="shared" si="66"/>
        <v>0.90383479212253837</v>
      </c>
      <c r="P135" s="76">
        <f t="shared" si="67"/>
        <v>0</v>
      </c>
      <c r="Q135" s="76">
        <f t="shared" si="68"/>
        <v>0</v>
      </c>
      <c r="R135" s="76">
        <f t="shared" si="69"/>
        <v>0</v>
      </c>
      <c r="S135" s="76">
        <f t="shared" si="70"/>
        <v>0.98242912187232423</v>
      </c>
      <c r="T135" s="76">
        <f t="shared" si="71"/>
        <v>0.98242912187232423</v>
      </c>
      <c r="U135" s="76">
        <f t="shared" si="72"/>
        <v>1</v>
      </c>
    </row>
    <row r="136" spans="1:21" x14ac:dyDescent="0.25">
      <c r="A136" s="71">
        <v>4</v>
      </c>
      <c r="B136" s="72">
        <f t="shared" si="73"/>
        <v>45748</v>
      </c>
      <c r="C136" s="73">
        <f t="shared" si="54"/>
        <v>45777</v>
      </c>
      <c r="D136" s="67">
        <f t="shared" si="55"/>
        <v>30</v>
      </c>
      <c r="E136" s="67">
        <f t="shared" si="56"/>
        <v>4</v>
      </c>
      <c r="F136" s="74">
        <f t="shared" si="57"/>
        <v>45763</v>
      </c>
      <c r="G136" s="67">
        <f t="shared" si="58"/>
        <v>24303</v>
      </c>
      <c r="H136" s="75">
        <f t="shared" si="59"/>
        <v>1</v>
      </c>
      <c r="I136" s="76">
        <f t="shared" si="60"/>
        <v>1</v>
      </c>
      <c r="J136" s="76">
        <f t="shared" si="61"/>
        <v>1</v>
      </c>
      <c r="K136" s="67">
        <f t="shared" si="62"/>
        <v>0</v>
      </c>
      <c r="L136" s="67">
        <f t="shared" si="63"/>
        <v>0</v>
      </c>
      <c r="M136" s="77">
        <f t="shared" si="64"/>
        <v>0</v>
      </c>
      <c r="N136" s="76">
        <f t="shared" si="65"/>
        <v>1</v>
      </c>
      <c r="O136" s="77">
        <f t="shared" si="66"/>
        <v>0.90416849015317291</v>
      </c>
      <c r="P136" s="76">
        <f t="shared" si="67"/>
        <v>0</v>
      </c>
      <c r="Q136" s="76">
        <f t="shared" si="68"/>
        <v>0</v>
      </c>
      <c r="R136" s="76">
        <f t="shared" si="69"/>
        <v>0</v>
      </c>
      <c r="S136" s="76">
        <f t="shared" si="70"/>
        <v>0.98279183712301399</v>
      </c>
      <c r="T136" s="76">
        <f t="shared" si="71"/>
        <v>0.98279183712301399</v>
      </c>
      <c r="U136" s="76">
        <f t="shared" si="72"/>
        <v>1</v>
      </c>
    </row>
    <row r="137" spans="1:21" x14ac:dyDescent="0.25">
      <c r="A137" s="71">
        <v>5</v>
      </c>
      <c r="B137" s="72">
        <f t="shared" si="73"/>
        <v>45778</v>
      </c>
      <c r="C137" s="73">
        <f t="shared" si="54"/>
        <v>45808</v>
      </c>
      <c r="D137" s="67">
        <f t="shared" si="55"/>
        <v>31</v>
      </c>
      <c r="E137" s="67">
        <f t="shared" si="56"/>
        <v>5</v>
      </c>
      <c r="F137" s="74">
        <f t="shared" si="57"/>
        <v>45793.5</v>
      </c>
      <c r="G137" s="67">
        <f t="shared" si="58"/>
        <v>24304</v>
      </c>
      <c r="H137" s="75">
        <f t="shared" si="59"/>
        <v>1</v>
      </c>
      <c r="I137" s="76">
        <f t="shared" si="60"/>
        <v>1</v>
      </c>
      <c r="J137" s="76">
        <f t="shared" si="61"/>
        <v>1</v>
      </c>
      <c r="K137" s="67">
        <f t="shared" si="62"/>
        <v>0</v>
      </c>
      <c r="L137" s="67">
        <f t="shared" si="63"/>
        <v>0</v>
      </c>
      <c r="M137" s="77">
        <f t="shared" si="64"/>
        <v>0</v>
      </c>
      <c r="N137" s="76">
        <f t="shared" si="65"/>
        <v>1</v>
      </c>
      <c r="O137" s="77">
        <f t="shared" si="66"/>
        <v>0.90450218818380745</v>
      </c>
      <c r="P137" s="76">
        <f t="shared" si="67"/>
        <v>0</v>
      </c>
      <c r="Q137" s="76">
        <f t="shared" si="68"/>
        <v>0</v>
      </c>
      <c r="R137" s="76">
        <f t="shared" si="69"/>
        <v>0</v>
      </c>
      <c r="S137" s="76">
        <f t="shared" si="70"/>
        <v>0.98315455237370375</v>
      </c>
      <c r="T137" s="76">
        <f t="shared" si="71"/>
        <v>0.98315455237370375</v>
      </c>
      <c r="U137" s="76">
        <f t="shared" si="72"/>
        <v>1</v>
      </c>
    </row>
    <row r="138" spans="1:21" x14ac:dyDescent="0.25">
      <c r="A138" s="71">
        <v>6</v>
      </c>
      <c r="B138" s="72">
        <f t="shared" si="73"/>
        <v>45809</v>
      </c>
      <c r="C138" s="73">
        <f t="shared" si="54"/>
        <v>45838</v>
      </c>
      <c r="D138" s="67">
        <f t="shared" si="55"/>
        <v>30</v>
      </c>
      <c r="E138" s="67">
        <f t="shared" si="56"/>
        <v>6</v>
      </c>
      <c r="F138" s="74">
        <f t="shared" si="57"/>
        <v>45824</v>
      </c>
      <c r="G138" s="67">
        <f t="shared" si="58"/>
        <v>24305</v>
      </c>
      <c r="H138" s="75">
        <f t="shared" si="59"/>
        <v>1</v>
      </c>
      <c r="I138" s="76">
        <f t="shared" si="60"/>
        <v>1</v>
      </c>
      <c r="J138" s="76">
        <f t="shared" si="61"/>
        <v>1</v>
      </c>
      <c r="K138" s="67">
        <f t="shared" si="62"/>
        <v>0</v>
      </c>
      <c r="L138" s="67">
        <f t="shared" si="63"/>
        <v>0</v>
      </c>
      <c r="M138" s="77">
        <f t="shared" si="64"/>
        <v>0</v>
      </c>
      <c r="N138" s="76">
        <f t="shared" si="65"/>
        <v>1</v>
      </c>
      <c r="O138" s="77">
        <f t="shared" si="66"/>
        <v>0.90483588621444211</v>
      </c>
      <c r="P138" s="76">
        <f t="shared" si="67"/>
        <v>0</v>
      </c>
      <c r="Q138" s="76">
        <f t="shared" si="68"/>
        <v>0</v>
      </c>
      <c r="R138" s="76">
        <f t="shared" si="69"/>
        <v>0</v>
      </c>
      <c r="S138" s="76">
        <f t="shared" si="70"/>
        <v>0.98351726762439351</v>
      </c>
      <c r="T138" s="76">
        <f t="shared" si="71"/>
        <v>0.98351726762439351</v>
      </c>
      <c r="U138" s="76">
        <f t="shared" si="72"/>
        <v>1</v>
      </c>
    </row>
    <row r="139" spans="1:21" x14ac:dyDescent="0.25">
      <c r="A139" s="71">
        <v>7</v>
      </c>
      <c r="B139" s="72">
        <f t="shared" si="73"/>
        <v>45839</v>
      </c>
      <c r="C139" s="73">
        <f t="shared" si="54"/>
        <v>45869</v>
      </c>
      <c r="D139" s="67">
        <f t="shared" si="55"/>
        <v>31</v>
      </c>
      <c r="E139" s="67">
        <f t="shared" si="56"/>
        <v>7</v>
      </c>
      <c r="F139" s="74">
        <f t="shared" si="57"/>
        <v>45854.5</v>
      </c>
      <c r="G139" s="67">
        <f t="shared" si="58"/>
        <v>24306</v>
      </c>
      <c r="H139" s="75">
        <f t="shared" si="59"/>
        <v>1</v>
      </c>
      <c r="I139" s="76">
        <f t="shared" si="60"/>
        <v>1</v>
      </c>
      <c r="J139" s="76">
        <f t="shared" si="61"/>
        <v>1</v>
      </c>
      <c r="K139" s="67">
        <f t="shared" si="62"/>
        <v>0</v>
      </c>
      <c r="L139" s="67">
        <f t="shared" si="63"/>
        <v>0</v>
      </c>
      <c r="M139" s="77">
        <f t="shared" si="64"/>
        <v>0</v>
      </c>
      <c r="N139" s="76">
        <f t="shared" si="65"/>
        <v>1</v>
      </c>
      <c r="O139" s="77">
        <f t="shared" si="66"/>
        <v>0.90516958424507665</v>
      </c>
      <c r="P139" s="76">
        <f t="shared" si="67"/>
        <v>8.333333333333337E-2</v>
      </c>
      <c r="Q139" s="76">
        <f t="shared" si="68"/>
        <v>0</v>
      </c>
      <c r="R139" s="76">
        <f t="shared" si="69"/>
        <v>0</v>
      </c>
      <c r="S139" s="76">
        <f t="shared" si="70"/>
        <v>0.98387998287508327</v>
      </c>
      <c r="T139" s="76">
        <f t="shared" si="71"/>
        <v>0.98387998287508327</v>
      </c>
      <c r="U139" s="76">
        <f t="shared" si="72"/>
        <v>1</v>
      </c>
    </row>
    <row r="140" spans="1:21" x14ac:dyDescent="0.25">
      <c r="A140" s="71">
        <v>8</v>
      </c>
      <c r="B140" s="72">
        <f t="shared" si="73"/>
        <v>45870</v>
      </c>
      <c r="C140" s="73">
        <f t="shared" si="54"/>
        <v>45900</v>
      </c>
      <c r="D140" s="67">
        <f t="shared" si="55"/>
        <v>31</v>
      </c>
      <c r="E140" s="67">
        <f t="shared" si="56"/>
        <v>8</v>
      </c>
      <c r="F140" s="74">
        <f t="shared" si="57"/>
        <v>45885.5</v>
      </c>
      <c r="G140" s="67">
        <f t="shared" si="58"/>
        <v>24307</v>
      </c>
      <c r="H140" s="75">
        <f t="shared" si="59"/>
        <v>1</v>
      </c>
      <c r="I140" s="76">
        <f t="shared" si="60"/>
        <v>1</v>
      </c>
      <c r="J140" s="76">
        <f t="shared" si="61"/>
        <v>1</v>
      </c>
      <c r="K140" s="67">
        <f t="shared" si="62"/>
        <v>0</v>
      </c>
      <c r="L140" s="67">
        <f t="shared" si="63"/>
        <v>0</v>
      </c>
      <c r="M140" s="77">
        <f t="shared" si="64"/>
        <v>0</v>
      </c>
      <c r="N140" s="76">
        <f t="shared" si="65"/>
        <v>1</v>
      </c>
      <c r="O140" s="77">
        <f t="shared" si="66"/>
        <v>0.90550875273522979</v>
      </c>
      <c r="P140" s="76">
        <f t="shared" si="67"/>
        <v>0.25</v>
      </c>
      <c r="Q140" s="76">
        <f t="shared" si="68"/>
        <v>0</v>
      </c>
      <c r="R140" s="76">
        <f t="shared" si="69"/>
        <v>0</v>
      </c>
      <c r="S140" s="76">
        <f t="shared" si="70"/>
        <v>0.98424864427742365</v>
      </c>
      <c r="T140" s="76">
        <f t="shared" si="71"/>
        <v>0.98424864427742365</v>
      </c>
      <c r="U140" s="76">
        <f t="shared" si="72"/>
        <v>1</v>
      </c>
    </row>
    <row r="141" spans="1:21" x14ac:dyDescent="0.25">
      <c r="A141" s="71">
        <v>9</v>
      </c>
      <c r="B141" s="72">
        <f t="shared" si="73"/>
        <v>45901</v>
      </c>
      <c r="C141" s="73">
        <f t="shared" si="54"/>
        <v>45930</v>
      </c>
      <c r="D141" s="67">
        <f t="shared" si="55"/>
        <v>30</v>
      </c>
      <c r="E141" s="67">
        <f t="shared" si="56"/>
        <v>9</v>
      </c>
      <c r="F141" s="74">
        <f t="shared" si="57"/>
        <v>45916</v>
      </c>
      <c r="G141" s="67">
        <f t="shared" si="58"/>
        <v>24308</v>
      </c>
      <c r="H141" s="75">
        <f t="shared" si="59"/>
        <v>1</v>
      </c>
      <c r="I141" s="76">
        <f t="shared" si="60"/>
        <v>1</v>
      </c>
      <c r="J141" s="76">
        <f t="shared" si="61"/>
        <v>1</v>
      </c>
      <c r="K141" s="67">
        <f t="shared" si="62"/>
        <v>0</v>
      </c>
      <c r="L141" s="67">
        <f t="shared" si="63"/>
        <v>0</v>
      </c>
      <c r="M141" s="77">
        <f t="shared" si="64"/>
        <v>0</v>
      </c>
      <c r="N141" s="76">
        <f t="shared" si="65"/>
        <v>1</v>
      </c>
      <c r="O141" s="77">
        <f t="shared" si="66"/>
        <v>0.90584245076586434</v>
      </c>
      <c r="P141" s="76">
        <f t="shared" si="67"/>
        <v>0.41666666666666663</v>
      </c>
      <c r="Q141" s="76">
        <f t="shared" si="68"/>
        <v>0</v>
      </c>
      <c r="R141" s="76">
        <f t="shared" si="69"/>
        <v>0</v>
      </c>
      <c r="S141" s="76">
        <f t="shared" si="70"/>
        <v>0.98461135952811341</v>
      </c>
      <c r="T141" s="76">
        <f t="shared" si="71"/>
        <v>0.98461135952811341</v>
      </c>
      <c r="U141" s="76">
        <f t="shared" si="72"/>
        <v>1</v>
      </c>
    </row>
    <row r="142" spans="1:21" x14ac:dyDescent="0.25">
      <c r="A142" s="71">
        <v>10</v>
      </c>
      <c r="B142" s="72">
        <f t="shared" si="73"/>
        <v>45931</v>
      </c>
      <c r="C142" s="73">
        <f t="shared" si="54"/>
        <v>45961</v>
      </c>
      <c r="D142" s="67">
        <f t="shared" si="55"/>
        <v>31</v>
      </c>
      <c r="E142" s="67">
        <f t="shared" si="56"/>
        <v>10</v>
      </c>
      <c r="F142" s="74">
        <f t="shared" si="57"/>
        <v>45946.5</v>
      </c>
      <c r="G142" s="67">
        <f t="shared" si="58"/>
        <v>24309</v>
      </c>
      <c r="H142" s="75">
        <f t="shared" si="59"/>
        <v>1</v>
      </c>
      <c r="I142" s="76">
        <f t="shared" si="60"/>
        <v>1</v>
      </c>
      <c r="J142" s="76">
        <f t="shared" si="61"/>
        <v>1</v>
      </c>
      <c r="K142" s="67">
        <f t="shared" si="62"/>
        <v>0</v>
      </c>
      <c r="L142" s="67">
        <f t="shared" si="63"/>
        <v>0</v>
      </c>
      <c r="M142" s="77">
        <f t="shared" si="64"/>
        <v>0</v>
      </c>
      <c r="N142" s="76">
        <f t="shared" si="65"/>
        <v>1</v>
      </c>
      <c r="O142" s="77">
        <f t="shared" si="66"/>
        <v>0.90617614879649899</v>
      </c>
      <c r="P142" s="76">
        <f t="shared" si="67"/>
        <v>0.58333333333333326</v>
      </c>
      <c r="Q142" s="76">
        <f t="shared" si="68"/>
        <v>0</v>
      </c>
      <c r="R142" s="76">
        <f t="shared" si="69"/>
        <v>0</v>
      </c>
      <c r="S142" s="76">
        <f t="shared" si="70"/>
        <v>0.98497407477880317</v>
      </c>
      <c r="T142" s="76">
        <f t="shared" si="71"/>
        <v>0.98497407477880317</v>
      </c>
      <c r="U142" s="76">
        <f t="shared" si="72"/>
        <v>1</v>
      </c>
    </row>
    <row r="143" spans="1:21" x14ac:dyDescent="0.25">
      <c r="A143" s="71">
        <v>11</v>
      </c>
      <c r="B143" s="72">
        <f t="shared" si="73"/>
        <v>45962</v>
      </c>
      <c r="C143" s="73">
        <f t="shared" si="54"/>
        <v>45991</v>
      </c>
      <c r="D143" s="67">
        <f t="shared" si="55"/>
        <v>30</v>
      </c>
      <c r="E143" s="67">
        <f t="shared" si="56"/>
        <v>11</v>
      </c>
      <c r="F143" s="74">
        <f t="shared" si="57"/>
        <v>45977</v>
      </c>
      <c r="G143" s="67">
        <f t="shared" si="58"/>
        <v>24310</v>
      </c>
      <c r="H143" s="75">
        <f t="shared" si="59"/>
        <v>1</v>
      </c>
      <c r="I143" s="76">
        <f t="shared" si="60"/>
        <v>1</v>
      </c>
      <c r="J143" s="76">
        <f t="shared" si="61"/>
        <v>1</v>
      </c>
      <c r="K143" s="67">
        <f t="shared" si="62"/>
        <v>0</v>
      </c>
      <c r="L143" s="67">
        <f t="shared" si="63"/>
        <v>0</v>
      </c>
      <c r="M143" s="77">
        <f t="shared" si="64"/>
        <v>0</v>
      </c>
      <c r="N143" s="76">
        <f t="shared" si="65"/>
        <v>1</v>
      </c>
      <c r="O143" s="77">
        <f t="shared" si="66"/>
        <v>0.90650984682713354</v>
      </c>
      <c r="P143" s="76">
        <f t="shared" si="67"/>
        <v>0.75</v>
      </c>
      <c r="Q143" s="76">
        <f t="shared" si="68"/>
        <v>0</v>
      </c>
      <c r="R143" s="76">
        <f t="shared" si="69"/>
        <v>0</v>
      </c>
      <c r="S143" s="76">
        <f t="shared" si="70"/>
        <v>0.98533679002949293</v>
      </c>
      <c r="T143" s="76">
        <f t="shared" si="71"/>
        <v>0.98533679002949293</v>
      </c>
      <c r="U143" s="76">
        <f t="shared" si="72"/>
        <v>1</v>
      </c>
    </row>
    <row r="144" spans="1:21" x14ac:dyDescent="0.25">
      <c r="A144" s="71">
        <v>12</v>
      </c>
      <c r="B144" s="72">
        <f t="shared" si="73"/>
        <v>45992</v>
      </c>
      <c r="C144" s="73">
        <f t="shared" si="54"/>
        <v>46022</v>
      </c>
      <c r="D144" s="67">
        <f t="shared" si="55"/>
        <v>31</v>
      </c>
      <c r="E144" s="67">
        <f t="shared" si="56"/>
        <v>12</v>
      </c>
      <c r="F144" s="74">
        <f t="shared" si="57"/>
        <v>46007.5</v>
      </c>
      <c r="G144" s="67">
        <f t="shared" si="58"/>
        <v>24311</v>
      </c>
      <c r="H144" s="75">
        <f t="shared" si="59"/>
        <v>1</v>
      </c>
      <c r="I144" s="76">
        <f t="shared" si="60"/>
        <v>1</v>
      </c>
      <c r="J144" s="76">
        <f t="shared" si="61"/>
        <v>1</v>
      </c>
      <c r="K144" s="67">
        <f t="shared" si="62"/>
        <v>0</v>
      </c>
      <c r="L144" s="67">
        <f t="shared" si="63"/>
        <v>0</v>
      </c>
      <c r="M144" s="77">
        <f t="shared" si="64"/>
        <v>0</v>
      </c>
      <c r="N144" s="76">
        <f t="shared" si="65"/>
        <v>1</v>
      </c>
      <c r="O144" s="77">
        <f t="shared" si="66"/>
        <v>0.90684354485776808</v>
      </c>
      <c r="P144" s="76">
        <f t="shared" si="67"/>
        <v>0.91666666666666663</v>
      </c>
      <c r="Q144" s="76">
        <f t="shared" si="68"/>
        <v>0</v>
      </c>
      <c r="R144" s="76">
        <f t="shared" si="69"/>
        <v>0</v>
      </c>
      <c r="S144" s="76">
        <f t="shared" si="70"/>
        <v>0.98569950528018269</v>
      </c>
      <c r="T144" s="76">
        <f t="shared" si="71"/>
        <v>0.98569950528018269</v>
      </c>
      <c r="U144" s="76">
        <f t="shared" si="72"/>
        <v>1</v>
      </c>
    </row>
    <row r="145" spans="1:21" x14ac:dyDescent="0.25">
      <c r="A145" s="71">
        <v>13</v>
      </c>
      <c r="B145" s="72">
        <f t="shared" si="73"/>
        <v>46023</v>
      </c>
      <c r="C145" s="73">
        <f t="shared" si="54"/>
        <v>46053</v>
      </c>
      <c r="D145" s="67">
        <f t="shared" si="55"/>
        <v>31</v>
      </c>
      <c r="E145" s="67">
        <f t="shared" si="56"/>
        <v>1</v>
      </c>
      <c r="F145" s="74">
        <f t="shared" si="57"/>
        <v>46038.5</v>
      </c>
      <c r="G145" s="67">
        <f t="shared" si="58"/>
        <v>24312</v>
      </c>
      <c r="H145" s="75">
        <f t="shared" si="59"/>
        <v>1</v>
      </c>
      <c r="I145" s="76">
        <f t="shared" si="60"/>
        <v>1</v>
      </c>
      <c r="J145" s="76">
        <f t="shared" si="61"/>
        <v>1</v>
      </c>
      <c r="K145" s="67">
        <f t="shared" si="62"/>
        <v>0</v>
      </c>
      <c r="L145" s="67">
        <f t="shared" si="63"/>
        <v>0</v>
      </c>
      <c r="M145" s="77">
        <f t="shared" si="64"/>
        <v>0</v>
      </c>
      <c r="N145" s="76">
        <f t="shared" si="65"/>
        <v>1</v>
      </c>
      <c r="O145" s="77">
        <f t="shared" si="66"/>
        <v>0.90718271334792122</v>
      </c>
      <c r="P145" s="76">
        <f t="shared" si="67"/>
        <v>1</v>
      </c>
      <c r="Q145" s="76">
        <f t="shared" si="68"/>
        <v>0</v>
      </c>
      <c r="R145" s="76">
        <f t="shared" si="69"/>
        <v>0</v>
      </c>
      <c r="S145" s="76">
        <f t="shared" si="70"/>
        <v>0.98606816668252306</v>
      </c>
      <c r="T145" s="76">
        <f t="shared" si="71"/>
        <v>0.98606816668252306</v>
      </c>
      <c r="U145" s="76">
        <f t="shared" si="72"/>
        <v>1</v>
      </c>
    </row>
    <row r="146" spans="1:21" x14ac:dyDescent="0.25">
      <c r="A146" s="71">
        <v>14</v>
      </c>
      <c r="B146" s="72">
        <f t="shared" si="73"/>
        <v>46054</v>
      </c>
      <c r="C146" s="73">
        <f t="shared" si="54"/>
        <v>46081</v>
      </c>
      <c r="D146" s="67">
        <f t="shared" si="55"/>
        <v>28</v>
      </c>
      <c r="E146" s="67">
        <f t="shared" si="56"/>
        <v>2</v>
      </c>
      <c r="F146" s="74">
        <f t="shared" si="57"/>
        <v>46068</v>
      </c>
      <c r="G146" s="67">
        <f t="shared" si="58"/>
        <v>24313</v>
      </c>
      <c r="H146" s="75">
        <f t="shared" si="59"/>
        <v>1</v>
      </c>
      <c r="I146" s="76">
        <f t="shared" si="60"/>
        <v>1</v>
      </c>
      <c r="J146" s="76">
        <f t="shared" si="61"/>
        <v>1.03</v>
      </c>
      <c r="K146" s="67">
        <f t="shared" si="62"/>
        <v>1</v>
      </c>
      <c r="L146" s="67">
        <f t="shared" si="63"/>
        <v>28</v>
      </c>
      <c r="M146" s="77">
        <f t="shared" si="64"/>
        <v>1</v>
      </c>
      <c r="N146" s="76">
        <f t="shared" si="65"/>
        <v>1.03</v>
      </c>
      <c r="O146" s="77">
        <f t="shared" si="66"/>
        <v>0.90750547045951868</v>
      </c>
      <c r="P146" s="76">
        <f t="shared" si="67"/>
        <v>1</v>
      </c>
      <c r="Q146" s="76">
        <f t="shared" si="68"/>
        <v>0</v>
      </c>
      <c r="R146" s="76">
        <f t="shared" si="69"/>
        <v>0</v>
      </c>
      <c r="S146" s="76">
        <f t="shared" si="70"/>
        <v>1.016011559318809</v>
      </c>
      <c r="T146" s="76">
        <f t="shared" si="71"/>
        <v>1.016011559318809</v>
      </c>
      <c r="U146" s="76">
        <f t="shared" si="72"/>
        <v>1.03</v>
      </c>
    </row>
    <row r="147" spans="1:21" x14ac:dyDescent="0.25">
      <c r="A147" s="71">
        <v>15</v>
      </c>
      <c r="B147" s="72">
        <f t="shared" si="73"/>
        <v>46082</v>
      </c>
      <c r="C147" s="73">
        <f t="shared" si="54"/>
        <v>46112</v>
      </c>
      <c r="D147" s="67">
        <f t="shared" si="55"/>
        <v>31</v>
      </c>
      <c r="E147" s="67">
        <f t="shared" si="56"/>
        <v>3</v>
      </c>
      <c r="F147" s="74">
        <f t="shared" si="57"/>
        <v>46097.5</v>
      </c>
      <c r="G147" s="67">
        <f t="shared" si="58"/>
        <v>24314</v>
      </c>
      <c r="H147" s="75">
        <f t="shared" si="59"/>
        <v>1</v>
      </c>
      <c r="I147" s="76">
        <f t="shared" si="60"/>
        <v>1.03</v>
      </c>
      <c r="J147" s="76">
        <f t="shared" si="61"/>
        <v>1.03</v>
      </c>
      <c r="K147" s="67">
        <f t="shared" si="62"/>
        <v>0</v>
      </c>
      <c r="L147" s="67">
        <f t="shared" si="63"/>
        <v>0</v>
      </c>
      <c r="M147" s="77">
        <f t="shared" si="64"/>
        <v>0</v>
      </c>
      <c r="N147" s="76">
        <f t="shared" si="65"/>
        <v>1.03</v>
      </c>
      <c r="O147" s="77">
        <f t="shared" si="66"/>
        <v>0.90782822757111603</v>
      </c>
      <c r="P147" s="76">
        <f t="shared" si="67"/>
        <v>1</v>
      </c>
      <c r="Q147" s="76">
        <f t="shared" si="68"/>
        <v>0</v>
      </c>
      <c r="R147" s="76">
        <f t="shared" si="69"/>
        <v>0</v>
      </c>
      <c r="S147" s="76">
        <f t="shared" si="70"/>
        <v>1.016372906954619</v>
      </c>
      <c r="T147" s="76">
        <f t="shared" si="71"/>
        <v>1.016372906954619</v>
      </c>
      <c r="U147" s="76">
        <f t="shared" si="72"/>
        <v>1.03</v>
      </c>
    </row>
    <row r="148" spans="1:21" x14ac:dyDescent="0.25">
      <c r="A148" s="71">
        <v>16</v>
      </c>
      <c r="B148" s="72">
        <f t="shared" si="73"/>
        <v>46113</v>
      </c>
      <c r="C148" s="73">
        <f t="shared" si="54"/>
        <v>46142</v>
      </c>
      <c r="D148" s="67">
        <f t="shared" si="55"/>
        <v>30</v>
      </c>
      <c r="E148" s="67">
        <f t="shared" si="56"/>
        <v>4</v>
      </c>
      <c r="F148" s="74">
        <f t="shared" si="57"/>
        <v>46128</v>
      </c>
      <c r="G148" s="67">
        <f t="shared" si="58"/>
        <v>24315</v>
      </c>
      <c r="H148" s="75">
        <f t="shared" si="59"/>
        <v>1</v>
      </c>
      <c r="I148" s="76">
        <f t="shared" si="60"/>
        <v>1.03</v>
      </c>
      <c r="J148" s="76">
        <f t="shared" si="61"/>
        <v>1.03</v>
      </c>
      <c r="K148" s="67">
        <f t="shared" si="62"/>
        <v>0</v>
      </c>
      <c r="L148" s="67">
        <f t="shared" si="63"/>
        <v>0</v>
      </c>
      <c r="M148" s="77">
        <f t="shared" si="64"/>
        <v>0</v>
      </c>
      <c r="N148" s="76">
        <f t="shared" si="65"/>
        <v>1.03</v>
      </c>
      <c r="O148" s="77">
        <f t="shared" si="66"/>
        <v>0.90816192560175057</v>
      </c>
      <c r="P148" s="76">
        <f t="shared" si="67"/>
        <v>1</v>
      </c>
      <c r="Q148" s="76">
        <f t="shared" si="68"/>
        <v>0</v>
      </c>
      <c r="R148" s="76">
        <f t="shared" si="69"/>
        <v>0</v>
      </c>
      <c r="S148" s="76">
        <f t="shared" si="70"/>
        <v>1.0167465036628294</v>
      </c>
      <c r="T148" s="76">
        <f t="shared" si="71"/>
        <v>1.0167465036628294</v>
      </c>
      <c r="U148" s="76">
        <f t="shared" si="72"/>
        <v>1.03</v>
      </c>
    </row>
    <row r="149" spans="1:21" x14ac:dyDescent="0.25">
      <c r="A149" s="71">
        <v>17</v>
      </c>
      <c r="B149" s="72">
        <f t="shared" si="73"/>
        <v>46143</v>
      </c>
      <c r="C149" s="73">
        <f t="shared" si="54"/>
        <v>46173</v>
      </c>
      <c r="D149" s="67">
        <f t="shared" si="55"/>
        <v>31</v>
      </c>
      <c r="E149" s="67">
        <f t="shared" si="56"/>
        <v>5</v>
      </c>
      <c r="F149" s="74">
        <f t="shared" si="57"/>
        <v>46158.5</v>
      </c>
      <c r="G149" s="67">
        <f t="shared" si="58"/>
        <v>24316</v>
      </c>
      <c r="H149" s="75">
        <f t="shared" si="59"/>
        <v>1</v>
      </c>
      <c r="I149" s="76">
        <f t="shared" si="60"/>
        <v>1.03</v>
      </c>
      <c r="J149" s="76">
        <f t="shared" si="61"/>
        <v>1.03</v>
      </c>
      <c r="K149" s="67">
        <f t="shared" si="62"/>
        <v>0</v>
      </c>
      <c r="L149" s="67">
        <f t="shared" si="63"/>
        <v>0</v>
      </c>
      <c r="M149" s="77">
        <f t="shared" si="64"/>
        <v>0</v>
      </c>
      <c r="N149" s="76">
        <f t="shared" si="65"/>
        <v>1.03</v>
      </c>
      <c r="O149" s="77">
        <f t="shared" si="66"/>
        <v>0.90849562363238512</v>
      </c>
      <c r="P149" s="76">
        <f t="shared" si="67"/>
        <v>1</v>
      </c>
      <c r="Q149" s="76">
        <f t="shared" si="68"/>
        <v>0</v>
      </c>
      <c r="R149" s="76">
        <f t="shared" si="69"/>
        <v>0</v>
      </c>
      <c r="S149" s="76">
        <f t="shared" si="70"/>
        <v>1.0171201003710397</v>
      </c>
      <c r="T149" s="76">
        <f t="shared" si="71"/>
        <v>1.0171201003710397</v>
      </c>
      <c r="U149" s="76">
        <f t="shared" si="72"/>
        <v>1.03</v>
      </c>
    </row>
    <row r="150" spans="1:21" x14ac:dyDescent="0.25">
      <c r="A150" s="71">
        <v>18</v>
      </c>
      <c r="B150" s="72">
        <f t="shared" si="73"/>
        <v>46174</v>
      </c>
      <c r="C150" s="73">
        <f t="shared" si="54"/>
        <v>46203</v>
      </c>
      <c r="D150" s="67">
        <f t="shared" si="55"/>
        <v>30</v>
      </c>
      <c r="E150" s="67">
        <f t="shared" si="56"/>
        <v>6</v>
      </c>
      <c r="F150" s="74">
        <f t="shared" si="57"/>
        <v>46189</v>
      </c>
      <c r="G150" s="67">
        <f t="shared" si="58"/>
        <v>24317</v>
      </c>
      <c r="H150" s="75">
        <f t="shared" si="59"/>
        <v>1</v>
      </c>
      <c r="I150" s="76">
        <f t="shared" si="60"/>
        <v>1.03</v>
      </c>
      <c r="J150" s="76">
        <f t="shared" si="61"/>
        <v>1.03</v>
      </c>
      <c r="K150" s="67">
        <f t="shared" si="62"/>
        <v>0</v>
      </c>
      <c r="L150" s="67">
        <f t="shared" si="63"/>
        <v>0</v>
      </c>
      <c r="M150" s="77">
        <f t="shared" si="64"/>
        <v>0</v>
      </c>
      <c r="N150" s="76">
        <f t="shared" si="65"/>
        <v>1.03</v>
      </c>
      <c r="O150" s="77">
        <f t="shared" si="66"/>
        <v>0.90882932166301977</v>
      </c>
      <c r="P150" s="76">
        <f t="shared" si="67"/>
        <v>1</v>
      </c>
      <c r="Q150" s="76">
        <f t="shared" si="68"/>
        <v>0</v>
      </c>
      <c r="R150" s="76">
        <f t="shared" si="69"/>
        <v>0</v>
      </c>
      <c r="S150" s="76">
        <f t="shared" si="70"/>
        <v>1.0174936970792503</v>
      </c>
      <c r="T150" s="76">
        <f t="shared" si="71"/>
        <v>1.0174936970792503</v>
      </c>
      <c r="U150" s="76">
        <f t="shared" si="72"/>
        <v>1.03</v>
      </c>
    </row>
    <row r="151" spans="1:21" x14ac:dyDescent="0.25">
      <c r="A151" s="71">
        <v>19</v>
      </c>
      <c r="B151" s="72">
        <f t="shared" si="73"/>
        <v>46204</v>
      </c>
      <c r="C151" s="73">
        <f t="shared" si="54"/>
        <v>46234</v>
      </c>
      <c r="D151" s="67">
        <f t="shared" si="55"/>
        <v>31</v>
      </c>
      <c r="E151" s="67">
        <f t="shared" si="56"/>
        <v>7</v>
      </c>
      <c r="F151" s="74">
        <f t="shared" si="57"/>
        <v>46219.5</v>
      </c>
      <c r="G151" s="67">
        <f t="shared" si="58"/>
        <v>24318</v>
      </c>
      <c r="H151" s="75">
        <f t="shared" si="59"/>
        <v>1</v>
      </c>
      <c r="I151" s="76">
        <f t="shared" si="60"/>
        <v>1.03</v>
      </c>
      <c r="J151" s="76">
        <f t="shared" si="61"/>
        <v>1.03</v>
      </c>
      <c r="K151" s="67">
        <f t="shared" si="62"/>
        <v>0</v>
      </c>
      <c r="L151" s="67">
        <f t="shared" si="63"/>
        <v>0</v>
      </c>
      <c r="M151" s="77">
        <f t="shared" si="64"/>
        <v>0</v>
      </c>
      <c r="N151" s="76">
        <f t="shared" si="65"/>
        <v>1.03</v>
      </c>
      <c r="O151" s="77">
        <f t="shared" si="66"/>
        <v>0.90916301969365432</v>
      </c>
      <c r="P151" s="76">
        <f t="shared" si="67"/>
        <v>0.91666666666666663</v>
      </c>
      <c r="Q151" s="76">
        <f t="shared" si="68"/>
        <v>8.333333333333337E-2</v>
      </c>
      <c r="R151" s="76">
        <f t="shared" si="69"/>
        <v>0</v>
      </c>
      <c r="S151" s="76">
        <f t="shared" si="70"/>
        <v>1.0178672937874609</v>
      </c>
      <c r="T151" s="76">
        <f t="shared" si="71"/>
        <v>1.0178672937874609</v>
      </c>
      <c r="U151" s="76">
        <f t="shared" si="72"/>
        <v>1.03</v>
      </c>
    </row>
    <row r="152" spans="1:21" x14ac:dyDescent="0.25">
      <c r="A152" s="71">
        <v>20</v>
      </c>
      <c r="B152" s="72">
        <f t="shared" si="73"/>
        <v>46235</v>
      </c>
      <c r="C152" s="73">
        <f t="shared" si="54"/>
        <v>46265</v>
      </c>
      <c r="D152" s="67">
        <f t="shared" si="55"/>
        <v>31</v>
      </c>
      <c r="E152" s="67">
        <f t="shared" si="56"/>
        <v>8</v>
      </c>
      <c r="F152" s="74">
        <f t="shared" si="57"/>
        <v>46250.5</v>
      </c>
      <c r="G152" s="67">
        <f t="shared" si="58"/>
        <v>24319</v>
      </c>
      <c r="H152" s="75">
        <f t="shared" si="59"/>
        <v>1</v>
      </c>
      <c r="I152" s="76">
        <f t="shared" si="60"/>
        <v>1.03</v>
      </c>
      <c r="J152" s="76">
        <f t="shared" si="61"/>
        <v>1.03</v>
      </c>
      <c r="K152" s="67">
        <f t="shared" si="62"/>
        <v>0</v>
      </c>
      <c r="L152" s="67">
        <f t="shared" si="63"/>
        <v>0</v>
      </c>
      <c r="M152" s="77">
        <f t="shared" si="64"/>
        <v>0</v>
      </c>
      <c r="N152" s="76">
        <f t="shared" si="65"/>
        <v>1.03</v>
      </c>
      <c r="O152" s="77">
        <f t="shared" si="66"/>
        <v>0.90950218818380746</v>
      </c>
      <c r="P152" s="76">
        <f t="shared" si="67"/>
        <v>0.75</v>
      </c>
      <c r="Q152" s="76">
        <f t="shared" si="68"/>
        <v>0.25</v>
      </c>
      <c r="R152" s="76">
        <f t="shared" si="69"/>
        <v>0</v>
      </c>
      <c r="S152" s="76">
        <f t="shared" si="70"/>
        <v>1.0182470150318714</v>
      </c>
      <c r="T152" s="76">
        <f t="shared" si="71"/>
        <v>1.0182470150318714</v>
      </c>
      <c r="U152" s="76">
        <f t="shared" si="72"/>
        <v>1.03</v>
      </c>
    </row>
    <row r="153" spans="1:21" x14ac:dyDescent="0.25">
      <c r="A153" s="71">
        <v>21</v>
      </c>
      <c r="B153" s="72">
        <f t="shared" si="73"/>
        <v>46266</v>
      </c>
      <c r="C153" s="73">
        <f t="shared" si="54"/>
        <v>46295</v>
      </c>
      <c r="D153" s="67">
        <f t="shared" si="55"/>
        <v>30</v>
      </c>
      <c r="E153" s="67">
        <f t="shared" si="56"/>
        <v>9</v>
      </c>
      <c r="F153" s="74">
        <f t="shared" si="57"/>
        <v>46281</v>
      </c>
      <c r="G153" s="67">
        <f t="shared" si="58"/>
        <v>24320</v>
      </c>
      <c r="H153" s="75">
        <f t="shared" si="59"/>
        <v>1</v>
      </c>
      <c r="I153" s="76">
        <f t="shared" si="60"/>
        <v>1.03</v>
      </c>
      <c r="J153" s="76">
        <f t="shared" si="61"/>
        <v>1.03</v>
      </c>
      <c r="K153" s="67">
        <f t="shared" si="62"/>
        <v>0</v>
      </c>
      <c r="L153" s="67">
        <f t="shared" si="63"/>
        <v>0</v>
      </c>
      <c r="M153" s="77">
        <f t="shared" si="64"/>
        <v>0</v>
      </c>
      <c r="N153" s="76">
        <f t="shared" si="65"/>
        <v>1.03</v>
      </c>
      <c r="O153" s="77">
        <f t="shared" si="66"/>
        <v>0.909835886214442</v>
      </c>
      <c r="P153" s="76">
        <f t="shared" si="67"/>
        <v>0.58333333333333337</v>
      </c>
      <c r="Q153" s="76">
        <f t="shared" si="68"/>
        <v>0.41666666666666663</v>
      </c>
      <c r="R153" s="76">
        <f t="shared" si="69"/>
        <v>0</v>
      </c>
      <c r="S153" s="76">
        <f t="shared" si="70"/>
        <v>1.0186206117400818</v>
      </c>
      <c r="T153" s="76">
        <f t="shared" si="71"/>
        <v>1.0186206117400818</v>
      </c>
      <c r="U153" s="76">
        <f t="shared" si="72"/>
        <v>1.03</v>
      </c>
    </row>
    <row r="154" spans="1:21" x14ac:dyDescent="0.25">
      <c r="A154" s="71">
        <v>22</v>
      </c>
      <c r="B154" s="72">
        <f t="shared" si="73"/>
        <v>46296</v>
      </c>
      <c r="C154" s="73">
        <f t="shared" si="54"/>
        <v>46326</v>
      </c>
      <c r="D154" s="67">
        <f t="shared" si="55"/>
        <v>31</v>
      </c>
      <c r="E154" s="67">
        <f t="shared" si="56"/>
        <v>10</v>
      </c>
      <c r="F154" s="74">
        <f t="shared" si="57"/>
        <v>46311.5</v>
      </c>
      <c r="G154" s="67">
        <f t="shared" si="58"/>
        <v>24321</v>
      </c>
      <c r="H154" s="75">
        <f t="shared" si="59"/>
        <v>1</v>
      </c>
      <c r="I154" s="76">
        <f t="shared" si="60"/>
        <v>1.03</v>
      </c>
      <c r="J154" s="76">
        <f t="shared" si="61"/>
        <v>1.03</v>
      </c>
      <c r="K154" s="67">
        <f t="shared" si="62"/>
        <v>0</v>
      </c>
      <c r="L154" s="67">
        <f t="shared" si="63"/>
        <v>0</v>
      </c>
      <c r="M154" s="77">
        <f t="shared" si="64"/>
        <v>0</v>
      </c>
      <c r="N154" s="76">
        <f t="shared" si="65"/>
        <v>1.03</v>
      </c>
      <c r="O154" s="77">
        <f t="shared" si="66"/>
        <v>0.91016958424507666</v>
      </c>
      <c r="P154" s="76">
        <f t="shared" si="67"/>
        <v>0.41666666666666669</v>
      </c>
      <c r="Q154" s="76">
        <f t="shared" si="68"/>
        <v>0.58333333333333326</v>
      </c>
      <c r="R154" s="76">
        <f t="shared" si="69"/>
        <v>0</v>
      </c>
      <c r="S154" s="76">
        <f t="shared" si="70"/>
        <v>1.0189942084482924</v>
      </c>
      <c r="T154" s="76">
        <f t="shared" si="71"/>
        <v>1.0189942084482924</v>
      </c>
      <c r="U154" s="76">
        <f t="shared" si="72"/>
        <v>1.03</v>
      </c>
    </row>
    <row r="155" spans="1:21" x14ac:dyDescent="0.25">
      <c r="A155" s="71">
        <v>23</v>
      </c>
      <c r="B155" s="72">
        <f t="shared" si="73"/>
        <v>46327</v>
      </c>
      <c r="C155" s="73">
        <f t="shared" si="54"/>
        <v>46356</v>
      </c>
      <c r="D155" s="67">
        <f t="shared" si="55"/>
        <v>30</v>
      </c>
      <c r="E155" s="67">
        <f t="shared" si="56"/>
        <v>11</v>
      </c>
      <c r="F155" s="74">
        <f t="shared" si="57"/>
        <v>46342</v>
      </c>
      <c r="G155" s="67">
        <f t="shared" si="58"/>
        <v>24322</v>
      </c>
      <c r="H155" s="75">
        <f t="shared" si="59"/>
        <v>1</v>
      </c>
      <c r="I155" s="76">
        <f t="shared" si="60"/>
        <v>1.03</v>
      </c>
      <c r="J155" s="76">
        <f t="shared" si="61"/>
        <v>1.03</v>
      </c>
      <c r="K155" s="67">
        <f t="shared" si="62"/>
        <v>0</v>
      </c>
      <c r="L155" s="67">
        <f t="shared" si="63"/>
        <v>0</v>
      </c>
      <c r="M155" s="77">
        <f t="shared" si="64"/>
        <v>0</v>
      </c>
      <c r="N155" s="76">
        <f t="shared" si="65"/>
        <v>1.03</v>
      </c>
      <c r="O155" s="77">
        <f t="shared" si="66"/>
        <v>0.9105032822757112</v>
      </c>
      <c r="P155" s="76">
        <f t="shared" si="67"/>
        <v>0.25</v>
      </c>
      <c r="Q155" s="76">
        <f t="shared" si="68"/>
        <v>0.75</v>
      </c>
      <c r="R155" s="76">
        <f t="shared" si="69"/>
        <v>0</v>
      </c>
      <c r="S155" s="76">
        <f t="shared" si="70"/>
        <v>1.0193678051565027</v>
      </c>
      <c r="T155" s="76">
        <f t="shared" si="71"/>
        <v>1.0193678051565027</v>
      </c>
      <c r="U155" s="76">
        <f t="shared" si="72"/>
        <v>1.03</v>
      </c>
    </row>
    <row r="156" spans="1:21" x14ac:dyDescent="0.25">
      <c r="A156" s="71">
        <v>24</v>
      </c>
      <c r="B156" s="72">
        <f t="shared" si="73"/>
        <v>46357</v>
      </c>
      <c r="C156" s="73">
        <f t="shared" si="54"/>
        <v>46387</v>
      </c>
      <c r="D156" s="67">
        <f t="shared" si="55"/>
        <v>31</v>
      </c>
      <c r="E156" s="67">
        <f t="shared" si="56"/>
        <v>12</v>
      </c>
      <c r="F156" s="74">
        <f t="shared" si="57"/>
        <v>46372.5</v>
      </c>
      <c r="G156" s="67">
        <f t="shared" si="58"/>
        <v>24323</v>
      </c>
      <c r="H156" s="75">
        <f t="shared" si="59"/>
        <v>1</v>
      </c>
      <c r="I156" s="76">
        <f t="shared" si="60"/>
        <v>1.03</v>
      </c>
      <c r="J156" s="76">
        <f t="shared" si="61"/>
        <v>1.03</v>
      </c>
      <c r="K156" s="67">
        <f t="shared" si="62"/>
        <v>0</v>
      </c>
      <c r="L156" s="67">
        <f t="shared" si="63"/>
        <v>0</v>
      </c>
      <c r="M156" s="77">
        <f t="shared" si="64"/>
        <v>0</v>
      </c>
      <c r="N156" s="76">
        <f t="shared" si="65"/>
        <v>1.03</v>
      </c>
      <c r="O156" s="77">
        <f t="shared" si="66"/>
        <v>0.91083698030634574</v>
      </c>
      <c r="P156" s="76">
        <f t="shared" si="67"/>
        <v>8.3333333333333329E-2</v>
      </c>
      <c r="Q156" s="76">
        <f t="shared" si="68"/>
        <v>0.91666666666666663</v>
      </c>
      <c r="R156" s="76">
        <f t="shared" si="69"/>
        <v>0</v>
      </c>
      <c r="S156" s="76">
        <f t="shared" si="70"/>
        <v>1.0197414018647131</v>
      </c>
      <c r="T156" s="76">
        <f t="shared" si="71"/>
        <v>1.0197414018647131</v>
      </c>
      <c r="U156" s="76">
        <f t="shared" si="72"/>
        <v>1.03</v>
      </c>
    </row>
    <row r="157" spans="1:21" x14ac:dyDescent="0.25">
      <c r="A157" s="71">
        <v>25</v>
      </c>
      <c r="B157" s="72">
        <f t="shared" si="73"/>
        <v>46388</v>
      </c>
      <c r="C157" s="73">
        <f t="shared" si="54"/>
        <v>46418</v>
      </c>
      <c r="D157" s="67">
        <f t="shared" si="55"/>
        <v>31</v>
      </c>
      <c r="E157" s="67">
        <f t="shared" si="56"/>
        <v>1</v>
      </c>
      <c r="F157" s="74">
        <f t="shared" si="57"/>
        <v>46403.5</v>
      </c>
      <c r="G157" s="67">
        <f t="shared" si="58"/>
        <v>24324</v>
      </c>
      <c r="H157" s="75">
        <f t="shared" si="59"/>
        <v>1</v>
      </c>
      <c r="I157" s="76">
        <f t="shared" si="60"/>
        <v>1.03</v>
      </c>
      <c r="J157" s="76">
        <f t="shared" si="61"/>
        <v>1.03</v>
      </c>
      <c r="K157" s="67">
        <f t="shared" si="62"/>
        <v>0</v>
      </c>
      <c r="L157" s="67">
        <f t="shared" si="63"/>
        <v>0</v>
      </c>
      <c r="M157" s="77">
        <f t="shared" si="64"/>
        <v>0</v>
      </c>
      <c r="N157" s="76">
        <f t="shared" si="65"/>
        <v>1.03</v>
      </c>
      <c r="O157" s="77">
        <f t="shared" si="66"/>
        <v>0.91117614879649889</v>
      </c>
      <c r="P157" s="76">
        <f t="shared" si="67"/>
        <v>0</v>
      </c>
      <c r="Q157" s="76">
        <f t="shared" si="68"/>
        <v>1</v>
      </c>
      <c r="R157" s="76">
        <f t="shared" si="69"/>
        <v>0</v>
      </c>
      <c r="S157" s="76">
        <f t="shared" si="70"/>
        <v>1.0201211231091236</v>
      </c>
      <c r="T157" s="76">
        <f t="shared" si="71"/>
        <v>0.98606816668252306</v>
      </c>
      <c r="U157" s="76">
        <f t="shared" si="72"/>
        <v>1.03</v>
      </c>
    </row>
    <row r="158" spans="1:21" x14ac:dyDescent="0.25">
      <c r="A158" s="71">
        <v>26</v>
      </c>
      <c r="B158" s="72">
        <f t="shared" si="73"/>
        <v>46419</v>
      </c>
      <c r="C158" s="73">
        <f t="shared" si="54"/>
        <v>46446</v>
      </c>
      <c r="D158" s="67">
        <f t="shared" si="55"/>
        <v>28</v>
      </c>
      <c r="E158" s="67">
        <f t="shared" si="56"/>
        <v>2</v>
      </c>
      <c r="F158" s="74">
        <f t="shared" si="57"/>
        <v>46433</v>
      </c>
      <c r="G158" s="67">
        <f t="shared" si="58"/>
        <v>24325</v>
      </c>
      <c r="H158" s="75">
        <f t="shared" si="59"/>
        <v>1</v>
      </c>
      <c r="I158" s="76">
        <f t="shared" si="60"/>
        <v>1.03</v>
      </c>
      <c r="J158" s="76">
        <f t="shared" si="61"/>
        <v>1.0712000000000002</v>
      </c>
      <c r="K158" s="67">
        <f t="shared" si="62"/>
        <v>1</v>
      </c>
      <c r="L158" s="67">
        <f t="shared" si="63"/>
        <v>28</v>
      </c>
      <c r="M158" s="77">
        <f t="shared" si="64"/>
        <v>1</v>
      </c>
      <c r="N158" s="76">
        <f t="shared" si="65"/>
        <v>1.0712000000000002</v>
      </c>
      <c r="O158" s="77">
        <f t="shared" si="66"/>
        <v>0.91149890590809635</v>
      </c>
      <c r="P158" s="76">
        <f t="shared" si="67"/>
        <v>0</v>
      </c>
      <c r="Q158" s="76">
        <f t="shared" si="68"/>
        <v>1</v>
      </c>
      <c r="R158" s="76">
        <f t="shared" si="69"/>
        <v>0</v>
      </c>
      <c r="S158" s="76">
        <f t="shared" si="70"/>
        <v>1.0613017695747313</v>
      </c>
      <c r="T158" s="76">
        <f t="shared" si="71"/>
        <v>1.016011559318809</v>
      </c>
      <c r="U158" s="76">
        <f t="shared" si="72"/>
        <v>1.0712000000000002</v>
      </c>
    </row>
    <row r="159" spans="1:21" x14ac:dyDescent="0.25">
      <c r="A159" s="71">
        <v>27</v>
      </c>
      <c r="B159" s="72">
        <f t="shared" si="73"/>
        <v>46447</v>
      </c>
      <c r="C159" s="73">
        <f t="shared" si="54"/>
        <v>46477</v>
      </c>
      <c r="D159" s="67">
        <f t="shared" si="55"/>
        <v>31</v>
      </c>
      <c r="E159" s="67">
        <f t="shared" si="56"/>
        <v>3</v>
      </c>
      <c r="F159" s="74">
        <f t="shared" si="57"/>
        <v>46462.5</v>
      </c>
      <c r="G159" s="67">
        <f t="shared" si="58"/>
        <v>24326</v>
      </c>
      <c r="H159" s="75">
        <f t="shared" si="59"/>
        <v>1</v>
      </c>
      <c r="I159" s="76">
        <f t="shared" si="60"/>
        <v>1.0712000000000002</v>
      </c>
      <c r="J159" s="76">
        <f t="shared" si="61"/>
        <v>1.0712000000000002</v>
      </c>
      <c r="K159" s="67">
        <f t="shared" si="62"/>
        <v>0</v>
      </c>
      <c r="L159" s="67">
        <f t="shared" si="63"/>
        <v>0</v>
      </c>
      <c r="M159" s="77">
        <f t="shared" si="64"/>
        <v>0</v>
      </c>
      <c r="N159" s="76">
        <f t="shared" si="65"/>
        <v>1.0712000000000002</v>
      </c>
      <c r="O159" s="77">
        <f t="shared" si="66"/>
        <v>0.9118216630196937</v>
      </c>
      <c r="P159" s="76">
        <f t="shared" si="67"/>
        <v>0</v>
      </c>
      <c r="Q159" s="76">
        <f t="shared" si="68"/>
        <v>1</v>
      </c>
      <c r="R159" s="76">
        <f t="shared" si="69"/>
        <v>0</v>
      </c>
      <c r="S159" s="76">
        <f t="shared" si="70"/>
        <v>1.0616775711159738</v>
      </c>
      <c r="T159" s="76">
        <f t="shared" si="71"/>
        <v>1.016372906954619</v>
      </c>
      <c r="U159" s="76">
        <f t="shared" si="72"/>
        <v>1.0712000000000002</v>
      </c>
    </row>
    <row r="160" spans="1:21" x14ac:dyDescent="0.25">
      <c r="A160" s="71">
        <v>28</v>
      </c>
      <c r="B160" s="72">
        <f t="shared" si="73"/>
        <v>46478</v>
      </c>
      <c r="C160" s="73">
        <f t="shared" si="54"/>
        <v>46507</v>
      </c>
      <c r="D160" s="67">
        <f t="shared" si="55"/>
        <v>30</v>
      </c>
      <c r="E160" s="67">
        <f t="shared" si="56"/>
        <v>4</v>
      </c>
      <c r="F160" s="74">
        <f t="shared" si="57"/>
        <v>46493</v>
      </c>
      <c r="G160" s="67">
        <f t="shared" si="58"/>
        <v>24327</v>
      </c>
      <c r="H160" s="75">
        <f t="shared" si="59"/>
        <v>1</v>
      </c>
      <c r="I160" s="76">
        <f t="shared" si="60"/>
        <v>1.0712000000000002</v>
      </c>
      <c r="J160" s="76">
        <f t="shared" si="61"/>
        <v>1.0712000000000002</v>
      </c>
      <c r="K160" s="67">
        <f t="shared" si="62"/>
        <v>0</v>
      </c>
      <c r="L160" s="67">
        <f t="shared" si="63"/>
        <v>0</v>
      </c>
      <c r="M160" s="77">
        <f t="shared" si="64"/>
        <v>0</v>
      </c>
      <c r="N160" s="76">
        <f t="shared" si="65"/>
        <v>1.0712000000000002</v>
      </c>
      <c r="O160" s="77">
        <f t="shared" si="66"/>
        <v>0.91215536105032824</v>
      </c>
      <c r="P160" s="76">
        <f t="shared" si="67"/>
        <v>0</v>
      </c>
      <c r="Q160" s="76">
        <f t="shared" si="68"/>
        <v>1</v>
      </c>
      <c r="R160" s="76">
        <f t="shared" si="69"/>
        <v>0</v>
      </c>
      <c r="S160" s="76">
        <f t="shared" si="70"/>
        <v>1.0620661116925127</v>
      </c>
      <c r="T160" s="76">
        <f t="shared" si="71"/>
        <v>1.0167465036628294</v>
      </c>
      <c r="U160" s="76">
        <f t="shared" si="72"/>
        <v>1.0712000000000002</v>
      </c>
    </row>
    <row r="161" spans="1:21" x14ac:dyDescent="0.25">
      <c r="A161" s="71">
        <v>29</v>
      </c>
      <c r="B161" s="72">
        <f t="shared" si="73"/>
        <v>46508</v>
      </c>
      <c r="C161" s="73">
        <f t="shared" si="54"/>
        <v>46538</v>
      </c>
      <c r="D161" s="67">
        <f t="shared" si="55"/>
        <v>31</v>
      </c>
      <c r="E161" s="67">
        <f t="shared" si="56"/>
        <v>5</v>
      </c>
      <c r="F161" s="74">
        <f t="shared" si="57"/>
        <v>46523.5</v>
      </c>
      <c r="G161" s="67">
        <f t="shared" si="58"/>
        <v>24328</v>
      </c>
      <c r="H161" s="75">
        <f t="shared" si="59"/>
        <v>1</v>
      </c>
      <c r="I161" s="76">
        <f t="shared" si="60"/>
        <v>1.0712000000000002</v>
      </c>
      <c r="J161" s="76">
        <f t="shared" si="61"/>
        <v>1.0712000000000002</v>
      </c>
      <c r="K161" s="67">
        <f t="shared" si="62"/>
        <v>0</v>
      </c>
      <c r="L161" s="67">
        <f t="shared" si="63"/>
        <v>0</v>
      </c>
      <c r="M161" s="77">
        <f t="shared" si="64"/>
        <v>0</v>
      </c>
      <c r="N161" s="76">
        <f t="shared" si="65"/>
        <v>1.0712000000000002</v>
      </c>
      <c r="O161" s="77">
        <f t="shared" si="66"/>
        <v>0.91248905908096278</v>
      </c>
      <c r="P161" s="76">
        <f t="shared" si="67"/>
        <v>0</v>
      </c>
      <c r="Q161" s="76">
        <f t="shared" si="68"/>
        <v>1</v>
      </c>
      <c r="R161" s="76">
        <f t="shared" si="69"/>
        <v>0</v>
      </c>
      <c r="S161" s="76">
        <f t="shared" si="70"/>
        <v>1.0624546522690517</v>
      </c>
      <c r="T161" s="76">
        <f t="shared" si="71"/>
        <v>1.0171201003710397</v>
      </c>
      <c r="U161" s="76">
        <f t="shared" si="72"/>
        <v>1.0712000000000002</v>
      </c>
    </row>
    <row r="162" spans="1:21" x14ac:dyDescent="0.25">
      <c r="A162" s="71">
        <v>30</v>
      </c>
      <c r="B162" s="72">
        <f t="shared" si="73"/>
        <v>46539</v>
      </c>
      <c r="C162" s="73">
        <f t="shared" si="54"/>
        <v>46568</v>
      </c>
      <c r="D162" s="67">
        <f t="shared" si="55"/>
        <v>30</v>
      </c>
      <c r="E162" s="67">
        <f t="shared" si="56"/>
        <v>6</v>
      </c>
      <c r="F162" s="74">
        <f t="shared" si="57"/>
        <v>46554</v>
      </c>
      <c r="G162" s="67">
        <f t="shared" si="58"/>
        <v>24329</v>
      </c>
      <c r="H162" s="75">
        <f t="shared" si="59"/>
        <v>1</v>
      </c>
      <c r="I162" s="76">
        <f t="shared" si="60"/>
        <v>1.0712000000000002</v>
      </c>
      <c r="J162" s="76">
        <f t="shared" si="61"/>
        <v>1.0712000000000002</v>
      </c>
      <c r="K162" s="67">
        <f t="shared" si="62"/>
        <v>0</v>
      </c>
      <c r="L162" s="67">
        <f t="shared" si="63"/>
        <v>0</v>
      </c>
      <c r="M162" s="77">
        <f t="shared" si="64"/>
        <v>0</v>
      </c>
      <c r="N162" s="76">
        <f t="shared" si="65"/>
        <v>1.0712000000000002</v>
      </c>
      <c r="O162" s="77">
        <f t="shared" si="66"/>
        <v>0.91282275711159744</v>
      </c>
      <c r="P162" s="76">
        <f t="shared" si="67"/>
        <v>0</v>
      </c>
      <c r="Q162" s="76">
        <f t="shared" si="68"/>
        <v>1</v>
      </c>
      <c r="R162" s="76">
        <f t="shared" si="69"/>
        <v>0</v>
      </c>
      <c r="S162" s="76">
        <f t="shared" si="70"/>
        <v>1.0628431928455904</v>
      </c>
      <c r="T162" s="76">
        <f t="shared" si="71"/>
        <v>1.0174936970792503</v>
      </c>
      <c r="U162" s="76">
        <f t="shared" si="72"/>
        <v>1.0712000000000002</v>
      </c>
    </row>
    <row r="163" spans="1:21" x14ac:dyDescent="0.25">
      <c r="A163" s="71">
        <v>31</v>
      </c>
      <c r="B163" s="72">
        <f t="shared" si="73"/>
        <v>46569</v>
      </c>
      <c r="C163" s="73">
        <f t="shared" si="54"/>
        <v>46599</v>
      </c>
      <c r="D163" s="67">
        <f t="shared" si="55"/>
        <v>31</v>
      </c>
      <c r="E163" s="67">
        <f t="shared" si="56"/>
        <v>7</v>
      </c>
      <c r="F163" s="74">
        <f t="shared" si="57"/>
        <v>46584.5</v>
      </c>
      <c r="G163" s="67">
        <f t="shared" si="58"/>
        <v>24330</v>
      </c>
      <c r="H163" s="75">
        <f t="shared" si="59"/>
        <v>1</v>
      </c>
      <c r="I163" s="76">
        <f t="shared" si="60"/>
        <v>1.0712000000000002</v>
      </c>
      <c r="J163" s="76">
        <f t="shared" si="61"/>
        <v>1.0712000000000002</v>
      </c>
      <c r="K163" s="67">
        <f t="shared" si="62"/>
        <v>0</v>
      </c>
      <c r="L163" s="67">
        <f t="shared" si="63"/>
        <v>0</v>
      </c>
      <c r="M163" s="77">
        <f t="shared" si="64"/>
        <v>0</v>
      </c>
      <c r="N163" s="76">
        <f t="shared" si="65"/>
        <v>1.0712000000000002</v>
      </c>
      <c r="O163" s="77">
        <f t="shared" si="66"/>
        <v>0.91315645514223198</v>
      </c>
      <c r="P163" s="76">
        <f t="shared" si="67"/>
        <v>0</v>
      </c>
      <c r="Q163" s="76">
        <f t="shared" si="68"/>
        <v>0.91666666666666663</v>
      </c>
      <c r="R163" s="76">
        <f t="shared" si="69"/>
        <v>8.333333333333337E-2</v>
      </c>
      <c r="S163" s="76">
        <f t="shared" si="70"/>
        <v>1.0632317334221293</v>
      </c>
      <c r="T163" s="76">
        <f t="shared" si="71"/>
        <v>1.0178672937874609</v>
      </c>
      <c r="U163" s="76">
        <f t="shared" si="72"/>
        <v>1.0712000000000002</v>
      </c>
    </row>
    <row r="164" spans="1:21" x14ac:dyDescent="0.25">
      <c r="A164" s="71">
        <v>32</v>
      </c>
      <c r="B164" s="72">
        <f t="shared" si="73"/>
        <v>46600</v>
      </c>
      <c r="C164" s="73">
        <f t="shared" si="54"/>
        <v>46630</v>
      </c>
      <c r="D164" s="67">
        <f t="shared" si="55"/>
        <v>31</v>
      </c>
      <c r="E164" s="67">
        <f t="shared" si="56"/>
        <v>8</v>
      </c>
      <c r="F164" s="74">
        <f t="shared" si="57"/>
        <v>46615.5</v>
      </c>
      <c r="G164" s="67">
        <f t="shared" si="58"/>
        <v>24331</v>
      </c>
      <c r="H164" s="75">
        <f t="shared" si="59"/>
        <v>1</v>
      </c>
      <c r="I164" s="76">
        <f t="shared" si="60"/>
        <v>1.0712000000000002</v>
      </c>
      <c r="J164" s="76">
        <f t="shared" si="61"/>
        <v>1.0712000000000002</v>
      </c>
      <c r="K164" s="67">
        <f t="shared" si="62"/>
        <v>0</v>
      </c>
      <c r="L164" s="67">
        <f t="shared" si="63"/>
        <v>0</v>
      </c>
      <c r="M164" s="77">
        <f t="shared" si="64"/>
        <v>0</v>
      </c>
      <c r="N164" s="76">
        <f t="shared" si="65"/>
        <v>1.0712000000000002</v>
      </c>
      <c r="O164" s="77">
        <f t="shared" si="66"/>
        <v>0.91349562363238512</v>
      </c>
      <c r="P164" s="76">
        <f t="shared" si="67"/>
        <v>0</v>
      </c>
      <c r="Q164" s="76">
        <f t="shared" si="68"/>
        <v>0.75</v>
      </c>
      <c r="R164" s="76">
        <f t="shared" si="69"/>
        <v>0.25</v>
      </c>
      <c r="S164" s="76">
        <f t="shared" si="70"/>
        <v>1.0636266435163164</v>
      </c>
      <c r="T164" s="76">
        <f t="shared" si="71"/>
        <v>1.0182470150318714</v>
      </c>
      <c r="U164" s="76">
        <f t="shared" si="72"/>
        <v>1.0712000000000002</v>
      </c>
    </row>
    <row r="165" spans="1:21" x14ac:dyDescent="0.25">
      <c r="A165" s="71">
        <v>33</v>
      </c>
      <c r="B165" s="72">
        <f t="shared" si="73"/>
        <v>46631</v>
      </c>
      <c r="C165" s="73">
        <f t="shared" si="54"/>
        <v>46660</v>
      </c>
      <c r="D165" s="67">
        <f t="shared" si="55"/>
        <v>30</v>
      </c>
      <c r="E165" s="67">
        <f t="shared" si="56"/>
        <v>9</v>
      </c>
      <c r="F165" s="74">
        <f t="shared" si="57"/>
        <v>46646</v>
      </c>
      <c r="G165" s="67">
        <f t="shared" si="58"/>
        <v>24332</v>
      </c>
      <c r="H165" s="75">
        <f t="shared" si="59"/>
        <v>1</v>
      </c>
      <c r="I165" s="76">
        <f t="shared" si="60"/>
        <v>1.0712000000000002</v>
      </c>
      <c r="J165" s="76">
        <f t="shared" si="61"/>
        <v>1.0712000000000002</v>
      </c>
      <c r="K165" s="67">
        <f t="shared" si="62"/>
        <v>0</v>
      </c>
      <c r="L165" s="67">
        <f t="shared" si="63"/>
        <v>0</v>
      </c>
      <c r="M165" s="77">
        <f t="shared" si="64"/>
        <v>0</v>
      </c>
      <c r="N165" s="76">
        <f t="shared" si="65"/>
        <v>1.0712000000000002</v>
      </c>
      <c r="O165" s="77">
        <f t="shared" si="66"/>
        <v>0.91382932166301978</v>
      </c>
      <c r="P165" s="76">
        <f t="shared" si="67"/>
        <v>0</v>
      </c>
      <c r="Q165" s="76">
        <f t="shared" si="68"/>
        <v>0.58333333333333337</v>
      </c>
      <c r="R165" s="76">
        <f t="shared" si="69"/>
        <v>0.41666666666666663</v>
      </c>
      <c r="S165" s="76">
        <f t="shared" si="70"/>
        <v>1.0640151840928553</v>
      </c>
      <c r="T165" s="76">
        <f t="shared" si="71"/>
        <v>1.0186206117400818</v>
      </c>
      <c r="U165" s="76">
        <f t="shared" si="72"/>
        <v>1.0712000000000002</v>
      </c>
    </row>
    <row r="166" spans="1:21" x14ac:dyDescent="0.25">
      <c r="A166" s="71">
        <v>34</v>
      </c>
      <c r="B166" s="72">
        <f t="shared" si="73"/>
        <v>46661</v>
      </c>
      <c r="C166" s="73">
        <f t="shared" si="54"/>
        <v>46691</v>
      </c>
      <c r="D166" s="67">
        <f t="shared" si="55"/>
        <v>31</v>
      </c>
      <c r="E166" s="67">
        <f t="shared" si="56"/>
        <v>10</v>
      </c>
      <c r="F166" s="74">
        <f t="shared" si="57"/>
        <v>46676.5</v>
      </c>
      <c r="G166" s="67">
        <f t="shared" si="58"/>
        <v>24333</v>
      </c>
      <c r="H166" s="75">
        <f t="shared" si="59"/>
        <v>1</v>
      </c>
      <c r="I166" s="76">
        <f t="shared" si="60"/>
        <v>1.0712000000000002</v>
      </c>
      <c r="J166" s="76">
        <f t="shared" si="61"/>
        <v>1.0712000000000002</v>
      </c>
      <c r="K166" s="67">
        <f t="shared" si="62"/>
        <v>0</v>
      </c>
      <c r="L166" s="67">
        <f t="shared" si="63"/>
        <v>0</v>
      </c>
      <c r="M166" s="77">
        <f t="shared" si="64"/>
        <v>0</v>
      </c>
      <c r="N166" s="76">
        <f t="shared" si="65"/>
        <v>1.0712000000000002</v>
      </c>
      <c r="O166" s="77">
        <f t="shared" si="66"/>
        <v>0.91416301969365432</v>
      </c>
      <c r="P166" s="76">
        <f t="shared" si="67"/>
        <v>0</v>
      </c>
      <c r="Q166" s="76">
        <f t="shared" si="68"/>
        <v>0.41666666666666669</v>
      </c>
      <c r="R166" s="76">
        <f t="shared" si="69"/>
        <v>0.58333333333333326</v>
      </c>
      <c r="S166" s="76">
        <f t="shared" si="70"/>
        <v>1.064403724669394</v>
      </c>
      <c r="T166" s="76">
        <f t="shared" si="71"/>
        <v>1.0189942084482924</v>
      </c>
      <c r="U166" s="76">
        <f t="shared" si="72"/>
        <v>1.0712000000000002</v>
      </c>
    </row>
    <row r="167" spans="1:21" x14ac:dyDescent="0.25">
      <c r="A167" s="71">
        <v>35</v>
      </c>
      <c r="B167" s="72">
        <f t="shared" si="73"/>
        <v>46692</v>
      </c>
      <c r="C167" s="73">
        <f t="shared" si="54"/>
        <v>46721</v>
      </c>
      <c r="D167" s="67">
        <f t="shared" si="55"/>
        <v>30</v>
      </c>
      <c r="E167" s="67">
        <f t="shared" si="56"/>
        <v>11</v>
      </c>
      <c r="F167" s="74">
        <f t="shared" si="57"/>
        <v>46707</v>
      </c>
      <c r="G167" s="67">
        <f t="shared" si="58"/>
        <v>24334</v>
      </c>
      <c r="H167" s="75">
        <f t="shared" si="59"/>
        <v>1</v>
      </c>
      <c r="I167" s="76">
        <f t="shared" si="60"/>
        <v>1.0712000000000002</v>
      </c>
      <c r="J167" s="76">
        <f t="shared" si="61"/>
        <v>1.0712000000000002</v>
      </c>
      <c r="K167" s="67">
        <f t="shared" si="62"/>
        <v>0</v>
      </c>
      <c r="L167" s="67">
        <f t="shared" si="63"/>
        <v>0</v>
      </c>
      <c r="M167" s="77">
        <f t="shared" si="64"/>
        <v>0</v>
      </c>
      <c r="N167" s="76">
        <f t="shared" si="65"/>
        <v>1.0712000000000002</v>
      </c>
      <c r="O167" s="77">
        <f t="shared" si="66"/>
        <v>0.91449671772428887</v>
      </c>
      <c r="P167" s="76">
        <f t="shared" si="67"/>
        <v>0</v>
      </c>
      <c r="Q167" s="76">
        <f t="shared" si="68"/>
        <v>0.25</v>
      </c>
      <c r="R167" s="76">
        <f t="shared" si="69"/>
        <v>0.75</v>
      </c>
      <c r="S167" s="76">
        <f t="shared" si="70"/>
        <v>1.064792265245933</v>
      </c>
      <c r="T167" s="76">
        <f t="shared" si="71"/>
        <v>1.0193678051565027</v>
      </c>
      <c r="U167" s="76">
        <f t="shared" si="72"/>
        <v>1.0712000000000002</v>
      </c>
    </row>
    <row r="168" spans="1:21" x14ac:dyDescent="0.25">
      <c r="A168" s="71">
        <v>36</v>
      </c>
      <c r="B168" s="72">
        <f t="shared" si="73"/>
        <v>46722</v>
      </c>
      <c r="C168" s="73">
        <f t="shared" si="54"/>
        <v>46752</v>
      </c>
      <c r="D168" s="67">
        <f t="shared" si="55"/>
        <v>31</v>
      </c>
      <c r="E168" s="67">
        <f t="shared" si="56"/>
        <v>12</v>
      </c>
      <c r="F168" s="74">
        <f t="shared" si="57"/>
        <v>46737.5</v>
      </c>
      <c r="G168" s="67">
        <f t="shared" si="58"/>
        <v>24335</v>
      </c>
      <c r="H168" s="75">
        <f t="shared" si="59"/>
        <v>1</v>
      </c>
      <c r="I168" s="76">
        <f t="shared" si="60"/>
        <v>1.0712000000000002</v>
      </c>
      <c r="J168" s="76">
        <f t="shared" si="61"/>
        <v>1.0712000000000002</v>
      </c>
      <c r="K168" s="67">
        <f t="shared" si="62"/>
        <v>0</v>
      </c>
      <c r="L168" s="67">
        <f t="shared" si="63"/>
        <v>0</v>
      </c>
      <c r="M168" s="77">
        <f t="shared" si="64"/>
        <v>0</v>
      </c>
      <c r="N168" s="76">
        <f t="shared" si="65"/>
        <v>1.0712000000000002</v>
      </c>
      <c r="O168" s="77">
        <f t="shared" si="66"/>
        <v>0.91483041575492341</v>
      </c>
      <c r="P168" s="76">
        <f t="shared" si="67"/>
        <v>0</v>
      </c>
      <c r="Q168" s="76">
        <f t="shared" si="68"/>
        <v>8.3333333333333329E-2</v>
      </c>
      <c r="R168" s="76">
        <f t="shared" si="69"/>
        <v>0.91666666666666663</v>
      </c>
      <c r="S168" s="76">
        <f t="shared" si="70"/>
        <v>1.0651808058224719</v>
      </c>
      <c r="T168" s="76">
        <f t="shared" si="71"/>
        <v>1.0197414018647131</v>
      </c>
      <c r="U168" s="76">
        <f t="shared" si="72"/>
        <v>1.0712000000000002</v>
      </c>
    </row>
    <row r="169" spans="1:21" x14ac:dyDescent="0.25">
      <c r="A169" s="71">
        <v>37</v>
      </c>
      <c r="B169" s="72">
        <f t="shared" si="73"/>
        <v>46753</v>
      </c>
      <c r="C169" s="73">
        <f t="shared" si="54"/>
        <v>46783</v>
      </c>
      <c r="D169" s="67">
        <f t="shared" si="55"/>
        <v>31</v>
      </c>
      <c r="E169" s="67">
        <f t="shared" si="56"/>
        <v>1</v>
      </c>
      <c r="F169" s="74">
        <f t="shared" si="57"/>
        <v>46768.5</v>
      </c>
      <c r="G169" s="67">
        <f t="shared" si="58"/>
        <v>24336</v>
      </c>
      <c r="H169" s="75">
        <f t="shared" si="59"/>
        <v>1</v>
      </c>
      <c r="I169" s="76">
        <f t="shared" si="60"/>
        <v>1.0712000000000002</v>
      </c>
      <c r="J169" s="76">
        <f t="shared" si="61"/>
        <v>1.0712000000000002</v>
      </c>
      <c r="K169" s="67">
        <f t="shared" si="62"/>
        <v>0</v>
      </c>
      <c r="L169" s="67">
        <f t="shared" si="63"/>
        <v>0</v>
      </c>
      <c r="M169" s="77">
        <f t="shared" si="64"/>
        <v>0</v>
      </c>
      <c r="N169" s="76">
        <f t="shared" si="65"/>
        <v>1.0712000000000002</v>
      </c>
      <c r="O169" s="77">
        <f t="shared" si="66"/>
        <v>0.91500000000000004</v>
      </c>
      <c r="P169" s="76">
        <f t="shared" si="67"/>
        <v>0</v>
      </c>
      <c r="Q169" s="76">
        <f t="shared" si="68"/>
        <v>0</v>
      </c>
      <c r="R169" s="76">
        <f t="shared" si="69"/>
        <v>1</v>
      </c>
      <c r="S169" s="76">
        <f t="shared" si="70"/>
        <v>1.0653782608695654</v>
      </c>
      <c r="T169" s="76">
        <f t="shared" si="71"/>
        <v>0.98606816668252306</v>
      </c>
      <c r="U169" s="76">
        <f t="shared" si="72"/>
        <v>1.0712000000000002</v>
      </c>
    </row>
    <row r="170" spans="1:21" x14ac:dyDescent="0.25">
      <c r="A170" s="71">
        <v>38</v>
      </c>
      <c r="B170" s="72">
        <f t="shared" si="73"/>
        <v>46784</v>
      </c>
      <c r="C170" s="73">
        <f t="shared" si="54"/>
        <v>46812</v>
      </c>
      <c r="D170" s="67">
        <f t="shared" si="55"/>
        <v>29</v>
      </c>
      <c r="E170" s="67">
        <f t="shared" si="56"/>
        <v>2</v>
      </c>
      <c r="F170" s="74">
        <f t="shared" si="57"/>
        <v>46798.5</v>
      </c>
      <c r="G170" s="67">
        <f t="shared" si="58"/>
        <v>24337</v>
      </c>
      <c r="H170" s="75">
        <f t="shared" si="59"/>
        <v>1</v>
      </c>
      <c r="I170" s="76">
        <f t="shared" si="60"/>
        <v>1.0712000000000002</v>
      </c>
      <c r="J170" s="76">
        <f t="shared" si="61"/>
        <v>1.0712000000000002</v>
      </c>
      <c r="K170" s="67">
        <f t="shared" si="62"/>
        <v>0</v>
      </c>
      <c r="L170" s="67">
        <f t="shared" si="63"/>
        <v>0</v>
      </c>
      <c r="M170" s="77">
        <f t="shared" si="64"/>
        <v>0</v>
      </c>
      <c r="N170" s="76">
        <f t="shared" si="65"/>
        <v>1.0712000000000002</v>
      </c>
      <c r="O170" s="77">
        <f t="shared" si="66"/>
        <v>0.91500000000000004</v>
      </c>
      <c r="P170" s="76">
        <f t="shared" si="67"/>
        <v>0</v>
      </c>
      <c r="Q170" s="76">
        <f t="shared" si="68"/>
        <v>0</v>
      </c>
      <c r="R170" s="76">
        <f t="shared" si="69"/>
        <v>1</v>
      </c>
      <c r="S170" s="76">
        <f t="shared" si="70"/>
        <v>1.0653782608695654</v>
      </c>
      <c r="T170" s="76">
        <f t="shared" si="71"/>
        <v>1.016011559318809</v>
      </c>
      <c r="U170" s="76">
        <f t="shared" si="72"/>
        <v>1.0712000000000002</v>
      </c>
    </row>
    <row r="171" spans="1:21" x14ac:dyDescent="0.25">
      <c r="A171" s="71">
        <v>39</v>
      </c>
      <c r="B171" s="72">
        <f t="shared" si="73"/>
        <v>46813</v>
      </c>
      <c r="C171" s="73">
        <f t="shared" si="54"/>
        <v>46843</v>
      </c>
      <c r="D171" s="67">
        <f t="shared" si="55"/>
        <v>31</v>
      </c>
      <c r="E171" s="67">
        <f t="shared" si="56"/>
        <v>3</v>
      </c>
      <c r="F171" s="74">
        <f t="shared" si="57"/>
        <v>46828.5</v>
      </c>
      <c r="G171" s="67">
        <f t="shared" si="58"/>
        <v>24338</v>
      </c>
      <c r="H171" s="75">
        <f t="shared" si="59"/>
        <v>1</v>
      </c>
      <c r="I171" s="76">
        <f t="shared" si="60"/>
        <v>1.0712000000000002</v>
      </c>
      <c r="J171" s="76">
        <f t="shared" si="61"/>
        <v>1.0712000000000002</v>
      </c>
      <c r="K171" s="67">
        <f t="shared" si="62"/>
        <v>0</v>
      </c>
      <c r="L171" s="67">
        <f t="shared" si="63"/>
        <v>0</v>
      </c>
      <c r="M171" s="77">
        <f t="shared" si="64"/>
        <v>0</v>
      </c>
      <c r="N171" s="76">
        <f t="shared" si="65"/>
        <v>1.0712000000000002</v>
      </c>
      <c r="O171" s="77">
        <f t="shared" si="66"/>
        <v>0.91500000000000004</v>
      </c>
      <c r="P171" s="76">
        <f t="shared" si="67"/>
        <v>0</v>
      </c>
      <c r="Q171" s="76">
        <f t="shared" si="68"/>
        <v>0</v>
      </c>
      <c r="R171" s="76">
        <f t="shared" si="69"/>
        <v>1</v>
      </c>
      <c r="S171" s="76">
        <f t="shared" si="70"/>
        <v>1.0653782608695654</v>
      </c>
      <c r="T171" s="76">
        <f t="shared" si="71"/>
        <v>1.016372906954619</v>
      </c>
      <c r="U171" s="76">
        <f t="shared" si="72"/>
        <v>1.0712000000000002</v>
      </c>
    </row>
    <row r="172" spans="1:21" x14ac:dyDescent="0.25">
      <c r="A172" s="71">
        <v>40</v>
      </c>
      <c r="B172" s="72">
        <f t="shared" si="73"/>
        <v>46844</v>
      </c>
      <c r="C172" s="73">
        <f t="shared" si="54"/>
        <v>46873</v>
      </c>
      <c r="D172" s="67">
        <f t="shared" si="55"/>
        <v>30</v>
      </c>
      <c r="E172" s="67">
        <f t="shared" si="56"/>
        <v>4</v>
      </c>
      <c r="F172" s="74">
        <f t="shared" si="57"/>
        <v>46859</v>
      </c>
      <c r="G172" s="67">
        <f t="shared" si="58"/>
        <v>24339</v>
      </c>
      <c r="H172" s="75">
        <f t="shared" si="59"/>
        <v>1</v>
      </c>
      <c r="I172" s="76">
        <f t="shared" si="60"/>
        <v>1.0712000000000002</v>
      </c>
      <c r="J172" s="76">
        <f t="shared" si="61"/>
        <v>1.0712000000000002</v>
      </c>
      <c r="K172" s="67">
        <f t="shared" si="62"/>
        <v>0</v>
      </c>
      <c r="L172" s="67">
        <f t="shared" si="63"/>
        <v>0</v>
      </c>
      <c r="M172" s="77">
        <f t="shared" si="64"/>
        <v>0</v>
      </c>
      <c r="N172" s="76">
        <f t="shared" si="65"/>
        <v>1.0712000000000002</v>
      </c>
      <c r="O172" s="77">
        <f t="shared" si="66"/>
        <v>0.91500000000000004</v>
      </c>
      <c r="P172" s="76">
        <f t="shared" si="67"/>
        <v>0</v>
      </c>
      <c r="Q172" s="76">
        <f t="shared" si="68"/>
        <v>0</v>
      </c>
      <c r="R172" s="76">
        <f t="shared" si="69"/>
        <v>1</v>
      </c>
      <c r="S172" s="76">
        <f t="shared" si="70"/>
        <v>1.0653782608695654</v>
      </c>
      <c r="T172" s="76">
        <f t="shared" si="71"/>
        <v>1.0167465036628294</v>
      </c>
      <c r="U172" s="76">
        <f t="shared" si="72"/>
        <v>1.0712000000000002</v>
      </c>
    </row>
    <row r="173" spans="1:21" x14ac:dyDescent="0.25">
      <c r="A173" s="71">
        <v>41</v>
      </c>
      <c r="B173" s="72">
        <f t="shared" si="73"/>
        <v>46874</v>
      </c>
      <c r="C173" s="73">
        <f t="shared" si="54"/>
        <v>46904</v>
      </c>
      <c r="D173" s="67">
        <f t="shared" si="55"/>
        <v>31</v>
      </c>
      <c r="E173" s="67">
        <f t="shared" si="56"/>
        <v>5</v>
      </c>
      <c r="F173" s="74">
        <f t="shared" si="57"/>
        <v>46889.5</v>
      </c>
      <c r="G173" s="67">
        <f t="shared" si="58"/>
        <v>24340</v>
      </c>
      <c r="H173" s="75">
        <f t="shared" si="59"/>
        <v>1</v>
      </c>
      <c r="I173" s="76">
        <f t="shared" si="60"/>
        <v>1.0712000000000002</v>
      </c>
      <c r="J173" s="76">
        <f t="shared" si="61"/>
        <v>1.0712000000000002</v>
      </c>
      <c r="K173" s="67">
        <f t="shared" si="62"/>
        <v>0</v>
      </c>
      <c r="L173" s="67">
        <f t="shared" si="63"/>
        <v>0</v>
      </c>
      <c r="M173" s="77">
        <f t="shared" si="64"/>
        <v>0</v>
      </c>
      <c r="N173" s="76">
        <f t="shared" si="65"/>
        <v>1.0712000000000002</v>
      </c>
      <c r="O173" s="77">
        <f t="shared" si="66"/>
        <v>0.91500000000000004</v>
      </c>
      <c r="P173" s="76">
        <f t="shared" si="67"/>
        <v>0</v>
      </c>
      <c r="Q173" s="76">
        <f t="shared" si="68"/>
        <v>0</v>
      </c>
      <c r="R173" s="76">
        <f t="shared" si="69"/>
        <v>1</v>
      </c>
      <c r="S173" s="76">
        <f t="shared" si="70"/>
        <v>1.0653782608695654</v>
      </c>
      <c r="T173" s="76">
        <f t="shared" si="71"/>
        <v>1.0171201003710397</v>
      </c>
      <c r="U173" s="76">
        <f t="shared" si="72"/>
        <v>1.0712000000000002</v>
      </c>
    </row>
    <row r="174" spans="1:21" x14ac:dyDescent="0.25">
      <c r="A174" s="71">
        <v>42</v>
      </c>
      <c r="B174" s="72">
        <f t="shared" si="73"/>
        <v>46905</v>
      </c>
      <c r="C174" s="73">
        <f t="shared" si="54"/>
        <v>46934</v>
      </c>
      <c r="D174" s="67">
        <f t="shared" si="55"/>
        <v>30</v>
      </c>
      <c r="E174" s="67">
        <f t="shared" si="56"/>
        <v>6</v>
      </c>
      <c r="F174" s="74">
        <f t="shared" si="57"/>
        <v>46920</v>
      </c>
      <c r="G174" s="67">
        <f t="shared" si="58"/>
        <v>24341</v>
      </c>
      <c r="H174" s="75">
        <f t="shared" si="59"/>
        <v>1</v>
      </c>
      <c r="I174" s="76">
        <f t="shared" si="60"/>
        <v>1.0712000000000002</v>
      </c>
      <c r="J174" s="76">
        <f t="shared" si="61"/>
        <v>1.0712000000000002</v>
      </c>
      <c r="K174" s="67">
        <f t="shared" si="62"/>
        <v>0</v>
      </c>
      <c r="L174" s="67">
        <f t="shared" si="63"/>
        <v>0</v>
      </c>
      <c r="M174" s="77">
        <f t="shared" si="64"/>
        <v>0</v>
      </c>
      <c r="N174" s="76">
        <f t="shared" si="65"/>
        <v>1.0712000000000002</v>
      </c>
      <c r="O174" s="77">
        <f t="shared" si="66"/>
        <v>0.91500000000000004</v>
      </c>
      <c r="P174" s="76">
        <f t="shared" si="67"/>
        <v>0</v>
      </c>
      <c r="Q174" s="76">
        <f t="shared" si="68"/>
        <v>0</v>
      </c>
      <c r="R174" s="76">
        <f t="shared" si="69"/>
        <v>1</v>
      </c>
      <c r="S174" s="76">
        <f t="shared" si="70"/>
        <v>1.0653782608695654</v>
      </c>
      <c r="T174" s="76">
        <f t="shared" si="71"/>
        <v>1.0174936970792503</v>
      </c>
      <c r="U174" s="76">
        <f t="shared" si="72"/>
        <v>1.0712000000000002</v>
      </c>
    </row>
    <row r="175" spans="1:21" x14ac:dyDescent="0.25">
      <c r="A175" s="71">
        <v>43</v>
      </c>
      <c r="B175" s="72">
        <f t="shared" si="73"/>
        <v>46935</v>
      </c>
      <c r="C175" s="73">
        <f t="shared" si="54"/>
        <v>46965</v>
      </c>
      <c r="D175" s="67">
        <f t="shared" si="55"/>
        <v>31</v>
      </c>
      <c r="E175" s="67">
        <f t="shared" si="56"/>
        <v>7</v>
      </c>
      <c r="F175" s="74">
        <f t="shared" si="57"/>
        <v>46950.5</v>
      </c>
      <c r="G175" s="67">
        <f t="shared" si="58"/>
        <v>24342</v>
      </c>
      <c r="H175" s="75">
        <f t="shared" si="59"/>
        <v>1</v>
      </c>
      <c r="I175" s="76">
        <f t="shared" si="60"/>
        <v>1.0712000000000002</v>
      </c>
      <c r="J175" s="76">
        <f t="shared" si="61"/>
        <v>1.0712000000000002</v>
      </c>
      <c r="K175" s="67">
        <f t="shared" si="62"/>
        <v>0</v>
      </c>
      <c r="L175" s="67">
        <f t="shared" si="63"/>
        <v>0</v>
      </c>
      <c r="M175" s="77">
        <f t="shared" si="64"/>
        <v>0</v>
      </c>
      <c r="N175" s="76">
        <f t="shared" si="65"/>
        <v>1.0712000000000002</v>
      </c>
      <c r="O175" s="77">
        <f t="shared" si="66"/>
        <v>0.91500000000000004</v>
      </c>
      <c r="P175" s="76">
        <f t="shared" si="67"/>
        <v>0</v>
      </c>
      <c r="Q175" s="76">
        <f t="shared" si="68"/>
        <v>0</v>
      </c>
      <c r="R175" s="76">
        <f t="shared" si="69"/>
        <v>0.91666666666666663</v>
      </c>
      <c r="S175" s="76">
        <f t="shared" si="70"/>
        <v>1.0653782608695654</v>
      </c>
      <c r="T175" s="76">
        <f t="shared" si="71"/>
        <v>1.0178672937874609</v>
      </c>
      <c r="U175" s="76">
        <f t="shared" si="72"/>
        <v>1.0712000000000002</v>
      </c>
    </row>
    <row r="176" spans="1:21" x14ac:dyDescent="0.25">
      <c r="A176" s="71">
        <v>44</v>
      </c>
      <c r="B176" s="72">
        <f t="shared" si="73"/>
        <v>46966</v>
      </c>
      <c r="C176" s="73">
        <f t="shared" si="54"/>
        <v>46996</v>
      </c>
      <c r="D176" s="67">
        <f t="shared" si="55"/>
        <v>31</v>
      </c>
      <c r="E176" s="67">
        <f t="shared" si="56"/>
        <v>8</v>
      </c>
      <c r="F176" s="74">
        <f t="shared" si="57"/>
        <v>46981.5</v>
      </c>
      <c r="G176" s="67">
        <f t="shared" si="58"/>
        <v>24343</v>
      </c>
      <c r="H176" s="75">
        <f t="shared" si="59"/>
        <v>1</v>
      </c>
      <c r="I176" s="76">
        <f t="shared" si="60"/>
        <v>1.0712000000000002</v>
      </c>
      <c r="J176" s="76">
        <f t="shared" si="61"/>
        <v>1.0712000000000002</v>
      </c>
      <c r="K176" s="67">
        <f t="shared" si="62"/>
        <v>0</v>
      </c>
      <c r="L176" s="67">
        <f t="shared" si="63"/>
        <v>0</v>
      </c>
      <c r="M176" s="77">
        <f t="shared" si="64"/>
        <v>0</v>
      </c>
      <c r="N176" s="76">
        <f t="shared" si="65"/>
        <v>1.0712000000000002</v>
      </c>
      <c r="O176" s="77">
        <f t="shared" si="66"/>
        <v>0.91500000000000004</v>
      </c>
      <c r="P176" s="76">
        <f t="shared" si="67"/>
        <v>0</v>
      </c>
      <c r="Q176" s="76">
        <f t="shared" si="68"/>
        <v>0</v>
      </c>
      <c r="R176" s="76">
        <f t="shared" si="69"/>
        <v>0.75</v>
      </c>
      <c r="S176" s="76">
        <f t="shared" si="70"/>
        <v>1.0653782608695654</v>
      </c>
      <c r="T176" s="76">
        <f t="shared" si="71"/>
        <v>1.0182470150318714</v>
      </c>
      <c r="U176" s="76">
        <f t="shared" si="72"/>
        <v>1.0712000000000002</v>
      </c>
    </row>
    <row r="177" spans="1:21" x14ac:dyDescent="0.25">
      <c r="A177" s="71">
        <v>45</v>
      </c>
      <c r="B177" s="72">
        <f t="shared" si="73"/>
        <v>46997</v>
      </c>
      <c r="C177" s="73">
        <f t="shared" si="54"/>
        <v>47026</v>
      </c>
      <c r="D177" s="67">
        <f t="shared" si="55"/>
        <v>30</v>
      </c>
      <c r="E177" s="67">
        <f t="shared" si="56"/>
        <v>9</v>
      </c>
      <c r="F177" s="74">
        <f t="shared" si="57"/>
        <v>47012</v>
      </c>
      <c r="G177" s="67">
        <f t="shared" si="58"/>
        <v>24344</v>
      </c>
      <c r="H177" s="75">
        <f t="shared" si="59"/>
        <v>1</v>
      </c>
      <c r="I177" s="76">
        <f t="shared" si="60"/>
        <v>1.0712000000000002</v>
      </c>
      <c r="J177" s="76">
        <f t="shared" si="61"/>
        <v>1.0712000000000002</v>
      </c>
      <c r="K177" s="67">
        <f t="shared" si="62"/>
        <v>0</v>
      </c>
      <c r="L177" s="67">
        <f t="shared" si="63"/>
        <v>0</v>
      </c>
      <c r="M177" s="77">
        <f t="shared" si="64"/>
        <v>0</v>
      </c>
      <c r="N177" s="76">
        <f t="shared" si="65"/>
        <v>1.0712000000000002</v>
      </c>
      <c r="O177" s="77">
        <f t="shared" si="66"/>
        <v>0.91500000000000004</v>
      </c>
      <c r="P177" s="76">
        <f t="shared" si="67"/>
        <v>0</v>
      </c>
      <c r="Q177" s="76">
        <f t="shared" si="68"/>
        <v>0</v>
      </c>
      <c r="R177" s="76">
        <f t="shared" si="69"/>
        <v>0.58333333333333337</v>
      </c>
      <c r="S177" s="76">
        <f t="shared" si="70"/>
        <v>1.0653782608695654</v>
      </c>
      <c r="T177" s="76">
        <f t="shared" si="71"/>
        <v>1.0186206117400818</v>
      </c>
      <c r="U177" s="76">
        <f t="shared" si="72"/>
        <v>1.0712000000000002</v>
      </c>
    </row>
    <row r="178" spans="1:21" x14ac:dyDescent="0.25">
      <c r="A178" s="71">
        <v>46</v>
      </c>
      <c r="B178" s="72">
        <f t="shared" si="73"/>
        <v>47027</v>
      </c>
      <c r="C178" s="73">
        <f t="shared" si="54"/>
        <v>47057</v>
      </c>
      <c r="D178" s="67">
        <f t="shared" si="55"/>
        <v>31</v>
      </c>
      <c r="E178" s="67">
        <f t="shared" si="56"/>
        <v>10</v>
      </c>
      <c r="F178" s="74">
        <f t="shared" si="57"/>
        <v>47042.5</v>
      </c>
      <c r="G178" s="67">
        <f t="shared" si="58"/>
        <v>24345</v>
      </c>
      <c r="H178" s="75">
        <f t="shared" si="59"/>
        <v>1</v>
      </c>
      <c r="I178" s="76">
        <f t="shared" si="60"/>
        <v>1.0712000000000002</v>
      </c>
      <c r="J178" s="76">
        <f t="shared" si="61"/>
        <v>1.0712000000000002</v>
      </c>
      <c r="K178" s="67">
        <f t="shared" si="62"/>
        <v>0</v>
      </c>
      <c r="L178" s="67">
        <f t="shared" si="63"/>
        <v>0</v>
      </c>
      <c r="M178" s="77">
        <f t="shared" si="64"/>
        <v>0</v>
      </c>
      <c r="N178" s="76">
        <f t="shared" si="65"/>
        <v>1.0712000000000002</v>
      </c>
      <c r="O178" s="77">
        <f t="shared" si="66"/>
        <v>0.91500000000000004</v>
      </c>
      <c r="P178" s="76">
        <f t="shared" si="67"/>
        <v>0</v>
      </c>
      <c r="Q178" s="76">
        <f t="shared" si="68"/>
        <v>0</v>
      </c>
      <c r="R178" s="76">
        <f t="shared" si="69"/>
        <v>0.41666666666666669</v>
      </c>
      <c r="S178" s="76">
        <f t="shared" si="70"/>
        <v>1.0653782608695654</v>
      </c>
      <c r="T178" s="76">
        <f t="shared" si="71"/>
        <v>1.0189942084482924</v>
      </c>
      <c r="U178" s="76">
        <f t="shared" si="72"/>
        <v>1.0712000000000002</v>
      </c>
    </row>
    <row r="179" spans="1:21" x14ac:dyDescent="0.25">
      <c r="A179" s="71">
        <v>47</v>
      </c>
      <c r="B179" s="72">
        <f t="shared" si="73"/>
        <v>47058</v>
      </c>
      <c r="C179" s="73">
        <f t="shared" si="54"/>
        <v>47087</v>
      </c>
      <c r="D179" s="67">
        <f t="shared" si="55"/>
        <v>30</v>
      </c>
      <c r="E179" s="67">
        <f t="shared" si="56"/>
        <v>11</v>
      </c>
      <c r="F179" s="74">
        <f t="shared" si="57"/>
        <v>47073</v>
      </c>
      <c r="G179" s="67">
        <f t="shared" si="58"/>
        <v>24346</v>
      </c>
      <c r="H179" s="75">
        <f t="shared" si="59"/>
        <v>1</v>
      </c>
      <c r="I179" s="76">
        <f t="shared" si="60"/>
        <v>1.0712000000000002</v>
      </c>
      <c r="J179" s="76">
        <f t="shared" si="61"/>
        <v>1.0712000000000002</v>
      </c>
      <c r="K179" s="67">
        <f t="shared" si="62"/>
        <v>0</v>
      </c>
      <c r="L179" s="67">
        <f t="shared" si="63"/>
        <v>0</v>
      </c>
      <c r="M179" s="77">
        <f t="shared" si="64"/>
        <v>0</v>
      </c>
      <c r="N179" s="76">
        <f t="shared" si="65"/>
        <v>1.0712000000000002</v>
      </c>
      <c r="O179" s="77">
        <f t="shared" si="66"/>
        <v>0.91500000000000004</v>
      </c>
      <c r="P179" s="76">
        <f t="shared" si="67"/>
        <v>0</v>
      </c>
      <c r="Q179" s="76">
        <f t="shared" si="68"/>
        <v>0</v>
      </c>
      <c r="R179" s="76">
        <f t="shared" si="69"/>
        <v>0.25</v>
      </c>
      <c r="S179" s="76">
        <f t="shared" si="70"/>
        <v>1.0653782608695654</v>
      </c>
      <c r="T179" s="76">
        <f t="shared" si="71"/>
        <v>1.0193678051565027</v>
      </c>
      <c r="U179" s="76">
        <f t="shared" si="72"/>
        <v>1.0712000000000002</v>
      </c>
    </row>
    <row r="180" spans="1:21" x14ac:dyDescent="0.25">
      <c r="A180" s="71">
        <v>48</v>
      </c>
      <c r="B180" s="72">
        <f t="shared" si="73"/>
        <v>47088</v>
      </c>
      <c r="C180" s="73">
        <f t="shared" si="54"/>
        <v>47118</v>
      </c>
      <c r="D180" s="67">
        <f t="shared" si="55"/>
        <v>31</v>
      </c>
      <c r="E180" s="67">
        <f t="shared" si="56"/>
        <v>12</v>
      </c>
      <c r="F180" s="74">
        <f t="shared" si="57"/>
        <v>47103.5</v>
      </c>
      <c r="G180" s="67">
        <f t="shared" si="58"/>
        <v>24347</v>
      </c>
      <c r="H180" s="75">
        <f t="shared" si="59"/>
        <v>1</v>
      </c>
      <c r="I180" s="76">
        <f t="shared" si="60"/>
        <v>1.0712000000000002</v>
      </c>
      <c r="J180" s="76">
        <f t="shared" si="61"/>
        <v>1.0712000000000002</v>
      </c>
      <c r="K180" s="67">
        <f t="shared" si="62"/>
        <v>0</v>
      </c>
      <c r="L180" s="67">
        <f t="shared" si="63"/>
        <v>0</v>
      </c>
      <c r="M180" s="77">
        <f t="shared" si="64"/>
        <v>0</v>
      </c>
      <c r="N180" s="76">
        <f t="shared" si="65"/>
        <v>1.0712000000000002</v>
      </c>
      <c r="O180" s="77">
        <f t="shared" si="66"/>
        <v>0.91500000000000004</v>
      </c>
      <c r="P180" s="76">
        <f t="shared" si="67"/>
        <v>0</v>
      </c>
      <c r="Q180" s="76">
        <f t="shared" si="68"/>
        <v>0</v>
      </c>
      <c r="R180" s="76">
        <f t="shared" si="69"/>
        <v>8.3333333333333329E-2</v>
      </c>
      <c r="S180" s="76">
        <f t="shared" si="70"/>
        <v>1.0653782608695654</v>
      </c>
      <c r="T180" s="76">
        <f t="shared" si="71"/>
        <v>1.0197414018647131</v>
      </c>
      <c r="U180" s="76">
        <f t="shared" si="72"/>
        <v>1.0712000000000002</v>
      </c>
    </row>
    <row r="181" spans="1:21" x14ac:dyDescent="0.25">
      <c r="A181" s="81" t="s">
        <v>1187</v>
      </c>
      <c r="B181" s="53">
        <f>EXP(SUMPRODUCT((rl_key=$A$130)*(rl_cons="Y")*rl_ln1p))</f>
        <v>1.03</v>
      </c>
      <c r="C181" s="53">
        <f>SUMPRODUCT($H$133:$H$180,$P$133:$P$180,$U$133:$U$180)/SUMPRODUCT($H$133:$H$180,$P$133:$P$180)</f>
        <v>1.0199999999999998</v>
      </c>
      <c r="D181" s="53">
        <f>SUMPRODUCT($H$133:$H$180,$Q$133:$Q$180,$U$133:$U$180)/SUMPRODUCT($H$133:$H$180,$Q$133:$Q$180)</f>
        <v>1.057466666666667</v>
      </c>
      <c r="E181" s="53">
        <f>SUMPRODUCT($H$133:$H$180,$R$133:$R$180,$U$133:$U$180)/SUMPRODUCT($H$133:$H$180,$R$133:$R$180)</f>
        <v>1.0712000000000004</v>
      </c>
      <c r="F181" s="172">
        <f>SUMPRODUCT($H$133:$H$180,$Q$133:$Q$180,$O$133:$O$180)/SUMPRODUCT($H$133:$H$180,$Q$133:$Q$180)</f>
        <v>0.91199626185266247</v>
      </c>
      <c r="G181" s="172">
        <f>SUMPRODUCT($H$133:$H$180,$R$133:$R$180,$O$133:$O$180)/SUMPRODUCT($H$133:$H$180,$R$133:$R$180)</f>
        <v>0.91483011184050556</v>
      </c>
    </row>
    <row r="184" spans="1:21" x14ac:dyDescent="0.25">
      <c r="A184" s="81" t="str">
        <f>INDEX(lr_key,3)</f>
        <v>BU-A|CO</v>
      </c>
      <c r="B184" s="81" t="str">
        <f>INDEX(lr_state,3)</f>
        <v>CO</v>
      </c>
      <c r="C184" s="55">
        <f>nr_TermMonths</f>
        <v>6</v>
      </c>
      <c r="D184" s="55">
        <f>IF(COUNTIF(se_state,$B184)=0,0,MATCH($B184,se_state,0))</f>
        <v>0</v>
      </c>
      <c r="E184" s="57">
        <f>IF($D184=0,0,INDEX(se_sum,$D184))</f>
        <v>0</v>
      </c>
      <c r="F184" s="172">
        <f>IF(N(INDEX(lr_mind,3))=0,1,INDEX(lr_mind,3))</f>
        <v>0.92</v>
      </c>
      <c r="G184" s="172">
        <f>IF(N(INDEX(lr_m0,3))=0,1,INDEX(lr_m0,3))</f>
        <v>0.91</v>
      </c>
      <c r="H184" s="54">
        <f>IF(N(INDEX(lr_m0asof,3))=0,DATE(nr_PlanYear-1,10,1),INDEX(lr_m0asof,3))</f>
        <v>46295</v>
      </c>
      <c r="I184" s="172">
        <f>IF(N(INDEX(lr_m1,3))=0,1,INDEX(lr_m1,3))</f>
        <v>0.93</v>
      </c>
      <c r="J184" s="172">
        <f>INDEX(lr_mprior,3)</f>
        <v>0</v>
      </c>
      <c r="K184" s="172">
        <f>INDEX(lr_m2,3)</f>
        <v>0</v>
      </c>
      <c r="L184" s="81" t="b">
        <f>NOT(ISBLANK(INDEX(lr_netp,3)))</f>
        <v>0</v>
      </c>
      <c r="M184" s="52">
        <f>N(INDEX(lr_netp,3))</f>
        <v>0</v>
      </c>
      <c r="N184" s="52">
        <f>IF(ISBLANK(INDEX(lr_netp1,3)),$M$184,N(INDEX(lr_netp1,3)))</f>
        <v>0</v>
      </c>
      <c r="O184" s="55">
        <f>IF(AND(nr_ModAdjMaster="ON",INDEX(lr_modadj,3)="ON"),1,0)</f>
        <v>1</v>
      </c>
    </row>
    <row r="185" spans="1:21" x14ac:dyDescent="0.25">
      <c r="A185" s="81">
        <f>EDATE($H$184,-12)+1</f>
        <v>45931</v>
      </c>
      <c r="B185" s="81">
        <f>$H$184+1</f>
        <v>46296</v>
      </c>
      <c r="C185" s="81">
        <f>DATE(nr_PlanYear,12,31)+1</f>
        <v>46753</v>
      </c>
      <c r="D185" s="81">
        <f>DATE(nr_PlanYear+1,12,31)+1</f>
        <v>47119</v>
      </c>
      <c r="E185" s="81">
        <f>IF(N($J$184)=0,$F$185-($G$185-$F$185)/($C$185-$B$185)*($B$185-$A$185),$J$184)</f>
        <v>0.89402625820568926</v>
      </c>
      <c r="F185" s="81">
        <f>$G$184</f>
        <v>0.91</v>
      </c>
      <c r="G185" s="81">
        <f>$I$184</f>
        <v>0.93</v>
      </c>
      <c r="H185" s="81">
        <f>IF(N($K$184)=0,$I$184,$K$184)</f>
        <v>0.93</v>
      </c>
      <c r="I185" s="81">
        <f>($F$185-$E$185)/($B$185-$A$185)</f>
        <v>4.3763676148796628E-5</v>
      </c>
      <c r="J185" s="81">
        <f>($G$185-$F$185)/($C$185-$B$185)</f>
        <v>4.376367614879654E-5</v>
      </c>
      <c r="K185" s="81">
        <f>($H$185-$G$185)/($D$185-$C$185)</f>
        <v>0</v>
      </c>
    </row>
    <row r="186" spans="1:21" ht="36" x14ac:dyDescent="0.25">
      <c r="A186" s="50" t="s">
        <v>211</v>
      </c>
      <c r="B186" s="50" t="s">
        <v>212</v>
      </c>
      <c r="C186" s="50" t="s">
        <v>213</v>
      </c>
      <c r="D186" s="50" t="s">
        <v>214</v>
      </c>
      <c r="E186" s="50" t="s">
        <v>215</v>
      </c>
      <c r="F186" s="50" t="s">
        <v>216</v>
      </c>
      <c r="G186" s="50" t="s">
        <v>217</v>
      </c>
      <c r="H186" s="50" t="s">
        <v>218</v>
      </c>
      <c r="I186" s="50" t="s">
        <v>219</v>
      </c>
      <c r="J186" s="50" t="s">
        <v>220</v>
      </c>
      <c r="K186" s="50" t="s">
        <v>221</v>
      </c>
      <c r="L186" s="50" t="s">
        <v>222</v>
      </c>
      <c r="M186" s="50" t="s">
        <v>223</v>
      </c>
      <c r="N186" s="50" t="s">
        <v>224</v>
      </c>
      <c r="O186" s="50" t="s">
        <v>225</v>
      </c>
      <c r="P186" s="50" t="s">
        <v>226</v>
      </c>
      <c r="Q186" s="50" t="s">
        <v>227</v>
      </c>
      <c r="R186" s="50" t="s">
        <v>228</v>
      </c>
      <c r="S186" s="50" t="s">
        <v>229</v>
      </c>
      <c r="T186" s="50" t="s">
        <v>230</v>
      </c>
      <c r="U186" s="50" t="s">
        <v>231</v>
      </c>
    </row>
    <row r="187" spans="1:21" x14ac:dyDescent="0.25">
      <c r="A187" s="71">
        <v>1</v>
      </c>
      <c r="B187" s="72">
        <f>DATE(nr_PlanYear-2,1,1)</f>
        <v>45658</v>
      </c>
      <c r="C187" s="73">
        <f t="shared" ref="C187:C234" si="74">EOMONTH($B187,0)</f>
        <v>45688</v>
      </c>
      <c r="D187" s="67">
        <f t="shared" ref="D187:D234" si="75">$C187-$B187+1</f>
        <v>31</v>
      </c>
      <c r="E187" s="67">
        <f t="shared" ref="E187:E234" si="76">MONTH($B187)</f>
        <v>1</v>
      </c>
      <c r="F187" s="74">
        <f t="shared" ref="F187:F234" si="77">($B187+$C187+1)/2</f>
        <v>45673.5</v>
      </c>
      <c r="G187" s="67">
        <f t="shared" ref="G187:G234" si="78">YEAR($B187)*12+MONTH($B187)-1</f>
        <v>24300</v>
      </c>
      <c r="H187" s="75">
        <f t="shared" ref="H187:H234" si="79">IF(OR(nr_SeasonOn="OFF",$D$184=0,$E$184=0),1,12*INDEX(se_block,$D$184,$E187)/$E$184)</f>
        <v>1</v>
      </c>
      <c r="I187" s="76">
        <f t="shared" ref="I187:I234" si="80">EXP(SUMPRODUCT((rl_eff&lt;$B187)*(rl_key=$A$184)*rl_ln1p))</f>
        <v>1</v>
      </c>
      <c r="J187" s="76">
        <f t="shared" ref="J187:J234" si="81">EXP(SUMPRODUCT((rl_eff&lt;=$C187)*(rl_key=$A$184)*rl_ln1p))</f>
        <v>1</v>
      </c>
      <c r="K187" s="67">
        <f t="shared" ref="K187:K234" si="82">COUNTIFS(rl_key,$A$184,rl_eff,"&gt;="&amp;$B187,rl_eff,"&lt;="&amp;$C187)</f>
        <v>0</v>
      </c>
      <c r="L187" s="67">
        <f t="shared" ref="L187:L234" si="83">SUMIFS(rl_daysafter,rl_key,$A$184,rl_effmonth,$B187,rl_first,1)</f>
        <v>0</v>
      </c>
      <c r="M187" s="77">
        <f t="shared" ref="M187:M234" si="84">IF($K187=0,0,MIN(1,$L187/$D187))</f>
        <v>0</v>
      </c>
      <c r="N187" s="76">
        <f t="shared" ref="N187:N234" si="85">IF($K187=0,$J187,(1-$M187)*$I187+$M187*$J187)</f>
        <v>1</v>
      </c>
      <c r="O187" s="77">
        <f t="shared" ref="O187:O234" si="86">IF($F187&lt;$B$185,$E$185+$I$185*($F187-$A$185),IF($F187&lt;$C$185,$F$185+$J$185*($F187-$B$185),$G$185+$K$185*($F187-$C$185)))</f>
        <v>0.88275711159737413</v>
      </c>
      <c r="P187" s="76">
        <f t="shared" ref="P187:P234" si="87">MIN(1,MAX(0,(nr_MEndPm1-$G187+0.5)/$C$184))-MIN(1,MAX(0,(nr_MStartPm1-1-$G187+0.5)/$C$184))</f>
        <v>0</v>
      </c>
      <c r="Q187" s="76">
        <f t="shared" ref="Q187:Q234" si="88">MIN(1,MAX(0,(nr_MEndP-$G187+0.5)/$C$184))-MIN(1,MAX(0,(nr_MStartP-1-$G187+0.5)/$C$184))</f>
        <v>0</v>
      </c>
      <c r="R187" s="76">
        <f t="shared" ref="R187:R234" si="89">MIN(1,MAX(0,(nr_MEndP1-$G187+0.5)/$C$184))-MIN(1,MAX(0,(nr_MStartP1-1-$G187+0.5)/$C$184))</f>
        <v>0</v>
      </c>
      <c r="S187" s="76">
        <f t="shared" ref="S187:S234" si="90">$N187*IF($O$184=1,$O187/$F$184,1)</f>
        <v>0.95951859956236318</v>
      </c>
      <c r="T187" s="76">
        <f t="shared" ref="T187:T234" si="91">IF($G187&lt;nr_MStartP,$S187,$T175*(1+IF($G187&lt;nr_MStartP1,$M$184,$N$184)))</f>
        <v>0.95951859956236318</v>
      </c>
      <c r="U187" s="76">
        <f t="shared" ref="U187:U234" si="92">IF($L$184,$T187,$N187)</f>
        <v>1</v>
      </c>
    </row>
    <row r="188" spans="1:21" x14ac:dyDescent="0.25">
      <c r="A188" s="71">
        <v>2</v>
      </c>
      <c r="B188" s="72">
        <f t="shared" ref="B188:B234" si="93">EDATE($B187,1)</f>
        <v>45689</v>
      </c>
      <c r="C188" s="73">
        <f t="shared" si="74"/>
        <v>45716</v>
      </c>
      <c r="D188" s="67">
        <f t="shared" si="75"/>
        <v>28</v>
      </c>
      <c r="E188" s="67">
        <f t="shared" si="76"/>
        <v>2</v>
      </c>
      <c r="F188" s="74">
        <f t="shared" si="77"/>
        <v>45703</v>
      </c>
      <c r="G188" s="67">
        <f t="shared" si="78"/>
        <v>24301</v>
      </c>
      <c r="H188" s="75">
        <f t="shared" si="79"/>
        <v>1</v>
      </c>
      <c r="I188" s="76">
        <f t="shared" si="80"/>
        <v>1</v>
      </c>
      <c r="J188" s="76">
        <f t="shared" si="81"/>
        <v>1</v>
      </c>
      <c r="K188" s="67">
        <f t="shared" si="82"/>
        <v>0</v>
      </c>
      <c r="L188" s="67">
        <f t="shared" si="83"/>
        <v>0</v>
      </c>
      <c r="M188" s="77">
        <f t="shared" si="84"/>
        <v>0</v>
      </c>
      <c r="N188" s="76">
        <f t="shared" si="85"/>
        <v>1</v>
      </c>
      <c r="O188" s="77">
        <f t="shared" si="86"/>
        <v>0.88404814004376364</v>
      </c>
      <c r="P188" s="76">
        <f t="shared" si="87"/>
        <v>0</v>
      </c>
      <c r="Q188" s="76">
        <f t="shared" si="88"/>
        <v>0</v>
      </c>
      <c r="R188" s="76">
        <f t="shared" si="89"/>
        <v>0</v>
      </c>
      <c r="S188" s="76">
        <f t="shared" si="90"/>
        <v>0.96092189135191697</v>
      </c>
      <c r="T188" s="76">
        <f t="shared" si="91"/>
        <v>0.96092189135191697</v>
      </c>
      <c r="U188" s="76">
        <f t="shared" si="92"/>
        <v>1</v>
      </c>
    </row>
    <row r="189" spans="1:21" x14ac:dyDescent="0.25">
      <c r="A189" s="71">
        <v>3</v>
      </c>
      <c r="B189" s="72">
        <f t="shared" si="93"/>
        <v>45717</v>
      </c>
      <c r="C189" s="73">
        <f t="shared" si="74"/>
        <v>45747</v>
      </c>
      <c r="D189" s="67">
        <f t="shared" si="75"/>
        <v>31</v>
      </c>
      <c r="E189" s="67">
        <f t="shared" si="76"/>
        <v>3</v>
      </c>
      <c r="F189" s="74">
        <f t="shared" si="77"/>
        <v>45732.5</v>
      </c>
      <c r="G189" s="67">
        <f t="shared" si="78"/>
        <v>24302</v>
      </c>
      <c r="H189" s="75">
        <f t="shared" si="79"/>
        <v>1</v>
      </c>
      <c r="I189" s="76">
        <f t="shared" si="80"/>
        <v>1</v>
      </c>
      <c r="J189" s="76">
        <f t="shared" si="81"/>
        <v>1</v>
      </c>
      <c r="K189" s="67">
        <f t="shared" si="82"/>
        <v>0</v>
      </c>
      <c r="L189" s="67">
        <f t="shared" si="83"/>
        <v>0</v>
      </c>
      <c r="M189" s="77">
        <f t="shared" si="84"/>
        <v>0</v>
      </c>
      <c r="N189" s="76">
        <f t="shared" si="85"/>
        <v>1</v>
      </c>
      <c r="O189" s="77">
        <f t="shared" si="86"/>
        <v>0.88533916849015315</v>
      </c>
      <c r="P189" s="76">
        <f t="shared" si="87"/>
        <v>0</v>
      </c>
      <c r="Q189" s="76">
        <f t="shared" si="88"/>
        <v>0</v>
      </c>
      <c r="R189" s="76">
        <f t="shared" si="89"/>
        <v>0</v>
      </c>
      <c r="S189" s="76">
        <f t="shared" si="90"/>
        <v>0.96232518314147075</v>
      </c>
      <c r="T189" s="76">
        <f t="shared" si="91"/>
        <v>0.96232518314147075</v>
      </c>
      <c r="U189" s="76">
        <f t="shared" si="92"/>
        <v>1</v>
      </c>
    </row>
    <row r="190" spans="1:21" x14ac:dyDescent="0.25">
      <c r="A190" s="71">
        <v>4</v>
      </c>
      <c r="B190" s="72">
        <f t="shared" si="93"/>
        <v>45748</v>
      </c>
      <c r="C190" s="73">
        <f t="shared" si="74"/>
        <v>45777</v>
      </c>
      <c r="D190" s="67">
        <f t="shared" si="75"/>
        <v>30</v>
      </c>
      <c r="E190" s="67">
        <f t="shared" si="76"/>
        <v>4</v>
      </c>
      <c r="F190" s="74">
        <f t="shared" si="77"/>
        <v>45763</v>
      </c>
      <c r="G190" s="67">
        <f t="shared" si="78"/>
        <v>24303</v>
      </c>
      <c r="H190" s="75">
        <f t="shared" si="79"/>
        <v>1</v>
      </c>
      <c r="I190" s="76">
        <f t="shared" si="80"/>
        <v>1</v>
      </c>
      <c r="J190" s="76">
        <f t="shared" si="81"/>
        <v>1</v>
      </c>
      <c r="K190" s="67">
        <f t="shared" si="82"/>
        <v>0</v>
      </c>
      <c r="L190" s="67">
        <f t="shared" si="83"/>
        <v>0</v>
      </c>
      <c r="M190" s="77">
        <f t="shared" si="84"/>
        <v>0</v>
      </c>
      <c r="N190" s="76">
        <f t="shared" si="85"/>
        <v>1</v>
      </c>
      <c r="O190" s="77">
        <f t="shared" si="86"/>
        <v>0.88667396061269144</v>
      </c>
      <c r="P190" s="76">
        <f t="shared" si="87"/>
        <v>0</v>
      </c>
      <c r="Q190" s="76">
        <f t="shared" si="88"/>
        <v>0</v>
      </c>
      <c r="R190" s="76">
        <f t="shared" si="89"/>
        <v>0</v>
      </c>
      <c r="S190" s="76">
        <f t="shared" si="90"/>
        <v>0.96377604414422979</v>
      </c>
      <c r="T190" s="76">
        <f t="shared" si="91"/>
        <v>0.96377604414422979</v>
      </c>
      <c r="U190" s="76">
        <f t="shared" si="92"/>
        <v>1</v>
      </c>
    </row>
    <row r="191" spans="1:21" x14ac:dyDescent="0.25">
      <c r="A191" s="71">
        <v>5</v>
      </c>
      <c r="B191" s="72">
        <f t="shared" si="93"/>
        <v>45778</v>
      </c>
      <c r="C191" s="73">
        <f t="shared" si="74"/>
        <v>45808</v>
      </c>
      <c r="D191" s="67">
        <f t="shared" si="75"/>
        <v>31</v>
      </c>
      <c r="E191" s="67">
        <f t="shared" si="76"/>
        <v>5</v>
      </c>
      <c r="F191" s="74">
        <f t="shared" si="77"/>
        <v>45793.5</v>
      </c>
      <c r="G191" s="67">
        <f t="shared" si="78"/>
        <v>24304</v>
      </c>
      <c r="H191" s="75">
        <f t="shared" si="79"/>
        <v>1</v>
      </c>
      <c r="I191" s="76">
        <f t="shared" si="80"/>
        <v>1</v>
      </c>
      <c r="J191" s="76">
        <f t="shared" si="81"/>
        <v>1</v>
      </c>
      <c r="K191" s="67">
        <f t="shared" si="82"/>
        <v>0</v>
      </c>
      <c r="L191" s="67">
        <f t="shared" si="83"/>
        <v>0</v>
      </c>
      <c r="M191" s="77">
        <f t="shared" si="84"/>
        <v>0</v>
      </c>
      <c r="N191" s="76">
        <f t="shared" si="85"/>
        <v>1</v>
      </c>
      <c r="O191" s="77">
        <f t="shared" si="86"/>
        <v>0.88800875273522972</v>
      </c>
      <c r="P191" s="76">
        <f t="shared" si="87"/>
        <v>0</v>
      </c>
      <c r="Q191" s="76">
        <f t="shared" si="88"/>
        <v>0</v>
      </c>
      <c r="R191" s="76">
        <f t="shared" si="89"/>
        <v>0</v>
      </c>
      <c r="S191" s="76">
        <f t="shared" si="90"/>
        <v>0.96522690514698883</v>
      </c>
      <c r="T191" s="76">
        <f t="shared" si="91"/>
        <v>0.96522690514698883</v>
      </c>
      <c r="U191" s="76">
        <f t="shared" si="92"/>
        <v>1</v>
      </c>
    </row>
    <row r="192" spans="1:21" x14ac:dyDescent="0.25">
      <c r="A192" s="71">
        <v>6</v>
      </c>
      <c r="B192" s="72">
        <f t="shared" si="93"/>
        <v>45809</v>
      </c>
      <c r="C192" s="73">
        <f t="shared" si="74"/>
        <v>45838</v>
      </c>
      <c r="D192" s="67">
        <f t="shared" si="75"/>
        <v>30</v>
      </c>
      <c r="E192" s="67">
        <f t="shared" si="76"/>
        <v>6</v>
      </c>
      <c r="F192" s="74">
        <f t="shared" si="77"/>
        <v>45824</v>
      </c>
      <c r="G192" s="67">
        <f t="shared" si="78"/>
        <v>24305</v>
      </c>
      <c r="H192" s="75">
        <f t="shared" si="79"/>
        <v>1</v>
      </c>
      <c r="I192" s="76">
        <f t="shared" si="80"/>
        <v>1</v>
      </c>
      <c r="J192" s="76">
        <f t="shared" si="81"/>
        <v>1</v>
      </c>
      <c r="K192" s="67">
        <f t="shared" si="82"/>
        <v>0</v>
      </c>
      <c r="L192" s="67">
        <f t="shared" si="83"/>
        <v>0</v>
      </c>
      <c r="M192" s="77">
        <f t="shared" si="84"/>
        <v>0</v>
      </c>
      <c r="N192" s="76">
        <f t="shared" si="85"/>
        <v>1</v>
      </c>
      <c r="O192" s="77">
        <f t="shared" si="86"/>
        <v>0.88934354485776801</v>
      </c>
      <c r="P192" s="76">
        <f t="shared" si="87"/>
        <v>0</v>
      </c>
      <c r="Q192" s="76">
        <f t="shared" si="88"/>
        <v>0</v>
      </c>
      <c r="R192" s="76">
        <f t="shared" si="89"/>
        <v>0</v>
      </c>
      <c r="S192" s="76">
        <f t="shared" si="90"/>
        <v>0.96667776614974776</v>
      </c>
      <c r="T192" s="76">
        <f t="shared" si="91"/>
        <v>0.96667776614974776</v>
      </c>
      <c r="U192" s="76">
        <f t="shared" si="92"/>
        <v>1</v>
      </c>
    </row>
    <row r="193" spans="1:21" x14ac:dyDescent="0.25">
      <c r="A193" s="71">
        <v>7</v>
      </c>
      <c r="B193" s="72">
        <f t="shared" si="93"/>
        <v>45839</v>
      </c>
      <c r="C193" s="73">
        <f t="shared" si="74"/>
        <v>45869</v>
      </c>
      <c r="D193" s="67">
        <f t="shared" si="75"/>
        <v>31</v>
      </c>
      <c r="E193" s="67">
        <f t="shared" si="76"/>
        <v>7</v>
      </c>
      <c r="F193" s="74">
        <f t="shared" si="77"/>
        <v>45854.5</v>
      </c>
      <c r="G193" s="67">
        <f t="shared" si="78"/>
        <v>24306</v>
      </c>
      <c r="H193" s="75">
        <f t="shared" si="79"/>
        <v>1</v>
      </c>
      <c r="I193" s="76">
        <f t="shared" si="80"/>
        <v>1</v>
      </c>
      <c r="J193" s="76">
        <f t="shared" si="81"/>
        <v>1</v>
      </c>
      <c r="K193" s="67">
        <f t="shared" si="82"/>
        <v>0</v>
      </c>
      <c r="L193" s="67">
        <f t="shared" si="83"/>
        <v>0</v>
      </c>
      <c r="M193" s="77">
        <f t="shared" si="84"/>
        <v>0</v>
      </c>
      <c r="N193" s="76">
        <f t="shared" si="85"/>
        <v>1</v>
      </c>
      <c r="O193" s="77">
        <f t="shared" si="86"/>
        <v>0.8906783369803063</v>
      </c>
      <c r="P193" s="76">
        <f t="shared" si="87"/>
        <v>8.333333333333337E-2</v>
      </c>
      <c r="Q193" s="76">
        <f t="shared" si="88"/>
        <v>0</v>
      </c>
      <c r="R193" s="76">
        <f t="shared" si="89"/>
        <v>0</v>
      </c>
      <c r="S193" s="76">
        <f t="shared" si="90"/>
        <v>0.9681286271525068</v>
      </c>
      <c r="T193" s="76">
        <f t="shared" si="91"/>
        <v>0.9681286271525068</v>
      </c>
      <c r="U193" s="76">
        <f t="shared" si="92"/>
        <v>1</v>
      </c>
    </row>
    <row r="194" spans="1:21" x14ac:dyDescent="0.25">
      <c r="A194" s="71">
        <v>8</v>
      </c>
      <c r="B194" s="72">
        <f t="shared" si="93"/>
        <v>45870</v>
      </c>
      <c r="C194" s="73">
        <f t="shared" si="74"/>
        <v>45900</v>
      </c>
      <c r="D194" s="67">
        <f t="shared" si="75"/>
        <v>31</v>
      </c>
      <c r="E194" s="67">
        <f t="shared" si="76"/>
        <v>8</v>
      </c>
      <c r="F194" s="74">
        <f t="shared" si="77"/>
        <v>45885.5</v>
      </c>
      <c r="G194" s="67">
        <f t="shared" si="78"/>
        <v>24307</v>
      </c>
      <c r="H194" s="75">
        <f t="shared" si="79"/>
        <v>1</v>
      </c>
      <c r="I194" s="76">
        <f t="shared" si="80"/>
        <v>1</v>
      </c>
      <c r="J194" s="76">
        <f t="shared" si="81"/>
        <v>1</v>
      </c>
      <c r="K194" s="67">
        <f t="shared" si="82"/>
        <v>0</v>
      </c>
      <c r="L194" s="67">
        <f t="shared" si="83"/>
        <v>0</v>
      </c>
      <c r="M194" s="77">
        <f t="shared" si="84"/>
        <v>0</v>
      </c>
      <c r="N194" s="76">
        <f t="shared" si="85"/>
        <v>1</v>
      </c>
      <c r="O194" s="77">
        <f t="shared" si="86"/>
        <v>0.89203501094091897</v>
      </c>
      <c r="P194" s="76">
        <f t="shared" si="87"/>
        <v>0.25</v>
      </c>
      <c r="Q194" s="76">
        <f t="shared" si="88"/>
        <v>0</v>
      </c>
      <c r="R194" s="76">
        <f t="shared" si="89"/>
        <v>0</v>
      </c>
      <c r="S194" s="76">
        <f t="shared" si="90"/>
        <v>0.96960327276186842</v>
      </c>
      <c r="T194" s="76">
        <f t="shared" si="91"/>
        <v>0.96960327276186842</v>
      </c>
      <c r="U194" s="76">
        <f t="shared" si="92"/>
        <v>1</v>
      </c>
    </row>
    <row r="195" spans="1:21" x14ac:dyDescent="0.25">
      <c r="A195" s="71">
        <v>9</v>
      </c>
      <c r="B195" s="72">
        <f t="shared" si="93"/>
        <v>45901</v>
      </c>
      <c r="C195" s="73">
        <f t="shared" si="74"/>
        <v>45930</v>
      </c>
      <c r="D195" s="67">
        <f t="shared" si="75"/>
        <v>30</v>
      </c>
      <c r="E195" s="67">
        <f t="shared" si="76"/>
        <v>9</v>
      </c>
      <c r="F195" s="74">
        <f t="shared" si="77"/>
        <v>45916</v>
      </c>
      <c r="G195" s="67">
        <f t="shared" si="78"/>
        <v>24308</v>
      </c>
      <c r="H195" s="75">
        <f t="shared" si="79"/>
        <v>1</v>
      </c>
      <c r="I195" s="76">
        <f t="shared" si="80"/>
        <v>1</v>
      </c>
      <c r="J195" s="76">
        <f t="shared" si="81"/>
        <v>1</v>
      </c>
      <c r="K195" s="67">
        <f t="shared" si="82"/>
        <v>0</v>
      </c>
      <c r="L195" s="67">
        <f t="shared" si="83"/>
        <v>0</v>
      </c>
      <c r="M195" s="77">
        <f t="shared" si="84"/>
        <v>0</v>
      </c>
      <c r="N195" s="76">
        <f t="shared" si="85"/>
        <v>1</v>
      </c>
      <c r="O195" s="77">
        <f t="shared" si="86"/>
        <v>0.89336980306345726</v>
      </c>
      <c r="P195" s="76">
        <f t="shared" si="87"/>
        <v>0.41666666666666663</v>
      </c>
      <c r="Q195" s="76">
        <f t="shared" si="88"/>
        <v>0</v>
      </c>
      <c r="R195" s="76">
        <f t="shared" si="89"/>
        <v>0</v>
      </c>
      <c r="S195" s="76">
        <f t="shared" si="90"/>
        <v>0.97105413376462746</v>
      </c>
      <c r="T195" s="76">
        <f t="shared" si="91"/>
        <v>0.97105413376462746</v>
      </c>
      <c r="U195" s="76">
        <f t="shared" si="92"/>
        <v>1</v>
      </c>
    </row>
    <row r="196" spans="1:21" x14ac:dyDescent="0.25">
      <c r="A196" s="71">
        <v>10</v>
      </c>
      <c r="B196" s="72">
        <f t="shared" si="93"/>
        <v>45931</v>
      </c>
      <c r="C196" s="73">
        <f t="shared" si="74"/>
        <v>45961</v>
      </c>
      <c r="D196" s="67">
        <f t="shared" si="75"/>
        <v>31</v>
      </c>
      <c r="E196" s="67">
        <f t="shared" si="76"/>
        <v>10</v>
      </c>
      <c r="F196" s="74">
        <f t="shared" si="77"/>
        <v>45946.5</v>
      </c>
      <c r="G196" s="67">
        <f t="shared" si="78"/>
        <v>24309</v>
      </c>
      <c r="H196" s="75">
        <f t="shared" si="79"/>
        <v>1</v>
      </c>
      <c r="I196" s="76">
        <f t="shared" si="80"/>
        <v>1</v>
      </c>
      <c r="J196" s="76">
        <f t="shared" si="81"/>
        <v>1</v>
      </c>
      <c r="K196" s="67">
        <f t="shared" si="82"/>
        <v>0</v>
      </c>
      <c r="L196" s="67">
        <f t="shared" si="83"/>
        <v>0</v>
      </c>
      <c r="M196" s="77">
        <f t="shared" si="84"/>
        <v>0</v>
      </c>
      <c r="N196" s="76">
        <f t="shared" si="85"/>
        <v>1</v>
      </c>
      <c r="O196" s="77">
        <f t="shared" si="86"/>
        <v>0.89470459518599565</v>
      </c>
      <c r="P196" s="76">
        <f t="shared" si="87"/>
        <v>0.58333333333333326</v>
      </c>
      <c r="Q196" s="76">
        <f t="shared" si="88"/>
        <v>0</v>
      </c>
      <c r="R196" s="76">
        <f t="shared" si="89"/>
        <v>0</v>
      </c>
      <c r="S196" s="76">
        <f t="shared" si="90"/>
        <v>0.9725049947673865</v>
      </c>
      <c r="T196" s="76">
        <f t="shared" si="91"/>
        <v>0.9725049947673865</v>
      </c>
      <c r="U196" s="76">
        <f t="shared" si="92"/>
        <v>1</v>
      </c>
    </row>
    <row r="197" spans="1:21" x14ac:dyDescent="0.25">
      <c r="A197" s="71">
        <v>11</v>
      </c>
      <c r="B197" s="72">
        <f t="shared" si="93"/>
        <v>45962</v>
      </c>
      <c r="C197" s="73">
        <f t="shared" si="74"/>
        <v>45991</v>
      </c>
      <c r="D197" s="67">
        <f t="shared" si="75"/>
        <v>30</v>
      </c>
      <c r="E197" s="67">
        <f t="shared" si="76"/>
        <v>11</v>
      </c>
      <c r="F197" s="74">
        <f t="shared" si="77"/>
        <v>45977</v>
      </c>
      <c r="G197" s="67">
        <f t="shared" si="78"/>
        <v>24310</v>
      </c>
      <c r="H197" s="75">
        <f t="shared" si="79"/>
        <v>1</v>
      </c>
      <c r="I197" s="76">
        <f t="shared" si="80"/>
        <v>1</v>
      </c>
      <c r="J197" s="76">
        <f t="shared" si="81"/>
        <v>1</v>
      </c>
      <c r="K197" s="67">
        <f t="shared" si="82"/>
        <v>0</v>
      </c>
      <c r="L197" s="67">
        <f t="shared" si="83"/>
        <v>0</v>
      </c>
      <c r="M197" s="77">
        <f t="shared" si="84"/>
        <v>0</v>
      </c>
      <c r="N197" s="76">
        <f t="shared" si="85"/>
        <v>1</v>
      </c>
      <c r="O197" s="77">
        <f t="shared" si="86"/>
        <v>0.89603938730853394</v>
      </c>
      <c r="P197" s="76">
        <f t="shared" si="87"/>
        <v>0.75</v>
      </c>
      <c r="Q197" s="76">
        <f t="shared" si="88"/>
        <v>0</v>
      </c>
      <c r="R197" s="76">
        <f t="shared" si="89"/>
        <v>0</v>
      </c>
      <c r="S197" s="76">
        <f t="shared" si="90"/>
        <v>0.97395585577014554</v>
      </c>
      <c r="T197" s="76">
        <f t="shared" si="91"/>
        <v>0.97395585577014554</v>
      </c>
      <c r="U197" s="76">
        <f t="shared" si="92"/>
        <v>1</v>
      </c>
    </row>
    <row r="198" spans="1:21" x14ac:dyDescent="0.25">
      <c r="A198" s="71">
        <v>12</v>
      </c>
      <c r="B198" s="72">
        <f t="shared" si="93"/>
        <v>45992</v>
      </c>
      <c r="C198" s="73">
        <f t="shared" si="74"/>
        <v>46022</v>
      </c>
      <c r="D198" s="67">
        <f t="shared" si="75"/>
        <v>31</v>
      </c>
      <c r="E198" s="67">
        <f t="shared" si="76"/>
        <v>12</v>
      </c>
      <c r="F198" s="74">
        <f t="shared" si="77"/>
        <v>46007.5</v>
      </c>
      <c r="G198" s="67">
        <f t="shared" si="78"/>
        <v>24311</v>
      </c>
      <c r="H198" s="75">
        <f t="shared" si="79"/>
        <v>1</v>
      </c>
      <c r="I198" s="76">
        <f t="shared" si="80"/>
        <v>1</v>
      </c>
      <c r="J198" s="76">
        <f t="shared" si="81"/>
        <v>1</v>
      </c>
      <c r="K198" s="67">
        <f t="shared" si="82"/>
        <v>0</v>
      </c>
      <c r="L198" s="67">
        <f t="shared" si="83"/>
        <v>0</v>
      </c>
      <c r="M198" s="77">
        <f t="shared" si="84"/>
        <v>0</v>
      </c>
      <c r="N198" s="76">
        <f t="shared" si="85"/>
        <v>1</v>
      </c>
      <c r="O198" s="77">
        <f t="shared" si="86"/>
        <v>0.89737417943107223</v>
      </c>
      <c r="P198" s="76">
        <f t="shared" si="87"/>
        <v>0.91666666666666663</v>
      </c>
      <c r="Q198" s="76">
        <f t="shared" si="88"/>
        <v>0</v>
      </c>
      <c r="R198" s="76">
        <f t="shared" si="89"/>
        <v>0</v>
      </c>
      <c r="S198" s="76">
        <f t="shared" si="90"/>
        <v>0.97540671677290458</v>
      </c>
      <c r="T198" s="76">
        <f t="shared" si="91"/>
        <v>0.97540671677290458</v>
      </c>
      <c r="U198" s="76">
        <f t="shared" si="92"/>
        <v>1</v>
      </c>
    </row>
    <row r="199" spans="1:21" x14ac:dyDescent="0.25">
      <c r="A199" s="71">
        <v>13</v>
      </c>
      <c r="B199" s="72">
        <f t="shared" si="93"/>
        <v>46023</v>
      </c>
      <c r="C199" s="73">
        <f t="shared" si="74"/>
        <v>46053</v>
      </c>
      <c r="D199" s="67">
        <f t="shared" si="75"/>
        <v>31</v>
      </c>
      <c r="E199" s="67">
        <f t="shared" si="76"/>
        <v>1</v>
      </c>
      <c r="F199" s="74">
        <f t="shared" si="77"/>
        <v>46038.5</v>
      </c>
      <c r="G199" s="67">
        <f t="shared" si="78"/>
        <v>24312</v>
      </c>
      <c r="H199" s="75">
        <f t="shared" si="79"/>
        <v>1</v>
      </c>
      <c r="I199" s="76">
        <f t="shared" si="80"/>
        <v>1</v>
      </c>
      <c r="J199" s="76">
        <f t="shared" si="81"/>
        <v>1</v>
      </c>
      <c r="K199" s="67">
        <f t="shared" si="82"/>
        <v>0</v>
      </c>
      <c r="L199" s="67">
        <f t="shared" si="83"/>
        <v>0</v>
      </c>
      <c r="M199" s="77">
        <f t="shared" si="84"/>
        <v>0</v>
      </c>
      <c r="N199" s="76">
        <f t="shared" si="85"/>
        <v>1</v>
      </c>
      <c r="O199" s="77">
        <f t="shared" si="86"/>
        <v>0.8987308533916849</v>
      </c>
      <c r="P199" s="76">
        <f t="shared" si="87"/>
        <v>1</v>
      </c>
      <c r="Q199" s="76">
        <f t="shared" si="88"/>
        <v>0</v>
      </c>
      <c r="R199" s="76">
        <f t="shared" si="89"/>
        <v>0</v>
      </c>
      <c r="S199" s="76">
        <f t="shared" si="90"/>
        <v>0.97688136238226619</v>
      </c>
      <c r="T199" s="76">
        <f t="shared" si="91"/>
        <v>0.97688136238226619</v>
      </c>
      <c r="U199" s="76">
        <f t="shared" si="92"/>
        <v>1</v>
      </c>
    </row>
    <row r="200" spans="1:21" x14ac:dyDescent="0.25">
      <c r="A200" s="71">
        <v>14</v>
      </c>
      <c r="B200" s="72">
        <f t="shared" si="93"/>
        <v>46054</v>
      </c>
      <c r="C200" s="73">
        <f t="shared" si="74"/>
        <v>46081</v>
      </c>
      <c r="D200" s="67">
        <f t="shared" si="75"/>
        <v>28</v>
      </c>
      <c r="E200" s="67">
        <f t="shared" si="76"/>
        <v>2</v>
      </c>
      <c r="F200" s="74">
        <f t="shared" si="77"/>
        <v>46068</v>
      </c>
      <c r="G200" s="67">
        <f t="shared" si="78"/>
        <v>24313</v>
      </c>
      <c r="H200" s="75">
        <f t="shared" si="79"/>
        <v>1</v>
      </c>
      <c r="I200" s="76">
        <f t="shared" si="80"/>
        <v>1</v>
      </c>
      <c r="J200" s="76">
        <f t="shared" si="81"/>
        <v>1</v>
      </c>
      <c r="K200" s="67">
        <f t="shared" si="82"/>
        <v>0</v>
      </c>
      <c r="L200" s="67">
        <f t="shared" si="83"/>
        <v>0</v>
      </c>
      <c r="M200" s="77">
        <f t="shared" si="84"/>
        <v>0</v>
      </c>
      <c r="N200" s="76">
        <f t="shared" si="85"/>
        <v>1</v>
      </c>
      <c r="O200" s="77">
        <f t="shared" si="86"/>
        <v>0.90002188183807441</v>
      </c>
      <c r="P200" s="76">
        <f t="shared" si="87"/>
        <v>1</v>
      </c>
      <c r="Q200" s="76">
        <f t="shared" si="88"/>
        <v>0</v>
      </c>
      <c r="R200" s="76">
        <f t="shared" si="89"/>
        <v>0</v>
      </c>
      <c r="S200" s="76">
        <f t="shared" si="90"/>
        <v>0.97828465417181998</v>
      </c>
      <c r="T200" s="76">
        <f t="shared" si="91"/>
        <v>0.97828465417181998</v>
      </c>
      <c r="U200" s="76">
        <f t="shared" si="92"/>
        <v>1</v>
      </c>
    </row>
    <row r="201" spans="1:21" x14ac:dyDescent="0.25">
      <c r="A201" s="71">
        <v>15</v>
      </c>
      <c r="B201" s="72">
        <f t="shared" si="93"/>
        <v>46082</v>
      </c>
      <c r="C201" s="73">
        <f t="shared" si="74"/>
        <v>46112</v>
      </c>
      <c r="D201" s="67">
        <f t="shared" si="75"/>
        <v>31</v>
      </c>
      <c r="E201" s="67">
        <f t="shared" si="76"/>
        <v>3</v>
      </c>
      <c r="F201" s="74">
        <f t="shared" si="77"/>
        <v>46097.5</v>
      </c>
      <c r="G201" s="67">
        <f t="shared" si="78"/>
        <v>24314</v>
      </c>
      <c r="H201" s="75">
        <f t="shared" si="79"/>
        <v>1</v>
      </c>
      <c r="I201" s="76">
        <f t="shared" si="80"/>
        <v>1</v>
      </c>
      <c r="J201" s="76">
        <f t="shared" si="81"/>
        <v>1</v>
      </c>
      <c r="K201" s="67">
        <f t="shared" si="82"/>
        <v>0</v>
      </c>
      <c r="L201" s="67">
        <f t="shared" si="83"/>
        <v>0</v>
      </c>
      <c r="M201" s="77">
        <f t="shared" si="84"/>
        <v>0</v>
      </c>
      <c r="N201" s="76">
        <f t="shared" si="85"/>
        <v>1</v>
      </c>
      <c r="O201" s="77">
        <f t="shared" si="86"/>
        <v>0.90131291028446392</v>
      </c>
      <c r="P201" s="76">
        <f t="shared" si="87"/>
        <v>1</v>
      </c>
      <c r="Q201" s="76">
        <f t="shared" si="88"/>
        <v>0</v>
      </c>
      <c r="R201" s="76">
        <f t="shared" si="89"/>
        <v>0</v>
      </c>
      <c r="S201" s="76">
        <f t="shared" si="90"/>
        <v>0.97968794596137376</v>
      </c>
      <c r="T201" s="76">
        <f t="shared" si="91"/>
        <v>0.97968794596137376</v>
      </c>
      <c r="U201" s="76">
        <f t="shared" si="92"/>
        <v>1</v>
      </c>
    </row>
    <row r="202" spans="1:21" x14ac:dyDescent="0.25">
      <c r="A202" s="71">
        <v>16</v>
      </c>
      <c r="B202" s="72">
        <f t="shared" si="93"/>
        <v>46113</v>
      </c>
      <c r="C202" s="73">
        <f t="shared" si="74"/>
        <v>46142</v>
      </c>
      <c r="D202" s="67">
        <f t="shared" si="75"/>
        <v>30</v>
      </c>
      <c r="E202" s="67">
        <f t="shared" si="76"/>
        <v>4</v>
      </c>
      <c r="F202" s="74">
        <f t="shared" si="77"/>
        <v>46128</v>
      </c>
      <c r="G202" s="67">
        <f t="shared" si="78"/>
        <v>24315</v>
      </c>
      <c r="H202" s="75">
        <f t="shared" si="79"/>
        <v>1</v>
      </c>
      <c r="I202" s="76">
        <f t="shared" si="80"/>
        <v>1</v>
      </c>
      <c r="J202" s="76">
        <f t="shared" si="81"/>
        <v>1</v>
      </c>
      <c r="K202" s="67">
        <f t="shared" si="82"/>
        <v>0</v>
      </c>
      <c r="L202" s="67">
        <f t="shared" si="83"/>
        <v>0</v>
      </c>
      <c r="M202" s="77">
        <f t="shared" si="84"/>
        <v>0</v>
      </c>
      <c r="N202" s="76">
        <f t="shared" si="85"/>
        <v>1</v>
      </c>
      <c r="O202" s="77">
        <f t="shared" si="86"/>
        <v>0.90264770240700221</v>
      </c>
      <c r="P202" s="76">
        <f t="shared" si="87"/>
        <v>1</v>
      </c>
      <c r="Q202" s="76">
        <f t="shared" si="88"/>
        <v>0</v>
      </c>
      <c r="R202" s="76">
        <f t="shared" si="89"/>
        <v>0</v>
      </c>
      <c r="S202" s="76">
        <f t="shared" si="90"/>
        <v>0.9811388069641328</v>
      </c>
      <c r="T202" s="76">
        <f t="shared" si="91"/>
        <v>0.9811388069641328</v>
      </c>
      <c r="U202" s="76">
        <f t="shared" si="92"/>
        <v>1</v>
      </c>
    </row>
    <row r="203" spans="1:21" x14ac:dyDescent="0.25">
      <c r="A203" s="71">
        <v>17</v>
      </c>
      <c r="B203" s="72">
        <f t="shared" si="93"/>
        <v>46143</v>
      </c>
      <c r="C203" s="73">
        <f t="shared" si="74"/>
        <v>46173</v>
      </c>
      <c r="D203" s="67">
        <f t="shared" si="75"/>
        <v>31</v>
      </c>
      <c r="E203" s="67">
        <f t="shared" si="76"/>
        <v>5</v>
      </c>
      <c r="F203" s="74">
        <f t="shared" si="77"/>
        <v>46158.5</v>
      </c>
      <c r="G203" s="67">
        <f t="shared" si="78"/>
        <v>24316</v>
      </c>
      <c r="H203" s="75">
        <f t="shared" si="79"/>
        <v>1</v>
      </c>
      <c r="I203" s="76">
        <f t="shared" si="80"/>
        <v>1</v>
      </c>
      <c r="J203" s="76">
        <f t="shared" si="81"/>
        <v>1</v>
      </c>
      <c r="K203" s="67">
        <f t="shared" si="82"/>
        <v>0</v>
      </c>
      <c r="L203" s="67">
        <f t="shared" si="83"/>
        <v>0</v>
      </c>
      <c r="M203" s="77">
        <f t="shared" si="84"/>
        <v>0</v>
      </c>
      <c r="N203" s="76">
        <f t="shared" si="85"/>
        <v>1</v>
      </c>
      <c r="O203" s="77">
        <f t="shared" si="86"/>
        <v>0.90398249452954049</v>
      </c>
      <c r="P203" s="76">
        <f t="shared" si="87"/>
        <v>1</v>
      </c>
      <c r="Q203" s="76">
        <f t="shared" si="88"/>
        <v>0</v>
      </c>
      <c r="R203" s="76">
        <f t="shared" si="89"/>
        <v>0</v>
      </c>
      <c r="S203" s="76">
        <f t="shared" si="90"/>
        <v>0.98258966796689184</v>
      </c>
      <c r="T203" s="76">
        <f t="shared" si="91"/>
        <v>0.98258966796689184</v>
      </c>
      <c r="U203" s="76">
        <f t="shared" si="92"/>
        <v>1</v>
      </c>
    </row>
    <row r="204" spans="1:21" x14ac:dyDescent="0.25">
      <c r="A204" s="71">
        <v>18</v>
      </c>
      <c r="B204" s="72">
        <f t="shared" si="93"/>
        <v>46174</v>
      </c>
      <c r="C204" s="73">
        <f t="shared" si="74"/>
        <v>46203</v>
      </c>
      <c r="D204" s="67">
        <f t="shared" si="75"/>
        <v>30</v>
      </c>
      <c r="E204" s="67">
        <f t="shared" si="76"/>
        <v>6</v>
      </c>
      <c r="F204" s="74">
        <f t="shared" si="77"/>
        <v>46189</v>
      </c>
      <c r="G204" s="67">
        <f t="shared" si="78"/>
        <v>24317</v>
      </c>
      <c r="H204" s="75">
        <f t="shared" si="79"/>
        <v>1</v>
      </c>
      <c r="I204" s="76">
        <f t="shared" si="80"/>
        <v>1</v>
      </c>
      <c r="J204" s="76">
        <f t="shared" si="81"/>
        <v>1</v>
      </c>
      <c r="K204" s="67">
        <f t="shared" si="82"/>
        <v>0</v>
      </c>
      <c r="L204" s="67">
        <f t="shared" si="83"/>
        <v>0</v>
      </c>
      <c r="M204" s="77">
        <f t="shared" si="84"/>
        <v>0</v>
      </c>
      <c r="N204" s="76">
        <f t="shared" si="85"/>
        <v>1</v>
      </c>
      <c r="O204" s="77">
        <f t="shared" si="86"/>
        <v>0.90531728665207878</v>
      </c>
      <c r="P204" s="76">
        <f t="shared" si="87"/>
        <v>1</v>
      </c>
      <c r="Q204" s="76">
        <f t="shared" si="88"/>
        <v>0</v>
      </c>
      <c r="R204" s="76">
        <f t="shared" si="89"/>
        <v>0</v>
      </c>
      <c r="S204" s="76">
        <f t="shared" si="90"/>
        <v>0.98404052896965077</v>
      </c>
      <c r="T204" s="76">
        <f t="shared" si="91"/>
        <v>0.98404052896965077</v>
      </c>
      <c r="U204" s="76">
        <f t="shared" si="92"/>
        <v>1</v>
      </c>
    </row>
    <row r="205" spans="1:21" x14ac:dyDescent="0.25">
      <c r="A205" s="71">
        <v>19</v>
      </c>
      <c r="B205" s="72">
        <f t="shared" si="93"/>
        <v>46204</v>
      </c>
      <c r="C205" s="73">
        <f t="shared" si="74"/>
        <v>46234</v>
      </c>
      <c r="D205" s="67">
        <f t="shared" si="75"/>
        <v>31</v>
      </c>
      <c r="E205" s="67">
        <f t="shared" si="76"/>
        <v>7</v>
      </c>
      <c r="F205" s="74">
        <f t="shared" si="77"/>
        <v>46219.5</v>
      </c>
      <c r="G205" s="67">
        <f t="shared" si="78"/>
        <v>24318</v>
      </c>
      <c r="H205" s="75">
        <f t="shared" si="79"/>
        <v>1</v>
      </c>
      <c r="I205" s="76">
        <f t="shared" si="80"/>
        <v>1</v>
      </c>
      <c r="J205" s="76">
        <f t="shared" si="81"/>
        <v>1</v>
      </c>
      <c r="K205" s="67">
        <f t="shared" si="82"/>
        <v>0</v>
      </c>
      <c r="L205" s="67">
        <f t="shared" si="83"/>
        <v>0</v>
      </c>
      <c r="M205" s="77">
        <f t="shared" si="84"/>
        <v>0</v>
      </c>
      <c r="N205" s="76">
        <f t="shared" si="85"/>
        <v>1</v>
      </c>
      <c r="O205" s="77">
        <f t="shared" si="86"/>
        <v>0.90665207877461707</v>
      </c>
      <c r="P205" s="76">
        <f t="shared" si="87"/>
        <v>0.91666666666666663</v>
      </c>
      <c r="Q205" s="76">
        <f t="shared" si="88"/>
        <v>8.333333333333337E-2</v>
      </c>
      <c r="R205" s="76">
        <f t="shared" si="89"/>
        <v>0</v>
      </c>
      <c r="S205" s="76">
        <f t="shared" si="90"/>
        <v>0.98549138997240981</v>
      </c>
      <c r="T205" s="76">
        <f t="shared" si="91"/>
        <v>0.98549138997240981</v>
      </c>
      <c r="U205" s="76">
        <f t="shared" si="92"/>
        <v>1</v>
      </c>
    </row>
    <row r="206" spans="1:21" x14ac:dyDescent="0.25">
      <c r="A206" s="71">
        <v>20</v>
      </c>
      <c r="B206" s="72">
        <f t="shared" si="93"/>
        <v>46235</v>
      </c>
      <c r="C206" s="73">
        <f t="shared" si="74"/>
        <v>46265</v>
      </c>
      <c r="D206" s="67">
        <f t="shared" si="75"/>
        <v>31</v>
      </c>
      <c r="E206" s="67">
        <f t="shared" si="76"/>
        <v>8</v>
      </c>
      <c r="F206" s="74">
        <f t="shared" si="77"/>
        <v>46250.5</v>
      </c>
      <c r="G206" s="67">
        <f t="shared" si="78"/>
        <v>24319</v>
      </c>
      <c r="H206" s="75">
        <f t="shared" si="79"/>
        <v>1</v>
      </c>
      <c r="I206" s="76">
        <f t="shared" si="80"/>
        <v>1</v>
      </c>
      <c r="J206" s="76">
        <f t="shared" si="81"/>
        <v>1</v>
      </c>
      <c r="K206" s="67">
        <f t="shared" si="82"/>
        <v>0</v>
      </c>
      <c r="L206" s="67">
        <f t="shared" si="83"/>
        <v>0</v>
      </c>
      <c r="M206" s="77">
        <f t="shared" si="84"/>
        <v>0</v>
      </c>
      <c r="N206" s="76">
        <f t="shared" si="85"/>
        <v>1</v>
      </c>
      <c r="O206" s="77">
        <f t="shared" si="86"/>
        <v>0.90800875273522974</v>
      </c>
      <c r="P206" s="76">
        <f t="shared" si="87"/>
        <v>0.75</v>
      </c>
      <c r="Q206" s="76">
        <f t="shared" si="88"/>
        <v>0.25</v>
      </c>
      <c r="R206" s="76">
        <f t="shared" si="89"/>
        <v>0</v>
      </c>
      <c r="S206" s="76">
        <f t="shared" si="90"/>
        <v>0.98696603558177143</v>
      </c>
      <c r="T206" s="76">
        <f t="shared" si="91"/>
        <v>0.98696603558177143</v>
      </c>
      <c r="U206" s="76">
        <f t="shared" si="92"/>
        <v>1</v>
      </c>
    </row>
    <row r="207" spans="1:21" x14ac:dyDescent="0.25">
      <c r="A207" s="71">
        <v>21</v>
      </c>
      <c r="B207" s="72">
        <f t="shared" si="93"/>
        <v>46266</v>
      </c>
      <c r="C207" s="73">
        <f t="shared" si="74"/>
        <v>46295</v>
      </c>
      <c r="D207" s="67">
        <f t="shared" si="75"/>
        <v>30</v>
      </c>
      <c r="E207" s="67">
        <f t="shared" si="76"/>
        <v>9</v>
      </c>
      <c r="F207" s="74">
        <f t="shared" si="77"/>
        <v>46281</v>
      </c>
      <c r="G207" s="67">
        <f t="shared" si="78"/>
        <v>24320</v>
      </c>
      <c r="H207" s="75">
        <f t="shared" si="79"/>
        <v>1</v>
      </c>
      <c r="I207" s="76">
        <f t="shared" si="80"/>
        <v>1</v>
      </c>
      <c r="J207" s="76">
        <f t="shared" si="81"/>
        <v>1</v>
      </c>
      <c r="K207" s="67">
        <f t="shared" si="82"/>
        <v>0</v>
      </c>
      <c r="L207" s="67">
        <f t="shared" si="83"/>
        <v>0</v>
      </c>
      <c r="M207" s="77">
        <f t="shared" si="84"/>
        <v>0</v>
      </c>
      <c r="N207" s="76">
        <f t="shared" si="85"/>
        <v>1</v>
      </c>
      <c r="O207" s="77">
        <f t="shared" si="86"/>
        <v>0.90934354485776803</v>
      </c>
      <c r="P207" s="76">
        <f t="shared" si="87"/>
        <v>0.58333333333333337</v>
      </c>
      <c r="Q207" s="76">
        <f t="shared" si="88"/>
        <v>0.41666666666666663</v>
      </c>
      <c r="R207" s="76">
        <f t="shared" si="89"/>
        <v>0</v>
      </c>
      <c r="S207" s="76">
        <f t="shared" si="90"/>
        <v>0.98841689658453047</v>
      </c>
      <c r="T207" s="76">
        <f t="shared" si="91"/>
        <v>0.98841689658453047</v>
      </c>
      <c r="U207" s="76">
        <f t="shared" si="92"/>
        <v>1</v>
      </c>
    </row>
    <row r="208" spans="1:21" x14ac:dyDescent="0.25">
      <c r="A208" s="71">
        <v>22</v>
      </c>
      <c r="B208" s="72">
        <f t="shared" si="93"/>
        <v>46296</v>
      </c>
      <c r="C208" s="73">
        <f t="shared" si="74"/>
        <v>46326</v>
      </c>
      <c r="D208" s="67">
        <f t="shared" si="75"/>
        <v>31</v>
      </c>
      <c r="E208" s="67">
        <f t="shared" si="76"/>
        <v>10</v>
      </c>
      <c r="F208" s="74">
        <f t="shared" si="77"/>
        <v>46311.5</v>
      </c>
      <c r="G208" s="67">
        <f t="shared" si="78"/>
        <v>24321</v>
      </c>
      <c r="H208" s="75">
        <f t="shared" si="79"/>
        <v>1</v>
      </c>
      <c r="I208" s="76">
        <f t="shared" si="80"/>
        <v>1</v>
      </c>
      <c r="J208" s="76">
        <f t="shared" si="81"/>
        <v>1</v>
      </c>
      <c r="K208" s="67">
        <f t="shared" si="82"/>
        <v>0</v>
      </c>
      <c r="L208" s="67">
        <f t="shared" si="83"/>
        <v>0</v>
      </c>
      <c r="M208" s="77">
        <f t="shared" si="84"/>
        <v>0</v>
      </c>
      <c r="N208" s="76">
        <f t="shared" si="85"/>
        <v>1</v>
      </c>
      <c r="O208" s="77">
        <f t="shared" si="86"/>
        <v>0.91067833698030642</v>
      </c>
      <c r="P208" s="76">
        <f t="shared" si="87"/>
        <v>0.41666666666666669</v>
      </c>
      <c r="Q208" s="76">
        <f t="shared" si="88"/>
        <v>0.58333333333333326</v>
      </c>
      <c r="R208" s="76">
        <f t="shared" si="89"/>
        <v>0</v>
      </c>
      <c r="S208" s="76">
        <f t="shared" si="90"/>
        <v>0.98986775758728951</v>
      </c>
      <c r="T208" s="76">
        <f t="shared" si="91"/>
        <v>0.98986775758728951</v>
      </c>
      <c r="U208" s="76">
        <f t="shared" si="92"/>
        <v>1</v>
      </c>
    </row>
    <row r="209" spans="1:21" x14ac:dyDescent="0.25">
      <c r="A209" s="71">
        <v>23</v>
      </c>
      <c r="B209" s="72">
        <f t="shared" si="93"/>
        <v>46327</v>
      </c>
      <c r="C209" s="73">
        <f t="shared" si="74"/>
        <v>46356</v>
      </c>
      <c r="D209" s="67">
        <f t="shared" si="75"/>
        <v>30</v>
      </c>
      <c r="E209" s="67">
        <f t="shared" si="76"/>
        <v>11</v>
      </c>
      <c r="F209" s="74">
        <f t="shared" si="77"/>
        <v>46342</v>
      </c>
      <c r="G209" s="67">
        <f t="shared" si="78"/>
        <v>24322</v>
      </c>
      <c r="H209" s="75">
        <f t="shared" si="79"/>
        <v>1</v>
      </c>
      <c r="I209" s="76">
        <f t="shared" si="80"/>
        <v>1</v>
      </c>
      <c r="J209" s="76">
        <f t="shared" si="81"/>
        <v>1</v>
      </c>
      <c r="K209" s="67">
        <f t="shared" si="82"/>
        <v>0</v>
      </c>
      <c r="L209" s="67">
        <f t="shared" si="83"/>
        <v>0</v>
      </c>
      <c r="M209" s="77">
        <f t="shared" si="84"/>
        <v>0</v>
      </c>
      <c r="N209" s="76">
        <f t="shared" si="85"/>
        <v>1</v>
      </c>
      <c r="O209" s="77">
        <f t="shared" si="86"/>
        <v>0.91201312910284471</v>
      </c>
      <c r="P209" s="76">
        <f t="shared" si="87"/>
        <v>0.25</v>
      </c>
      <c r="Q209" s="76">
        <f t="shared" si="88"/>
        <v>0.75</v>
      </c>
      <c r="R209" s="76">
        <f t="shared" si="89"/>
        <v>0</v>
      </c>
      <c r="S209" s="76">
        <f t="shared" si="90"/>
        <v>0.99131861859004855</v>
      </c>
      <c r="T209" s="76">
        <f t="shared" si="91"/>
        <v>0.99131861859004855</v>
      </c>
      <c r="U209" s="76">
        <f t="shared" si="92"/>
        <v>1</v>
      </c>
    </row>
    <row r="210" spans="1:21" x14ac:dyDescent="0.25">
      <c r="A210" s="71">
        <v>24</v>
      </c>
      <c r="B210" s="72">
        <f t="shared" si="93"/>
        <v>46357</v>
      </c>
      <c r="C210" s="73">
        <f t="shared" si="74"/>
        <v>46387</v>
      </c>
      <c r="D210" s="67">
        <f t="shared" si="75"/>
        <v>31</v>
      </c>
      <c r="E210" s="67">
        <f t="shared" si="76"/>
        <v>12</v>
      </c>
      <c r="F210" s="74">
        <f t="shared" si="77"/>
        <v>46372.5</v>
      </c>
      <c r="G210" s="67">
        <f t="shared" si="78"/>
        <v>24323</v>
      </c>
      <c r="H210" s="75">
        <f t="shared" si="79"/>
        <v>1</v>
      </c>
      <c r="I210" s="76">
        <f t="shared" si="80"/>
        <v>1</v>
      </c>
      <c r="J210" s="76">
        <f t="shared" si="81"/>
        <v>1</v>
      </c>
      <c r="K210" s="67">
        <f t="shared" si="82"/>
        <v>0</v>
      </c>
      <c r="L210" s="67">
        <f t="shared" si="83"/>
        <v>0</v>
      </c>
      <c r="M210" s="77">
        <f t="shared" si="84"/>
        <v>0</v>
      </c>
      <c r="N210" s="76">
        <f t="shared" si="85"/>
        <v>1</v>
      </c>
      <c r="O210" s="77">
        <f t="shared" si="86"/>
        <v>0.913347921225383</v>
      </c>
      <c r="P210" s="76">
        <f t="shared" si="87"/>
        <v>8.3333333333333329E-2</v>
      </c>
      <c r="Q210" s="76">
        <f t="shared" si="88"/>
        <v>0.91666666666666663</v>
      </c>
      <c r="R210" s="76">
        <f t="shared" si="89"/>
        <v>0</v>
      </c>
      <c r="S210" s="76">
        <f t="shared" si="90"/>
        <v>0.99276947959280759</v>
      </c>
      <c r="T210" s="76">
        <f t="shared" si="91"/>
        <v>0.99276947959280759</v>
      </c>
      <c r="U210" s="76">
        <f t="shared" si="92"/>
        <v>1</v>
      </c>
    </row>
    <row r="211" spans="1:21" x14ac:dyDescent="0.25">
      <c r="A211" s="71">
        <v>25</v>
      </c>
      <c r="B211" s="72">
        <f t="shared" si="93"/>
        <v>46388</v>
      </c>
      <c r="C211" s="73">
        <f t="shared" si="74"/>
        <v>46418</v>
      </c>
      <c r="D211" s="67">
        <f t="shared" si="75"/>
        <v>31</v>
      </c>
      <c r="E211" s="67">
        <f t="shared" si="76"/>
        <v>1</v>
      </c>
      <c r="F211" s="74">
        <f t="shared" si="77"/>
        <v>46403.5</v>
      </c>
      <c r="G211" s="67">
        <f t="shared" si="78"/>
        <v>24324</v>
      </c>
      <c r="H211" s="75">
        <f t="shared" si="79"/>
        <v>1</v>
      </c>
      <c r="I211" s="76">
        <f t="shared" si="80"/>
        <v>1</v>
      </c>
      <c r="J211" s="76">
        <f t="shared" si="81"/>
        <v>1</v>
      </c>
      <c r="K211" s="67">
        <f t="shared" si="82"/>
        <v>0</v>
      </c>
      <c r="L211" s="67">
        <f t="shared" si="83"/>
        <v>0</v>
      </c>
      <c r="M211" s="77">
        <f t="shared" si="84"/>
        <v>0</v>
      </c>
      <c r="N211" s="76">
        <f t="shared" si="85"/>
        <v>1</v>
      </c>
      <c r="O211" s="77">
        <f t="shared" si="86"/>
        <v>0.91470459518599567</v>
      </c>
      <c r="P211" s="76">
        <f t="shared" si="87"/>
        <v>0</v>
      </c>
      <c r="Q211" s="76">
        <f t="shared" si="88"/>
        <v>1</v>
      </c>
      <c r="R211" s="76">
        <f t="shared" si="89"/>
        <v>0</v>
      </c>
      <c r="S211" s="76">
        <f t="shared" si="90"/>
        <v>0.9942441252021692</v>
      </c>
      <c r="T211" s="76">
        <f t="shared" si="91"/>
        <v>0.97688136238226619</v>
      </c>
      <c r="U211" s="76">
        <f t="shared" si="92"/>
        <v>1</v>
      </c>
    </row>
    <row r="212" spans="1:21" x14ac:dyDescent="0.25">
      <c r="A212" s="71">
        <v>26</v>
      </c>
      <c r="B212" s="72">
        <f t="shared" si="93"/>
        <v>46419</v>
      </c>
      <c r="C212" s="73">
        <f t="shared" si="74"/>
        <v>46446</v>
      </c>
      <c r="D212" s="67">
        <f t="shared" si="75"/>
        <v>28</v>
      </c>
      <c r="E212" s="67">
        <f t="shared" si="76"/>
        <v>2</v>
      </c>
      <c r="F212" s="74">
        <f t="shared" si="77"/>
        <v>46433</v>
      </c>
      <c r="G212" s="67">
        <f t="shared" si="78"/>
        <v>24325</v>
      </c>
      <c r="H212" s="75">
        <f t="shared" si="79"/>
        <v>1</v>
      </c>
      <c r="I212" s="76">
        <f t="shared" si="80"/>
        <v>1</v>
      </c>
      <c r="J212" s="76">
        <f t="shared" si="81"/>
        <v>1</v>
      </c>
      <c r="K212" s="67">
        <f t="shared" si="82"/>
        <v>0</v>
      </c>
      <c r="L212" s="67">
        <f t="shared" si="83"/>
        <v>0</v>
      </c>
      <c r="M212" s="77">
        <f t="shared" si="84"/>
        <v>0</v>
      </c>
      <c r="N212" s="76">
        <f t="shared" si="85"/>
        <v>1</v>
      </c>
      <c r="O212" s="77">
        <f t="shared" si="86"/>
        <v>0.91599562363238518</v>
      </c>
      <c r="P212" s="76">
        <f t="shared" si="87"/>
        <v>0</v>
      </c>
      <c r="Q212" s="76">
        <f t="shared" si="88"/>
        <v>1</v>
      </c>
      <c r="R212" s="76">
        <f t="shared" si="89"/>
        <v>0</v>
      </c>
      <c r="S212" s="76">
        <f t="shared" si="90"/>
        <v>0.99564741699172299</v>
      </c>
      <c r="T212" s="76">
        <f t="shared" si="91"/>
        <v>0.97828465417181998</v>
      </c>
      <c r="U212" s="76">
        <f t="shared" si="92"/>
        <v>1</v>
      </c>
    </row>
    <row r="213" spans="1:21" x14ac:dyDescent="0.25">
      <c r="A213" s="71">
        <v>27</v>
      </c>
      <c r="B213" s="72">
        <f t="shared" si="93"/>
        <v>46447</v>
      </c>
      <c r="C213" s="73">
        <f t="shared" si="74"/>
        <v>46477</v>
      </c>
      <c r="D213" s="67">
        <f t="shared" si="75"/>
        <v>31</v>
      </c>
      <c r="E213" s="67">
        <f t="shared" si="76"/>
        <v>3</v>
      </c>
      <c r="F213" s="74">
        <f t="shared" si="77"/>
        <v>46462.5</v>
      </c>
      <c r="G213" s="67">
        <f t="shared" si="78"/>
        <v>24326</v>
      </c>
      <c r="H213" s="75">
        <f t="shared" si="79"/>
        <v>1</v>
      </c>
      <c r="I213" s="76">
        <f t="shared" si="80"/>
        <v>1</v>
      </c>
      <c r="J213" s="76">
        <f t="shared" si="81"/>
        <v>1</v>
      </c>
      <c r="K213" s="67">
        <f t="shared" si="82"/>
        <v>0</v>
      </c>
      <c r="L213" s="67">
        <f t="shared" si="83"/>
        <v>0</v>
      </c>
      <c r="M213" s="77">
        <f t="shared" si="84"/>
        <v>0</v>
      </c>
      <c r="N213" s="76">
        <f t="shared" si="85"/>
        <v>1</v>
      </c>
      <c r="O213" s="77">
        <f t="shared" si="86"/>
        <v>0.91728665207877469</v>
      </c>
      <c r="P213" s="76">
        <f t="shared" si="87"/>
        <v>0</v>
      </c>
      <c r="Q213" s="76">
        <f t="shared" si="88"/>
        <v>1</v>
      </c>
      <c r="R213" s="76">
        <f t="shared" si="89"/>
        <v>0</v>
      </c>
      <c r="S213" s="76">
        <f t="shared" si="90"/>
        <v>0.99705070878127677</v>
      </c>
      <c r="T213" s="76">
        <f t="shared" si="91"/>
        <v>0.97968794596137376</v>
      </c>
      <c r="U213" s="76">
        <f t="shared" si="92"/>
        <v>1</v>
      </c>
    </row>
    <row r="214" spans="1:21" x14ac:dyDescent="0.25">
      <c r="A214" s="71">
        <v>28</v>
      </c>
      <c r="B214" s="72">
        <f t="shared" si="93"/>
        <v>46478</v>
      </c>
      <c r="C214" s="73">
        <f t="shared" si="74"/>
        <v>46507</v>
      </c>
      <c r="D214" s="67">
        <f t="shared" si="75"/>
        <v>30</v>
      </c>
      <c r="E214" s="67">
        <f t="shared" si="76"/>
        <v>4</v>
      </c>
      <c r="F214" s="74">
        <f t="shared" si="77"/>
        <v>46493</v>
      </c>
      <c r="G214" s="67">
        <f t="shared" si="78"/>
        <v>24327</v>
      </c>
      <c r="H214" s="75">
        <f t="shared" si="79"/>
        <v>1</v>
      </c>
      <c r="I214" s="76">
        <f t="shared" si="80"/>
        <v>1</v>
      </c>
      <c r="J214" s="76">
        <f t="shared" si="81"/>
        <v>1</v>
      </c>
      <c r="K214" s="67">
        <f t="shared" si="82"/>
        <v>0</v>
      </c>
      <c r="L214" s="67">
        <f t="shared" si="83"/>
        <v>0</v>
      </c>
      <c r="M214" s="77">
        <f t="shared" si="84"/>
        <v>0</v>
      </c>
      <c r="N214" s="76">
        <f t="shared" si="85"/>
        <v>1</v>
      </c>
      <c r="O214" s="77">
        <f t="shared" si="86"/>
        <v>0.91862144420131298</v>
      </c>
      <c r="P214" s="76">
        <f t="shared" si="87"/>
        <v>0</v>
      </c>
      <c r="Q214" s="76">
        <f t="shared" si="88"/>
        <v>1</v>
      </c>
      <c r="R214" s="76">
        <f t="shared" si="89"/>
        <v>0</v>
      </c>
      <c r="S214" s="76">
        <f t="shared" si="90"/>
        <v>0.99850156978403581</v>
      </c>
      <c r="T214" s="76">
        <f t="shared" si="91"/>
        <v>0.9811388069641328</v>
      </c>
      <c r="U214" s="76">
        <f t="shared" si="92"/>
        <v>1</v>
      </c>
    </row>
    <row r="215" spans="1:21" x14ac:dyDescent="0.25">
      <c r="A215" s="71">
        <v>29</v>
      </c>
      <c r="B215" s="72">
        <f t="shared" si="93"/>
        <v>46508</v>
      </c>
      <c r="C215" s="73">
        <f t="shared" si="74"/>
        <v>46538</v>
      </c>
      <c r="D215" s="67">
        <f t="shared" si="75"/>
        <v>31</v>
      </c>
      <c r="E215" s="67">
        <f t="shared" si="76"/>
        <v>5</v>
      </c>
      <c r="F215" s="74">
        <f t="shared" si="77"/>
        <v>46523.5</v>
      </c>
      <c r="G215" s="67">
        <f t="shared" si="78"/>
        <v>24328</v>
      </c>
      <c r="H215" s="75">
        <f t="shared" si="79"/>
        <v>1</v>
      </c>
      <c r="I215" s="76">
        <f t="shared" si="80"/>
        <v>1</v>
      </c>
      <c r="J215" s="76">
        <f t="shared" si="81"/>
        <v>1</v>
      </c>
      <c r="K215" s="67">
        <f t="shared" si="82"/>
        <v>0</v>
      </c>
      <c r="L215" s="67">
        <f t="shared" si="83"/>
        <v>0</v>
      </c>
      <c r="M215" s="77">
        <f t="shared" si="84"/>
        <v>0</v>
      </c>
      <c r="N215" s="76">
        <f t="shared" si="85"/>
        <v>1</v>
      </c>
      <c r="O215" s="77">
        <f t="shared" si="86"/>
        <v>0.91995623632385126</v>
      </c>
      <c r="P215" s="76">
        <f t="shared" si="87"/>
        <v>0</v>
      </c>
      <c r="Q215" s="76">
        <f t="shared" si="88"/>
        <v>1</v>
      </c>
      <c r="R215" s="76">
        <f t="shared" si="89"/>
        <v>0</v>
      </c>
      <c r="S215" s="76">
        <f t="shared" si="90"/>
        <v>0.99995243078679485</v>
      </c>
      <c r="T215" s="76">
        <f t="shared" si="91"/>
        <v>0.98258966796689184</v>
      </c>
      <c r="U215" s="76">
        <f t="shared" si="92"/>
        <v>1</v>
      </c>
    </row>
    <row r="216" spans="1:21" x14ac:dyDescent="0.25">
      <c r="A216" s="71">
        <v>30</v>
      </c>
      <c r="B216" s="72">
        <f t="shared" si="93"/>
        <v>46539</v>
      </c>
      <c r="C216" s="73">
        <f t="shared" si="74"/>
        <v>46568</v>
      </c>
      <c r="D216" s="67">
        <f t="shared" si="75"/>
        <v>30</v>
      </c>
      <c r="E216" s="67">
        <f t="shared" si="76"/>
        <v>6</v>
      </c>
      <c r="F216" s="74">
        <f t="shared" si="77"/>
        <v>46554</v>
      </c>
      <c r="G216" s="67">
        <f t="shared" si="78"/>
        <v>24329</v>
      </c>
      <c r="H216" s="75">
        <f t="shared" si="79"/>
        <v>1</v>
      </c>
      <c r="I216" s="76">
        <f t="shared" si="80"/>
        <v>1</v>
      </c>
      <c r="J216" s="76">
        <f t="shared" si="81"/>
        <v>1</v>
      </c>
      <c r="K216" s="67">
        <f t="shared" si="82"/>
        <v>0</v>
      </c>
      <c r="L216" s="67">
        <f t="shared" si="83"/>
        <v>0</v>
      </c>
      <c r="M216" s="77">
        <f t="shared" si="84"/>
        <v>0</v>
      </c>
      <c r="N216" s="76">
        <f t="shared" si="85"/>
        <v>1</v>
      </c>
      <c r="O216" s="77">
        <f t="shared" si="86"/>
        <v>0.92129102844638955</v>
      </c>
      <c r="P216" s="76">
        <f t="shared" si="87"/>
        <v>0</v>
      </c>
      <c r="Q216" s="76">
        <f t="shared" si="88"/>
        <v>1</v>
      </c>
      <c r="R216" s="76">
        <f t="shared" si="89"/>
        <v>0</v>
      </c>
      <c r="S216" s="76">
        <f t="shared" si="90"/>
        <v>1.0014032917895539</v>
      </c>
      <c r="T216" s="76">
        <f t="shared" si="91"/>
        <v>0.98404052896965077</v>
      </c>
      <c r="U216" s="76">
        <f t="shared" si="92"/>
        <v>1</v>
      </c>
    </row>
    <row r="217" spans="1:21" x14ac:dyDescent="0.25">
      <c r="A217" s="71">
        <v>31</v>
      </c>
      <c r="B217" s="72">
        <f t="shared" si="93"/>
        <v>46569</v>
      </c>
      <c r="C217" s="73">
        <f t="shared" si="74"/>
        <v>46599</v>
      </c>
      <c r="D217" s="67">
        <f t="shared" si="75"/>
        <v>31</v>
      </c>
      <c r="E217" s="67">
        <f t="shared" si="76"/>
        <v>7</v>
      </c>
      <c r="F217" s="74">
        <f t="shared" si="77"/>
        <v>46584.5</v>
      </c>
      <c r="G217" s="67">
        <f t="shared" si="78"/>
        <v>24330</v>
      </c>
      <c r="H217" s="75">
        <f t="shared" si="79"/>
        <v>1</v>
      </c>
      <c r="I217" s="76">
        <f t="shared" si="80"/>
        <v>1</v>
      </c>
      <c r="J217" s="76">
        <f t="shared" si="81"/>
        <v>1</v>
      </c>
      <c r="K217" s="67">
        <f t="shared" si="82"/>
        <v>0</v>
      </c>
      <c r="L217" s="67">
        <f t="shared" si="83"/>
        <v>0</v>
      </c>
      <c r="M217" s="77">
        <f t="shared" si="84"/>
        <v>0</v>
      </c>
      <c r="N217" s="76">
        <f t="shared" si="85"/>
        <v>1</v>
      </c>
      <c r="O217" s="77">
        <f t="shared" si="86"/>
        <v>0.92262582056892783</v>
      </c>
      <c r="P217" s="76">
        <f t="shared" si="87"/>
        <v>0</v>
      </c>
      <c r="Q217" s="76">
        <f t="shared" si="88"/>
        <v>0.91666666666666663</v>
      </c>
      <c r="R217" s="76">
        <f t="shared" si="89"/>
        <v>8.333333333333337E-2</v>
      </c>
      <c r="S217" s="76">
        <f t="shared" si="90"/>
        <v>1.0028541527923127</v>
      </c>
      <c r="T217" s="76">
        <f t="shared" si="91"/>
        <v>0.98549138997240981</v>
      </c>
      <c r="U217" s="76">
        <f t="shared" si="92"/>
        <v>1</v>
      </c>
    </row>
    <row r="218" spans="1:21" x14ac:dyDescent="0.25">
      <c r="A218" s="71">
        <v>32</v>
      </c>
      <c r="B218" s="72">
        <f t="shared" si="93"/>
        <v>46600</v>
      </c>
      <c r="C218" s="73">
        <f t="shared" si="74"/>
        <v>46630</v>
      </c>
      <c r="D218" s="67">
        <f t="shared" si="75"/>
        <v>31</v>
      </c>
      <c r="E218" s="67">
        <f t="shared" si="76"/>
        <v>8</v>
      </c>
      <c r="F218" s="74">
        <f t="shared" si="77"/>
        <v>46615.5</v>
      </c>
      <c r="G218" s="67">
        <f t="shared" si="78"/>
        <v>24331</v>
      </c>
      <c r="H218" s="75">
        <f t="shared" si="79"/>
        <v>1</v>
      </c>
      <c r="I218" s="76">
        <f t="shared" si="80"/>
        <v>1</v>
      </c>
      <c r="J218" s="76">
        <f t="shared" si="81"/>
        <v>1</v>
      </c>
      <c r="K218" s="67">
        <f t="shared" si="82"/>
        <v>0</v>
      </c>
      <c r="L218" s="67">
        <f t="shared" si="83"/>
        <v>0</v>
      </c>
      <c r="M218" s="77">
        <f t="shared" si="84"/>
        <v>0</v>
      </c>
      <c r="N218" s="76">
        <f t="shared" si="85"/>
        <v>1</v>
      </c>
      <c r="O218" s="77">
        <f t="shared" si="86"/>
        <v>0.92398249452954051</v>
      </c>
      <c r="P218" s="76">
        <f t="shared" si="87"/>
        <v>0</v>
      </c>
      <c r="Q218" s="76">
        <f t="shared" si="88"/>
        <v>0.75</v>
      </c>
      <c r="R218" s="76">
        <f t="shared" si="89"/>
        <v>0.25</v>
      </c>
      <c r="S218" s="76">
        <f t="shared" si="90"/>
        <v>1.0043287984016744</v>
      </c>
      <c r="T218" s="76">
        <f t="shared" si="91"/>
        <v>0.98696603558177143</v>
      </c>
      <c r="U218" s="76">
        <f t="shared" si="92"/>
        <v>1</v>
      </c>
    </row>
    <row r="219" spans="1:21" x14ac:dyDescent="0.25">
      <c r="A219" s="71">
        <v>33</v>
      </c>
      <c r="B219" s="72">
        <f t="shared" si="93"/>
        <v>46631</v>
      </c>
      <c r="C219" s="73">
        <f t="shared" si="74"/>
        <v>46660</v>
      </c>
      <c r="D219" s="67">
        <f t="shared" si="75"/>
        <v>30</v>
      </c>
      <c r="E219" s="67">
        <f t="shared" si="76"/>
        <v>9</v>
      </c>
      <c r="F219" s="74">
        <f t="shared" si="77"/>
        <v>46646</v>
      </c>
      <c r="G219" s="67">
        <f t="shared" si="78"/>
        <v>24332</v>
      </c>
      <c r="H219" s="75">
        <f t="shared" si="79"/>
        <v>1</v>
      </c>
      <c r="I219" s="76">
        <f t="shared" si="80"/>
        <v>1</v>
      </c>
      <c r="J219" s="76">
        <f t="shared" si="81"/>
        <v>1</v>
      </c>
      <c r="K219" s="67">
        <f t="shared" si="82"/>
        <v>0</v>
      </c>
      <c r="L219" s="67">
        <f t="shared" si="83"/>
        <v>0</v>
      </c>
      <c r="M219" s="77">
        <f t="shared" si="84"/>
        <v>0</v>
      </c>
      <c r="N219" s="76">
        <f t="shared" si="85"/>
        <v>1</v>
      </c>
      <c r="O219" s="77">
        <f t="shared" si="86"/>
        <v>0.9253172866520788</v>
      </c>
      <c r="P219" s="76">
        <f t="shared" si="87"/>
        <v>0</v>
      </c>
      <c r="Q219" s="76">
        <f t="shared" si="88"/>
        <v>0.58333333333333337</v>
      </c>
      <c r="R219" s="76">
        <f t="shared" si="89"/>
        <v>0.41666666666666663</v>
      </c>
      <c r="S219" s="76">
        <f t="shared" si="90"/>
        <v>1.0057796594044335</v>
      </c>
      <c r="T219" s="76">
        <f t="shared" si="91"/>
        <v>0.98841689658453047</v>
      </c>
      <c r="U219" s="76">
        <f t="shared" si="92"/>
        <v>1</v>
      </c>
    </row>
    <row r="220" spans="1:21" x14ac:dyDescent="0.25">
      <c r="A220" s="71">
        <v>34</v>
      </c>
      <c r="B220" s="72">
        <f t="shared" si="93"/>
        <v>46661</v>
      </c>
      <c r="C220" s="73">
        <f t="shared" si="74"/>
        <v>46691</v>
      </c>
      <c r="D220" s="67">
        <f t="shared" si="75"/>
        <v>31</v>
      </c>
      <c r="E220" s="67">
        <f t="shared" si="76"/>
        <v>10</v>
      </c>
      <c r="F220" s="74">
        <f t="shared" si="77"/>
        <v>46676.5</v>
      </c>
      <c r="G220" s="67">
        <f t="shared" si="78"/>
        <v>24333</v>
      </c>
      <c r="H220" s="75">
        <f t="shared" si="79"/>
        <v>1</v>
      </c>
      <c r="I220" s="76">
        <f t="shared" si="80"/>
        <v>1</v>
      </c>
      <c r="J220" s="76">
        <f t="shared" si="81"/>
        <v>1</v>
      </c>
      <c r="K220" s="67">
        <f t="shared" si="82"/>
        <v>0</v>
      </c>
      <c r="L220" s="67">
        <f t="shared" si="83"/>
        <v>0</v>
      </c>
      <c r="M220" s="77">
        <f t="shared" si="84"/>
        <v>0</v>
      </c>
      <c r="N220" s="76">
        <f t="shared" si="85"/>
        <v>1</v>
      </c>
      <c r="O220" s="77">
        <f t="shared" si="86"/>
        <v>0.92665207877461708</v>
      </c>
      <c r="P220" s="76">
        <f t="shared" si="87"/>
        <v>0</v>
      </c>
      <c r="Q220" s="76">
        <f t="shared" si="88"/>
        <v>0.41666666666666669</v>
      </c>
      <c r="R220" s="76">
        <f t="shared" si="89"/>
        <v>0.58333333333333326</v>
      </c>
      <c r="S220" s="76">
        <f t="shared" si="90"/>
        <v>1.0072305204071925</v>
      </c>
      <c r="T220" s="76">
        <f t="shared" si="91"/>
        <v>0.98986775758728951</v>
      </c>
      <c r="U220" s="76">
        <f t="shared" si="92"/>
        <v>1</v>
      </c>
    </row>
    <row r="221" spans="1:21" x14ac:dyDescent="0.25">
      <c r="A221" s="71">
        <v>35</v>
      </c>
      <c r="B221" s="72">
        <f t="shared" si="93"/>
        <v>46692</v>
      </c>
      <c r="C221" s="73">
        <f t="shared" si="74"/>
        <v>46721</v>
      </c>
      <c r="D221" s="67">
        <f t="shared" si="75"/>
        <v>30</v>
      </c>
      <c r="E221" s="67">
        <f t="shared" si="76"/>
        <v>11</v>
      </c>
      <c r="F221" s="74">
        <f t="shared" si="77"/>
        <v>46707</v>
      </c>
      <c r="G221" s="67">
        <f t="shared" si="78"/>
        <v>24334</v>
      </c>
      <c r="H221" s="75">
        <f t="shared" si="79"/>
        <v>1</v>
      </c>
      <c r="I221" s="76">
        <f t="shared" si="80"/>
        <v>1</v>
      </c>
      <c r="J221" s="76">
        <f t="shared" si="81"/>
        <v>1</v>
      </c>
      <c r="K221" s="67">
        <f t="shared" si="82"/>
        <v>0</v>
      </c>
      <c r="L221" s="67">
        <f t="shared" si="83"/>
        <v>0</v>
      </c>
      <c r="M221" s="77">
        <f t="shared" si="84"/>
        <v>0</v>
      </c>
      <c r="N221" s="76">
        <f t="shared" si="85"/>
        <v>1</v>
      </c>
      <c r="O221" s="77">
        <f t="shared" si="86"/>
        <v>0.92798687089715537</v>
      </c>
      <c r="P221" s="76">
        <f t="shared" si="87"/>
        <v>0</v>
      </c>
      <c r="Q221" s="76">
        <f t="shared" si="88"/>
        <v>0.25</v>
      </c>
      <c r="R221" s="76">
        <f t="shared" si="89"/>
        <v>0.75</v>
      </c>
      <c r="S221" s="76">
        <f t="shared" si="90"/>
        <v>1.0086813814099513</v>
      </c>
      <c r="T221" s="76">
        <f t="shared" si="91"/>
        <v>0.99131861859004855</v>
      </c>
      <c r="U221" s="76">
        <f t="shared" si="92"/>
        <v>1</v>
      </c>
    </row>
    <row r="222" spans="1:21" x14ac:dyDescent="0.25">
      <c r="A222" s="71">
        <v>36</v>
      </c>
      <c r="B222" s="72">
        <f t="shared" si="93"/>
        <v>46722</v>
      </c>
      <c r="C222" s="73">
        <f t="shared" si="74"/>
        <v>46752</v>
      </c>
      <c r="D222" s="67">
        <f t="shared" si="75"/>
        <v>31</v>
      </c>
      <c r="E222" s="67">
        <f t="shared" si="76"/>
        <v>12</v>
      </c>
      <c r="F222" s="74">
        <f t="shared" si="77"/>
        <v>46737.5</v>
      </c>
      <c r="G222" s="67">
        <f t="shared" si="78"/>
        <v>24335</v>
      </c>
      <c r="H222" s="75">
        <f t="shared" si="79"/>
        <v>1</v>
      </c>
      <c r="I222" s="76">
        <f t="shared" si="80"/>
        <v>1</v>
      </c>
      <c r="J222" s="76">
        <f t="shared" si="81"/>
        <v>1</v>
      </c>
      <c r="K222" s="67">
        <f t="shared" si="82"/>
        <v>0</v>
      </c>
      <c r="L222" s="67">
        <f t="shared" si="83"/>
        <v>0</v>
      </c>
      <c r="M222" s="77">
        <f t="shared" si="84"/>
        <v>0</v>
      </c>
      <c r="N222" s="76">
        <f t="shared" si="85"/>
        <v>1</v>
      </c>
      <c r="O222" s="77">
        <f t="shared" si="86"/>
        <v>0.92932166301969366</v>
      </c>
      <c r="P222" s="76">
        <f t="shared" si="87"/>
        <v>0</v>
      </c>
      <c r="Q222" s="76">
        <f t="shared" si="88"/>
        <v>8.3333333333333329E-2</v>
      </c>
      <c r="R222" s="76">
        <f t="shared" si="89"/>
        <v>0.91666666666666663</v>
      </c>
      <c r="S222" s="76">
        <f t="shared" si="90"/>
        <v>1.0101322424127104</v>
      </c>
      <c r="T222" s="76">
        <f t="shared" si="91"/>
        <v>0.99276947959280759</v>
      </c>
      <c r="U222" s="76">
        <f t="shared" si="92"/>
        <v>1</v>
      </c>
    </row>
    <row r="223" spans="1:21" x14ac:dyDescent="0.25">
      <c r="A223" s="71">
        <v>37</v>
      </c>
      <c r="B223" s="72">
        <f t="shared" si="93"/>
        <v>46753</v>
      </c>
      <c r="C223" s="73">
        <f t="shared" si="74"/>
        <v>46783</v>
      </c>
      <c r="D223" s="67">
        <f t="shared" si="75"/>
        <v>31</v>
      </c>
      <c r="E223" s="67">
        <f t="shared" si="76"/>
        <v>1</v>
      </c>
      <c r="F223" s="74">
        <f t="shared" si="77"/>
        <v>46768.5</v>
      </c>
      <c r="G223" s="67">
        <f t="shared" si="78"/>
        <v>24336</v>
      </c>
      <c r="H223" s="75">
        <f t="shared" si="79"/>
        <v>1</v>
      </c>
      <c r="I223" s="76">
        <f t="shared" si="80"/>
        <v>1</v>
      </c>
      <c r="J223" s="76">
        <f t="shared" si="81"/>
        <v>1</v>
      </c>
      <c r="K223" s="67">
        <f t="shared" si="82"/>
        <v>0</v>
      </c>
      <c r="L223" s="67">
        <f t="shared" si="83"/>
        <v>0</v>
      </c>
      <c r="M223" s="77">
        <f t="shared" si="84"/>
        <v>0</v>
      </c>
      <c r="N223" s="76">
        <f t="shared" si="85"/>
        <v>1</v>
      </c>
      <c r="O223" s="77">
        <f t="shared" si="86"/>
        <v>0.93</v>
      </c>
      <c r="P223" s="76">
        <f t="shared" si="87"/>
        <v>0</v>
      </c>
      <c r="Q223" s="76">
        <f t="shared" si="88"/>
        <v>0</v>
      </c>
      <c r="R223" s="76">
        <f t="shared" si="89"/>
        <v>1</v>
      </c>
      <c r="S223" s="76">
        <f t="shared" si="90"/>
        <v>1.0108695652173914</v>
      </c>
      <c r="T223" s="76">
        <f t="shared" si="91"/>
        <v>0.97688136238226619</v>
      </c>
      <c r="U223" s="76">
        <f t="shared" si="92"/>
        <v>1</v>
      </c>
    </row>
    <row r="224" spans="1:21" x14ac:dyDescent="0.25">
      <c r="A224" s="71">
        <v>38</v>
      </c>
      <c r="B224" s="72">
        <f t="shared" si="93"/>
        <v>46784</v>
      </c>
      <c r="C224" s="73">
        <f t="shared" si="74"/>
        <v>46812</v>
      </c>
      <c r="D224" s="67">
        <f t="shared" si="75"/>
        <v>29</v>
      </c>
      <c r="E224" s="67">
        <f t="shared" si="76"/>
        <v>2</v>
      </c>
      <c r="F224" s="74">
        <f t="shared" si="77"/>
        <v>46798.5</v>
      </c>
      <c r="G224" s="67">
        <f t="shared" si="78"/>
        <v>24337</v>
      </c>
      <c r="H224" s="75">
        <f t="shared" si="79"/>
        <v>1</v>
      </c>
      <c r="I224" s="76">
        <f t="shared" si="80"/>
        <v>1</v>
      </c>
      <c r="J224" s="76">
        <f t="shared" si="81"/>
        <v>1</v>
      </c>
      <c r="K224" s="67">
        <f t="shared" si="82"/>
        <v>0</v>
      </c>
      <c r="L224" s="67">
        <f t="shared" si="83"/>
        <v>0</v>
      </c>
      <c r="M224" s="77">
        <f t="shared" si="84"/>
        <v>0</v>
      </c>
      <c r="N224" s="76">
        <f t="shared" si="85"/>
        <v>1</v>
      </c>
      <c r="O224" s="77">
        <f t="shared" si="86"/>
        <v>0.93</v>
      </c>
      <c r="P224" s="76">
        <f t="shared" si="87"/>
        <v>0</v>
      </c>
      <c r="Q224" s="76">
        <f t="shared" si="88"/>
        <v>0</v>
      </c>
      <c r="R224" s="76">
        <f t="shared" si="89"/>
        <v>1</v>
      </c>
      <c r="S224" s="76">
        <f t="shared" si="90"/>
        <v>1.0108695652173914</v>
      </c>
      <c r="T224" s="76">
        <f t="shared" si="91"/>
        <v>0.97828465417181998</v>
      </c>
      <c r="U224" s="76">
        <f t="shared" si="92"/>
        <v>1</v>
      </c>
    </row>
    <row r="225" spans="1:21" x14ac:dyDescent="0.25">
      <c r="A225" s="71">
        <v>39</v>
      </c>
      <c r="B225" s="72">
        <f t="shared" si="93"/>
        <v>46813</v>
      </c>
      <c r="C225" s="73">
        <f t="shared" si="74"/>
        <v>46843</v>
      </c>
      <c r="D225" s="67">
        <f t="shared" si="75"/>
        <v>31</v>
      </c>
      <c r="E225" s="67">
        <f t="shared" si="76"/>
        <v>3</v>
      </c>
      <c r="F225" s="74">
        <f t="shared" si="77"/>
        <v>46828.5</v>
      </c>
      <c r="G225" s="67">
        <f t="shared" si="78"/>
        <v>24338</v>
      </c>
      <c r="H225" s="75">
        <f t="shared" si="79"/>
        <v>1</v>
      </c>
      <c r="I225" s="76">
        <f t="shared" si="80"/>
        <v>1</v>
      </c>
      <c r="J225" s="76">
        <f t="shared" si="81"/>
        <v>1</v>
      </c>
      <c r="K225" s="67">
        <f t="shared" si="82"/>
        <v>0</v>
      </c>
      <c r="L225" s="67">
        <f t="shared" si="83"/>
        <v>0</v>
      </c>
      <c r="M225" s="77">
        <f t="shared" si="84"/>
        <v>0</v>
      </c>
      <c r="N225" s="76">
        <f t="shared" si="85"/>
        <v>1</v>
      </c>
      <c r="O225" s="77">
        <f t="shared" si="86"/>
        <v>0.93</v>
      </c>
      <c r="P225" s="76">
        <f t="shared" si="87"/>
        <v>0</v>
      </c>
      <c r="Q225" s="76">
        <f t="shared" si="88"/>
        <v>0</v>
      </c>
      <c r="R225" s="76">
        <f t="shared" si="89"/>
        <v>1</v>
      </c>
      <c r="S225" s="76">
        <f t="shared" si="90"/>
        <v>1.0108695652173914</v>
      </c>
      <c r="T225" s="76">
        <f t="shared" si="91"/>
        <v>0.97968794596137376</v>
      </c>
      <c r="U225" s="76">
        <f t="shared" si="92"/>
        <v>1</v>
      </c>
    </row>
    <row r="226" spans="1:21" x14ac:dyDescent="0.25">
      <c r="A226" s="71">
        <v>40</v>
      </c>
      <c r="B226" s="72">
        <f t="shared" si="93"/>
        <v>46844</v>
      </c>
      <c r="C226" s="73">
        <f t="shared" si="74"/>
        <v>46873</v>
      </c>
      <c r="D226" s="67">
        <f t="shared" si="75"/>
        <v>30</v>
      </c>
      <c r="E226" s="67">
        <f t="shared" si="76"/>
        <v>4</v>
      </c>
      <c r="F226" s="74">
        <f t="shared" si="77"/>
        <v>46859</v>
      </c>
      <c r="G226" s="67">
        <f t="shared" si="78"/>
        <v>24339</v>
      </c>
      <c r="H226" s="75">
        <f t="shared" si="79"/>
        <v>1</v>
      </c>
      <c r="I226" s="76">
        <f t="shared" si="80"/>
        <v>1</v>
      </c>
      <c r="J226" s="76">
        <f t="shared" si="81"/>
        <v>1</v>
      </c>
      <c r="K226" s="67">
        <f t="shared" si="82"/>
        <v>0</v>
      </c>
      <c r="L226" s="67">
        <f t="shared" si="83"/>
        <v>0</v>
      </c>
      <c r="M226" s="77">
        <f t="shared" si="84"/>
        <v>0</v>
      </c>
      <c r="N226" s="76">
        <f t="shared" si="85"/>
        <v>1</v>
      </c>
      <c r="O226" s="77">
        <f t="shared" si="86"/>
        <v>0.93</v>
      </c>
      <c r="P226" s="76">
        <f t="shared" si="87"/>
        <v>0</v>
      </c>
      <c r="Q226" s="76">
        <f t="shared" si="88"/>
        <v>0</v>
      </c>
      <c r="R226" s="76">
        <f t="shared" si="89"/>
        <v>1</v>
      </c>
      <c r="S226" s="76">
        <f t="shared" si="90"/>
        <v>1.0108695652173914</v>
      </c>
      <c r="T226" s="76">
        <f t="shared" si="91"/>
        <v>0.9811388069641328</v>
      </c>
      <c r="U226" s="76">
        <f t="shared" si="92"/>
        <v>1</v>
      </c>
    </row>
    <row r="227" spans="1:21" x14ac:dyDescent="0.25">
      <c r="A227" s="71">
        <v>41</v>
      </c>
      <c r="B227" s="72">
        <f t="shared" si="93"/>
        <v>46874</v>
      </c>
      <c r="C227" s="73">
        <f t="shared" si="74"/>
        <v>46904</v>
      </c>
      <c r="D227" s="67">
        <f t="shared" si="75"/>
        <v>31</v>
      </c>
      <c r="E227" s="67">
        <f t="shared" si="76"/>
        <v>5</v>
      </c>
      <c r="F227" s="74">
        <f t="shared" si="77"/>
        <v>46889.5</v>
      </c>
      <c r="G227" s="67">
        <f t="shared" si="78"/>
        <v>24340</v>
      </c>
      <c r="H227" s="75">
        <f t="shared" si="79"/>
        <v>1</v>
      </c>
      <c r="I227" s="76">
        <f t="shared" si="80"/>
        <v>1</v>
      </c>
      <c r="J227" s="76">
        <f t="shared" si="81"/>
        <v>1</v>
      </c>
      <c r="K227" s="67">
        <f t="shared" si="82"/>
        <v>0</v>
      </c>
      <c r="L227" s="67">
        <f t="shared" si="83"/>
        <v>0</v>
      </c>
      <c r="M227" s="77">
        <f t="shared" si="84"/>
        <v>0</v>
      </c>
      <c r="N227" s="76">
        <f t="shared" si="85"/>
        <v>1</v>
      </c>
      <c r="O227" s="77">
        <f t="shared" si="86"/>
        <v>0.93</v>
      </c>
      <c r="P227" s="76">
        <f t="shared" si="87"/>
        <v>0</v>
      </c>
      <c r="Q227" s="76">
        <f t="shared" si="88"/>
        <v>0</v>
      </c>
      <c r="R227" s="76">
        <f t="shared" si="89"/>
        <v>1</v>
      </c>
      <c r="S227" s="76">
        <f t="shared" si="90"/>
        <v>1.0108695652173914</v>
      </c>
      <c r="T227" s="76">
        <f t="shared" si="91"/>
        <v>0.98258966796689184</v>
      </c>
      <c r="U227" s="76">
        <f t="shared" si="92"/>
        <v>1</v>
      </c>
    </row>
    <row r="228" spans="1:21" x14ac:dyDescent="0.25">
      <c r="A228" s="71">
        <v>42</v>
      </c>
      <c r="B228" s="72">
        <f t="shared" si="93"/>
        <v>46905</v>
      </c>
      <c r="C228" s="73">
        <f t="shared" si="74"/>
        <v>46934</v>
      </c>
      <c r="D228" s="67">
        <f t="shared" si="75"/>
        <v>30</v>
      </c>
      <c r="E228" s="67">
        <f t="shared" si="76"/>
        <v>6</v>
      </c>
      <c r="F228" s="74">
        <f t="shared" si="77"/>
        <v>46920</v>
      </c>
      <c r="G228" s="67">
        <f t="shared" si="78"/>
        <v>24341</v>
      </c>
      <c r="H228" s="75">
        <f t="shared" si="79"/>
        <v>1</v>
      </c>
      <c r="I228" s="76">
        <f t="shared" si="80"/>
        <v>1</v>
      </c>
      <c r="J228" s="76">
        <f t="shared" si="81"/>
        <v>1</v>
      </c>
      <c r="K228" s="67">
        <f t="shared" si="82"/>
        <v>0</v>
      </c>
      <c r="L228" s="67">
        <f t="shared" si="83"/>
        <v>0</v>
      </c>
      <c r="M228" s="77">
        <f t="shared" si="84"/>
        <v>0</v>
      </c>
      <c r="N228" s="76">
        <f t="shared" si="85"/>
        <v>1</v>
      </c>
      <c r="O228" s="77">
        <f t="shared" si="86"/>
        <v>0.93</v>
      </c>
      <c r="P228" s="76">
        <f t="shared" si="87"/>
        <v>0</v>
      </c>
      <c r="Q228" s="76">
        <f t="shared" si="88"/>
        <v>0</v>
      </c>
      <c r="R228" s="76">
        <f t="shared" si="89"/>
        <v>1</v>
      </c>
      <c r="S228" s="76">
        <f t="shared" si="90"/>
        <v>1.0108695652173914</v>
      </c>
      <c r="T228" s="76">
        <f t="shared" si="91"/>
        <v>0.98404052896965077</v>
      </c>
      <c r="U228" s="76">
        <f t="shared" si="92"/>
        <v>1</v>
      </c>
    </row>
    <row r="229" spans="1:21" x14ac:dyDescent="0.25">
      <c r="A229" s="71">
        <v>43</v>
      </c>
      <c r="B229" s="72">
        <f t="shared" si="93"/>
        <v>46935</v>
      </c>
      <c r="C229" s="73">
        <f t="shared" si="74"/>
        <v>46965</v>
      </c>
      <c r="D229" s="67">
        <f t="shared" si="75"/>
        <v>31</v>
      </c>
      <c r="E229" s="67">
        <f t="shared" si="76"/>
        <v>7</v>
      </c>
      <c r="F229" s="74">
        <f t="shared" si="77"/>
        <v>46950.5</v>
      </c>
      <c r="G229" s="67">
        <f t="shared" si="78"/>
        <v>24342</v>
      </c>
      <c r="H229" s="75">
        <f t="shared" si="79"/>
        <v>1</v>
      </c>
      <c r="I229" s="76">
        <f t="shared" si="80"/>
        <v>1</v>
      </c>
      <c r="J229" s="76">
        <f t="shared" si="81"/>
        <v>1</v>
      </c>
      <c r="K229" s="67">
        <f t="shared" si="82"/>
        <v>0</v>
      </c>
      <c r="L229" s="67">
        <f t="shared" si="83"/>
        <v>0</v>
      </c>
      <c r="M229" s="77">
        <f t="shared" si="84"/>
        <v>0</v>
      </c>
      <c r="N229" s="76">
        <f t="shared" si="85"/>
        <v>1</v>
      </c>
      <c r="O229" s="77">
        <f t="shared" si="86"/>
        <v>0.93</v>
      </c>
      <c r="P229" s="76">
        <f t="shared" si="87"/>
        <v>0</v>
      </c>
      <c r="Q229" s="76">
        <f t="shared" si="88"/>
        <v>0</v>
      </c>
      <c r="R229" s="76">
        <f t="shared" si="89"/>
        <v>0.91666666666666663</v>
      </c>
      <c r="S229" s="76">
        <f t="shared" si="90"/>
        <v>1.0108695652173914</v>
      </c>
      <c r="T229" s="76">
        <f t="shared" si="91"/>
        <v>0.98549138997240981</v>
      </c>
      <c r="U229" s="76">
        <f t="shared" si="92"/>
        <v>1</v>
      </c>
    </row>
    <row r="230" spans="1:21" x14ac:dyDescent="0.25">
      <c r="A230" s="71">
        <v>44</v>
      </c>
      <c r="B230" s="72">
        <f t="shared" si="93"/>
        <v>46966</v>
      </c>
      <c r="C230" s="73">
        <f t="shared" si="74"/>
        <v>46996</v>
      </c>
      <c r="D230" s="67">
        <f t="shared" si="75"/>
        <v>31</v>
      </c>
      <c r="E230" s="67">
        <f t="shared" si="76"/>
        <v>8</v>
      </c>
      <c r="F230" s="74">
        <f t="shared" si="77"/>
        <v>46981.5</v>
      </c>
      <c r="G230" s="67">
        <f t="shared" si="78"/>
        <v>24343</v>
      </c>
      <c r="H230" s="75">
        <f t="shared" si="79"/>
        <v>1</v>
      </c>
      <c r="I230" s="76">
        <f t="shared" si="80"/>
        <v>1</v>
      </c>
      <c r="J230" s="76">
        <f t="shared" si="81"/>
        <v>1</v>
      </c>
      <c r="K230" s="67">
        <f t="shared" si="82"/>
        <v>0</v>
      </c>
      <c r="L230" s="67">
        <f t="shared" si="83"/>
        <v>0</v>
      </c>
      <c r="M230" s="77">
        <f t="shared" si="84"/>
        <v>0</v>
      </c>
      <c r="N230" s="76">
        <f t="shared" si="85"/>
        <v>1</v>
      </c>
      <c r="O230" s="77">
        <f t="shared" si="86"/>
        <v>0.93</v>
      </c>
      <c r="P230" s="76">
        <f t="shared" si="87"/>
        <v>0</v>
      </c>
      <c r="Q230" s="76">
        <f t="shared" si="88"/>
        <v>0</v>
      </c>
      <c r="R230" s="76">
        <f t="shared" si="89"/>
        <v>0.75</v>
      </c>
      <c r="S230" s="76">
        <f t="shared" si="90"/>
        <v>1.0108695652173914</v>
      </c>
      <c r="T230" s="76">
        <f t="shared" si="91"/>
        <v>0.98696603558177143</v>
      </c>
      <c r="U230" s="76">
        <f t="shared" si="92"/>
        <v>1</v>
      </c>
    </row>
    <row r="231" spans="1:21" x14ac:dyDescent="0.25">
      <c r="A231" s="71">
        <v>45</v>
      </c>
      <c r="B231" s="72">
        <f t="shared" si="93"/>
        <v>46997</v>
      </c>
      <c r="C231" s="73">
        <f t="shared" si="74"/>
        <v>47026</v>
      </c>
      <c r="D231" s="67">
        <f t="shared" si="75"/>
        <v>30</v>
      </c>
      <c r="E231" s="67">
        <f t="shared" si="76"/>
        <v>9</v>
      </c>
      <c r="F231" s="74">
        <f t="shared" si="77"/>
        <v>47012</v>
      </c>
      <c r="G231" s="67">
        <f t="shared" si="78"/>
        <v>24344</v>
      </c>
      <c r="H231" s="75">
        <f t="shared" si="79"/>
        <v>1</v>
      </c>
      <c r="I231" s="76">
        <f t="shared" si="80"/>
        <v>1</v>
      </c>
      <c r="J231" s="76">
        <f t="shared" si="81"/>
        <v>1</v>
      </c>
      <c r="K231" s="67">
        <f t="shared" si="82"/>
        <v>0</v>
      </c>
      <c r="L231" s="67">
        <f t="shared" si="83"/>
        <v>0</v>
      </c>
      <c r="M231" s="77">
        <f t="shared" si="84"/>
        <v>0</v>
      </c>
      <c r="N231" s="76">
        <f t="shared" si="85"/>
        <v>1</v>
      </c>
      <c r="O231" s="77">
        <f t="shared" si="86"/>
        <v>0.93</v>
      </c>
      <c r="P231" s="76">
        <f t="shared" si="87"/>
        <v>0</v>
      </c>
      <c r="Q231" s="76">
        <f t="shared" si="88"/>
        <v>0</v>
      </c>
      <c r="R231" s="76">
        <f t="shared" si="89"/>
        <v>0.58333333333333337</v>
      </c>
      <c r="S231" s="76">
        <f t="shared" si="90"/>
        <v>1.0108695652173914</v>
      </c>
      <c r="T231" s="76">
        <f t="shared" si="91"/>
        <v>0.98841689658453047</v>
      </c>
      <c r="U231" s="76">
        <f t="shared" si="92"/>
        <v>1</v>
      </c>
    </row>
    <row r="232" spans="1:21" x14ac:dyDescent="0.25">
      <c r="A232" s="71">
        <v>46</v>
      </c>
      <c r="B232" s="72">
        <f t="shared" si="93"/>
        <v>47027</v>
      </c>
      <c r="C232" s="73">
        <f t="shared" si="74"/>
        <v>47057</v>
      </c>
      <c r="D232" s="67">
        <f t="shared" si="75"/>
        <v>31</v>
      </c>
      <c r="E232" s="67">
        <f t="shared" si="76"/>
        <v>10</v>
      </c>
      <c r="F232" s="74">
        <f t="shared" si="77"/>
        <v>47042.5</v>
      </c>
      <c r="G232" s="67">
        <f t="shared" si="78"/>
        <v>24345</v>
      </c>
      <c r="H232" s="75">
        <f t="shared" si="79"/>
        <v>1</v>
      </c>
      <c r="I232" s="76">
        <f t="shared" si="80"/>
        <v>1</v>
      </c>
      <c r="J232" s="76">
        <f t="shared" si="81"/>
        <v>1</v>
      </c>
      <c r="K232" s="67">
        <f t="shared" si="82"/>
        <v>0</v>
      </c>
      <c r="L232" s="67">
        <f t="shared" si="83"/>
        <v>0</v>
      </c>
      <c r="M232" s="77">
        <f t="shared" si="84"/>
        <v>0</v>
      </c>
      <c r="N232" s="76">
        <f t="shared" si="85"/>
        <v>1</v>
      </c>
      <c r="O232" s="77">
        <f t="shared" si="86"/>
        <v>0.93</v>
      </c>
      <c r="P232" s="76">
        <f t="shared" si="87"/>
        <v>0</v>
      </c>
      <c r="Q232" s="76">
        <f t="shared" si="88"/>
        <v>0</v>
      </c>
      <c r="R232" s="76">
        <f t="shared" si="89"/>
        <v>0.41666666666666669</v>
      </c>
      <c r="S232" s="76">
        <f t="shared" si="90"/>
        <v>1.0108695652173914</v>
      </c>
      <c r="T232" s="76">
        <f t="shared" si="91"/>
        <v>0.98986775758728951</v>
      </c>
      <c r="U232" s="76">
        <f t="shared" si="92"/>
        <v>1</v>
      </c>
    </row>
    <row r="233" spans="1:21" x14ac:dyDescent="0.25">
      <c r="A233" s="71">
        <v>47</v>
      </c>
      <c r="B233" s="72">
        <f t="shared" si="93"/>
        <v>47058</v>
      </c>
      <c r="C233" s="73">
        <f t="shared" si="74"/>
        <v>47087</v>
      </c>
      <c r="D233" s="67">
        <f t="shared" si="75"/>
        <v>30</v>
      </c>
      <c r="E233" s="67">
        <f t="shared" si="76"/>
        <v>11</v>
      </c>
      <c r="F233" s="74">
        <f t="shared" si="77"/>
        <v>47073</v>
      </c>
      <c r="G233" s="67">
        <f t="shared" si="78"/>
        <v>24346</v>
      </c>
      <c r="H233" s="75">
        <f t="shared" si="79"/>
        <v>1</v>
      </c>
      <c r="I233" s="76">
        <f t="shared" si="80"/>
        <v>1</v>
      </c>
      <c r="J233" s="76">
        <f t="shared" si="81"/>
        <v>1</v>
      </c>
      <c r="K233" s="67">
        <f t="shared" si="82"/>
        <v>0</v>
      </c>
      <c r="L233" s="67">
        <f t="shared" si="83"/>
        <v>0</v>
      </c>
      <c r="M233" s="77">
        <f t="shared" si="84"/>
        <v>0</v>
      </c>
      <c r="N233" s="76">
        <f t="shared" si="85"/>
        <v>1</v>
      </c>
      <c r="O233" s="77">
        <f t="shared" si="86"/>
        <v>0.93</v>
      </c>
      <c r="P233" s="76">
        <f t="shared" si="87"/>
        <v>0</v>
      </c>
      <c r="Q233" s="76">
        <f t="shared" si="88"/>
        <v>0</v>
      </c>
      <c r="R233" s="76">
        <f t="shared" si="89"/>
        <v>0.25</v>
      </c>
      <c r="S233" s="76">
        <f t="shared" si="90"/>
        <v>1.0108695652173914</v>
      </c>
      <c r="T233" s="76">
        <f t="shared" si="91"/>
        <v>0.99131861859004855</v>
      </c>
      <c r="U233" s="76">
        <f t="shared" si="92"/>
        <v>1</v>
      </c>
    </row>
    <row r="234" spans="1:21" x14ac:dyDescent="0.25">
      <c r="A234" s="71">
        <v>48</v>
      </c>
      <c r="B234" s="72">
        <f t="shared" si="93"/>
        <v>47088</v>
      </c>
      <c r="C234" s="73">
        <f t="shared" si="74"/>
        <v>47118</v>
      </c>
      <c r="D234" s="67">
        <f t="shared" si="75"/>
        <v>31</v>
      </c>
      <c r="E234" s="67">
        <f t="shared" si="76"/>
        <v>12</v>
      </c>
      <c r="F234" s="74">
        <f t="shared" si="77"/>
        <v>47103.5</v>
      </c>
      <c r="G234" s="67">
        <f t="shared" si="78"/>
        <v>24347</v>
      </c>
      <c r="H234" s="75">
        <f t="shared" si="79"/>
        <v>1</v>
      </c>
      <c r="I234" s="76">
        <f t="shared" si="80"/>
        <v>1</v>
      </c>
      <c r="J234" s="76">
        <f t="shared" si="81"/>
        <v>1</v>
      </c>
      <c r="K234" s="67">
        <f t="shared" si="82"/>
        <v>0</v>
      </c>
      <c r="L234" s="67">
        <f t="shared" si="83"/>
        <v>0</v>
      </c>
      <c r="M234" s="77">
        <f t="shared" si="84"/>
        <v>0</v>
      </c>
      <c r="N234" s="76">
        <f t="shared" si="85"/>
        <v>1</v>
      </c>
      <c r="O234" s="77">
        <f t="shared" si="86"/>
        <v>0.93</v>
      </c>
      <c r="P234" s="76">
        <f t="shared" si="87"/>
        <v>0</v>
      </c>
      <c r="Q234" s="76">
        <f t="shared" si="88"/>
        <v>0</v>
      </c>
      <c r="R234" s="76">
        <f t="shared" si="89"/>
        <v>8.3333333333333329E-2</v>
      </c>
      <c r="S234" s="76">
        <f t="shared" si="90"/>
        <v>1.0108695652173914</v>
      </c>
      <c r="T234" s="76">
        <f t="shared" si="91"/>
        <v>0.99276947959280759</v>
      </c>
      <c r="U234" s="76">
        <f t="shared" si="92"/>
        <v>1</v>
      </c>
    </row>
    <row r="235" spans="1:21" x14ac:dyDescent="0.25">
      <c r="A235" s="81" t="s">
        <v>1187</v>
      </c>
      <c r="B235" s="53">
        <f>EXP(SUMPRODUCT((rl_key=$A$184)*(rl_cons="Y")*rl_ln1p))</f>
        <v>1</v>
      </c>
      <c r="C235" s="53">
        <f>SUMPRODUCT($H$187:$H$234,$P$187:$P$234,$U$187:$U$234)/SUMPRODUCT($H$187:$H$234,$P$187:$P$234)</f>
        <v>1</v>
      </c>
      <c r="D235" s="53">
        <f>SUMPRODUCT($H$187:$H$234,$Q$187:$Q$234,$U$187:$U$234)/SUMPRODUCT($H$187:$H$234,$Q$187:$Q$234)</f>
        <v>1</v>
      </c>
      <c r="E235" s="53">
        <f>SUMPRODUCT($H$187:$H$234,$R$187:$R$234,$U$187:$U$234)/SUMPRODUCT($H$187:$H$234,$R$187:$R$234)</f>
        <v>1</v>
      </c>
      <c r="F235" s="172">
        <f>SUMPRODUCT($H$187:$H$234,$Q$187:$Q$234,$O$187:$O$234)/SUMPRODUCT($H$187:$H$234,$Q$187:$Q$234)</f>
        <v>0.91798504741064912</v>
      </c>
      <c r="G235" s="172">
        <f>SUMPRODUCT($H$187:$H$234,$R$187:$R$234,$O$187:$O$234)/SUMPRODUCT($H$187:$H$234,$R$187:$R$234)</f>
        <v>0.92932044736202268</v>
      </c>
    </row>
    <row r="238" spans="1:21" x14ac:dyDescent="0.25">
      <c r="A238" s="81" t="str">
        <f>INDEX(lr_key,4)</f>
        <v>BU-A|CT</v>
      </c>
      <c r="B238" s="81" t="str">
        <f>INDEX(lr_state,4)</f>
        <v>CT</v>
      </c>
      <c r="C238" s="55">
        <f>nr_TermMonths</f>
        <v>6</v>
      </c>
      <c r="D238" s="55">
        <f>IF(COUNTIF(se_state,$B238)=0,0,MATCH($B238,se_state,0))</f>
        <v>0</v>
      </c>
      <c r="E238" s="57">
        <f>IF($D238=0,0,INDEX(se_sum,$D238))</f>
        <v>0</v>
      </c>
      <c r="F238" s="172">
        <f>IF(N(INDEX(lr_mind,4))=0,1,INDEX(lr_mind,4))</f>
        <v>0.92</v>
      </c>
      <c r="G238" s="172">
        <f>IF(N(INDEX(lr_m0,4))=0,1,INDEX(lr_m0,4))</f>
        <v>0.92</v>
      </c>
      <c r="H238" s="54">
        <f>IF(N(INDEX(lr_m0asof,4))=0,DATE(nr_PlanYear-1,10,1),INDEX(lr_m0asof,4))</f>
        <v>46295</v>
      </c>
      <c r="I238" s="172">
        <f>IF(N(INDEX(lr_m1,4))=0,1,INDEX(lr_m1,4))</f>
        <v>0.92</v>
      </c>
      <c r="J238" s="172">
        <f>INDEX(lr_mprior,4)</f>
        <v>0</v>
      </c>
      <c r="K238" s="172">
        <f>INDEX(lr_m2,4)</f>
        <v>0</v>
      </c>
      <c r="L238" s="81" t="b">
        <f>NOT(ISBLANK(INDEX(lr_netp,4)))</f>
        <v>0</v>
      </c>
      <c r="M238" s="52">
        <f>N(INDEX(lr_netp,4))</f>
        <v>0</v>
      </c>
      <c r="N238" s="52">
        <f>IF(ISBLANK(INDEX(lr_netp1,4)),$M$238,N(INDEX(lr_netp1,4)))</f>
        <v>0</v>
      </c>
      <c r="O238" s="55">
        <f>IF(AND(nr_ModAdjMaster="ON",INDEX(lr_modadj,4)="ON"),1,0)</f>
        <v>0</v>
      </c>
    </row>
    <row r="239" spans="1:21" x14ac:dyDescent="0.25">
      <c r="A239" s="81">
        <f>EDATE($H$238,-12)+1</f>
        <v>45931</v>
      </c>
      <c r="B239" s="81">
        <f>$H$238+1</f>
        <v>46296</v>
      </c>
      <c r="C239" s="81">
        <f>DATE(nr_PlanYear,12,31)+1</f>
        <v>46753</v>
      </c>
      <c r="D239" s="81">
        <f>DATE(nr_PlanYear+1,12,31)+1</f>
        <v>47119</v>
      </c>
      <c r="E239" s="81">
        <f>IF(N($J$238)=0,$F$239-($G$239-$F$239)/($C$239-$B$239)*($B$239-$A$239),$J$238)</f>
        <v>0.92</v>
      </c>
      <c r="F239" s="81">
        <f>$G$238</f>
        <v>0.92</v>
      </c>
      <c r="G239" s="81">
        <f>$I$238</f>
        <v>0.92</v>
      </c>
      <c r="H239" s="81">
        <f>IF(N($K$238)=0,$I$238,$K$238)</f>
        <v>0.92</v>
      </c>
      <c r="I239" s="81">
        <f>($F$239-$E$239)/($B$239-$A$239)</f>
        <v>0</v>
      </c>
      <c r="J239" s="81">
        <f>($G$239-$F$239)/($C$239-$B$239)</f>
        <v>0</v>
      </c>
      <c r="K239" s="81">
        <f>($H$239-$G$239)/($D$239-$C$239)</f>
        <v>0</v>
      </c>
    </row>
    <row r="240" spans="1:21" ht="36" x14ac:dyDescent="0.25">
      <c r="A240" s="50" t="s">
        <v>211</v>
      </c>
      <c r="B240" s="50" t="s">
        <v>212</v>
      </c>
      <c r="C240" s="50" t="s">
        <v>213</v>
      </c>
      <c r="D240" s="50" t="s">
        <v>214</v>
      </c>
      <c r="E240" s="50" t="s">
        <v>215</v>
      </c>
      <c r="F240" s="50" t="s">
        <v>216</v>
      </c>
      <c r="G240" s="50" t="s">
        <v>217</v>
      </c>
      <c r="H240" s="50" t="s">
        <v>218</v>
      </c>
      <c r="I240" s="50" t="s">
        <v>219</v>
      </c>
      <c r="J240" s="50" t="s">
        <v>220</v>
      </c>
      <c r="K240" s="50" t="s">
        <v>221</v>
      </c>
      <c r="L240" s="50" t="s">
        <v>222</v>
      </c>
      <c r="M240" s="50" t="s">
        <v>223</v>
      </c>
      <c r="N240" s="50" t="s">
        <v>224</v>
      </c>
      <c r="O240" s="50" t="s">
        <v>225</v>
      </c>
      <c r="P240" s="50" t="s">
        <v>226</v>
      </c>
      <c r="Q240" s="50" t="s">
        <v>227</v>
      </c>
      <c r="R240" s="50" t="s">
        <v>228</v>
      </c>
      <c r="S240" s="50" t="s">
        <v>229</v>
      </c>
      <c r="T240" s="50" t="s">
        <v>230</v>
      </c>
      <c r="U240" s="50" t="s">
        <v>231</v>
      </c>
    </row>
    <row r="241" spans="1:21" x14ac:dyDescent="0.25">
      <c r="A241" s="71">
        <v>1</v>
      </c>
      <c r="B241" s="72">
        <f>DATE(nr_PlanYear-2,1,1)</f>
        <v>45658</v>
      </c>
      <c r="C241" s="73">
        <f t="shared" ref="C241:C288" si="94">EOMONTH($B241,0)</f>
        <v>45688</v>
      </c>
      <c r="D241" s="67">
        <f t="shared" ref="D241:D288" si="95">$C241-$B241+1</f>
        <v>31</v>
      </c>
      <c r="E241" s="67">
        <f t="shared" ref="E241:E288" si="96">MONTH($B241)</f>
        <v>1</v>
      </c>
      <c r="F241" s="74">
        <f t="shared" ref="F241:F288" si="97">($B241+$C241+1)/2</f>
        <v>45673.5</v>
      </c>
      <c r="G241" s="67">
        <f t="shared" ref="G241:G288" si="98">YEAR($B241)*12+MONTH($B241)-1</f>
        <v>24300</v>
      </c>
      <c r="H241" s="75">
        <f t="shared" ref="H241:H288" si="99">IF(OR(nr_SeasonOn="OFF",$D$238=0,$E$238=0),1,12*INDEX(se_block,$D$238,$E241)/$E$238)</f>
        <v>1</v>
      </c>
      <c r="I241" s="76">
        <f t="shared" ref="I241:I288" si="100">EXP(SUMPRODUCT((rl_eff&lt;$B241)*(rl_key=$A$238)*rl_ln1p))</f>
        <v>1</v>
      </c>
      <c r="J241" s="76">
        <f t="shared" ref="J241:J288" si="101">EXP(SUMPRODUCT((rl_eff&lt;=$C241)*(rl_key=$A$238)*rl_ln1p))</f>
        <v>1</v>
      </c>
      <c r="K241" s="67">
        <f t="shared" ref="K241:K288" si="102">COUNTIFS(rl_key,$A$238,rl_eff,"&gt;="&amp;$B241,rl_eff,"&lt;="&amp;$C241)</f>
        <v>0</v>
      </c>
      <c r="L241" s="67">
        <f t="shared" ref="L241:L288" si="103">SUMIFS(rl_daysafter,rl_key,$A$238,rl_effmonth,$B241,rl_first,1)</f>
        <v>0</v>
      </c>
      <c r="M241" s="77">
        <f t="shared" ref="M241:M288" si="104">IF($K241=0,0,MIN(1,$L241/$D241))</f>
        <v>0</v>
      </c>
      <c r="N241" s="76">
        <f t="shared" ref="N241:N288" si="105">IF($K241=0,$J241,(1-$M241)*$I241+$M241*$J241)</f>
        <v>1</v>
      </c>
      <c r="O241" s="77">
        <f t="shared" ref="O241:O288" si="106">IF($F241&lt;$B$239,$E$239+$I$239*($F241-$A$239),IF($F241&lt;$C$239,$F$239+$J$239*($F241-$B$239),$G$239+$K$239*($F241-$C$239)))</f>
        <v>0.92</v>
      </c>
      <c r="P241" s="76">
        <f t="shared" ref="P241:P288" si="107">MIN(1,MAX(0,(nr_MEndPm1-$G241+0.5)/$C$238))-MIN(1,MAX(0,(nr_MStartPm1-1-$G241+0.5)/$C$238))</f>
        <v>0</v>
      </c>
      <c r="Q241" s="76">
        <f t="shared" ref="Q241:Q288" si="108">MIN(1,MAX(0,(nr_MEndP-$G241+0.5)/$C$238))-MIN(1,MAX(0,(nr_MStartP-1-$G241+0.5)/$C$238))</f>
        <v>0</v>
      </c>
      <c r="R241" s="76">
        <f t="shared" ref="R241:R288" si="109">MIN(1,MAX(0,(nr_MEndP1-$G241+0.5)/$C$238))-MIN(1,MAX(0,(nr_MStartP1-1-$G241+0.5)/$C$238))</f>
        <v>0</v>
      </c>
      <c r="S241" s="76">
        <f t="shared" ref="S241:S288" si="110">$N241*IF($O$238=1,$O241/$F$238,1)</f>
        <v>1</v>
      </c>
      <c r="T241" s="76">
        <f t="shared" ref="T241:T288" si="111">IF($G241&lt;nr_MStartP,$S241,$T229*(1+IF($G241&lt;nr_MStartP1,$M$238,$N$238)))</f>
        <v>1</v>
      </c>
      <c r="U241" s="76">
        <f t="shared" ref="U241:U288" si="112">IF($L$238,$T241,$N241)</f>
        <v>1</v>
      </c>
    </row>
    <row r="242" spans="1:21" x14ac:dyDescent="0.25">
      <c r="A242" s="71">
        <v>2</v>
      </c>
      <c r="B242" s="72">
        <f t="shared" ref="B242:B288" si="113">EDATE($B241,1)</f>
        <v>45689</v>
      </c>
      <c r="C242" s="73">
        <f t="shared" si="94"/>
        <v>45716</v>
      </c>
      <c r="D242" s="67">
        <f t="shared" si="95"/>
        <v>28</v>
      </c>
      <c r="E242" s="67">
        <f t="shared" si="96"/>
        <v>2</v>
      </c>
      <c r="F242" s="74">
        <f t="shared" si="97"/>
        <v>45703</v>
      </c>
      <c r="G242" s="67">
        <f t="shared" si="98"/>
        <v>24301</v>
      </c>
      <c r="H242" s="75">
        <f t="shared" si="99"/>
        <v>1</v>
      </c>
      <c r="I242" s="76">
        <f t="shared" si="100"/>
        <v>1</v>
      </c>
      <c r="J242" s="76">
        <f t="shared" si="101"/>
        <v>1</v>
      </c>
      <c r="K242" s="67">
        <f t="shared" si="102"/>
        <v>0</v>
      </c>
      <c r="L242" s="67">
        <f t="shared" si="103"/>
        <v>0</v>
      </c>
      <c r="M242" s="77">
        <f t="shared" si="104"/>
        <v>0</v>
      </c>
      <c r="N242" s="76">
        <f t="shared" si="105"/>
        <v>1</v>
      </c>
      <c r="O242" s="77">
        <f t="shared" si="106"/>
        <v>0.92</v>
      </c>
      <c r="P242" s="76">
        <f t="shared" si="107"/>
        <v>0</v>
      </c>
      <c r="Q242" s="76">
        <f t="shared" si="108"/>
        <v>0</v>
      </c>
      <c r="R242" s="76">
        <f t="shared" si="109"/>
        <v>0</v>
      </c>
      <c r="S242" s="76">
        <f t="shared" si="110"/>
        <v>1</v>
      </c>
      <c r="T242" s="76">
        <f t="shared" si="111"/>
        <v>1</v>
      </c>
      <c r="U242" s="76">
        <f t="shared" si="112"/>
        <v>1</v>
      </c>
    </row>
    <row r="243" spans="1:21" x14ac:dyDescent="0.25">
      <c r="A243" s="71">
        <v>3</v>
      </c>
      <c r="B243" s="72">
        <f t="shared" si="113"/>
        <v>45717</v>
      </c>
      <c r="C243" s="73">
        <f t="shared" si="94"/>
        <v>45747</v>
      </c>
      <c r="D243" s="67">
        <f t="shared" si="95"/>
        <v>31</v>
      </c>
      <c r="E243" s="67">
        <f t="shared" si="96"/>
        <v>3</v>
      </c>
      <c r="F243" s="74">
        <f t="shared" si="97"/>
        <v>45732.5</v>
      </c>
      <c r="G243" s="67">
        <f t="shared" si="98"/>
        <v>24302</v>
      </c>
      <c r="H243" s="75">
        <f t="shared" si="99"/>
        <v>1</v>
      </c>
      <c r="I243" s="76">
        <f t="shared" si="100"/>
        <v>1</v>
      </c>
      <c r="J243" s="76">
        <f t="shared" si="101"/>
        <v>1</v>
      </c>
      <c r="K243" s="67">
        <f t="shared" si="102"/>
        <v>0</v>
      </c>
      <c r="L243" s="67">
        <f t="shared" si="103"/>
        <v>0</v>
      </c>
      <c r="M243" s="77">
        <f t="shared" si="104"/>
        <v>0</v>
      </c>
      <c r="N243" s="76">
        <f t="shared" si="105"/>
        <v>1</v>
      </c>
      <c r="O243" s="77">
        <f t="shared" si="106"/>
        <v>0.92</v>
      </c>
      <c r="P243" s="76">
        <f t="shared" si="107"/>
        <v>0</v>
      </c>
      <c r="Q243" s="76">
        <f t="shared" si="108"/>
        <v>0</v>
      </c>
      <c r="R243" s="76">
        <f t="shared" si="109"/>
        <v>0</v>
      </c>
      <c r="S243" s="76">
        <f t="shared" si="110"/>
        <v>1</v>
      </c>
      <c r="T243" s="76">
        <f t="shared" si="111"/>
        <v>1</v>
      </c>
      <c r="U243" s="76">
        <f t="shared" si="112"/>
        <v>1</v>
      </c>
    </row>
    <row r="244" spans="1:21" x14ac:dyDescent="0.25">
      <c r="A244" s="71">
        <v>4</v>
      </c>
      <c r="B244" s="72">
        <f t="shared" si="113"/>
        <v>45748</v>
      </c>
      <c r="C244" s="73">
        <f t="shared" si="94"/>
        <v>45777</v>
      </c>
      <c r="D244" s="67">
        <f t="shared" si="95"/>
        <v>30</v>
      </c>
      <c r="E244" s="67">
        <f t="shared" si="96"/>
        <v>4</v>
      </c>
      <c r="F244" s="74">
        <f t="shared" si="97"/>
        <v>45763</v>
      </c>
      <c r="G244" s="67">
        <f t="shared" si="98"/>
        <v>24303</v>
      </c>
      <c r="H244" s="75">
        <f t="shared" si="99"/>
        <v>1</v>
      </c>
      <c r="I244" s="76">
        <f t="shared" si="100"/>
        <v>1</v>
      </c>
      <c r="J244" s="76">
        <f t="shared" si="101"/>
        <v>1</v>
      </c>
      <c r="K244" s="67">
        <f t="shared" si="102"/>
        <v>0</v>
      </c>
      <c r="L244" s="67">
        <f t="shared" si="103"/>
        <v>0</v>
      </c>
      <c r="M244" s="77">
        <f t="shared" si="104"/>
        <v>0</v>
      </c>
      <c r="N244" s="76">
        <f t="shared" si="105"/>
        <v>1</v>
      </c>
      <c r="O244" s="77">
        <f t="shared" si="106"/>
        <v>0.92</v>
      </c>
      <c r="P244" s="76">
        <f t="shared" si="107"/>
        <v>0</v>
      </c>
      <c r="Q244" s="76">
        <f t="shared" si="108"/>
        <v>0</v>
      </c>
      <c r="R244" s="76">
        <f t="shared" si="109"/>
        <v>0</v>
      </c>
      <c r="S244" s="76">
        <f t="shared" si="110"/>
        <v>1</v>
      </c>
      <c r="T244" s="76">
        <f t="shared" si="111"/>
        <v>1</v>
      </c>
      <c r="U244" s="76">
        <f t="shared" si="112"/>
        <v>1</v>
      </c>
    </row>
    <row r="245" spans="1:21" x14ac:dyDescent="0.25">
      <c r="A245" s="71">
        <v>5</v>
      </c>
      <c r="B245" s="72">
        <f t="shared" si="113"/>
        <v>45778</v>
      </c>
      <c r="C245" s="73">
        <f t="shared" si="94"/>
        <v>45808</v>
      </c>
      <c r="D245" s="67">
        <f t="shared" si="95"/>
        <v>31</v>
      </c>
      <c r="E245" s="67">
        <f t="shared" si="96"/>
        <v>5</v>
      </c>
      <c r="F245" s="74">
        <f t="shared" si="97"/>
        <v>45793.5</v>
      </c>
      <c r="G245" s="67">
        <f t="shared" si="98"/>
        <v>24304</v>
      </c>
      <c r="H245" s="75">
        <f t="shared" si="99"/>
        <v>1</v>
      </c>
      <c r="I245" s="76">
        <f t="shared" si="100"/>
        <v>1</v>
      </c>
      <c r="J245" s="76">
        <f t="shared" si="101"/>
        <v>1</v>
      </c>
      <c r="K245" s="67">
        <f t="shared" si="102"/>
        <v>0</v>
      </c>
      <c r="L245" s="67">
        <f t="shared" si="103"/>
        <v>0</v>
      </c>
      <c r="M245" s="77">
        <f t="shared" si="104"/>
        <v>0</v>
      </c>
      <c r="N245" s="76">
        <f t="shared" si="105"/>
        <v>1</v>
      </c>
      <c r="O245" s="77">
        <f t="shared" si="106"/>
        <v>0.92</v>
      </c>
      <c r="P245" s="76">
        <f t="shared" si="107"/>
        <v>0</v>
      </c>
      <c r="Q245" s="76">
        <f t="shared" si="108"/>
        <v>0</v>
      </c>
      <c r="R245" s="76">
        <f t="shared" si="109"/>
        <v>0</v>
      </c>
      <c r="S245" s="76">
        <f t="shared" si="110"/>
        <v>1</v>
      </c>
      <c r="T245" s="76">
        <f t="shared" si="111"/>
        <v>1</v>
      </c>
      <c r="U245" s="76">
        <f t="shared" si="112"/>
        <v>1</v>
      </c>
    </row>
    <row r="246" spans="1:21" x14ac:dyDescent="0.25">
      <c r="A246" s="71">
        <v>6</v>
      </c>
      <c r="B246" s="72">
        <f t="shared" si="113"/>
        <v>45809</v>
      </c>
      <c r="C246" s="73">
        <f t="shared" si="94"/>
        <v>45838</v>
      </c>
      <c r="D246" s="67">
        <f t="shared" si="95"/>
        <v>30</v>
      </c>
      <c r="E246" s="67">
        <f t="shared" si="96"/>
        <v>6</v>
      </c>
      <c r="F246" s="74">
        <f t="shared" si="97"/>
        <v>45824</v>
      </c>
      <c r="G246" s="67">
        <f t="shared" si="98"/>
        <v>24305</v>
      </c>
      <c r="H246" s="75">
        <f t="shared" si="99"/>
        <v>1</v>
      </c>
      <c r="I246" s="76">
        <f t="shared" si="100"/>
        <v>1</v>
      </c>
      <c r="J246" s="76">
        <f t="shared" si="101"/>
        <v>1</v>
      </c>
      <c r="K246" s="67">
        <f t="shared" si="102"/>
        <v>0</v>
      </c>
      <c r="L246" s="67">
        <f t="shared" si="103"/>
        <v>0</v>
      </c>
      <c r="M246" s="77">
        <f t="shared" si="104"/>
        <v>0</v>
      </c>
      <c r="N246" s="76">
        <f t="shared" si="105"/>
        <v>1</v>
      </c>
      <c r="O246" s="77">
        <f t="shared" si="106"/>
        <v>0.92</v>
      </c>
      <c r="P246" s="76">
        <f t="shared" si="107"/>
        <v>0</v>
      </c>
      <c r="Q246" s="76">
        <f t="shared" si="108"/>
        <v>0</v>
      </c>
      <c r="R246" s="76">
        <f t="shared" si="109"/>
        <v>0</v>
      </c>
      <c r="S246" s="76">
        <f t="shared" si="110"/>
        <v>1</v>
      </c>
      <c r="T246" s="76">
        <f t="shared" si="111"/>
        <v>1</v>
      </c>
      <c r="U246" s="76">
        <f t="shared" si="112"/>
        <v>1</v>
      </c>
    </row>
    <row r="247" spans="1:21" x14ac:dyDescent="0.25">
      <c r="A247" s="71">
        <v>7</v>
      </c>
      <c r="B247" s="72">
        <f t="shared" si="113"/>
        <v>45839</v>
      </c>
      <c r="C247" s="73">
        <f t="shared" si="94"/>
        <v>45869</v>
      </c>
      <c r="D247" s="67">
        <f t="shared" si="95"/>
        <v>31</v>
      </c>
      <c r="E247" s="67">
        <f t="shared" si="96"/>
        <v>7</v>
      </c>
      <c r="F247" s="74">
        <f t="shared" si="97"/>
        <v>45854.5</v>
      </c>
      <c r="G247" s="67">
        <f t="shared" si="98"/>
        <v>24306</v>
      </c>
      <c r="H247" s="75">
        <f t="shared" si="99"/>
        <v>1</v>
      </c>
      <c r="I247" s="76">
        <f t="shared" si="100"/>
        <v>1</v>
      </c>
      <c r="J247" s="76">
        <f t="shared" si="101"/>
        <v>1</v>
      </c>
      <c r="K247" s="67">
        <f t="shared" si="102"/>
        <v>0</v>
      </c>
      <c r="L247" s="67">
        <f t="shared" si="103"/>
        <v>0</v>
      </c>
      <c r="M247" s="77">
        <f t="shared" si="104"/>
        <v>0</v>
      </c>
      <c r="N247" s="76">
        <f t="shared" si="105"/>
        <v>1</v>
      </c>
      <c r="O247" s="77">
        <f t="shared" si="106"/>
        <v>0.92</v>
      </c>
      <c r="P247" s="76">
        <f t="shared" si="107"/>
        <v>8.333333333333337E-2</v>
      </c>
      <c r="Q247" s="76">
        <f t="shared" si="108"/>
        <v>0</v>
      </c>
      <c r="R247" s="76">
        <f t="shared" si="109"/>
        <v>0</v>
      </c>
      <c r="S247" s="76">
        <f t="shared" si="110"/>
        <v>1</v>
      </c>
      <c r="T247" s="76">
        <f t="shared" si="111"/>
        <v>1</v>
      </c>
      <c r="U247" s="76">
        <f t="shared" si="112"/>
        <v>1</v>
      </c>
    </row>
    <row r="248" spans="1:21" x14ac:dyDescent="0.25">
      <c r="A248" s="71">
        <v>8</v>
      </c>
      <c r="B248" s="72">
        <f t="shared" si="113"/>
        <v>45870</v>
      </c>
      <c r="C248" s="73">
        <f t="shared" si="94"/>
        <v>45900</v>
      </c>
      <c r="D248" s="67">
        <f t="shared" si="95"/>
        <v>31</v>
      </c>
      <c r="E248" s="67">
        <f t="shared" si="96"/>
        <v>8</v>
      </c>
      <c r="F248" s="74">
        <f t="shared" si="97"/>
        <v>45885.5</v>
      </c>
      <c r="G248" s="67">
        <f t="shared" si="98"/>
        <v>24307</v>
      </c>
      <c r="H248" s="75">
        <f t="shared" si="99"/>
        <v>1</v>
      </c>
      <c r="I248" s="76">
        <f t="shared" si="100"/>
        <v>1</v>
      </c>
      <c r="J248" s="76">
        <f t="shared" si="101"/>
        <v>1</v>
      </c>
      <c r="K248" s="67">
        <f t="shared" si="102"/>
        <v>0</v>
      </c>
      <c r="L248" s="67">
        <f t="shared" si="103"/>
        <v>0</v>
      </c>
      <c r="M248" s="77">
        <f t="shared" si="104"/>
        <v>0</v>
      </c>
      <c r="N248" s="76">
        <f t="shared" si="105"/>
        <v>1</v>
      </c>
      <c r="O248" s="77">
        <f t="shared" si="106"/>
        <v>0.92</v>
      </c>
      <c r="P248" s="76">
        <f t="shared" si="107"/>
        <v>0.25</v>
      </c>
      <c r="Q248" s="76">
        <f t="shared" si="108"/>
        <v>0</v>
      </c>
      <c r="R248" s="76">
        <f t="shared" si="109"/>
        <v>0</v>
      </c>
      <c r="S248" s="76">
        <f t="shared" si="110"/>
        <v>1</v>
      </c>
      <c r="T248" s="76">
        <f t="shared" si="111"/>
        <v>1</v>
      </c>
      <c r="U248" s="76">
        <f t="shared" si="112"/>
        <v>1</v>
      </c>
    </row>
    <row r="249" spans="1:21" x14ac:dyDescent="0.25">
      <c r="A249" s="71">
        <v>9</v>
      </c>
      <c r="B249" s="72">
        <f t="shared" si="113"/>
        <v>45901</v>
      </c>
      <c r="C249" s="73">
        <f t="shared" si="94"/>
        <v>45930</v>
      </c>
      <c r="D249" s="67">
        <f t="shared" si="95"/>
        <v>30</v>
      </c>
      <c r="E249" s="67">
        <f t="shared" si="96"/>
        <v>9</v>
      </c>
      <c r="F249" s="74">
        <f t="shared" si="97"/>
        <v>45916</v>
      </c>
      <c r="G249" s="67">
        <f t="shared" si="98"/>
        <v>24308</v>
      </c>
      <c r="H249" s="75">
        <f t="shared" si="99"/>
        <v>1</v>
      </c>
      <c r="I249" s="76">
        <f t="shared" si="100"/>
        <v>1</v>
      </c>
      <c r="J249" s="76">
        <f t="shared" si="101"/>
        <v>1</v>
      </c>
      <c r="K249" s="67">
        <f t="shared" si="102"/>
        <v>0</v>
      </c>
      <c r="L249" s="67">
        <f t="shared" si="103"/>
        <v>0</v>
      </c>
      <c r="M249" s="77">
        <f t="shared" si="104"/>
        <v>0</v>
      </c>
      <c r="N249" s="76">
        <f t="shared" si="105"/>
        <v>1</v>
      </c>
      <c r="O249" s="77">
        <f t="shared" si="106"/>
        <v>0.92</v>
      </c>
      <c r="P249" s="76">
        <f t="shared" si="107"/>
        <v>0.41666666666666663</v>
      </c>
      <c r="Q249" s="76">
        <f t="shared" si="108"/>
        <v>0</v>
      </c>
      <c r="R249" s="76">
        <f t="shared" si="109"/>
        <v>0</v>
      </c>
      <c r="S249" s="76">
        <f t="shared" si="110"/>
        <v>1</v>
      </c>
      <c r="T249" s="76">
        <f t="shared" si="111"/>
        <v>1</v>
      </c>
      <c r="U249" s="76">
        <f t="shared" si="112"/>
        <v>1</v>
      </c>
    </row>
    <row r="250" spans="1:21" x14ac:dyDescent="0.25">
      <c r="A250" s="71">
        <v>10</v>
      </c>
      <c r="B250" s="72">
        <f t="shared" si="113"/>
        <v>45931</v>
      </c>
      <c r="C250" s="73">
        <f t="shared" si="94"/>
        <v>45961</v>
      </c>
      <c r="D250" s="67">
        <f t="shared" si="95"/>
        <v>31</v>
      </c>
      <c r="E250" s="67">
        <f t="shared" si="96"/>
        <v>10</v>
      </c>
      <c r="F250" s="74">
        <f t="shared" si="97"/>
        <v>45946.5</v>
      </c>
      <c r="G250" s="67">
        <f t="shared" si="98"/>
        <v>24309</v>
      </c>
      <c r="H250" s="75">
        <f t="shared" si="99"/>
        <v>1</v>
      </c>
      <c r="I250" s="76">
        <f t="shared" si="100"/>
        <v>1</v>
      </c>
      <c r="J250" s="76">
        <f t="shared" si="101"/>
        <v>1</v>
      </c>
      <c r="K250" s="67">
        <f t="shared" si="102"/>
        <v>0</v>
      </c>
      <c r="L250" s="67">
        <f t="shared" si="103"/>
        <v>0</v>
      </c>
      <c r="M250" s="77">
        <f t="shared" si="104"/>
        <v>0</v>
      </c>
      <c r="N250" s="76">
        <f t="shared" si="105"/>
        <v>1</v>
      </c>
      <c r="O250" s="77">
        <f t="shared" si="106"/>
        <v>0.92</v>
      </c>
      <c r="P250" s="76">
        <f t="shared" si="107"/>
        <v>0.58333333333333326</v>
      </c>
      <c r="Q250" s="76">
        <f t="shared" si="108"/>
        <v>0</v>
      </c>
      <c r="R250" s="76">
        <f t="shared" si="109"/>
        <v>0</v>
      </c>
      <c r="S250" s="76">
        <f t="shared" si="110"/>
        <v>1</v>
      </c>
      <c r="T250" s="76">
        <f t="shared" si="111"/>
        <v>1</v>
      </c>
      <c r="U250" s="76">
        <f t="shared" si="112"/>
        <v>1</v>
      </c>
    </row>
    <row r="251" spans="1:21" x14ac:dyDescent="0.25">
      <c r="A251" s="71">
        <v>11</v>
      </c>
      <c r="B251" s="72">
        <f t="shared" si="113"/>
        <v>45962</v>
      </c>
      <c r="C251" s="73">
        <f t="shared" si="94"/>
        <v>45991</v>
      </c>
      <c r="D251" s="67">
        <f t="shared" si="95"/>
        <v>30</v>
      </c>
      <c r="E251" s="67">
        <f t="shared" si="96"/>
        <v>11</v>
      </c>
      <c r="F251" s="74">
        <f t="shared" si="97"/>
        <v>45977</v>
      </c>
      <c r="G251" s="67">
        <f t="shared" si="98"/>
        <v>24310</v>
      </c>
      <c r="H251" s="75">
        <f t="shared" si="99"/>
        <v>1</v>
      </c>
      <c r="I251" s="76">
        <f t="shared" si="100"/>
        <v>1</v>
      </c>
      <c r="J251" s="76">
        <f t="shared" si="101"/>
        <v>1</v>
      </c>
      <c r="K251" s="67">
        <f t="shared" si="102"/>
        <v>0</v>
      </c>
      <c r="L251" s="67">
        <f t="shared" si="103"/>
        <v>0</v>
      </c>
      <c r="M251" s="77">
        <f t="shared" si="104"/>
        <v>0</v>
      </c>
      <c r="N251" s="76">
        <f t="shared" si="105"/>
        <v>1</v>
      </c>
      <c r="O251" s="77">
        <f t="shared" si="106"/>
        <v>0.92</v>
      </c>
      <c r="P251" s="76">
        <f t="shared" si="107"/>
        <v>0.75</v>
      </c>
      <c r="Q251" s="76">
        <f t="shared" si="108"/>
        <v>0</v>
      </c>
      <c r="R251" s="76">
        <f t="shared" si="109"/>
        <v>0</v>
      </c>
      <c r="S251" s="76">
        <f t="shared" si="110"/>
        <v>1</v>
      </c>
      <c r="T251" s="76">
        <f t="shared" si="111"/>
        <v>1</v>
      </c>
      <c r="U251" s="76">
        <f t="shared" si="112"/>
        <v>1</v>
      </c>
    </row>
    <row r="252" spans="1:21" x14ac:dyDescent="0.25">
      <c r="A252" s="71">
        <v>12</v>
      </c>
      <c r="B252" s="72">
        <f t="shared" si="113"/>
        <v>45992</v>
      </c>
      <c r="C252" s="73">
        <f t="shared" si="94"/>
        <v>46022</v>
      </c>
      <c r="D252" s="67">
        <f t="shared" si="95"/>
        <v>31</v>
      </c>
      <c r="E252" s="67">
        <f t="shared" si="96"/>
        <v>12</v>
      </c>
      <c r="F252" s="74">
        <f t="shared" si="97"/>
        <v>46007.5</v>
      </c>
      <c r="G252" s="67">
        <f t="shared" si="98"/>
        <v>24311</v>
      </c>
      <c r="H252" s="75">
        <f t="shared" si="99"/>
        <v>1</v>
      </c>
      <c r="I252" s="76">
        <f t="shared" si="100"/>
        <v>1</v>
      </c>
      <c r="J252" s="76">
        <f t="shared" si="101"/>
        <v>1</v>
      </c>
      <c r="K252" s="67">
        <f t="shared" si="102"/>
        <v>0</v>
      </c>
      <c r="L252" s="67">
        <f t="shared" si="103"/>
        <v>0</v>
      </c>
      <c r="M252" s="77">
        <f t="shared" si="104"/>
        <v>0</v>
      </c>
      <c r="N252" s="76">
        <f t="shared" si="105"/>
        <v>1</v>
      </c>
      <c r="O252" s="77">
        <f t="shared" si="106"/>
        <v>0.92</v>
      </c>
      <c r="P252" s="76">
        <f t="shared" si="107"/>
        <v>0.91666666666666663</v>
      </c>
      <c r="Q252" s="76">
        <f t="shared" si="108"/>
        <v>0</v>
      </c>
      <c r="R252" s="76">
        <f t="shared" si="109"/>
        <v>0</v>
      </c>
      <c r="S252" s="76">
        <f t="shared" si="110"/>
        <v>1</v>
      </c>
      <c r="T252" s="76">
        <f t="shared" si="111"/>
        <v>1</v>
      </c>
      <c r="U252" s="76">
        <f t="shared" si="112"/>
        <v>1</v>
      </c>
    </row>
    <row r="253" spans="1:21" x14ac:dyDescent="0.25">
      <c r="A253" s="71">
        <v>13</v>
      </c>
      <c r="B253" s="72">
        <f t="shared" si="113"/>
        <v>46023</v>
      </c>
      <c r="C253" s="73">
        <f t="shared" si="94"/>
        <v>46053</v>
      </c>
      <c r="D253" s="67">
        <f t="shared" si="95"/>
        <v>31</v>
      </c>
      <c r="E253" s="67">
        <f t="shared" si="96"/>
        <v>1</v>
      </c>
      <c r="F253" s="74">
        <f t="shared" si="97"/>
        <v>46038.5</v>
      </c>
      <c r="G253" s="67">
        <f t="shared" si="98"/>
        <v>24312</v>
      </c>
      <c r="H253" s="75">
        <f t="shared" si="99"/>
        <v>1</v>
      </c>
      <c r="I253" s="76">
        <f t="shared" si="100"/>
        <v>1</v>
      </c>
      <c r="J253" s="76">
        <f t="shared" si="101"/>
        <v>1</v>
      </c>
      <c r="K253" s="67">
        <f t="shared" si="102"/>
        <v>0</v>
      </c>
      <c r="L253" s="67">
        <f t="shared" si="103"/>
        <v>0</v>
      </c>
      <c r="M253" s="77">
        <f t="shared" si="104"/>
        <v>0</v>
      </c>
      <c r="N253" s="76">
        <f t="shared" si="105"/>
        <v>1</v>
      </c>
      <c r="O253" s="77">
        <f t="shared" si="106"/>
        <v>0.92</v>
      </c>
      <c r="P253" s="76">
        <f t="shared" si="107"/>
        <v>1</v>
      </c>
      <c r="Q253" s="76">
        <f t="shared" si="108"/>
        <v>0</v>
      </c>
      <c r="R253" s="76">
        <f t="shared" si="109"/>
        <v>0</v>
      </c>
      <c r="S253" s="76">
        <f t="shared" si="110"/>
        <v>1</v>
      </c>
      <c r="T253" s="76">
        <f t="shared" si="111"/>
        <v>1</v>
      </c>
      <c r="U253" s="76">
        <f t="shared" si="112"/>
        <v>1</v>
      </c>
    </row>
    <row r="254" spans="1:21" x14ac:dyDescent="0.25">
      <c r="A254" s="71">
        <v>14</v>
      </c>
      <c r="B254" s="72">
        <f t="shared" si="113"/>
        <v>46054</v>
      </c>
      <c r="C254" s="73">
        <f t="shared" si="94"/>
        <v>46081</v>
      </c>
      <c r="D254" s="67">
        <f t="shared" si="95"/>
        <v>28</v>
      </c>
      <c r="E254" s="67">
        <f t="shared" si="96"/>
        <v>2</v>
      </c>
      <c r="F254" s="74">
        <f t="shared" si="97"/>
        <v>46068</v>
      </c>
      <c r="G254" s="67">
        <f t="shared" si="98"/>
        <v>24313</v>
      </c>
      <c r="H254" s="75">
        <f t="shared" si="99"/>
        <v>1</v>
      </c>
      <c r="I254" s="76">
        <f t="shared" si="100"/>
        <v>1</v>
      </c>
      <c r="J254" s="76">
        <f t="shared" si="101"/>
        <v>1</v>
      </c>
      <c r="K254" s="67">
        <f t="shared" si="102"/>
        <v>0</v>
      </c>
      <c r="L254" s="67">
        <f t="shared" si="103"/>
        <v>0</v>
      </c>
      <c r="M254" s="77">
        <f t="shared" si="104"/>
        <v>0</v>
      </c>
      <c r="N254" s="76">
        <f t="shared" si="105"/>
        <v>1</v>
      </c>
      <c r="O254" s="77">
        <f t="shared" si="106"/>
        <v>0.92</v>
      </c>
      <c r="P254" s="76">
        <f t="shared" si="107"/>
        <v>1</v>
      </c>
      <c r="Q254" s="76">
        <f t="shared" si="108"/>
        <v>0</v>
      </c>
      <c r="R254" s="76">
        <f t="shared" si="109"/>
        <v>0</v>
      </c>
      <c r="S254" s="76">
        <f t="shared" si="110"/>
        <v>1</v>
      </c>
      <c r="T254" s="76">
        <f t="shared" si="111"/>
        <v>1</v>
      </c>
      <c r="U254" s="76">
        <f t="shared" si="112"/>
        <v>1</v>
      </c>
    </row>
    <row r="255" spans="1:21" x14ac:dyDescent="0.25">
      <c r="A255" s="71">
        <v>15</v>
      </c>
      <c r="B255" s="72">
        <f t="shared" si="113"/>
        <v>46082</v>
      </c>
      <c r="C255" s="73">
        <f t="shared" si="94"/>
        <v>46112</v>
      </c>
      <c r="D255" s="67">
        <f t="shared" si="95"/>
        <v>31</v>
      </c>
      <c r="E255" s="67">
        <f t="shared" si="96"/>
        <v>3</v>
      </c>
      <c r="F255" s="74">
        <f t="shared" si="97"/>
        <v>46097.5</v>
      </c>
      <c r="G255" s="67">
        <f t="shared" si="98"/>
        <v>24314</v>
      </c>
      <c r="H255" s="75">
        <f t="shared" si="99"/>
        <v>1</v>
      </c>
      <c r="I255" s="76">
        <f t="shared" si="100"/>
        <v>1</v>
      </c>
      <c r="J255" s="76">
        <f t="shared" si="101"/>
        <v>1</v>
      </c>
      <c r="K255" s="67">
        <f t="shared" si="102"/>
        <v>0</v>
      </c>
      <c r="L255" s="67">
        <f t="shared" si="103"/>
        <v>0</v>
      </c>
      <c r="M255" s="77">
        <f t="shared" si="104"/>
        <v>0</v>
      </c>
      <c r="N255" s="76">
        <f t="shared" si="105"/>
        <v>1</v>
      </c>
      <c r="O255" s="77">
        <f t="shared" si="106"/>
        <v>0.92</v>
      </c>
      <c r="P255" s="76">
        <f t="shared" si="107"/>
        <v>1</v>
      </c>
      <c r="Q255" s="76">
        <f t="shared" si="108"/>
        <v>0</v>
      </c>
      <c r="R255" s="76">
        <f t="shared" si="109"/>
        <v>0</v>
      </c>
      <c r="S255" s="76">
        <f t="shared" si="110"/>
        <v>1</v>
      </c>
      <c r="T255" s="76">
        <f t="shared" si="111"/>
        <v>1</v>
      </c>
      <c r="U255" s="76">
        <f t="shared" si="112"/>
        <v>1</v>
      </c>
    </row>
    <row r="256" spans="1:21" x14ac:dyDescent="0.25">
      <c r="A256" s="71">
        <v>16</v>
      </c>
      <c r="B256" s="72">
        <f t="shared" si="113"/>
        <v>46113</v>
      </c>
      <c r="C256" s="73">
        <f t="shared" si="94"/>
        <v>46142</v>
      </c>
      <c r="D256" s="67">
        <f t="shared" si="95"/>
        <v>30</v>
      </c>
      <c r="E256" s="67">
        <f t="shared" si="96"/>
        <v>4</v>
      </c>
      <c r="F256" s="74">
        <f t="shared" si="97"/>
        <v>46128</v>
      </c>
      <c r="G256" s="67">
        <f t="shared" si="98"/>
        <v>24315</v>
      </c>
      <c r="H256" s="75">
        <f t="shared" si="99"/>
        <v>1</v>
      </c>
      <c r="I256" s="76">
        <f t="shared" si="100"/>
        <v>1</v>
      </c>
      <c r="J256" s="76">
        <f t="shared" si="101"/>
        <v>1.05</v>
      </c>
      <c r="K256" s="67">
        <f t="shared" si="102"/>
        <v>1</v>
      </c>
      <c r="L256" s="67">
        <f t="shared" si="103"/>
        <v>30</v>
      </c>
      <c r="M256" s="77">
        <f t="shared" si="104"/>
        <v>1</v>
      </c>
      <c r="N256" s="76">
        <f t="shared" si="105"/>
        <v>1.05</v>
      </c>
      <c r="O256" s="77">
        <f t="shared" si="106"/>
        <v>0.92</v>
      </c>
      <c r="P256" s="76">
        <f t="shared" si="107"/>
        <v>1</v>
      </c>
      <c r="Q256" s="76">
        <f t="shared" si="108"/>
        <v>0</v>
      </c>
      <c r="R256" s="76">
        <f t="shared" si="109"/>
        <v>0</v>
      </c>
      <c r="S256" s="76">
        <f t="shared" si="110"/>
        <v>1.05</v>
      </c>
      <c r="T256" s="76">
        <f t="shared" si="111"/>
        <v>1.05</v>
      </c>
      <c r="U256" s="76">
        <f t="shared" si="112"/>
        <v>1.05</v>
      </c>
    </row>
    <row r="257" spans="1:21" x14ac:dyDescent="0.25">
      <c r="A257" s="71">
        <v>17</v>
      </c>
      <c r="B257" s="72">
        <f t="shared" si="113"/>
        <v>46143</v>
      </c>
      <c r="C257" s="73">
        <f t="shared" si="94"/>
        <v>46173</v>
      </c>
      <c r="D257" s="67">
        <f t="shared" si="95"/>
        <v>31</v>
      </c>
      <c r="E257" s="67">
        <f t="shared" si="96"/>
        <v>5</v>
      </c>
      <c r="F257" s="74">
        <f t="shared" si="97"/>
        <v>46158.5</v>
      </c>
      <c r="G257" s="67">
        <f t="shared" si="98"/>
        <v>24316</v>
      </c>
      <c r="H257" s="75">
        <f t="shared" si="99"/>
        <v>1</v>
      </c>
      <c r="I257" s="76">
        <f t="shared" si="100"/>
        <v>1.05</v>
      </c>
      <c r="J257" s="76">
        <f t="shared" si="101"/>
        <v>1.05</v>
      </c>
      <c r="K257" s="67">
        <f t="shared" si="102"/>
        <v>0</v>
      </c>
      <c r="L257" s="67">
        <f t="shared" si="103"/>
        <v>0</v>
      </c>
      <c r="M257" s="77">
        <f t="shared" si="104"/>
        <v>0</v>
      </c>
      <c r="N257" s="76">
        <f t="shared" si="105"/>
        <v>1.05</v>
      </c>
      <c r="O257" s="77">
        <f t="shared" si="106"/>
        <v>0.92</v>
      </c>
      <c r="P257" s="76">
        <f t="shared" si="107"/>
        <v>1</v>
      </c>
      <c r="Q257" s="76">
        <f t="shared" si="108"/>
        <v>0</v>
      </c>
      <c r="R257" s="76">
        <f t="shared" si="109"/>
        <v>0</v>
      </c>
      <c r="S257" s="76">
        <f t="shared" si="110"/>
        <v>1.05</v>
      </c>
      <c r="T257" s="76">
        <f t="shared" si="111"/>
        <v>1.05</v>
      </c>
      <c r="U257" s="76">
        <f t="shared" si="112"/>
        <v>1.05</v>
      </c>
    </row>
    <row r="258" spans="1:21" x14ac:dyDescent="0.25">
      <c r="A258" s="71">
        <v>18</v>
      </c>
      <c r="B258" s="72">
        <f t="shared" si="113"/>
        <v>46174</v>
      </c>
      <c r="C258" s="73">
        <f t="shared" si="94"/>
        <v>46203</v>
      </c>
      <c r="D258" s="67">
        <f t="shared" si="95"/>
        <v>30</v>
      </c>
      <c r="E258" s="67">
        <f t="shared" si="96"/>
        <v>6</v>
      </c>
      <c r="F258" s="74">
        <f t="shared" si="97"/>
        <v>46189</v>
      </c>
      <c r="G258" s="67">
        <f t="shared" si="98"/>
        <v>24317</v>
      </c>
      <c r="H258" s="75">
        <f t="shared" si="99"/>
        <v>1</v>
      </c>
      <c r="I258" s="76">
        <f t="shared" si="100"/>
        <v>1.05</v>
      </c>
      <c r="J258" s="76">
        <f t="shared" si="101"/>
        <v>1.05</v>
      </c>
      <c r="K258" s="67">
        <f t="shared" si="102"/>
        <v>0</v>
      </c>
      <c r="L258" s="67">
        <f t="shared" si="103"/>
        <v>0</v>
      </c>
      <c r="M258" s="77">
        <f t="shared" si="104"/>
        <v>0</v>
      </c>
      <c r="N258" s="76">
        <f t="shared" si="105"/>
        <v>1.05</v>
      </c>
      <c r="O258" s="77">
        <f t="shared" si="106"/>
        <v>0.92</v>
      </c>
      <c r="P258" s="76">
        <f t="shared" si="107"/>
        <v>1</v>
      </c>
      <c r="Q258" s="76">
        <f t="shared" si="108"/>
        <v>0</v>
      </c>
      <c r="R258" s="76">
        <f t="shared" si="109"/>
        <v>0</v>
      </c>
      <c r="S258" s="76">
        <f t="shared" si="110"/>
        <v>1.05</v>
      </c>
      <c r="T258" s="76">
        <f t="shared" si="111"/>
        <v>1.05</v>
      </c>
      <c r="U258" s="76">
        <f t="shared" si="112"/>
        <v>1.05</v>
      </c>
    </row>
    <row r="259" spans="1:21" x14ac:dyDescent="0.25">
      <c r="A259" s="71">
        <v>19</v>
      </c>
      <c r="B259" s="72">
        <f t="shared" si="113"/>
        <v>46204</v>
      </c>
      <c r="C259" s="73">
        <f t="shared" si="94"/>
        <v>46234</v>
      </c>
      <c r="D259" s="67">
        <f t="shared" si="95"/>
        <v>31</v>
      </c>
      <c r="E259" s="67">
        <f t="shared" si="96"/>
        <v>7</v>
      </c>
      <c r="F259" s="74">
        <f t="shared" si="97"/>
        <v>46219.5</v>
      </c>
      <c r="G259" s="67">
        <f t="shared" si="98"/>
        <v>24318</v>
      </c>
      <c r="H259" s="75">
        <f t="shared" si="99"/>
        <v>1</v>
      </c>
      <c r="I259" s="76">
        <f t="shared" si="100"/>
        <v>1.05</v>
      </c>
      <c r="J259" s="76">
        <f t="shared" si="101"/>
        <v>1.05</v>
      </c>
      <c r="K259" s="67">
        <f t="shared" si="102"/>
        <v>0</v>
      </c>
      <c r="L259" s="67">
        <f t="shared" si="103"/>
        <v>0</v>
      </c>
      <c r="M259" s="77">
        <f t="shared" si="104"/>
        <v>0</v>
      </c>
      <c r="N259" s="76">
        <f t="shared" si="105"/>
        <v>1.05</v>
      </c>
      <c r="O259" s="77">
        <f t="shared" si="106"/>
        <v>0.92</v>
      </c>
      <c r="P259" s="76">
        <f t="shared" si="107"/>
        <v>0.91666666666666663</v>
      </c>
      <c r="Q259" s="76">
        <f t="shared" si="108"/>
        <v>8.333333333333337E-2</v>
      </c>
      <c r="R259" s="76">
        <f t="shared" si="109"/>
        <v>0</v>
      </c>
      <c r="S259" s="76">
        <f t="shared" si="110"/>
        <v>1.05</v>
      </c>
      <c r="T259" s="76">
        <f t="shared" si="111"/>
        <v>1.05</v>
      </c>
      <c r="U259" s="76">
        <f t="shared" si="112"/>
        <v>1.05</v>
      </c>
    </row>
    <row r="260" spans="1:21" x14ac:dyDescent="0.25">
      <c r="A260" s="71">
        <v>20</v>
      </c>
      <c r="B260" s="72">
        <f t="shared" si="113"/>
        <v>46235</v>
      </c>
      <c r="C260" s="73">
        <f t="shared" si="94"/>
        <v>46265</v>
      </c>
      <c r="D260" s="67">
        <f t="shared" si="95"/>
        <v>31</v>
      </c>
      <c r="E260" s="67">
        <f t="shared" si="96"/>
        <v>8</v>
      </c>
      <c r="F260" s="74">
        <f t="shared" si="97"/>
        <v>46250.5</v>
      </c>
      <c r="G260" s="67">
        <f t="shared" si="98"/>
        <v>24319</v>
      </c>
      <c r="H260" s="75">
        <f t="shared" si="99"/>
        <v>1</v>
      </c>
      <c r="I260" s="76">
        <f t="shared" si="100"/>
        <v>1.05</v>
      </c>
      <c r="J260" s="76">
        <f t="shared" si="101"/>
        <v>1.05</v>
      </c>
      <c r="K260" s="67">
        <f t="shared" si="102"/>
        <v>0</v>
      </c>
      <c r="L260" s="67">
        <f t="shared" si="103"/>
        <v>0</v>
      </c>
      <c r="M260" s="77">
        <f t="shared" si="104"/>
        <v>0</v>
      </c>
      <c r="N260" s="76">
        <f t="shared" si="105"/>
        <v>1.05</v>
      </c>
      <c r="O260" s="77">
        <f t="shared" si="106"/>
        <v>0.92</v>
      </c>
      <c r="P260" s="76">
        <f t="shared" si="107"/>
        <v>0.75</v>
      </c>
      <c r="Q260" s="76">
        <f t="shared" si="108"/>
        <v>0.25</v>
      </c>
      <c r="R260" s="76">
        <f t="shared" si="109"/>
        <v>0</v>
      </c>
      <c r="S260" s="76">
        <f t="shared" si="110"/>
        <v>1.05</v>
      </c>
      <c r="T260" s="76">
        <f t="shared" si="111"/>
        <v>1.05</v>
      </c>
      <c r="U260" s="76">
        <f t="shared" si="112"/>
        <v>1.05</v>
      </c>
    </row>
    <row r="261" spans="1:21" x14ac:dyDescent="0.25">
      <c r="A261" s="71">
        <v>21</v>
      </c>
      <c r="B261" s="72">
        <f t="shared" si="113"/>
        <v>46266</v>
      </c>
      <c r="C261" s="73">
        <f t="shared" si="94"/>
        <v>46295</v>
      </c>
      <c r="D261" s="67">
        <f t="shared" si="95"/>
        <v>30</v>
      </c>
      <c r="E261" s="67">
        <f t="shared" si="96"/>
        <v>9</v>
      </c>
      <c r="F261" s="74">
        <f t="shared" si="97"/>
        <v>46281</v>
      </c>
      <c r="G261" s="67">
        <f t="shared" si="98"/>
        <v>24320</v>
      </c>
      <c r="H261" s="75">
        <f t="shared" si="99"/>
        <v>1</v>
      </c>
      <c r="I261" s="76">
        <f t="shared" si="100"/>
        <v>1.05</v>
      </c>
      <c r="J261" s="76">
        <f t="shared" si="101"/>
        <v>1.05</v>
      </c>
      <c r="K261" s="67">
        <f t="shared" si="102"/>
        <v>0</v>
      </c>
      <c r="L261" s="67">
        <f t="shared" si="103"/>
        <v>0</v>
      </c>
      <c r="M261" s="77">
        <f t="shared" si="104"/>
        <v>0</v>
      </c>
      <c r="N261" s="76">
        <f t="shared" si="105"/>
        <v>1.05</v>
      </c>
      <c r="O261" s="77">
        <f t="shared" si="106"/>
        <v>0.92</v>
      </c>
      <c r="P261" s="76">
        <f t="shared" si="107"/>
        <v>0.58333333333333337</v>
      </c>
      <c r="Q261" s="76">
        <f t="shared" si="108"/>
        <v>0.41666666666666663</v>
      </c>
      <c r="R261" s="76">
        <f t="shared" si="109"/>
        <v>0</v>
      </c>
      <c r="S261" s="76">
        <f t="shared" si="110"/>
        <v>1.05</v>
      </c>
      <c r="T261" s="76">
        <f t="shared" si="111"/>
        <v>1.05</v>
      </c>
      <c r="U261" s="76">
        <f t="shared" si="112"/>
        <v>1.05</v>
      </c>
    </row>
    <row r="262" spans="1:21" x14ac:dyDescent="0.25">
      <c r="A262" s="71">
        <v>22</v>
      </c>
      <c r="B262" s="72">
        <f t="shared" si="113"/>
        <v>46296</v>
      </c>
      <c r="C262" s="73">
        <f t="shared" si="94"/>
        <v>46326</v>
      </c>
      <c r="D262" s="67">
        <f t="shared" si="95"/>
        <v>31</v>
      </c>
      <c r="E262" s="67">
        <f t="shared" si="96"/>
        <v>10</v>
      </c>
      <c r="F262" s="74">
        <f t="shared" si="97"/>
        <v>46311.5</v>
      </c>
      <c r="G262" s="67">
        <f t="shared" si="98"/>
        <v>24321</v>
      </c>
      <c r="H262" s="75">
        <f t="shared" si="99"/>
        <v>1</v>
      </c>
      <c r="I262" s="76">
        <f t="shared" si="100"/>
        <v>1.05</v>
      </c>
      <c r="J262" s="76">
        <f t="shared" si="101"/>
        <v>1.05</v>
      </c>
      <c r="K262" s="67">
        <f t="shared" si="102"/>
        <v>0</v>
      </c>
      <c r="L262" s="67">
        <f t="shared" si="103"/>
        <v>0</v>
      </c>
      <c r="M262" s="77">
        <f t="shared" si="104"/>
        <v>0</v>
      </c>
      <c r="N262" s="76">
        <f t="shared" si="105"/>
        <v>1.05</v>
      </c>
      <c r="O262" s="77">
        <f t="shared" si="106"/>
        <v>0.92</v>
      </c>
      <c r="P262" s="76">
        <f t="shared" si="107"/>
        <v>0.41666666666666669</v>
      </c>
      <c r="Q262" s="76">
        <f t="shared" si="108"/>
        <v>0.58333333333333326</v>
      </c>
      <c r="R262" s="76">
        <f t="shared" si="109"/>
        <v>0</v>
      </c>
      <c r="S262" s="76">
        <f t="shared" si="110"/>
        <v>1.05</v>
      </c>
      <c r="T262" s="76">
        <f t="shared" si="111"/>
        <v>1.05</v>
      </c>
      <c r="U262" s="76">
        <f t="shared" si="112"/>
        <v>1.05</v>
      </c>
    </row>
    <row r="263" spans="1:21" x14ac:dyDescent="0.25">
      <c r="A263" s="71">
        <v>23</v>
      </c>
      <c r="B263" s="72">
        <f t="shared" si="113"/>
        <v>46327</v>
      </c>
      <c r="C263" s="73">
        <f t="shared" si="94"/>
        <v>46356</v>
      </c>
      <c r="D263" s="67">
        <f t="shared" si="95"/>
        <v>30</v>
      </c>
      <c r="E263" s="67">
        <f t="shared" si="96"/>
        <v>11</v>
      </c>
      <c r="F263" s="74">
        <f t="shared" si="97"/>
        <v>46342</v>
      </c>
      <c r="G263" s="67">
        <f t="shared" si="98"/>
        <v>24322</v>
      </c>
      <c r="H263" s="75">
        <f t="shared" si="99"/>
        <v>1</v>
      </c>
      <c r="I263" s="76">
        <f t="shared" si="100"/>
        <v>1.05</v>
      </c>
      <c r="J263" s="76">
        <f t="shared" si="101"/>
        <v>1.05</v>
      </c>
      <c r="K263" s="67">
        <f t="shared" si="102"/>
        <v>0</v>
      </c>
      <c r="L263" s="67">
        <f t="shared" si="103"/>
        <v>0</v>
      </c>
      <c r="M263" s="77">
        <f t="shared" si="104"/>
        <v>0</v>
      </c>
      <c r="N263" s="76">
        <f t="shared" si="105"/>
        <v>1.05</v>
      </c>
      <c r="O263" s="77">
        <f t="shared" si="106"/>
        <v>0.92</v>
      </c>
      <c r="P263" s="76">
        <f t="shared" si="107"/>
        <v>0.25</v>
      </c>
      <c r="Q263" s="76">
        <f t="shared" si="108"/>
        <v>0.75</v>
      </c>
      <c r="R263" s="76">
        <f t="shared" si="109"/>
        <v>0</v>
      </c>
      <c r="S263" s="76">
        <f t="shared" si="110"/>
        <v>1.05</v>
      </c>
      <c r="T263" s="76">
        <f t="shared" si="111"/>
        <v>1.05</v>
      </c>
      <c r="U263" s="76">
        <f t="shared" si="112"/>
        <v>1.05</v>
      </c>
    </row>
    <row r="264" spans="1:21" x14ac:dyDescent="0.25">
      <c r="A264" s="71">
        <v>24</v>
      </c>
      <c r="B264" s="72">
        <f t="shared" si="113"/>
        <v>46357</v>
      </c>
      <c r="C264" s="73">
        <f t="shared" si="94"/>
        <v>46387</v>
      </c>
      <c r="D264" s="67">
        <f t="shared" si="95"/>
        <v>31</v>
      </c>
      <c r="E264" s="67">
        <f t="shared" si="96"/>
        <v>12</v>
      </c>
      <c r="F264" s="74">
        <f t="shared" si="97"/>
        <v>46372.5</v>
      </c>
      <c r="G264" s="67">
        <f t="shared" si="98"/>
        <v>24323</v>
      </c>
      <c r="H264" s="75">
        <f t="shared" si="99"/>
        <v>1</v>
      </c>
      <c r="I264" s="76">
        <f t="shared" si="100"/>
        <v>1.05</v>
      </c>
      <c r="J264" s="76">
        <f t="shared" si="101"/>
        <v>1.05</v>
      </c>
      <c r="K264" s="67">
        <f t="shared" si="102"/>
        <v>0</v>
      </c>
      <c r="L264" s="67">
        <f t="shared" si="103"/>
        <v>0</v>
      </c>
      <c r="M264" s="77">
        <f t="shared" si="104"/>
        <v>0</v>
      </c>
      <c r="N264" s="76">
        <f t="shared" si="105"/>
        <v>1.05</v>
      </c>
      <c r="O264" s="77">
        <f t="shared" si="106"/>
        <v>0.92</v>
      </c>
      <c r="P264" s="76">
        <f t="shared" si="107"/>
        <v>8.3333333333333329E-2</v>
      </c>
      <c r="Q264" s="76">
        <f t="shared" si="108"/>
        <v>0.91666666666666663</v>
      </c>
      <c r="R264" s="76">
        <f t="shared" si="109"/>
        <v>0</v>
      </c>
      <c r="S264" s="76">
        <f t="shared" si="110"/>
        <v>1.05</v>
      </c>
      <c r="T264" s="76">
        <f t="shared" si="111"/>
        <v>1.05</v>
      </c>
      <c r="U264" s="76">
        <f t="shared" si="112"/>
        <v>1.05</v>
      </c>
    </row>
    <row r="265" spans="1:21" x14ac:dyDescent="0.25">
      <c r="A265" s="71">
        <v>25</v>
      </c>
      <c r="B265" s="72">
        <f t="shared" si="113"/>
        <v>46388</v>
      </c>
      <c r="C265" s="73">
        <f t="shared" si="94"/>
        <v>46418</v>
      </c>
      <c r="D265" s="67">
        <f t="shared" si="95"/>
        <v>31</v>
      </c>
      <c r="E265" s="67">
        <f t="shared" si="96"/>
        <v>1</v>
      </c>
      <c r="F265" s="74">
        <f t="shared" si="97"/>
        <v>46403.5</v>
      </c>
      <c r="G265" s="67">
        <f t="shared" si="98"/>
        <v>24324</v>
      </c>
      <c r="H265" s="75">
        <f t="shared" si="99"/>
        <v>1</v>
      </c>
      <c r="I265" s="76">
        <f t="shared" si="100"/>
        <v>1.05</v>
      </c>
      <c r="J265" s="76">
        <f t="shared" si="101"/>
        <v>1.05</v>
      </c>
      <c r="K265" s="67">
        <f t="shared" si="102"/>
        <v>0</v>
      </c>
      <c r="L265" s="67">
        <f t="shared" si="103"/>
        <v>0</v>
      </c>
      <c r="M265" s="77">
        <f t="shared" si="104"/>
        <v>0</v>
      </c>
      <c r="N265" s="76">
        <f t="shared" si="105"/>
        <v>1.05</v>
      </c>
      <c r="O265" s="77">
        <f t="shared" si="106"/>
        <v>0.92</v>
      </c>
      <c r="P265" s="76">
        <f t="shared" si="107"/>
        <v>0</v>
      </c>
      <c r="Q265" s="76">
        <f t="shared" si="108"/>
        <v>1</v>
      </c>
      <c r="R265" s="76">
        <f t="shared" si="109"/>
        <v>0</v>
      </c>
      <c r="S265" s="76">
        <f t="shared" si="110"/>
        <v>1.05</v>
      </c>
      <c r="T265" s="76">
        <f t="shared" si="111"/>
        <v>1</v>
      </c>
      <c r="U265" s="76">
        <f t="shared" si="112"/>
        <v>1.05</v>
      </c>
    </row>
    <row r="266" spans="1:21" x14ac:dyDescent="0.25">
      <c r="A266" s="71">
        <v>26</v>
      </c>
      <c r="B266" s="72">
        <f t="shared" si="113"/>
        <v>46419</v>
      </c>
      <c r="C266" s="73">
        <f t="shared" si="94"/>
        <v>46446</v>
      </c>
      <c r="D266" s="67">
        <f t="shared" si="95"/>
        <v>28</v>
      </c>
      <c r="E266" s="67">
        <f t="shared" si="96"/>
        <v>2</v>
      </c>
      <c r="F266" s="74">
        <f t="shared" si="97"/>
        <v>46433</v>
      </c>
      <c r="G266" s="67">
        <f t="shared" si="98"/>
        <v>24325</v>
      </c>
      <c r="H266" s="75">
        <f t="shared" si="99"/>
        <v>1</v>
      </c>
      <c r="I266" s="76">
        <f t="shared" si="100"/>
        <v>1.05</v>
      </c>
      <c r="J266" s="76">
        <f t="shared" si="101"/>
        <v>1.05</v>
      </c>
      <c r="K266" s="67">
        <f t="shared" si="102"/>
        <v>0</v>
      </c>
      <c r="L266" s="67">
        <f t="shared" si="103"/>
        <v>0</v>
      </c>
      <c r="M266" s="77">
        <f t="shared" si="104"/>
        <v>0</v>
      </c>
      <c r="N266" s="76">
        <f t="shared" si="105"/>
        <v>1.05</v>
      </c>
      <c r="O266" s="77">
        <f t="shared" si="106"/>
        <v>0.92</v>
      </c>
      <c r="P266" s="76">
        <f t="shared" si="107"/>
        <v>0</v>
      </c>
      <c r="Q266" s="76">
        <f t="shared" si="108"/>
        <v>1</v>
      </c>
      <c r="R266" s="76">
        <f t="shared" si="109"/>
        <v>0</v>
      </c>
      <c r="S266" s="76">
        <f t="shared" si="110"/>
        <v>1.05</v>
      </c>
      <c r="T266" s="76">
        <f t="shared" si="111"/>
        <v>1</v>
      </c>
      <c r="U266" s="76">
        <f t="shared" si="112"/>
        <v>1.05</v>
      </c>
    </row>
    <row r="267" spans="1:21" x14ac:dyDescent="0.25">
      <c r="A267" s="71">
        <v>27</v>
      </c>
      <c r="B267" s="72">
        <f t="shared" si="113"/>
        <v>46447</v>
      </c>
      <c r="C267" s="73">
        <f t="shared" si="94"/>
        <v>46477</v>
      </c>
      <c r="D267" s="67">
        <f t="shared" si="95"/>
        <v>31</v>
      </c>
      <c r="E267" s="67">
        <f t="shared" si="96"/>
        <v>3</v>
      </c>
      <c r="F267" s="74">
        <f t="shared" si="97"/>
        <v>46462.5</v>
      </c>
      <c r="G267" s="67">
        <f t="shared" si="98"/>
        <v>24326</v>
      </c>
      <c r="H267" s="75">
        <f t="shared" si="99"/>
        <v>1</v>
      </c>
      <c r="I267" s="76">
        <f t="shared" si="100"/>
        <v>1.05</v>
      </c>
      <c r="J267" s="76">
        <f t="shared" si="101"/>
        <v>1.05</v>
      </c>
      <c r="K267" s="67">
        <f t="shared" si="102"/>
        <v>0</v>
      </c>
      <c r="L267" s="67">
        <f t="shared" si="103"/>
        <v>0</v>
      </c>
      <c r="M267" s="77">
        <f t="shared" si="104"/>
        <v>0</v>
      </c>
      <c r="N267" s="76">
        <f t="shared" si="105"/>
        <v>1.05</v>
      </c>
      <c r="O267" s="77">
        <f t="shared" si="106"/>
        <v>0.92</v>
      </c>
      <c r="P267" s="76">
        <f t="shared" si="107"/>
        <v>0</v>
      </c>
      <c r="Q267" s="76">
        <f t="shared" si="108"/>
        <v>1</v>
      </c>
      <c r="R267" s="76">
        <f t="shared" si="109"/>
        <v>0</v>
      </c>
      <c r="S267" s="76">
        <f t="shared" si="110"/>
        <v>1.05</v>
      </c>
      <c r="T267" s="76">
        <f t="shared" si="111"/>
        <v>1</v>
      </c>
      <c r="U267" s="76">
        <f t="shared" si="112"/>
        <v>1.05</v>
      </c>
    </row>
    <row r="268" spans="1:21" x14ac:dyDescent="0.25">
      <c r="A268" s="71">
        <v>28</v>
      </c>
      <c r="B268" s="72">
        <f t="shared" si="113"/>
        <v>46478</v>
      </c>
      <c r="C268" s="73">
        <f t="shared" si="94"/>
        <v>46507</v>
      </c>
      <c r="D268" s="67">
        <f t="shared" si="95"/>
        <v>30</v>
      </c>
      <c r="E268" s="67">
        <f t="shared" si="96"/>
        <v>4</v>
      </c>
      <c r="F268" s="74">
        <f t="shared" si="97"/>
        <v>46493</v>
      </c>
      <c r="G268" s="67">
        <f t="shared" si="98"/>
        <v>24327</v>
      </c>
      <c r="H268" s="75">
        <f t="shared" si="99"/>
        <v>1</v>
      </c>
      <c r="I268" s="76">
        <f t="shared" si="100"/>
        <v>1.05</v>
      </c>
      <c r="J268" s="76">
        <f t="shared" si="101"/>
        <v>1.05</v>
      </c>
      <c r="K268" s="67">
        <f t="shared" si="102"/>
        <v>0</v>
      </c>
      <c r="L268" s="67">
        <f t="shared" si="103"/>
        <v>0</v>
      </c>
      <c r="M268" s="77">
        <f t="shared" si="104"/>
        <v>0</v>
      </c>
      <c r="N268" s="76">
        <f t="shared" si="105"/>
        <v>1.05</v>
      </c>
      <c r="O268" s="77">
        <f t="shared" si="106"/>
        <v>0.92</v>
      </c>
      <c r="P268" s="76">
        <f t="shared" si="107"/>
        <v>0</v>
      </c>
      <c r="Q268" s="76">
        <f t="shared" si="108"/>
        <v>1</v>
      </c>
      <c r="R268" s="76">
        <f t="shared" si="109"/>
        <v>0</v>
      </c>
      <c r="S268" s="76">
        <f t="shared" si="110"/>
        <v>1.05</v>
      </c>
      <c r="T268" s="76">
        <f t="shared" si="111"/>
        <v>1.05</v>
      </c>
      <c r="U268" s="76">
        <f t="shared" si="112"/>
        <v>1.05</v>
      </c>
    </row>
    <row r="269" spans="1:21" x14ac:dyDescent="0.25">
      <c r="A269" s="71">
        <v>29</v>
      </c>
      <c r="B269" s="72">
        <f t="shared" si="113"/>
        <v>46508</v>
      </c>
      <c r="C269" s="73">
        <f t="shared" si="94"/>
        <v>46538</v>
      </c>
      <c r="D269" s="67">
        <f t="shared" si="95"/>
        <v>31</v>
      </c>
      <c r="E269" s="67">
        <f t="shared" si="96"/>
        <v>5</v>
      </c>
      <c r="F269" s="74">
        <f t="shared" si="97"/>
        <v>46523.5</v>
      </c>
      <c r="G269" s="67">
        <f t="shared" si="98"/>
        <v>24328</v>
      </c>
      <c r="H269" s="75">
        <f t="shared" si="99"/>
        <v>1</v>
      </c>
      <c r="I269" s="76">
        <f t="shared" si="100"/>
        <v>1.05</v>
      </c>
      <c r="J269" s="76">
        <f t="shared" si="101"/>
        <v>1.05</v>
      </c>
      <c r="K269" s="67">
        <f t="shared" si="102"/>
        <v>0</v>
      </c>
      <c r="L269" s="67">
        <f t="shared" si="103"/>
        <v>0</v>
      </c>
      <c r="M269" s="77">
        <f t="shared" si="104"/>
        <v>0</v>
      </c>
      <c r="N269" s="76">
        <f t="shared" si="105"/>
        <v>1.05</v>
      </c>
      <c r="O269" s="77">
        <f t="shared" si="106"/>
        <v>0.92</v>
      </c>
      <c r="P269" s="76">
        <f t="shared" si="107"/>
        <v>0</v>
      </c>
      <c r="Q269" s="76">
        <f t="shared" si="108"/>
        <v>1</v>
      </c>
      <c r="R269" s="76">
        <f t="shared" si="109"/>
        <v>0</v>
      </c>
      <c r="S269" s="76">
        <f t="shared" si="110"/>
        <v>1.05</v>
      </c>
      <c r="T269" s="76">
        <f t="shared" si="111"/>
        <v>1.05</v>
      </c>
      <c r="U269" s="76">
        <f t="shared" si="112"/>
        <v>1.05</v>
      </c>
    </row>
    <row r="270" spans="1:21" x14ac:dyDescent="0.25">
      <c r="A270" s="71">
        <v>30</v>
      </c>
      <c r="B270" s="72">
        <f t="shared" si="113"/>
        <v>46539</v>
      </c>
      <c r="C270" s="73">
        <f t="shared" si="94"/>
        <v>46568</v>
      </c>
      <c r="D270" s="67">
        <f t="shared" si="95"/>
        <v>30</v>
      </c>
      <c r="E270" s="67">
        <f t="shared" si="96"/>
        <v>6</v>
      </c>
      <c r="F270" s="74">
        <f t="shared" si="97"/>
        <v>46554</v>
      </c>
      <c r="G270" s="67">
        <f t="shared" si="98"/>
        <v>24329</v>
      </c>
      <c r="H270" s="75">
        <f t="shared" si="99"/>
        <v>1</v>
      </c>
      <c r="I270" s="76">
        <f t="shared" si="100"/>
        <v>1.05</v>
      </c>
      <c r="J270" s="76">
        <f t="shared" si="101"/>
        <v>1.05</v>
      </c>
      <c r="K270" s="67">
        <f t="shared" si="102"/>
        <v>0</v>
      </c>
      <c r="L270" s="67">
        <f t="shared" si="103"/>
        <v>0</v>
      </c>
      <c r="M270" s="77">
        <f t="shared" si="104"/>
        <v>0</v>
      </c>
      <c r="N270" s="76">
        <f t="shared" si="105"/>
        <v>1.05</v>
      </c>
      <c r="O270" s="77">
        <f t="shared" si="106"/>
        <v>0.92</v>
      </c>
      <c r="P270" s="76">
        <f t="shared" si="107"/>
        <v>0</v>
      </c>
      <c r="Q270" s="76">
        <f t="shared" si="108"/>
        <v>1</v>
      </c>
      <c r="R270" s="76">
        <f t="shared" si="109"/>
        <v>0</v>
      </c>
      <c r="S270" s="76">
        <f t="shared" si="110"/>
        <v>1.05</v>
      </c>
      <c r="T270" s="76">
        <f t="shared" si="111"/>
        <v>1.05</v>
      </c>
      <c r="U270" s="76">
        <f t="shared" si="112"/>
        <v>1.05</v>
      </c>
    </row>
    <row r="271" spans="1:21" x14ac:dyDescent="0.25">
      <c r="A271" s="71">
        <v>31</v>
      </c>
      <c r="B271" s="72">
        <f t="shared" si="113"/>
        <v>46569</v>
      </c>
      <c r="C271" s="73">
        <f t="shared" si="94"/>
        <v>46599</v>
      </c>
      <c r="D271" s="67">
        <f t="shared" si="95"/>
        <v>31</v>
      </c>
      <c r="E271" s="67">
        <f t="shared" si="96"/>
        <v>7</v>
      </c>
      <c r="F271" s="74">
        <f t="shared" si="97"/>
        <v>46584.5</v>
      </c>
      <c r="G271" s="67">
        <f t="shared" si="98"/>
        <v>24330</v>
      </c>
      <c r="H271" s="75">
        <f t="shared" si="99"/>
        <v>1</v>
      </c>
      <c r="I271" s="76">
        <f t="shared" si="100"/>
        <v>1.05</v>
      </c>
      <c r="J271" s="76">
        <f t="shared" si="101"/>
        <v>1.05</v>
      </c>
      <c r="K271" s="67">
        <f t="shared" si="102"/>
        <v>0</v>
      </c>
      <c r="L271" s="67">
        <f t="shared" si="103"/>
        <v>0</v>
      </c>
      <c r="M271" s="77">
        <f t="shared" si="104"/>
        <v>0</v>
      </c>
      <c r="N271" s="76">
        <f t="shared" si="105"/>
        <v>1.05</v>
      </c>
      <c r="O271" s="77">
        <f t="shared" si="106"/>
        <v>0.92</v>
      </c>
      <c r="P271" s="76">
        <f t="shared" si="107"/>
        <v>0</v>
      </c>
      <c r="Q271" s="76">
        <f t="shared" si="108"/>
        <v>0.91666666666666663</v>
      </c>
      <c r="R271" s="76">
        <f t="shared" si="109"/>
        <v>8.333333333333337E-2</v>
      </c>
      <c r="S271" s="76">
        <f t="shared" si="110"/>
        <v>1.05</v>
      </c>
      <c r="T271" s="76">
        <f t="shared" si="111"/>
        <v>1.05</v>
      </c>
      <c r="U271" s="76">
        <f t="shared" si="112"/>
        <v>1.05</v>
      </c>
    </row>
    <row r="272" spans="1:21" x14ac:dyDescent="0.25">
      <c r="A272" s="71">
        <v>32</v>
      </c>
      <c r="B272" s="72">
        <f t="shared" si="113"/>
        <v>46600</v>
      </c>
      <c r="C272" s="73">
        <f t="shared" si="94"/>
        <v>46630</v>
      </c>
      <c r="D272" s="67">
        <f t="shared" si="95"/>
        <v>31</v>
      </c>
      <c r="E272" s="67">
        <f t="shared" si="96"/>
        <v>8</v>
      </c>
      <c r="F272" s="74">
        <f t="shared" si="97"/>
        <v>46615.5</v>
      </c>
      <c r="G272" s="67">
        <f t="shared" si="98"/>
        <v>24331</v>
      </c>
      <c r="H272" s="75">
        <f t="shared" si="99"/>
        <v>1</v>
      </c>
      <c r="I272" s="76">
        <f t="shared" si="100"/>
        <v>1.05</v>
      </c>
      <c r="J272" s="76">
        <f t="shared" si="101"/>
        <v>1.05</v>
      </c>
      <c r="K272" s="67">
        <f t="shared" si="102"/>
        <v>0</v>
      </c>
      <c r="L272" s="67">
        <f t="shared" si="103"/>
        <v>0</v>
      </c>
      <c r="M272" s="77">
        <f t="shared" si="104"/>
        <v>0</v>
      </c>
      <c r="N272" s="76">
        <f t="shared" si="105"/>
        <v>1.05</v>
      </c>
      <c r="O272" s="77">
        <f t="shared" si="106"/>
        <v>0.92</v>
      </c>
      <c r="P272" s="76">
        <f t="shared" si="107"/>
        <v>0</v>
      </c>
      <c r="Q272" s="76">
        <f t="shared" si="108"/>
        <v>0.75</v>
      </c>
      <c r="R272" s="76">
        <f t="shared" si="109"/>
        <v>0.25</v>
      </c>
      <c r="S272" s="76">
        <f t="shared" si="110"/>
        <v>1.05</v>
      </c>
      <c r="T272" s="76">
        <f t="shared" si="111"/>
        <v>1.05</v>
      </c>
      <c r="U272" s="76">
        <f t="shared" si="112"/>
        <v>1.05</v>
      </c>
    </row>
    <row r="273" spans="1:21" x14ac:dyDescent="0.25">
      <c r="A273" s="71">
        <v>33</v>
      </c>
      <c r="B273" s="72">
        <f t="shared" si="113"/>
        <v>46631</v>
      </c>
      <c r="C273" s="73">
        <f t="shared" si="94"/>
        <v>46660</v>
      </c>
      <c r="D273" s="67">
        <f t="shared" si="95"/>
        <v>30</v>
      </c>
      <c r="E273" s="67">
        <f t="shared" si="96"/>
        <v>9</v>
      </c>
      <c r="F273" s="74">
        <f t="shared" si="97"/>
        <v>46646</v>
      </c>
      <c r="G273" s="67">
        <f t="shared" si="98"/>
        <v>24332</v>
      </c>
      <c r="H273" s="75">
        <f t="shared" si="99"/>
        <v>1</v>
      </c>
      <c r="I273" s="76">
        <f t="shared" si="100"/>
        <v>1.05</v>
      </c>
      <c r="J273" s="76">
        <f t="shared" si="101"/>
        <v>1.05</v>
      </c>
      <c r="K273" s="67">
        <f t="shared" si="102"/>
        <v>0</v>
      </c>
      <c r="L273" s="67">
        <f t="shared" si="103"/>
        <v>0</v>
      </c>
      <c r="M273" s="77">
        <f t="shared" si="104"/>
        <v>0</v>
      </c>
      <c r="N273" s="76">
        <f t="shared" si="105"/>
        <v>1.05</v>
      </c>
      <c r="O273" s="77">
        <f t="shared" si="106"/>
        <v>0.92</v>
      </c>
      <c r="P273" s="76">
        <f t="shared" si="107"/>
        <v>0</v>
      </c>
      <c r="Q273" s="76">
        <f t="shared" si="108"/>
        <v>0.58333333333333337</v>
      </c>
      <c r="R273" s="76">
        <f t="shared" si="109"/>
        <v>0.41666666666666663</v>
      </c>
      <c r="S273" s="76">
        <f t="shared" si="110"/>
        <v>1.05</v>
      </c>
      <c r="T273" s="76">
        <f t="shared" si="111"/>
        <v>1.05</v>
      </c>
      <c r="U273" s="76">
        <f t="shared" si="112"/>
        <v>1.05</v>
      </c>
    </row>
    <row r="274" spans="1:21" x14ac:dyDescent="0.25">
      <c r="A274" s="71">
        <v>34</v>
      </c>
      <c r="B274" s="72">
        <f t="shared" si="113"/>
        <v>46661</v>
      </c>
      <c r="C274" s="73">
        <f t="shared" si="94"/>
        <v>46691</v>
      </c>
      <c r="D274" s="67">
        <f t="shared" si="95"/>
        <v>31</v>
      </c>
      <c r="E274" s="67">
        <f t="shared" si="96"/>
        <v>10</v>
      </c>
      <c r="F274" s="74">
        <f t="shared" si="97"/>
        <v>46676.5</v>
      </c>
      <c r="G274" s="67">
        <f t="shared" si="98"/>
        <v>24333</v>
      </c>
      <c r="H274" s="75">
        <f t="shared" si="99"/>
        <v>1</v>
      </c>
      <c r="I274" s="76">
        <f t="shared" si="100"/>
        <v>1.05</v>
      </c>
      <c r="J274" s="76">
        <f t="shared" si="101"/>
        <v>1.05</v>
      </c>
      <c r="K274" s="67">
        <f t="shared" si="102"/>
        <v>0</v>
      </c>
      <c r="L274" s="67">
        <f t="shared" si="103"/>
        <v>0</v>
      </c>
      <c r="M274" s="77">
        <f t="shared" si="104"/>
        <v>0</v>
      </c>
      <c r="N274" s="76">
        <f t="shared" si="105"/>
        <v>1.05</v>
      </c>
      <c r="O274" s="77">
        <f t="shared" si="106"/>
        <v>0.92</v>
      </c>
      <c r="P274" s="76">
        <f t="shared" si="107"/>
        <v>0</v>
      </c>
      <c r="Q274" s="76">
        <f t="shared" si="108"/>
        <v>0.41666666666666669</v>
      </c>
      <c r="R274" s="76">
        <f t="shared" si="109"/>
        <v>0.58333333333333326</v>
      </c>
      <c r="S274" s="76">
        <f t="shared" si="110"/>
        <v>1.05</v>
      </c>
      <c r="T274" s="76">
        <f t="shared" si="111"/>
        <v>1.05</v>
      </c>
      <c r="U274" s="76">
        <f t="shared" si="112"/>
        <v>1.05</v>
      </c>
    </row>
    <row r="275" spans="1:21" x14ac:dyDescent="0.25">
      <c r="A275" s="71">
        <v>35</v>
      </c>
      <c r="B275" s="72">
        <f t="shared" si="113"/>
        <v>46692</v>
      </c>
      <c r="C275" s="73">
        <f t="shared" si="94"/>
        <v>46721</v>
      </c>
      <c r="D275" s="67">
        <f t="shared" si="95"/>
        <v>30</v>
      </c>
      <c r="E275" s="67">
        <f t="shared" si="96"/>
        <v>11</v>
      </c>
      <c r="F275" s="74">
        <f t="shared" si="97"/>
        <v>46707</v>
      </c>
      <c r="G275" s="67">
        <f t="shared" si="98"/>
        <v>24334</v>
      </c>
      <c r="H275" s="75">
        <f t="shared" si="99"/>
        <v>1</v>
      </c>
      <c r="I275" s="76">
        <f t="shared" si="100"/>
        <v>1.05</v>
      </c>
      <c r="J275" s="76">
        <f t="shared" si="101"/>
        <v>1.05</v>
      </c>
      <c r="K275" s="67">
        <f t="shared" si="102"/>
        <v>0</v>
      </c>
      <c r="L275" s="67">
        <f t="shared" si="103"/>
        <v>0</v>
      </c>
      <c r="M275" s="77">
        <f t="shared" si="104"/>
        <v>0</v>
      </c>
      <c r="N275" s="76">
        <f t="shared" si="105"/>
        <v>1.05</v>
      </c>
      <c r="O275" s="77">
        <f t="shared" si="106"/>
        <v>0.92</v>
      </c>
      <c r="P275" s="76">
        <f t="shared" si="107"/>
        <v>0</v>
      </c>
      <c r="Q275" s="76">
        <f t="shared" si="108"/>
        <v>0.25</v>
      </c>
      <c r="R275" s="76">
        <f t="shared" si="109"/>
        <v>0.75</v>
      </c>
      <c r="S275" s="76">
        <f t="shared" si="110"/>
        <v>1.05</v>
      </c>
      <c r="T275" s="76">
        <f t="shared" si="111"/>
        <v>1.05</v>
      </c>
      <c r="U275" s="76">
        <f t="shared" si="112"/>
        <v>1.05</v>
      </c>
    </row>
    <row r="276" spans="1:21" x14ac:dyDescent="0.25">
      <c r="A276" s="71">
        <v>36</v>
      </c>
      <c r="B276" s="72">
        <f t="shared" si="113"/>
        <v>46722</v>
      </c>
      <c r="C276" s="73">
        <f t="shared" si="94"/>
        <v>46752</v>
      </c>
      <c r="D276" s="67">
        <f t="shared" si="95"/>
        <v>31</v>
      </c>
      <c r="E276" s="67">
        <f t="shared" si="96"/>
        <v>12</v>
      </c>
      <c r="F276" s="74">
        <f t="shared" si="97"/>
        <v>46737.5</v>
      </c>
      <c r="G276" s="67">
        <f t="shared" si="98"/>
        <v>24335</v>
      </c>
      <c r="H276" s="75">
        <f t="shared" si="99"/>
        <v>1</v>
      </c>
      <c r="I276" s="76">
        <f t="shared" si="100"/>
        <v>1.05</v>
      </c>
      <c r="J276" s="76">
        <f t="shared" si="101"/>
        <v>1.05</v>
      </c>
      <c r="K276" s="67">
        <f t="shared" si="102"/>
        <v>0</v>
      </c>
      <c r="L276" s="67">
        <f t="shared" si="103"/>
        <v>0</v>
      </c>
      <c r="M276" s="77">
        <f t="shared" si="104"/>
        <v>0</v>
      </c>
      <c r="N276" s="76">
        <f t="shared" si="105"/>
        <v>1.05</v>
      </c>
      <c r="O276" s="77">
        <f t="shared" si="106"/>
        <v>0.92</v>
      </c>
      <c r="P276" s="76">
        <f t="shared" si="107"/>
        <v>0</v>
      </c>
      <c r="Q276" s="76">
        <f t="shared" si="108"/>
        <v>8.3333333333333329E-2</v>
      </c>
      <c r="R276" s="76">
        <f t="shared" si="109"/>
        <v>0.91666666666666663</v>
      </c>
      <c r="S276" s="76">
        <f t="shared" si="110"/>
        <v>1.05</v>
      </c>
      <c r="T276" s="76">
        <f t="shared" si="111"/>
        <v>1.05</v>
      </c>
      <c r="U276" s="76">
        <f t="shared" si="112"/>
        <v>1.05</v>
      </c>
    </row>
    <row r="277" spans="1:21" x14ac:dyDescent="0.25">
      <c r="A277" s="71">
        <v>37</v>
      </c>
      <c r="B277" s="72">
        <f t="shared" si="113"/>
        <v>46753</v>
      </c>
      <c r="C277" s="73">
        <f t="shared" si="94"/>
        <v>46783</v>
      </c>
      <c r="D277" s="67">
        <f t="shared" si="95"/>
        <v>31</v>
      </c>
      <c r="E277" s="67">
        <f t="shared" si="96"/>
        <v>1</v>
      </c>
      <c r="F277" s="74">
        <f t="shared" si="97"/>
        <v>46768.5</v>
      </c>
      <c r="G277" s="67">
        <f t="shared" si="98"/>
        <v>24336</v>
      </c>
      <c r="H277" s="75">
        <f t="shared" si="99"/>
        <v>1</v>
      </c>
      <c r="I277" s="76">
        <f t="shared" si="100"/>
        <v>1.05</v>
      </c>
      <c r="J277" s="76">
        <f t="shared" si="101"/>
        <v>1.05</v>
      </c>
      <c r="K277" s="67">
        <f t="shared" si="102"/>
        <v>0</v>
      </c>
      <c r="L277" s="67">
        <f t="shared" si="103"/>
        <v>0</v>
      </c>
      <c r="M277" s="77">
        <f t="shared" si="104"/>
        <v>0</v>
      </c>
      <c r="N277" s="76">
        <f t="shared" si="105"/>
        <v>1.05</v>
      </c>
      <c r="O277" s="77">
        <f t="shared" si="106"/>
        <v>0.92</v>
      </c>
      <c r="P277" s="76">
        <f t="shared" si="107"/>
        <v>0</v>
      </c>
      <c r="Q277" s="76">
        <f t="shared" si="108"/>
        <v>0</v>
      </c>
      <c r="R277" s="76">
        <f t="shared" si="109"/>
        <v>1</v>
      </c>
      <c r="S277" s="76">
        <f t="shared" si="110"/>
        <v>1.05</v>
      </c>
      <c r="T277" s="76">
        <f t="shared" si="111"/>
        <v>1</v>
      </c>
      <c r="U277" s="76">
        <f t="shared" si="112"/>
        <v>1.05</v>
      </c>
    </row>
    <row r="278" spans="1:21" x14ac:dyDescent="0.25">
      <c r="A278" s="71">
        <v>38</v>
      </c>
      <c r="B278" s="72">
        <f t="shared" si="113"/>
        <v>46784</v>
      </c>
      <c r="C278" s="73">
        <f t="shared" si="94"/>
        <v>46812</v>
      </c>
      <c r="D278" s="67">
        <f t="shared" si="95"/>
        <v>29</v>
      </c>
      <c r="E278" s="67">
        <f t="shared" si="96"/>
        <v>2</v>
      </c>
      <c r="F278" s="74">
        <f t="shared" si="97"/>
        <v>46798.5</v>
      </c>
      <c r="G278" s="67">
        <f t="shared" si="98"/>
        <v>24337</v>
      </c>
      <c r="H278" s="75">
        <f t="shared" si="99"/>
        <v>1</v>
      </c>
      <c r="I278" s="76">
        <f t="shared" si="100"/>
        <v>1.05</v>
      </c>
      <c r="J278" s="76">
        <f t="shared" si="101"/>
        <v>1.05</v>
      </c>
      <c r="K278" s="67">
        <f t="shared" si="102"/>
        <v>0</v>
      </c>
      <c r="L278" s="67">
        <f t="shared" si="103"/>
        <v>0</v>
      </c>
      <c r="M278" s="77">
        <f t="shared" si="104"/>
        <v>0</v>
      </c>
      <c r="N278" s="76">
        <f t="shared" si="105"/>
        <v>1.05</v>
      </c>
      <c r="O278" s="77">
        <f t="shared" si="106"/>
        <v>0.92</v>
      </c>
      <c r="P278" s="76">
        <f t="shared" si="107"/>
        <v>0</v>
      </c>
      <c r="Q278" s="76">
        <f t="shared" si="108"/>
        <v>0</v>
      </c>
      <c r="R278" s="76">
        <f t="shared" si="109"/>
        <v>1</v>
      </c>
      <c r="S278" s="76">
        <f t="shared" si="110"/>
        <v>1.05</v>
      </c>
      <c r="T278" s="76">
        <f t="shared" si="111"/>
        <v>1</v>
      </c>
      <c r="U278" s="76">
        <f t="shared" si="112"/>
        <v>1.05</v>
      </c>
    </row>
    <row r="279" spans="1:21" x14ac:dyDescent="0.25">
      <c r="A279" s="71">
        <v>39</v>
      </c>
      <c r="B279" s="72">
        <f t="shared" si="113"/>
        <v>46813</v>
      </c>
      <c r="C279" s="73">
        <f t="shared" si="94"/>
        <v>46843</v>
      </c>
      <c r="D279" s="67">
        <f t="shared" si="95"/>
        <v>31</v>
      </c>
      <c r="E279" s="67">
        <f t="shared" si="96"/>
        <v>3</v>
      </c>
      <c r="F279" s="74">
        <f t="shared" si="97"/>
        <v>46828.5</v>
      </c>
      <c r="G279" s="67">
        <f t="shared" si="98"/>
        <v>24338</v>
      </c>
      <c r="H279" s="75">
        <f t="shared" si="99"/>
        <v>1</v>
      </c>
      <c r="I279" s="76">
        <f t="shared" si="100"/>
        <v>1.05</v>
      </c>
      <c r="J279" s="76">
        <f t="shared" si="101"/>
        <v>1.05</v>
      </c>
      <c r="K279" s="67">
        <f t="shared" si="102"/>
        <v>0</v>
      </c>
      <c r="L279" s="67">
        <f t="shared" si="103"/>
        <v>0</v>
      </c>
      <c r="M279" s="77">
        <f t="shared" si="104"/>
        <v>0</v>
      </c>
      <c r="N279" s="76">
        <f t="shared" si="105"/>
        <v>1.05</v>
      </c>
      <c r="O279" s="77">
        <f t="shared" si="106"/>
        <v>0.92</v>
      </c>
      <c r="P279" s="76">
        <f t="shared" si="107"/>
        <v>0</v>
      </c>
      <c r="Q279" s="76">
        <f t="shared" si="108"/>
        <v>0</v>
      </c>
      <c r="R279" s="76">
        <f t="shared" si="109"/>
        <v>1</v>
      </c>
      <c r="S279" s="76">
        <f t="shared" si="110"/>
        <v>1.05</v>
      </c>
      <c r="T279" s="76">
        <f t="shared" si="111"/>
        <v>1</v>
      </c>
      <c r="U279" s="76">
        <f t="shared" si="112"/>
        <v>1.05</v>
      </c>
    </row>
    <row r="280" spans="1:21" x14ac:dyDescent="0.25">
      <c r="A280" s="71">
        <v>40</v>
      </c>
      <c r="B280" s="72">
        <f t="shared" si="113"/>
        <v>46844</v>
      </c>
      <c r="C280" s="73">
        <f t="shared" si="94"/>
        <v>46873</v>
      </c>
      <c r="D280" s="67">
        <f t="shared" si="95"/>
        <v>30</v>
      </c>
      <c r="E280" s="67">
        <f t="shared" si="96"/>
        <v>4</v>
      </c>
      <c r="F280" s="74">
        <f t="shared" si="97"/>
        <v>46859</v>
      </c>
      <c r="G280" s="67">
        <f t="shared" si="98"/>
        <v>24339</v>
      </c>
      <c r="H280" s="75">
        <f t="shared" si="99"/>
        <v>1</v>
      </c>
      <c r="I280" s="76">
        <f t="shared" si="100"/>
        <v>1.05</v>
      </c>
      <c r="J280" s="76">
        <f t="shared" si="101"/>
        <v>1.05</v>
      </c>
      <c r="K280" s="67">
        <f t="shared" si="102"/>
        <v>0</v>
      </c>
      <c r="L280" s="67">
        <f t="shared" si="103"/>
        <v>0</v>
      </c>
      <c r="M280" s="77">
        <f t="shared" si="104"/>
        <v>0</v>
      </c>
      <c r="N280" s="76">
        <f t="shared" si="105"/>
        <v>1.05</v>
      </c>
      <c r="O280" s="77">
        <f t="shared" si="106"/>
        <v>0.92</v>
      </c>
      <c r="P280" s="76">
        <f t="shared" si="107"/>
        <v>0</v>
      </c>
      <c r="Q280" s="76">
        <f t="shared" si="108"/>
        <v>0</v>
      </c>
      <c r="R280" s="76">
        <f t="shared" si="109"/>
        <v>1</v>
      </c>
      <c r="S280" s="76">
        <f t="shared" si="110"/>
        <v>1.05</v>
      </c>
      <c r="T280" s="76">
        <f t="shared" si="111"/>
        <v>1.05</v>
      </c>
      <c r="U280" s="76">
        <f t="shared" si="112"/>
        <v>1.05</v>
      </c>
    </row>
    <row r="281" spans="1:21" x14ac:dyDescent="0.25">
      <c r="A281" s="71">
        <v>41</v>
      </c>
      <c r="B281" s="72">
        <f t="shared" si="113"/>
        <v>46874</v>
      </c>
      <c r="C281" s="73">
        <f t="shared" si="94"/>
        <v>46904</v>
      </c>
      <c r="D281" s="67">
        <f t="shared" si="95"/>
        <v>31</v>
      </c>
      <c r="E281" s="67">
        <f t="shared" si="96"/>
        <v>5</v>
      </c>
      <c r="F281" s="74">
        <f t="shared" si="97"/>
        <v>46889.5</v>
      </c>
      <c r="G281" s="67">
        <f t="shared" si="98"/>
        <v>24340</v>
      </c>
      <c r="H281" s="75">
        <f t="shared" si="99"/>
        <v>1</v>
      </c>
      <c r="I281" s="76">
        <f t="shared" si="100"/>
        <v>1.05</v>
      </c>
      <c r="J281" s="76">
        <f t="shared" si="101"/>
        <v>1.05</v>
      </c>
      <c r="K281" s="67">
        <f t="shared" si="102"/>
        <v>0</v>
      </c>
      <c r="L281" s="67">
        <f t="shared" si="103"/>
        <v>0</v>
      </c>
      <c r="M281" s="77">
        <f t="shared" si="104"/>
        <v>0</v>
      </c>
      <c r="N281" s="76">
        <f t="shared" si="105"/>
        <v>1.05</v>
      </c>
      <c r="O281" s="77">
        <f t="shared" si="106"/>
        <v>0.92</v>
      </c>
      <c r="P281" s="76">
        <f t="shared" si="107"/>
        <v>0</v>
      </c>
      <c r="Q281" s="76">
        <f t="shared" si="108"/>
        <v>0</v>
      </c>
      <c r="R281" s="76">
        <f t="shared" si="109"/>
        <v>1</v>
      </c>
      <c r="S281" s="76">
        <f t="shared" si="110"/>
        <v>1.05</v>
      </c>
      <c r="T281" s="76">
        <f t="shared" si="111"/>
        <v>1.05</v>
      </c>
      <c r="U281" s="76">
        <f t="shared" si="112"/>
        <v>1.05</v>
      </c>
    </row>
    <row r="282" spans="1:21" x14ac:dyDescent="0.25">
      <c r="A282" s="71">
        <v>42</v>
      </c>
      <c r="B282" s="72">
        <f t="shared" si="113"/>
        <v>46905</v>
      </c>
      <c r="C282" s="73">
        <f t="shared" si="94"/>
        <v>46934</v>
      </c>
      <c r="D282" s="67">
        <f t="shared" si="95"/>
        <v>30</v>
      </c>
      <c r="E282" s="67">
        <f t="shared" si="96"/>
        <v>6</v>
      </c>
      <c r="F282" s="74">
        <f t="shared" si="97"/>
        <v>46920</v>
      </c>
      <c r="G282" s="67">
        <f t="shared" si="98"/>
        <v>24341</v>
      </c>
      <c r="H282" s="75">
        <f t="shared" si="99"/>
        <v>1</v>
      </c>
      <c r="I282" s="76">
        <f t="shared" si="100"/>
        <v>1.05</v>
      </c>
      <c r="J282" s="76">
        <f t="shared" si="101"/>
        <v>1.05</v>
      </c>
      <c r="K282" s="67">
        <f t="shared" si="102"/>
        <v>0</v>
      </c>
      <c r="L282" s="67">
        <f t="shared" si="103"/>
        <v>0</v>
      </c>
      <c r="M282" s="77">
        <f t="shared" si="104"/>
        <v>0</v>
      </c>
      <c r="N282" s="76">
        <f t="shared" si="105"/>
        <v>1.05</v>
      </c>
      <c r="O282" s="77">
        <f t="shared" si="106"/>
        <v>0.92</v>
      </c>
      <c r="P282" s="76">
        <f t="shared" si="107"/>
        <v>0</v>
      </c>
      <c r="Q282" s="76">
        <f t="shared" si="108"/>
        <v>0</v>
      </c>
      <c r="R282" s="76">
        <f t="shared" si="109"/>
        <v>1</v>
      </c>
      <c r="S282" s="76">
        <f t="shared" si="110"/>
        <v>1.05</v>
      </c>
      <c r="T282" s="76">
        <f t="shared" si="111"/>
        <v>1.05</v>
      </c>
      <c r="U282" s="76">
        <f t="shared" si="112"/>
        <v>1.05</v>
      </c>
    </row>
    <row r="283" spans="1:21" x14ac:dyDescent="0.25">
      <c r="A283" s="71">
        <v>43</v>
      </c>
      <c r="B283" s="72">
        <f t="shared" si="113"/>
        <v>46935</v>
      </c>
      <c r="C283" s="73">
        <f t="shared" si="94"/>
        <v>46965</v>
      </c>
      <c r="D283" s="67">
        <f t="shared" si="95"/>
        <v>31</v>
      </c>
      <c r="E283" s="67">
        <f t="shared" si="96"/>
        <v>7</v>
      </c>
      <c r="F283" s="74">
        <f t="shared" si="97"/>
        <v>46950.5</v>
      </c>
      <c r="G283" s="67">
        <f t="shared" si="98"/>
        <v>24342</v>
      </c>
      <c r="H283" s="75">
        <f t="shared" si="99"/>
        <v>1</v>
      </c>
      <c r="I283" s="76">
        <f t="shared" si="100"/>
        <v>1.05</v>
      </c>
      <c r="J283" s="76">
        <f t="shared" si="101"/>
        <v>1.05</v>
      </c>
      <c r="K283" s="67">
        <f t="shared" si="102"/>
        <v>0</v>
      </c>
      <c r="L283" s="67">
        <f t="shared" si="103"/>
        <v>0</v>
      </c>
      <c r="M283" s="77">
        <f t="shared" si="104"/>
        <v>0</v>
      </c>
      <c r="N283" s="76">
        <f t="shared" si="105"/>
        <v>1.05</v>
      </c>
      <c r="O283" s="77">
        <f t="shared" si="106"/>
        <v>0.92</v>
      </c>
      <c r="P283" s="76">
        <f t="shared" si="107"/>
        <v>0</v>
      </c>
      <c r="Q283" s="76">
        <f t="shared" si="108"/>
        <v>0</v>
      </c>
      <c r="R283" s="76">
        <f t="shared" si="109"/>
        <v>0.91666666666666663</v>
      </c>
      <c r="S283" s="76">
        <f t="shared" si="110"/>
        <v>1.05</v>
      </c>
      <c r="T283" s="76">
        <f t="shared" si="111"/>
        <v>1.05</v>
      </c>
      <c r="U283" s="76">
        <f t="shared" si="112"/>
        <v>1.05</v>
      </c>
    </row>
    <row r="284" spans="1:21" x14ac:dyDescent="0.25">
      <c r="A284" s="71">
        <v>44</v>
      </c>
      <c r="B284" s="72">
        <f t="shared" si="113"/>
        <v>46966</v>
      </c>
      <c r="C284" s="73">
        <f t="shared" si="94"/>
        <v>46996</v>
      </c>
      <c r="D284" s="67">
        <f t="shared" si="95"/>
        <v>31</v>
      </c>
      <c r="E284" s="67">
        <f t="shared" si="96"/>
        <v>8</v>
      </c>
      <c r="F284" s="74">
        <f t="shared" si="97"/>
        <v>46981.5</v>
      </c>
      <c r="G284" s="67">
        <f t="shared" si="98"/>
        <v>24343</v>
      </c>
      <c r="H284" s="75">
        <f t="shared" si="99"/>
        <v>1</v>
      </c>
      <c r="I284" s="76">
        <f t="shared" si="100"/>
        <v>1.05</v>
      </c>
      <c r="J284" s="76">
        <f t="shared" si="101"/>
        <v>1.05</v>
      </c>
      <c r="K284" s="67">
        <f t="shared" si="102"/>
        <v>0</v>
      </c>
      <c r="L284" s="67">
        <f t="shared" si="103"/>
        <v>0</v>
      </c>
      <c r="M284" s="77">
        <f t="shared" si="104"/>
        <v>0</v>
      </c>
      <c r="N284" s="76">
        <f t="shared" si="105"/>
        <v>1.05</v>
      </c>
      <c r="O284" s="77">
        <f t="shared" si="106"/>
        <v>0.92</v>
      </c>
      <c r="P284" s="76">
        <f t="shared" si="107"/>
        <v>0</v>
      </c>
      <c r="Q284" s="76">
        <f t="shared" si="108"/>
        <v>0</v>
      </c>
      <c r="R284" s="76">
        <f t="shared" si="109"/>
        <v>0.75</v>
      </c>
      <c r="S284" s="76">
        <f t="shared" si="110"/>
        <v>1.05</v>
      </c>
      <c r="T284" s="76">
        <f t="shared" si="111"/>
        <v>1.05</v>
      </c>
      <c r="U284" s="76">
        <f t="shared" si="112"/>
        <v>1.05</v>
      </c>
    </row>
    <row r="285" spans="1:21" x14ac:dyDescent="0.25">
      <c r="A285" s="71">
        <v>45</v>
      </c>
      <c r="B285" s="72">
        <f t="shared" si="113"/>
        <v>46997</v>
      </c>
      <c r="C285" s="73">
        <f t="shared" si="94"/>
        <v>47026</v>
      </c>
      <c r="D285" s="67">
        <f t="shared" si="95"/>
        <v>30</v>
      </c>
      <c r="E285" s="67">
        <f t="shared" si="96"/>
        <v>9</v>
      </c>
      <c r="F285" s="74">
        <f t="shared" si="97"/>
        <v>47012</v>
      </c>
      <c r="G285" s="67">
        <f t="shared" si="98"/>
        <v>24344</v>
      </c>
      <c r="H285" s="75">
        <f t="shared" si="99"/>
        <v>1</v>
      </c>
      <c r="I285" s="76">
        <f t="shared" si="100"/>
        <v>1.05</v>
      </c>
      <c r="J285" s="76">
        <f t="shared" si="101"/>
        <v>1.05</v>
      </c>
      <c r="K285" s="67">
        <f t="shared" si="102"/>
        <v>0</v>
      </c>
      <c r="L285" s="67">
        <f t="shared" si="103"/>
        <v>0</v>
      </c>
      <c r="M285" s="77">
        <f t="shared" si="104"/>
        <v>0</v>
      </c>
      <c r="N285" s="76">
        <f t="shared" si="105"/>
        <v>1.05</v>
      </c>
      <c r="O285" s="77">
        <f t="shared" si="106"/>
        <v>0.92</v>
      </c>
      <c r="P285" s="76">
        <f t="shared" si="107"/>
        <v>0</v>
      </c>
      <c r="Q285" s="76">
        <f t="shared" si="108"/>
        <v>0</v>
      </c>
      <c r="R285" s="76">
        <f t="shared" si="109"/>
        <v>0.58333333333333337</v>
      </c>
      <c r="S285" s="76">
        <f t="shared" si="110"/>
        <v>1.05</v>
      </c>
      <c r="T285" s="76">
        <f t="shared" si="111"/>
        <v>1.05</v>
      </c>
      <c r="U285" s="76">
        <f t="shared" si="112"/>
        <v>1.05</v>
      </c>
    </row>
    <row r="286" spans="1:21" x14ac:dyDescent="0.25">
      <c r="A286" s="71">
        <v>46</v>
      </c>
      <c r="B286" s="72">
        <f t="shared" si="113"/>
        <v>47027</v>
      </c>
      <c r="C286" s="73">
        <f t="shared" si="94"/>
        <v>47057</v>
      </c>
      <c r="D286" s="67">
        <f t="shared" si="95"/>
        <v>31</v>
      </c>
      <c r="E286" s="67">
        <f t="shared" si="96"/>
        <v>10</v>
      </c>
      <c r="F286" s="74">
        <f t="shared" si="97"/>
        <v>47042.5</v>
      </c>
      <c r="G286" s="67">
        <f t="shared" si="98"/>
        <v>24345</v>
      </c>
      <c r="H286" s="75">
        <f t="shared" si="99"/>
        <v>1</v>
      </c>
      <c r="I286" s="76">
        <f t="shared" si="100"/>
        <v>1.05</v>
      </c>
      <c r="J286" s="76">
        <f t="shared" si="101"/>
        <v>1.05</v>
      </c>
      <c r="K286" s="67">
        <f t="shared" si="102"/>
        <v>0</v>
      </c>
      <c r="L286" s="67">
        <f t="shared" si="103"/>
        <v>0</v>
      </c>
      <c r="M286" s="77">
        <f t="shared" si="104"/>
        <v>0</v>
      </c>
      <c r="N286" s="76">
        <f t="shared" si="105"/>
        <v>1.05</v>
      </c>
      <c r="O286" s="77">
        <f t="shared" si="106"/>
        <v>0.92</v>
      </c>
      <c r="P286" s="76">
        <f t="shared" si="107"/>
        <v>0</v>
      </c>
      <c r="Q286" s="76">
        <f t="shared" si="108"/>
        <v>0</v>
      </c>
      <c r="R286" s="76">
        <f t="shared" si="109"/>
        <v>0.41666666666666669</v>
      </c>
      <c r="S286" s="76">
        <f t="shared" si="110"/>
        <v>1.05</v>
      </c>
      <c r="T286" s="76">
        <f t="shared" si="111"/>
        <v>1.05</v>
      </c>
      <c r="U286" s="76">
        <f t="shared" si="112"/>
        <v>1.05</v>
      </c>
    </row>
    <row r="287" spans="1:21" x14ac:dyDescent="0.25">
      <c r="A287" s="71">
        <v>47</v>
      </c>
      <c r="B287" s="72">
        <f t="shared" si="113"/>
        <v>47058</v>
      </c>
      <c r="C287" s="73">
        <f t="shared" si="94"/>
        <v>47087</v>
      </c>
      <c r="D287" s="67">
        <f t="shared" si="95"/>
        <v>30</v>
      </c>
      <c r="E287" s="67">
        <f t="shared" si="96"/>
        <v>11</v>
      </c>
      <c r="F287" s="74">
        <f t="shared" si="97"/>
        <v>47073</v>
      </c>
      <c r="G287" s="67">
        <f t="shared" si="98"/>
        <v>24346</v>
      </c>
      <c r="H287" s="75">
        <f t="shared" si="99"/>
        <v>1</v>
      </c>
      <c r="I287" s="76">
        <f t="shared" si="100"/>
        <v>1.05</v>
      </c>
      <c r="J287" s="76">
        <f t="shared" si="101"/>
        <v>1.05</v>
      </c>
      <c r="K287" s="67">
        <f t="shared" si="102"/>
        <v>0</v>
      </c>
      <c r="L287" s="67">
        <f t="shared" si="103"/>
        <v>0</v>
      </c>
      <c r="M287" s="77">
        <f t="shared" si="104"/>
        <v>0</v>
      </c>
      <c r="N287" s="76">
        <f t="shared" si="105"/>
        <v>1.05</v>
      </c>
      <c r="O287" s="77">
        <f t="shared" si="106"/>
        <v>0.92</v>
      </c>
      <c r="P287" s="76">
        <f t="shared" si="107"/>
        <v>0</v>
      </c>
      <c r="Q287" s="76">
        <f t="shared" si="108"/>
        <v>0</v>
      </c>
      <c r="R287" s="76">
        <f t="shared" si="109"/>
        <v>0.25</v>
      </c>
      <c r="S287" s="76">
        <f t="shared" si="110"/>
        <v>1.05</v>
      </c>
      <c r="T287" s="76">
        <f t="shared" si="111"/>
        <v>1.05</v>
      </c>
      <c r="U287" s="76">
        <f t="shared" si="112"/>
        <v>1.05</v>
      </c>
    </row>
    <row r="288" spans="1:21" x14ac:dyDescent="0.25">
      <c r="A288" s="71">
        <v>48</v>
      </c>
      <c r="B288" s="72">
        <f t="shared" si="113"/>
        <v>47088</v>
      </c>
      <c r="C288" s="73">
        <f t="shared" si="94"/>
        <v>47118</v>
      </c>
      <c r="D288" s="67">
        <f t="shared" si="95"/>
        <v>31</v>
      </c>
      <c r="E288" s="67">
        <f t="shared" si="96"/>
        <v>12</v>
      </c>
      <c r="F288" s="74">
        <f t="shared" si="97"/>
        <v>47103.5</v>
      </c>
      <c r="G288" s="67">
        <f t="shared" si="98"/>
        <v>24347</v>
      </c>
      <c r="H288" s="75">
        <f t="shared" si="99"/>
        <v>1</v>
      </c>
      <c r="I288" s="76">
        <f t="shared" si="100"/>
        <v>1.05</v>
      </c>
      <c r="J288" s="76">
        <f t="shared" si="101"/>
        <v>1.05</v>
      </c>
      <c r="K288" s="67">
        <f t="shared" si="102"/>
        <v>0</v>
      </c>
      <c r="L288" s="67">
        <f t="shared" si="103"/>
        <v>0</v>
      </c>
      <c r="M288" s="77">
        <f t="shared" si="104"/>
        <v>0</v>
      </c>
      <c r="N288" s="76">
        <f t="shared" si="105"/>
        <v>1.05</v>
      </c>
      <c r="O288" s="77">
        <f t="shared" si="106"/>
        <v>0.92</v>
      </c>
      <c r="P288" s="76">
        <f t="shared" si="107"/>
        <v>0</v>
      </c>
      <c r="Q288" s="76">
        <f t="shared" si="108"/>
        <v>0</v>
      </c>
      <c r="R288" s="76">
        <f t="shared" si="109"/>
        <v>8.3333333333333329E-2</v>
      </c>
      <c r="S288" s="76">
        <f t="shared" si="110"/>
        <v>1.05</v>
      </c>
      <c r="T288" s="76">
        <f t="shared" si="111"/>
        <v>1.05</v>
      </c>
      <c r="U288" s="76">
        <f t="shared" si="112"/>
        <v>1.05</v>
      </c>
    </row>
    <row r="289" spans="1:21" x14ac:dyDescent="0.25">
      <c r="A289" s="81" t="s">
        <v>1187</v>
      </c>
      <c r="B289" s="53">
        <f>EXP(SUMPRODUCT((rl_key=$A$238)*(rl_cons="Y")*rl_ln1p))</f>
        <v>1.05</v>
      </c>
      <c r="C289" s="53">
        <f>SUMPRODUCT($H$241:$H$288,$P$241:$P$288,$U$241:$U$288)/SUMPRODUCT($H$241:$H$288,$P$241:$P$288)</f>
        <v>1.0250000000000001</v>
      </c>
      <c r="D289" s="53">
        <f>SUMPRODUCT($H$241:$H$288,$Q$241:$Q$288,$U$241:$U$288)/SUMPRODUCT($H$241:$H$288,$Q$241:$Q$288)</f>
        <v>1.05</v>
      </c>
      <c r="E289" s="53">
        <f>SUMPRODUCT($H$241:$H$288,$R$241:$R$288,$U$241:$U$288)/SUMPRODUCT($H$241:$H$288,$R$241:$R$288)</f>
        <v>1.05</v>
      </c>
      <c r="F289" s="172">
        <f>SUMPRODUCT($H$241:$H$288,$Q$241:$Q$288,$O$241:$O$288)/SUMPRODUCT($H$241:$H$288,$Q$241:$Q$288)</f>
        <v>0.91999999999999993</v>
      </c>
      <c r="G289" s="172">
        <f>SUMPRODUCT($H$241:$H$288,$R$241:$R$288,$O$241:$O$288)/SUMPRODUCT($H$241:$H$288,$R$241:$R$288)</f>
        <v>0.91999999999999993</v>
      </c>
    </row>
    <row r="292" spans="1:21" x14ac:dyDescent="0.25">
      <c r="A292" s="81" t="str">
        <f>INDEX(lr_key,5)</f>
        <v>BU-A|FL</v>
      </c>
      <c r="B292" s="81" t="str">
        <f>INDEX(lr_state,5)</f>
        <v>FL</v>
      </c>
      <c r="C292" s="55">
        <f>nr_TermMonths</f>
        <v>6</v>
      </c>
      <c r="D292" s="55">
        <f>IF(COUNTIF(se_state,$B292)=0,0,MATCH($B292,se_state,0))</f>
        <v>0</v>
      </c>
      <c r="E292" s="57">
        <f>IF($D292=0,0,INDEX(se_sum,$D292))</f>
        <v>0</v>
      </c>
      <c r="F292" s="172">
        <f>IF(N(INDEX(lr_mind,5))=0,1,INDEX(lr_mind,5))</f>
        <v>0.92</v>
      </c>
      <c r="G292" s="172">
        <f>IF(N(INDEX(lr_m0,5))=0,1,INDEX(lr_m0,5))</f>
        <v>0.91</v>
      </c>
      <c r="H292" s="54">
        <f>IF(N(INDEX(lr_m0asof,5))=0,DATE(nr_PlanYear-1,10,1),INDEX(lr_m0asof,5))</f>
        <v>46295</v>
      </c>
      <c r="I292" s="172">
        <f>IF(N(INDEX(lr_m1,5))=0,1,INDEX(lr_m1,5))</f>
        <v>0.92500000000000004</v>
      </c>
      <c r="J292" s="172">
        <f>INDEX(lr_mprior,5)</f>
        <v>0</v>
      </c>
      <c r="K292" s="172">
        <f>INDEX(lr_m2,5)</f>
        <v>0</v>
      </c>
      <c r="L292" s="81" t="b">
        <f>NOT(ISBLANK(INDEX(lr_netp,5)))</f>
        <v>0</v>
      </c>
      <c r="M292" s="52">
        <f>N(INDEX(lr_netp,5))</f>
        <v>0</v>
      </c>
      <c r="N292" s="52">
        <f>IF(ISBLANK(INDEX(lr_netp1,5)),$M$292,N(INDEX(lr_netp1,5)))</f>
        <v>0</v>
      </c>
      <c r="O292" s="55">
        <f>IF(AND(nr_ModAdjMaster="ON",INDEX(lr_modadj,5)="ON"),1,0)</f>
        <v>1</v>
      </c>
    </row>
    <row r="293" spans="1:21" x14ac:dyDescent="0.25">
      <c r="A293" s="81">
        <f>EDATE($H$292,-12)+1</f>
        <v>45931</v>
      </c>
      <c r="B293" s="81">
        <f>$H$292+1</f>
        <v>46296</v>
      </c>
      <c r="C293" s="81">
        <f>DATE(nr_PlanYear,12,31)+1</f>
        <v>46753</v>
      </c>
      <c r="D293" s="81">
        <f>DATE(nr_PlanYear+1,12,31)+1</f>
        <v>47119</v>
      </c>
      <c r="E293" s="81">
        <f>IF(N($J$292)=0,$F$293-($G$293-$F$293)/($C$293-$B$293)*($B$293-$A$293),$J$292)</f>
        <v>0.89801969365426693</v>
      </c>
      <c r="F293" s="81">
        <f>$G$292</f>
        <v>0.91</v>
      </c>
      <c r="G293" s="81">
        <f>$I$292</f>
        <v>0.92500000000000004</v>
      </c>
      <c r="H293" s="81">
        <f>IF(N($K$292)=0,$I$292,$K$292)</f>
        <v>0.92500000000000004</v>
      </c>
      <c r="I293" s="81">
        <f>($F$293-$E$293)/($B$293-$A$293)</f>
        <v>3.2822757111597549E-5</v>
      </c>
      <c r="J293" s="81">
        <f>($G$293-$F$293)/($C$293-$B$293)</f>
        <v>3.2822757111597407E-5</v>
      </c>
      <c r="K293" s="81">
        <f>($H$293-$G$293)/($D$293-$C$293)</f>
        <v>0</v>
      </c>
    </row>
    <row r="294" spans="1:21" ht="36" x14ac:dyDescent="0.25">
      <c r="A294" s="50" t="s">
        <v>211</v>
      </c>
      <c r="B294" s="50" t="s">
        <v>212</v>
      </c>
      <c r="C294" s="50" t="s">
        <v>213</v>
      </c>
      <c r="D294" s="50" t="s">
        <v>214</v>
      </c>
      <c r="E294" s="50" t="s">
        <v>215</v>
      </c>
      <c r="F294" s="50" t="s">
        <v>216</v>
      </c>
      <c r="G294" s="50" t="s">
        <v>217</v>
      </c>
      <c r="H294" s="50" t="s">
        <v>218</v>
      </c>
      <c r="I294" s="50" t="s">
        <v>219</v>
      </c>
      <c r="J294" s="50" t="s">
        <v>220</v>
      </c>
      <c r="K294" s="50" t="s">
        <v>221</v>
      </c>
      <c r="L294" s="50" t="s">
        <v>222</v>
      </c>
      <c r="M294" s="50" t="s">
        <v>223</v>
      </c>
      <c r="N294" s="50" t="s">
        <v>224</v>
      </c>
      <c r="O294" s="50" t="s">
        <v>225</v>
      </c>
      <c r="P294" s="50" t="s">
        <v>226</v>
      </c>
      <c r="Q294" s="50" t="s">
        <v>227</v>
      </c>
      <c r="R294" s="50" t="s">
        <v>228</v>
      </c>
      <c r="S294" s="50" t="s">
        <v>229</v>
      </c>
      <c r="T294" s="50" t="s">
        <v>230</v>
      </c>
      <c r="U294" s="50" t="s">
        <v>231</v>
      </c>
    </row>
    <row r="295" spans="1:21" x14ac:dyDescent="0.25">
      <c r="A295" s="71">
        <v>1</v>
      </c>
      <c r="B295" s="72">
        <f>DATE(nr_PlanYear-2,1,1)</f>
        <v>45658</v>
      </c>
      <c r="C295" s="73">
        <f t="shared" ref="C295:C342" si="114">EOMONTH($B295,0)</f>
        <v>45688</v>
      </c>
      <c r="D295" s="67">
        <f t="shared" ref="D295:D342" si="115">$C295-$B295+1</f>
        <v>31</v>
      </c>
      <c r="E295" s="67">
        <f t="shared" ref="E295:E342" si="116">MONTH($B295)</f>
        <v>1</v>
      </c>
      <c r="F295" s="74">
        <f t="shared" ref="F295:F342" si="117">($B295+$C295+1)/2</f>
        <v>45673.5</v>
      </c>
      <c r="G295" s="67">
        <f t="shared" ref="G295:G342" si="118">YEAR($B295)*12+MONTH($B295)-1</f>
        <v>24300</v>
      </c>
      <c r="H295" s="75">
        <f t="shared" ref="H295:H342" si="119">IF(OR(nr_SeasonOn="OFF",$D$292=0,$E$292=0),1,12*INDEX(se_block,$D$292,$E295)/$E$292)</f>
        <v>1</v>
      </c>
      <c r="I295" s="76">
        <f t="shared" ref="I295:I342" si="120">EXP(SUMPRODUCT((rl_eff&lt;$B295)*(rl_key=$A$292)*rl_ln1p))</f>
        <v>1</v>
      </c>
      <c r="J295" s="76">
        <f t="shared" ref="J295:J342" si="121">EXP(SUMPRODUCT((rl_eff&lt;=$C295)*(rl_key=$A$292)*rl_ln1p))</f>
        <v>1</v>
      </c>
      <c r="K295" s="67">
        <f t="shared" ref="K295:K342" si="122">COUNTIFS(rl_key,$A$292,rl_eff,"&gt;="&amp;$B295,rl_eff,"&lt;="&amp;$C295)</f>
        <v>0</v>
      </c>
      <c r="L295" s="67">
        <f t="shared" ref="L295:L342" si="123">SUMIFS(rl_daysafter,rl_key,$A$292,rl_effmonth,$B295,rl_first,1)</f>
        <v>0</v>
      </c>
      <c r="M295" s="77">
        <f t="shared" ref="M295:M342" si="124">IF($K295=0,0,MIN(1,$L295/$D295))</f>
        <v>0</v>
      </c>
      <c r="N295" s="76">
        <f t="shared" ref="N295:N342" si="125">IF($K295=0,$J295,(1-$M295)*$I295+$M295*$J295)</f>
        <v>1</v>
      </c>
      <c r="O295" s="77">
        <f t="shared" ref="O295:O342" si="126">IF($F295&lt;$B$293,$E$293+$I$293*($F295-$A$293),IF($F295&lt;$C$293,$F$293+$J$293*($F295-$B$293),$G$293+$K$293*($F295-$C$293)))</f>
        <v>0.88956783369803061</v>
      </c>
      <c r="P295" s="76">
        <f t="shared" ref="P295:P342" si="127">MIN(1,MAX(0,(nr_MEndPm1-$G295+0.5)/$C$292))-MIN(1,MAX(0,(nr_MStartPm1-1-$G295+0.5)/$C$292))</f>
        <v>0</v>
      </c>
      <c r="Q295" s="76">
        <f t="shared" ref="Q295:Q342" si="128">MIN(1,MAX(0,(nr_MEndP-$G295+0.5)/$C$292))-MIN(1,MAX(0,(nr_MStartP-1-$G295+0.5)/$C$292))</f>
        <v>0</v>
      </c>
      <c r="R295" s="76">
        <f t="shared" ref="R295:R342" si="129">MIN(1,MAX(0,(nr_MEndP1-$G295+0.5)/$C$292))-MIN(1,MAX(0,(nr_MStartP1-1-$G295+0.5)/$C$292))</f>
        <v>0</v>
      </c>
      <c r="S295" s="76">
        <f t="shared" ref="S295:S342" si="130">$N295*IF($O$292=1,$O295/$F$292,1)</f>
        <v>0.96692155836742455</v>
      </c>
      <c r="T295" s="76">
        <f t="shared" ref="T295:T342" si="131">IF($G295&lt;nr_MStartP,$S295,$T283*(1+IF($G295&lt;nr_MStartP1,$M$292,$N$292)))</f>
        <v>0.96692155836742455</v>
      </c>
      <c r="U295" s="76">
        <f t="shared" ref="U295:U342" si="132">IF($L$292,$T295,$N295)</f>
        <v>1</v>
      </c>
    </row>
    <row r="296" spans="1:21" x14ac:dyDescent="0.25">
      <c r="A296" s="71">
        <v>2</v>
      </c>
      <c r="B296" s="72">
        <f t="shared" ref="B296:B342" si="133">EDATE($B295,1)</f>
        <v>45689</v>
      </c>
      <c r="C296" s="73">
        <f t="shared" si="114"/>
        <v>45716</v>
      </c>
      <c r="D296" s="67">
        <f t="shared" si="115"/>
        <v>28</v>
      </c>
      <c r="E296" s="67">
        <f t="shared" si="116"/>
        <v>2</v>
      </c>
      <c r="F296" s="74">
        <f t="shared" si="117"/>
        <v>45703</v>
      </c>
      <c r="G296" s="67">
        <f t="shared" si="118"/>
        <v>24301</v>
      </c>
      <c r="H296" s="75">
        <f t="shared" si="119"/>
        <v>1</v>
      </c>
      <c r="I296" s="76">
        <f t="shared" si="120"/>
        <v>1</v>
      </c>
      <c r="J296" s="76">
        <f t="shared" si="121"/>
        <v>1</v>
      </c>
      <c r="K296" s="67">
        <f t="shared" si="122"/>
        <v>0</v>
      </c>
      <c r="L296" s="67">
        <f t="shared" si="123"/>
        <v>0</v>
      </c>
      <c r="M296" s="77">
        <f t="shared" si="124"/>
        <v>0</v>
      </c>
      <c r="N296" s="76">
        <f t="shared" si="125"/>
        <v>1</v>
      </c>
      <c r="O296" s="77">
        <f t="shared" si="126"/>
        <v>0.89053610503282266</v>
      </c>
      <c r="P296" s="76">
        <f t="shared" si="127"/>
        <v>0</v>
      </c>
      <c r="Q296" s="76">
        <f t="shared" si="128"/>
        <v>0</v>
      </c>
      <c r="R296" s="76">
        <f t="shared" si="129"/>
        <v>0</v>
      </c>
      <c r="S296" s="76">
        <f t="shared" si="130"/>
        <v>0.9679740272095898</v>
      </c>
      <c r="T296" s="76">
        <f t="shared" si="131"/>
        <v>0.9679740272095898</v>
      </c>
      <c r="U296" s="76">
        <f t="shared" si="132"/>
        <v>1</v>
      </c>
    </row>
    <row r="297" spans="1:21" x14ac:dyDescent="0.25">
      <c r="A297" s="71">
        <v>3</v>
      </c>
      <c r="B297" s="72">
        <f t="shared" si="133"/>
        <v>45717</v>
      </c>
      <c r="C297" s="73">
        <f t="shared" si="114"/>
        <v>45747</v>
      </c>
      <c r="D297" s="67">
        <f t="shared" si="115"/>
        <v>31</v>
      </c>
      <c r="E297" s="67">
        <f t="shared" si="116"/>
        <v>3</v>
      </c>
      <c r="F297" s="74">
        <f t="shared" si="117"/>
        <v>45732.5</v>
      </c>
      <c r="G297" s="67">
        <f t="shared" si="118"/>
        <v>24302</v>
      </c>
      <c r="H297" s="75">
        <f t="shared" si="119"/>
        <v>1</v>
      </c>
      <c r="I297" s="76">
        <f t="shared" si="120"/>
        <v>1</v>
      </c>
      <c r="J297" s="76">
        <f t="shared" si="121"/>
        <v>1</v>
      </c>
      <c r="K297" s="67">
        <f t="shared" si="122"/>
        <v>0</v>
      </c>
      <c r="L297" s="67">
        <f t="shared" si="123"/>
        <v>0</v>
      </c>
      <c r="M297" s="77">
        <f t="shared" si="124"/>
        <v>0</v>
      </c>
      <c r="N297" s="76">
        <f t="shared" si="125"/>
        <v>1</v>
      </c>
      <c r="O297" s="77">
        <f t="shared" si="126"/>
        <v>0.89150437636761481</v>
      </c>
      <c r="P297" s="76">
        <f t="shared" si="127"/>
        <v>0</v>
      </c>
      <c r="Q297" s="76">
        <f t="shared" si="128"/>
        <v>0</v>
      </c>
      <c r="R297" s="76">
        <f t="shared" si="129"/>
        <v>0</v>
      </c>
      <c r="S297" s="76">
        <f t="shared" si="130"/>
        <v>0.96902649605175517</v>
      </c>
      <c r="T297" s="76">
        <f t="shared" si="131"/>
        <v>0.96902649605175517</v>
      </c>
      <c r="U297" s="76">
        <f t="shared" si="132"/>
        <v>1</v>
      </c>
    </row>
    <row r="298" spans="1:21" x14ac:dyDescent="0.25">
      <c r="A298" s="71">
        <v>4</v>
      </c>
      <c r="B298" s="72">
        <f t="shared" si="133"/>
        <v>45748</v>
      </c>
      <c r="C298" s="73">
        <f t="shared" si="114"/>
        <v>45777</v>
      </c>
      <c r="D298" s="67">
        <f t="shared" si="115"/>
        <v>30</v>
      </c>
      <c r="E298" s="67">
        <f t="shared" si="116"/>
        <v>4</v>
      </c>
      <c r="F298" s="74">
        <f t="shared" si="117"/>
        <v>45763</v>
      </c>
      <c r="G298" s="67">
        <f t="shared" si="118"/>
        <v>24303</v>
      </c>
      <c r="H298" s="75">
        <f t="shared" si="119"/>
        <v>1</v>
      </c>
      <c r="I298" s="76">
        <f t="shared" si="120"/>
        <v>1</v>
      </c>
      <c r="J298" s="76">
        <f t="shared" si="121"/>
        <v>1</v>
      </c>
      <c r="K298" s="67">
        <f t="shared" si="122"/>
        <v>0</v>
      </c>
      <c r="L298" s="67">
        <f t="shared" si="123"/>
        <v>0</v>
      </c>
      <c r="M298" s="77">
        <f t="shared" si="124"/>
        <v>0</v>
      </c>
      <c r="N298" s="76">
        <f t="shared" si="125"/>
        <v>1</v>
      </c>
      <c r="O298" s="77">
        <f t="shared" si="126"/>
        <v>0.89250547045951856</v>
      </c>
      <c r="P298" s="76">
        <f t="shared" si="127"/>
        <v>0</v>
      </c>
      <c r="Q298" s="76">
        <f t="shared" si="128"/>
        <v>0</v>
      </c>
      <c r="R298" s="76">
        <f t="shared" si="129"/>
        <v>0</v>
      </c>
      <c r="S298" s="76">
        <f t="shared" si="130"/>
        <v>0.97011464180382445</v>
      </c>
      <c r="T298" s="76">
        <f t="shared" si="131"/>
        <v>0.97011464180382445</v>
      </c>
      <c r="U298" s="76">
        <f t="shared" si="132"/>
        <v>1</v>
      </c>
    </row>
    <row r="299" spans="1:21" x14ac:dyDescent="0.25">
      <c r="A299" s="71">
        <v>5</v>
      </c>
      <c r="B299" s="72">
        <f t="shared" si="133"/>
        <v>45778</v>
      </c>
      <c r="C299" s="73">
        <f t="shared" si="114"/>
        <v>45808</v>
      </c>
      <c r="D299" s="67">
        <f t="shared" si="115"/>
        <v>31</v>
      </c>
      <c r="E299" s="67">
        <f t="shared" si="116"/>
        <v>5</v>
      </c>
      <c r="F299" s="74">
        <f t="shared" si="117"/>
        <v>45793.5</v>
      </c>
      <c r="G299" s="67">
        <f t="shared" si="118"/>
        <v>24304</v>
      </c>
      <c r="H299" s="75">
        <f t="shared" si="119"/>
        <v>1</v>
      </c>
      <c r="I299" s="76">
        <f t="shared" si="120"/>
        <v>1</v>
      </c>
      <c r="J299" s="76">
        <f t="shared" si="121"/>
        <v>1</v>
      </c>
      <c r="K299" s="67">
        <f t="shared" si="122"/>
        <v>0</v>
      </c>
      <c r="L299" s="67">
        <f t="shared" si="123"/>
        <v>0</v>
      </c>
      <c r="M299" s="77">
        <f t="shared" si="124"/>
        <v>0</v>
      </c>
      <c r="N299" s="76">
        <f t="shared" si="125"/>
        <v>1</v>
      </c>
      <c r="O299" s="77">
        <f t="shared" si="126"/>
        <v>0.8935065645514223</v>
      </c>
      <c r="P299" s="76">
        <f t="shared" si="127"/>
        <v>0</v>
      </c>
      <c r="Q299" s="76">
        <f t="shared" si="128"/>
        <v>0</v>
      </c>
      <c r="R299" s="76">
        <f t="shared" si="129"/>
        <v>0</v>
      </c>
      <c r="S299" s="76">
        <f t="shared" si="130"/>
        <v>0.97120278755589373</v>
      </c>
      <c r="T299" s="76">
        <f t="shared" si="131"/>
        <v>0.97120278755589373</v>
      </c>
      <c r="U299" s="76">
        <f t="shared" si="132"/>
        <v>1</v>
      </c>
    </row>
    <row r="300" spans="1:21" x14ac:dyDescent="0.25">
      <c r="A300" s="71">
        <v>6</v>
      </c>
      <c r="B300" s="72">
        <f t="shared" si="133"/>
        <v>45809</v>
      </c>
      <c r="C300" s="73">
        <f t="shared" si="114"/>
        <v>45838</v>
      </c>
      <c r="D300" s="67">
        <f t="shared" si="115"/>
        <v>30</v>
      </c>
      <c r="E300" s="67">
        <f t="shared" si="116"/>
        <v>6</v>
      </c>
      <c r="F300" s="74">
        <f t="shared" si="117"/>
        <v>45824</v>
      </c>
      <c r="G300" s="67">
        <f t="shared" si="118"/>
        <v>24305</v>
      </c>
      <c r="H300" s="75">
        <f t="shared" si="119"/>
        <v>1</v>
      </c>
      <c r="I300" s="76">
        <f t="shared" si="120"/>
        <v>1</v>
      </c>
      <c r="J300" s="76">
        <f t="shared" si="121"/>
        <v>1</v>
      </c>
      <c r="K300" s="67">
        <f t="shared" si="122"/>
        <v>0</v>
      </c>
      <c r="L300" s="67">
        <f t="shared" si="123"/>
        <v>0</v>
      </c>
      <c r="M300" s="77">
        <f t="shared" si="124"/>
        <v>0</v>
      </c>
      <c r="N300" s="76">
        <f t="shared" si="125"/>
        <v>1</v>
      </c>
      <c r="O300" s="77">
        <f t="shared" si="126"/>
        <v>0.89450765864332604</v>
      </c>
      <c r="P300" s="76">
        <f t="shared" si="127"/>
        <v>0</v>
      </c>
      <c r="Q300" s="76">
        <f t="shared" si="128"/>
        <v>0</v>
      </c>
      <c r="R300" s="76">
        <f t="shared" si="129"/>
        <v>0</v>
      </c>
      <c r="S300" s="76">
        <f t="shared" si="130"/>
        <v>0.97229093330796301</v>
      </c>
      <c r="T300" s="76">
        <f t="shared" si="131"/>
        <v>0.97229093330796301</v>
      </c>
      <c r="U300" s="76">
        <f t="shared" si="132"/>
        <v>1</v>
      </c>
    </row>
    <row r="301" spans="1:21" x14ac:dyDescent="0.25">
      <c r="A301" s="71">
        <v>7</v>
      </c>
      <c r="B301" s="72">
        <f t="shared" si="133"/>
        <v>45839</v>
      </c>
      <c r="C301" s="73">
        <f t="shared" si="114"/>
        <v>45869</v>
      </c>
      <c r="D301" s="67">
        <f t="shared" si="115"/>
        <v>31</v>
      </c>
      <c r="E301" s="67">
        <f t="shared" si="116"/>
        <v>7</v>
      </c>
      <c r="F301" s="74">
        <f t="shared" si="117"/>
        <v>45854.5</v>
      </c>
      <c r="G301" s="67">
        <f t="shared" si="118"/>
        <v>24306</v>
      </c>
      <c r="H301" s="75">
        <f t="shared" si="119"/>
        <v>1</v>
      </c>
      <c r="I301" s="76">
        <f t="shared" si="120"/>
        <v>1</v>
      </c>
      <c r="J301" s="76">
        <f t="shared" si="121"/>
        <v>1</v>
      </c>
      <c r="K301" s="67">
        <f t="shared" si="122"/>
        <v>0</v>
      </c>
      <c r="L301" s="67">
        <f t="shared" si="123"/>
        <v>0</v>
      </c>
      <c r="M301" s="77">
        <f t="shared" si="124"/>
        <v>0</v>
      </c>
      <c r="N301" s="76">
        <f t="shared" si="125"/>
        <v>1</v>
      </c>
      <c r="O301" s="77">
        <f t="shared" si="126"/>
        <v>0.89550875273522967</v>
      </c>
      <c r="P301" s="76">
        <f t="shared" si="127"/>
        <v>8.333333333333337E-2</v>
      </c>
      <c r="Q301" s="76">
        <f t="shared" si="128"/>
        <v>0</v>
      </c>
      <c r="R301" s="76">
        <f t="shared" si="129"/>
        <v>0</v>
      </c>
      <c r="S301" s="76">
        <f t="shared" si="130"/>
        <v>0.97337907906003218</v>
      </c>
      <c r="T301" s="76">
        <f t="shared" si="131"/>
        <v>0.97337907906003218</v>
      </c>
      <c r="U301" s="76">
        <f t="shared" si="132"/>
        <v>1</v>
      </c>
    </row>
    <row r="302" spans="1:21" x14ac:dyDescent="0.25">
      <c r="A302" s="71">
        <v>8</v>
      </c>
      <c r="B302" s="72">
        <f t="shared" si="133"/>
        <v>45870</v>
      </c>
      <c r="C302" s="73">
        <f t="shared" si="114"/>
        <v>45900</v>
      </c>
      <c r="D302" s="67">
        <f t="shared" si="115"/>
        <v>31</v>
      </c>
      <c r="E302" s="67">
        <f t="shared" si="116"/>
        <v>8</v>
      </c>
      <c r="F302" s="74">
        <f t="shared" si="117"/>
        <v>45885.5</v>
      </c>
      <c r="G302" s="67">
        <f t="shared" si="118"/>
        <v>24307</v>
      </c>
      <c r="H302" s="75">
        <f t="shared" si="119"/>
        <v>1</v>
      </c>
      <c r="I302" s="76">
        <f t="shared" si="120"/>
        <v>1</v>
      </c>
      <c r="J302" s="76">
        <f t="shared" si="121"/>
        <v>1</v>
      </c>
      <c r="K302" s="67">
        <f t="shared" si="122"/>
        <v>0</v>
      </c>
      <c r="L302" s="67">
        <f t="shared" si="123"/>
        <v>0</v>
      </c>
      <c r="M302" s="77">
        <f t="shared" si="124"/>
        <v>0</v>
      </c>
      <c r="N302" s="76">
        <f t="shared" si="125"/>
        <v>1</v>
      </c>
      <c r="O302" s="77">
        <f t="shared" si="126"/>
        <v>0.89652625820568921</v>
      </c>
      <c r="P302" s="76">
        <f t="shared" si="127"/>
        <v>0.25</v>
      </c>
      <c r="Q302" s="76">
        <f t="shared" si="128"/>
        <v>0</v>
      </c>
      <c r="R302" s="76">
        <f t="shared" si="129"/>
        <v>0</v>
      </c>
      <c r="S302" s="76">
        <f t="shared" si="130"/>
        <v>0.97448506326705342</v>
      </c>
      <c r="T302" s="76">
        <f t="shared" si="131"/>
        <v>0.97448506326705342</v>
      </c>
      <c r="U302" s="76">
        <f t="shared" si="132"/>
        <v>1</v>
      </c>
    </row>
    <row r="303" spans="1:21" x14ac:dyDescent="0.25">
      <c r="A303" s="71">
        <v>9</v>
      </c>
      <c r="B303" s="72">
        <f t="shared" si="133"/>
        <v>45901</v>
      </c>
      <c r="C303" s="73">
        <f t="shared" si="114"/>
        <v>45930</v>
      </c>
      <c r="D303" s="67">
        <f t="shared" si="115"/>
        <v>30</v>
      </c>
      <c r="E303" s="67">
        <f t="shared" si="116"/>
        <v>9</v>
      </c>
      <c r="F303" s="74">
        <f t="shared" si="117"/>
        <v>45916</v>
      </c>
      <c r="G303" s="67">
        <f t="shared" si="118"/>
        <v>24308</v>
      </c>
      <c r="H303" s="75">
        <f t="shared" si="119"/>
        <v>1</v>
      </c>
      <c r="I303" s="76">
        <f t="shared" si="120"/>
        <v>1</v>
      </c>
      <c r="J303" s="76">
        <f t="shared" si="121"/>
        <v>1</v>
      </c>
      <c r="K303" s="67">
        <f t="shared" si="122"/>
        <v>0</v>
      </c>
      <c r="L303" s="67">
        <f t="shared" si="123"/>
        <v>0</v>
      </c>
      <c r="M303" s="77">
        <f t="shared" si="124"/>
        <v>0</v>
      </c>
      <c r="N303" s="76">
        <f t="shared" si="125"/>
        <v>1</v>
      </c>
      <c r="O303" s="77">
        <f t="shared" si="126"/>
        <v>0.89752735229759295</v>
      </c>
      <c r="P303" s="76">
        <f t="shared" si="127"/>
        <v>0.41666666666666663</v>
      </c>
      <c r="Q303" s="76">
        <f t="shared" si="128"/>
        <v>0</v>
      </c>
      <c r="R303" s="76">
        <f t="shared" si="129"/>
        <v>0</v>
      </c>
      <c r="S303" s="76">
        <f t="shared" si="130"/>
        <v>0.9755732090191227</v>
      </c>
      <c r="T303" s="76">
        <f t="shared" si="131"/>
        <v>0.9755732090191227</v>
      </c>
      <c r="U303" s="76">
        <f t="shared" si="132"/>
        <v>1</v>
      </c>
    </row>
    <row r="304" spans="1:21" x14ac:dyDescent="0.25">
      <c r="A304" s="71">
        <v>10</v>
      </c>
      <c r="B304" s="72">
        <f t="shared" si="133"/>
        <v>45931</v>
      </c>
      <c r="C304" s="73">
        <f t="shared" si="114"/>
        <v>45961</v>
      </c>
      <c r="D304" s="67">
        <f t="shared" si="115"/>
        <v>31</v>
      </c>
      <c r="E304" s="67">
        <f t="shared" si="116"/>
        <v>10</v>
      </c>
      <c r="F304" s="74">
        <f t="shared" si="117"/>
        <v>45946.5</v>
      </c>
      <c r="G304" s="67">
        <f t="shared" si="118"/>
        <v>24309</v>
      </c>
      <c r="H304" s="75">
        <f t="shared" si="119"/>
        <v>1</v>
      </c>
      <c r="I304" s="76">
        <f t="shared" si="120"/>
        <v>1</v>
      </c>
      <c r="J304" s="76">
        <f t="shared" si="121"/>
        <v>1</v>
      </c>
      <c r="K304" s="67">
        <f t="shared" si="122"/>
        <v>0</v>
      </c>
      <c r="L304" s="67">
        <f t="shared" si="123"/>
        <v>0</v>
      </c>
      <c r="M304" s="77">
        <f t="shared" si="124"/>
        <v>0</v>
      </c>
      <c r="N304" s="76">
        <f t="shared" si="125"/>
        <v>1</v>
      </c>
      <c r="O304" s="77">
        <f t="shared" si="126"/>
        <v>0.89852844638949669</v>
      </c>
      <c r="P304" s="76">
        <f t="shared" si="127"/>
        <v>0.58333333333333326</v>
      </c>
      <c r="Q304" s="76">
        <f t="shared" si="128"/>
        <v>0</v>
      </c>
      <c r="R304" s="76">
        <f t="shared" si="129"/>
        <v>0</v>
      </c>
      <c r="S304" s="76">
        <f t="shared" si="130"/>
        <v>0.97666135477119198</v>
      </c>
      <c r="T304" s="76">
        <f t="shared" si="131"/>
        <v>0.97666135477119198</v>
      </c>
      <c r="U304" s="76">
        <f t="shared" si="132"/>
        <v>1</v>
      </c>
    </row>
    <row r="305" spans="1:21" x14ac:dyDescent="0.25">
      <c r="A305" s="71">
        <v>11</v>
      </c>
      <c r="B305" s="72">
        <f t="shared" si="133"/>
        <v>45962</v>
      </c>
      <c r="C305" s="73">
        <f t="shared" si="114"/>
        <v>45991</v>
      </c>
      <c r="D305" s="67">
        <f t="shared" si="115"/>
        <v>30</v>
      </c>
      <c r="E305" s="67">
        <f t="shared" si="116"/>
        <v>11</v>
      </c>
      <c r="F305" s="74">
        <f t="shared" si="117"/>
        <v>45977</v>
      </c>
      <c r="G305" s="67">
        <f t="shared" si="118"/>
        <v>24310</v>
      </c>
      <c r="H305" s="75">
        <f t="shared" si="119"/>
        <v>1</v>
      </c>
      <c r="I305" s="76">
        <f t="shared" si="120"/>
        <v>1</v>
      </c>
      <c r="J305" s="76">
        <f t="shared" si="121"/>
        <v>1</v>
      </c>
      <c r="K305" s="67">
        <f t="shared" si="122"/>
        <v>0</v>
      </c>
      <c r="L305" s="67">
        <f t="shared" si="123"/>
        <v>0</v>
      </c>
      <c r="M305" s="77">
        <f t="shared" si="124"/>
        <v>0</v>
      </c>
      <c r="N305" s="76">
        <f t="shared" si="125"/>
        <v>1</v>
      </c>
      <c r="O305" s="77">
        <f t="shared" si="126"/>
        <v>0.89952954048140044</v>
      </c>
      <c r="P305" s="76">
        <f t="shared" si="127"/>
        <v>0.75</v>
      </c>
      <c r="Q305" s="76">
        <f t="shared" si="128"/>
        <v>0</v>
      </c>
      <c r="R305" s="76">
        <f t="shared" si="129"/>
        <v>0</v>
      </c>
      <c r="S305" s="76">
        <f t="shared" si="130"/>
        <v>0.97774950052326126</v>
      </c>
      <c r="T305" s="76">
        <f t="shared" si="131"/>
        <v>0.97774950052326126</v>
      </c>
      <c r="U305" s="76">
        <f t="shared" si="132"/>
        <v>1</v>
      </c>
    </row>
    <row r="306" spans="1:21" x14ac:dyDescent="0.25">
      <c r="A306" s="71">
        <v>12</v>
      </c>
      <c r="B306" s="72">
        <f t="shared" si="133"/>
        <v>45992</v>
      </c>
      <c r="C306" s="73">
        <f t="shared" si="114"/>
        <v>46022</v>
      </c>
      <c r="D306" s="67">
        <f t="shared" si="115"/>
        <v>31</v>
      </c>
      <c r="E306" s="67">
        <f t="shared" si="116"/>
        <v>12</v>
      </c>
      <c r="F306" s="74">
        <f t="shared" si="117"/>
        <v>46007.5</v>
      </c>
      <c r="G306" s="67">
        <f t="shared" si="118"/>
        <v>24311</v>
      </c>
      <c r="H306" s="75">
        <f t="shared" si="119"/>
        <v>1</v>
      </c>
      <c r="I306" s="76">
        <f t="shared" si="120"/>
        <v>1</v>
      </c>
      <c r="J306" s="76">
        <f t="shared" si="121"/>
        <v>1</v>
      </c>
      <c r="K306" s="67">
        <f t="shared" si="122"/>
        <v>0</v>
      </c>
      <c r="L306" s="67">
        <f t="shared" si="123"/>
        <v>0</v>
      </c>
      <c r="M306" s="77">
        <f t="shared" si="124"/>
        <v>0</v>
      </c>
      <c r="N306" s="76">
        <f t="shared" si="125"/>
        <v>1</v>
      </c>
      <c r="O306" s="77">
        <f t="shared" si="126"/>
        <v>0.90053063457330418</v>
      </c>
      <c r="P306" s="76">
        <f t="shared" si="127"/>
        <v>0.91666666666666663</v>
      </c>
      <c r="Q306" s="76">
        <f t="shared" si="128"/>
        <v>0</v>
      </c>
      <c r="R306" s="76">
        <f t="shared" si="129"/>
        <v>0</v>
      </c>
      <c r="S306" s="76">
        <f t="shared" si="130"/>
        <v>0.97883764627533054</v>
      </c>
      <c r="T306" s="76">
        <f t="shared" si="131"/>
        <v>0.97883764627533054</v>
      </c>
      <c r="U306" s="76">
        <f t="shared" si="132"/>
        <v>1</v>
      </c>
    </row>
    <row r="307" spans="1:21" x14ac:dyDescent="0.25">
      <c r="A307" s="71">
        <v>13</v>
      </c>
      <c r="B307" s="72">
        <f t="shared" si="133"/>
        <v>46023</v>
      </c>
      <c r="C307" s="73">
        <f t="shared" si="114"/>
        <v>46053</v>
      </c>
      <c r="D307" s="67">
        <f t="shared" si="115"/>
        <v>31</v>
      </c>
      <c r="E307" s="67">
        <f t="shared" si="116"/>
        <v>1</v>
      </c>
      <c r="F307" s="74">
        <f t="shared" si="117"/>
        <v>46038.5</v>
      </c>
      <c r="G307" s="67">
        <f t="shared" si="118"/>
        <v>24312</v>
      </c>
      <c r="H307" s="75">
        <f t="shared" si="119"/>
        <v>1</v>
      </c>
      <c r="I307" s="76">
        <f t="shared" si="120"/>
        <v>1</v>
      </c>
      <c r="J307" s="76">
        <f t="shared" si="121"/>
        <v>1</v>
      </c>
      <c r="K307" s="67">
        <f t="shared" si="122"/>
        <v>0</v>
      </c>
      <c r="L307" s="67">
        <f t="shared" si="123"/>
        <v>0</v>
      </c>
      <c r="M307" s="77">
        <f t="shared" si="124"/>
        <v>0</v>
      </c>
      <c r="N307" s="76">
        <f t="shared" si="125"/>
        <v>1</v>
      </c>
      <c r="O307" s="77">
        <f t="shared" si="126"/>
        <v>0.90154814004376371</v>
      </c>
      <c r="P307" s="76">
        <f t="shared" si="127"/>
        <v>1</v>
      </c>
      <c r="Q307" s="76">
        <f t="shared" si="128"/>
        <v>0</v>
      </c>
      <c r="R307" s="76">
        <f t="shared" si="129"/>
        <v>0</v>
      </c>
      <c r="S307" s="76">
        <f t="shared" si="130"/>
        <v>0.97994363048235178</v>
      </c>
      <c r="T307" s="76">
        <f t="shared" si="131"/>
        <v>0.97994363048235178</v>
      </c>
      <c r="U307" s="76">
        <f t="shared" si="132"/>
        <v>1</v>
      </c>
    </row>
    <row r="308" spans="1:21" x14ac:dyDescent="0.25">
      <c r="A308" s="71">
        <v>14</v>
      </c>
      <c r="B308" s="72">
        <f t="shared" si="133"/>
        <v>46054</v>
      </c>
      <c r="C308" s="73">
        <f t="shared" si="114"/>
        <v>46081</v>
      </c>
      <c r="D308" s="67">
        <f t="shared" si="115"/>
        <v>28</v>
      </c>
      <c r="E308" s="67">
        <f t="shared" si="116"/>
        <v>2</v>
      </c>
      <c r="F308" s="74">
        <f t="shared" si="117"/>
        <v>46068</v>
      </c>
      <c r="G308" s="67">
        <f t="shared" si="118"/>
        <v>24313</v>
      </c>
      <c r="H308" s="75">
        <f t="shared" si="119"/>
        <v>1</v>
      </c>
      <c r="I308" s="76">
        <f t="shared" si="120"/>
        <v>1</v>
      </c>
      <c r="J308" s="76">
        <f t="shared" si="121"/>
        <v>1</v>
      </c>
      <c r="K308" s="67">
        <f t="shared" si="122"/>
        <v>0</v>
      </c>
      <c r="L308" s="67">
        <f t="shared" si="123"/>
        <v>0</v>
      </c>
      <c r="M308" s="77">
        <f t="shared" si="124"/>
        <v>0</v>
      </c>
      <c r="N308" s="76">
        <f t="shared" si="125"/>
        <v>1</v>
      </c>
      <c r="O308" s="77">
        <f t="shared" si="126"/>
        <v>0.90251641137855576</v>
      </c>
      <c r="P308" s="76">
        <f t="shared" si="127"/>
        <v>1</v>
      </c>
      <c r="Q308" s="76">
        <f t="shared" si="128"/>
        <v>0</v>
      </c>
      <c r="R308" s="76">
        <f t="shared" si="129"/>
        <v>0</v>
      </c>
      <c r="S308" s="76">
        <f t="shared" si="130"/>
        <v>0.98099609932451703</v>
      </c>
      <c r="T308" s="76">
        <f t="shared" si="131"/>
        <v>0.98099609932451703</v>
      </c>
      <c r="U308" s="76">
        <f t="shared" si="132"/>
        <v>1</v>
      </c>
    </row>
    <row r="309" spans="1:21" x14ac:dyDescent="0.25">
      <c r="A309" s="71">
        <v>15</v>
      </c>
      <c r="B309" s="72">
        <f t="shared" si="133"/>
        <v>46082</v>
      </c>
      <c r="C309" s="73">
        <f t="shared" si="114"/>
        <v>46112</v>
      </c>
      <c r="D309" s="67">
        <f t="shared" si="115"/>
        <v>31</v>
      </c>
      <c r="E309" s="67">
        <f t="shared" si="116"/>
        <v>3</v>
      </c>
      <c r="F309" s="74">
        <f t="shared" si="117"/>
        <v>46097.5</v>
      </c>
      <c r="G309" s="67">
        <f t="shared" si="118"/>
        <v>24314</v>
      </c>
      <c r="H309" s="75">
        <f t="shared" si="119"/>
        <v>1</v>
      </c>
      <c r="I309" s="76">
        <f t="shared" si="120"/>
        <v>1</v>
      </c>
      <c r="J309" s="76">
        <f t="shared" si="121"/>
        <v>1</v>
      </c>
      <c r="K309" s="67">
        <f t="shared" si="122"/>
        <v>0</v>
      </c>
      <c r="L309" s="67">
        <f t="shared" si="123"/>
        <v>0</v>
      </c>
      <c r="M309" s="77">
        <f t="shared" si="124"/>
        <v>0</v>
      </c>
      <c r="N309" s="76">
        <f t="shared" si="125"/>
        <v>1</v>
      </c>
      <c r="O309" s="77">
        <f t="shared" si="126"/>
        <v>0.90348468271334792</v>
      </c>
      <c r="P309" s="76">
        <f t="shared" si="127"/>
        <v>1</v>
      </c>
      <c r="Q309" s="76">
        <f t="shared" si="128"/>
        <v>0</v>
      </c>
      <c r="R309" s="76">
        <f t="shared" si="129"/>
        <v>0</v>
      </c>
      <c r="S309" s="76">
        <f t="shared" si="130"/>
        <v>0.98204856816668251</v>
      </c>
      <c r="T309" s="76">
        <f t="shared" si="131"/>
        <v>0.98204856816668251</v>
      </c>
      <c r="U309" s="76">
        <f t="shared" si="132"/>
        <v>1</v>
      </c>
    </row>
    <row r="310" spans="1:21" x14ac:dyDescent="0.25">
      <c r="A310" s="71">
        <v>16</v>
      </c>
      <c r="B310" s="72">
        <f t="shared" si="133"/>
        <v>46113</v>
      </c>
      <c r="C310" s="73">
        <f t="shared" si="114"/>
        <v>46142</v>
      </c>
      <c r="D310" s="67">
        <f t="shared" si="115"/>
        <v>30</v>
      </c>
      <c r="E310" s="67">
        <f t="shared" si="116"/>
        <v>4</v>
      </c>
      <c r="F310" s="74">
        <f t="shared" si="117"/>
        <v>46128</v>
      </c>
      <c r="G310" s="67">
        <f t="shared" si="118"/>
        <v>24315</v>
      </c>
      <c r="H310" s="75">
        <f t="shared" si="119"/>
        <v>1</v>
      </c>
      <c r="I310" s="76">
        <f t="shared" si="120"/>
        <v>1</v>
      </c>
      <c r="J310" s="76">
        <f t="shared" si="121"/>
        <v>1</v>
      </c>
      <c r="K310" s="67">
        <f t="shared" si="122"/>
        <v>0</v>
      </c>
      <c r="L310" s="67">
        <f t="shared" si="123"/>
        <v>0</v>
      </c>
      <c r="M310" s="77">
        <f t="shared" si="124"/>
        <v>0</v>
      </c>
      <c r="N310" s="76">
        <f t="shared" si="125"/>
        <v>1</v>
      </c>
      <c r="O310" s="77">
        <f t="shared" si="126"/>
        <v>0.90448577680525166</v>
      </c>
      <c r="P310" s="76">
        <f t="shared" si="127"/>
        <v>1</v>
      </c>
      <c r="Q310" s="76">
        <f t="shared" si="128"/>
        <v>0</v>
      </c>
      <c r="R310" s="76">
        <f t="shared" si="129"/>
        <v>0</v>
      </c>
      <c r="S310" s="76">
        <f t="shared" si="130"/>
        <v>0.98313671391875179</v>
      </c>
      <c r="T310" s="76">
        <f t="shared" si="131"/>
        <v>0.98313671391875179</v>
      </c>
      <c r="U310" s="76">
        <f t="shared" si="132"/>
        <v>1</v>
      </c>
    </row>
    <row r="311" spans="1:21" x14ac:dyDescent="0.25">
      <c r="A311" s="71">
        <v>17</v>
      </c>
      <c r="B311" s="72">
        <f t="shared" si="133"/>
        <v>46143</v>
      </c>
      <c r="C311" s="73">
        <f t="shared" si="114"/>
        <v>46173</v>
      </c>
      <c r="D311" s="67">
        <f t="shared" si="115"/>
        <v>31</v>
      </c>
      <c r="E311" s="67">
        <f t="shared" si="116"/>
        <v>5</v>
      </c>
      <c r="F311" s="74">
        <f t="shared" si="117"/>
        <v>46158.5</v>
      </c>
      <c r="G311" s="67">
        <f t="shared" si="118"/>
        <v>24316</v>
      </c>
      <c r="H311" s="75">
        <f t="shared" si="119"/>
        <v>1</v>
      </c>
      <c r="I311" s="76">
        <f t="shared" si="120"/>
        <v>1</v>
      </c>
      <c r="J311" s="76">
        <f t="shared" si="121"/>
        <v>1.06</v>
      </c>
      <c r="K311" s="67">
        <f t="shared" si="122"/>
        <v>1</v>
      </c>
      <c r="L311" s="67">
        <f t="shared" si="123"/>
        <v>31</v>
      </c>
      <c r="M311" s="77">
        <f t="shared" si="124"/>
        <v>1</v>
      </c>
      <c r="N311" s="76">
        <f t="shared" si="125"/>
        <v>1.06</v>
      </c>
      <c r="O311" s="77">
        <f t="shared" si="126"/>
        <v>0.9054868708971554</v>
      </c>
      <c r="P311" s="76">
        <f t="shared" si="127"/>
        <v>1</v>
      </c>
      <c r="Q311" s="76">
        <f t="shared" si="128"/>
        <v>0</v>
      </c>
      <c r="R311" s="76">
        <f t="shared" si="129"/>
        <v>0</v>
      </c>
      <c r="S311" s="76">
        <f t="shared" si="130"/>
        <v>1.0432783512510704</v>
      </c>
      <c r="T311" s="76">
        <f t="shared" si="131"/>
        <v>1.0432783512510704</v>
      </c>
      <c r="U311" s="76">
        <f t="shared" si="132"/>
        <v>1.06</v>
      </c>
    </row>
    <row r="312" spans="1:21" x14ac:dyDescent="0.25">
      <c r="A312" s="71">
        <v>18</v>
      </c>
      <c r="B312" s="72">
        <f t="shared" si="133"/>
        <v>46174</v>
      </c>
      <c r="C312" s="73">
        <f t="shared" si="114"/>
        <v>46203</v>
      </c>
      <c r="D312" s="67">
        <f t="shared" si="115"/>
        <v>30</v>
      </c>
      <c r="E312" s="67">
        <f t="shared" si="116"/>
        <v>6</v>
      </c>
      <c r="F312" s="74">
        <f t="shared" si="117"/>
        <v>46189</v>
      </c>
      <c r="G312" s="67">
        <f t="shared" si="118"/>
        <v>24317</v>
      </c>
      <c r="H312" s="75">
        <f t="shared" si="119"/>
        <v>1</v>
      </c>
      <c r="I312" s="76">
        <f t="shared" si="120"/>
        <v>1.06</v>
      </c>
      <c r="J312" s="76">
        <f t="shared" si="121"/>
        <v>1.06</v>
      </c>
      <c r="K312" s="67">
        <f t="shared" si="122"/>
        <v>0</v>
      </c>
      <c r="L312" s="67">
        <f t="shared" si="123"/>
        <v>0</v>
      </c>
      <c r="M312" s="77">
        <f t="shared" si="124"/>
        <v>0</v>
      </c>
      <c r="N312" s="76">
        <f t="shared" si="125"/>
        <v>1.06</v>
      </c>
      <c r="O312" s="77">
        <f t="shared" si="126"/>
        <v>0.90648796498905915</v>
      </c>
      <c r="P312" s="76">
        <f t="shared" si="127"/>
        <v>1</v>
      </c>
      <c r="Q312" s="76">
        <f t="shared" si="128"/>
        <v>0</v>
      </c>
      <c r="R312" s="76">
        <f t="shared" si="129"/>
        <v>0</v>
      </c>
      <c r="S312" s="76">
        <f t="shared" si="130"/>
        <v>1.0444317857482639</v>
      </c>
      <c r="T312" s="76">
        <f t="shared" si="131"/>
        <v>1.0444317857482639</v>
      </c>
      <c r="U312" s="76">
        <f t="shared" si="132"/>
        <v>1.06</v>
      </c>
    </row>
    <row r="313" spans="1:21" x14ac:dyDescent="0.25">
      <c r="A313" s="71">
        <v>19</v>
      </c>
      <c r="B313" s="72">
        <f t="shared" si="133"/>
        <v>46204</v>
      </c>
      <c r="C313" s="73">
        <f t="shared" si="114"/>
        <v>46234</v>
      </c>
      <c r="D313" s="67">
        <f t="shared" si="115"/>
        <v>31</v>
      </c>
      <c r="E313" s="67">
        <f t="shared" si="116"/>
        <v>7</v>
      </c>
      <c r="F313" s="74">
        <f t="shared" si="117"/>
        <v>46219.5</v>
      </c>
      <c r="G313" s="67">
        <f t="shared" si="118"/>
        <v>24318</v>
      </c>
      <c r="H313" s="75">
        <f t="shared" si="119"/>
        <v>1</v>
      </c>
      <c r="I313" s="76">
        <f t="shared" si="120"/>
        <v>1.06</v>
      </c>
      <c r="J313" s="76">
        <f t="shared" si="121"/>
        <v>1.06</v>
      </c>
      <c r="K313" s="67">
        <f t="shared" si="122"/>
        <v>0</v>
      </c>
      <c r="L313" s="67">
        <f t="shared" si="123"/>
        <v>0</v>
      </c>
      <c r="M313" s="77">
        <f t="shared" si="124"/>
        <v>0</v>
      </c>
      <c r="N313" s="76">
        <f t="shared" si="125"/>
        <v>1.06</v>
      </c>
      <c r="O313" s="77">
        <f t="shared" si="126"/>
        <v>0.90748905908096278</v>
      </c>
      <c r="P313" s="76">
        <f t="shared" si="127"/>
        <v>0.91666666666666663</v>
      </c>
      <c r="Q313" s="76">
        <f t="shared" si="128"/>
        <v>8.333333333333337E-2</v>
      </c>
      <c r="R313" s="76">
        <f t="shared" si="129"/>
        <v>0</v>
      </c>
      <c r="S313" s="76">
        <f t="shared" si="130"/>
        <v>1.0455852202454572</v>
      </c>
      <c r="T313" s="76">
        <f t="shared" si="131"/>
        <v>1.0455852202454572</v>
      </c>
      <c r="U313" s="76">
        <f t="shared" si="132"/>
        <v>1.06</v>
      </c>
    </row>
    <row r="314" spans="1:21" x14ac:dyDescent="0.25">
      <c r="A314" s="71">
        <v>20</v>
      </c>
      <c r="B314" s="72">
        <f t="shared" si="133"/>
        <v>46235</v>
      </c>
      <c r="C314" s="73">
        <f t="shared" si="114"/>
        <v>46265</v>
      </c>
      <c r="D314" s="67">
        <f t="shared" si="115"/>
        <v>31</v>
      </c>
      <c r="E314" s="67">
        <f t="shared" si="116"/>
        <v>8</v>
      </c>
      <c r="F314" s="74">
        <f t="shared" si="117"/>
        <v>46250.5</v>
      </c>
      <c r="G314" s="67">
        <f t="shared" si="118"/>
        <v>24319</v>
      </c>
      <c r="H314" s="75">
        <f t="shared" si="119"/>
        <v>1</v>
      </c>
      <c r="I314" s="76">
        <f t="shared" si="120"/>
        <v>1.06</v>
      </c>
      <c r="J314" s="76">
        <f t="shared" si="121"/>
        <v>1.06</v>
      </c>
      <c r="K314" s="67">
        <f t="shared" si="122"/>
        <v>0</v>
      </c>
      <c r="L314" s="67">
        <f t="shared" si="123"/>
        <v>0</v>
      </c>
      <c r="M314" s="77">
        <f t="shared" si="124"/>
        <v>0</v>
      </c>
      <c r="N314" s="76">
        <f t="shared" si="125"/>
        <v>1.06</v>
      </c>
      <c r="O314" s="77">
        <f t="shared" si="126"/>
        <v>0.90850656455142231</v>
      </c>
      <c r="P314" s="76">
        <f t="shared" si="127"/>
        <v>0.75</v>
      </c>
      <c r="Q314" s="76">
        <f t="shared" si="128"/>
        <v>0.25</v>
      </c>
      <c r="R314" s="76">
        <f t="shared" si="129"/>
        <v>0</v>
      </c>
      <c r="S314" s="76">
        <f t="shared" si="130"/>
        <v>1.0467575635048996</v>
      </c>
      <c r="T314" s="76">
        <f t="shared" si="131"/>
        <v>1.0467575635048996</v>
      </c>
      <c r="U314" s="76">
        <f t="shared" si="132"/>
        <v>1.06</v>
      </c>
    </row>
    <row r="315" spans="1:21" x14ac:dyDescent="0.25">
      <c r="A315" s="71">
        <v>21</v>
      </c>
      <c r="B315" s="72">
        <f t="shared" si="133"/>
        <v>46266</v>
      </c>
      <c r="C315" s="73">
        <f t="shared" si="114"/>
        <v>46295</v>
      </c>
      <c r="D315" s="67">
        <f t="shared" si="115"/>
        <v>30</v>
      </c>
      <c r="E315" s="67">
        <f t="shared" si="116"/>
        <v>9</v>
      </c>
      <c r="F315" s="74">
        <f t="shared" si="117"/>
        <v>46281</v>
      </c>
      <c r="G315" s="67">
        <f t="shared" si="118"/>
        <v>24320</v>
      </c>
      <c r="H315" s="75">
        <f t="shared" si="119"/>
        <v>1</v>
      </c>
      <c r="I315" s="76">
        <f t="shared" si="120"/>
        <v>1.06</v>
      </c>
      <c r="J315" s="76">
        <f t="shared" si="121"/>
        <v>1.06</v>
      </c>
      <c r="K315" s="67">
        <f t="shared" si="122"/>
        <v>0</v>
      </c>
      <c r="L315" s="67">
        <f t="shared" si="123"/>
        <v>0</v>
      </c>
      <c r="M315" s="77">
        <f t="shared" si="124"/>
        <v>0</v>
      </c>
      <c r="N315" s="76">
        <f t="shared" si="125"/>
        <v>1.06</v>
      </c>
      <c r="O315" s="77">
        <f t="shared" si="126"/>
        <v>0.90950765864332606</v>
      </c>
      <c r="P315" s="76">
        <f t="shared" si="127"/>
        <v>0.58333333333333337</v>
      </c>
      <c r="Q315" s="76">
        <f t="shared" si="128"/>
        <v>0.41666666666666663</v>
      </c>
      <c r="R315" s="76">
        <f t="shared" si="129"/>
        <v>0</v>
      </c>
      <c r="S315" s="76">
        <f t="shared" si="130"/>
        <v>1.0479109980020931</v>
      </c>
      <c r="T315" s="76">
        <f t="shared" si="131"/>
        <v>1.0479109980020931</v>
      </c>
      <c r="U315" s="76">
        <f t="shared" si="132"/>
        <v>1.06</v>
      </c>
    </row>
    <row r="316" spans="1:21" x14ac:dyDescent="0.25">
      <c r="A316" s="71">
        <v>22</v>
      </c>
      <c r="B316" s="72">
        <f t="shared" si="133"/>
        <v>46296</v>
      </c>
      <c r="C316" s="73">
        <f t="shared" si="114"/>
        <v>46326</v>
      </c>
      <c r="D316" s="67">
        <f t="shared" si="115"/>
        <v>31</v>
      </c>
      <c r="E316" s="67">
        <f t="shared" si="116"/>
        <v>10</v>
      </c>
      <c r="F316" s="74">
        <f t="shared" si="117"/>
        <v>46311.5</v>
      </c>
      <c r="G316" s="67">
        <f t="shared" si="118"/>
        <v>24321</v>
      </c>
      <c r="H316" s="75">
        <f t="shared" si="119"/>
        <v>1</v>
      </c>
      <c r="I316" s="76">
        <f t="shared" si="120"/>
        <v>1.06</v>
      </c>
      <c r="J316" s="76">
        <f t="shared" si="121"/>
        <v>1.06</v>
      </c>
      <c r="K316" s="67">
        <f t="shared" si="122"/>
        <v>0</v>
      </c>
      <c r="L316" s="67">
        <f t="shared" si="123"/>
        <v>0</v>
      </c>
      <c r="M316" s="77">
        <f t="shared" si="124"/>
        <v>0</v>
      </c>
      <c r="N316" s="76">
        <f t="shared" si="125"/>
        <v>1.06</v>
      </c>
      <c r="O316" s="77">
        <f t="shared" si="126"/>
        <v>0.9105087527352298</v>
      </c>
      <c r="P316" s="76">
        <f t="shared" si="127"/>
        <v>0.41666666666666669</v>
      </c>
      <c r="Q316" s="76">
        <f t="shared" si="128"/>
        <v>0.58333333333333326</v>
      </c>
      <c r="R316" s="76">
        <f t="shared" si="129"/>
        <v>0</v>
      </c>
      <c r="S316" s="76">
        <f t="shared" si="130"/>
        <v>1.0490644324992866</v>
      </c>
      <c r="T316" s="76">
        <f t="shared" si="131"/>
        <v>1.0490644324992866</v>
      </c>
      <c r="U316" s="76">
        <f t="shared" si="132"/>
        <v>1.06</v>
      </c>
    </row>
    <row r="317" spans="1:21" x14ac:dyDescent="0.25">
      <c r="A317" s="71">
        <v>23</v>
      </c>
      <c r="B317" s="72">
        <f t="shared" si="133"/>
        <v>46327</v>
      </c>
      <c r="C317" s="73">
        <f t="shared" si="114"/>
        <v>46356</v>
      </c>
      <c r="D317" s="67">
        <f t="shared" si="115"/>
        <v>30</v>
      </c>
      <c r="E317" s="67">
        <f t="shared" si="116"/>
        <v>11</v>
      </c>
      <c r="F317" s="74">
        <f t="shared" si="117"/>
        <v>46342</v>
      </c>
      <c r="G317" s="67">
        <f t="shared" si="118"/>
        <v>24322</v>
      </c>
      <c r="H317" s="75">
        <f t="shared" si="119"/>
        <v>1</v>
      </c>
      <c r="I317" s="76">
        <f t="shared" si="120"/>
        <v>1.06</v>
      </c>
      <c r="J317" s="76">
        <f t="shared" si="121"/>
        <v>1.06</v>
      </c>
      <c r="K317" s="67">
        <f t="shared" si="122"/>
        <v>0</v>
      </c>
      <c r="L317" s="67">
        <f t="shared" si="123"/>
        <v>0</v>
      </c>
      <c r="M317" s="77">
        <f t="shared" si="124"/>
        <v>0</v>
      </c>
      <c r="N317" s="76">
        <f t="shared" si="125"/>
        <v>1.06</v>
      </c>
      <c r="O317" s="77">
        <f t="shared" si="126"/>
        <v>0.91150984682713354</v>
      </c>
      <c r="P317" s="76">
        <f t="shared" si="127"/>
        <v>0.25</v>
      </c>
      <c r="Q317" s="76">
        <f t="shared" si="128"/>
        <v>0.75</v>
      </c>
      <c r="R317" s="76">
        <f t="shared" si="129"/>
        <v>0</v>
      </c>
      <c r="S317" s="76">
        <f t="shared" si="130"/>
        <v>1.0502178669964799</v>
      </c>
      <c r="T317" s="76">
        <f t="shared" si="131"/>
        <v>1.0502178669964799</v>
      </c>
      <c r="U317" s="76">
        <f t="shared" si="132"/>
        <v>1.06</v>
      </c>
    </row>
    <row r="318" spans="1:21" x14ac:dyDescent="0.25">
      <c r="A318" s="71">
        <v>24</v>
      </c>
      <c r="B318" s="72">
        <f t="shared" si="133"/>
        <v>46357</v>
      </c>
      <c r="C318" s="73">
        <f t="shared" si="114"/>
        <v>46387</v>
      </c>
      <c r="D318" s="67">
        <f t="shared" si="115"/>
        <v>31</v>
      </c>
      <c r="E318" s="67">
        <f t="shared" si="116"/>
        <v>12</v>
      </c>
      <c r="F318" s="74">
        <f t="shared" si="117"/>
        <v>46372.5</v>
      </c>
      <c r="G318" s="67">
        <f t="shared" si="118"/>
        <v>24323</v>
      </c>
      <c r="H318" s="75">
        <f t="shared" si="119"/>
        <v>1</v>
      </c>
      <c r="I318" s="76">
        <f t="shared" si="120"/>
        <v>1.06</v>
      </c>
      <c r="J318" s="76">
        <f t="shared" si="121"/>
        <v>1.06</v>
      </c>
      <c r="K318" s="67">
        <f t="shared" si="122"/>
        <v>0</v>
      </c>
      <c r="L318" s="67">
        <f t="shared" si="123"/>
        <v>0</v>
      </c>
      <c r="M318" s="77">
        <f t="shared" si="124"/>
        <v>0</v>
      </c>
      <c r="N318" s="76">
        <f t="shared" si="125"/>
        <v>1.06</v>
      </c>
      <c r="O318" s="77">
        <f t="shared" si="126"/>
        <v>0.91251094091903728</v>
      </c>
      <c r="P318" s="76">
        <f t="shared" si="127"/>
        <v>8.3333333333333329E-2</v>
      </c>
      <c r="Q318" s="76">
        <f t="shared" si="128"/>
        <v>0.91666666666666663</v>
      </c>
      <c r="R318" s="76">
        <f t="shared" si="129"/>
        <v>0</v>
      </c>
      <c r="S318" s="76">
        <f t="shared" si="130"/>
        <v>1.0513713014936734</v>
      </c>
      <c r="T318" s="76">
        <f t="shared" si="131"/>
        <v>1.0513713014936734</v>
      </c>
      <c r="U318" s="76">
        <f t="shared" si="132"/>
        <v>1.06</v>
      </c>
    </row>
    <row r="319" spans="1:21" x14ac:dyDescent="0.25">
      <c r="A319" s="71">
        <v>25</v>
      </c>
      <c r="B319" s="72">
        <f t="shared" si="133"/>
        <v>46388</v>
      </c>
      <c r="C319" s="73">
        <f t="shared" si="114"/>
        <v>46418</v>
      </c>
      <c r="D319" s="67">
        <f t="shared" si="115"/>
        <v>31</v>
      </c>
      <c r="E319" s="67">
        <f t="shared" si="116"/>
        <v>1</v>
      </c>
      <c r="F319" s="74">
        <f t="shared" si="117"/>
        <v>46403.5</v>
      </c>
      <c r="G319" s="67">
        <f t="shared" si="118"/>
        <v>24324</v>
      </c>
      <c r="H319" s="75">
        <f t="shared" si="119"/>
        <v>1</v>
      </c>
      <c r="I319" s="76">
        <f t="shared" si="120"/>
        <v>1.06</v>
      </c>
      <c r="J319" s="76">
        <f t="shared" si="121"/>
        <v>1.06</v>
      </c>
      <c r="K319" s="67">
        <f t="shared" si="122"/>
        <v>0</v>
      </c>
      <c r="L319" s="67">
        <f t="shared" si="123"/>
        <v>0</v>
      </c>
      <c r="M319" s="77">
        <f t="shared" si="124"/>
        <v>0</v>
      </c>
      <c r="N319" s="76">
        <f t="shared" si="125"/>
        <v>1.06</v>
      </c>
      <c r="O319" s="77">
        <f t="shared" si="126"/>
        <v>0.91352844638949671</v>
      </c>
      <c r="P319" s="76">
        <f t="shared" si="127"/>
        <v>0</v>
      </c>
      <c r="Q319" s="76">
        <f t="shared" si="128"/>
        <v>1</v>
      </c>
      <c r="R319" s="76">
        <f t="shared" si="129"/>
        <v>0</v>
      </c>
      <c r="S319" s="76">
        <f t="shared" si="130"/>
        <v>1.0525436447531158</v>
      </c>
      <c r="T319" s="76">
        <f t="shared" si="131"/>
        <v>0.97994363048235178</v>
      </c>
      <c r="U319" s="76">
        <f t="shared" si="132"/>
        <v>1.06</v>
      </c>
    </row>
    <row r="320" spans="1:21" x14ac:dyDescent="0.25">
      <c r="A320" s="71">
        <v>26</v>
      </c>
      <c r="B320" s="72">
        <f t="shared" si="133"/>
        <v>46419</v>
      </c>
      <c r="C320" s="73">
        <f t="shared" si="114"/>
        <v>46446</v>
      </c>
      <c r="D320" s="67">
        <f t="shared" si="115"/>
        <v>28</v>
      </c>
      <c r="E320" s="67">
        <f t="shared" si="116"/>
        <v>2</v>
      </c>
      <c r="F320" s="74">
        <f t="shared" si="117"/>
        <v>46433</v>
      </c>
      <c r="G320" s="67">
        <f t="shared" si="118"/>
        <v>24325</v>
      </c>
      <c r="H320" s="75">
        <f t="shared" si="119"/>
        <v>1</v>
      </c>
      <c r="I320" s="76">
        <f t="shared" si="120"/>
        <v>1.06</v>
      </c>
      <c r="J320" s="76">
        <f t="shared" si="121"/>
        <v>1.06</v>
      </c>
      <c r="K320" s="67">
        <f t="shared" si="122"/>
        <v>0</v>
      </c>
      <c r="L320" s="67">
        <f t="shared" si="123"/>
        <v>0</v>
      </c>
      <c r="M320" s="77">
        <f t="shared" si="124"/>
        <v>0</v>
      </c>
      <c r="N320" s="76">
        <f t="shared" si="125"/>
        <v>1.06</v>
      </c>
      <c r="O320" s="77">
        <f t="shared" si="126"/>
        <v>0.91449671772428887</v>
      </c>
      <c r="P320" s="76">
        <f t="shared" si="127"/>
        <v>0</v>
      </c>
      <c r="Q320" s="76">
        <f t="shared" si="128"/>
        <v>1</v>
      </c>
      <c r="R320" s="76">
        <f t="shared" si="129"/>
        <v>0</v>
      </c>
      <c r="S320" s="76">
        <f t="shared" si="130"/>
        <v>1.0536592617258111</v>
      </c>
      <c r="T320" s="76">
        <f t="shared" si="131"/>
        <v>0.98099609932451703</v>
      </c>
      <c r="U320" s="76">
        <f t="shared" si="132"/>
        <v>1.06</v>
      </c>
    </row>
    <row r="321" spans="1:21" x14ac:dyDescent="0.25">
      <c r="A321" s="71">
        <v>27</v>
      </c>
      <c r="B321" s="72">
        <f t="shared" si="133"/>
        <v>46447</v>
      </c>
      <c r="C321" s="73">
        <f t="shared" si="114"/>
        <v>46477</v>
      </c>
      <c r="D321" s="67">
        <f t="shared" si="115"/>
        <v>31</v>
      </c>
      <c r="E321" s="67">
        <f t="shared" si="116"/>
        <v>3</v>
      </c>
      <c r="F321" s="74">
        <f t="shared" si="117"/>
        <v>46462.5</v>
      </c>
      <c r="G321" s="67">
        <f t="shared" si="118"/>
        <v>24326</v>
      </c>
      <c r="H321" s="75">
        <f t="shared" si="119"/>
        <v>1</v>
      </c>
      <c r="I321" s="76">
        <f t="shared" si="120"/>
        <v>1.06</v>
      </c>
      <c r="J321" s="76">
        <f t="shared" si="121"/>
        <v>1.06</v>
      </c>
      <c r="K321" s="67">
        <f t="shared" si="122"/>
        <v>0</v>
      </c>
      <c r="L321" s="67">
        <f t="shared" si="123"/>
        <v>0</v>
      </c>
      <c r="M321" s="77">
        <f t="shared" si="124"/>
        <v>0</v>
      </c>
      <c r="N321" s="76">
        <f t="shared" si="125"/>
        <v>1.06</v>
      </c>
      <c r="O321" s="77">
        <f t="shared" si="126"/>
        <v>0.91546498905908102</v>
      </c>
      <c r="P321" s="76">
        <f t="shared" si="127"/>
        <v>0</v>
      </c>
      <c r="Q321" s="76">
        <f t="shared" si="128"/>
        <v>1</v>
      </c>
      <c r="R321" s="76">
        <f t="shared" si="129"/>
        <v>0</v>
      </c>
      <c r="S321" s="76">
        <f t="shared" si="130"/>
        <v>1.0547748786985063</v>
      </c>
      <c r="T321" s="76">
        <f t="shared" si="131"/>
        <v>0.98204856816668251</v>
      </c>
      <c r="U321" s="76">
        <f t="shared" si="132"/>
        <v>1.06</v>
      </c>
    </row>
    <row r="322" spans="1:21" x14ac:dyDescent="0.25">
      <c r="A322" s="71">
        <v>28</v>
      </c>
      <c r="B322" s="72">
        <f t="shared" si="133"/>
        <v>46478</v>
      </c>
      <c r="C322" s="73">
        <f t="shared" si="114"/>
        <v>46507</v>
      </c>
      <c r="D322" s="67">
        <f t="shared" si="115"/>
        <v>30</v>
      </c>
      <c r="E322" s="67">
        <f t="shared" si="116"/>
        <v>4</v>
      </c>
      <c r="F322" s="74">
        <f t="shared" si="117"/>
        <v>46493</v>
      </c>
      <c r="G322" s="67">
        <f t="shared" si="118"/>
        <v>24327</v>
      </c>
      <c r="H322" s="75">
        <f t="shared" si="119"/>
        <v>1</v>
      </c>
      <c r="I322" s="76">
        <f t="shared" si="120"/>
        <v>1.06</v>
      </c>
      <c r="J322" s="76">
        <f t="shared" si="121"/>
        <v>1.06</v>
      </c>
      <c r="K322" s="67">
        <f t="shared" si="122"/>
        <v>0</v>
      </c>
      <c r="L322" s="67">
        <f t="shared" si="123"/>
        <v>0</v>
      </c>
      <c r="M322" s="77">
        <f t="shared" si="124"/>
        <v>0</v>
      </c>
      <c r="N322" s="76">
        <f t="shared" si="125"/>
        <v>1.06</v>
      </c>
      <c r="O322" s="77">
        <f t="shared" si="126"/>
        <v>0.91646608315098477</v>
      </c>
      <c r="P322" s="76">
        <f t="shared" si="127"/>
        <v>0</v>
      </c>
      <c r="Q322" s="76">
        <f t="shared" si="128"/>
        <v>1</v>
      </c>
      <c r="R322" s="76">
        <f t="shared" si="129"/>
        <v>0</v>
      </c>
      <c r="S322" s="76">
        <f t="shared" si="130"/>
        <v>1.0559283131956998</v>
      </c>
      <c r="T322" s="76">
        <f t="shared" si="131"/>
        <v>0.98313671391875179</v>
      </c>
      <c r="U322" s="76">
        <f t="shared" si="132"/>
        <v>1.06</v>
      </c>
    </row>
    <row r="323" spans="1:21" x14ac:dyDescent="0.25">
      <c r="A323" s="71">
        <v>29</v>
      </c>
      <c r="B323" s="72">
        <f t="shared" si="133"/>
        <v>46508</v>
      </c>
      <c r="C323" s="73">
        <f t="shared" si="114"/>
        <v>46538</v>
      </c>
      <c r="D323" s="67">
        <f t="shared" si="115"/>
        <v>31</v>
      </c>
      <c r="E323" s="67">
        <f t="shared" si="116"/>
        <v>5</v>
      </c>
      <c r="F323" s="74">
        <f t="shared" si="117"/>
        <v>46523.5</v>
      </c>
      <c r="G323" s="67">
        <f t="shared" si="118"/>
        <v>24328</v>
      </c>
      <c r="H323" s="75">
        <f t="shared" si="119"/>
        <v>1</v>
      </c>
      <c r="I323" s="76">
        <f t="shared" si="120"/>
        <v>1.06</v>
      </c>
      <c r="J323" s="76">
        <f t="shared" si="121"/>
        <v>1.06</v>
      </c>
      <c r="K323" s="67">
        <f t="shared" si="122"/>
        <v>0</v>
      </c>
      <c r="L323" s="67">
        <f t="shared" si="123"/>
        <v>0</v>
      </c>
      <c r="M323" s="77">
        <f t="shared" si="124"/>
        <v>0</v>
      </c>
      <c r="N323" s="76">
        <f t="shared" si="125"/>
        <v>1.06</v>
      </c>
      <c r="O323" s="77">
        <f t="shared" si="126"/>
        <v>0.9174671772428884</v>
      </c>
      <c r="P323" s="76">
        <f t="shared" si="127"/>
        <v>0</v>
      </c>
      <c r="Q323" s="76">
        <f t="shared" si="128"/>
        <v>1</v>
      </c>
      <c r="R323" s="76">
        <f t="shared" si="129"/>
        <v>0</v>
      </c>
      <c r="S323" s="76">
        <f t="shared" si="130"/>
        <v>1.0570817476928931</v>
      </c>
      <c r="T323" s="76">
        <f t="shared" si="131"/>
        <v>1.0432783512510704</v>
      </c>
      <c r="U323" s="76">
        <f t="shared" si="132"/>
        <v>1.06</v>
      </c>
    </row>
    <row r="324" spans="1:21" x14ac:dyDescent="0.25">
      <c r="A324" s="71">
        <v>30</v>
      </c>
      <c r="B324" s="72">
        <f t="shared" si="133"/>
        <v>46539</v>
      </c>
      <c r="C324" s="73">
        <f t="shared" si="114"/>
        <v>46568</v>
      </c>
      <c r="D324" s="67">
        <f t="shared" si="115"/>
        <v>30</v>
      </c>
      <c r="E324" s="67">
        <f t="shared" si="116"/>
        <v>6</v>
      </c>
      <c r="F324" s="74">
        <f t="shared" si="117"/>
        <v>46554</v>
      </c>
      <c r="G324" s="67">
        <f t="shared" si="118"/>
        <v>24329</v>
      </c>
      <c r="H324" s="75">
        <f t="shared" si="119"/>
        <v>1</v>
      </c>
      <c r="I324" s="76">
        <f t="shared" si="120"/>
        <v>1.06</v>
      </c>
      <c r="J324" s="76">
        <f t="shared" si="121"/>
        <v>1.06</v>
      </c>
      <c r="K324" s="67">
        <f t="shared" si="122"/>
        <v>0</v>
      </c>
      <c r="L324" s="67">
        <f t="shared" si="123"/>
        <v>0</v>
      </c>
      <c r="M324" s="77">
        <f t="shared" si="124"/>
        <v>0</v>
      </c>
      <c r="N324" s="76">
        <f t="shared" si="125"/>
        <v>1.06</v>
      </c>
      <c r="O324" s="77">
        <f t="shared" si="126"/>
        <v>0.91846827133479214</v>
      </c>
      <c r="P324" s="76">
        <f t="shared" si="127"/>
        <v>0</v>
      </c>
      <c r="Q324" s="76">
        <f t="shared" si="128"/>
        <v>1</v>
      </c>
      <c r="R324" s="76">
        <f t="shared" si="129"/>
        <v>0</v>
      </c>
      <c r="S324" s="76">
        <f t="shared" si="130"/>
        <v>1.0582351821900866</v>
      </c>
      <c r="T324" s="76">
        <f t="shared" si="131"/>
        <v>1.0444317857482639</v>
      </c>
      <c r="U324" s="76">
        <f t="shared" si="132"/>
        <v>1.06</v>
      </c>
    </row>
    <row r="325" spans="1:21" x14ac:dyDescent="0.25">
      <c r="A325" s="71">
        <v>31</v>
      </c>
      <c r="B325" s="72">
        <f t="shared" si="133"/>
        <v>46569</v>
      </c>
      <c r="C325" s="73">
        <f t="shared" si="114"/>
        <v>46599</v>
      </c>
      <c r="D325" s="67">
        <f t="shared" si="115"/>
        <v>31</v>
      </c>
      <c r="E325" s="67">
        <f t="shared" si="116"/>
        <v>7</v>
      </c>
      <c r="F325" s="74">
        <f t="shared" si="117"/>
        <v>46584.5</v>
      </c>
      <c r="G325" s="67">
        <f t="shared" si="118"/>
        <v>24330</v>
      </c>
      <c r="H325" s="75">
        <f t="shared" si="119"/>
        <v>1</v>
      </c>
      <c r="I325" s="76">
        <f t="shared" si="120"/>
        <v>1.06</v>
      </c>
      <c r="J325" s="76">
        <f t="shared" si="121"/>
        <v>1.06</v>
      </c>
      <c r="K325" s="67">
        <f t="shared" si="122"/>
        <v>0</v>
      </c>
      <c r="L325" s="67">
        <f t="shared" si="123"/>
        <v>0</v>
      </c>
      <c r="M325" s="77">
        <f t="shared" si="124"/>
        <v>0</v>
      </c>
      <c r="N325" s="76">
        <f t="shared" si="125"/>
        <v>1.06</v>
      </c>
      <c r="O325" s="77">
        <f t="shared" si="126"/>
        <v>0.91946936542669588</v>
      </c>
      <c r="P325" s="76">
        <f t="shared" si="127"/>
        <v>0</v>
      </c>
      <c r="Q325" s="76">
        <f t="shared" si="128"/>
        <v>0.91666666666666663</v>
      </c>
      <c r="R325" s="76">
        <f t="shared" si="129"/>
        <v>8.333333333333337E-2</v>
      </c>
      <c r="S325" s="76">
        <f t="shared" si="130"/>
        <v>1.0593886166872799</v>
      </c>
      <c r="T325" s="76">
        <f t="shared" si="131"/>
        <v>1.0455852202454572</v>
      </c>
      <c r="U325" s="76">
        <f t="shared" si="132"/>
        <v>1.06</v>
      </c>
    </row>
    <row r="326" spans="1:21" x14ac:dyDescent="0.25">
      <c r="A326" s="71">
        <v>32</v>
      </c>
      <c r="B326" s="72">
        <f t="shared" si="133"/>
        <v>46600</v>
      </c>
      <c r="C326" s="73">
        <f t="shared" si="114"/>
        <v>46630</v>
      </c>
      <c r="D326" s="67">
        <f t="shared" si="115"/>
        <v>31</v>
      </c>
      <c r="E326" s="67">
        <f t="shared" si="116"/>
        <v>8</v>
      </c>
      <c r="F326" s="74">
        <f t="shared" si="117"/>
        <v>46615.5</v>
      </c>
      <c r="G326" s="67">
        <f t="shared" si="118"/>
        <v>24331</v>
      </c>
      <c r="H326" s="75">
        <f t="shared" si="119"/>
        <v>1</v>
      </c>
      <c r="I326" s="76">
        <f t="shared" si="120"/>
        <v>1.06</v>
      </c>
      <c r="J326" s="76">
        <f t="shared" si="121"/>
        <v>1.06</v>
      </c>
      <c r="K326" s="67">
        <f t="shared" si="122"/>
        <v>0</v>
      </c>
      <c r="L326" s="67">
        <f t="shared" si="123"/>
        <v>0</v>
      </c>
      <c r="M326" s="77">
        <f t="shared" si="124"/>
        <v>0</v>
      </c>
      <c r="N326" s="76">
        <f t="shared" si="125"/>
        <v>1.06</v>
      </c>
      <c r="O326" s="77">
        <f t="shared" si="126"/>
        <v>0.92048687089715542</v>
      </c>
      <c r="P326" s="76">
        <f t="shared" si="127"/>
        <v>0</v>
      </c>
      <c r="Q326" s="76">
        <f t="shared" si="128"/>
        <v>0.75</v>
      </c>
      <c r="R326" s="76">
        <f t="shared" si="129"/>
        <v>0.25</v>
      </c>
      <c r="S326" s="76">
        <f t="shared" si="130"/>
        <v>1.0605609599467227</v>
      </c>
      <c r="T326" s="76">
        <f t="shared" si="131"/>
        <v>1.0467575635048996</v>
      </c>
      <c r="U326" s="76">
        <f t="shared" si="132"/>
        <v>1.06</v>
      </c>
    </row>
    <row r="327" spans="1:21" x14ac:dyDescent="0.25">
      <c r="A327" s="71">
        <v>33</v>
      </c>
      <c r="B327" s="72">
        <f t="shared" si="133"/>
        <v>46631</v>
      </c>
      <c r="C327" s="73">
        <f t="shared" si="114"/>
        <v>46660</v>
      </c>
      <c r="D327" s="67">
        <f t="shared" si="115"/>
        <v>30</v>
      </c>
      <c r="E327" s="67">
        <f t="shared" si="116"/>
        <v>9</v>
      </c>
      <c r="F327" s="74">
        <f t="shared" si="117"/>
        <v>46646</v>
      </c>
      <c r="G327" s="67">
        <f t="shared" si="118"/>
        <v>24332</v>
      </c>
      <c r="H327" s="75">
        <f t="shared" si="119"/>
        <v>1</v>
      </c>
      <c r="I327" s="76">
        <f t="shared" si="120"/>
        <v>1.06</v>
      </c>
      <c r="J327" s="76">
        <f t="shared" si="121"/>
        <v>1.06</v>
      </c>
      <c r="K327" s="67">
        <f t="shared" si="122"/>
        <v>0</v>
      </c>
      <c r="L327" s="67">
        <f t="shared" si="123"/>
        <v>0</v>
      </c>
      <c r="M327" s="77">
        <f t="shared" si="124"/>
        <v>0</v>
      </c>
      <c r="N327" s="76">
        <f t="shared" si="125"/>
        <v>1.06</v>
      </c>
      <c r="O327" s="77">
        <f t="shared" si="126"/>
        <v>0.92148796498905916</v>
      </c>
      <c r="P327" s="76">
        <f t="shared" si="127"/>
        <v>0</v>
      </c>
      <c r="Q327" s="76">
        <f t="shared" si="128"/>
        <v>0.58333333333333337</v>
      </c>
      <c r="R327" s="76">
        <f t="shared" si="129"/>
        <v>0.41666666666666663</v>
      </c>
      <c r="S327" s="76">
        <f t="shared" si="130"/>
        <v>1.061714394443916</v>
      </c>
      <c r="T327" s="76">
        <f t="shared" si="131"/>
        <v>1.0479109980020931</v>
      </c>
      <c r="U327" s="76">
        <f t="shared" si="132"/>
        <v>1.06</v>
      </c>
    </row>
    <row r="328" spans="1:21" x14ac:dyDescent="0.25">
      <c r="A328" s="71">
        <v>34</v>
      </c>
      <c r="B328" s="72">
        <f t="shared" si="133"/>
        <v>46661</v>
      </c>
      <c r="C328" s="73">
        <f t="shared" si="114"/>
        <v>46691</v>
      </c>
      <c r="D328" s="67">
        <f t="shared" si="115"/>
        <v>31</v>
      </c>
      <c r="E328" s="67">
        <f t="shared" si="116"/>
        <v>10</v>
      </c>
      <c r="F328" s="74">
        <f t="shared" si="117"/>
        <v>46676.5</v>
      </c>
      <c r="G328" s="67">
        <f t="shared" si="118"/>
        <v>24333</v>
      </c>
      <c r="H328" s="75">
        <f t="shared" si="119"/>
        <v>1</v>
      </c>
      <c r="I328" s="76">
        <f t="shared" si="120"/>
        <v>1.06</v>
      </c>
      <c r="J328" s="76">
        <f t="shared" si="121"/>
        <v>1.06</v>
      </c>
      <c r="K328" s="67">
        <f t="shared" si="122"/>
        <v>0</v>
      </c>
      <c r="L328" s="67">
        <f t="shared" si="123"/>
        <v>0</v>
      </c>
      <c r="M328" s="77">
        <f t="shared" si="124"/>
        <v>0</v>
      </c>
      <c r="N328" s="76">
        <f t="shared" si="125"/>
        <v>1.06</v>
      </c>
      <c r="O328" s="77">
        <f t="shared" si="126"/>
        <v>0.92248905908096279</v>
      </c>
      <c r="P328" s="76">
        <f t="shared" si="127"/>
        <v>0</v>
      </c>
      <c r="Q328" s="76">
        <f t="shared" si="128"/>
        <v>0.41666666666666669</v>
      </c>
      <c r="R328" s="76">
        <f t="shared" si="129"/>
        <v>0.58333333333333326</v>
      </c>
      <c r="S328" s="76">
        <f t="shared" si="130"/>
        <v>1.0628678289411093</v>
      </c>
      <c r="T328" s="76">
        <f t="shared" si="131"/>
        <v>1.0490644324992866</v>
      </c>
      <c r="U328" s="76">
        <f t="shared" si="132"/>
        <v>1.06</v>
      </c>
    </row>
    <row r="329" spans="1:21" x14ac:dyDescent="0.25">
      <c r="A329" s="71">
        <v>35</v>
      </c>
      <c r="B329" s="72">
        <f t="shared" si="133"/>
        <v>46692</v>
      </c>
      <c r="C329" s="73">
        <f t="shared" si="114"/>
        <v>46721</v>
      </c>
      <c r="D329" s="67">
        <f t="shared" si="115"/>
        <v>30</v>
      </c>
      <c r="E329" s="67">
        <f t="shared" si="116"/>
        <v>11</v>
      </c>
      <c r="F329" s="74">
        <f t="shared" si="117"/>
        <v>46707</v>
      </c>
      <c r="G329" s="67">
        <f t="shared" si="118"/>
        <v>24334</v>
      </c>
      <c r="H329" s="75">
        <f t="shared" si="119"/>
        <v>1</v>
      </c>
      <c r="I329" s="76">
        <f t="shared" si="120"/>
        <v>1.06</v>
      </c>
      <c r="J329" s="76">
        <f t="shared" si="121"/>
        <v>1.06</v>
      </c>
      <c r="K329" s="67">
        <f t="shared" si="122"/>
        <v>0</v>
      </c>
      <c r="L329" s="67">
        <f t="shared" si="123"/>
        <v>0</v>
      </c>
      <c r="M329" s="77">
        <f t="shared" si="124"/>
        <v>0</v>
      </c>
      <c r="N329" s="76">
        <f t="shared" si="125"/>
        <v>1.06</v>
      </c>
      <c r="O329" s="77">
        <f t="shared" si="126"/>
        <v>0.92349015317286653</v>
      </c>
      <c r="P329" s="76">
        <f t="shared" si="127"/>
        <v>0</v>
      </c>
      <c r="Q329" s="76">
        <f t="shared" si="128"/>
        <v>0.25</v>
      </c>
      <c r="R329" s="76">
        <f t="shared" si="129"/>
        <v>0.75</v>
      </c>
      <c r="S329" s="76">
        <f t="shared" si="130"/>
        <v>1.0640212634383026</v>
      </c>
      <c r="T329" s="76">
        <f t="shared" si="131"/>
        <v>1.0502178669964799</v>
      </c>
      <c r="U329" s="76">
        <f t="shared" si="132"/>
        <v>1.06</v>
      </c>
    </row>
    <row r="330" spans="1:21" x14ac:dyDescent="0.25">
      <c r="A330" s="71">
        <v>36</v>
      </c>
      <c r="B330" s="72">
        <f t="shared" si="133"/>
        <v>46722</v>
      </c>
      <c r="C330" s="73">
        <f t="shared" si="114"/>
        <v>46752</v>
      </c>
      <c r="D330" s="67">
        <f t="shared" si="115"/>
        <v>31</v>
      </c>
      <c r="E330" s="67">
        <f t="shared" si="116"/>
        <v>12</v>
      </c>
      <c r="F330" s="74">
        <f t="shared" si="117"/>
        <v>46737.5</v>
      </c>
      <c r="G330" s="67">
        <f t="shared" si="118"/>
        <v>24335</v>
      </c>
      <c r="H330" s="75">
        <f t="shared" si="119"/>
        <v>1</v>
      </c>
      <c r="I330" s="76">
        <f t="shared" si="120"/>
        <v>1.06</v>
      </c>
      <c r="J330" s="76">
        <f t="shared" si="121"/>
        <v>1.06</v>
      </c>
      <c r="K330" s="67">
        <f t="shared" si="122"/>
        <v>0</v>
      </c>
      <c r="L330" s="67">
        <f t="shared" si="123"/>
        <v>0</v>
      </c>
      <c r="M330" s="77">
        <f t="shared" si="124"/>
        <v>0</v>
      </c>
      <c r="N330" s="76">
        <f t="shared" si="125"/>
        <v>1.06</v>
      </c>
      <c r="O330" s="77">
        <f t="shared" si="126"/>
        <v>0.92449124726477028</v>
      </c>
      <c r="P330" s="76">
        <f t="shared" si="127"/>
        <v>0</v>
      </c>
      <c r="Q330" s="76">
        <f t="shared" si="128"/>
        <v>8.3333333333333329E-2</v>
      </c>
      <c r="R330" s="76">
        <f t="shared" si="129"/>
        <v>0.91666666666666663</v>
      </c>
      <c r="S330" s="76">
        <f t="shared" si="130"/>
        <v>1.0651746979354961</v>
      </c>
      <c r="T330" s="76">
        <f t="shared" si="131"/>
        <v>1.0513713014936734</v>
      </c>
      <c r="U330" s="76">
        <f t="shared" si="132"/>
        <v>1.06</v>
      </c>
    </row>
    <row r="331" spans="1:21" x14ac:dyDescent="0.25">
      <c r="A331" s="71">
        <v>37</v>
      </c>
      <c r="B331" s="72">
        <f t="shared" si="133"/>
        <v>46753</v>
      </c>
      <c r="C331" s="73">
        <f t="shared" si="114"/>
        <v>46783</v>
      </c>
      <c r="D331" s="67">
        <f t="shared" si="115"/>
        <v>31</v>
      </c>
      <c r="E331" s="67">
        <f t="shared" si="116"/>
        <v>1</v>
      </c>
      <c r="F331" s="74">
        <f t="shared" si="117"/>
        <v>46768.5</v>
      </c>
      <c r="G331" s="67">
        <f t="shared" si="118"/>
        <v>24336</v>
      </c>
      <c r="H331" s="75">
        <f t="shared" si="119"/>
        <v>1</v>
      </c>
      <c r="I331" s="76">
        <f t="shared" si="120"/>
        <v>1.06</v>
      </c>
      <c r="J331" s="76">
        <f t="shared" si="121"/>
        <v>1.06</v>
      </c>
      <c r="K331" s="67">
        <f t="shared" si="122"/>
        <v>0</v>
      </c>
      <c r="L331" s="67">
        <f t="shared" si="123"/>
        <v>0</v>
      </c>
      <c r="M331" s="77">
        <f t="shared" si="124"/>
        <v>0</v>
      </c>
      <c r="N331" s="76">
        <f t="shared" si="125"/>
        <v>1.06</v>
      </c>
      <c r="O331" s="77">
        <f t="shared" si="126"/>
        <v>0.92500000000000004</v>
      </c>
      <c r="P331" s="76">
        <f t="shared" si="127"/>
        <v>0</v>
      </c>
      <c r="Q331" s="76">
        <f t="shared" si="128"/>
        <v>0</v>
      </c>
      <c r="R331" s="76">
        <f t="shared" si="129"/>
        <v>1</v>
      </c>
      <c r="S331" s="76">
        <f t="shared" si="130"/>
        <v>1.0657608695652174</v>
      </c>
      <c r="T331" s="76">
        <f t="shared" si="131"/>
        <v>0.97994363048235178</v>
      </c>
      <c r="U331" s="76">
        <f t="shared" si="132"/>
        <v>1.06</v>
      </c>
    </row>
    <row r="332" spans="1:21" x14ac:dyDescent="0.25">
      <c r="A332" s="71">
        <v>38</v>
      </c>
      <c r="B332" s="72">
        <f t="shared" si="133"/>
        <v>46784</v>
      </c>
      <c r="C332" s="73">
        <f t="shared" si="114"/>
        <v>46812</v>
      </c>
      <c r="D332" s="67">
        <f t="shared" si="115"/>
        <v>29</v>
      </c>
      <c r="E332" s="67">
        <f t="shared" si="116"/>
        <v>2</v>
      </c>
      <c r="F332" s="74">
        <f t="shared" si="117"/>
        <v>46798.5</v>
      </c>
      <c r="G332" s="67">
        <f t="shared" si="118"/>
        <v>24337</v>
      </c>
      <c r="H332" s="75">
        <f t="shared" si="119"/>
        <v>1</v>
      </c>
      <c r="I332" s="76">
        <f t="shared" si="120"/>
        <v>1.06</v>
      </c>
      <c r="J332" s="76">
        <f t="shared" si="121"/>
        <v>1.06</v>
      </c>
      <c r="K332" s="67">
        <f t="shared" si="122"/>
        <v>0</v>
      </c>
      <c r="L332" s="67">
        <f t="shared" si="123"/>
        <v>0</v>
      </c>
      <c r="M332" s="77">
        <f t="shared" si="124"/>
        <v>0</v>
      </c>
      <c r="N332" s="76">
        <f t="shared" si="125"/>
        <v>1.06</v>
      </c>
      <c r="O332" s="77">
        <f t="shared" si="126"/>
        <v>0.92500000000000004</v>
      </c>
      <c r="P332" s="76">
        <f t="shared" si="127"/>
        <v>0</v>
      </c>
      <c r="Q332" s="76">
        <f t="shared" si="128"/>
        <v>0</v>
      </c>
      <c r="R332" s="76">
        <f t="shared" si="129"/>
        <v>1</v>
      </c>
      <c r="S332" s="76">
        <f t="shared" si="130"/>
        <v>1.0657608695652174</v>
      </c>
      <c r="T332" s="76">
        <f t="shared" si="131"/>
        <v>0.98099609932451703</v>
      </c>
      <c r="U332" s="76">
        <f t="shared" si="132"/>
        <v>1.06</v>
      </c>
    </row>
    <row r="333" spans="1:21" x14ac:dyDescent="0.25">
      <c r="A333" s="71">
        <v>39</v>
      </c>
      <c r="B333" s="72">
        <f t="shared" si="133"/>
        <v>46813</v>
      </c>
      <c r="C333" s="73">
        <f t="shared" si="114"/>
        <v>46843</v>
      </c>
      <c r="D333" s="67">
        <f t="shared" si="115"/>
        <v>31</v>
      </c>
      <c r="E333" s="67">
        <f t="shared" si="116"/>
        <v>3</v>
      </c>
      <c r="F333" s="74">
        <f t="shared" si="117"/>
        <v>46828.5</v>
      </c>
      <c r="G333" s="67">
        <f t="shared" si="118"/>
        <v>24338</v>
      </c>
      <c r="H333" s="75">
        <f t="shared" si="119"/>
        <v>1</v>
      </c>
      <c r="I333" s="76">
        <f t="shared" si="120"/>
        <v>1.06</v>
      </c>
      <c r="J333" s="76">
        <f t="shared" si="121"/>
        <v>1.06</v>
      </c>
      <c r="K333" s="67">
        <f t="shared" si="122"/>
        <v>0</v>
      </c>
      <c r="L333" s="67">
        <f t="shared" si="123"/>
        <v>0</v>
      </c>
      <c r="M333" s="77">
        <f t="shared" si="124"/>
        <v>0</v>
      </c>
      <c r="N333" s="76">
        <f t="shared" si="125"/>
        <v>1.06</v>
      </c>
      <c r="O333" s="77">
        <f t="shared" si="126"/>
        <v>0.92500000000000004</v>
      </c>
      <c r="P333" s="76">
        <f t="shared" si="127"/>
        <v>0</v>
      </c>
      <c r="Q333" s="76">
        <f t="shared" si="128"/>
        <v>0</v>
      </c>
      <c r="R333" s="76">
        <f t="shared" si="129"/>
        <v>1</v>
      </c>
      <c r="S333" s="76">
        <f t="shared" si="130"/>
        <v>1.0657608695652174</v>
      </c>
      <c r="T333" s="76">
        <f t="shared" si="131"/>
        <v>0.98204856816668251</v>
      </c>
      <c r="U333" s="76">
        <f t="shared" si="132"/>
        <v>1.06</v>
      </c>
    </row>
    <row r="334" spans="1:21" x14ac:dyDescent="0.25">
      <c r="A334" s="71">
        <v>40</v>
      </c>
      <c r="B334" s="72">
        <f t="shared" si="133"/>
        <v>46844</v>
      </c>
      <c r="C334" s="73">
        <f t="shared" si="114"/>
        <v>46873</v>
      </c>
      <c r="D334" s="67">
        <f t="shared" si="115"/>
        <v>30</v>
      </c>
      <c r="E334" s="67">
        <f t="shared" si="116"/>
        <v>4</v>
      </c>
      <c r="F334" s="74">
        <f t="shared" si="117"/>
        <v>46859</v>
      </c>
      <c r="G334" s="67">
        <f t="shared" si="118"/>
        <v>24339</v>
      </c>
      <c r="H334" s="75">
        <f t="shared" si="119"/>
        <v>1</v>
      </c>
      <c r="I334" s="76">
        <f t="shared" si="120"/>
        <v>1.06</v>
      </c>
      <c r="J334" s="76">
        <f t="shared" si="121"/>
        <v>1.06</v>
      </c>
      <c r="K334" s="67">
        <f t="shared" si="122"/>
        <v>0</v>
      </c>
      <c r="L334" s="67">
        <f t="shared" si="123"/>
        <v>0</v>
      </c>
      <c r="M334" s="77">
        <f t="shared" si="124"/>
        <v>0</v>
      </c>
      <c r="N334" s="76">
        <f t="shared" si="125"/>
        <v>1.06</v>
      </c>
      <c r="O334" s="77">
        <f t="shared" si="126"/>
        <v>0.92500000000000004</v>
      </c>
      <c r="P334" s="76">
        <f t="shared" si="127"/>
        <v>0</v>
      </c>
      <c r="Q334" s="76">
        <f t="shared" si="128"/>
        <v>0</v>
      </c>
      <c r="R334" s="76">
        <f t="shared" si="129"/>
        <v>1</v>
      </c>
      <c r="S334" s="76">
        <f t="shared" si="130"/>
        <v>1.0657608695652174</v>
      </c>
      <c r="T334" s="76">
        <f t="shared" si="131"/>
        <v>0.98313671391875179</v>
      </c>
      <c r="U334" s="76">
        <f t="shared" si="132"/>
        <v>1.06</v>
      </c>
    </row>
    <row r="335" spans="1:21" x14ac:dyDescent="0.25">
      <c r="A335" s="71">
        <v>41</v>
      </c>
      <c r="B335" s="72">
        <f t="shared" si="133"/>
        <v>46874</v>
      </c>
      <c r="C335" s="73">
        <f t="shared" si="114"/>
        <v>46904</v>
      </c>
      <c r="D335" s="67">
        <f t="shared" si="115"/>
        <v>31</v>
      </c>
      <c r="E335" s="67">
        <f t="shared" si="116"/>
        <v>5</v>
      </c>
      <c r="F335" s="74">
        <f t="shared" si="117"/>
        <v>46889.5</v>
      </c>
      <c r="G335" s="67">
        <f t="shared" si="118"/>
        <v>24340</v>
      </c>
      <c r="H335" s="75">
        <f t="shared" si="119"/>
        <v>1</v>
      </c>
      <c r="I335" s="76">
        <f t="shared" si="120"/>
        <v>1.06</v>
      </c>
      <c r="J335" s="76">
        <f t="shared" si="121"/>
        <v>1.06</v>
      </c>
      <c r="K335" s="67">
        <f t="shared" si="122"/>
        <v>0</v>
      </c>
      <c r="L335" s="67">
        <f t="shared" si="123"/>
        <v>0</v>
      </c>
      <c r="M335" s="77">
        <f t="shared" si="124"/>
        <v>0</v>
      </c>
      <c r="N335" s="76">
        <f t="shared" si="125"/>
        <v>1.06</v>
      </c>
      <c r="O335" s="77">
        <f t="shared" si="126"/>
        <v>0.92500000000000004</v>
      </c>
      <c r="P335" s="76">
        <f t="shared" si="127"/>
        <v>0</v>
      </c>
      <c r="Q335" s="76">
        <f t="shared" si="128"/>
        <v>0</v>
      </c>
      <c r="R335" s="76">
        <f t="shared" si="129"/>
        <v>1</v>
      </c>
      <c r="S335" s="76">
        <f t="shared" si="130"/>
        <v>1.0657608695652174</v>
      </c>
      <c r="T335" s="76">
        <f t="shared" si="131"/>
        <v>1.0432783512510704</v>
      </c>
      <c r="U335" s="76">
        <f t="shared" si="132"/>
        <v>1.06</v>
      </c>
    </row>
    <row r="336" spans="1:21" x14ac:dyDescent="0.25">
      <c r="A336" s="71">
        <v>42</v>
      </c>
      <c r="B336" s="72">
        <f t="shared" si="133"/>
        <v>46905</v>
      </c>
      <c r="C336" s="73">
        <f t="shared" si="114"/>
        <v>46934</v>
      </c>
      <c r="D336" s="67">
        <f t="shared" si="115"/>
        <v>30</v>
      </c>
      <c r="E336" s="67">
        <f t="shared" si="116"/>
        <v>6</v>
      </c>
      <c r="F336" s="74">
        <f t="shared" si="117"/>
        <v>46920</v>
      </c>
      <c r="G336" s="67">
        <f t="shared" si="118"/>
        <v>24341</v>
      </c>
      <c r="H336" s="75">
        <f t="shared" si="119"/>
        <v>1</v>
      </c>
      <c r="I336" s="76">
        <f t="shared" si="120"/>
        <v>1.06</v>
      </c>
      <c r="J336" s="76">
        <f t="shared" si="121"/>
        <v>1.06</v>
      </c>
      <c r="K336" s="67">
        <f t="shared" si="122"/>
        <v>0</v>
      </c>
      <c r="L336" s="67">
        <f t="shared" si="123"/>
        <v>0</v>
      </c>
      <c r="M336" s="77">
        <f t="shared" si="124"/>
        <v>0</v>
      </c>
      <c r="N336" s="76">
        <f t="shared" si="125"/>
        <v>1.06</v>
      </c>
      <c r="O336" s="77">
        <f t="shared" si="126"/>
        <v>0.92500000000000004</v>
      </c>
      <c r="P336" s="76">
        <f t="shared" si="127"/>
        <v>0</v>
      </c>
      <c r="Q336" s="76">
        <f t="shared" si="128"/>
        <v>0</v>
      </c>
      <c r="R336" s="76">
        <f t="shared" si="129"/>
        <v>1</v>
      </c>
      <c r="S336" s="76">
        <f t="shared" si="130"/>
        <v>1.0657608695652174</v>
      </c>
      <c r="T336" s="76">
        <f t="shared" si="131"/>
        <v>1.0444317857482639</v>
      </c>
      <c r="U336" s="76">
        <f t="shared" si="132"/>
        <v>1.06</v>
      </c>
    </row>
    <row r="337" spans="1:21" x14ac:dyDescent="0.25">
      <c r="A337" s="71">
        <v>43</v>
      </c>
      <c r="B337" s="72">
        <f t="shared" si="133"/>
        <v>46935</v>
      </c>
      <c r="C337" s="73">
        <f t="shared" si="114"/>
        <v>46965</v>
      </c>
      <c r="D337" s="67">
        <f t="shared" si="115"/>
        <v>31</v>
      </c>
      <c r="E337" s="67">
        <f t="shared" si="116"/>
        <v>7</v>
      </c>
      <c r="F337" s="74">
        <f t="shared" si="117"/>
        <v>46950.5</v>
      </c>
      <c r="G337" s="67">
        <f t="shared" si="118"/>
        <v>24342</v>
      </c>
      <c r="H337" s="75">
        <f t="shared" si="119"/>
        <v>1</v>
      </c>
      <c r="I337" s="76">
        <f t="shared" si="120"/>
        <v>1.06</v>
      </c>
      <c r="J337" s="76">
        <f t="shared" si="121"/>
        <v>1.06</v>
      </c>
      <c r="K337" s="67">
        <f t="shared" si="122"/>
        <v>0</v>
      </c>
      <c r="L337" s="67">
        <f t="shared" si="123"/>
        <v>0</v>
      </c>
      <c r="M337" s="77">
        <f t="shared" si="124"/>
        <v>0</v>
      </c>
      <c r="N337" s="76">
        <f t="shared" si="125"/>
        <v>1.06</v>
      </c>
      <c r="O337" s="77">
        <f t="shared" si="126"/>
        <v>0.92500000000000004</v>
      </c>
      <c r="P337" s="76">
        <f t="shared" si="127"/>
        <v>0</v>
      </c>
      <c r="Q337" s="76">
        <f t="shared" si="128"/>
        <v>0</v>
      </c>
      <c r="R337" s="76">
        <f t="shared" si="129"/>
        <v>0.91666666666666663</v>
      </c>
      <c r="S337" s="76">
        <f t="shared" si="130"/>
        <v>1.0657608695652174</v>
      </c>
      <c r="T337" s="76">
        <f t="shared" si="131"/>
        <v>1.0455852202454572</v>
      </c>
      <c r="U337" s="76">
        <f t="shared" si="132"/>
        <v>1.06</v>
      </c>
    </row>
    <row r="338" spans="1:21" x14ac:dyDescent="0.25">
      <c r="A338" s="71">
        <v>44</v>
      </c>
      <c r="B338" s="72">
        <f t="shared" si="133"/>
        <v>46966</v>
      </c>
      <c r="C338" s="73">
        <f t="shared" si="114"/>
        <v>46996</v>
      </c>
      <c r="D338" s="67">
        <f t="shared" si="115"/>
        <v>31</v>
      </c>
      <c r="E338" s="67">
        <f t="shared" si="116"/>
        <v>8</v>
      </c>
      <c r="F338" s="74">
        <f t="shared" si="117"/>
        <v>46981.5</v>
      </c>
      <c r="G338" s="67">
        <f t="shared" si="118"/>
        <v>24343</v>
      </c>
      <c r="H338" s="75">
        <f t="shared" si="119"/>
        <v>1</v>
      </c>
      <c r="I338" s="76">
        <f t="shared" si="120"/>
        <v>1.06</v>
      </c>
      <c r="J338" s="76">
        <f t="shared" si="121"/>
        <v>1.06</v>
      </c>
      <c r="K338" s="67">
        <f t="shared" si="122"/>
        <v>0</v>
      </c>
      <c r="L338" s="67">
        <f t="shared" si="123"/>
        <v>0</v>
      </c>
      <c r="M338" s="77">
        <f t="shared" si="124"/>
        <v>0</v>
      </c>
      <c r="N338" s="76">
        <f t="shared" si="125"/>
        <v>1.06</v>
      </c>
      <c r="O338" s="77">
        <f t="shared" si="126"/>
        <v>0.92500000000000004</v>
      </c>
      <c r="P338" s="76">
        <f t="shared" si="127"/>
        <v>0</v>
      </c>
      <c r="Q338" s="76">
        <f t="shared" si="128"/>
        <v>0</v>
      </c>
      <c r="R338" s="76">
        <f t="shared" si="129"/>
        <v>0.75</v>
      </c>
      <c r="S338" s="76">
        <f t="shared" si="130"/>
        <v>1.0657608695652174</v>
      </c>
      <c r="T338" s="76">
        <f t="shared" si="131"/>
        <v>1.0467575635048996</v>
      </c>
      <c r="U338" s="76">
        <f t="shared" si="132"/>
        <v>1.06</v>
      </c>
    </row>
    <row r="339" spans="1:21" x14ac:dyDescent="0.25">
      <c r="A339" s="71">
        <v>45</v>
      </c>
      <c r="B339" s="72">
        <f t="shared" si="133"/>
        <v>46997</v>
      </c>
      <c r="C339" s="73">
        <f t="shared" si="114"/>
        <v>47026</v>
      </c>
      <c r="D339" s="67">
        <f t="shared" si="115"/>
        <v>30</v>
      </c>
      <c r="E339" s="67">
        <f t="shared" si="116"/>
        <v>9</v>
      </c>
      <c r="F339" s="74">
        <f t="shared" si="117"/>
        <v>47012</v>
      </c>
      <c r="G339" s="67">
        <f t="shared" si="118"/>
        <v>24344</v>
      </c>
      <c r="H339" s="75">
        <f t="shared" si="119"/>
        <v>1</v>
      </c>
      <c r="I339" s="76">
        <f t="shared" si="120"/>
        <v>1.06</v>
      </c>
      <c r="J339" s="76">
        <f t="shared" si="121"/>
        <v>1.06</v>
      </c>
      <c r="K339" s="67">
        <f t="shared" si="122"/>
        <v>0</v>
      </c>
      <c r="L339" s="67">
        <f t="shared" si="123"/>
        <v>0</v>
      </c>
      <c r="M339" s="77">
        <f t="shared" si="124"/>
        <v>0</v>
      </c>
      <c r="N339" s="76">
        <f t="shared" si="125"/>
        <v>1.06</v>
      </c>
      <c r="O339" s="77">
        <f t="shared" si="126"/>
        <v>0.92500000000000004</v>
      </c>
      <c r="P339" s="76">
        <f t="shared" si="127"/>
        <v>0</v>
      </c>
      <c r="Q339" s="76">
        <f t="shared" si="128"/>
        <v>0</v>
      </c>
      <c r="R339" s="76">
        <f t="shared" si="129"/>
        <v>0.58333333333333337</v>
      </c>
      <c r="S339" s="76">
        <f t="shared" si="130"/>
        <v>1.0657608695652174</v>
      </c>
      <c r="T339" s="76">
        <f t="shared" si="131"/>
        <v>1.0479109980020931</v>
      </c>
      <c r="U339" s="76">
        <f t="shared" si="132"/>
        <v>1.06</v>
      </c>
    </row>
    <row r="340" spans="1:21" x14ac:dyDescent="0.25">
      <c r="A340" s="71">
        <v>46</v>
      </c>
      <c r="B340" s="72">
        <f t="shared" si="133"/>
        <v>47027</v>
      </c>
      <c r="C340" s="73">
        <f t="shared" si="114"/>
        <v>47057</v>
      </c>
      <c r="D340" s="67">
        <f t="shared" si="115"/>
        <v>31</v>
      </c>
      <c r="E340" s="67">
        <f t="shared" si="116"/>
        <v>10</v>
      </c>
      <c r="F340" s="74">
        <f t="shared" si="117"/>
        <v>47042.5</v>
      </c>
      <c r="G340" s="67">
        <f t="shared" si="118"/>
        <v>24345</v>
      </c>
      <c r="H340" s="75">
        <f t="shared" si="119"/>
        <v>1</v>
      </c>
      <c r="I340" s="76">
        <f t="shared" si="120"/>
        <v>1.06</v>
      </c>
      <c r="J340" s="76">
        <f t="shared" si="121"/>
        <v>1.06</v>
      </c>
      <c r="K340" s="67">
        <f t="shared" si="122"/>
        <v>0</v>
      </c>
      <c r="L340" s="67">
        <f t="shared" si="123"/>
        <v>0</v>
      </c>
      <c r="M340" s="77">
        <f t="shared" si="124"/>
        <v>0</v>
      </c>
      <c r="N340" s="76">
        <f t="shared" si="125"/>
        <v>1.06</v>
      </c>
      <c r="O340" s="77">
        <f t="shared" si="126"/>
        <v>0.92500000000000004</v>
      </c>
      <c r="P340" s="76">
        <f t="shared" si="127"/>
        <v>0</v>
      </c>
      <c r="Q340" s="76">
        <f t="shared" si="128"/>
        <v>0</v>
      </c>
      <c r="R340" s="76">
        <f t="shared" si="129"/>
        <v>0.41666666666666669</v>
      </c>
      <c r="S340" s="76">
        <f t="shared" si="130"/>
        <v>1.0657608695652174</v>
      </c>
      <c r="T340" s="76">
        <f t="shared" si="131"/>
        <v>1.0490644324992866</v>
      </c>
      <c r="U340" s="76">
        <f t="shared" si="132"/>
        <v>1.06</v>
      </c>
    </row>
    <row r="341" spans="1:21" x14ac:dyDescent="0.25">
      <c r="A341" s="71">
        <v>47</v>
      </c>
      <c r="B341" s="72">
        <f t="shared" si="133"/>
        <v>47058</v>
      </c>
      <c r="C341" s="73">
        <f t="shared" si="114"/>
        <v>47087</v>
      </c>
      <c r="D341" s="67">
        <f t="shared" si="115"/>
        <v>30</v>
      </c>
      <c r="E341" s="67">
        <f t="shared" si="116"/>
        <v>11</v>
      </c>
      <c r="F341" s="74">
        <f t="shared" si="117"/>
        <v>47073</v>
      </c>
      <c r="G341" s="67">
        <f t="shared" si="118"/>
        <v>24346</v>
      </c>
      <c r="H341" s="75">
        <f t="shared" si="119"/>
        <v>1</v>
      </c>
      <c r="I341" s="76">
        <f t="shared" si="120"/>
        <v>1.06</v>
      </c>
      <c r="J341" s="76">
        <f t="shared" si="121"/>
        <v>1.06</v>
      </c>
      <c r="K341" s="67">
        <f t="shared" si="122"/>
        <v>0</v>
      </c>
      <c r="L341" s="67">
        <f t="shared" si="123"/>
        <v>0</v>
      </c>
      <c r="M341" s="77">
        <f t="shared" si="124"/>
        <v>0</v>
      </c>
      <c r="N341" s="76">
        <f t="shared" si="125"/>
        <v>1.06</v>
      </c>
      <c r="O341" s="77">
        <f t="shared" si="126"/>
        <v>0.92500000000000004</v>
      </c>
      <c r="P341" s="76">
        <f t="shared" si="127"/>
        <v>0</v>
      </c>
      <c r="Q341" s="76">
        <f t="shared" si="128"/>
        <v>0</v>
      </c>
      <c r="R341" s="76">
        <f t="shared" si="129"/>
        <v>0.25</v>
      </c>
      <c r="S341" s="76">
        <f t="shared" si="130"/>
        <v>1.0657608695652174</v>
      </c>
      <c r="T341" s="76">
        <f t="shared" si="131"/>
        <v>1.0502178669964799</v>
      </c>
      <c r="U341" s="76">
        <f t="shared" si="132"/>
        <v>1.06</v>
      </c>
    </row>
    <row r="342" spans="1:21" x14ac:dyDescent="0.25">
      <c r="A342" s="71">
        <v>48</v>
      </c>
      <c r="B342" s="72">
        <f t="shared" si="133"/>
        <v>47088</v>
      </c>
      <c r="C342" s="73">
        <f t="shared" si="114"/>
        <v>47118</v>
      </c>
      <c r="D342" s="67">
        <f t="shared" si="115"/>
        <v>31</v>
      </c>
      <c r="E342" s="67">
        <f t="shared" si="116"/>
        <v>12</v>
      </c>
      <c r="F342" s="74">
        <f t="shared" si="117"/>
        <v>47103.5</v>
      </c>
      <c r="G342" s="67">
        <f t="shared" si="118"/>
        <v>24347</v>
      </c>
      <c r="H342" s="75">
        <f t="shared" si="119"/>
        <v>1</v>
      </c>
      <c r="I342" s="76">
        <f t="shared" si="120"/>
        <v>1.06</v>
      </c>
      <c r="J342" s="76">
        <f t="shared" si="121"/>
        <v>1.06</v>
      </c>
      <c r="K342" s="67">
        <f t="shared" si="122"/>
        <v>0</v>
      </c>
      <c r="L342" s="67">
        <f t="shared" si="123"/>
        <v>0</v>
      </c>
      <c r="M342" s="77">
        <f t="shared" si="124"/>
        <v>0</v>
      </c>
      <c r="N342" s="76">
        <f t="shared" si="125"/>
        <v>1.06</v>
      </c>
      <c r="O342" s="77">
        <f t="shared" si="126"/>
        <v>0.92500000000000004</v>
      </c>
      <c r="P342" s="76">
        <f t="shared" si="127"/>
        <v>0</v>
      </c>
      <c r="Q342" s="76">
        <f t="shared" si="128"/>
        <v>0</v>
      </c>
      <c r="R342" s="76">
        <f t="shared" si="129"/>
        <v>8.3333333333333329E-2</v>
      </c>
      <c r="S342" s="76">
        <f t="shared" si="130"/>
        <v>1.0657608695652174</v>
      </c>
      <c r="T342" s="76">
        <f t="shared" si="131"/>
        <v>1.0513713014936734</v>
      </c>
      <c r="U342" s="76">
        <f t="shared" si="132"/>
        <v>1.06</v>
      </c>
    </row>
    <row r="343" spans="1:21" x14ac:dyDescent="0.25">
      <c r="A343" s="81" t="s">
        <v>1187</v>
      </c>
      <c r="B343" s="53">
        <f>EXP(SUMPRODUCT((rl_key=$A$292)*(rl_cons="Y")*rl_ln1p))</f>
        <v>1.06</v>
      </c>
      <c r="C343" s="53">
        <f>SUMPRODUCT($H$295:$H$342,$P$295:$P$342,$U$295:$U$342)/SUMPRODUCT($H$295:$H$342,$P$295:$P$342)</f>
        <v>1.0250000000000001</v>
      </c>
      <c r="D343" s="53">
        <f>SUMPRODUCT($H$295:$H$342,$Q$295:$Q$342,$U$295:$U$342)/SUMPRODUCT($H$295:$H$342,$Q$295:$Q$342)</f>
        <v>1.0600000000000003</v>
      </c>
      <c r="E343" s="53">
        <f>SUMPRODUCT($H$295:$H$342,$R$295:$R$342,$U$295:$U$342)/SUMPRODUCT($H$295:$H$342,$R$295:$R$342)</f>
        <v>1.0600000000000003</v>
      </c>
      <c r="F343" s="172">
        <f>SUMPRODUCT($H$295:$H$342,$Q$295:$Q$342,$O$295:$O$342)/SUMPRODUCT($H$295:$H$342,$Q$295:$Q$342)</f>
        <v>0.91598878555798668</v>
      </c>
      <c r="G343" s="172">
        <f>SUMPRODUCT($H$295:$H$342,$R$295:$R$342,$O$295:$O$342)/SUMPRODUCT($H$295:$H$342,$R$295:$R$342)</f>
        <v>0.92449033552151683</v>
      </c>
    </row>
    <row r="346" spans="1:21" x14ac:dyDescent="0.25">
      <c r="A346" s="81" t="str">
        <f>INDEX(lr_key,6)</f>
        <v>BU-A|GA</v>
      </c>
      <c r="B346" s="81" t="str">
        <f>INDEX(lr_state,6)</f>
        <v>GA</v>
      </c>
      <c r="C346" s="55">
        <f>nr_TermMonths</f>
        <v>6</v>
      </c>
      <c r="D346" s="55">
        <f>IF(COUNTIF(se_state,$B346)=0,0,MATCH($B346,se_state,0))</f>
        <v>0</v>
      </c>
      <c r="E346" s="57">
        <f>IF($D346=0,0,INDEX(se_sum,$D346))</f>
        <v>0</v>
      </c>
      <c r="F346" s="172">
        <f>IF(N(INDEX(lr_mind,6))=0,1,INDEX(lr_mind,6))</f>
        <v>0.92</v>
      </c>
      <c r="G346" s="172">
        <f>IF(N(INDEX(lr_m0,6))=0,1,INDEX(lr_m0,6))</f>
        <v>0.91</v>
      </c>
      <c r="H346" s="54">
        <f>IF(N(INDEX(lr_m0asof,6))=0,DATE(nr_PlanYear-1,10,1),INDEX(lr_m0asof,6))</f>
        <v>46295</v>
      </c>
      <c r="I346" s="172">
        <f>IF(N(INDEX(lr_m1,6))=0,1,INDEX(lr_m1,6))</f>
        <v>0.90500000000000003</v>
      </c>
      <c r="J346" s="172">
        <f>INDEX(lr_mprior,6)</f>
        <v>0.9</v>
      </c>
      <c r="K346" s="172">
        <f>INDEX(lr_m2,6)</f>
        <v>0.91</v>
      </c>
      <c r="L346" s="81" t="b">
        <f>NOT(ISBLANK(INDEX(lr_netp,6)))</f>
        <v>0</v>
      </c>
      <c r="M346" s="52">
        <f>N(INDEX(lr_netp,6))</f>
        <v>0</v>
      </c>
      <c r="N346" s="52">
        <f>IF(ISBLANK(INDEX(lr_netp1,6)),$M$346,N(INDEX(lr_netp1,6)))</f>
        <v>0</v>
      </c>
      <c r="O346" s="55">
        <f>IF(AND(nr_ModAdjMaster="ON",INDEX(lr_modadj,6)="ON"),1,0)</f>
        <v>1</v>
      </c>
    </row>
    <row r="347" spans="1:21" x14ac:dyDescent="0.25">
      <c r="A347" s="81">
        <f>EDATE($H$346,-12)+1</f>
        <v>45931</v>
      </c>
      <c r="B347" s="81">
        <f>$H$346+1</f>
        <v>46296</v>
      </c>
      <c r="C347" s="81">
        <f>DATE(nr_PlanYear,12,31)+1</f>
        <v>46753</v>
      </c>
      <c r="D347" s="81">
        <f>DATE(nr_PlanYear+1,12,31)+1</f>
        <v>47119</v>
      </c>
      <c r="E347" s="81">
        <f>IF(N($J$346)=0,$F$347-($G$347-$F$347)/($C$347-$B$347)*($B$347-$A$347),$J$346)</f>
        <v>0.9</v>
      </c>
      <c r="F347" s="81">
        <f>$G$346</f>
        <v>0.91</v>
      </c>
      <c r="G347" s="81">
        <f>$I$346</f>
        <v>0.90500000000000003</v>
      </c>
      <c r="H347" s="81">
        <f>IF(N($K$346)=0,$I$346,$K$346)</f>
        <v>0.91</v>
      </c>
      <c r="I347" s="81">
        <f>($F$347-$E$347)/($B$347-$A$347)</f>
        <v>2.7397260273972627E-5</v>
      </c>
      <c r="J347" s="81">
        <f>($G$347-$F$347)/($C$347-$B$347)</f>
        <v>-1.0940919037199135E-5</v>
      </c>
      <c r="K347" s="81">
        <f>($H$347-$G$347)/($D$347-$C$347)</f>
        <v>1.3661202185792362E-5</v>
      </c>
    </row>
    <row r="348" spans="1:21" ht="36" x14ac:dyDescent="0.25">
      <c r="A348" s="50" t="s">
        <v>211</v>
      </c>
      <c r="B348" s="50" t="s">
        <v>212</v>
      </c>
      <c r="C348" s="50" t="s">
        <v>213</v>
      </c>
      <c r="D348" s="50" t="s">
        <v>214</v>
      </c>
      <c r="E348" s="50" t="s">
        <v>215</v>
      </c>
      <c r="F348" s="50" t="s">
        <v>216</v>
      </c>
      <c r="G348" s="50" t="s">
        <v>217</v>
      </c>
      <c r="H348" s="50" t="s">
        <v>218</v>
      </c>
      <c r="I348" s="50" t="s">
        <v>219</v>
      </c>
      <c r="J348" s="50" t="s">
        <v>220</v>
      </c>
      <c r="K348" s="50" t="s">
        <v>221</v>
      </c>
      <c r="L348" s="50" t="s">
        <v>222</v>
      </c>
      <c r="M348" s="50" t="s">
        <v>223</v>
      </c>
      <c r="N348" s="50" t="s">
        <v>224</v>
      </c>
      <c r="O348" s="50" t="s">
        <v>225</v>
      </c>
      <c r="P348" s="50" t="s">
        <v>226</v>
      </c>
      <c r="Q348" s="50" t="s">
        <v>227</v>
      </c>
      <c r="R348" s="50" t="s">
        <v>228</v>
      </c>
      <c r="S348" s="50" t="s">
        <v>229</v>
      </c>
      <c r="T348" s="50" t="s">
        <v>230</v>
      </c>
      <c r="U348" s="50" t="s">
        <v>231</v>
      </c>
    </row>
    <row r="349" spans="1:21" x14ac:dyDescent="0.25">
      <c r="A349" s="71">
        <v>1</v>
      </c>
      <c r="B349" s="72">
        <f>DATE(nr_PlanYear-2,1,1)</f>
        <v>45658</v>
      </c>
      <c r="C349" s="73">
        <f t="shared" ref="C349:C396" si="134">EOMONTH($B349,0)</f>
        <v>45688</v>
      </c>
      <c r="D349" s="67">
        <f t="shared" ref="D349:D396" si="135">$C349-$B349+1</f>
        <v>31</v>
      </c>
      <c r="E349" s="67">
        <f t="shared" ref="E349:E396" si="136">MONTH($B349)</f>
        <v>1</v>
      </c>
      <c r="F349" s="74">
        <f t="shared" ref="F349:F396" si="137">($B349+$C349+1)/2</f>
        <v>45673.5</v>
      </c>
      <c r="G349" s="67">
        <f t="shared" ref="G349:G396" si="138">YEAR($B349)*12+MONTH($B349)-1</f>
        <v>24300</v>
      </c>
      <c r="H349" s="75">
        <f t="shared" ref="H349:H396" si="139">IF(OR(nr_SeasonOn="OFF",$D$346=0,$E$346=0),1,12*INDEX(se_block,$D$346,$E349)/$E$346)</f>
        <v>1</v>
      </c>
      <c r="I349" s="76">
        <f t="shared" ref="I349:I396" si="140">EXP(SUMPRODUCT((rl_eff&lt;$B349)*(rl_key=$A$346)*rl_ln1p))</f>
        <v>1</v>
      </c>
      <c r="J349" s="76">
        <f t="shared" ref="J349:J396" si="141">EXP(SUMPRODUCT((rl_eff&lt;=$C349)*(rl_key=$A$346)*rl_ln1p))</f>
        <v>1</v>
      </c>
      <c r="K349" s="67">
        <f t="shared" ref="K349:K396" si="142">COUNTIFS(rl_key,$A$346,rl_eff,"&gt;="&amp;$B349,rl_eff,"&lt;="&amp;$C349)</f>
        <v>0</v>
      </c>
      <c r="L349" s="67">
        <f t="shared" ref="L349:L396" si="143">SUMIFS(rl_daysafter,rl_key,$A$346,rl_effmonth,$B349,rl_first,1)</f>
        <v>0</v>
      </c>
      <c r="M349" s="77">
        <f t="shared" ref="M349:M396" si="144">IF($K349=0,0,MIN(1,$L349/$D349))</f>
        <v>0</v>
      </c>
      <c r="N349" s="76">
        <f t="shared" ref="N349:N396" si="145">IF($K349=0,$J349,(1-$M349)*$I349+$M349*$J349)</f>
        <v>1</v>
      </c>
      <c r="O349" s="77">
        <f t="shared" ref="O349:O396" si="146">IF($F349&lt;$B$347,$E$347+$I$347*($F349-$A$347),IF($F349&lt;$C$347,$F$347+$J$347*($F349-$B$347),$G$347+$K$347*($F349-$C$347)))</f>
        <v>0.89294520547945211</v>
      </c>
      <c r="P349" s="76">
        <f t="shared" ref="P349:P396" si="147">MIN(1,MAX(0,(nr_MEndPm1-$G349+0.5)/$C$346))-MIN(1,MAX(0,(nr_MStartPm1-1-$G349+0.5)/$C$346))</f>
        <v>0</v>
      </c>
      <c r="Q349" s="76">
        <f t="shared" ref="Q349:Q396" si="148">MIN(1,MAX(0,(nr_MEndP-$G349+0.5)/$C$346))-MIN(1,MAX(0,(nr_MStartP-1-$G349+0.5)/$C$346))</f>
        <v>0</v>
      </c>
      <c r="R349" s="76">
        <f t="shared" ref="R349:R396" si="149">MIN(1,MAX(0,(nr_MEndP1-$G349+0.5)/$C$346))-MIN(1,MAX(0,(nr_MStartP1-1-$G349+0.5)/$C$346))</f>
        <v>0</v>
      </c>
      <c r="S349" s="76">
        <f t="shared" ref="S349:S396" si="150">$N349*IF($O$346=1,$O349/$F$346,1)</f>
        <v>0.97059261465157831</v>
      </c>
      <c r="T349" s="76">
        <f t="shared" ref="T349:T396" si="151">IF($G349&lt;nr_MStartP,$S349,$T337*(1+IF($G349&lt;nr_MStartP1,$M$346,$N$346)))</f>
        <v>0.97059261465157831</v>
      </c>
      <c r="U349" s="76">
        <f t="shared" ref="U349:U396" si="152">IF($L$346,$T349,$N349)</f>
        <v>1</v>
      </c>
    </row>
    <row r="350" spans="1:21" x14ac:dyDescent="0.25">
      <c r="A350" s="71">
        <v>2</v>
      </c>
      <c r="B350" s="72">
        <f t="shared" ref="B350:B396" si="153">EDATE($B349,1)</f>
        <v>45689</v>
      </c>
      <c r="C350" s="73">
        <f t="shared" si="134"/>
        <v>45716</v>
      </c>
      <c r="D350" s="67">
        <f t="shared" si="135"/>
        <v>28</v>
      </c>
      <c r="E350" s="67">
        <f t="shared" si="136"/>
        <v>2</v>
      </c>
      <c r="F350" s="74">
        <f t="shared" si="137"/>
        <v>45703</v>
      </c>
      <c r="G350" s="67">
        <f t="shared" si="138"/>
        <v>24301</v>
      </c>
      <c r="H350" s="75">
        <f t="shared" si="139"/>
        <v>1</v>
      </c>
      <c r="I350" s="76">
        <f t="shared" si="140"/>
        <v>1</v>
      </c>
      <c r="J350" s="76">
        <f t="shared" si="141"/>
        <v>1</v>
      </c>
      <c r="K350" s="67">
        <f t="shared" si="142"/>
        <v>0</v>
      </c>
      <c r="L350" s="67">
        <f t="shared" si="143"/>
        <v>0</v>
      </c>
      <c r="M350" s="77">
        <f t="shared" si="144"/>
        <v>0</v>
      </c>
      <c r="N350" s="76">
        <f t="shared" si="145"/>
        <v>1</v>
      </c>
      <c r="O350" s="77">
        <f t="shared" si="146"/>
        <v>0.89375342465753427</v>
      </c>
      <c r="P350" s="76">
        <f t="shared" si="147"/>
        <v>0</v>
      </c>
      <c r="Q350" s="76">
        <f t="shared" si="148"/>
        <v>0</v>
      </c>
      <c r="R350" s="76">
        <f t="shared" si="149"/>
        <v>0</v>
      </c>
      <c r="S350" s="76">
        <f t="shared" si="150"/>
        <v>0.9714711137581894</v>
      </c>
      <c r="T350" s="76">
        <f t="shared" si="151"/>
        <v>0.9714711137581894</v>
      </c>
      <c r="U350" s="76">
        <f t="shared" si="152"/>
        <v>1</v>
      </c>
    </row>
    <row r="351" spans="1:21" x14ac:dyDescent="0.25">
      <c r="A351" s="71">
        <v>3</v>
      </c>
      <c r="B351" s="72">
        <f t="shared" si="153"/>
        <v>45717</v>
      </c>
      <c r="C351" s="73">
        <f t="shared" si="134"/>
        <v>45747</v>
      </c>
      <c r="D351" s="67">
        <f t="shared" si="135"/>
        <v>31</v>
      </c>
      <c r="E351" s="67">
        <f t="shared" si="136"/>
        <v>3</v>
      </c>
      <c r="F351" s="74">
        <f t="shared" si="137"/>
        <v>45732.5</v>
      </c>
      <c r="G351" s="67">
        <f t="shared" si="138"/>
        <v>24302</v>
      </c>
      <c r="H351" s="75">
        <f t="shared" si="139"/>
        <v>1</v>
      </c>
      <c r="I351" s="76">
        <f t="shared" si="140"/>
        <v>1</v>
      </c>
      <c r="J351" s="76">
        <f t="shared" si="141"/>
        <v>1</v>
      </c>
      <c r="K351" s="67">
        <f t="shared" si="142"/>
        <v>0</v>
      </c>
      <c r="L351" s="67">
        <f t="shared" si="143"/>
        <v>0</v>
      </c>
      <c r="M351" s="77">
        <f t="shared" si="144"/>
        <v>0</v>
      </c>
      <c r="N351" s="76">
        <f t="shared" si="145"/>
        <v>1</v>
      </c>
      <c r="O351" s="77">
        <f t="shared" si="146"/>
        <v>0.89456164383561643</v>
      </c>
      <c r="P351" s="76">
        <f t="shared" si="147"/>
        <v>0</v>
      </c>
      <c r="Q351" s="76">
        <f t="shared" si="148"/>
        <v>0</v>
      </c>
      <c r="R351" s="76">
        <f t="shared" si="149"/>
        <v>0</v>
      </c>
      <c r="S351" s="76">
        <f t="shared" si="150"/>
        <v>0.97234961286480037</v>
      </c>
      <c r="T351" s="76">
        <f t="shared" si="151"/>
        <v>0.97234961286480037</v>
      </c>
      <c r="U351" s="76">
        <f t="shared" si="152"/>
        <v>1</v>
      </c>
    </row>
    <row r="352" spans="1:21" x14ac:dyDescent="0.25">
      <c r="A352" s="71">
        <v>4</v>
      </c>
      <c r="B352" s="72">
        <f t="shared" si="153"/>
        <v>45748</v>
      </c>
      <c r="C352" s="73">
        <f t="shared" si="134"/>
        <v>45777</v>
      </c>
      <c r="D352" s="67">
        <f t="shared" si="135"/>
        <v>30</v>
      </c>
      <c r="E352" s="67">
        <f t="shared" si="136"/>
        <v>4</v>
      </c>
      <c r="F352" s="74">
        <f t="shared" si="137"/>
        <v>45763</v>
      </c>
      <c r="G352" s="67">
        <f t="shared" si="138"/>
        <v>24303</v>
      </c>
      <c r="H352" s="75">
        <f t="shared" si="139"/>
        <v>1</v>
      </c>
      <c r="I352" s="76">
        <f t="shared" si="140"/>
        <v>1</v>
      </c>
      <c r="J352" s="76">
        <f t="shared" si="141"/>
        <v>1</v>
      </c>
      <c r="K352" s="67">
        <f t="shared" si="142"/>
        <v>0</v>
      </c>
      <c r="L352" s="67">
        <f t="shared" si="143"/>
        <v>0</v>
      </c>
      <c r="M352" s="77">
        <f t="shared" si="144"/>
        <v>0</v>
      </c>
      <c r="N352" s="76">
        <f t="shared" si="145"/>
        <v>1</v>
      </c>
      <c r="O352" s="77">
        <f t="shared" si="146"/>
        <v>0.8953972602739726</v>
      </c>
      <c r="P352" s="76">
        <f t="shared" si="147"/>
        <v>0</v>
      </c>
      <c r="Q352" s="76">
        <f t="shared" si="148"/>
        <v>0</v>
      </c>
      <c r="R352" s="76">
        <f t="shared" si="149"/>
        <v>0</v>
      </c>
      <c r="S352" s="76">
        <f t="shared" si="150"/>
        <v>0.97325789160214404</v>
      </c>
      <c r="T352" s="76">
        <f t="shared" si="151"/>
        <v>0.97325789160214404</v>
      </c>
      <c r="U352" s="76">
        <f t="shared" si="152"/>
        <v>1</v>
      </c>
    </row>
    <row r="353" spans="1:21" x14ac:dyDescent="0.25">
      <c r="A353" s="71">
        <v>5</v>
      </c>
      <c r="B353" s="72">
        <f t="shared" si="153"/>
        <v>45778</v>
      </c>
      <c r="C353" s="73">
        <f t="shared" si="134"/>
        <v>45808</v>
      </c>
      <c r="D353" s="67">
        <f t="shared" si="135"/>
        <v>31</v>
      </c>
      <c r="E353" s="67">
        <f t="shared" si="136"/>
        <v>5</v>
      </c>
      <c r="F353" s="74">
        <f t="shared" si="137"/>
        <v>45793.5</v>
      </c>
      <c r="G353" s="67">
        <f t="shared" si="138"/>
        <v>24304</v>
      </c>
      <c r="H353" s="75">
        <f t="shared" si="139"/>
        <v>1</v>
      </c>
      <c r="I353" s="76">
        <f t="shared" si="140"/>
        <v>1</v>
      </c>
      <c r="J353" s="76">
        <f t="shared" si="141"/>
        <v>1</v>
      </c>
      <c r="K353" s="67">
        <f t="shared" si="142"/>
        <v>0</v>
      </c>
      <c r="L353" s="67">
        <f t="shared" si="143"/>
        <v>0</v>
      </c>
      <c r="M353" s="77">
        <f t="shared" si="144"/>
        <v>0</v>
      </c>
      <c r="N353" s="76">
        <f t="shared" si="145"/>
        <v>1</v>
      </c>
      <c r="O353" s="77">
        <f t="shared" si="146"/>
        <v>0.89623287671232876</v>
      </c>
      <c r="P353" s="76">
        <f t="shared" si="147"/>
        <v>0</v>
      </c>
      <c r="Q353" s="76">
        <f t="shared" si="148"/>
        <v>0</v>
      </c>
      <c r="R353" s="76">
        <f t="shared" si="149"/>
        <v>0</v>
      </c>
      <c r="S353" s="76">
        <f t="shared" si="150"/>
        <v>0.97416617033948771</v>
      </c>
      <c r="T353" s="76">
        <f t="shared" si="151"/>
        <v>0.97416617033948771</v>
      </c>
      <c r="U353" s="76">
        <f t="shared" si="152"/>
        <v>1</v>
      </c>
    </row>
    <row r="354" spans="1:21" x14ac:dyDescent="0.25">
      <c r="A354" s="71">
        <v>6</v>
      </c>
      <c r="B354" s="72">
        <f t="shared" si="153"/>
        <v>45809</v>
      </c>
      <c r="C354" s="73">
        <f t="shared" si="134"/>
        <v>45838</v>
      </c>
      <c r="D354" s="67">
        <f t="shared" si="135"/>
        <v>30</v>
      </c>
      <c r="E354" s="67">
        <f t="shared" si="136"/>
        <v>6</v>
      </c>
      <c r="F354" s="74">
        <f t="shared" si="137"/>
        <v>45824</v>
      </c>
      <c r="G354" s="67">
        <f t="shared" si="138"/>
        <v>24305</v>
      </c>
      <c r="H354" s="75">
        <f t="shared" si="139"/>
        <v>1</v>
      </c>
      <c r="I354" s="76">
        <f t="shared" si="140"/>
        <v>1</v>
      </c>
      <c r="J354" s="76">
        <f t="shared" si="141"/>
        <v>1</v>
      </c>
      <c r="K354" s="67">
        <f t="shared" si="142"/>
        <v>0</v>
      </c>
      <c r="L354" s="67">
        <f t="shared" si="143"/>
        <v>0</v>
      </c>
      <c r="M354" s="77">
        <f t="shared" si="144"/>
        <v>0</v>
      </c>
      <c r="N354" s="76">
        <f t="shared" si="145"/>
        <v>1</v>
      </c>
      <c r="O354" s="77">
        <f t="shared" si="146"/>
        <v>0.89706849315068493</v>
      </c>
      <c r="P354" s="76">
        <f t="shared" si="147"/>
        <v>0</v>
      </c>
      <c r="Q354" s="76">
        <f t="shared" si="148"/>
        <v>0</v>
      </c>
      <c r="R354" s="76">
        <f t="shared" si="149"/>
        <v>0</v>
      </c>
      <c r="S354" s="76">
        <f t="shared" si="150"/>
        <v>0.97507444907683138</v>
      </c>
      <c r="T354" s="76">
        <f t="shared" si="151"/>
        <v>0.97507444907683138</v>
      </c>
      <c r="U354" s="76">
        <f t="shared" si="152"/>
        <v>1</v>
      </c>
    </row>
    <row r="355" spans="1:21" x14ac:dyDescent="0.25">
      <c r="A355" s="71">
        <v>7</v>
      </c>
      <c r="B355" s="72">
        <f t="shared" si="153"/>
        <v>45839</v>
      </c>
      <c r="C355" s="73">
        <f t="shared" si="134"/>
        <v>45869</v>
      </c>
      <c r="D355" s="67">
        <f t="shared" si="135"/>
        <v>31</v>
      </c>
      <c r="E355" s="67">
        <f t="shared" si="136"/>
        <v>7</v>
      </c>
      <c r="F355" s="74">
        <f t="shared" si="137"/>
        <v>45854.5</v>
      </c>
      <c r="G355" s="67">
        <f t="shared" si="138"/>
        <v>24306</v>
      </c>
      <c r="H355" s="75">
        <f t="shared" si="139"/>
        <v>1</v>
      </c>
      <c r="I355" s="76">
        <f t="shared" si="140"/>
        <v>1</v>
      </c>
      <c r="J355" s="76">
        <f t="shared" si="141"/>
        <v>1</v>
      </c>
      <c r="K355" s="67">
        <f t="shared" si="142"/>
        <v>0</v>
      </c>
      <c r="L355" s="67">
        <f t="shared" si="143"/>
        <v>0</v>
      </c>
      <c r="M355" s="77">
        <f t="shared" si="144"/>
        <v>0</v>
      </c>
      <c r="N355" s="76">
        <f t="shared" si="145"/>
        <v>1</v>
      </c>
      <c r="O355" s="77">
        <f t="shared" si="146"/>
        <v>0.8979041095890411</v>
      </c>
      <c r="P355" s="76">
        <f t="shared" si="147"/>
        <v>8.333333333333337E-2</v>
      </c>
      <c r="Q355" s="76">
        <f t="shared" si="148"/>
        <v>0</v>
      </c>
      <c r="R355" s="76">
        <f t="shared" si="149"/>
        <v>0</v>
      </c>
      <c r="S355" s="76">
        <f t="shared" si="150"/>
        <v>0.97598272781417506</v>
      </c>
      <c r="T355" s="76">
        <f t="shared" si="151"/>
        <v>0.97598272781417506</v>
      </c>
      <c r="U355" s="76">
        <f t="shared" si="152"/>
        <v>1</v>
      </c>
    </row>
    <row r="356" spans="1:21" x14ac:dyDescent="0.25">
      <c r="A356" s="71">
        <v>8</v>
      </c>
      <c r="B356" s="72">
        <f t="shared" si="153"/>
        <v>45870</v>
      </c>
      <c r="C356" s="73">
        <f t="shared" si="134"/>
        <v>45900</v>
      </c>
      <c r="D356" s="67">
        <f t="shared" si="135"/>
        <v>31</v>
      </c>
      <c r="E356" s="67">
        <f t="shared" si="136"/>
        <v>8</v>
      </c>
      <c r="F356" s="74">
        <f t="shared" si="137"/>
        <v>45885.5</v>
      </c>
      <c r="G356" s="67">
        <f t="shared" si="138"/>
        <v>24307</v>
      </c>
      <c r="H356" s="75">
        <f t="shared" si="139"/>
        <v>1</v>
      </c>
      <c r="I356" s="76">
        <f t="shared" si="140"/>
        <v>1</v>
      </c>
      <c r="J356" s="76">
        <f t="shared" si="141"/>
        <v>1</v>
      </c>
      <c r="K356" s="67">
        <f t="shared" si="142"/>
        <v>0</v>
      </c>
      <c r="L356" s="67">
        <f t="shared" si="143"/>
        <v>0</v>
      </c>
      <c r="M356" s="77">
        <f t="shared" si="144"/>
        <v>0</v>
      </c>
      <c r="N356" s="76">
        <f t="shared" si="145"/>
        <v>1</v>
      </c>
      <c r="O356" s="77">
        <f t="shared" si="146"/>
        <v>0.89875342465753427</v>
      </c>
      <c r="P356" s="76">
        <f t="shared" si="147"/>
        <v>0.25</v>
      </c>
      <c r="Q356" s="76">
        <f t="shared" si="148"/>
        <v>0</v>
      </c>
      <c r="R356" s="76">
        <f t="shared" si="149"/>
        <v>0</v>
      </c>
      <c r="S356" s="76">
        <f t="shared" si="150"/>
        <v>0.97690589636688507</v>
      </c>
      <c r="T356" s="76">
        <f t="shared" si="151"/>
        <v>0.97690589636688507</v>
      </c>
      <c r="U356" s="76">
        <f t="shared" si="152"/>
        <v>1</v>
      </c>
    </row>
    <row r="357" spans="1:21" x14ac:dyDescent="0.25">
      <c r="A357" s="71">
        <v>9</v>
      </c>
      <c r="B357" s="72">
        <f t="shared" si="153"/>
        <v>45901</v>
      </c>
      <c r="C357" s="73">
        <f t="shared" si="134"/>
        <v>45930</v>
      </c>
      <c r="D357" s="67">
        <f t="shared" si="135"/>
        <v>30</v>
      </c>
      <c r="E357" s="67">
        <f t="shared" si="136"/>
        <v>9</v>
      </c>
      <c r="F357" s="74">
        <f t="shared" si="137"/>
        <v>45916</v>
      </c>
      <c r="G357" s="67">
        <f t="shared" si="138"/>
        <v>24308</v>
      </c>
      <c r="H357" s="75">
        <f t="shared" si="139"/>
        <v>1</v>
      </c>
      <c r="I357" s="76">
        <f t="shared" si="140"/>
        <v>1</v>
      </c>
      <c r="J357" s="76">
        <f t="shared" si="141"/>
        <v>1</v>
      </c>
      <c r="K357" s="67">
        <f t="shared" si="142"/>
        <v>0</v>
      </c>
      <c r="L357" s="67">
        <f t="shared" si="143"/>
        <v>0</v>
      </c>
      <c r="M357" s="77">
        <f t="shared" si="144"/>
        <v>0</v>
      </c>
      <c r="N357" s="76">
        <f t="shared" si="145"/>
        <v>1</v>
      </c>
      <c r="O357" s="77">
        <f t="shared" si="146"/>
        <v>0.89958904109589044</v>
      </c>
      <c r="P357" s="76">
        <f t="shared" si="147"/>
        <v>0.41666666666666663</v>
      </c>
      <c r="Q357" s="76">
        <f t="shared" si="148"/>
        <v>0</v>
      </c>
      <c r="R357" s="76">
        <f t="shared" si="149"/>
        <v>0</v>
      </c>
      <c r="S357" s="76">
        <f t="shared" si="150"/>
        <v>0.97781417510422874</v>
      </c>
      <c r="T357" s="76">
        <f t="shared" si="151"/>
        <v>0.97781417510422874</v>
      </c>
      <c r="U357" s="76">
        <f t="shared" si="152"/>
        <v>1</v>
      </c>
    </row>
    <row r="358" spans="1:21" x14ac:dyDescent="0.25">
      <c r="A358" s="71">
        <v>10</v>
      </c>
      <c r="B358" s="72">
        <f t="shared" si="153"/>
        <v>45931</v>
      </c>
      <c r="C358" s="73">
        <f t="shared" si="134"/>
        <v>45961</v>
      </c>
      <c r="D358" s="67">
        <f t="shared" si="135"/>
        <v>31</v>
      </c>
      <c r="E358" s="67">
        <f t="shared" si="136"/>
        <v>10</v>
      </c>
      <c r="F358" s="74">
        <f t="shared" si="137"/>
        <v>45946.5</v>
      </c>
      <c r="G358" s="67">
        <f t="shared" si="138"/>
        <v>24309</v>
      </c>
      <c r="H358" s="75">
        <f t="shared" si="139"/>
        <v>1</v>
      </c>
      <c r="I358" s="76">
        <f t="shared" si="140"/>
        <v>1</v>
      </c>
      <c r="J358" s="76">
        <f t="shared" si="141"/>
        <v>1</v>
      </c>
      <c r="K358" s="67">
        <f t="shared" si="142"/>
        <v>0</v>
      </c>
      <c r="L358" s="67">
        <f t="shared" si="143"/>
        <v>0</v>
      </c>
      <c r="M358" s="77">
        <f t="shared" si="144"/>
        <v>0</v>
      </c>
      <c r="N358" s="76">
        <f t="shared" si="145"/>
        <v>1</v>
      </c>
      <c r="O358" s="77">
        <f t="shared" si="146"/>
        <v>0.90042465753424661</v>
      </c>
      <c r="P358" s="76">
        <f t="shared" si="147"/>
        <v>0.58333333333333326</v>
      </c>
      <c r="Q358" s="76">
        <f t="shared" si="148"/>
        <v>0</v>
      </c>
      <c r="R358" s="76">
        <f t="shared" si="149"/>
        <v>0</v>
      </c>
      <c r="S358" s="76">
        <f t="shared" si="150"/>
        <v>0.9787224538415723</v>
      </c>
      <c r="T358" s="76">
        <f t="shared" si="151"/>
        <v>0.9787224538415723</v>
      </c>
      <c r="U358" s="76">
        <f t="shared" si="152"/>
        <v>1</v>
      </c>
    </row>
    <row r="359" spans="1:21" x14ac:dyDescent="0.25">
      <c r="A359" s="71">
        <v>11</v>
      </c>
      <c r="B359" s="72">
        <f t="shared" si="153"/>
        <v>45962</v>
      </c>
      <c r="C359" s="73">
        <f t="shared" si="134"/>
        <v>45991</v>
      </c>
      <c r="D359" s="67">
        <f t="shared" si="135"/>
        <v>30</v>
      </c>
      <c r="E359" s="67">
        <f t="shared" si="136"/>
        <v>11</v>
      </c>
      <c r="F359" s="74">
        <f t="shared" si="137"/>
        <v>45977</v>
      </c>
      <c r="G359" s="67">
        <f t="shared" si="138"/>
        <v>24310</v>
      </c>
      <c r="H359" s="75">
        <f t="shared" si="139"/>
        <v>1</v>
      </c>
      <c r="I359" s="76">
        <f t="shared" si="140"/>
        <v>1</v>
      </c>
      <c r="J359" s="76">
        <f t="shared" si="141"/>
        <v>1</v>
      </c>
      <c r="K359" s="67">
        <f t="shared" si="142"/>
        <v>0</v>
      </c>
      <c r="L359" s="67">
        <f t="shared" si="143"/>
        <v>0</v>
      </c>
      <c r="M359" s="77">
        <f t="shared" si="144"/>
        <v>0</v>
      </c>
      <c r="N359" s="76">
        <f t="shared" si="145"/>
        <v>1</v>
      </c>
      <c r="O359" s="77">
        <f t="shared" si="146"/>
        <v>0.90126027397260278</v>
      </c>
      <c r="P359" s="76">
        <f t="shared" si="147"/>
        <v>0.75</v>
      </c>
      <c r="Q359" s="76">
        <f t="shared" si="148"/>
        <v>0</v>
      </c>
      <c r="R359" s="76">
        <f t="shared" si="149"/>
        <v>0</v>
      </c>
      <c r="S359" s="76">
        <f t="shared" si="150"/>
        <v>0.97963073257891597</v>
      </c>
      <c r="T359" s="76">
        <f t="shared" si="151"/>
        <v>0.97963073257891597</v>
      </c>
      <c r="U359" s="76">
        <f t="shared" si="152"/>
        <v>1</v>
      </c>
    </row>
    <row r="360" spans="1:21" x14ac:dyDescent="0.25">
      <c r="A360" s="71">
        <v>12</v>
      </c>
      <c r="B360" s="72">
        <f t="shared" si="153"/>
        <v>45992</v>
      </c>
      <c r="C360" s="73">
        <f t="shared" si="134"/>
        <v>46022</v>
      </c>
      <c r="D360" s="67">
        <f t="shared" si="135"/>
        <v>31</v>
      </c>
      <c r="E360" s="67">
        <f t="shared" si="136"/>
        <v>12</v>
      </c>
      <c r="F360" s="74">
        <f t="shared" si="137"/>
        <v>46007.5</v>
      </c>
      <c r="G360" s="67">
        <f t="shared" si="138"/>
        <v>24311</v>
      </c>
      <c r="H360" s="75">
        <f t="shared" si="139"/>
        <v>1</v>
      </c>
      <c r="I360" s="76">
        <f t="shared" si="140"/>
        <v>1</v>
      </c>
      <c r="J360" s="76">
        <f t="shared" si="141"/>
        <v>1</v>
      </c>
      <c r="K360" s="67">
        <f t="shared" si="142"/>
        <v>0</v>
      </c>
      <c r="L360" s="67">
        <f t="shared" si="143"/>
        <v>0</v>
      </c>
      <c r="M360" s="77">
        <f t="shared" si="144"/>
        <v>0</v>
      </c>
      <c r="N360" s="76">
        <f t="shared" si="145"/>
        <v>1</v>
      </c>
      <c r="O360" s="77">
        <f t="shared" si="146"/>
        <v>0.90209589041095894</v>
      </c>
      <c r="P360" s="76">
        <f t="shared" si="147"/>
        <v>0.91666666666666663</v>
      </c>
      <c r="Q360" s="76">
        <f t="shared" si="148"/>
        <v>0</v>
      </c>
      <c r="R360" s="76">
        <f t="shared" si="149"/>
        <v>0</v>
      </c>
      <c r="S360" s="76">
        <f t="shared" si="150"/>
        <v>0.98053901131625965</v>
      </c>
      <c r="T360" s="76">
        <f t="shared" si="151"/>
        <v>0.98053901131625965</v>
      </c>
      <c r="U360" s="76">
        <f t="shared" si="152"/>
        <v>1</v>
      </c>
    </row>
    <row r="361" spans="1:21" x14ac:dyDescent="0.25">
      <c r="A361" s="71">
        <v>13</v>
      </c>
      <c r="B361" s="72">
        <f t="shared" si="153"/>
        <v>46023</v>
      </c>
      <c r="C361" s="73">
        <f t="shared" si="134"/>
        <v>46053</v>
      </c>
      <c r="D361" s="67">
        <f t="shared" si="135"/>
        <v>31</v>
      </c>
      <c r="E361" s="67">
        <f t="shared" si="136"/>
        <v>1</v>
      </c>
      <c r="F361" s="74">
        <f t="shared" si="137"/>
        <v>46038.5</v>
      </c>
      <c r="G361" s="67">
        <f t="shared" si="138"/>
        <v>24312</v>
      </c>
      <c r="H361" s="75">
        <f t="shared" si="139"/>
        <v>1</v>
      </c>
      <c r="I361" s="76">
        <f t="shared" si="140"/>
        <v>1</v>
      </c>
      <c r="J361" s="76">
        <f t="shared" si="141"/>
        <v>1</v>
      </c>
      <c r="K361" s="67">
        <f t="shared" si="142"/>
        <v>0</v>
      </c>
      <c r="L361" s="67">
        <f t="shared" si="143"/>
        <v>0</v>
      </c>
      <c r="M361" s="77">
        <f t="shared" si="144"/>
        <v>0</v>
      </c>
      <c r="N361" s="76">
        <f t="shared" si="145"/>
        <v>1</v>
      </c>
      <c r="O361" s="77">
        <f t="shared" si="146"/>
        <v>0.90294520547945212</v>
      </c>
      <c r="P361" s="76">
        <f t="shared" si="147"/>
        <v>1</v>
      </c>
      <c r="Q361" s="76">
        <f t="shared" si="148"/>
        <v>0</v>
      </c>
      <c r="R361" s="76">
        <f t="shared" si="149"/>
        <v>0</v>
      </c>
      <c r="S361" s="76">
        <f t="shared" si="150"/>
        <v>0.98146217986896966</v>
      </c>
      <c r="T361" s="76">
        <f t="shared" si="151"/>
        <v>0.98146217986896966</v>
      </c>
      <c r="U361" s="76">
        <f t="shared" si="152"/>
        <v>1</v>
      </c>
    </row>
    <row r="362" spans="1:21" x14ac:dyDescent="0.25">
      <c r="A362" s="71">
        <v>14</v>
      </c>
      <c r="B362" s="72">
        <f t="shared" si="153"/>
        <v>46054</v>
      </c>
      <c r="C362" s="73">
        <f t="shared" si="134"/>
        <v>46081</v>
      </c>
      <c r="D362" s="67">
        <f t="shared" si="135"/>
        <v>28</v>
      </c>
      <c r="E362" s="67">
        <f t="shared" si="136"/>
        <v>2</v>
      </c>
      <c r="F362" s="74">
        <f t="shared" si="137"/>
        <v>46068</v>
      </c>
      <c r="G362" s="67">
        <f t="shared" si="138"/>
        <v>24313</v>
      </c>
      <c r="H362" s="75">
        <f t="shared" si="139"/>
        <v>1</v>
      </c>
      <c r="I362" s="76">
        <f t="shared" si="140"/>
        <v>1</v>
      </c>
      <c r="J362" s="76">
        <f t="shared" si="141"/>
        <v>1</v>
      </c>
      <c r="K362" s="67">
        <f t="shared" si="142"/>
        <v>0</v>
      </c>
      <c r="L362" s="67">
        <f t="shared" si="143"/>
        <v>0</v>
      </c>
      <c r="M362" s="77">
        <f t="shared" si="144"/>
        <v>0</v>
      </c>
      <c r="N362" s="76">
        <f t="shared" si="145"/>
        <v>1</v>
      </c>
      <c r="O362" s="77">
        <f t="shared" si="146"/>
        <v>0.90375342465753428</v>
      </c>
      <c r="P362" s="76">
        <f t="shared" si="147"/>
        <v>1</v>
      </c>
      <c r="Q362" s="76">
        <f t="shared" si="148"/>
        <v>0</v>
      </c>
      <c r="R362" s="76">
        <f t="shared" si="149"/>
        <v>0</v>
      </c>
      <c r="S362" s="76">
        <f t="shared" si="150"/>
        <v>0.98234067897558064</v>
      </c>
      <c r="T362" s="76">
        <f t="shared" si="151"/>
        <v>0.98234067897558064</v>
      </c>
      <c r="U362" s="76">
        <f t="shared" si="152"/>
        <v>1</v>
      </c>
    </row>
    <row r="363" spans="1:21" x14ac:dyDescent="0.25">
      <c r="A363" s="71">
        <v>15</v>
      </c>
      <c r="B363" s="72">
        <f t="shared" si="153"/>
        <v>46082</v>
      </c>
      <c r="C363" s="73">
        <f t="shared" si="134"/>
        <v>46112</v>
      </c>
      <c r="D363" s="67">
        <f t="shared" si="135"/>
        <v>31</v>
      </c>
      <c r="E363" s="67">
        <f t="shared" si="136"/>
        <v>3</v>
      </c>
      <c r="F363" s="74">
        <f t="shared" si="137"/>
        <v>46097.5</v>
      </c>
      <c r="G363" s="67">
        <f t="shared" si="138"/>
        <v>24314</v>
      </c>
      <c r="H363" s="75">
        <f t="shared" si="139"/>
        <v>1</v>
      </c>
      <c r="I363" s="76">
        <f t="shared" si="140"/>
        <v>1</v>
      </c>
      <c r="J363" s="76">
        <f t="shared" si="141"/>
        <v>1</v>
      </c>
      <c r="K363" s="67">
        <f t="shared" si="142"/>
        <v>0</v>
      </c>
      <c r="L363" s="67">
        <f t="shared" si="143"/>
        <v>0</v>
      </c>
      <c r="M363" s="77">
        <f t="shared" si="144"/>
        <v>0</v>
      </c>
      <c r="N363" s="76">
        <f t="shared" si="145"/>
        <v>1</v>
      </c>
      <c r="O363" s="77">
        <f t="shared" si="146"/>
        <v>0.90456164383561644</v>
      </c>
      <c r="P363" s="76">
        <f t="shared" si="147"/>
        <v>1</v>
      </c>
      <c r="Q363" s="76">
        <f t="shared" si="148"/>
        <v>0</v>
      </c>
      <c r="R363" s="76">
        <f t="shared" si="149"/>
        <v>0</v>
      </c>
      <c r="S363" s="76">
        <f t="shared" si="150"/>
        <v>0.98321917808219172</v>
      </c>
      <c r="T363" s="76">
        <f t="shared" si="151"/>
        <v>0.98321917808219172</v>
      </c>
      <c r="U363" s="76">
        <f t="shared" si="152"/>
        <v>1</v>
      </c>
    </row>
    <row r="364" spans="1:21" x14ac:dyDescent="0.25">
      <c r="A364" s="71">
        <v>16</v>
      </c>
      <c r="B364" s="72">
        <f t="shared" si="153"/>
        <v>46113</v>
      </c>
      <c r="C364" s="73">
        <f t="shared" si="134"/>
        <v>46142</v>
      </c>
      <c r="D364" s="67">
        <f t="shared" si="135"/>
        <v>30</v>
      </c>
      <c r="E364" s="67">
        <f t="shared" si="136"/>
        <v>4</v>
      </c>
      <c r="F364" s="74">
        <f t="shared" si="137"/>
        <v>46128</v>
      </c>
      <c r="G364" s="67">
        <f t="shared" si="138"/>
        <v>24315</v>
      </c>
      <c r="H364" s="75">
        <f t="shared" si="139"/>
        <v>1</v>
      </c>
      <c r="I364" s="76">
        <f t="shared" si="140"/>
        <v>1</v>
      </c>
      <c r="J364" s="76">
        <f t="shared" si="141"/>
        <v>1</v>
      </c>
      <c r="K364" s="67">
        <f t="shared" si="142"/>
        <v>0</v>
      </c>
      <c r="L364" s="67">
        <f t="shared" si="143"/>
        <v>0</v>
      </c>
      <c r="M364" s="77">
        <f t="shared" si="144"/>
        <v>0</v>
      </c>
      <c r="N364" s="76">
        <f t="shared" si="145"/>
        <v>1</v>
      </c>
      <c r="O364" s="77">
        <f t="shared" si="146"/>
        <v>0.9053972602739726</v>
      </c>
      <c r="P364" s="76">
        <f t="shared" si="147"/>
        <v>1</v>
      </c>
      <c r="Q364" s="76">
        <f t="shared" si="148"/>
        <v>0</v>
      </c>
      <c r="R364" s="76">
        <f t="shared" si="149"/>
        <v>0</v>
      </c>
      <c r="S364" s="76">
        <f t="shared" si="150"/>
        <v>0.9841274568195354</v>
      </c>
      <c r="T364" s="76">
        <f t="shared" si="151"/>
        <v>0.9841274568195354</v>
      </c>
      <c r="U364" s="76">
        <f t="shared" si="152"/>
        <v>1</v>
      </c>
    </row>
    <row r="365" spans="1:21" x14ac:dyDescent="0.25">
      <c r="A365" s="71">
        <v>17</v>
      </c>
      <c r="B365" s="72">
        <f t="shared" si="153"/>
        <v>46143</v>
      </c>
      <c r="C365" s="73">
        <f t="shared" si="134"/>
        <v>46173</v>
      </c>
      <c r="D365" s="67">
        <f t="shared" si="135"/>
        <v>31</v>
      </c>
      <c r="E365" s="67">
        <f t="shared" si="136"/>
        <v>5</v>
      </c>
      <c r="F365" s="74">
        <f t="shared" si="137"/>
        <v>46158.5</v>
      </c>
      <c r="G365" s="67">
        <f t="shared" si="138"/>
        <v>24316</v>
      </c>
      <c r="H365" s="75">
        <f t="shared" si="139"/>
        <v>1</v>
      </c>
      <c r="I365" s="76">
        <f t="shared" si="140"/>
        <v>1</v>
      </c>
      <c r="J365" s="76">
        <f t="shared" si="141"/>
        <v>1</v>
      </c>
      <c r="K365" s="67">
        <f t="shared" si="142"/>
        <v>0</v>
      </c>
      <c r="L365" s="67">
        <f t="shared" si="143"/>
        <v>0</v>
      </c>
      <c r="M365" s="77">
        <f t="shared" si="144"/>
        <v>0</v>
      </c>
      <c r="N365" s="76">
        <f t="shared" si="145"/>
        <v>1</v>
      </c>
      <c r="O365" s="77">
        <f t="shared" si="146"/>
        <v>0.90623287671232877</v>
      </c>
      <c r="P365" s="76">
        <f t="shared" si="147"/>
        <v>1</v>
      </c>
      <c r="Q365" s="76">
        <f t="shared" si="148"/>
        <v>0</v>
      </c>
      <c r="R365" s="76">
        <f t="shared" si="149"/>
        <v>0</v>
      </c>
      <c r="S365" s="76">
        <f t="shared" si="150"/>
        <v>0.98503573555687907</v>
      </c>
      <c r="T365" s="76">
        <f t="shared" si="151"/>
        <v>0.98503573555687907</v>
      </c>
      <c r="U365" s="76">
        <f t="shared" si="152"/>
        <v>1</v>
      </c>
    </row>
    <row r="366" spans="1:21" x14ac:dyDescent="0.25">
      <c r="A366" s="71">
        <v>18</v>
      </c>
      <c r="B366" s="72">
        <f t="shared" si="153"/>
        <v>46174</v>
      </c>
      <c r="C366" s="73">
        <f t="shared" si="134"/>
        <v>46203</v>
      </c>
      <c r="D366" s="67">
        <f t="shared" si="135"/>
        <v>30</v>
      </c>
      <c r="E366" s="67">
        <f t="shared" si="136"/>
        <v>6</v>
      </c>
      <c r="F366" s="74">
        <f t="shared" si="137"/>
        <v>46189</v>
      </c>
      <c r="G366" s="67">
        <f t="shared" si="138"/>
        <v>24317</v>
      </c>
      <c r="H366" s="75">
        <f t="shared" si="139"/>
        <v>1</v>
      </c>
      <c r="I366" s="76">
        <f t="shared" si="140"/>
        <v>1</v>
      </c>
      <c r="J366" s="76">
        <f t="shared" si="141"/>
        <v>1.0449999999999999</v>
      </c>
      <c r="K366" s="67">
        <f t="shared" si="142"/>
        <v>1</v>
      </c>
      <c r="L366" s="67">
        <f t="shared" si="143"/>
        <v>30</v>
      </c>
      <c r="M366" s="77">
        <f t="shared" si="144"/>
        <v>1</v>
      </c>
      <c r="N366" s="76">
        <f t="shared" si="145"/>
        <v>1.0449999999999999</v>
      </c>
      <c r="O366" s="77">
        <f t="shared" si="146"/>
        <v>0.90706849315068494</v>
      </c>
      <c r="P366" s="76">
        <f t="shared" si="147"/>
        <v>1</v>
      </c>
      <c r="Q366" s="76">
        <f t="shared" si="148"/>
        <v>0</v>
      </c>
      <c r="R366" s="76">
        <f t="shared" si="149"/>
        <v>0</v>
      </c>
      <c r="S366" s="76">
        <f t="shared" si="150"/>
        <v>1.0303114949374628</v>
      </c>
      <c r="T366" s="76">
        <f t="shared" si="151"/>
        <v>1.0303114949374628</v>
      </c>
      <c r="U366" s="76">
        <f t="shared" si="152"/>
        <v>1.0449999999999999</v>
      </c>
    </row>
    <row r="367" spans="1:21" x14ac:dyDescent="0.25">
      <c r="A367" s="71">
        <v>19</v>
      </c>
      <c r="B367" s="72">
        <f t="shared" si="153"/>
        <v>46204</v>
      </c>
      <c r="C367" s="73">
        <f t="shared" si="134"/>
        <v>46234</v>
      </c>
      <c r="D367" s="67">
        <f t="shared" si="135"/>
        <v>31</v>
      </c>
      <c r="E367" s="67">
        <f t="shared" si="136"/>
        <v>7</v>
      </c>
      <c r="F367" s="74">
        <f t="shared" si="137"/>
        <v>46219.5</v>
      </c>
      <c r="G367" s="67">
        <f t="shared" si="138"/>
        <v>24318</v>
      </c>
      <c r="H367" s="75">
        <f t="shared" si="139"/>
        <v>1</v>
      </c>
      <c r="I367" s="76">
        <f t="shared" si="140"/>
        <v>1.0449999999999999</v>
      </c>
      <c r="J367" s="76">
        <f t="shared" si="141"/>
        <v>1.0449999999999999</v>
      </c>
      <c r="K367" s="67">
        <f t="shared" si="142"/>
        <v>0</v>
      </c>
      <c r="L367" s="67">
        <f t="shared" si="143"/>
        <v>0</v>
      </c>
      <c r="M367" s="77">
        <f t="shared" si="144"/>
        <v>0</v>
      </c>
      <c r="N367" s="76">
        <f t="shared" si="145"/>
        <v>1.0449999999999999</v>
      </c>
      <c r="O367" s="77">
        <f t="shared" si="146"/>
        <v>0.90790410958904111</v>
      </c>
      <c r="P367" s="76">
        <f t="shared" si="147"/>
        <v>0.91666666666666663</v>
      </c>
      <c r="Q367" s="76">
        <f t="shared" si="148"/>
        <v>8.333333333333337E-2</v>
      </c>
      <c r="R367" s="76">
        <f t="shared" si="149"/>
        <v>0</v>
      </c>
      <c r="S367" s="76">
        <f t="shared" si="150"/>
        <v>1.0312606462179867</v>
      </c>
      <c r="T367" s="76">
        <f t="shared" si="151"/>
        <v>1.0312606462179867</v>
      </c>
      <c r="U367" s="76">
        <f t="shared" si="152"/>
        <v>1.0449999999999999</v>
      </c>
    </row>
    <row r="368" spans="1:21" x14ac:dyDescent="0.25">
      <c r="A368" s="71">
        <v>20</v>
      </c>
      <c r="B368" s="72">
        <f t="shared" si="153"/>
        <v>46235</v>
      </c>
      <c r="C368" s="73">
        <f t="shared" si="134"/>
        <v>46265</v>
      </c>
      <c r="D368" s="67">
        <f t="shared" si="135"/>
        <v>31</v>
      </c>
      <c r="E368" s="67">
        <f t="shared" si="136"/>
        <v>8</v>
      </c>
      <c r="F368" s="74">
        <f t="shared" si="137"/>
        <v>46250.5</v>
      </c>
      <c r="G368" s="67">
        <f t="shared" si="138"/>
        <v>24319</v>
      </c>
      <c r="H368" s="75">
        <f t="shared" si="139"/>
        <v>1</v>
      </c>
      <c r="I368" s="76">
        <f t="shared" si="140"/>
        <v>1.0449999999999999</v>
      </c>
      <c r="J368" s="76">
        <f t="shared" si="141"/>
        <v>1.0449999999999999</v>
      </c>
      <c r="K368" s="67">
        <f t="shared" si="142"/>
        <v>0</v>
      </c>
      <c r="L368" s="67">
        <f t="shared" si="143"/>
        <v>0</v>
      </c>
      <c r="M368" s="77">
        <f t="shared" si="144"/>
        <v>0</v>
      </c>
      <c r="N368" s="76">
        <f t="shared" si="145"/>
        <v>1.0449999999999999</v>
      </c>
      <c r="O368" s="77">
        <f t="shared" si="146"/>
        <v>0.90875342465753428</v>
      </c>
      <c r="P368" s="76">
        <f t="shared" si="147"/>
        <v>0.75</v>
      </c>
      <c r="Q368" s="76">
        <f t="shared" si="148"/>
        <v>0.25</v>
      </c>
      <c r="R368" s="76">
        <f t="shared" si="149"/>
        <v>0</v>
      </c>
      <c r="S368" s="76">
        <f t="shared" si="150"/>
        <v>1.0322253573555686</v>
      </c>
      <c r="T368" s="76">
        <f t="shared" si="151"/>
        <v>1.0322253573555686</v>
      </c>
      <c r="U368" s="76">
        <f t="shared" si="152"/>
        <v>1.0449999999999999</v>
      </c>
    </row>
    <row r="369" spans="1:21" x14ac:dyDescent="0.25">
      <c r="A369" s="71">
        <v>21</v>
      </c>
      <c r="B369" s="72">
        <f t="shared" si="153"/>
        <v>46266</v>
      </c>
      <c r="C369" s="73">
        <f t="shared" si="134"/>
        <v>46295</v>
      </c>
      <c r="D369" s="67">
        <f t="shared" si="135"/>
        <v>30</v>
      </c>
      <c r="E369" s="67">
        <f t="shared" si="136"/>
        <v>9</v>
      </c>
      <c r="F369" s="74">
        <f t="shared" si="137"/>
        <v>46281</v>
      </c>
      <c r="G369" s="67">
        <f t="shared" si="138"/>
        <v>24320</v>
      </c>
      <c r="H369" s="75">
        <f t="shared" si="139"/>
        <v>1</v>
      </c>
      <c r="I369" s="76">
        <f t="shared" si="140"/>
        <v>1.0449999999999999</v>
      </c>
      <c r="J369" s="76">
        <f t="shared" si="141"/>
        <v>1.0449999999999999</v>
      </c>
      <c r="K369" s="67">
        <f t="shared" si="142"/>
        <v>0</v>
      </c>
      <c r="L369" s="67">
        <f t="shared" si="143"/>
        <v>0</v>
      </c>
      <c r="M369" s="77">
        <f t="shared" si="144"/>
        <v>0</v>
      </c>
      <c r="N369" s="76">
        <f t="shared" si="145"/>
        <v>1.0449999999999999</v>
      </c>
      <c r="O369" s="77">
        <f t="shared" si="146"/>
        <v>0.90958904109589045</v>
      </c>
      <c r="P369" s="76">
        <f t="shared" si="147"/>
        <v>0.58333333333333337</v>
      </c>
      <c r="Q369" s="76">
        <f t="shared" si="148"/>
        <v>0.41666666666666663</v>
      </c>
      <c r="R369" s="76">
        <f t="shared" si="149"/>
        <v>0</v>
      </c>
      <c r="S369" s="76">
        <f t="shared" si="150"/>
        <v>1.0331745086360928</v>
      </c>
      <c r="T369" s="76">
        <f t="shared" si="151"/>
        <v>1.0331745086360928</v>
      </c>
      <c r="U369" s="76">
        <f t="shared" si="152"/>
        <v>1.0449999999999999</v>
      </c>
    </row>
    <row r="370" spans="1:21" x14ac:dyDescent="0.25">
      <c r="A370" s="71">
        <v>22</v>
      </c>
      <c r="B370" s="72">
        <f t="shared" si="153"/>
        <v>46296</v>
      </c>
      <c r="C370" s="73">
        <f t="shared" si="134"/>
        <v>46326</v>
      </c>
      <c r="D370" s="67">
        <f t="shared" si="135"/>
        <v>31</v>
      </c>
      <c r="E370" s="67">
        <f t="shared" si="136"/>
        <v>10</v>
      </c>
      <c r="F370" s="74">
        <f t="shared" si="137"/>
        <v>46311.5</v>
      </c>
      <c r="G370" s="67">
        <f t="shared" si="138"/>
        <v>24321</v>
      </c>
      <c r="H370" s="75">
        <f t="shared" si="139"/>
        <v>1</v>
      </c>
      <c r="I370" s="76">
        <f t="shared" si="140"/>
        <v>1.0449999999999999</v>
      </c>
      <c r="J370" s="76">
        <f t="shared" si="141"/>
        <v>1.0449999999999999</v>
      </c>
      <c r="K370" s="67">
        <f t="shared" si="142"/>
        <v>0</v>
      </c>
      <c r="L370" s="67">
        <f t="shared" si="143"/>
        <v>0</v>
      </c>
      <c r="M370" s="77">
        <f t="shared" si="144"/>
        <v>0</v>
      </c>
      <c r="N370" s="76">
        <f t="shared" si="145"/>
        <v>1.0449999999999999</v>
      </c>
      <c r="O370" s="77">
        <f t="shared" si="146"/>
        <v>0.90983041575492341</v>
      </c>
      <c r="P370" s="76">
        <f t="shared" si="147"/>
        <v>0.41666666666666669</v>
      </c>
      <c r="Q370" s="76">
        <f t="shared" si="148"/>
        <v>0.58333333333333326</v>
      </c>
      <c r="R370" s="76">
        <f t="shared" si="149"/>
        <v>0</v>
      </c>
      <c r="S370" s="76">
        <f t="shared" si="150"/>
        <v>1.0334486787651032</v>
      </c>
      <c r="T370" s="76">
        <f t="shared" si="151"/>
        <v>1.0334486787651032</v>
      </c>
      <c r="U370" s="76">
        <f t="shared" si="152"/>
        <v>1.0449999999999999</v>
      </c>
    </row>
    <row r="371" spans="1:21" x14ac:dyDescent="0.25">
      <c r="A371" s="71">
        <v>23</v>
      </c>
      <c r="B371" s="72">
        <f t="shared" si="153"/>
        <v>46327</v>
      </c>
      <c r="C371" s="73">
        <f t="shared" si="134"/>
        <v>46356</v>
      </c>
      <c r="D371" s="67">
        <f t="shared" si="135"/>
        <v>30</v>
      </c>
      <c r="E371" s="67">
        <f t="shared" si="136"/>
        <v>11</v>
      </c>
      <c r="F371" s="74">
        <f t="shared" si="137"/>
        <v>46342</v>
      </c>
      <c r="G371" s="67">
        <f t="shared" si="138"/>
        <v>24322</v>
      </c>
      <c r="H371" s="75">
        <f t="shared" si="139"/>
        <v>1</v>
      </c>
      <c r="I371" s="76">
        <f t="shared" si="140"/>
        <v>1.0449999999999999</v>
      </c>
      <c r="J371" s="76">
        <f t="shared" si="141"/>
        <v>1.0449999999999999</v>
      </c>
      <c r="K371" s="67">
        <f t="shared" si="142"/>
        <v>0</v>
      </c>
      <c r="L371" s="67">
        <f t="shared" si="143"/>
        <v>0</v>
      </c>
      <c r="M371" s="77">
        <f t="shared" si="144"/>
        <v>0</v>
      </c>
      <c r="N371" s="76">
        <f t="shared" si="145"/>
        <v>1.0449999999999999</v>
      </c>
      <c r="O371" s="77">
        <f t="shared" si="146"/>
        <v>0.90949671772428886</v>
      </c>
      <c r="P371" s="76">
        <f t="shared" si="147"/>
        <v>0.25</v>
      </c>
      <c r="Q371" s="76">
        <f t="shared" si="148"/>
        <v>0.75</v>
      </c>
      <c r="R371" s="76">
        <f t="shared" si="149"/>
        <v>0</v>
      </c>
      <c r="S371" s="76">
        <f t="shared" si="150"/>
        <v>1.0330696413281324</v>
      </c>
      <c r="T371" s="76">
        <f t="shared" si="151"/>
        <v>1.0330696413281324</v>
      </c>
      <c r="U371" s="76">
        <f t="shared" si="152"/>
        <v>1.0449999999999999</v>
      </c>
    </row>
    <row r="372" spans="1:21" x14ac:dyDescent="0.25">
      <c r="A372" s="71">
        <v>24</v>
      </c>
      <c r="B372" s="72">
        <f t="shared" si="153"/>
        <v>46357</v>
      </c>
      <c r="C372" s="73">
        <f t="shared" si="134"/>
        <v>46387</v>
      </c>
      <c r="D372" s="67">
        <f t="shared" si="135"/>
        <v>31</v>
      </c>
      <c r="E372" s="67">
        <f t="shared" si="136"/>
        <v>12</v>
      </c>
      <c r="F372" s="74">
        <f t="shared" si="137"/>
        <v>46372.5</v>
      </c>
      <c r="G372" s="67">
        <f t="shared" si="138"/>
        <v>24323</v>
      </c>
      <c r="H372" s="75">
        <f t="shared" si="139"/>
        <v>1</v>
      </c>
      <c r="I372" s="76">
        <f t="shared" si="140"/>
        <v>1.0449999999999999</v>
      </c>
      <c r="J372" s="76">
        <f t="shared" si="141"/>
        <v>1.0449999999999999</v>
      </c>
      <c r="K372" s="67">
        <f t="shared" si="142"/>
        <v>0</v>
      </c>
      <c r="L372" s="67">
        <f t="shared" si="143"/>
        <v>0</v>
      </c>
      <c r="M372" s="77">
        <f t="shared" si="144"/>
        <v>0</v>
      </c>
      <c r="N372" s="76">
        <f t="shared" si="145"/>
        <v>1.0449999999999999</v>
      </c>
      <c r="O372" s="77">
        <f t="shared" si="146"/>
        <v>0.90916301969365432</v>
      </c>
      <c r="P372" s="76">
        <f t="shared" si="147"/>
        <v>8.3333333333333329E-2</v>
      </c>
      <c r="Q372" s="76">
        <f t="shared" si="148"/>
        <v>0.91666666666666663</v>
      </c>
      <c r="R372" s="76">
        <f t="shared" si="149"/>
        <v>0</v>
      </c>
      <c r="S372" s="76">
        <f t="shared" si="150"/>
        <v>1.0326906038911616</v>
      </c>
      <c r="T372" s="76">
        <f t="shared" si="151"/>
        <v>1.0326906038911616</v>
      </c>
      <c r="U372" s="76">
        <f t="shared" si="152"/>
        <v>1.0449999999999999</v>
      </c>
    </row>
    <row r="373" spans="1:21" x14ac:dyDescent="0.25">
      <c r="A373" s="71">
        <v>25</v>
      </c>
      <c r="B373" s="72">
        <f t="shared" si="153"/>
        <v>46388</v>
      </c>
      <c r="C373" s="73">
        <f t="shared" si="134"/>
        <v>46418</v>
      </c>
      <c r="D373" s="67">
        <f t="shared" si="135"/>
        <v>31</v>
      </c>
      <c r="E373" s="67">
        <f t="shared" si="136"/>
        <v>1</v>
      </c>
      <c r="F373" s="74">
        <f t="shared" si="137"/>
        <v>46403.5</v>
      </c>
      <c r="G373" s="67">
        <f t="shared" si="138"/>
        <v>24324</v>
      </c>
      <c r="H373" s="75">
        <f t="shared" si="139"/>
        <v>1</v>
      </c>
      <c r="I373" s="76">
        <f t="shared" si="140"/>
        <v>1.0449999999999999</v>
      </c>
      <c r="J373" s="76">
        <f t="shared" si="141"/>
        <v>1.0449999999999999</v>
      </c>
      <c r="K373" s="67">
        <f t="shared" si="142"/>
        <v>0</v>
      </c>
      <c r="L373" s="67">
        <f t="shared" si="143"/>
        <v>0</v>
      </c>
      <c r="M373" s="77">
        <f t="shared" si="144"/>
        <v>0</v>
      </c>
      <c r="N373" s="76">
        <f t="shared" si="145"/>
        <v>1.0449999999999999</v>
      </c>
      <c r="O373" s="77">
        <f t="shared" si="146"/>
        <v>0.90882385120350118</v>
      </c>
      <c r="P373" s="76">
        <f t="shared" si="147"/>
        <v>0</v>
      </c>
      <c r="Q373" s="76">
        <f t="shared" si="148"/>
        <v>1</v>
      </c>
      <c r="R373" s="76">
        <f t="shared" si="149"/>
        <v>0</v>
      </c>
      <c r="S373" s="76">
        <f t="shared" si="150"/>
        <v>1.032305352725716</v>
      </c>
      <c r="T373" s="76">
        <f t="shared" si="151"/>
        <v>0.98146217986896966</v>
      </c>
      <c r="U373" s="76">
        <f t="shared" si="152"/>
        <v>1.0449999999999999</v>
      </c>
    </row>
    <row r="374" spans="1:21" x14ac:dyDescent="0.25">
      <c r="A374" s="71">
        <v>26</v>
      </c>
      <c r="B374" s="72">
        <f t="shared" si="153"/>
        <v>46419</v>
      </c>
      <c r="C374" s="73">
        <f t="shared" si="134"/>
        <v>46446</v>
      </c>
      <c r="D374" s="67">
        <f t="shared" si="135"/>
        <v>28</v>
      </c>
      <c r="E374" s="67">
        <f t="shared" si="136"/>
        <v>2</v>
      </c>
      <c r="F374" s="74">
        <f t="shared" si="137"/>
        <v>46433</v>
      </c>
      <c r="G374" s="67">
        <f t="shared" si="138"/>
        <v>24325</v>
      </c>
      <c r="H374" s="75">
        <f t="shared" si="139"/>
        <v>1</v>
      </c>
      <c r="I374" s="76">
        <f t="shared" si="140"/>
        <v>1.0449999999999999</v>
      </c>
      <c r="J374" s="76">
        <f t="shared" si="141"/>
        <v>1.0449999999999999</v>
      </c>
      <c r="K374" s="67">
        <f t="shared" si="142"/>
        <v>0</v>
      </c>
      <c r="L374" s="67">
        <f t="shared" si="143"/>
        <v>0</v>
      </c>
      <c r="M374" s="77">
        <f t="shared" si="144"/>
        <v>0</v>
      </c>
      <c r="N374" s="76">
        <f t="shared" si="145"/>
        <v>1.0449999999999999</v>
      </c>
      <c r="O374" s="77">
        <f t="shared" si="146"/>
        <v>0.90850109409190372</v>
      </c>
      <c r="P374" s="76">
        <f t="shared" si="147"/>
        <v>0</v>
      </c>
      <c r="Q374" s="76">
        <f t="shared" si="148"/>
        <v>1</v>
      </c>
      <c r="R374" s="76">
        <f t="shared" si="149"/>
        <v>0</v>
      </c>
      <c r="S374" s="76">
        <f t="shared" si="150"/>
        <v>1.0319387427456947</v>
      </c>
      <c r="T374" s="76">
        <f t="shared" si="151"/>
        <v>0.98234067897558064</v>
      </c>
      <c r="U374" s="76">
        <f t="shared" si="152"/>
        <v>1.0449999999999999</v>
      </c>
    </row>
    <row r="375" spans="1:21" x14ac:dyDescent="0.25">
      <c r="A375" s="71">
        <v>27</v>
      </c>
      <c r="B375" s="72">
        <f t="shared" si="153"/>
        <v>46447</v>
      </c>
      <c r="C375" s="73">
        <f t="shared" si="134"/>
        <v>46477</v>
      </c>
      <c r="D375" s="67">
        <f t="shared" si="135"/>
        <v>31</v>
      </c>
      <c r="E375" s="67">
        <f t="shared" si="136"/>
        <v>3</v>
      </c>
      <c r="F375" s="74">
        <f t="shared" si="137"/>
        <v>46462.5</v>
      </c>
      <c r="G375" s="67">
        <f t="shared" si="138"/>
        <v>24326</v>
      </c>
      <c r="H375" s="75">
        <f t="shared" si="139"/>
        <v>1</v>
      </c>
      <c r="I375" s="76">
        <f t="shared" si="140"/>
        <v>1.0449999999999999</v>
      </c>
      <c r="J375" s="76">
        <f t="shared" si="141"/>
        <v>1.0449999999999999</v>
      </c>
      <c r="K375" s="67">
        <f t="shared" si="142"/>
        <v>0</v>
      </c>
      <c r="L375" s="67">
        <f t="shared" si="143"/>
        <v>0</v>
      </c>
      <c r="M375" s="77">
        <f t="shared" si="144"/>
        <v>0</v>
      </c>
      <c r="N375" s="76">
        <f t="shared" si="145"/>
        <v>1.0449999999999999</v>
      </c>
      <c r="O375" s="77">
        <f t="shared" si="146"/>
        <v>0.90817833698030637</v>
      </c>
      <c r="P375" s="76">
        <f t="shared" si="147"/>
        <v>0</v>
      </c>
      <c r="Q375" s="76">
        <f t="shared" si="148"/>
        <v>1</v>
      </c>
      <c r="R375" s="76">
        <f t="shared" si="149"/>
        <v>0</v>
      </c>
      <c r="S375" s="76">
        <f t="shared" si="150"/>
        <v>1.0315721327656739</v>
      </c>
      <c r="T375" s="76">
        <f t="shared" si="151"/>
        <v>0.98321917808219172</v>
      </c>
      <c r="U375" s="76">
        <f t="shared" si="152"/>
        <v>1.0449999999999999</v>
      </c>
    </row>
    <row r="376" spans="1:21" x14ac:dyDescent="0.25">
      <c r="A376" s="71">
        <v>28</v>
      </c>
      <c r="B376" s="72">
        <f t="shared" si="153"/>
        <v>46478</v>
      </c>
      <c r="C376" s="73">
        <f t="shared" si="134"/>
        <v>46507</v>
      </c>
      <c r="D376" s="67">
        <f t="shared" si="135"/>
        <v>30</v>
      </c>
      <c r="E376" s="67">
        <f t="shared" si="136"/>
        <v>4</v>
      </c>
      <c r="F376" s="74">
        <f t="shared" si="137"/>
        <v>46493</v>
      </c>
      <c r="G376" s="67">
        <f t="shared" si="138"/>
        <v>24327</v>
      </c>
      <c r="H376" s="75">
        <f t="shared" si="139"/>
        <v>1</v>
      </c>
      <c r="I376" s="76">
        <f t="shared" si="140"/>
        <v>1.0449999999999999</v>
      </c>
      <c r="J376" s="76">
        <f t="shared" si="141"/>
        <v>1.0449999999999999</v>
      </c>
      <c r="K376" s="67">
        <f t="shared" si="142"/>
        <v>0</v>
      </c>
      <c r="L376" s="67">
        <f t="shared" si="143"/>
        <v>0</v>
      </c>
      <c r="M376" s="77">
        <f t="shared" si="144"/>
        <v>0</v>
      </c>
      <c r="N376" s="76">
        <f t="shared" si="145"/>
        <v>1.0449999999999999</v>
      </c>
      <c r="O376" s="77">
        <f t="shared" si="146"/>
        <v>0.90784463894967182</v>
      </c>
      <c r="P376" s="76">
        <f t="shared" si="147"/>
        <v>0</v>
      </c>
      <c r="Q376" s="76">
        <f t="shared" si="148"/>
        <v>1</v>
      </c>
      <c r="R376" s="76">
        <f t="shared" si="149"/>
        <v>0</v>
      </c>
      <c r="S376" s="76">
        <f t="shared" si="150"/>
        <v>1.0311930953287032</v>
      </c>
      <c r="T376" s="76">
        <f t="shared" si="151"/>
        <v>0.9841274568195354</v>
      </c>
      <c r="U376" s="76">
        <f t="shared" si="152"/>
        <v>1.0449999999999999</v>
      </c>
    </row>
    <row r="377" spans="1:21" x14ac:dyDescent="0.25">
      <c r="A377" s="71">
        <v>29</v>
      </c>
      <c r="B377" s="72">
        <f t="shared" si="153"/>
        <v>46508</v>
      </c>
      <c r="C377" s="73">
        <f t="shared" si="134"/>
        <v>46538</v>
      </c>
      <c r="D377" s="67">
        <f t="shared" si="135"/>
        <v>31</v>
      </c>
      <c r="E377" s="67">
        <f t="shared" si="136"/>
        <v>5</v>
      </c>
      <c r="F377" s="74">
        <f t="shared" si="137"/>
        <v>46523.5</v>
      </c>
      <c r="G377" s="67">
        <f t="shared" si="138"/>
        <v>24328</v>
      </c>
      <c r="H377" s="75">
        <f t="shared" si="139"/>
        <v>1</v>
      </c>
      <c r="I377" s="76">
        <f t="shared" si="140"/>
        <v>1.0449999999999999</v>
      </c>
      <c r="J377" s="76">
        <f t="shared" si="141"/>
        <v>1.0449999999999999</v>
      </c>
      <c r="K377" s="67">
        <f t="shared" si="142"/>
        <v>0</v>
      </c>
      <c r="L377" s="67">
        <f t="shared" si="143"/>
        <v>0</v>
      </c>
      <c r="M377" s="77">
        <f t="shared" si="144"/>
        <v>0</v>
      </c>
      <c r="N377" s="76">
        <f t="shared" si="145"/>
        <v>1.0449999999999999</v>
      </c>
      <c r="O377" s="77">
        <f t="shared" si="146"/>
        <v>0.90751094091903728</v>
      </c>
      <c r="P377" s="76">
        <f t="shared" si="147"/>
        <v>0</v>
      </c>
      <c r="Q377" s="76">
        <f t="shared" si="148"/>
        <v>1</v>
      </c>
      <c r="R377" s="76">
        <f t="shared" si="149"/>
        <v>0</v>
      </c>
      <c r="S377" s="76">
        <f t="shared" si="150"/>
        <v>1.0308140578917324</v>
      </c>
      <c r="T377" s="76">
        <f t="shared" si="151"/>
        <v>0.98503573555687907</v>
      </c>
      <c r="U377" s="76">
        <f t="shared" si="152"/>
        <v>1.0449999999999999</v>
      </c>
    </row>
    <row r="378" spans="1:21" x14ac:dyDescent="0.25">
      <c r="A378" s="71">
        <v>30</v>
      </c>
      <c r="B378" s="72">
        <f t="shared" si="153"/>
        <v>46539</v>
      </c>
      <c r="C378" s="73">
        <f t="shared" si="134"/>
        <v>46568</v>
      </c>
      <c r="D378" s="67">
        <f t="shared" si="135"/>
        <v>30</v>
      </c>
      <c r="E378" s="67">
        <f t="shared" si="136"/>
        <v>6</v>
      </c>
      <c r="F378" s="74">
        <f t="shared" si="137"/>
        <v>46554</v>
      </c>
      <c r="G378" s="67">
        <f t="shared" si="138"/>
        <v>24329</v>
      </c>
      <c r="H378" s="75">
        <f t="shared" si="139"/>
        <v>1</v>
      </c>
      <c r="I378" s="76">
        <f t="shared" si="140"/>
        <v>1.0449999999999999</v>
      </c>
      <c r="J378" s="76">
        <f t="shared" si="141"/>
        <v>1.0868</v>
      </c>
      <c r="K378" s="67">
        <f t="shared" si="142"/>
        <v>1</v>
      </c>
      <c r="L378" s="67">
        <f t="shared" si="143"/>
        <v>30</v>
      </c>
      <c r="M378" s="77">
        <f t="shared" si="144"/>
        <v>1</v>
      </c>
      <c r="N378" s="76">
        <f t="shared" si="145"/>
        <v>1.0868</v>
      </c>
      <c r="O378" s="77">
        <f t="shared" si="146"/>
        <v>0.90717724288840262</v>
      </c>
      <c r="P378" s="76">
        <f t="shared" si="147"/>
        <v>0</v>
      </c>
      <c r="Q378" s="76">
        <f t="shared" si="148"/>
        <v>1</v>
      </c>
      <c r="R378" s="76">
        <f t="shared" si="149"/>
        <v>0</v>
      </c>
      <c r="S378" s="76">
        <f t="shared" si="150"/>
        <v>1.0716524212729521</v>
      </c>
      <c r="T378" s="76">
        <f t="shared" si="151"/>
        <v>1.0303114949374628</v>
      </c>
      <c r="U378" s="76">
        <f t="shared" si="152"/>
        <v>1.0868</v>
      </c>
    </row>
    <row r="379" spans="1:21" x14ac:dyDescent="0.25">
      <c r="A379" s="71">
        <v>31</v>
      </c>
      <c r="B379" s="72">
        <f t="shared" si="153"/>
        <v>46569</v>
      </c>
      <c r="C379" s="73">
        <f t="shared" si="134"/>
        <v>46599</v>
      </c>
      <c r="D379" s="67">
        <f t="shared" si="135"/>
        <v>31</v>
      </c>
      <c r="E379" s="67">
        <f t="shared" si="136"/>
        <v>7</v>
      </c>
      <c r="F379" s="74">
        <f t="shared" si="137"/>
        <v>46584.5</v>
      </c>
      <c r="G379" s="67">
        <f t="shared" si="138"/>
        <v>24330</v>
      </c>
      <c r="H379" s="75">
        <f t="shared" si="139"/>
        <v>1</v>
      </c>
      <c r="I379" s="76">
        <f t="shared" si="140"/>
        <v>1.0868</v>
      </c>
      <c r="J379" s="76">
        <f t="shared" si="141"/>
        <v>1.0868</v>
      </c>
      <c r="K379" s="67">
        <f t="shared" si="142"/>
        <v>0</v>
      </c>
      <c r="L379" s="67">
        <f t="shared" si="143"/>
        <v>0</v>
      </c>
      <c r="M379" s="77">
        <f t="shared" si="144"/>
        <v>0</v>
      </c>
      <c r="N379" s="76">
        <f t="shared" si="145"/>
        <v>1.0868</v>
      </c>
      <c r="O379" s="77">
        <f t="shared" si="146"/>
        <v>0.90684354485776808</v>
      </c>
      <c r="P379" s="76">
        <f t="shared" si="147"/>
        <v>0</v>
      </c>
      <c r="Q379" s="76">
        <f t="shared" si="148"/>
        <v>0.91666666666666663</v>
      </c>
      <c r="R379" s="76">
        <f t="shared" si="149"/>
        <v>8.333333333333337E-2</v>
      </c>
      <c r="S379" s="76">
        <f t="shared" si="150"/>
        <v>1.0712582223385025</v>
      </c>
      <c r="T379" s="76">
        <f t="shared" si="151"/>
        <v>1.0312606462179867</v>
      </c>
      <c r="U379" s="76">
        <f t="shared" si="152"/>
        <v>1.0868</v>
      </c>
    </row>
    <row r="380" spans="1:21" x14ac:dyDescent="0.25">
      <c r="A380" s="71">
        <v>32</v>
      </c>
      <c r="B380" s="72">
        <f t="shared" si="153"/>
        <v>46600</v>
      </c>
      <c r="C380" s="73">
        <f t="shared" si="134"/>
        <v>46630</v>
      </c>
      <c r="D380" s="67">
        <f t="shared" si="135"/>
        <v>31</v>
      </c>
      <c r="E380" s="67">
        <f t="shared" si="136"/>
        <v>8</v>
      </c>
      <c r="F380" s="74">
        <f t="shared" si="137"/>
        <v>46615.5</v>
      </c>
      <c r="G380" s="67">
        <f t="shared" si="138"/>
        <v>24331</v>
      </c>
      <c r="H380" s="75">
        <f t="shared" si="139"/>
        <v>1</v>
      </c>
      <c r="I380" s="76">
        <f t="shared" si="140"/>
        <v>1.0868</v>
      </c>
      <c r="J380" s="76">
        <f t="shared" si="141"/>
        <v>1.0868</v>
      </c>
      <c r="K380" s="67">
        <f t="shared" si="142"/>
        <v>0</v>
      </c>
      <c r="L380" s="67">
        <f t="shared" si="143"/>
        <v>0</v>
      </c>
      <c r="M380" s="77">
        <f t="shared" si="144"/>
        <v>0</v>
      </c>
      <c r="N380" s="76">
        <f t="shared" si="145"/>
        <v>1.0868</v>
      </c>
      <c r="O380" s="77">
        <f t="shared" si="146"/>
        <v>0.90650437636761494</v>
      </c>
      <c r="P380" s="76">
        <f t="shared" si="147"/>
        <v>0</v>
      </c>
      <c r="Q380" s="76">
        <f t="shared" si="148"/>
        <v>0.75</v>
      </c>
      <c r="R380" s="76">
        <f t="shared" si="149"/>
        <v>0.25</v>
      </c>
      <c r="S380" s="76">
        <f t="shared" si="150"/>
        <v>1.070857561126439</v>
      </c>
      <c r="T380" s="76">
        <f t="shared" si="151"/>
        <v>1.0322253573555686</v>
      </c>
      <c r="U380" s="76">
        <f t="shared" si="152"/>
        <v>1.0868</v>
      </c>
    </row>
    <row r="381" spans="1:21" x14ac:dyDescent="0.25">
      <c r="A381" s="71">
        <v>33</v>
      </c>
      <c r="B381" s="72">
        <f t="shared" si="153"/>
        <v>46631</v>
      </c>
      <c r="C381" s="73">
        <f t="shared" si="134"/>
        <v>46660</v>
      </c>
      <c r="D381" s="67">
        <f t="shared" si="135"/>
        <v>30</v>
      </c>
      <c r="E381" s="67">
        <f t="shared" si="136"/>
        <v>9</v>
      </c>
      <c r="F381" s="74">
        <f t="shared" si="137"/>
        <v>46646</v>
      </c>
      <c r="G381" s="67">
        <f t="shared" si="138"/>
        <v>24332</v>
      </c>
      <c r="H381" s="75">
        <f t="shared" si="139"/>
        <v>1</v>
      </c>
      <c r="I381" s="76">
        <f t="shared" si="140"/>
        <v>1.0868</v>
      </c>
      <c r="J381" s="76">
        <f t="shared" si="141"/>
        <v>1.0868</v>
      </c>
      <c r="K381" s="67">
        <f t="shared" si="142"/>
        <v>0</v>
      </c>
      <c r="L381" s="67">
        <f t="shared" si="143"/>
        <v>0</v>
      </c>
      <c r="M381" s="77">
        <f t="shared" si="144"/>
        <v>0</v>
      </c>
      <c r="N381" s="76">
        <f t="shared" si="145"/>
        <v>1.0868</v>
      </c>
      <c r="O381" s="77">
        <f t="shared" si="146"/>
        <v>0.90617067833698028</v>
      </c>
      <c r="P381" s="76">
        <f t="shared" si="147"/>
        <v>0</v>
      </c>
      <c r="Q381" s="76">
        <f t="shared" si="148"/>
        <v>0.58333333333333337</v>
      </c>
      <c r="R381" s="76">
        <f t="shared" si="149"/>
        <v>0.41666666666666663</v>
      </c>
      <c r="S381" s="76">
        <f t="shared" si="150"/>
        <v>1.0704633621919892</v>
      </c>
      <c r="T381" s="76">
        <f t="shared" si="151"/>
        <v>1.0331745086360928</v>
      </c>
      <c r="U381" s="76">
        <f t="shared" si="152"/>
        <v>1.0868</v>
      </c>
    </row>
    <row r="382" spans="1:21" x14ac:dyDescent="0.25">
      <c r="A382" s="71">
        <v>34</v>
      </c>
      <c r="B382" s="72">
        <f t="shared" si="153"/>
        <v>46661</v>
      </c>
      <c r="C382" s="73">
        <f t="shared" si="134"/>
        <v>46691</v>
      </c>
      <c r="D382" s="67">
        <f t="shared" si="135"/>
        <v>31</v>
      </c>
      <c r="E382" s="67">
        <f t="shared" si="136"/>
        <v>10</v>
      </c>
      <c r="F382" s="74">
        <f t="shared" si="137"/>
        <v>46676.5</v>
      </c>
      <c r="G382" s="67">
        <f t="shared" si="138"/>
        <v>24333</v>
      </c>
      <c r="H382" s="75">
        <f t="shared" si="139"/>
        <v>1</v>
      </c>
      <c r="I382" s="76">
        <f t="shared" si="140"/>
        <v>1.0868</v>
      </c>
      <c r="J382" s="76">
        <f t="shared" si="141"/>
        <v>1.0868</v>
      </c>
      <c r="K382" s="67">
        <f t="shared" si="142"/>
        <v>0</v>
      </c>
      <c r="L382" s="67">
        <f t="shared" si="143"/>
        <v>0</v>
      </c>
      <c r="M382" s="77">
        <f t="shared" si="144"/>
        <v>0</v>
      </c>
      <c r="N382" s="76">
        <f t="shared" si="145"/>
        <v>1.0868</v>
      </c>
      <c r="O382" s="77">
        <f t="shared" si="146"/>
        <v>0.90583698030634574</v>
      </c>
      <c r="P382" s="76">
        <f t="shared" si="147"/>
        <v>0</v>
      </c>
      <c r="Q382" s="76">
        <f t="shared" si="148"/>
        <v>0.41666666666666669</v>
      </c>
      <c r="R382" s="76">
        <f t="shared" si="149"/>
        <v>0.58333333333333326</v>
      </c>
      <c r="S382" s="76">
        <f t="shared" si="150"/>
        <v>1.0700691632575396</v>
      </c>
      <c r="T382" s="76">
        <f t="shared" si="151"/>
        <v>1.0334486787651032</v>
      </c>
      <c r="U382" s="76">
        <f t="shared" si="152"/>
        <v>1.0868</v>
      </c>
    </row>
    <row r="383" spans="1:21" x14ac:dyDescent="0.25">
      <c r="A383" s="71">
        <v>35</v>
      </c>
      <c r="B383" s="72">
        <f t="shared" si="153"/>
        <v>46692</v>
      </c>
      <c r="C383" s="73">
        <f t="shared" si="134"/>
        <v>46721</v>
      </c>
      <c r="D383" s="67">
        <f t="shared" si="135"/>
        <v>30</v>
      </c>
      <c r="E383" s="67">
        <f t="shared" si="136"/>
        <v>11</v>
      </c>
      <c r="F383" s="74">
        <f t="shared" si="137"/>
        <v>46707</v>
      </c>
      <c r="G383" s="67">
        <f t="shared" si="138"/>
        <v>24334</v>
      </c>
      <c r="H383" s="75">
        <f t="shared" si="139"/>
        <v>1</v>
      </c>
      <c r="I383" s="76">
        <f t="shared" si="140"/>
        <v>1.0868</v>
      </c>
      <c r="J383" s="76">
        <f t="shared" si="141"/>
        <v>1.0868</v>
      </c>
      <c r="K383" s="67">
        <f t="shared" si="142"/>
        <v>0</v>
      </c>
      <c r="L383" s="67">
        <f t="shared" si="143"/>
        <v>0</v>
      </c>
      <c r="M383" s="77">
        <f t="shared" si="144"/>
        <v>0</v>
      </c>
      <c r="N383" s="76">
        <f t="shared" si="145"/>
        <v>1.0868</v>
      </c>
      <c r="O383" s="77">
        <f t="shared" si="146"/>
        <v>0.9055032822757112</v>
      </c>
      <c r="P383" s="76">
        <f t="shared" si="147"/>
        <v>0</v>
      </c>
      <c r="Q383" s="76">
        <f t="shared" si="148"/>
        <v>0.25</v>
      </c>
      <c r="R383" s="76">
        <f t="shared" si="149"/>
        <v>0.75</v>
      </c>
      <c r="S383" s="76">
        <f t="shared" si="150"/>
        <v>1.0696749643230901</v>
      </c>
      <c r="T383" s="76">
        <f t="shared" si="151"/>
        <v>1.0330696413281324</v>
      </c>
      <c r="U383" s="76">
        <f t="shared" si="152"/>
        <v>1.0868</v>
      </c>
    </row>
    <row r="384" spans="1:21" x14ac:dyDescent="0.25">
      <c r="A384" s="71">
        <v>36</v>
      </c>
      <c r="B384" s="72">
        <f t="shared" si="153"/>
        <v>46722</v>
      </c>
      <c r="C384" s="73">
        <f t="shared" si="134"/>
        <v>46752</v>
      </c>
      <c r="D384" s="67">
        <f t="shared" si="135"/>
        <v>31</v>
      </c>
      <c r="E384" s="67">
        <f t="shared" si="136"/>
        <v>12</v>
      </c>
      <c r="F384" s="74">
        <f t="shared" si="137"/>
        <v>46737.5</v>
      </c>
      <c r="G384" s="67">
        <f t="shared" si="138"/>
        <v>24335</v>
      </c>
      <c r="H384" s="75">
        <f t="shared" si="139"/>
        <v>1</v>
      </c>
      <c r="I384" s="76">
        <f t="shared" si="140"/>
        <v>1.0868</v>
      </c>
      <c r="J384" s="76">
        <f t="shared" si="141"/>
        <v>1.0868</v>
      </c>
      <c r="K384" s="67">
        <f t="shared" si="142"/>
        <v>0</v>
      </c>
      <c r="L384" s="67">
        <f t="shared" si="143"/>
        <v>0</v>
      </c>
      <c r="M384" s="77">
        <f t="shared" si="144"/>
        <v>0</v>
      </c>
      <c r="N384" s="76">
        <f t="shared" si="145"/>
        <v>1.0868</v>
      </c>
      <c r="O384" s="77">
        <f t="shared" si="146"/>
        <v>0.90516958424507665</v>
      </c>
      <c r="P384" s="76">
        <f t="shared" si="147"/>
        <v>0</v>
      </c>
      <c r="Q384" s="76">
        <f t="shared" si="148"/>
        <v>8.3333333333333329E-2</v>
      </c>
      <c r="R384" s="76">
        <f t="shared" si="149"/>
        <v>0.91666666666666663</v>
      </c>
      <c r="S384" s="76">
        <f t="shared" si="150"/>
        <v>1.0692807653886405</v>
      </c>
      <c r="T384" s="76">
        <f t="shared" si="151"/>
        <v>1.0326906038911616</v>
      </c>
      <c r="U384" s="76">
        <f t="shared" si="152"/>
        <v>1.0868</v>
      </c>
    </row>
    <row r="385" spans="1:21" x14ac:dyDescent="0.25">
      <c r="A385" s="71">
        <v>37</v>
      </c>
      <c r="B385" s="72">
        <f t="shared" si="153"/>
        <v>46753</v>
      </c>
      <c r="C385" s="73">
        <f t="shared" si="134"/>
        <v>46783</v>
      </c>
      <c r="D385" s="67">
        <f t="shared" si="135"/>
        <v>31</v>
      </c>
      <c r="E385" s="67">
        <f t="shared" si="136"/>
        <v>1</v>
      </c>
      <c r="F385" s="74">
        <f t="shared" si="137"/>
        <v>46768.5</v>
      </c>
      <c r="G385" s="67">
        <f t="shared" si="138"/>
        <v>24336</v>
      </c>
      <c r="H385" s="75">
        <f t="shared" si="139"/>
        <v>1</v>
      </c>
      <c r="I385" s="76">
        <f t="shared" si="140"/>
        <v>1.0868</v>
      </c>
      <c r="J385" s="76">
        <f t="shared" si="141"/>
        <v>1.0868</v>
      </c>
      <c r="K385" s="67">
        <f t="shared" si="142"/>
        <v>0</v>
      </c>
      <c r="L385" s="67">
        <f t="shared" si="143"/>
        <v>0</v>
      </c>
      <c r="M385" s="77">
        <f t="shared" si="144"/>
        <v>0</v>
      </c>
      <c r="N385" s="76">
        <f t="shared" si="145"/>
        <v>1.0868</v>
      </c>
      <c r="O385" s="77">
        <f t="shared" si="146"/>
        <v>0.90521174863387976</v>
      </c>
      <c r="P385" s="76">
        <f t="shared" si="147"/>
        <v>0</v>
      </c>
      <c r="Q385" s="76">
        <f t="shared" si="148"/>
        <v>0</v>
      </c>
      <c r="R385" s="76">
        <f t="shared" si="149"/>
        <v>1</v>
      </c>
      <c r="S385" s="76">
        <f t="shared" si="150"/>
        <v>1.069330574364457</v>
      </c>
      <c r="T385" s="76">
        <f t="shared" si="151"/>
        <v>0.98146217986896966</v>
      </c>
      <c r="U385" s="76">
        <f t="shared" si="152"/>
        <v>1.0868</v>
      </c>
    </row>
    <row r="386" spans="1:21" x14ac:dyDescent="0.25">
      <c r="A386" s="71">
        <v>38</v>
      </c>
      <c r="B386" s="72">
        <f t="shared" si="153"/>
        <v>46784</v>
      </c>
      <c r="C386" s="73">
        <f t="shared" si="134"/>
        <v>46812</v>
      </c>
      <c r="D386" s="67">
        <f t="shared" si="135"/>
        <v>29</v>
      </c>
      <c r="E386" s="67">
        <f t="shared" si="136"/>
        <v>2</v>
      </c>
      <c r="F386" s="74">
        <f t="shared" si="137"/>
        <v>46798.5</v>
      </c>
      <c r="G386" s="67">
        <f t="shared" si="138"/>
        <v>24337</v>
      </c>
      <c r="H386" s="75">
        <f t="shared" si="139"/>
        <v>1</v>
      </c>
      <c r="I386" s="76">
        <f t="shared" si="140"/>
        <v>1.0868</v>
      </c>
      <c r="J386" s="76">
        <f t="shared" si="141"/>
        <v>1.0868</v>
      </c>
      <c r="K386" s="67">
        <f t="shared" si="142"/>
        <v>0</v>
      </c>
      <c r="L386" s="67">
        <f t="shared" si="143"/>
        <v>0</v>
      </c>
      <c r="M386" s="77">
        <f t="shared" si="144"/>
        <v>0</v>
      </c>
      <c r="N386" s="76">
        <f t="shared" si="145"/>
        <v>1.0868</v>
      </c>
      <c r="O386" s="77">
        <f t="shared" si="146"/>
        <v>0.90562158469945353</v>
      </c>
      <c r="P386" s="76">
        <f t="shared" si="147"/>
        <v>0</v>
      </c>
      <c r="Q386" s="76">
        <f t="shared" si="148"/>
        <v>0</v>
      </c>
      <c r="R386" s="76">
        <f t="shared" si="149"/>
        <v>1</v>
      </c>
      <c r="S386" s="76">
        <f t="shared" si="150"/>
        <v>1.0698147154906152</v>
      </c>
      <c r="T386" s="76">
        <f t="shared" si="151"/>
        <v>0.98234067897558064</v>
      </c>
      <c r="U386" s="76">
        <f t="shared" si="152"/>
        <v>1.0868</v>
      </c>
    </row>
    <row r="387" spans="1:21" x14ac:dyDescent="0.25">
      <c r="A387" s="71">
        <v>39</v>
      </c>
      <c r="B387" s="72">
        <f t="shared" si="153"/>
        <v>46813</v>
      </c>
      <c r="C387" s="73">
        <f t="shared" si="134"/>
        <v>46843</v>
      </c>
      <c r="D387" s="67">
        <f t="shared" si="135"/>
        <v>31</v>
      </c>
      <c r="E387" s="67">
        <f t="shared" si="136"/>
        <v>3</v>
      </c>
      <c r="F387" s="74">
        <f t="shared" si="137"/>
        <v>46828.5</v>
      </c>
      <c r="G387" s="67">
        <f t="shared" si="138"/>
        <v>24338</v>
      </c>
      <c r="H387" s="75">
        <f t="shared" si="139"/>
        <v>1</v>
      </c>
      <c r="I387" s="76">
        <f t="shared" si="140"/>
        <v>1.0868</v>
      </c>
      <c r="J387" s="76">
        <f t="shared" si="141"/>
        <v>1.0868</v>
      </c>
      <c r="K387" s="67">
        <f t="shared" si="142"/>
        <v>0</v>
      </c>
      <c r="L387" s="67">
        <f t="shared" si="143"/>
        <v>0</v>
      </c>
      <c r="M387" s="77">
        <f t="shared" si="144"/>
        <v>0</v>
      </c>
      <c r="N387" s="76">
        <f t="shared" si="145"/>
        <v>1.0868</v>
      </c>
      <c r="O387" s="77">
        <f t="shared" si="146"/>
        <v>0.9060314207650273</v>
      </c>
      <c r="P387" s="76">
        <f t="shared" si="147"/>
        <v>0</v>
      </c>
      <c r="Q387" s="76">
        <f t="shared" si="148"/>
        <v>0</v>
      </c>
      <c r="R387" s="76">
        <f t="shared" si="149"/>
        <v>1</v>
      </c>
      <c r="S387" s="76">
        <f t="shared" si="150"/>
        <v>1.0702988566167735</v>
      </c>
      <c r="T387" s="76">
        <f t="shared" si="151"/>
        <v>0.98321917808219172</v>
      </c>
      <c r="U387" s="76">
        <f t="shared" si="152"/>
        <v>1.0868</v>
      </c>
    </row>
    <row r="388" spans="1:21" x14ac:dyDescent="0.25">
      <c r="A388" s="71">
        <v>40</v>
      </c>
      <c r="B388" s="72">
        <f t="shared" si="153"/>
        <v>46844</v>
      </c>
      <c r="C388" s="73">
        <f t="shared" si="134"/>
        <v>46873</v>
      </c>
      <c r="D388" s="67">
        <f t="shared" si="135"/>
        <v>30</v>
      </c>
      <c r="E388" s="67">
        <f t="shared" si="136"/>
        <v>4</v>
      </c>
      <c r="F388" s="74">
        <f t="shared" si="137"/>
        <v>46859</v>
      </c>
      <c r="G388" s="67">
        <f t="shared" si="138"/>
        <v>24339</v>
      </c>
      <c r="H388" s="75">
        <f t="shared" si="139"/>
        <v>1</v>
      </c>
      <c r="I388" s="76">
        <f t="shared" si="140"/>
        <v>1.0868</v>
      </c>
      <c r="J388" s="76">
        <f t="shared" si="141"/>
        <v>1.0868</v>
      </c>
      <c r="K388" s="67">
        <f t="shared" si="142"/>
        <v>0</v>
      </c>
      <c r="L388" s="67">
        <f t="shared" si="143"/>
        <v>0</v>
      </c>
      <c r="M388" s="77">
        <f t="shared" si="144"/>
        <v>0</v>
      </c>
      <c r="N388" s="76">
        <f t="shared" si="145"/>
        <v>1.0868</v>
      </c>
      <c r="O388" s="77">
        <f t="shared" si="146"/>
        <v>0.90644808743169403</v>
      </c>
      <c r="P388" s="76">
        <f t="shared" si="147"/>
        <v>0</v>
      </c>
      <c r="Q388" s="76">
        <f t="shared" si="148"/>
        <v>0</v>
      </c>
      <c r="R388" s="76">
        <f t="shared" si="149"/>
        <v>1</v>
      </c>
      <c r="S388" s="76">
        <f t="shared" si="150"/>
        <v>1.0707910667617011</v>
      </c>
      <c r="T388" s="76">
        <f t="shared" si="151"/>
        <v>0.9841274568195354</v>
      </c>
      <c r="U388" s="76">
        <f t="shared" si="152"/>
        <v>1.0868</v>
      </c>
    </row>
    <row r="389" spans="1:21" x14ac:dyDescent="0.25">
      <c r="A389" s="71">
        <v>41</v>
      </c>
      <c r="B389" s="72">
        <f t="shared" si="153"/>
        <v>46874</v>
      </c>
      <c r="C389" s="73">
        <f t="shared" si="134"/>
        <v>46904</v>
      </c>
      <c r="D389" s="67">
        <f t="shared" si="135"/>
        <v>31</v>
      </c>
      <c r="E389" s="67">
        <f t="shared" si="136"/>
        <v>5</v>
      </c>
      <c r="F389" s="74">
        <f t="shared" si="137"/>
        <v>46889.5</v>
      </c>
      <c r="G389" s="67">
        <f t="shared" si="138"/>
        <v>24340</v>
      </c>
      <c r="H389" s="75">
        <f t="shared" si="139"/>
        <v>1</v>
      </c>
      <c r="I389" s="76">
        <f t="shared" si="140"/>
        <v>1.0868</v>
      </c>
      <c r="J389" s="76">
        <f t="shared" si="141"/>
        <v>1.0868</v>
      </c>
      <c r="K389" s="67">
        <f t="shared" si="142"/>
        <v>0</v>
      </c>
      <c r="L389" s="67">
        <f t="shared" si="143"/>
        <v>0</v>
      </c>
      <c r="M389" s="77">
        <f t="shared" si="144"/>
        <v>0</v>
      </c>
      <c r="N389" s="76">
        <f t="shared" si="145"/>
        <v>1.0868</v>
      </c>
      <c r="O389" s="77">
        <f t="shared" si="146"/>
        <v>0.90686475409836065</v>
      </c>
      <c r="P389" s="76">
        <f t="shared" si="147"/>
        <v>0</v>
      </c>
      <c r="Q389" s="76">
        <f t="shared" si="148"/>
        <v>0</v>
      </c>
      <c r="R389" s="76">
        <f t="shared" si="149"/>
        <v>1</v>
      </c>
      <c r="S389" s="76">
        <f t="shared" si="150"/>
        <v>1.0712832769066285</v>
      </c>
      <c r="T389" s="76">
        <f t="shared" si="151"/>
        <v>0.98503573555687907</v>
      </c>
      <c r="U389" s="76">
        <f t="shared" si="152"/>
        <v>1.0868</v>
      </c>
    </row>
    <row r="390" spans="1:21" x14ac:dyDescent="0.25">
      <c r="A390" s="71">
        <v>42</v>
      </c>
      <c r="B390" s="72">
        <f t="shared" si="153"/>
        <v>46905</v>
      </c>
      <c r="C390" s="73">
        <f t="shared" si="134"/>
        <v>46934</v>
      </c>
      <c r="D390" s="67">
        <f t="shared" si="135"/>
        <v>30</v>
      </c>
      <c r="E390" s="67">
        <f t="shared" si="136"/>
        <v>6</v>
      </c>
      <c r="F390" s="74">
        <f t="shared" si="137"/>
        <v>46920</v>
      </c>
      <c r="G390" s="67">
        <f t="shared" si="138"/>
        <v>24341</v>
      </c>
      <c r="H390" s="75">
        <f t="shared" si="139"/>
        <v>1</v>
      </c>
      <c r="I390" s="76">
        <f t="shared" si="140"/>
        <v>1.0868</v>
      </c>
      <c r="J390" s="76">
        <f t="shared" si="141"/>
        <v>1.0868</v>
      </c>
      <c r="K390" s="67">
        <f t="shared" si="142"/>
        <v>0</v>
      </c>
      <c r="L390" s="67">
        <f t="shared" si="143"/>
        <v>0</v>
      </c>
      <c r="M390" s="77">
        <f t="shared" si="144"/>
        <v>0</v>
      </c>
      <c r="N390" s="76">
        <f t="shared" si="145"/>
        <v>1.0868</v>
      </c>
      <c r="O390" s="77">
        <f t="shared" si="146"/>
        <v>0.90728142076502738</v>
      </c>
      <c r="P390" s="76">
        <f t="shared" si="147"/>
        <v>0</v>
      </c>
      <c r="Q390" s="76">
        <f t="shared" si="148"/>
        <v>0</v>
      </c>
      <c r="R390" s="76">
        <f t="shared" si="149"/>
        <v>1</v>
      </c>
      <c r="S390" s="76">
        <f t="shared" si="150"/>
        <v>1.0717754870515561</v>
      </c>
      <c r="T390" s="76">
        <f t="shared" si="151"/>
        <v>1.0303114949374628</v>
      </c>
      <c r="U390" s="76">
        <f t="shared" si="152"/>
        <v>1.0868</v>
      </c>
    </row>
    <row r="391" spans="1:21" x14ac:dyDescent="0.25">
      <c r="A391" s="71">
        <v>43</v>
      </c>
      <c r="B391" s="72">
        <f t="shared" si="153"/>
        <v>46935</v>
      </c>
      <c r="C391" s="73">
        <f t="shared" si="134"/>
        <v>46965</v>
      </c>
      <c r="D391" s="67">
        <f t="shared" si="135"/>
        <v>31</v>
      </c>
      <c r="E391" s="67">
        <f t="shared" si="136"/>
        <v>7</v>
      </c>
      <c r="F391" s="74">
        <f t="shared" si="137"/>
        <v>46950.5</v>
      </c>
      <c r="G391" s="67">
        <f t="shared" si="138"/>
        <v>24342</v>
      </c>
      <c r="H391" s="75">
        <f t="shared" si="139"/>
        <v>1</v>
      </c>
      <c r="I391" s="76">
        <f t="shared" si="140"/>
        <v>1.0868</v>
      </c>
      <c r="J391" s="76">
        <f t="shared" si="141"/>
        <v>1.0868</v>
      </c>
      <c r="K391" s="67">
        <f t="shared" si="142"/>
        <v>0</v>
      </c>
      <c r="L391" s="67">
        <f t="shared" si="143"/>
        <v>0</v>
      </c>
      <c r="M391" s="77">
        <f t="shared" si="144"/>
        <v>0</v>
      </c>
      <c r="N391" s="76">
        <f t="shared" si="145"/>
        <v>1.0868</v>
      </c>
      <c r="O391" s="77">
        <f t="shared" si="146"/>
        <v>0.907698087431694</v>
      </c>
      <c r="P391" s="76">
        <f t="shared" si="147"/>
        <v>0</v>
      </c>
      <c r="Q391" s="76">
        <f t="shared" si="148"/>
        <v>0</v>
      </c>
      <c r="R391" s="76">
        <f t="shared" si="149"/>
        <v>0.91666666666666663</v>
      </c>
      <c r="S391" s="76">
        <f t="shared" si="150"/>
        <v>1.0722676971964837</v>
      </c>
      <c r="T391" s="76">
        <f t="shared" si="151"/>
        <v>1.0312606462179867</v>
      </c>
      <c r="U391" s="76">
        <f t="shared" si="152"/>
        <v>1.0868</v>
      </c>
    </row>
    <row r="392" spans="1:21" x14ac:dyDescent="0.25">
      <c r="A392" s="71">
        <v>44</v>
      </c>
      <c r="B392" s="72">
        <f t="shared" si="153"/>
        <v>46966</v>
      </c>
      <c r="C392" s="73">
        <f t="shared" si="134"/>
        <v>46996</v>
      </c>
      <c r="D392" s="67">
        <f t="shared" si="135"/>
        <v>31</v>
      </c>
      <c r="E392" s="67">
        <f t="shared" si="136"/>
        <v>8</v>
      </c>
      <c r="F392" s="74">
        <f t="shared" si="137"/>
        <v>46981.5</v>
      </c>
      <c r="G392" s="67">
        <f t="shared" si="138"/>
        <v>24343</v>
      </c>
      <c r="H392" s="75">
        <f t="shared" si="139"/>
        <v>1</v>
      </c>
      <c r="I392" s="76">
        <f t="shared" si="140"/>
        <v>1.0868</v>
      </c>
      <c r="J392" s="76">
        <f t="shared" si="141"/>
        <v>1.0868</v>
      </c>
      <c r="K392" s="67">
        <f t="shared" si="142"/>
        <v>0</v>
      </c>
      <c r="L392" s="67">
        <f t="shared" si="143"/>
        <v>0</v>
      </c>
      <c r="M392" s="77">
        <f t="shared" si="144"/>
        <v>0</v>
      </c>
      <c r="N392" s="76">
        <f t="shared" si="145"/>
        <v>1.0868</v>
      </c>
      <c r="O392" s="77">
        <f t="shared" si="146"/>
        <v>0.90812158469945359</v>
      </c>
      <c r="P392" s="76">
        <f t="shared" si="147"/>
        <v>0</v>
      </c>
      <c r="Q392" s="76">
        <f t="shared" si="148"/>
        <v>0</v>
      </c>
      <c r="R392" s="76">
        <f t="shared" si="149"/>
        <v>0.75</v>
      </c>
      <c r="S392" s="76">
        <f t="shared" si="150"/>
        <v>1.0727679763601805</v>
      </c>
      <c r="T392" s="76">
        <f t="shared" si="151"/>
        <v>1.0322253573555686</v>
      </c>
      <c r="U392" s="76">
        <f t="shared" si="152"/>
        <v>1.0868</v>
      </c>
    </row>
    <row r="393" spans="1:21" x14ac:dyDescent="0.25">
      <c r="A393" s="71">
        <v>45</v>
      </c>
      <c r="B393" s="72">
        <f t="shared" si="153"/>
        <v>46997</v>
      </c>
      <c r="C393" s="73">
        <f t="shared" si="134"/>
        <v>47026</v>
      </c>
      <c r="D393" s="67">
        <f t="shared" si="135"/>
        <v>30</v>
      </c>
      <c r="E393" s="67">
        <f t="shared" si="136"/>
        <v>9</v>
      </c>
      <c r="F393" s="74">
        <f t="shared" si="137"/>
        <v>47012</v>
      </c>
      <c r="G393" s="67">
        <f t="shared" si="138"/>
        <v>24344</v>
      </c>
      <c r="H393" s="75">
        <f t="shared" si="139"/>
        <v>1</v>
      </c>
      <c r="I393" s="76">
        <f t="shared" si="140"/>
        <v>1.0868</v>
      </c>
      <c r="J393" s="76">
        <f t="shared" si="141"/>
        <v>1.0868</v>
      </c>
      <c r="K393" s="67">
        <f t="shared" si="142"/>
        <v>0</v>
      </c>
      <c r="L393" s="67">
        <f t="shared" si="143"/>
        <v>0</v>
      </c>
      <c r="M393" s="77">
        <f t="shared" si="144"/>
        <v>0</v>
      </c>
      <c r="N393" s="76">
        <f t="shared" si="145"/>
        <v>1.0868</v>
      </c>
      <c r="O393" s="77">
        <f t="shared" si="146"/>
        <v>0.90853825136612021</v>
      </c>
      <c r="P393" s="76">
        <f t="shared" si="147"/>
        <v>0</v>
      </c>
      <c r="Q393" s="76">
        <f t="shared" si="148"/>
        <v>0</v>
      </c>
      <c r="R393" s="76">
        <f t="shared" si="149"/>
        <v>0.58333333333333337</v>
      </c>
      <c r="S393" s="76">
        <f t="shared" si="150"/>
        <v>1.0732601865051081</v>
      </c>
      <c r="T393" s="76">
        <f t="shared" si="151"/>
        <v>1.0331745086360928</v>
      </c>
      <c r="U393" s="76">
        <f t="shared" si="152"/>
        <v>1.0868</v>
      </c>
    </row>
    <row r="394" spans="1:21" x14ac:dyDescent="0.25">
      <c r="A394" s="71">
        <v>46</v>
      </c>
      <c r="B394" s="72">
        <f t="shared" si="153"/>
        <v>47027</v>
      </c>
      <c r="C394" s="73">
        <f t="shared" si="134"/>
        <v>47057</v>
      </c>
      <c r="D394" s="67">
        <f t="shared" si="135"/>
        <v>31</v>
      </c>
      <c r="E394" s="67">
        <f t="shared" si="136"/>
        <v>10</v>
      </c>
      <c r="F394" s="74">
        <f t="shared" si="137"/>
        <v>47042.5</v>
      </c>
      <c r="G394" s="67">
        <f t="shared" si="138"/>
        <v>24345</v>
      </c>
      <c r="H394" s="75">
        <f t="shared" si="139"/>
        <v>1</v>
      </c>
      <c r="I394" s="76">
        <f t="shared" si="140"/>
        <v>1.0868</v>
      </c>
      <c r="J394" s="76">
        <f t="shared" si="141"/>
        <v>1.0868</v>
      </c>
      <c r="K394" s="67">
        <f t="shared" si="142"/>
        <v>0</v>
      </c>
      <c r="L394" s="67">
        <f t="shared" si="143"/>
        <v>0</v>
      </c>
      <c r="M394" s="77">
        <f t="shared" si="144"/>
        <v>0</v>
      </c>
      <c r="N394" s="76">
        <f t="shared" si="145"/>
        <v>1.0868</v>
      </c>
      <c r="O394" s="77">
        <f t="shared" si="146"/>
        <v>0.90895491803278694</v>
      </c>
      <c r="P394" s="76">
        <f t="shared" si="147"/>
        <v>0</v>
      </c>
      <c r="Q394" s="76">
        <f t="shared" si="148"/>
        <v>0</v>
      </c>
      <c r="R394" s="76">
        <f t="shared" si="149"/>
        <v>0.41666666666666669</v>
      </c>
      <c r="S394" s="76">
        <f t="shared" si="150"/>
        <v>1.0737523966500357</v>
      </c>
      <c r="T394" s="76">
        <f t="shared" si="151"/>
        <v>1.0334486787651032</v>
      </c>
      <c r="U394" s="76">
        <f t="shared" si="152"/>
        <v>1.0868</v>
      </c>
    </row>
    <row r="395" spans="1:21" x14ac:dyDescent="0.25">
      <c r="A395" s="71">
        <v>47</v>
      </c>
      <c r="B395" s="72">
        <f t="shared" si="153"/>
        <v>47058</v>
      </c>
      <c r="C395" s="73">
        <f t="shared" si="134"/>
        <v>47087</v>
      </c>
      <c r="D395" s="67">
        <f t="shared" si="135"/>
        <v>30</v>
      </c>
      <c r="E395" s="67">
        <f t="shared" si="136"/>
        <v>11</v>
      </c>
      <c r="F395" s="74">
        <f t="shared" si="137"/>
        <v>47073</v>
      </c>
      <c r="G395" s="67">
        <f t="shared" si="138"/>
        <v>24346</v>
      </c>
      <c r="H395" s="75">
        <f t="shared" si="139"/>
        <v>1</v>
      </c>
      <c r="I395" s="76">
        <f t="shared" si="140"/>
        <v>1.0868</v>
      </c>
      <c r="J395" s="76">
        <f t="shared" si="141"/>
        <v>1.0868</v>
      </c>
      <c r="K395" s="67">
        <f t="shared" si="142"/>
        <v>0</v>
      </c>
      <c r="L395" s="67">
        <f t="shared" si="143"/>
        <v>0</v>
      </c>
      <c r="M395" s="77">
        <f t="shared" si="144"/>
        <v>0</v>
      </c>
      <c r="N395" s="76">
        <f t="shared" si="145"/>
        <v>1.0868</v>
      </c>
      <c r="O395" s="77">
        <f t="shared" si="146"/>
        <v>0.90937158469945356</v>
      </c>
      <c r="P395" s="76">
        <f t="shared" si="147"/>
        <v>0</v>
      </c>
      <c r="Q395" s="76">
        <f t="shared" si="148"/>
        <v>0</v>
      </c>
      <c r="R395" s="76">
        <f t="shared" si="149"/>
        <v>0.25</v>
      </c>
      <c r="S395" s="76">
        <f t="shared" si="150"/>
        <v>1.0742446067949631</v>
      </c>
      <c r="T395" s="76">
        <f t="shared" si="151"/>
        <v>1.0330696413281324</v>
      </c>
      <c r="U395" s="76">
        <f t="shared" si="152"/>
        <v>1.0868</v>
      </c>
    </row>
    <row r="396" spans="1:21" x14ac:dyDescent="0.25">
      <c r="A396" s="71">
        <v>48</v>
      </c>
      <c r="B396" s="72">
        <f t="shared" si="153"/>
        <v>47088</v>
      </c>
      <c r="C396" s="73">
        <f t="shared" si="134"/>
        <v>47118</v>
      </c>
      <c r="D396" s="67">
        <f t="shared" si="135"/>
        <v>31</v>
      </c>
      <c r="E396" s="67">
        <f t="shared" si="136"/>
        <v>12</v>
      </c>
      <c r="F396" s="74">
        <f t="shared" si="137"/>
        <v>47103.5</v>
      </c>
      <c r="G396" s="67">
        <f t="shared" si="138"/>
        <v>24347</v>
      </c>
      <c r="H396" s="75">
        <f t="shared" si="139"/>
        <v>1</v>
      </c>
      <c r="I396" s="76">
        <f t="shared" si="140"/>
        <v>1.0868</v>
      </c>
      <c r="J396" s="76">
        <f t="shared" si="141"/>
        <v>1.0868</v>
      </c>
      <c r="K396" s="67">
        <f t="shared" si="142"/>
        <v>0</v>
      </c>
      <c r="L396" s="67">
        <f t="shared" si="143"/>
        <v>0</v>
      </c>
      <c r="M396" s="77">
        <f t="shared" si="144"/>
        <v>0</v>
      </c>
      <c r="N396" s="76">
        <f t="shared" si="145"/>
        <v>1.0868</v>
      </c>
      <c r="O396" s="77">
        <f t="shared" si="146"/>
        <v>0.90978825136612029</v>
      </c>
      <c r="P396" s="76">
        <f t="shared" si="147"/>
        <v>0</v>
      </c>
      <c r="Q396" s="76">
        <f t="shared" si="148"/>
        <v>0</v>
      </c>
      <c r="R396" s="76">
        <f t="shared" si="149"/>
        <v>8.3333333333333329E-2</v>
      </c>
      <c r="S396" s="76">
        <f t="shared" si="150"/>
        <v>1.0747368169398908</v>
      </c>
      <c r="T396" s="76">
        <f t="shared" si="151"/>
        <v>1.0326906038911616</v>
      </c>
      <c r="U396" s="76">
        <f t="shared" si="152"/>
        <v>1.0868</v>
      </c>
    </row>
    <row r="397" spans="1:21" x14ac:dyDescent="0.25">
      <c r="A397" s="81" t="s">
        <v>1187</v>
      </c>
      <c r="B397" s="53">
        <f>EXP(SUMPRODUCT((rl_key=$A$346)*(rl_cons="Y")*rl_ln1p))</f>
        <v>1.0449999999999999</v>
      </c>
      <c r="C397" s="53">
        <f>SUMPRODUCT($H$349:$H$396,$P$349:$P$396,$U$349:$U$396)/SUMPRODUCT($H$349:$H$396,$P$349:$P$396)</f>
        <v>1.0149999999999999</v>
      </c>
      <c r="D397" s="53">
        <f>SUMPRODUCT($H$349:$H$396,$Q$349:$Q$396,$U$349:$U$396)/SUMPRODUCT($H$349:$H$396,$Q$349:$Q$396)</f>
        <v>1.0589333333333328</v>
      </c>
      <c r="E397" s="53">
        <f>SUMPRODUCT($H$349:$H$396,$R$349:$R$396,$U$349:$U$396)/SUMPRODUCT($H$349:$H$396,$R$349:$R$396)</f>
        <v>1.0867999999999995</v>
      </c>
      <c r="F397" s="172">
        <f>SUMPRODUCT($H$349:$H$396,$Q$349:$Q$396,$O$349:$O$396)/SUMPRODUCT($H$349:$H$396,$Q$349:$Q$396)</f>
        <v>0.90792706178871529</v>
      </c>
      <c r="G397" s="172">
        <f>SUMPRODUCT($H$349:$H$396,$R$349:$R$396,$O$349:$O$396)/SUMPRODUCT($H$349:$H$396,$R$349:$R$396)</f>
        <v>0.90662632410363519</v>
      </c>
    </row>
    <row r="400" spans="1:21" x14ac:dyDescent="0.25">
      <c r="A400" s="81" t="str">
        <f>INDEX(lr_key,7)</f>
        <v>BU-A|IL</v>
      </c>
      <c r="B400" s="81" t="str">
        <f>INDEX(lr_state,7)</f>
        <v>IL</v>
      </c>
      <c r="C400" s="55">
        <f>nr_TermMonths</f>
        <v>6</v>
      </c>
      <c r="D400" s="55">
        <f>IF(COUNTIF(se_state,$B400)=0,0,MATCH($B400,se_state,0))</f>
        <v>1</v>
      </c>
      <c r="E400" s="57">
        <f>IF($D400=0,0,INDEX(se_sum,$D400))</f>
        <v>11.999999999999998</v>
      </c>
      <c r="F400" s="172">
        <f>IF(N(INDEX(lr_mind,7))=0,1,INDEX(lr_mind,7))</f>
        <v>0.92</v>
      </c>
      <c r="G400" s="172">
        <f>IF(N(INDEX(lr_m0,7))=0,1,INDEX(lr_m0,7))</f>
        <v>0.91</v>
      </c>
      <c r="H400" s="54">
        <f>IF(N(INDEX(lr_m0asof,7))=0,DATE(nr_PlanYear-1,10,1),INDEX(lr_m0asof,7))</f>
        <v>46295</v>
      </c>
      <c r="I400" s="172">
        <f>IF(N(INDEX(lr_m1,7))=0,1,INDEX(lr_m1,7))</f>
        <v>0.92</v>
      </c>
      <c r="J400" s="172">
        <f>INDEX(lr_mprior,7)</f>
        <v>0</v>
      </c>
      <c r="K400" s="172">
        <f>INDEX(lr_m2,7)</f>
        <v>0</v>
      </c>
      <c r="L400" s="81" t="b">
        <f>NOT(ISBLANK(INDEX(lr_netp,7)))</f>
        <v>0</v>
      </c>
      <c r="M400" s="52">
        <f>N(INDEX(lr_netp,7))</f>
        <v>0</v>
      </c>
      <c r="N400" s="52">
        <f>IF(ISBLANK(INDEX(lr_netp1,7)),$M$400,N(INDEX(lr_netp1,7)))</f>
        <v>0</v>
      </c>
      <c r="O400" s="55">
        <f>IF(AND(nr_ModAdjMaster="ON",INDEX(lr_modadj,7)="ON"),1,0)</f>
        <v>1</v>
      </c>
    </row>
    <row r="401" spans="1:21" x14ac:dyDescent="0.25">
      <c r="A401" s="81">
        <f>EDATE($H$400,-12)+1</f>
        <v>45931</v>
      </c>
      <c r="B401" s="81">
        <f>$H$400+1</f>
        <v>46296</v>
      </c>
      <c r="C401" s="81">
        <f>DATE(nr_PlanYear,12,31)+1</f>
        <v>46753</v>
      </c>
      <c r="D401" s="81">
        <f>DATE(nr_PlanYear+1,12,31)+1</f>
        <v>47119</v>
      </c>
      <c r="E401" s="81">
        <f>IF(N($J$400)=0,$F$401-($G$401-$F$401)/($C$401-$B$401)*($B$401-$A$401),$J$400)</f>
        <v>0.9020131291028447</v>
      </c>
      <c r="F401" s="81">
        <f>$G$400</f>
        <v>0.91</v>
      </c>
      <c r="G401" s="81">
        <f>$I$400</f>
        <v>0.92</v>
      </c>
      <c r="H401" s="81">
        <f>IF(N($K$400)=0,$I$400,$K$400)</f>
        <v>0.92</v>
      </c>
      <c r="I401" s="81">
        <f>($F$401-$E$401)/($B$401-$A$401)</f>
        <v>2.1881838074398162E-5</v>
      </c>
      <c r="J401" s="81">
        <f>($G$401-$F$401)/($C$401-$B$401)</f>
        <v>2.188183807439827E-5</v>
      </c>
      <c r="K401" s="81">
        <f>($H$401-$G$401)/($D$401-$C$401)</f>
        <v>0</v>
      </c>
    </row>
    <row r="402" spans="1:21" ht="36" x14ac:dyDescent="0.25">
      <c r="A402" s="50" t="s">
        <v>211</v>
      </c>
      <c r="B402" s="50" t="s">
        <v>212</v>
      </c>
      <c r="C402" s="50" t="s">
        <v>213</v>
      </c>
      <c r="D402" s="50" t="s">
        <v>214</v>
      </c>
      <c r="E402" s="50" t="s">
        <v>215</v>
      </c>
      <c r="F402" s="50" t="s">
        <v>216</v>
      </c>
      <c r="G402" s="50" t="s">
        <v>217</v>
      </c>
      <c r="H402" s="50" t="s">
        <v>218</v>
      </c>
      <c r="I402" s="50" t="s">
        <v>219</v>
      </c>
      <c r="J402" s="50" t="s">
        <v>220</v>
      </c>
      <c r="K402" s="50" t="s">
        <v>221</v>
      </c>
      <c r="L402" s="50" t="s">
        <v>222</v>
      </c>
      <c r="M402" s="50" t="s">
        <v>223</v>
      </c>
      <c r="N402" s="50" t="s">
        <v>224</v>
      </c>
      <c r="O402" s="50" t="s">
        <v>225</v>
      </c>
      <c r="P402" s="50" t="s">
        <v>226</v>
      </c>
      <c r="Q402" s="50" t="s">
        <v>227</v>
      </c>
      <c r="R402" s="50" t="s">
        <v>228</v>
      </c>
      <c r="S402" s="50" t="s">
        <v>229</v>
      </c>
      <c r="T402" s="50" t="s">
        <v>230</v>
      </c>
      <c r="U402" s="50" t="s">
        <v>231</v>
      </c>
    </row>
    <row r="403" spans="1:21" x14ac:dyDescent="0.25">
      <c r="A403" s="71">
        <v>1</v>
      </c>
      <c r="B403" s="72">
        <f>DATE(nr_PlanYear-2,1,1)</f>
        <v>45658</v>
      </c>
      <c r="C403" s="73">
        <f t="shared" ref="C403:C450" si="154">EOMONTH($B403,0)</f>
        <v>45688</v>
      </c>
      <c r="D403" s="67">
        <f t="shared" ref="D403:D450" si="155">$C403-$B403+1</f>
        <v>31</v>
      </c>
      <c r="E403" s="67">
        <f t="shared" ref="E403:E450" si="156">MONTH($B403)</f>
        <v>1</v>
      </c>
      <c r="F403" s="74">
        <f t="shared" ref="F403:F450" si="157">($B403+$C403+1)/2</f>
        <v>45673.5</v>
      </c>
      <c r="G403" s="67">
        <f t="shared" ref="G403:G450" si="158">YEAR($B403)*12+MONTH($B403)-1</f>
        <v>24300</v>
      </c>
      <c r="H403" s="75">
        <f t="shared" ref="H403:H450" si="159">IF(OR(nr_SeasonOn="OFF",$D$400=0,$E$400=0),1,12*INDEX(se_block,$D$400,$E403)/$E$400)</f>
        <v>1</v>
      </c>
      <c r="I403" s="76">
        <f t="shared" ref="I403:I450" si="160">EXP(SUMPRODUCT((rl_eff&lt;$B403)*(rl_key=$A$400)*rl_ln1p))</f>
        <v>1</v>
      </c>
      <c r="J403" s="76">
        <f t="shared" ref="J403:J450" si="161">EXP(SUMPRODUCT((rl_eff&lt;=$C403)*(rl_key=$A$400)*rl_ln1p))</f>
        <v>1</v>
      </c>
      <c r="K403" s="67">
        <f t="shared" ref="K403:K450" si="162">COUNTIFS(rl_key,$A$400,rl_eff,"&gt;="&amp;$B403,rl_eff,"&lt;="&amp;$C403)</f>
        <v>0</v>
      </c>
      <c r="L403" s="67">
        <f t="shared" ref="L403:L450" si="163">SUMIFS(rl_daysafter,rl_key,$A$400,rl_effmonth,$B403,rl_first,1)</f>
        <v>0</v>
      </c>
      <c r="M403" s="77">
        <f t="shared" ref="M403:M450" si="164">IF($K403=0,0,MIN(1,$L403/$D403))</f>
        <v>0</v>
      </c>
      <c r="N403" s="76">
        <f t="shared" ref="N403:N450" si="165">IF($K403=0,$J403,(1-$M403)*$I403+$M403*$J403)</f>
        <v>1</v>
      </c>
      <c r="O403" s="77">
        <f t="shared" ref="O403:O450" si="166">IF($F403&lt;$B$401,$E$401+$I$401*($F403-$A$401),IF($F403&lt;$C$401,$F$401+$J$401*($F403-$B$401),$G$401+$K$401*($F403-$C$401)))</f>
        <v>0.89637855579868719</v>
      </c>
      <c r="P403" s="76">
        <f t="shared" ref="P403:P450" si="167">MIN(1,MAX(0,(nr_MEndPm1-$G403+0.5)/$C$400))-MIN(1,MAX(0,(nr_MStartPm1-1-$G403+0.5)/$C$400))</f>
        <v>0</v>
      </c>
      <c r="Q403" s="76">
        <f t="shared" ref="Q403:Q450" si="168">MIN(1,MAX(0,(nr_MEndP-$G403+0.5)/$C$400))-MIN(1,MAX(0,(nr_MStartP-1-$G403+0.5)/$C$400))</f>
        <v>0</v>
      </c>
      <c r="R403" s="76">
        <f t="shared" ref="R403:R450" si="169">MIN(1,MAX(0,(nr_MEndP1-$G403+0.5)/$C$400))-MIN(1,MAX(0,(nr_MStartP1-1-$G403+0.5)/$C$400))</f>
        <v>0</v>
      </c>
      <c r="S403" s="76">
        <f t="shared" ref="S403:S450" si="170">$N403*IF($O$400=1,$O403/$F$400,1)</f>
        <v>0.97432451717248603</v>
      </c>
      <c r="T403" s="76">
        <f t="shared" ref="T403:T450" si="171">IF($G403&lt;nr_MStartP,$S403,$T391*(1+IF($G403&lt;nr_MStartP1,$M$400,$N$400)))</f>
        <v>0.97432451717248603</v>
      </c>
      <c r="U403" s="76">
        <f t="shared" ref="U403:U450" si="172">IF($L$400,$T403,$N403)</f>
        <v>1</v>
      </c>
    </row>
    <row r="404" spans="1:21" x14ac:dyDescent="0.25">
      <c r="A404" s="71">
        <v>2</v>
      </c>
      <c r="B404" s="72">
        <f t="shared" ref="B404:B450" si="173">EDATE($B403,1)</f>
        <v>45689</v>
      </c>
      <c r="C404" s="73">
        <f t="shared" si="154"/>
        <v>45716</v>
      </c>
      <c r="D404" s="67">
        <f t="shared" si="155"/>
        <v>28</v>
      </c>
      <c r="E404" s="67">
        <f t="shared" si="156"/>
        <v>2</v>
      </c>
      <c r="F404" s="74">
        <f t="shared" si="157"/>
        <v>45703</v>
      </c>
      <c r="G404" s="67">
        <f t="shared" si="158"/>
        <v>24301</v>
      </c>
      <c r="H404" s="75">
        <f t="shared" si="159"/>
        <v>1</v>
      </c>
      <c r="I404" s="76">
        <f t="shared" si="160"/>
        <v>1</v>
      </c>
      <c r="J404" s="76">
        <f t="shared" si="161"/>
        <v>1</v>
      </c>
      <c r="K404" s="67">
        <f t="shared" si="162"/>
        <v>0</v>
      </c>
      <c r="L404" s="67">
        <f t="shared" si="163"/>
        <v>0</v>
      </c>
      <c r="M404" s="77">
        <f t="shared" si="164"/>
        <v>0</v>
      </c>
      <c r="N404" s="76">
        <f t="shared" si="165"/>
        <v>1</v>
      </c>
      <c r="O404" s="77">
        <f t="shared" si="166"/>
        <v>0.89702407002188189</v>
      </c>
      <c r="P404" s="76">
        <f t="shared" si="167"/>
        <v>0</v>
      </c>
      <c r="Q404" s="76">
        <f t="shared" si="168"/>
        <v>0</v>
      </c>
      <c r="R404" s="76">
        <f t="shared" si="169"/>
        <v>0</v>
      </c>
      <c r="S404" s="76">
        <f t="shared" si="170"/>
        <v>0.97502616306726286</v>
      </c>
      <c r="T404" s="76">
        <f t="shared" si="171"/>
        <v>0.97502616306726286</v>
      </c>
      <c r="U404" s="76">
        <f t="shared" si="172"/>
        <v>1</v>
      </c>
    </row>
    <row r="405" spans="1:21" x14ac:dyDescent="0.25">
      <c r="A405" s="71">
        <v>3</v>
      </c>
      <c r="B405" s="72">
        <f t="shared" si="173"/>
        <v>45717</v>
      </c>
      <c r="C405" s="73">
        <f t="shared" si="154"/>
        <v>45747</v>
      </c>
      <c r="D405" s="67">
        <f t="shared" si="155"/>
        <v>31</v>
      </c>
      <c r="E405" s="67">
        <f t="shared" si="156"/>
        <v>3</v>
      </c>
      <c r="F405" s="74">
        <f t="shared" si="157"/>
        <v>45732.5</v>
      </c>
      <c r="G405" s="67">
        <f t="shared" si="158"/>
        <v>24302</v>
      </c>
      <c r="H405" s="75">
        <f t="shared" si="159"/>
        <v>1</v>
      </c>
      <c r="I405" s="76">
        <f t="shared" si="160"/>
        <v>1</v>
      </c>
      <c r="J405" s="76">
        <f t="shared" si="161"/>
        <v>1</v>
      </c>
      <c r="K405" s="67">
        <f t="shared" si="162"/>
        <v>0</v>
      </c>
      <c r="L405" s="67">
        <f t="shared" si="163"/>
        <v>0</v>
      </c>
      <c r="M405" s="77">
        <f t="shared" si="164"/>
        <v>0</v>
      </c>
      <c r="N405" s="76">
        <f t="shared" si="165"/>
        <v>1</v>
      </c>
      <c r="O405" s="77">
        <f t="shared" si="166"/>
        <v>0.8976695842450767</v>
      </c>
      <c r="P405" s="76">
        <f t="shared" si="167"/>
        <v>0</v>
      </c>
      <c r="Q405" s="76">
        <f t="shared" si="168"/>
        <v>0</v>
      </c>
      <c r="R405" s="76">
        <f t="shared" si="169"/>
        <v>0</v>
      </c>
      <c r="S405" s="76">
        <f t="shared" si="170"/>
        <v>0.97572780896203981</v>
      </c>
      <c r="T405" s="76">
        <f t="shared" si="171"/>
        <v>0.97572780896203981</v>
      </c>
      <c r="U405" s="76">
        <f t="shared" si="172"/>
        <v>1</v>
      </c>
    </row>
    <row r="406" spans="1:21" x14ac:dyDescent="0.25">
      <c r="A406" s="71">
        <v>4</v>
      </c>
      <c r="B406" s="72">
        <f t="shared" si="173"/>
        <v>45748</v>
      </c>
      <c r="C406" s="73">
        <f t="shared" si="154"/>
        <v>45777</v>
      </c>
      <c r="D406" s="67">
        <f t="shared" si="155"/>
        <v>30</v>
      </c>
      <c r="E406" s="67">
        <f t="shared" si="156"/>
        <v>4</v>
      </c>
      <c r="F406" s="74">
        <f t="shared" si="157"/>
        <v>45763</v>
      </c>
      <c r="G406" s="67">
        <f t="shared" si="158"/>
        <v>24303</v>
      </c>
      <c r="H406" s="75">
        <f t="shared" si="159"/>
        <v>1</v>
      </c>
      <c r="I406" s="76">
        <f t="shared" si="160"/>
        <v>1</v>
      </c>
      <c r="J406" s="76">
        <f t="shared" si="161"/>
        <v>1</v>
      </c>
      <c r="K406" s="67">
        <f t="shared" si="162"/>
        <v>0</v>
      </c>
      <c r="L406" s="67">
        <f t="shared" si="163"/>
        <v>0</v>
      </c>
      <c r="M406" s="77">
        <f t="shared" si="164"/>
        <v>0</v>
      </c>
      <c r="N406" s="76">
        <f t="shared" si="165"/>
        <v>1</v>
      </c>
      <c r="O406" s="77">
        <f t="shared" si="166"/>
        <v>0.89833698030634579</v>
      </c>
      <c r="P406" s="76">
        <f t="shared" si="167"/>
        <v>0</v>
      </c>
      <c r="Q406" s="76">
        <f t="shared" si="168"/>
        <v>0</v>
      </c>
      <c r="R406" s="76">
        <f t="shared" si="169"/>
        <v>0</v>
      </c>
      <c r="S406" s="76">
        <f t="shared" si="170"/>
        <v>0.97645323946341933</v>
      </c>
      <c r="T406" s="76">
        <f t="shared" si="171"/>
        <v>0.97645323946341933</v>
      </c>
      <c r="U406" s="76">
        <f t="shared" si="172"/>
        <v>1</v>
      </c>
    </row>
    <row r="407" spans="1:21" x14ac:dyDescent="0.25">
      <c r="A407" s="71">
        <v>5</v>
      </c>
      <c r="B407" s="72">
        <f t="shared" si="173"/>
        <v>45778</v>
      </c>
      <c r="C407" s="73">
        <f t="shared" si="154"/>
        <v>45808</v>
      </c>
      <c r="D407" s="67">
        <f t="shared" si="155"/>
        <v>31</v>
      </c>
      <c r="E407" s="67">
        <f t="shared" si="156"/>
        <v>5</v>
      </c>
      <c r="F407" s="74">
        <f t="shared" si="157"/>
        <v>45793.5</v>
      </c>
      <c r="G407" s="67">
        <f t="shared" si="158"/>
        <v>24304</v>
      </c>
      <c r="H407" s="75">
        <f t="shared" si="159"/>
        <v>1</v>
      </c>
      <c r="I407" s="76">
        <f t="shared" si="160"/>
        <v>1</v>
      </c>
      <c r="J407" s="76">
        <f t="shared" si="161"/>
        <v>1</v>
      </c>
      <c r="K407" s="67">
        <f t="shared" si="162"/>
        <v>0</v>
      </c>
      <c r="L407" s="67">
        <f t="shared" si="163"/>
        <v>0</v>
      </c>
      <c r="M407" s="77">
        <f t="shared" si="164"/>
        <v>0</v>
      </c>
      <c r="N407" s="76">
        <f t="shared" si="165"/>
        <v>1</v>
      </c>
      <c r="O407" s="77">
        <f t="shared" si="166"/>
        <v>0.89900437636761499</v>
      </c>
      <c r="P407" s="76">
        <f t="shared" si="167"/>
        <v>0</v>
      </c>
      <c r="Q407" s="76">
        <f t="shared" si="168"/>
        <v>0</v>
      </c>
      <c r="R407" s="76">
        <f t="shared" si="169"/>
        <v>0</v>
      </c>
      <c r="S407" s="76">
        <f t="shared" si="170"/>
        <v>0.97717866996479885</v>
      </c>
      <c r="T407" s="76">
        <f t="shared" si="171"/>
        <v>0.97717866996479885</v>
      </c>
      <c r="U407" s="76">
        <f t="shared" si="172"/>
        <v>1</v>
      </c>
    </row>
    <row r="408" spans="1:21" x14ac:dyDescent="0.25">
      <c r="A408" s="71">
        <v>6</v>
      </c>
      <c r="B408" s="72">
        <f t="shared" si="173"/>
        <v>45809</v>
      </c>
      <c r="C408" s="73">
        <f t="shared" si="154"/>
        <v>45838</v>
      </c>
      <c r="D408" s="67">
        <f t="shared" si="155"/>
        <v>30</v>
      </c>
      <c r="E408" s="67">
        <f t="shared" si="156"/>
        <v>6</v>
      </c>
      <c r="F408" s="74">
        <f t="shared" si="157"/>
        <v>45824</v>
      </c>
      <c r="G408" s="67">
        <f t="shared" si="158"/>
        <v>24305</v>
      </c>
      <c r="H408" s="75">
        <f t="shared" si="159"/>
        <v>1</v>
      </c>
      <c r="I408" s="76">
        <f t="shared" si="160"/>
        <v>1</v>
      </c>
      <c r="J408" s="76">
        <f t="shared" si="161"/>
        <v>1</v>
      </c>
      <c r="K408" s="67">
        <f t="shared" si="162"/>
        <v>0</v>
      </c>
      <c r="L408" s="67">
        <f t="shared" si="163"/>
        <v>0</v>
      </c>
      <c r="M408" s="77">
        <f t="shared" si="164"/>
        <v>0</v>
      </c>
      <c r="N408" s="76">
        <f t="shared" si="165"/>
        <v>1</v>
      </c>
      <c r="O408" s="77">
        <f t="shared" si="166"/>
        <v>0.89967177242888408</v>
      </c>
      <c r="P408" s="76">
        <f t="shared" si="167"/>
        <v>0</v>
      </c>
      <c r="Q408" s="76">
        <f t="shared" si="168"/>
        <v>0</v>
      </c>
      <c r="R408" s="76">
        <f t="shared" si="169"/>
        <v>0</v>
      </c>
      <c r="S408" s="76">
        <f t="shared" si="170"/>
        <v>0.97790410046617826</v>
      </c>
      <c r="T408" s="76">
        <f t="shared" si="171"/>
        <v>0.97790410046617826</v>
      </c>
      <c r="U408" s="76">
        <f t="shared" si="172"/>
        <v>1</v>
      </c>
    </row>
    <row r="409" spans="1:21" x14ac:dyDescent="0.25">
      <c r="A409" s="71">
        <v>7</v>
      </c>
      <c r="B409" s="72">
        <f t="shared" si="173"/>
        <v>45839</v>
      </c>
      <c r="C409" s="73">
        <f t="shared" si="154"/>
        <v>45869</v>
      </c>
      <c r="D409" s="67">
        <f t="shared" si="155"/>
        <v>31</v>
      </c>
      <c r="E409" s="67">
        <f t="shared" si="156"/>
        <v>7</v>
      </c>
      <c r="F409" s="74">
        <f t="shared" si="157"/>
        <v>45854.5</v>
      </c>
      <c r="G409" s="67">
        <f t="shared" si="158"/>
        <v>24306</v>
      </c>
      <c r="H409" s="75">
        <f t="shared" si="159"/>
        <v>1</v>
      </c>
      <c r="I409" s="76">
        <f t="shared" si="160"/>
        <v>1</v>
      </c>
      <c r="J409" s="76">
        <f t="shared" si="161"/>
        <v>1</v>
      </c>
      <c r="K409" s="67">
        <f t="shared" si="162"/>
        <v>0</v>
      </c>
      <c r="L409" s="67">
        <f t="shared" si="163"/>
        <v>0</v>
      </c>
      <c r="M409" s="77">
        <f t="shared" si="164"/>
        <v>0</v>
      </c>
      <c r="N409" s="76">
        <f t="shared" si="165"/>
        <v>1</v>
      </c>
      <c r="O409" s="77">
        <f t="shared" si="166"/>
        <v>0.90033916849015327</v>
      </c>
      <c r="P409" s="76">
        <f t="shared" si="167"/>
        <v>8.333333333333337E-2</v>
      </c>
      <c r="Q409" s="76">
        <f t="shared" si="168"/>
        <v>0</v>
      </c>
      <c r="R409" s="76">
        <f t="shared" si="169"/>
        <v>0</v>
      </c>
      <c r="S409" s="76">
        <f t="shared" si="170"/>
        <v>0.97862953096755789</v>
      </c>
      <c r="T409" s="76">
        <f t="shared" si="171"/>
        <v>0.97862953096755789</v>
      </c>
      <c r="U409" s="76">
        <f t="shared" si="172"/>
        <v>1</v>
      </c>
    </row>
    <row r="410" spans="1:21" x14ac:dyDescent="0.25">
      <c r="A410" s="71">
        <v>8</v>
      </c>
      <c r="B410" s="72">
        <f t="shared" si="173"/>
        <v>45870</v>
      </c>
      <c r="C410" s="73">
        <f t="shared" si="154"/>
        <v>45900</v>
      </c>
      <c r="D410" s="67">
        <f t="shared" si="155"/>
        <v>31</v>
      </c>
      <c r="E410" s="67">
        <f t="shared" si="156"/>
        <v>8</v>
      </c>
      <c r="F410" s="74">
        <f t="shared" si="157"/>
        <v>45885.5</v>
      </c>
      <c r="G410" s="67">
        <f t="shared" si="158"/>
        <v>24307</v>
      </c>
      <c r="H410" s="75">
        <f t="shared" si="159"/>
        <v>1</v>
      </c>
      <c r="I410" s="76">
        <f t="shared" si="160"/>
        <v>1</v>
      </c>
      <c r="J410" s="76">
        <f t="shared" si="161"/>
        <v>1</v>
      </c>
      <c r="K410" s="67">
        <f t="shared" si="162"/>
        <v>0</v>
      </c>
      <c r="L410" s="67">
        <f t="shared" si="163"/>
        <v>0</v>
      </c>
      <c r="M410" s="77">
        <f t="shared" si="164"/>
        <v>0</v>
      </c>
      <c r="N410" s="76">
        <f t="shared" si="165"/>
        <v>1</v>
      </c>
      <c r="O410" s="77">
        <f t="shared" si="166"/>
        <v>0.90101750547045956</v>
      </c>
      <c r="P410" s="76">
        <f t="shared" si="167"/>
        <v>0.25</v>
      </c>
      <c r="Q410" s="76">
        <f t="shared" si="168"/>
        <v>0</v>
      </c>
      <c r="R410" s="76">
        <f t="shared" si="169"/>
        <v>0</v>
      </c>
      <c r="S410" s="76">
        <f t="shared" si="170"/>
        <v>0.97936685377223864</v>
      </c>
      <c r="T410" s="76">
        <f t="shared" si="171"/>
        <v>0.97936685377223864</v>
      </c>
      <c r="U410" s="76">
        <f t="shared" si="172"/>
        <v>1</v>
      </c>
    </row>
    <row r="411" spans="1:21" x14ac:dyDescent="0.25">
      <c r="A411" s="71">
        <v>9</v>
      </c>
      <c r="B411" s="72">
        <f t="shared" si="173"/>
        <v>45901</v>
      </c>
      <c r="C411" s="73">
        <f t="shared" si="154"/>
        <v>45930</v>
      </c>
      <c r="D411" s="67">
        <f t="shared" si="155"/>
        <v>30</v>
      </c>
      <c r="E411" s="67">
        <f t="shared" si="156"/>
        <v>9</v>
      </c>
      <c r="F411" s="74">
        <f t="shared" si="157"/>
        <v>45916</v>
      </c>
      <c r="G411" s="67">
        <f t="shared" si="158"/>
        <v>24308</v>
      </c>
      <c r="H411" s="75">
        <f t="shared" si="159"/>
        <v>1</v>
      </c>
      <c r="I411" s="76">
        <f t="shared" si="160"/>
        <v>1</v>
      </c>
      <c r="J411" s="76">
        <f t="shared" si="161"/>
        <v>1</v>
      </c>
      <c r="K411" s="67">
        <f t="shared" si="162"/>
        <v>0</v>
      </c>
      <c r="L411" s="67">
        <f t="shared" si="163"/>
        <v>0</v>
      </c>
      <c r="M411" s="77">
        <f t="shared" si="164"/>
        <v>0</v>
      </c>
      <c r="N411" s="76">
        <f t="shared" si="165"/>
        <v>1</v>
      </c>
      <c r="O411" s="77">
        <f t="shared" si="166"/>
        <v>0.90168490153172876</v>
      </c>
      <c r="P411" s="76">
        <f t="shared" si="167"/>
        <v>0.41666666666666663</v>
      </c>
      <c r="Q411" s="76">
        <f t="shared" si="168"/>
        <v>0</v>
      </c>
      <c r="R411" s="76">
        <f t="shared" si="169"/>
        <v>0</v>
      </c>
      <c r="S411" s="76">
        <f t="shared" si="170"/>
        <v>0.98009228427361816</v>
      </c>
      <c r="T411" s="76">
        <f t="shared" si="171"/>
        <v>0.98009228427361816</v>
      </c>
      <c r="U411" s="76">
        <f t="shared" si="172"/>
        <v>1</v>
      </c>
    </row>
    <row r="412" spans="1:21" x14ac:dyDescent="0.25">
      <c r="A412" s="71">
        <v>10</v>
      </c>
      <c r="B412" s="72">
        <f t="shared" si="173"/>
        <v>45931</v>
      </c>
      <c r="C412" s="73">
        <f t="shared" si="154"/>
        <v>45961</v>
      </c>
      <c r="D412" s="67">
        <f t="shared" si="155"/>
        <v>31</v>
      </c>
      <c r="E412" s="67">
        <f t="shared" si="156"/>
        <v>10</v>
      </c>
      <c r="F412" s="74">
        <f t="shared" si="157"/>
        <v>45946.5</v>
      </c>
      <c r="G412" s="67">
        <f t="shared" si="158"/>
        <v>24309</v>
      </c>
      <c r="H412" s="75">
        <f t="shared" si="159"/>
        <v>1</v>
      </c>
      <c r="I412" s="76">
        <f t="shared" si="160"/>
        <v>1</v>
      </c>
      <c r="J412" s="76">
        <f t="shared" si="161"/>
        <v>1</v>
      </c>
      <c r="K412" s="67">
        <f t="shared" si="162"/>
        <v>0</v>
      </c>
      <c r="L412" s="67">
        <f t="shared" si="163"/>
        <v>0</v>
      </c>
      <c r="M412" s="77">
        <f t="shared" si="164"/>
        <v>0</v>
      </c>
      <c r="N412" s="76">
        <f t="shared" si="165"/>
        <v>1</v>
      </c>
      <c r="O412" s="77">
        <f t="shared" si="166"/>
        <v>0.90235229759299784</v>
      </c>
      <c r="P412" s="76">
        <f t="shared" si="167"/>
        <v>0.58333333333333326</v>
      </c>
      <c r="Q412" s="76">
        <f t="shared" si="168"/>
        <v>0</v>
      </c>
      <c r="R412" s="76">
        <f t="shared" si="169"/>
        <v>0</v>
      </c>
      <c r="S412" s="76">
        <f t="shared" si="170"/>
        <v>0.98081771477499757</v>
      </c>
      <c r="T412" s="76">
        <f t="shared" si="171"/>
        <v>0.98081771477499757</v>
      </c>
      <c r="U412" s="76">
        <f t="shared" si="172"/>
        <v>1</v>
      </c>
    </row>
    <row r="413" spans="1:21" x14ac:dyDescent="0.25">
      <c r="A413" s="71">
        <v>11</v>
      </c>
      <c r="B413" s="72">
        <f t="shared" si="173"/>
        <v>45962</v>
      </c>
      <c r="C413" s="73">
        <f t="shared" si="154"/>
        <v>45991</v>
      </c>
      <c r="D413" s="67">
        <f t="shared" si="155"/>
        <v>30</v>
      </c>
      <c r="E413" s="67">
        <f t="shared" si="156"/>
        <v>11</v>
      </c>
      <c r="F413" s="74">
        <f t="shared" si="157"/>
        <v>45977</v>
      </c>
      <c r="G413" s="67">
        <f t="shared" si="158"/>
        <v>24310</v>
      </c>
      <c r="H413" s="75">
        <f t="shared" si="159"/>
        <v>1</v>
      </c>
      <c r="I413" s="76">
        <f t="shared" si="160"/>
        <v>1</v>
      </c>
      <c r="J413" s="76">
        <f t="shared" si="161"/>
        <v>1</v>
      </c>
      <c r="K413" s="67">
        <f t="shared" si="162"/>
        <v>0</v>
      </c>
      <c r="L413" s="67">
        <f t="shared" si="163"/>
        <v>0</v>
      </c>
      <c r="M413" s="77">
        <f t="shared" si="164"/>
        <v>0</v>
      </c>
      <c r="N413" s="76">
        <f t="shared" si="165"/>
        <v>1</v>
      </c>
      <c r="O413" s="77">
        <f t="shared" si="166"/>
        <v>0.90301969365426704</v>
      </c>
      <c r="P413" s="76">
        <f t="shared" si="167"/>
        <v>0.75</v>
      </c>
      <c r="Q413" s="76">
        <f t="shared" si="168"/>
        <v>0</v>
      </c>
      <c r="R413" s="76">
        <f t="shared" si="169"/>
        <v>0</v>
      </c>
      <c r="S413" s="76">
        <f t="shared" si="170"/>
        <v>0.9815431452763772</v>
      </c>
      <c r="T413" s="76">
        <f t="shared" si="171"/>
        <v>0.9815431452763772</v>
      </c>
      <c r="U413" s="76">
        <f t="shared" si="172"/>
        <v>1</v>
      </c>
    </row>
    <row r="414" spans="1:21" x14ac:dyDescent="0.25">
      <c r="A414" s="71">
        <v>12</v>
      </c>
      <c r="B414" s="72">
        <f t="shared" si="173"/>
        <v>45992</v>
      </c>
      <c r="C414" s="73">
        <f t="shared" si="154"/>
        <v>46022</v>
      </c>
      <c r="D414" s="67">
        <f t="shared" si="155"/>
        <v>31</v>
      </c>
      <c r="E414" s="67">
        <f t="shared" si="156"/>
        <v>12</v>
      </c>
      <c r="F414" s="74">
        <f t="shared" si="157"/>
        <v>46007.5</v>
      </c>
      <c r="G414" s="67">
        <f t="shared" si="158"/>
        <v>24311</v>
      </c>
      <c r="H414" s="75">
        <f t="shared" si="159"/>
        <v>1</v>
      </c>
      <c r="I414" s="76">
        <f t="shared" si="160"/>
        <v>1</v>
      </c>
      <c r="J414" s="76">
        <f t="shared" si="161"/>
        <v>1</v>
      </c>
      <c r="K414" s="67">
        <f t="shared" si="162"/>
        <v>0</v>
      </c>
      <c r="L414" s="67">
        <f t="shared" si="163"/>
        <v>0</v>
      </c>
      <c r="M414" s="77">
        <f t="shared" si="164"/>
        <v>0</v>
      </c>
      <c r="N414" s="76">
        <f t="shared" si="165"/>
        <v>1</v>
      </c>
      <c r="O414" s="77">
        <f t="shared" si="166"/>
        <v>0.90368708971553613</v>
      </c>
      <c r="P414" s="76">
        <f t="shared" si="167"/>
        <v>0.91666666666666663</v>
      </c>
      <c r="Q414" s="76">
        <f t="shared" si="168"/>
        <v>0</v>
      </c>
      <c r="R414" s="76">
        <f t="shared" si="169"/>
        <v>0</v>
      </c>
      <c r="S414" s="76">
        <f t="shared" si="170"/>
        <v>0.98226857577775661</v>
      </c>
      <c r="T414" s="76">
        <f t="shared" si="171"/>
        <v>0.98226857577775661</v>
      </c>
      <c r="U414" s="76">
        <f t="shared" si="172"/>
        <v>1</v>
      </c>
    </row>
    <row r="415" spans="1:21" x14ac:dyDescent="0.25">
      <c r="A415" s="71">
        <v>13</v>
      </c>
      <c r="B415" s="72">
        <f t="shared" si="173"/>
        <v>46023</v>
      </c>
      <c r="C415" s="73">
        <f t="shared" si="154"/>
        <v>46053</v>
      </c>
      <c r="D415" s="67">
        <f t="shared" si="155"/>
        <v>31</v>
      </c>
      <c r="E415" s="67">
        <f t="shared" si="156"/>
        <v>1</v>
      </c>
      <c r="F415" s="74">
        <f t="shared" si="157"/>
        <v>46038.5</v>
      </c>
      <c r="G415" s="67">
        <f t="shared" si="158"/>
        <v>24312</v>
      </c>
      <c r="H415" s="75">
        <f t="shared" si="159"/>
        <v>1</v>
      </c>
      <c r="I415" s="76">
        <f t="shared" si="160"/>
        <v>1</v>
      </c>
      <c r="J415" s="76">
        <f t="shared" si="161"/>
        <v>1</v>
      </c>
      <c r="K415" s="67">
        <f t="shared" si="162"/>
        <v>0</v>
      </c>
      <c r="L415" s="67">
        <f t="shared" si="163"/>
        <v>0</v>
      </c>
      <c r="M415" s="77">
        <f t="shared" si="164"/>
        <v>0</v>
      </c>
      <c r="N415" s="76">
        <f t="shared" si="165"/>
        <v>1</v>
      </c>
      <c r="O415" s="77">
        <f t="shared" si="166"/>
        <v>0.90436542669584252</v>
      </c>
      <c r="P415" s="76">
        <f t="shared" si="167"/>
        <v>1</v>
      </c>
      <c r="Q415" s="76">
        <f t="shared" si="168"/>
        <v>0</v>
      </c>
      <c r="R415" s="76">
        <f t="shared" si="169"/>
        <v>0</v>
      </c>
      <c r="S415" s="76">
        <f t="shared" si="170"/>
        <v>0.98300589858243748</v>
      </c>
      <c r="T415" s="76">
        <f t="shared" si="171"/>
        <v>0.98300589858243748</v>
      </c>
      <c r="U415" s="76">
        <f t="shared" si="172"/>
        <v>1</v>
      </c>
    </row>
    <row r="416" spans="1:21" x14ac:dyDescent="0.25">
      <c r="A416" s="71">
        <v>14</v>
      </c>
      <c r="B416" s="72">
        <f t="shared" si="173"/>
        <v>46054</v>
      </c>
      <c r="C416" s="73">
        <f t="shared" si="154"/>
        <v>46081</v>
      </c>
      <c r="D416" s="67">
        <f t="shared" si="155"/>
        <v>28</v>
      </c>
      <c r="E416" s="67">
        <f t="shared" si="156"/>
        <v>2</v>
      </c>
      <c r="F416" s="74">
        <f t="shared" si="157"/>
        <v>46068</v>
      </c>
      <c r="G416" s="67">
        <f t="shared" si="158"/>
        <v>24313</v>
      </c>
      <c r="H416" s="75">
        <f t="shared" si="159"/>
        <v>1</v>
      </c>
      <c r="I416" s="76">
        <f t="shared" si="160"/>
        <v>1</v>
      </c>
      <c r="J416" s="76">
        <f t="shared" si="161"/>
        <v>1</v>
      </c>
      <c r="K416" s="67">
        <f t="shared" si="162"/>
        <v>0</v>
      </c>
      <c r="L416" s="67">
        <f t="shared" si="163"/>
        <v>0</v>
      </c>
      <c r="M416" s="77">
        <f t="shared" si="164"/>
        <v>0</v>
      </c>
      <c r="N416" s="76">
        <f t="shared" si="165"/>
        <v>1</v>
      </c>
      <c r="O416" s="77">
        <f t="shared" si="166"/>
        <v>0.90501094091903722</v>
      </c>
      <c r="P416" s="76">
        <f t="shared" si="167"/>
        <v>1</v>
      </c>
      <c r="Q416" s="76">
        <f t="shared" si="168"/>
        <v>0</v>
      </c>
      <c r="R416" s="76">
        <f t="shared" si="169"/>
        <v>0</v>
      </c>
      <c r="S416" s="76">
        <f t="shared" si="170"/>
        <v>0.98370754447721431</v>
      </c>
      <c r="T416" s="76">
        <f t="shared" si="171"/>
        <v>0.98370754447721431</v>
      </c>
      <c r="U416" s="76">
        <f t="shared" si="172"/>
        <v>1</v>
      </c>
    </row>
    <row r="417" spans="1:21" x14ac:dyDescent="0.25">
      <c r="A417" s="71">
        <v>15</v>
      </c>
      <c r="B417" s="72">
        <f t="shared" si="173"/>
        <v>46082</v>
      </c>
      <c r="C417" s="73">
        <f t="shared" si="154"/>
        <v>46112</v>
      </c>
      <c r="D417" s="67">
        <f t="shared" si="155"/>
        <v>31</v>
      </c>
      <c r="E417" s="67">
        <f t="shared" si="156"/>
        <v>3</v>
      </c>
      <c r="F417" s="74">
        <f t="shared" si="157"/>
        <v>46097.5</v>
      </c>
      <c r="G417" s="67">
        <f t="shared" si="158"/>
        <v>24314</v>
      </c>
      <c r="H417" s="75">
        <f t="shared" si="159"/>
        <v>1</v>
      </c>
      <c r="I417" s="76">
        <f t="shared" si="160"/>
        <v>1</v>
      </c>
      <c r="J417" s="76">
        <f t="shared" si="161"/>
        <v>1</v>
      </c>
      <c r="K417" s="67">
        <f t="shared" si="162"/>
        <v>0</v>
      </c>
      <c r="L417" s="67">
        <f t="shared" si="163"/>
        <v>0</v>
      </c>
      <c r="M417" s="77">
        <f t="shared" si="164"/>
        <v>0</v>
      </c>
      <c r="N417" s="76">
        <f t="shared" si="165"/>
        <v>1</v>
      </c>
      <c r="O417" s="77">
        <f t="shared" si="166"/>
        <v>0.90565645514223203</v>
      </c>
      <c r="P417" s="76">
        <f t="shared" si="167"/>
        <v>1</v>
      </c>
      <c r="Q417" s="76">
        <f t="shared" si="168"/>
        <v>0</v>
      </c>
      <c r="R417" s="76">
        <f t="shared" si="169"/>
        <v>0</v>
      </c>
      <c r="S417" s="76">
        <f t="shared" si="170"/>
        <v>0.98440919037199126</v>
      </c>
      <c r="T417" s="76">
        <f t="shared" si="171"/>
        <v>0.98440919037199126</v>
      </c>
      <c r="U417" s="76">
        <f t="shared" si="172"/>
        <v>1</v>
      </c>
    </row>
    <row r="418" spans="1:21" x14ac:dyDescent="0.25">
      <c r="A418" s="71">
        <v>16</v>
      </c>
      <c r="B418" s="72">
        <f t="shared" si="173"/>
        <v>46113</v>
      </c>
      <c r="C418" s="73">
        <f t="shared" si="154"/>
        <v>46142</v>
      </c>
      <c r="D418" s="67">
        <f t="shared" si="155"/>
        <v>30</v>
      </c>
      <c r="E418" s="67">
        <f t="shared" si="156"/>
        <v>4</v>
      </c>
      <c r="F418" s="74">
        <f t="shared" si="157"/>
        <v>46128</v>
      </c>
      <c r="G418" s="67">
        <f t="shared" si="158"/>
        <v>24315</v>
      </c>
      <c r="H418" s="75">
        <f t="shared" si="159"/>
        <v>1</v>
      </c>
      <c r="I418" s="76">
        <f t="shared" si="160"/>
        <v>1</v>
      </c>
      <c r="J418" s="76">
        <f t="shared" si="161"/>
        <v>1</v>
      </c>
      <c r="K418" s="67">
        <f t="shared" si="162"/>
        <v>0</v>
      </c>
      <c r="L418" s="67">
        <f t="shared" si="163"/>
        <v>0</v>
      </c>
      <c r="M418" s="77">
        <f t="shared" si="164"/>
        <v>0</v>
      </c>
      <c r="N418" s="76">
        <f t="shared" si="165"/>
        <v>1</v>
      </c>
      <c r="O418" s="77">
        <f t="shared" si="166"/>
        <v>0.90632385120350112</v>
      </c>
      <c r="P418" s="76">
        <f t="shared" si="167"/>
        <v>1</v>
      </c>
      <c r="Q418" s="76">
        <f t="shared" si="168"/>
        <v>0</v>
      </c>
      <c r="R418" s="76">
        <f t="shared" si="169"/>
        <v>0</v>
      </c>
      <c r="S418" s="76">
        <f t="shared" si="170"/>
        <v>0.98513462087337078</v>
      </c>
      <c r="T418" s="76">
        <f t="shared" si="171"/>
        <v>0.98513462087337078</v>
      </c>
      <c r="U418" s="76">
        <f t="shared" si="172"/>
        <v>1</v>
      </c>
    </row>
    <row r="419" spans="1:21" x14ac:dyDescent="0.25">
      <c r="A419" s="71">
        <v>17</v>
      </c>
      <c r="B419" s="72">
        <f t="shared" si="173"/>
        <v>46143</v>
      </c>
      <c r="C419" s="73">
        <f t="shared" si="154"/>
        <v>46173</v>
      </c>
      <c r="D419" s="67">
        <f t="shared" si="155"/>
        <v>31</v>
      </c>
      <c r="E419" s="67">
        <f t="shared" si="156"/>
        <v>5</v>
      </c>
      <c r="F419" s="74">
        <f t="shared" si="157"/>
        <v>46158.5</v>
      </c>
      <c r="G419" s="67">
        <f t="shared" si="158"/>
        <v>24316</v>
      </c>
      <c r="H419" s="75">
        <f t="shared" si="159"/>
        <v>1</v>
      </c>
      <c r="I419" s="76">
        <f t="shared" si="160"/>
        <v>1</v>
      </c>
      <c r="J419" s="76">
        <f t="shared" si="161"/>
        <v>1</v>
      </c>
      <c r="K419" s="67">
        <f t="shared" si="162"/>
        <v>0</v>
      </c>
      <c r="L419" s="67">
        <f t="shared" si="163"/>
        <v>0</v>
      </c>
      <c r="M419" s="77">
        <f t="shared" si="164"/>
        <v>0</v>
      </c>
      <c r="N419" s="76">
        <f t="shared" si="165"/>
        <v>1</v>
      </c>
      <c r="O419" s="77">
        <f t="shared" si="166"/>
        <v>0.90699124726477032</v>
      </c>
      <c r="P419" s="76">
        <f t="shared" si="167"/>
        <v>1</v>
      </c>
      <c r="Q419" s="76">
        <f t="shared" si="168"/>
        <v>0</v>
      </c>
      <c r="R419" s="76">
        <f t="shared" si="169"/>
        <v>0</v>
      </c>
      <c r="S419" s="76">
        <f t="shared" si="170"/>
        <v>0.9858600513747503</v>
      </c>
      <c r="T419" s="76">
        <f t="shared" si="171"/>
        <v>0.9858600513747503</v>
      </c>
      <c r="U419" s="76">
        <f t="shared" si="172"/>
        <v>1</v>
      </c>
    </row>
    <row r="420" spans="1:21" x14ac:dyDescent="0.25">
      <c r="A420" s="71">
        <v>18</v>
      </c>
      <c r="B420" s="72">
        <f t="shared" si="173"/>
        <v>46174</v>
      </c>
      <c r="C420" s="73">
        <f t="shared" si="154"/>
        <v>46203</v>
      </c>
      <c r="D420" s="67">
        <f t="shared" si="155"/>
        <v>30</v>
      </c>
      <c r="E420" s="67">
        <f t="shared" si="156"/>
        <v>6</v>
      </c>
      <c r="F420" s="74">
        <f t="shared" si="157"/>
        <v>46189</v>
      </c>
      <c r="G420" s="67">
        <f t="shared" si="158"/>
        <v>24317</v>
      </c>
      <c r="H420" s="75">
        <f t="shared" si="159"/>
        <v>1</v>
      </c>
      <c r="I420" s="76">
        <f t="shared" si="160"/>
        <v>1</v>
      </c>
      <c r="J420" s="76">
        <f t="shared" si="161"/>
        <v>1</v>
      </c>
      <c r="K420" s="67">
        <f t="shared" si="162"/>
        <v>0</v>
      </c>
      <c r="L420" s="67">
        <f t="shared" si="163"/>
        <v>0</v>
      </c>
      <c r="M420" s="77">
        <f t="shared" si="164"/>
        <v>0</v>
      </c>
      <c r="N420" s="76">
        <f t="shared" si="165"/>
        <v>1</v>
      </c>
      <c r="O420" s="77">
        <f t="shared" si="166"/>
        <v>0.9076586433260394</v>
      </c>
      <c r="P420" s="76">
        <f t="shared" si="167"/>
        <v>1</v>
      </c>
      <c r="Q420" s="76">
        <f t="shared" si="168"/>
        <v>0</v>
      </c>
      <c r="R420" s="76">
        <f t="shared" si="169"/>
        <v>0</v>
      </c>
      <c r="S420" s="76">
        <f t="shared" si="170"/>
        <v>0.98658548187612971</v>
      </c>
      <c r="T420" s="76">
        <f t="shared" si="171"/>
        <v>0.98658548187612971</v>
      </c>
      <c r="U420" s="76">
        <f t="shared" si="172"/>
        <v>1</v>
      </c>
    </row>
    <row r="421" spans="1:21" x14ac:dyDescent="0.25">
      <c r="A421" s="71">
        <v>19</v>
      </c>
      <c r="B421" s="72">
        <f t="shared" si="173"/>
        <v>46204</v>
      </c>
      <c r="C421" s="73">
        <f t="shared" si="154"/>
        <v>46234</v>
      </c>
      <c r="D421" s="67">
        <f t="shared" si="155"/>
        <v>31</v>
      </c>
      <c r="E421" s="67">
        <f t="shared" si="156"/>
        <v>7</v>
      </c>
      <c r="F421" s="74">
        <f t="shared" si="157"/>
        <v>46219.5</v>
      </c>
      <c r="G421" s="67">
        <f t="shared" si="158"/>
        <v>24318</v>
      </c>
      <c r="H421" s="75">
        <f t="shared" si="159"/>
        <v>1</v>
      </c>
      <c r="I421" s="76">
        <f t="shared" si="160"/>
        <v>1</v>
      </c>
      <c r="J421" s="76">
        <f t="shared" si="161"/>
        <v>1.03</v>
      </c>
      <c r="K421" s="67">
        <f t="shared" si="162"/>
        <v>1</v>
      </c>
      <c r="L421" s="67">
        <f t="shared" si="163"/>
        <v>31</v>
      </c>
      <c r="M421" s="77">
        <f t="shared" si="164"/>
        <v>1</v>
      </c>
      <c r="N421" s="76">
        <f t="shared" si="165"/>
        <v>1.03</v>
      </c>
      <c r="O421" s="77">
        <f t="shared" si="166"/>
        <v>0.9083260393873086</v>
      </c>
      <c r="P421" s="76">
        <f t="shared" si="167"/>
        <v>0.91666666666666663</v>
      </c>
      <c r="Q421" s="76">
        <f t="shared" si="168"/>
        <v>8.333333333333337E-2</v>
      </c>
      <c r="R421" s="76">
        <f t="shared" si="169"/>
        <v>0</v>
      </c>
      <c r="S421" s="76">
        <f t="shared" si="170"/>
        <v>1.0169302397488347</v>
      </c>
      <c r="T421" s="76">
        <f t="shared" si="171"/>
        <v>1.0169302397488347</v>
      </c>
      <c r="U421" s="76">
        <f t="shared" si="172"/>
        <v>1.03</v>
      </c>
    </row>
    <row r="422" spans="1:21" x14ac:dyDescent="0.25">
      <c r="A422" s="71">
        <v>20</v>
      </c>
      <c r="B422" s="72">
        <f t="shared" si="173"/>
        <v>46235</v>
      </c>
      <c r="C422" s="73">
        <f t="shared" si="154"/>
        <v>46265</v>
      </c>
      <c r="D422" s="67">
        <f t="shared" si="155"/>
        <v>31</v>
      </c>
      <c r="E422" s="67">
        <f t="shared" si="156"/>
        <v>8</v>
      </c>
      <c r="F422" s="74">
        <f t="shared" si="157"/>
        <v>46250.5</v>
      </c>
      <c r="G422" s="67">
        <f t="shared" si="158"/>
        <v>24319</v>
      </c>
      <c r="H422" s="75">
        <f t="shared" si="159"/>
        <v>1</v>
      </c>
      <c r="I422" s="76">
        <f t="shared" si="160"/>
        <v>1.03</v>
      </c>
      <c r="J422" s="76">
        <f t="shared" si="161"/>
        <v>1.03</v>
      </c>
      <c r="K422" s="67">
        <f t="shared" si="162"/>
        <v>0</v>
      </c>
      <c r="L422" s="67">
        <f t="shared" si="163"/>
        <v>0</v>
      </c>
      <c r="M422" s="77">
        <f t="shared" si="164"/>
        <v>0</v>
      </c>
      <c r="N422" s="76">
        <f t="shared" si="165"/>
        <v>1.03</v>
      </c>
      <c r="O422" s="77">
        <f t="shared" si="166"/>
        <v>0.90900437636761489</v>
      </c>
      <c r="P422" s="76">
        <f t="shared" si="167"/>
        <v>0.75</v>
      </c>
      <c r="Q422" s="76">
        <f t="shared" si="168"/>
        <v>0.25</v>
      </c>
      <c r="R422" s="76">
        <f t="shared" si="169"/>
        <v>0</v>
      </c>
      <c r="S422" s="76">
        <f t="shared" si="170"/>
        <v>1.0176896822376558</v>
      </c>
      <c r="T422" s="76">
        <f t="shared" si="171"/>
        <v>1.0176896822376558</v>
      </c>
      <c r="U422" s="76">
        <f t="shared" si="172"/>
        <v>1.03</v>
      </c>
    </row>
    <row r="423" spans="1:21" x14ac:dyDescent="0.25">
      <c r="A423" s="71">
        <v>21</v>
      </c>
      <c r="B423" s="72">
        <f t="shared" si="173"/>
        <v>46266</v>
      </c>
      <c r="C423" s="73">
        <f t="shared" si="154"/>
        <v>46295</v>
      </c>
      <c r="D423" s="67">
        <f t="shared" si="155"/>
        <v>30</v>
      </c>
      <c r="E423" s="67">
        <f t="shared" si="156"/>
        <v>9</v>
      </c>
      <c r="F423" s="74">
        <f t="shared" si="157"/>
        <v>46281</v>
      </c>
      <c r="G423" s="67">
        <f t="shared" si="158"/>
        <v>24320</v>
      </c>
      <c r="H423" s="75">
        <f t="shared" si="159"/>
        <v>1</v>
      </c>
      <c r="I423" s="76">
        <f t="shared" si="160"/>
        <v>1.03</v>
      </c>
      <c r="J423" s="76">
        <f t="shared" si="161"/>
        <v>1.03</v>
      </c>
      <c r="K423" s="67">
        <f t="shared" si="162"/>
        <v>0</v>
      </c>
      <c r="L423" s="67">
        <f t="shared" si="163"/>
        <v>0</v>
      </c>
      <c r="M423" s="77">
        <f t="shared" si="164"/>
        <v>0</v>
      </c>
      <c r="N423" s="76">
        <f t="shared" si="165"/>
        <v>1.03</v>
      </c>
      <c r="O423" s="77">
        <f t="shared" si="166"/>
        <v>0.90967177242888408</v>
      </c>
      <c r="P423" s="76">
        <f t="shared" si="167"/>
        <v>0.58333333333333337</v>
      </c>
      <c r="Q423" s="76">
        <f t="shared" si="168"/>
        <v>0.41666666666666663</v>
      </c>
      <c r="R423" s="76">
        <f t="shared" si="169"/>
        <v>0</v>
      </c>
      <c r="S423" s="76">
        <f t="shared" si="170"/>
        <v>1.0184368756540767</v>
      </c>
      <c r="T423" s="76">
        <f t="shared" si="171"/>
        <v>1.0184368756540767</v>
      </c>
      <c r="U423" s="76">
        <f t="shared" si="172"/>
        <v>1.03</v>
      </c>
    </row>
    <row r="424" spans="1:21" x14ac:dyDescent="0.25">
      <c r="A424" s="71">
        <v>22</v>
      </c>
      <c r="B424" s="72">
        <f t="shared" si="173"/>
        <v>46296</v>
      </c>
      <c r="C424" s="73">
        <f t="shared" si="154"/>
        <v>46326</v>
      </c>
      <c r="D424" s="67">
        <f t="shared" si="155"/>
        <v>31</v>
      </c>
      <c r="E424" s="67">
        <f t="shared" si="156"/>
        <v>10</v>
      </c>
      <c r="F424" s="74">
        <f t="shared" si="157"/>
        <v>46311.5</v>
      </c>
      <c r="G424" s="67">
        <f t="shared" si="158"/>
        <v>24321</v>
      </c>
      <c r="H424" s="75">
        <f t="shared" si="159"/>
        <v>1</v>
      </c>
      <c r="I424" s="76">
        <f t="shared" si="160"/>
        <v>1.03</v>
      </c>
      <c r="J424" s="76">
        <f t="shared" si="161"/>
        <v>1.03</v>
      </c>
      <c r="K424" s="67">
        <f t="shared" si="162"/>
        <v>0</v>
      </c>
      <c r="L424" s="67">
        <f t="shared" si="163"/>
        <v>0</v>
      </c>
      <c r="M424" s="77">
        <f t="shared" si="164"/>
        <v>0</v>
      </c>
      <c r="N424" s="76">
        <f t="shared" si="165"/>
        <v>1.03</v>
      </c>
      <c r="O424" s="77">
        <f t="shared" si="166"/>
        <v>0.91033916849015317</v>
      </c>
      <c r="P424" s="76">
        <f t="shared" si="167"/>
        <v>0.41666666666666669</v>
      </c>
      <c r="Q424" s="76">
        <f t="shared" si="168"/>
        <v>0.58333333333333326</v>
      </c>
      <c r="R424" s="76">
        <f t="shared" si="169"/>
        <v>0</v>
      </c>
      <c r="S424" s="76">
        <f t="shared" si="170"/>
        <v>1.0191840690704974</v>
      </c>
      <c r="T424" s="76">
        <f t="shared" si="171"/>
        <v>1.0191840690704974</v>
      </c>
      <c r="U424" s="76">
        <f t="shared" si="172"/>
        <v>1.03</v>
      </c>
    </row>
    <row r="425" spans="1:21" x14ac:dyDescent="0.25">
      <c r="A425" s="71">
        <v>23</v>
      </c>
      <c r="B425" s="72">
        <f t="shared" si="173"/>
        <v>46327</v>
      </c>
      <c r="C425" s="73">
        <f t="shared" si="154"/>
        <v>46356</v>
      </c>
      <c r="D425" s="67">
        <f t="shared" si="155"/>
        <v>30</v>
      </c>
      <c r="E425" s="67">
        <f t="shared" si="156"/>
        <v>11</v>
      </c>
      <c r="F425" s="74">
        <f t="shared" si="157"/>
        <v>46342</v>
      </c>
      <c r="G425" s="67">
        <f t="shared" si="158"/>
        <v>24322</v>
      </c>
      <c r="H425" s="75">
        <f t="shared" si="159"/>
        <v>1</v>
      </c>
      <c r="I425" s="76">
        <f t="shared" si="160"/>
        <v>1.03</v>
      </c>
      <c r="J425" s="76">
        <f t="shared" si="161"/>
        <v>1.03</v>
      </c>
      <c r="K425" s="67">
        <f t="shared" si="162"/>
        <v>0</v>
      </c>
      <c r="L425" s="67">
        <f t="shared" si="163"/>
        <v>0</v>
      </c>
      <c r="M425" s="77">
        <f t="shared" si="164"/>
        <v>0</v>
      </c>
      <c r="N425" s="76">
        <f t="shared" si="165"/>
        <v>1.03</v>
      </c>
      <c r="O425" s="77">
        <f t="shared" si="166"/>
        <v>0.91100656455142237</v>
      </c>
      <c r="P425" s="76">
        <f t="shared" si="167"/>
        <v>0.25</v>
      </c>
      <c r="Q425" s="76">
        <f t="shared" si="168"/>
        <v>0.75</v>
      </c>
      <c r="R425" s="76">
        <f t="shared" si="169"/>
        <v>0</v>
      </c>
      <c r="S425" s="76">
        <f t="shared" si="170"/>
        <v>1.0199312624869186</v>
      </c>
      <c r="T425" s="76">
        <f t="shared" si="171"/>
        <v>1.0199312624869186</v>
      </c>
      <c r="U425" s="76">
        <f t="shared" si="172"/>
        <v>1.03</v>
      </c>
    </row>
    <row r="426" spans="1:21" x14ac:dyDescent="0.25">
      <c r="A426" s="71">
        <v>24</v>
      </c>
      <c r="B426" s="72">
        <f t="shared" si="173"/>
        <v>46357</v>
      </c>
      <c r="C426" s="73">
        <f t="shared" si="154"/>
        <v>46387</v>
      </c>
      <c r="D426" s="67">
        <f t="shared" si="155"/>
        <v>31</v>
      </c>
      <c r="E426" s="67">
        <f t="shared" si="156"/>
        <v>12</v>
      </c>
      <c r="F426" s="74">
        <f t="shared" si="157"/>
        <v>46372.5</v>
      </c>
      <c r="G426" s="67">
        <f t="shared" si="158"/>
        <v>24323</v>
      </c>
      <c r="H426" s="75">
        <f t="shared" si="159"/>
        <v>1</v>
      </c>
      <c r="I426" s="76">
        <f t="shared" si="160"/>
        <v>1.03</v>
      </c>
      <c r="J426" s="76">
        <f t="shared" si="161"/>
        <v>1.03</v>
      </c>
      <c r="K426" s="67">
        <f t="shared" si="162"/>
        <v>0</v>
      </c>
      <c r="L426" s="67">
        <f t="shared" si="163"/>
        <v>0</v>
      </c>
      <c r="M426" s="77">
        <f t="shared" si="164"/>
        <v>0</v>
      </c>
      <c r="N426" s="76">
        <f t="shared" si="165"/>
        <v>1.03</v>
      </c>
      <c r="O426" s="77">
        <f t="shared" si="166"/>
        <v>0.91167396061269146</v>
      </c>
      <c r="P426" s="76">
        <f t="shared" si="167"/>
        <v>8.3333333333333329E-2</v>
      </c>
      <c r="Q426" s="76">
        <f t="shared" si="168"/>
        <v>0.91666666666666663</v>
      </c>
      <c r="R426" s="76">
        <f t="shared" si="169"/>
        <v>0</v>
      </c>
      <c r="S426" s="76">
        <f t="shared" si="170"/>
        <v>1.0206784559033393</v>
      </c>
      <c r="T426" s="76">
        <f t="shared" si="171"/>
        <v>1.0206784559033393</v>
      </c>
      <c r="U426" s="76">
        <f t="shared" si="172"/>
        <v>1.03</v>
      </c>
    </row>
    <row r="427" spans="1:21" x14ac:dyDescent="0.25">
      <c r="A427" s="71">
        <v>25</v>
      </c>
      <c r="B427" s="72">
        <f t="shared" si="173"/>
        <v>46388</v>
      </c>
      <c r="C427" s="73">
        <f t="shared" si="154"/>
        <v>46418</v>
      </c>
      <c r="D427" s="67">
        <f t="shared" si="155"/>
        <v>31</v>
      </c>
      <c r="E427" s="67">
        <f t="shared" si="156"/>
        <v>1</v>
      </c>
      <c r="F427" s="74">
        <f t="shared" si="157"/>
        <v>46403.5</v>
      </c>
      <c r="G427" s="67">
        <f t="shared" si="158"/>
        <v>24324</v>
      </c>
      <c r="H427" s="75">
        <f t="shared" si="159"/>
        <v>1</v>
      </c>
      <c r="I427" s="76">
        <f t="shared" si="160"/>
        <v>1.03</v>
      </c>
      <c r="J427" s="76">
        <f t="shared" si="161"/>
        <v>1.03</v>
      </c>
      <c r="K427" s="67">
        <f t="shared" si="162"/>
        <v>0</v>
      </c>
      <c r="L427" s="67">
        <f t="shared" si="163"/>
        <v>0</v>
      </c>
      <c r="M427" s="77">
        <f t="shared" si="164"/>
        <v>0</v>
      </c>
      <c r="N427" s="76">
        <f t="shared" si="165"/>
        <v>1.03</v>
      </c>
      <c r="O427" s="77">
        <f t="shared" si="166"/>
        <v>0.91235229759299785</v>
      </c>
      <c r="P427" s="76">
        <f t="shared" si="167"/>
        <v>0</v>
      </c>
      <c r="Q427" s="76">
        <f t="shared" si="168"/>
        <v>1</v>
      </c>
      <c r="R427" s="76">
        <f t="shared" si="169"/>
        <v>0</v>
      </c>
      <c r="S427" s="76">
        <f t="shared" si="170"/>
        <v>1.0214378983921606</v>
      </c>
      <c r="T427" s="76">
        <f t="shared" si="171"/>
        <v>0.98300589858243748</v>
      </c>
      <c r="U427" s="76">
        <f t="shared" si="172"/>
        <v>1.03</v>
      </c>
    </row>
    <row r="428" spans="1:21" x14ac:dyDescent="0.25">
      <c r="A428" s="71">
        <v>26</v>
      </c>
      <c r="B428" s="72">
        <f t="shared" si="173"/>
        <v>46419</v>
      </c>
      <c r="C428" s="73">
        <f t="shared" si="154"/>
        <v>46446</v>
      </c>
      <c r="D428" s="67">
        <f t="shared" si="155"/>
        <v>28</v>
      </c>
      <c r="E428" s="67">
        <f t="shared" si="156"/>
        <v>2</v>
      </c>
      <c r="F428" s="74">
        <f t="shared" si="157"/>
        <v>46433</v>
      </c>
      <c r="G428" s="67">
        <f t="shared" si="158"/>
        <v>24325</v>
      </c>
      <c r="H428" s="75">
        <f t="shared" si="159"/>
        <v>1</v>
      </c>
      <c r="I428" s="76">
        <f t="shared" si="160"/>
        <v>1.03</v>
      </c>
      <c r="J428" s="76">
        <f t="shared" si="161"/>
        <v>1.03</v>
      </c>
      <c r="K428" s="67">
        <f t="shared" si="162"/>
        <v>0</v>
      </c>
      <c r="L428" s="67">
        <f t="shared" si="163"/>
        <v>0</v>
      </c>
      <c r="M428" s="77">
        <f t="shared" si="164"/>
        <v>0</v>
      </c>
      <c r="N428" s="76">
        <f t="shared" si="165"/>
        <v>1.03</v>
      </c>
      <c r="O428" s="77">
        <f t="shared" si="166"/>
        <v>0.91299781181619255</v>
      </c>
      <c r="P428" s="76">
        <f t="shared" si="167"/>
        <v>0</v>
      </c>
      <c r="Q428" s="76">
        <f t="shared" si="168"/>
        <v>1</v>
      </c>
      <c r="R428" s="76">
        <f t="shared" si="169"/>
        <v>0</v>
      </c>
      <c r="S428" s="76">
        <f t="shared" si="170"/>
        <v>1.0221605936637808</v>
      </c>
      <c r="T428" s="76">
        <f t="shared" si="171"/>
        <v>0.98370754447721431</v>
      </c>
      <c r="U428" s="76">
        <f t="shared" si="172"/>
        <v>1.03</v>
      </c>
    </row>
    <row r="429" spans="1:21" x14ac:dyDescent="0.25">
      <c r="A429" s="71">
        <v>27</v>
      </c>
      <c r="B429" s="72">
        <f t="shared" si="173"/>
        <v>46447</v>
      </c>
      <c r="C429" s="73">
        <f t="shared" si="154"/>
        <v>46477</v>
      </c>
      <c r="D429" s="67">
        <f t="shared" si="155"/>
        <v>31</v>
      </c>
      <c r="E429" s="67">
        <f t="shared" si="156"/>
        <v>3</v>
      </c>
      <c r="F429" s="74">
        <f t="shared" si="157"/>
        <v>46462.5</v>
      </c>
      <c r="G429" s="67">
        <f t="shared" si="158"/>
        <v>24326</v>
      </c>
      <c r="H429" s="75">
        <f t="shared" si="159"/>
        <v>1</v>
      </c>
      <c r="I429" s="76">
        <f t="shared" si="160"/>
        <v>1.03</v>
      </c>
      <c r="J429" s="76">
        <f t="shared" si="161"/>
        <v>1.03</v>
      </c>
      <c r="K429" s="67">
        <f t="shared" si="162"/>
        <v>0</v>
      </c>
      <c r="L429" s="67">
        <f t="shared" si="163"/>
        <v>0</v>
      </c>
      <c r="M429" s="77">
        <f t="shared" si="164"/>
        <v>0</v>
      </c>
      <c r="N429" s="76">
        <f t="shared" si="165"/>
        <v>1.03</v>
      </c>
      <c r="O429" s="77">
        <f t="shared" si="166"/>
        <v>0.91364332603938736</v>
      </c>
      <c r="P429" s="76">
        <f t="shared" si="167"/>
        <v>0</v>
      </c>
      <c r="Q429" s="76">
        <f t="shared" si="168"/>
        <v>1</v>
      </c>
      <c r="R429" s="76">
        <f t="shared" si="169"/>
        <v>0</v>
      </c>
      <c r="S429" s="76">
        <f t="shared" si="170"/>
        <v>1.0228832889354009</v>
      </c>
      <c r="T429" s="76">
        <f t="shared" si="171"/>
        <v>0.98440919037199126</v>
      </c>
      <c r="U429" s="76">
        <f t="shared" si="172"/>
        <v>1.03</v>
      </c>
    </row>
    <row r="430" spans="1:21" x14ac:dyDescent="0.25">
      <c r="A430" s="71">
        <v>28</v>
      </c>
      <c r="B430" s="72">
        <f t="shared" si="173"/>
        <v>46478</v>
      </c>
      <c r="C430" s="73">
        <f t="shared" si="154"/>
        <v>46507</v>
      </c>
      <c r="D430" s="67">
        <f t="shared" si="155"/>
        <v>30</v>
      </c>
      <c r="E430" s="67">
        <f t="shared" si="156"/>
        <v>4</v>
      </c>
      <c r="F430" s="74">
        <f t="shared" si="157"/>
        <v>46493</v>
      </c>
      <c r="G430" s="67">
        <f t="shared" si="158"/>
        <v>24327</v>
      </c>
      <c r="H430" s="75">
        <f t="shared" si="159"/>
        <v>1</v>
      </c>
      <c r="I430" s="76">
        <f t="shared" si="160"/>
        <v>1.03</v>
      </c>
      <c r="J430" s="76">
        <f t="shared" si="161"/>
        <v>1.03</v>
      </c>
      <c r="K430" s="67">
        <f t="shared" si="162"/>
        <v>0</v>
      </c>
      <c r="L430" s="67">
        <f t="shared" si="163"/>
        <v>0</v>
      </c>
      <c r="M430" s="77">
        <f t="shared" si="164"/>
        <v>0</v>
      </c>
      <c r="N430" s="76">
        <f t="shared" si="165"/>
        <v>1.03</v>
      </c>
      <c r="O430" s="77">
        <f t="shared" si="166"/>
        <v>0.91431072210065645</v>
      </c>
      <c r="P430" s="76">
        <f t="shared" si="167"/>
        <v>0</v>
      </c>
      <c r="Q430" s="76">
        <f t="shared" si="168"/>
        <v>1</v>
      </c>
      <c r="R430" s="76">
        <f t="shared" si="169"/>
        <v>0</v>
      </c>
      <c r="S430" s="76">
        <f t="shared" si="170"/>
        <v>1.0236304823518219</v>
      </c>
      <c r="T430" s="76">
        <f t="shared" si="171"/>
        <v>0.98513462087337078</v>
      </c>
      <c r="U430" s="76">
        <f t="shared" si="172"/>
        <v>1.03</v>
      </c>
    </row>
    <row r="431" spans="1:21" x14ac:dyDescent="0.25">
      <c r="A431" s="71">
        <v>29</v>
      </c>
      <c r="B431" s="72">
        <f t="shared" si="173"/>
        <v>46508</v>
      </c>
      <c r="C431" s="73">
        <f t="shared" si="154"/>
        <v>46538</v>
      </c>
      <c r="D431" s="67">
        <f t="shared" si="155"/>
        <v>31</v>
      </c>
      <c r="E431" s="67">
        <f t="shared" si="156"/>
        <v>5</v>
      </c>
      <c r="F431" s="74">
        <f t="shared" si="157"/>
        <v>46523.5</v>
      </c>
      <c r="G431" s="67">
        <f t="shared" si="158"/>
        <v>24328</v>
      </c>
      <c r="H431" s="75">
        <f t="shared" si="159"/>
        <v>1</v>
      </c>
      <c r="I431" s="76">
        <f t="shared" si="160"/>
        <v>1.03</v>
      </c>
      <c r="J431" s="76">
        <f t="shared" si="161"/>
        <v>1.03</v>
      </c>
      <c r="K431" s="67">
        <f t="shared" si="162"/>
        <v>0</v>
      </c>
      <c r="L431" s="67">
        <f t="shared" si="163"/>
        <v>0</v>
      </c>
      <c r="M431" s="77">
        <f t="shared" si="164"/>
        <v>0</v>
      </c>
      <c r="N431" s="76">
        <f t="shared" si="165"/>
        <v>1.03</v>
      </c>
      <c r="O431" s="77">
        <f t="shared" si="166"/>
        <v>0.91497811816192565</v>
      </c>
      <c r="P431" s="76">
        <f t="shared" si="167"/>
        <v>0</v>
      </c>
      <c r="Q431" s="76">
        <f t="shared" si="168"/>
        <v>1</v>
      </c>
      <c r="R431" s="76">
        <f t="shared" si="169"/>
        <v>0</v>
      </c>
      <c r="S431" s="76">
        <f t="shared" si="170"/>
        <v>1.0243776757682428</v>
      </c>
      <c r="T431" s="76">
        <f t="shared" si="171"/>
        <v>0.9858600513747503</v>
      </c>
      <c r="U431" s="76">
        <f t="shared" si="172"/>
        <v>1.03</v>
      </c>
    </row>
    <row r="432" spans="1:21" x14ac:dyDescent="0.25">
      <c r="A432" s="71">
        <v>30</v>
      </c>
      <c r="B432" s="72">
        <f t="shared" si="173"/>
        <v>46539</v>
      </c>
      <c r="C432" s="73">
        <f t="shared" si="154"/>
        <v>46568</v>
      </c>
      <c r="D432" s="67">
        <f t="shared" si="155"/>
        <v>30</v>
      </c>
      <c r="E432" s="67">
        <f t="shared" si="156"/>
        <v>6</v>
      </c>
      <c r="F432" s="74">
        <f t="shared" si="157"/>
        <v>46554</v>
      </c>
      <c r="G432" s="67">
        <f t="shared" si="158"/>
        <v>24329</v>
      </c>
      <c r="H432" s="75">
        <f t="shared" si="159"/>
        <v>1</v>
      </c>
      <c r="I432" s="76">
        <f t="shared" si="160"/>
        <v>1.03</v>
      </c>
      <c r="J432" s="76">
        <f t="shared" si="161"/>
        <v>1.03</v>
      </c>
      <c r="K432" s="67">
        <f t="shared" si="162"/>
        <v>0</v>
      </c>
      <c r="L432" s="67">
        <f t="shared" si="163"/>
        <v>0</v>
      </c>
      <c r="M432" s="77">
        <f t="shared" si="164"/>
        <v>0</v>
      </c>
      <c r="N432" s="76">
        <f t="shared" si="165"/>
        <v>1.03</v>
      </c>
      <c r="O432" s="77">
        <f t="shared" si="166"/>
        <v>0.91564551422319473</v>
      </c>
      <c r="P432" s="76">
        <f t="shared" si="167"/>
        <v>0</v>
      </c>
      <c r="Q432" s="76">
        <f t="shared" si="168"/>
        <v>1</v>
      </c>
      <c r="R432" s="76">
        <f t="shared" si="169"/>
        <v>0</v>
      </c>
      <c r="S432" s="76">
        <f t="shared" si="170"/>
        <v>1.0251248691846637</v>
      </c>
      <c r="T432" s="76">
        <f t="shared" si="171"/>
        <v>0.98658548187612971</v>
      </c>
      <c r="U432" s="76">
        <f t="shared" si="172"/>
        <v>1.03</v>
      </c>
    </row>
    <row r="433" spans="1:21" x14ac:dyDescent="0.25">
      <c r="A433" s="71">
        <v>31</v>
      </c>
      <c r="B433" s="72">
        <f t="shared" si="173"/>
        <v>46569</v>
      </c>
      <c r="C433" s="73">
        <f t="shared" si="154"/>
        <v>46599</v>
      </c>
      <c r="D433" s="67">
        <f t="shared" si="155"/>
        <v>31</v>
      </c>
      <c r="E433" s="67">
        <f t="shared" si="156"/>
        <v>7</v>
      </c>
      <c r="F433" s="74">
        <f t="shared" si="157"/>
        <v>46584.5</v>
      </c>
      <c r="G433" s="67">
        <f t="shared" si="158"/>
        <v>24330</v>
      </c>
      <c r="H433" s="75">
        <f t="shared" si="159"/>
        <v>1</v>
      </c>
      <c r="I433" s="76">
        <f t="shared" si="160"/>
        <v>1.03</v>
      </c>
      <c r="J433" s="76">
        <f t="shared" si="161"/>
        <v>1.03</v>
      </c>
      <c r="K433" s="67">
        <f t="shared" si="162"/>
        <v>0</v>
      </c>
      <c r="L433" s="67">
        <f t="shared" si="163"/>
        <v>0</v>
      </c>
      <c r="M433" s="77">
        <f t="shared" si="164"/>
        <v>0</v>
      </c>
      <c r="N433" s="76">
        <f t="shared" si="165"/>
        <v>1.03</v>
      </c>
      <c r="O433" s="77">
        <f t="shared" si="166"/>
        <v>0.91631291028446393</v>
      </c>
      <c r="P433" s="76">
        <f t="shared" si="167"/>
        <v>0</v>
      </c>
      <c r="Q433" s="76">
        <f t="shared" si="168"/>
        <v>0.91666666666666663</v>
      </c>
      <c r="R433" s="76">
        <f t="shared" si="169"/>
        <v>8.333333333333337E-2</v>
      </c>
      <c r="S433" s="76">
        <f t="shared" si="170"/>
        <v>1.0258720626010847</v>
      </c>
      <c r="T433" s="76">
        <f t="shared" si="171"/>
        <v>1.0169302397488347</v>
      </c>
      <c r="U433" s="76">
        <f t="shared" si="172"/>
        <v>1.03</v>
      </c>
    </row>
    <row r="434" spans="1:21" x14ac:dyDescent="0.25">
      <c r="A434" s="71">
        <v>32</v>
      </c>
      <c r="B434" s="72">
        <f t="shared" si="173"/>
        <v>46600</v>
      </c>
      <c r="C434" s="73">
        <f t="shared" si="154"/>
        <v>46630</v>
      </c>
      <c r="D434" s="67">
        <f t="shared" si="155"/>
        <v>31</v>
      </c>
      <c r="E434" s="67">
        <f t="shared" si="156"/>
        <v>8</v>
      </c>
      <c r="F434" s="74">
        <f t="shared" si="157"/>
        <v>46615.5</v>
      </c>
      <c r="G434" s="67">
        <f t="shared" si="158"/>
        <v>24331</v>
      </c>
      <c r="H434" s="75">
        <f t="shared" si="159"/>
        <v>1</v>
      </c>
      <c r="I434" s="76">
        <f t="shared" si="160"/>
        <v>1.03</v>
      </c>
      <c r="J434" s="76">
        <f t="shared" si="161"/>
        <v>1.03</v>
      </c>
      <c r="K434" s="67">
        <f t="shared" si="162"/>
        <v>0</v>
      </c>
      <c r="L434" s="67">
        <f t="shared" si="163"/>
        <v>0</v>
      </c>
      <c r="M434" s="77">
        <f t="shared" si="164"/>
        <v>0</v>
      </c>
      <c r="N434" s="76">
        <f t="shared" si="165"/>
        <v>1.03</v>
      </c>
      <c r="O434" s="77">
        <f t="shared" si="166"/>
        <v>0.91699124726477033</v>
      </c>
      <c r="P434" s="76">
        <f t="shared" si="167"/>
        <v>0</v>
      </c>
      <c r="Q434" s="76">
        <f t="shared" si="168"/>
        <v>0.75</v>
      </c>
      <c r="R434" s="76">
        <f t="shared" si="169"/>
        <v>0.25</v>
      </c>
      <c r="S434" s="76">
        <f t="shared" si="170"/>
        <v>1.026631505089906</v>
      </c>
      <c r="T434" s="76">
        <f t="shared" si="171"/>
        <v>1.0176896822376558</v>
      </c>
      <c r="U434" s="76">
        <f t="shared" si="172"/>
        <v>1.03</v>
      </c>
    </row>
    <row r="435" spans="1:21" x14ac:dyDescent="0.25">
      <c r="A435" s="71">
        <v>33</v>
      </c>
      <c r="B435" s="72">
        <f t="shared" si="173"/>
        <v>46631</v>
      </c>
      <c r="C435" s="73">
        <f t="shared" si="154"/>
        <v>46660</v>
      </c>
      <c r="D435" s="67">
        <f t="shared" si="155"/>
        <v>30</v>
      </c>
      <c r="E435" s="67">
        <f t="shared" si="156"/>
        <v>9</v>
      </c>
      <c r="F435" s="74">
        <f t="shared" si="157"/>
        <v>46646</v>
      </c>
      <c r="G435" s="67">
        <f t="shared" si="158"/>
        <v>24332</v>
      </c>
      <c r="H435" s="75">
        <f t="shared" si="159"/>
        <v>1</v>
      </c>
      <c r="I435" s="76">
        <f t="shared" si="160"/>
        <v>1.03</v>
      </c>
      <c r="J435" s="76">
        <f t="shared" si="161"/>
        <v>1.03</v>
      </c>
      <c r="K435" s="67">
        <f t="shared" si="162"/>
        <v>0</v>
      </c>
      <c r="L435" s="67">
        <f t="shared" si="163"/>
        <v>0</v>
      </c>
      <c r="M435" s="77">
        <f t="shared" si="164"/>
        <v>0</v>
      </c>
      <c r="N435" s="76">
        <f t="shared" si="165"/>
        <v>1.03</v>
      </c>
      <c r="O435" s="77">
        <f t="shared" si="166"/>
        <v>0.91765864332603941</v>
      </c>
      <c r="P435" s="76">
        <f t="shared" si="167"/>
        <v>0</v>
      </c>
      <c r="Q435" s="76">
        <f t="shared" si="168"/>
        <v>0.58333333333333337</v>
      </c>
      <c r="R435" s="76">
        <f t="shared" si="169"/>
        <v>0.41666666666666663</v>
      </c>
      <c r="S435" s="76">
        <f t="shared" si="170"/>
        <v>1.0273786985063267</v>
      </c>
      <c r="T435" s="76">
        <f t="shared" si="171"/>
        <v>1.0184368756540767</v>
      </c>
      <c r="U435" s="76">
        <f t="shared" si="172"/>
        <v>1.03</v>
      </c>
    </row>
    <row r="436" spans="1:21" x14ac:dyDescent="0.25">
      <c r="A436" s="71">
        <v>34</v>
      </c>
      <c r="B436" s="72">
        <f t="shared" si="173"/>
        <v>46661</v>
      </c>
      <c r="C436" s="73">
        <f t="shared" si="154"/>
        <v>46691</v>
      </c>
      <c r="D436" s="67">
        <f t="shared" si="155"/>
        <v>31</v>
      </c>
      <c r="E436" s="67">
        <f t="shared" si="156"/>
        <v>10</v>
      </c>
      <c r="F436" s="74">
        <f t="shared" si="157"/>
        <v>46676.5</v>
      </c>
      <c r="G436" s="67">
        <f t="shared" si="158"/>
        <v>24333</v>
      </c>
      <c r="H436" s="75">
        <f t="shared" si="159"/>
        <v>1</v>
      </c>
      <c r="I436" s="76">
        <f t="shared" si="160"/>
        <v>1.03</v>
      </c>
      <c r="J436" s="76">
        <f t="shared" si="161"/>
        <v>1.03</v>
      </c>
      <c r="K436" s="67">
        <f t="shared" si="162"/>
        <v>0</v>
      </c>
      <c r="L436" s="67">
        <f t="shared" si="163"/>
        <v>0</v>
      </c>
      <c r="M436" s="77">
        <f t="shared" si="164"/>
        <v>0</v>
      </c>
      <c r="N436" s="76">
        <f t="shared" si="165"/>
        <v>1.03</v>
      </c>
      <c r="O436" s="77">
        <f t="shared" si="166"/>
        <v>0.91832603938730861</v>
      </c>
      <c r="P436" s="76">
        <f t="shared" si="167"/>
        <v>0</v>
      </c>
      <c r="Q436" s="76">
        <f t="shared" si="168"/>
        <v>0.41666666666666669</v>
      </c>
      <c r="R436" s="76">
        <f t="shared" si="169"/>
        <v>0.58333333333333326</v>
      </c>
      <c r="S436" s="76">
        <f t="shared" si="170"/>
        <v>1.0281258919227476</v>
      </c>
      <c r="T436" s="76">
        <f t="shared" si="171"/>
        <v>1.0191840690704974</v>
      </c>
      <c r="U436" s="76">
        <f t="shared" si="172"/>
        <v>1.03</v>
      </c>
    </row>
    <row r="437" spans="1:21" x14ac:dyDescent="0.25">
      <c r="A437" s="71">
        <v>35</v>
      </c>
      <c r="B437" s="72">
        <f t="shared" si="173"/>
        <v>46692</v>
      </c>
      <c r="C437" s="73">
        <f t="shared" si="154"/>
        <v>46721</v>
      </c>
      <c r="D437" s="67">
        <f t="shared" si="155"/>
        <v>30</v>
      </c>
      <c r="E437" s="67">
        <f t="shared" si="156"/>
        <v>11</v>
      </c>
      <c r="F437" s="74">
        <f t="shared" si="157"/>
        <v>46707</v>
      </c>
      <c r="G437" s="67">
        <f t="shared" si="158"/>
        <v>24334</v>
      </c>
      <c r="H437" s="75">
        <f t="shared" si="159"/>
        <v>1</v>
      </c>
      <c r="I437" s="76">
        <f t="shared" si="160"/>
        <v>1.03</v>
      </c>
      <c r="J437" s="76">
        <f t="shared" si="161"/>
        <v>1.03</v>
      </c>
      <c r="K437" s="67">
        <f t="shared" si="162"/>
        <v>0</v>
      </c>
      <c r="L437" s="67">
        <f t="shared" si="163"/>
        <v>0</v>
      </c>
      <c r="M437" s="77">
        <f t="shared" si="164"/>
        <v>0</v>
      </c>
      <c r="N437" s="76">
        <f t="shared" si="165"/>
        <v>1.03</v>
      </c>
      <c r="O437" s="77">
        <f t="shared" si="166"/>
        <v>0.9189934354485777</v>
      </c>
      <c r="P437" s="76">
        <f t="shared" si="167"/>
        <v>0</v>
      </c>
      <c r="Q437" s="76">
        <f t="shared" si="168"/>
        <v>0.25</v>
      </c>
      <c r="R437" s="76">
        <f t="shared" si="169"/>
        <v>0.75</v>
      </c>
      <c r="S437" s="76">
        <f t="shared" si="170"/>
        <v>1.0288730853391685</v>
      </c>
      <c r="T437" s="76">
        <f t="shared" si="171"/>
        <v>1.0199312624869186</v>
      </c>
      <c r="U437" s="76">
        <f t="shared" si="172"/>
        <v>1.03</v>
      </c>
    </row>
    <row r="438" spans="1:21" x14ac:dyDescent="0.25">
      <c r="A438" s="71">
        <v>36</v>
      </c>
      <c r="B438" s="72">
        <f t="shared" si="173"/>
        <v>46722</v>
      </c>
      <c r="C438" s="73">
        <f t="shared" si="154"/>
        <v>46752</v>
      </c>
      <c r="D438" s="67">
        <f t="shared" si="155"/>
        <v>31</v>
      </c>
      <c r="E438" s="67">
        <f t="shared" si="156"/>
        <v>12</v>
      </c>
      <c r="F438" s="74">
        <f t="shared" si="157"/>
        <v>46737.5</v>
      </c>
      <c r="G438" s="67">
        <f t="shared" si="158"/>
        <v>24335</v>
      </c>
      <c r="H438" s="75">
        <f t="shared" si="159"/>
        <v>1</v>
      </c>
      <c r="I438" s="76">
        <f t="shared" si="160"/>
        <v>1.03</v>
      </c>
      <c r="J438" s="76">
        <f t="shared" si="161"/>
        <v>1.03</v>
      </c>
      <c r="K438" s="67">
        <f t="shared" si="162"/>
        <v>0</v>
      </c>
      <c r="L438" s="67">
        <f t="shared" si="163"/>
        <v>0</v>
      </c>
      <c r="M438" s="77">
        <f t="shared" si="164"/>
        <v>0</v>
      </c>
      <c r="N438" s="76">
        <f t="shared" si="165"/>
        <v>1.03</v>
      </c>
      <c r="O438" s="77">
        <f t="shared" si="166"/>
        <v>0.9196608315098469</v>
      </c>
      <c r="P438" s="76">
        <f t="shared" si="167"/>
        <v>0</v>
      </c>
      <c r="Q438" s="76">
        <f t="shared" si="168"/>
        <v>8.3333333333333329E-2</v>
      </c>
      <c r="R438" s="76">
        <f t="shared" si="169"/>
        <v>0.91666666666666663</v>
      </c>
      <c r="S438" s="76">
        <f t="shared" si="170"/>
        <v>1.0296202787555895</v>
      </c>
      <c r="T438" s="76">
        <f t="shared" si="171"/>
        <v>1.0206784559033393</v>
      </c>
      <c r="U438" s="76">
        <f t="shared" si="172"/>
        <v>1.03</v>
      </c>
    </row>
    <row r="439" spans="1:21" x14ac:dyDescent="0.25">
      <c r="A439" s="71">
        <v>37</v>
      </c>
      <c r="B439" s="72">
        <f t="shared" si="173"/>
        <v>46753</v>
      </c>
      <c r="C439" s="73">
        <f t="shared" si="154"/>
        <v>46783</v>
      </c>
      <c r="D439" s="67">
        <f t="shared" si="155"/>
        <v>31</v>
      </c>
      <c r="E439" s="67">
        <f t="shared" si="156"/>
        <v>1</v>
      </c>
      <c r="F439" s="74">
        <f t="shared" si="157"/>
        <v>46768.5</v>
      </c>
      <c r="G439" s="67">
        <f t="shared" si="158"/>
        <v>24336</v>
      </c>
      <c r="H439" s="75">
        <f t="shared" si="159"/>
        <v>1</v>
      </c>
      <c r="I439" s="76">
        <f t="shared" si="160"/>
        <v>1.03</v>
      </c>
      <c r="J439" s="76">
        <f t="shared" si="161"/>
        <v>1.03</v>
      </c>
      <c r="K439" s="67">
        <f t="shared" si="162"/>
        <v>0</v>
      </c>
      <c r="L439" s="67">
        <f t="shared" si="163"/>
        <v>0</v>
      </c>
      <c r="M439" s="77">
        <f t="shared" si="164"/>
        <v>0</v>
      </c>
      <c r="N439" s="76">
        <f t="shared" si="165"/>
        <v>1.03</v>
      </c>
      <c r="O439" s="77">
        <f t="shared" si="166"/>
        <v>0.92</v>
      </c>
      <c r="P439" s="76">
        <f t="shared" si="167"/>
        <v>0</v>
      </c>
      <c r="Q439" s="76">
        <f t="shared" si="168"/>
        <v>0</v>
      </c>
      <c r="R439" s="76">
        <f t="shared" si="169"/>
        <v>1</v>
      </c>
      <c r="S439" s="76">
        <f t="shared" si="170"/>
        <v>1.03</v>
      </c>
      <c r="T439" s="76">
        <f t="shared" si="171"/>
        <v>0.98300589858243748</v>
      </c>
      <c r="U439" s="76">
        <f t="shared" si="172"/>
        <v>1.03</v>
      </c>
    </row>
    <row r="440" spans="1:21" x14ac:dyDescent="0.25">
      <c r="A440" s="71">
        <v>38</v>
      </c>
      <c r="B440" s="72">
        <f t="shared" si="173"/>
        <v>46784</v>
      </c>
      <c r="C440" s="73">
        <f t="shared" si="154"/>
        <v>46812</v>
      </c>
      <c r="D440" s="67">
        <f t="shared" si="155"/>
        <v>29</v>
      </c>
      <c r="E440" s="67">
        <f t="shared" si="156"/>
        <v>2</v>
      </c>
      <c r="F440" s="74">
        <f t="shared" si="157"/>
        <v>46798.5</v>
      </c>
      <c r="G440" s="67">
        <f t="shared" si="158"/>
        <v>24337</v>
      </c>
      <c r="H440" s="75">
        <f t="shared" si="159"/>
        <v>1</v>
      </c>
      <c r="I440" s="76">
        <f t="shared" si="160"/>
        <v>1.03</v>
      </c>
      <c r="J440" s="76">
        <f t="shared" si="161"/>
        <v>1.03</v>
      </c>
      <c r="K440" s="67">
        <f t="shared" si="162"/>
        <v>0</v>
      </c>
      <c r="L440" s="67">
        <f t="shared" si="163"/>
        <v>0</v>
      </c>
      <c r="M440" s="77">
        <f t="shared" si="164"/>
        <v>0</v>
      </c>
      <c r="N440" s="76">
        <f t="shared" si="165"/>
        <v>1.03</v>
      </c>
      <c r="O440" s="77">
        <f t="shared" si="166"/>
        <v>0.92</v>
      </c>
      <c r="P440" s="76">
        <f t="shared" si="167"/>
        <v>0</v>
      </c>
      <c r="Q440" s="76">
        <f t="shared" si="168"/>
        <v>0</v>
      </c>
      <c r="R440" s="76">
        <f t="shared" si="169"/>
        <v>1</v>
      </c>
      <c r="S440" s="76">
        <f t="shared" si="170"/>
        <v>1.03</v>
      </c>
      <c r="T440" s="76">
        <f t="shared" si="171"/>
        <v>0.98370754447721431</v>
      </c>
      <c r="U440" s="76">
        <f t="shared" si="172"/>
        <v>1.03</v>
      </c>
    </row>
    <row r="441" spans="1:21" x14ac:dyDescent="0.25">
      <c r="A441" s="71">
        <v>39</v>
      </c>
      <c r="B441" s="72">
        <f t="shared" si="173"/>
        <v>46813</v>
      </c>
      <c r="C441" s="73">
        <f t="shared" si="154"/>
        <v>46843</v>
      </c>
      <c r="D441" s="67">
        <f t="shared" si="155"/>
        <v>31</v>
      </c>
      <c r="E441" s="67">
        <f t="shared" si="156"/>
        <v>3</v>
      </c>
      <c r="F441" s="74">
        <f t="shared" si="157"/>
        <v>46828.5</v>
      </c>
      <c r="G441" s="67">
        <f t="shared" si="158"/>
        <v>24338</v>
      </c>
      <c r="H441" s="75">
        <f t="shared" si="159"/>
        <v>1</v>
      </c>
      <c r="I441" s="76">
        <f t="shared" si="160"/>
        <v>1.03</v>
      </c>
      <c r="J441" s="76">
        <f t="shared" si="161"/>
        <v>1.03</v>
      </c>
      <c r="K441" s="67">
        <f t="shared" si="162"/>
        <v>0</v>
      </c>
      <c r="L441" s="67">
        <f t="shared" si="163"/>
        <v>0</v>
      </c>
      <c r="M441" s="77">
        <f t="shared" si="164"/>
        <v>0</v>
      </c>
      <c r="N441" s="76">
        <f t="shared" si="165"/>
        <v>1.03</v>
      </c>
      <c r="O441" s="77">
        <f t="shared" si="166"/>
        <v>0.92</v>
      </c>
      <c r="P441" s="76">
        <f t="shared" si="167"/>
        <v>0</v>
      </c>
      <c r="Q441" s="76">
        <f t="shared" si="168"/>
        <v>0</v>
      </c>
      <c r="R441" s="76">
        <f t="shared" si="169"/>
        <v>1</v>
      </c>
      <c r="S441" s="76">
        <f t="shared" si="170"/>
        <v>1.03</v>
      </c>
      <c r="T441" s="76">
        <f t="shared" si="171"/>
        <v>0.98440919037199126</v>
      </c>
      <c r="U441" s="76">
        <f t="shared" si="172"/>
        <v>1.03</v>
      </c>
    </row>
    <row r="442" spans="1:21" x14ac:dyDescent="0.25">
      <c r="A442" s="71">
        <v>40</v>
      </c>
      <c r="B442" s="72">
        <f t="shared" si="173"/>
        <v>46844</v>
      </c>
      <c r="C442" s="73">
        <f t="shared" si="154"/>
        <v>46873</v>
      </c>
      <c r="D442" s="67">
        <f t="shared" si="155"/>
        <v>30</v>
      </c>
      <c r="E442" s="67">
        <f t="shared" si="156"/>
        <v>4</v>
      </c>
      <c r="F442" s="74">
        <f t="shared" si="157"/>
        <v>46859</v>
      </c>
      <c r="G442" s="67">
        <f t="shared" si="158"/>
        <v>24339</v>
      </c>
      <c r="H442" s="75">
        <f t="shared" si="159"/>
        <v>1</v>
      </c>
      <c r="I442" s="76">
        <f t="shared" si="160"/>
        <v>1.03</v>
      </c>
      <c r="J442" s="76">
        <f t="shared" si="161"/>
        <v>1.03</v>
      </c>
      <c r="K442" s="67">
        <f t="shared" si="162"/>
        <v>0</v>
      </c>
      <c r="L442" s="67">
        <f t="shared" si="163"/>
        <v>0</v>
      </c>
      <c r="M442" s="77">
        <f t="shared" si="164"/>
        <v>0</v>
      </c>
      <c r="N442" s="76">
        <f t="shared" si="165"/>
        <v>1.03</v>
      </c>
      <c r="O442" s="77">
        <f t="shared" si="166"/>
        <v>0.92</v>
      </c>
      <c r="P442" s="76">
        <f t="shared" si="167"/>
        <v>0</v>
      </c>
      <c r="Q442" s="76">
        <f t="shared" si="168"/>
        <v>0</v>
      </c>
      <c r="R442" s="76">
        <f t="shared" si="169"/>
        <v>1</v>
      </c>
      <c r="S442" s="76">
        <f t="shared" si="170"/>
        <v>1.03</v>
      </c>
      <c r="T442" s="76">
        <f t="shared" si="171"/>
        <v>0.98513462087337078</v>
      </c>
      <c r="U442" s="76">
        <f t="shared" si="172"/>
        <v>1.03</v>
      </c>
    </row>
    <row r="443" spans="1:21" x14ac:dyDescent="0.25">
      <c r="A443" s="71">
        <v>41</v>
      </c>
      <c r="B443" s="72">
        <f t="shared" si="173"/>
        <v>46874</v>
      </c>
      <c r="C443" s="73">
        <f t="shared" si="154"/>
        <v>46904</v>
      </c>
      <c r="D443" s="67">
        <f t="shared" si="155"/>
        <v>31</v>
      </c>
      <c r="E443" s="67">
        <f t="shared" si="156"/>
        <v>5</v>
      </c>
      <c r="F443" s="74">
        <f t="shared" si="157"/>
        <v>46889.5</v>
      </c>
      <c r="G443" s="67">
        <f t="shared" si="158"/>
        <v>24340</v>
      </c>
      <c r="H443" s="75">
        <f t="shared" si="159"/>
        <v>1</v>
      </c>
      <c r="I443" s="76">
        <f t="shared" si="160"/>
        <v>1.03</v>
      </c>
      <c r="J443" s="76">
        <f t="shared" si="161"/>
        <v>1.03</v>
      </c>
      <c r="K443" s="67">
        <f t="shared" si="162"/>
        <v>0</v>
      </c>
      <c r="L443" s="67">
        <f t="shared" si="163"/>
        <v>0</v>
      </c>
      <c r="M443" s="77">
        <f t="shared" si="164"/>
        <v>0</v>
      </c>
      <c r="N443" s="76">
        <f t="shared" si="165"/>
        <v>1.03</v>
      </c>
      <c r="O443" s="77">
        <f t="shared" si="166"/>
        <v>0.92</v>
      </c>
      <c r="P443" s="76">
        <f t="shared" si="167"/>
        <v>0</v>
      </c>
      <c r="Q443" s="76">
        <f t="shared" si="168"/>
        <v>0</v>
      </c>
      <c r="R443" s="76">
        <f t="shared" si="169"/>
        <v>1</v>
      </c>
      <c r="S443" s="76">
        <f t="shared" si="170"/>
        <v>1.03</v>
      </c>
      <c r="T443" s="76">
        <f t="shared" si="171"/>
        <v>0.9858600513747503</v>
      </c>
      <c r="U443" s="76">
        <f t="shared" si="172"/>
        <v>1.03</v>
      </c>
    </row>
    <row r="444" spans="1:21" x14ac:dyDescent="0.25">
      <c r="A444" s="71">
        <v>42</v>
      </c>
      <c r="B444" s="72">
        <f t="shared" si="173"/>
        <v>46905</v>
      </c>
      <c r="C444" s="73">
        <f t="shared" si="154"/>
        <v>46934</v>
      </c>
      <c r="D444" s="67">
        <f t="shared" si="155"/>
        <v>30</v>
      </c>
      <c r="E444" s="67">
        <f t="shared" si="156"/>
        <v>6</v>
      </c>
      <c r="F444" s="74">
        <f t="shared" si="157"/>
        <v>46920</v>
      </c>
      <c r="G444" s="67">
        <f t="shared" si="158"/>
        <v>24341</v>
      </c>
      <c r="H444" s="75">
        <f t="shared" si="159"/>
        <v>1</v>
      </c>
      <c r="I444" s="76">
        <f t="shared" si="160"/>
        <v>1.03</v>
      </c>
      <c r="J444" s="76">
        <f t="shared" si="161"/>
        <v>1.03</v>
      </c>
      <c r="K444" s="67">
        <f t="shared" si="162"/>
        <v>0</v>
      </c>
      <c r="L444" s="67">
        <f t="shared" si="163"/>
        <v>0</v>
      </c>
      <c r="M444" s="77">
        <f t="shared" si="164"/>
        <v>0</v>
      </c>
      <c r="N444" s="76">
        <f t="shared" si="165"/>
        <v>1.03</v>
      </c>
      <c r="O444" s="77">
        <f t="shared" si="166"/>
        <v>0.92</v>
      </c>
      <c r="P444" s="76">
        <f t="shared" si="167"/>
        <v>0</v>
      </c>
      <c r="Q444" s="76">
        <f t="shared" si="168"/>
        <v>0</v>
      </c>
      <c r="R444" s="76">
        <f t="shared" si="169"/>
        <v>1</v>
      </c>
      <c r="S444" s="76">
        <f t="shared" si="170"/>
        <v>1.03</v>
      </c>
      <c r="T444" s="76">
        <f t="shared" si="171"/>
        <v>0.98658548187612971</v>
      </c>
      <c r="U444" s="76">
        <f t="shared" si="172"/>
        <v>1.03</v>
      </c>
    </row>
    <row r="445" spans="1:21" x14ac:dyDescent="0.25">
      <c r="A445" s="71">
        <v>43</v>
      </c>
      <c r="B445" s="72">
        <f t="shared" si="173"/>
        <v>46935</v>
      </c>
      <c r="C445" s="73">
        <f t="shared" si="154"/>
        <v>46965</v>
      </c>
      <c r="D445" s="67">
        <f t="shared" si="155"/>
        <v>31</v>
      </c>
      <c r="E445" s="67">
        <f t="shared" si="156"/>
        <v>7</v>
      </c>
      <c r="F445" s="74">
        <f t="shared" si="157"/>
        <v>46950.5</v>
      </c>
      <c r="G445" s="67">
        <f t="shared" si="158"/>
        <v>24342</v>
      </c>
      <c r="H445" s="75">
        <f t="shared" si="159"/>
        <v>1</v>
      </c>
      <c r="I445" s="76">
        <f t="shared" si="160"/>
        <v>1.03</v>
      </c>
      <c r="J445" s="76">
        <f t="shared" si="161"/>
        <v>1.03</v>
      </c>
      <c r="K445" s="67">
        <f t="shared" si="162"/>
        <v>0</v>
      </c>
      <c r="L445" s="67">
        <f t="shared" si="163"/>
        <v>0</v>
      </c>
      <c r="M445" s="77">
        <f t="shared" si="164"/>
        <v>0</v>
      </c>
      <c r="N445" s="76">
        <f t="shared" si="165"/>
        <v>1.03</v>
      </c>
      <c r="O445" s="77">
        <f t="shared" si="166"/>
        <v>0.92</v>
      </c>
      <c r="P445" s="76">
        <f t="shared" si="167"/>
        <v>0</v>
      </c>
      <c r="Q445" s="76">
        <f t="shared" si="168"/>
        <v>0</v>
      </c>
      <c r="R445" s="76">
        <f t="shared" si="169"/>
        <v>0.91666666666666663</v>
      </c>
      <c r="S445" s="76">
        <f t="shared" si="170"/>
        <v>1.03</v>
      </c>
      <c r="T445" s="76">
        <f t="shared" si="171"/>
        <v>1.0169302397488347</v>
      </c>
      <c r="U445" s="76">
        <f t="shared" si="172"/>
        <v>1.03</v>
      </c>
    </row>
    <row r="446" spans="1:21" x14ac:dyDescent="0.25">
      <c r="A446" s="71">
        <v>44</v>
      </c>
      <c r="B446" s="72">
        <f t="shared" si="173"/>
        <v>46966</v>
      </c>
      <c r="C446" s="73">
        <f t="shared" si="154"/>
        <v>46996</v>
      </c>
      <c r="D446" s="67">
        <f t="shared" si="155"/>
        <v>31</v>
      </c>
      <c r="E446" s="67">
        <f t="shared" si="156"/>
        <v>8</v>
      </c>
      <c r="F446" s="74">
        <f t="shared" si="157"/>
        <v>46981.5</v>
      </c>
      <c r="G446" s="67">
        <f t="shared" si="158"/>
        <v>24343</v>
      </c>
      <c r="H446" s="75">
        <f t="shared" si="159"/>
        <v>1</v>
      </c>
      <c r="I446" s="76">
        <f t="shared" si="160"/>
        <v>1.03</v>
      </c>
      <c r="J446" s="76">
        <f t="shared" si="161"/>
        <v>1.03</v>
      </c>
      <c r="K446" s="67">
        <f t="shared" si="162"/>
        <v>0</v>
      </c>
      <c r="L446" s="67">
        <f t="shared" si="163"/>
        <v>0</v>
      </c>
      <c r="M446" s="77">
        <f t="shared" si="164"/>
        <v>0</v>
      </c>
      <c r="N446" s="76">
        <f t="shared" si="165"/>
        <v>1.03</v>
      </c>
      <c r="O446" s="77">
        <f t="shared" si="166"/>
        <v>0.92</v>
      </c>
      <c r="P446" s="76">
        <f t="shared" si="167"/>
        <v>0</v>
      </c>
      <c r="Q446" s="76">
        <f t="shared" si="168"/>
        <v>0</v>
      </c>
      <c r="R446" s="76">
        <f t="shared" si="169"/>
        <v>0.75</v>
      </c>
      <c r="S446" s="76">
        <f t="shared" si="170"/>
        <v>1.03</v>
      </c>
      <c r="T446" s="76">
        <f t="shared" si="171"/>
        <v>1.0176896822376558</v>
      </c>
      <c r="U446" s="76">
        <f t="shared" si="172"/>
        <v>1.03</v>
      </c>
    </row>
    <row r="447" spans="1:21" x14ac:dyDescent="0.25">
      <c r="A447" s="71">
        <v>45</v>
      </c>
      <c r="B447" s="72">
        <f t="shared" si="173"/>
        <v>46997</v>
      </c>
      <c r="C447" s="73">
        <f t="shared" si="154"/>
        <v>47026</v>
      </c>
      <c r="D447" s="67">
        <f t="shared" si="155"/>
        <v>30</v>
      </c>
      <c r="E447" s="67">
        <f t="shared" si="156"/>
        <v>9</v>
      </c>
      <c r="F447" s="74">
        <f t="shared" si="157"/>
        <v>47012</v>
      </c>
      <c r="G447" s="67">
        <f t="shared" si="158"/>
        <v>24344</v>
      </c>
      <c r="H447" s="75">
        <f t="shared" si="159"/>
        <v>1</v>
      </c>
      <c r="I447" s="76">
        <f t="shared" si="160"/>
        <v>1.03</v>
      </c>
      <c r="J447" s="76">
        <f t="shared" si="161"/>
        <v>1.03</v>
      </c>
      <c r="K447" s="67">
        <f t="shared" si="162"/>
        <v>0</v>
      </c>
      <c r="L447" s="67">
        <f t="shared" si="163"/>
        <v>0</v>
      </c>
      <c r="M447" s="77">
        <f t="shared" si="164"/>
        <v>0</v>
      </c>
      <c r="N447" s="76">
        <f t="shared" si="165"/>
        <v>1.03</v>
      </c>
      <c r="O447" s="77">
        <f t="shared" si="166"/>
        <v>0.92</v>
      </c>
      <c r="P447" s="76">
        <f t="shared" si="167"/>
        <v>0</v>
      </c>
      <c r="Q447" s="76">
        <f t="shared" si="168"/>
        <v>0</v>
      </c>
      <c r="R447" s="76">
        <f t="shared" si="169"/>
        <v>0.58333333333333337</v>
      </c>
      <c r="S447" s="76">
        <f t="shared" si="170"/>
        <v>1.03</v>
      </c>
      <c r="T447" s="76">
        <f t="shared" si="171"/>
        <v>1.0184368756540767</v>
      </c>
      <c r="U447" s="76">
        <f t="shared" si="172"/>
        <v>1.03</v>
      </c>
    </row>
    <row r="448" spans="1:21" x14ac:dyDescent="0.25">
      <c r="A448" s="71">
        <v>46</v>
      </c>
      <c r="B448" s="72">
        <f t="shared" si="173"/>
        <v>47027</v>
      </c>
      <c r="C448" s="73">
        <f t="shared" si="154"/>
        <v>47057</v>
      </c>
      <c r="D448" s="67">
        <f t="shared" si="155"/>
        <v>31</v>
      </c>
      <c r="E448" s="67">
        <f t="shared" si="156"/>
        <v>10</v>
      </c>
      <c r="F448" s="74">
        <f t="shared" si="157"/>
        <v>47042.5</v>
      </c>
      <c r="G448" s="67">
        <f t="shared" si="158"/>
        <v>24345</v>
      </c>
      <c r="H448" s="75">
        <f t="shared" si="159"/>
        <v>1</v>
      </c>
      <c r="I448" s="76">
        <f t="shared" si="160"/>
        <v>1.03</v>
      </c>
      <c r="J448" s="76">
        <f t="shared" si="161"/>
        <v>1.03</v>
      </c>
      <c r="K448" s="67">
        <f t="shared" si="162"/>
        <v>0</v>
      </c>
      <c r="L448" s="67">
        <f t="shared" si="163"/>
        <v>0</v>
      </c>
      <c r="M448" s="77">
        <f t="shared" si="164"/>
        <v>0</v>
      </c>
      <c r="N448" s="76">
        <f t="shared" si="165"/>
        <v>1.03</v>
      </c>
      <c r="O448" s="77">
        <f t="shared" si="166"/>
        <v>0.92</v>
      </c>
      <c r="P448" s="76">
        <f t="shared" si="167"/>
        <v>0</v>
      </c>
      <c r="Q448" s="76">
        <f t="shared" si="168"/>
        <v>0</v>
      </c>
      <c r="R448" s="76">
        <f t="shared" si="169"/>
        <v>0.41666666666666669</v>
      </c>
      <c r="S448" s="76">
        <f t="shared" si="170"/>
        <v>1.03</v>
      </c>
      <c r="T448" s="76">
        <f t="shared" si="171"/>
        <v>1.0191840690704974</v>
      </c>
      <c r="U448" s="76">
        <f t="shared" si="172"/>
        <v>1.03</v>
      </c>
    </row>
    <row r="449" spans="1:21" x14ac:dyDescent="0.25">
      <c r="A449" s="71">
        <v>47</v>
      </c>
      <c r="B449" s="72">
        <f t="shared" si="173"/>
        <v>47058</v>
      </c>
      <c r="C449" s="73">
        <f t="shared" si="154"/>
        <v>47087</v>
      </c>
      <c r="D449" s="67">
        <f t="shared" si="155"/>
        <v>30</v>
      </c>
      <c r="E449" s="67">
        <f t="shared" si="156"/>
        <v>11</v>
      </c>
      <c r="F449" s="74">
        <f t="shared" si="157"/>
        <v>47073</v>
      </c>
      <c r="G449" s="67">
        <f t="shared" si="158"/>
        <v>24346</v>
      </c>
      <c r="H449" s="75">
        <f t="shared" si="159"/>
        <v>1</v>
      </c>
      <c r="I449" s="76">
        <f t="shared" si="160"/>
        <v>1.03</v>
      </c>
      <c r="J449" s="76">
        <f t="shared" si="161"/>
        <v>1.03</v>
      </c>
      <c r="K449" s="67">
        <f t="shared" si="162"/>
        <v>0</v>
      </c>
      <c r="L449" s="67">
        <f t="shared" si="163"/>
        <v>0</v>
      </c>
      <c r="M449" s="77">
        <f t="shared" si="164"/>
        <v>0</v>
      </c>
      <c r="N449" s="76">
        <f t="shared" si="165"/>
        <v>1.03</v>
      </c>
      <c r="O449" s="77">
        <f t="shared" si="166"/>
        <v>0.92</v>
      </c>
      <c r="P449" s="76">
        <f t="shared" si="167"/>
        <v>0</v>
      </c>
      <c r="Q449" s="76">
        <f t="shared" si="168"/>
        <v>0</v>
      </c>
      <c r="R449" s="76">
        <f t="shared" si="169"/>
        <v>0.25</v>
      </c>
      <c r="S449" s="76">
        <f t="shared" si="170"/>
        <v>1.03</v>
      </c>
      <c r="T449" s="76">
        <f t="shared" si="171"/>
        <v>1.0199312624869186</v>
      </c>
      <c r="U449" s="76">
        <f t="shared" si="172"/>
        <v>1.03</v>
      </c>
    </row>
    <row r="450" spans="1:21" x14ac:dyDescent="0.25">
      <c r="A450" s="71">
        <v>48</v>
      </c>
      <c r="B450" s="72">
        <f t="shared" si="173"/>
        <v>47088</v>
      </c>
      <c r="C450" s="73">
        <f t="shared" si="154"/>
        <v>47118</v>
      </c>
      <c r="D450" s="67">
        <f t="shared" si="155"/>
        <v>31</v>
      </c>
      <c r="E450" s="67">
        <f t="shared" si="156"/>
        <v>12</v>
      </c>
      <c r="F450" s="74">
        <f t="shared" si="157"/>
        <v>47103.5</v>
      </c>
      <c r="G450" s="67">
        <f t="shared" si="158"/>
        <v>24347</v>
      </c>
      <c r="H450" s="75">
        <f t="shared" si="159"/>
        <v>1</v>
      </c>
      <c r="I450" s="76">
        <f t="shared" si="160"/>
        <v>1.03</v>
      </c>
      <c r="J450" s="76">
        <f t="shared" si="161"/>
        <v>1.03</v>
      </c>
      <c r="K450" s="67">
        <f t="shared" si="162"/>
        <v>0</v>
      </c>
      <c r="L450" s="67">
        <f t="shared" si="163"/>
        <v>0</v>
      </c>
      <c r="M450" s="77">
        <f t="shared" si="164"/>
        <v>0</v>
      </c>
      <c r="N450" s="76">
        <f t="shared" si="165"/>
        <v>1.03</v>
      </c>
      <c r="O450" s="77">
        <f t="shared" si="166"/>
        <v>0.92</v>
      </c>
      <c r="P450" s="76">
        <f t="shared" si="167"/>
        <v>0</v>
      </c>
      <c r="Q450" s="76">
        <f t="shared" si="168"/>
        <v>0</v>
      </c>
      <c r="R450" s="76">
        <f t="shared" si="169"/>
        <v>8.3333333333333329E-2</v>
      </c>
      <c r="S450" s="76">
        <f t="shared" si="170"/>
        <v>1.03</v>
      </c>
      <c r="T450" s="76">
        <f t="shared" si="171"/>
        <v>1.0206784559033393</v>
      </c>
      <c r="U450" s="76">
        <f t="shared" si="172"/>
        <v>1.03</v>
      </c>
    </row>
    <row r="451" spans="1:21" x14ac:dyDescent="0.25">
      <c r="A451" s="81" t="s">
        <v>1187</v>
      </c>
      <c r="B451" s="53">
        <f>EXP(SUMPRODUCT((rl_key=$A$400)*(rl_cons="Y")*rl_ln1p))</f>
        <v>1.03</v>
      </c>
      <c r="C451" s="53">
        <f>SUMPRODUCT($H$403:$H$450,$P$403:$P$450,$U$403:$U$450)/SUMPRODUCT($H$403:$H$450,$P$403:$P$450)</f>
        <v>1.0075000000000001</v>
      </c>
      <c r="D451" s="53">
        <f>SUMPRODUCT($H$403:$H$450,$Q$403:$Q$450,$U$403:$U$450)/SUMPRODUCT($H$403:$H$450,$Q$403:$Q$450)</f>
        <v>1.03</v>
      </c>
      <c r="E451" s="53">
        <f>SUMPRODUCT($H$403:$H$450,$R$403:$R$450,$U$403:$U$450)/SUMPRODUCT($H$403:$H$450,$R$403:$R$450)</f>
        <v>1.03</v>
      </c>
      <c r="F451" s="172">
        <f>SUMPRODUCT($H$403:$H$450,$Q$403:$Q$450,$O$403:$O$450)/SUMPRODUCT($H$403:$H$450,$Q$403:$Q$450)</f>
        <v>0.91399252370532447</v>
      </c>
      <c r="G451" s="172">
        <f>SUMPRODUCT($H$403:$H$450,$R$403:$R$450,$O$403:$O$450)/SUMPRODUCT($H$403:$H$450,$R$403:$R$450)</f>
        <v>0.91966022368101141</v>
      </c>
    </row>
    <row r="454" spans="1:21" x14ac:dyDescent="0.25">
      <c r="A454" s="81" t="str">
        <f>INDEX(lr_key,8)</f>
        <v>BU-A|IN</v>
      </c>
      <c r="B454" s="81" t="str">
        <f>INDEX(lr_state,8)</f>
        <v>IN</v>
      </c>
      <c r="C454" s="55">
        <f>nr_TermMonths</f>
        <v>6</v>
      </c>
      <c r="D454" s="55">
        <f>IF(COUNTIF(se_state,$B454)=0,0,MATCH($B454,se_state,0))</f>
        <v>2</v>
      </c>
      <c r="E454" s="57">
        <f>IF($D454=0,0,INDEX(se_sum,$D454))</f>
        <v>11.999999999999998</v>
      </c>
      <c r="F454" s="172">
        <f>IF(N(INDEX(lr_mind,8))=0,1,INDEX(lr_mind,8))</f>
        <v>0.92</v>
      </c>
      <c r="G454" s="172">
        <f>IF(N(INDEX(lr_m0,8))=0,1,INDEX(lr_m0,8))</f>
        <v>0.91</v>
      </c>
      <c r="H454" s="54">
        <f>IF(N(INDEX(lr_m0asof,8))=0,DATE(nr_PlanYear-1,10,1),INDEX(lr_m0asof,8))</f>
        <v>46295</v>
      </c>
      <c r="I454" s="172">
        <f>IF(N(INDEX(lr_m1,8))=0,1,INDEX(lr_m1,8))</f>
        <v>0.9</v>
      </c>
      <c r="J454" s="172">
        <f>INDEX(lr_mprior,8)</f>
        <v>0</v>
      </c>
      <c r="K454" s="172">
        <f>INDEX(lr_m2,8)</f>
        <v>0</v>
      </c>
      <c r="L454" s="81" t="b">
        <f>NOT(ISBLANK(INDEX(lr_netp,8)))</f>
        <v>0</v>
      </c>
      <c r="M454" s="52">
        <f>N(INDEX(lr_netp,8))</f>
        <v>0</v>
      </c>
      <c r="N454" s="52">
        <f>IF(ISBLANK(INDEX(lr_netp1,8)),$M$454,N(INDEX(lr_netp1,8)))</f>
        <v>0</v>
      </c>
      <c r="O454" s="55">
        <f>IF(AND(nr_ModAdjMaster="ON",INDEX(lr_modadj,8)="ON"),1,0)</f>
        <v>1</v>
      </c>
    </row>
    <row r="455" spans="1:21" x14ac:dyDescent="0.25">
      <c r="A455" s="81">
        <f>EDATE($H$454,-12)+1</f>
        <v>45931</v>
      </c>
      <c r="B455" s="81">
        <f>$H$454+1</f>
        <v>46296</v>
      </c>
      <c r="C455" s="81">
        <f>DATE(nr_PlanYear,12,31)+1</f>
        <v>46753</v>
      </c>
      <c r="D455" s="81">
        <f>DATE(nr_PlanYear+1,12,31)+1</f>
        <v>47119</v>
      </c>
      <c r="E455" s="81">
        <f>IF(N($J$454)=0,$F$455-($G$455-$F$455)/($C$455-$B$455)*($B$455-$A$455),$J$454)</f>
        <v>0.91798687089715536</v>
      </c>
      <c r="F455" s="81">
        <f>$G$454</f>
        <v>0.91</v>
      </c>
      <c r="G455" s="81">
        <f>$I$454</f>
        <v>0.9</v>
      </c>
      <c r="H455" s="81">
        <f>IF(N($K$454)=0,$I$454,$K$454)</f>
        <v>0.9</v>
      </c>
      <c r="I455" s="81">
        <f>($F$455-$E$455)/($B$455-$A$455)</f>
        <v>-2.1881838074398162E-5</v>
      </c>
      <c r="J455" s="81">
        <f>($G$455-$F$455)/($C$455-$B$455)</f>
        <v>-2.188183807439827E-5</v>
      </c>
      <c r="K455" s="81">
        <f>($H$455-$G$455)/($D$455-$C$455)</f>
        <v>0</v>
      </c>
    </row>
    <row r="456" spans="1:21" ht="36" x14ac:dyDescent="0.25">
      <c r="A456" s="50" t="s">
        <v>211</v>
      </c>
      <c r="B456" s="50" t="s">
        <v>212</v>
      </c>
      <c r="C456" s="50" t="s">
        <v>213</v>
      </c>
      <c r="D456" s="50" t="s">
        <v>214</v>
      </c>
      <c r="E456" s="50" t="s">
        <v>215</v>
      </c>
      <c r="F456" s="50" t="s">
        <v>216</v>
      </c>
      <c r="G456" s="50" t="s">
        <v>217</v>
      </c>
      <c r="H456" s="50" t="s">
        <v>218</v>
      </c>
      <c r="I456" s="50" t="s">
        <v>219</v>
      </c>
      <c r="J456" s="50" t="s">
        <v>220</v>
      </c>
      <c r="K456" s="50" t="s">
        <v>221</v>
      </c>
      <c r="L456" s="50" t="s">
        <v>222</v>
      </c>
      <c r="M456" s="50" t="s">
        <v>223</v>
      </c>
      <c r="N456" s="50" t="s">
        <v>224</v>
      </c>
      <c r="O456" s="50" t="s">
        <v>225</v>
      </c>
      <c r="P456" s="50" t="s">
        <v>226</v>
      </c>
      <c r="Q456" s="50" t="s">
        <v>227</v>
      </c>
      <c r="R456" s="50" t="s">
        <v>228</v>
      </c>
      <c r="S456" s="50" t="s">
        <v>229</v>
      </c>
      <c r="T456" s="50" t="s">
        <v>230</v>
      </c>
      <c r="U456" s="50" t="s">
        <v>231</v>
      </c>
    </row>
    <row r="457" spans="1:21" x14ac:dyDescent="0.25">
      <c r="A457" s="71">
        <v>1</v>
      </c>
      <c r="B457" s="72">
        <f>DATE(nr_PlanYear-2,1,1)</f>
        <v>45658</v>
      </c>
      <c r="C457" s="73">
        <f t="shared" ref="C457:C504" si="174">EOMONTH($B457,0)</f>
        <v>45688</v>
      </c>
      <c r="D457" s="67">
        <f t="shared" ref="D457:D504" si="175">$C457-$B457+1</f>
        <v>31</v>
      </c>
      <c r="E457" s="67">
        <f t="shared" ref="E457:E504" si="176">MONTH($B457)</f>
        <v>1</v>
      </c>
      <c r="F457" s="74">
        <f t="shared" ref="F457:F504" si="177">($B457+$C457+1)/2</f>
        <v>45673.5</v>
      </c>
      <c r="G457" s="67">
        <f t="shared" ref="G457:G504" si="178">YEAR($B457)*12+MONTH($B457)-1</f>
        <v>24300</v>
      </c>
      <c r="H457" s="75">
        <f t="shared" ref="H457:H504" si="179">IF(OR(nr_SeasonOn="OFF",$D$454=0,$E$454=0),1,12*INDEX(se_block,$D$454,$E457)/$E$454)</f>
        <v>1</v>
      </c>
      <c r="I457" s="76">
        <f t="shared" ref="I457:I504" si="180">EXP(SUMPRODUCT((rl_eff&lt;$B457)*(rl_key=$A$454)*rl_ln1p))</f>
        <v>1</v>
      </c>
      <c r="J457" s="76">
        <f t="shared" ref="J457:J504" si="181">EXP(SUMPRODUCT((rl_eff&lt;=$C457)*(rl_key=$A$454)*rl_ln1p))</f>
        <v>1</v>
      </c>
      <c r="K457" s="67">
        <f t="shared" ref="K457:K504" si="182">COUNTIFS(rl_key,$A$454,rl_eff,"&gt;="&amp;$B457,rl_eff,"&lt;="&amp;$C457)</f>
        <v>0</v>
      </c>
      <c r="L457" s="67">
        <f t="shared" ref="L457:L504" si="183">SUMIFS(rl_daysafter,rl_key,$A$454,rl_effmonth,$B457,rl_first,1)</f>
        <v>0</v>
      </c>
      <c r="M457" s="77">
        <f t="shared" ref="M457:M504" si="184">IF($K457=0,0,MIN(1,$L457/$D457))</f>
        <v>0</v>
      </c>
      <c r="N457" s="76">
        <f t="shared" ref="N457:N504" si="185">IF($K457=0,$J457,(1-$M457)*$I457+$M457*$J457)</f>
        <v>1</v>
      </c>
      <c r="O457" s="77">
        <f t="shared" ref="O457:O504" si="186">IF($F457&lt;$B$455,$E$455+$I$455*($F457-$A$455),IF($F457&lt;$C$455,$F$455+$J$455*($F457-$B$455),$G$455+$K$455*($F457-$C$455)))</f>
        <v>0.92362144420131287</v>
      </c>
      <c r="P457" s="76">
        <f t="shared" ref="P457:P504" si="187">MIN(1,MAX(0,(nr_MEndPm1-$G457+0.5)/$C$454))-MIN(1,MAX(0,(nr_MStartPm1-1-$G457+0.5)/$C$454))</f>
        <v>0</v>
      </c>
      <c r="Q457" s="76">
        <f t="shared" ref="Q457:Q504" si="188">MIN(1,MAX(0,(nr_MEndP-$G457+0.5)/$C$454))-MIN(1,MAX(0,(nr_MStartP-1-$G457+0.5)/$C$454))</f>
        <v>0</v>
      </c>
      <c r="R457" s="76">
        <f t="shared" ref="R457:R504" si="189">MIN(1,MAX(0,(nr_MEndP1-$G457+0.5)/$C$454))-MIN(1,MAX(0,(nr_MStartP1-1-$G457+0.5)/$C$454))</f>
        <v>0</v>
      </c>
      <c r="S457" s="76">
        <f t="shared" ref="S457:S504" si="190">$N457*IF($O$454=1,$O457/$F$454,1)</f>
        <v>1.0039363523927314</v>
      </c>
      <c r="T457" s="76">
        <f t="shared" ref="T457:T504" si="191">IF($G457&lt;nr_MStartP,$S457,$T445*(1+IF($G457&lt;nr_MStartP1,$M$454,$N$454)))</f>
        <v>1.0039363523927314</v>
      </c>
      <c r="U457" s="76">
        <f t="shared" ref="U457:U504" si="192">IF($L$454,$T457,$N457)</f>
        <v>1</v>
      </c>
    </row>
    <row r="458" spans="1:21" x14ac:dyDescent="0.25">
      <c r="A458" s="71">
        <v>2</v>
      </c>
      <c r="B458" s="72">
        <f t="shared" ref="B458:B504" si="193">EDATE($B457,1)</f>
        <v>45689</v>
      </c>
      <c r="C458" s="73">
        <f t="shared" si="174"/>
        <v>45716</v>
      </c>
      <c r="D458" s="67">
        <f t="shared" si="175"/>
        <v>28</v>
      </c>
      <c r="E458" s="67">
        <f t="shared" si="176"/>
        <v>2</v>
      </c>
      <c r="F458" s="74">
        <f t="shared" si="177"/>
        <v>45703</v>
      </c>
      <c r="G458" s="67">
        <f t="shared" si="178"/>
        <v>24301</v>
      </c>
      <c r="H458" s="75">
        <f t="shared" si="179"/>
        <v>1</v>
      </c>
      <c r="I458" s="76">
        <f t="shared" si="180"/>
        <v>1</v>
      </c>
      <c r="J458" s="76">
        <f t="shared" si="181"/>
        <v>1</v>
      </c>
      <c r="K458" s="67">
        <f t="shared" si="182"/>
        <v>0</v>
      </c>
      <c r="L458" s="67">
        <f t="shared" si="183"/>
        <v>0</v>
      </c>
      <c r="M458" s="77">
        <f t="shared" si="184"/>
        <v>0</v>
      </c>
      <c r="N458" s="76">
        <f t="shared" si="185"/>
        <v>1</v>
      </c>
      <c r="O458" s="77">
        <f t="shared" si="186"/>
        <v>0.92297592997811817</v>
      </c>
      <c r="P458" s="76">
        <f t="shared" si="187"/>
        <v>0</v>
      </c>
      <c r="Q458" s="76">
        <f t="shared" si="188"/>
        <v>0</v>
      </c>
      <c r="R458" s="76">
        <f t="shared" si="189"/>
        <v>0</v>
      </c>
      <c r="S458" s="76">
        <f t="shared" si="190"/>
        <v>1.0032347064979545</v>
      </c>
      <c r="T458" s="76">
        <f t="shared" si="191"/>
        <v>1.0032347064979545</v>
      </c>
      <c r="U458" s="76">
        <f t="shared" si="192"/>
        <v>1</v>
      </c>
    </row>
    <row r="459" spans="1:21" x14ac:dyDescent="0.25">
      <c r="A459" s="71">
        <v>3</v>
      </c>
      <c r="B459" s="72">
        <f t="shared" si="193"/>
        <v>45717</v>
      </c>
      <c r="C459" s="73">
        <f t="shared" si="174"/>
        <v>45747</v>
      </c>
      <c r="D459" s="67">
        <f t="shared" si="175"/>
        <v>31</v>
      </c>
      <c r="E459" s="67">
        <f t="shared" si="176"/>
        <v>3</v>
      </c>
      <c r="F459" s="74">
        <f t="shared" si="177"/>
        <v>45732.5</v>
      </c>
      <c r="G459" s="67">
        <f t="shared" si="178"/>
        <v>24302</v>
      </c>
      <c r="H459" s="75">
        <f t="shared" si="179"/>
        <v>1</v>
      </c>
      <c r="I459" s="76">
        <f t="shared" si="180"/>
        <v>1</v>
      </c>
      <c r="J459" s="76">
        <f t="shared" si="181"/>
        <v>1</v>
      </c>
      <c r="K459" s="67">
        <f t="shared" si="182"/>
        <v>0</v>
      </c>
      <c r="L459" s="67">
        <f t="shared" si="183"/>
        <v>0</v>
      </c>
      <c r="M459" s="77">
        <f t="shared" si="184"/>
        <v>0</v>
      </c>
      <c r="N459" s="76">
        <f t="shared" si="185"/>
        <v>1</v>
      </c>
      <c r="O459" s="77">
        <f t="shared" si="186"/>
        <v>0.92233041575492336</v>
      </c>
      <c r="P459" s="76">
        <f t="shared" si="187"/>
        <v>0</v>
      </c>
      <c r="Q459" s="76">
        <f t="shared" si="188"/>
        <v>0</v>
      </c>
      <c r="R459" s="76">
        <f t="shared" si="189"/>
        <v>0</v>
      </c>
      <c r="S459" s="76">
        <f t="shared" si="190"/>
        <v>1.0025330606031775</v>
      </c>
      <c r="T459" s="76">
        <f t="shared" si="191"/>
        <v>1.0025330606031775</v>
      </c>
      <c r="U459" s="76">
        <f t="shared" si="192"/>
        <v>1</v>
      </c>
    </row>
    <row r="460" spans="1:21" x14ac:dyDescent="0.25">
      <c r="A460" s="71">
        <v>4</v>
      </c>
      <c r="B460" s="72">
        <f t="shared" si="193"/>
        <v>45748</v>
      </c>
      <c r="C460" s="73">
        <f t="shared" si="174"/>
        <v>45777</v>
      </c>
      <c r="D460" s="67">
        <f t="shared" si="175"/>
        <v>30</v>
      </c>
      <c r="E460" s="67">
        <f t="shared" si="176"/>
        <v>4</v>
      </c>
      <c r="F460" s="74">
        <f t="shared" si="177"/>
        <v>45763</v>
      </c>
      <c r="G460" s="67">
        <f t="shared" si="178"/>
        <v>24303</v>
      </c>
      <c r="H460" s="75">
        <f t="shared" si="179"/>
        <v>1</v>
      </c>
      <c r="I460" s="76">
        <f t="shared" si="180"/>
        <v>1</v>
      </c>
      <c r="J460" s="76">
        <f t="shared" si="181"/>
        <v>1</v>
      </c>
      <c r="K460" s="67">
        <f t="shared" si="182"/>
        <v>0</v>
      </c>
      <c r="L460" s="67">
        <f t="shared" si="183"/>
        <v>0</v>
      </c>
      <c r="M460" s="77">
        <f t="shared" si="184"/>
        <v>0</v>
      </c>
      <c r="N460" s="76">
        <f t="shared" si="185"/>
        <v>1</v>
      </c>
      <c r="O460" s="77">
        <f t="shared" si="186"/>
        <v>0.92166301969365427</v>
      </c>
      <c r="P460" s="76">
        <f t="shared" si="187"/>
        <v>0</v>
      </c>
      <c r="Q460" s="76">
        <f t="shared" si="188"/>
        <v>0</v>
      </c>
      <c r="R460" s="76">
        <f t="shared" si="189"/>
        <v>0</v>
      </c>
      <c r="S460" s="76">
        <f t="shared" si="190"/>
        <v>1.0018076301017982</v>
      </c>
      <c r="T460" s="76">
        <f t="shared" si="191"/>
        <v>1.0018076301017982</v>
      </c>
      <c r="U460" s="76">
        <f t="shared" si="192"/>
        <v>1</v>
      </c>
    </row>
    <row r="461" spans="1:21" x14ac:dyDescent="0.25">
      <c r="A461" s="71">
        <v>5</v>
      </c>
      <c r="B461" s="72">
        <f t="shared" si="193"/>
        <v>45778</v>
      </c>
      <c r="C461" s="73">
        <f t="shared" si="174"/>
        <v>45808</v>
      </c>
      <c r="D461" s="67">
        <f t="shared" si="175"/>
        <v>31</v>
      </c>
      <c r="E461" s="67">
        <f t="shared" si="176"/>
        <v>5</v>
      </c>
      <c r="F461" s="74">
        <f t="shared" si="177"/>
        <v>45793.5</v>
      </c>
      <c r="G461" s="67">
        <f t="shared" si="178"/>
        <v>24304</v>
      </c>
      <c r="H461" s="75">
        <f t="shared" si="179"/>
        <v>1</v>
      </c>
      <c r="I461" s="76">
        <f t="shared" si="180"/>
        <v>1</v>
      </c>
      <c r="J461" s="76">
        <f t="shared" si="181"/>
        <v>1</v>
      </c>
      <c r="K461" s="67">
        <f t="shared" si="182"/>
        <v>0</v>
      </c>
      <c r="L461" s="67">
        <f t="shared" si="183"/>
        <v>0</v>
      </c>
      <c r="M461" s="77">
        <f t="shared" si="184"/>
        <v>0</v>
      </c>
      <c r="N461" s="76">
        <f t="shared" si="185"/>
        <v>1</v>
      </c>
      <c r="O461" s="77">
        <f t="shared" si="186"/>
        <v>0.92099562363238507</v>
      </c>
      <c r="P461" s="76">
        <f t="shared" si="187"/>
        <v>0</v>
      </c>
      <c r="Q461" s="76">
        <f t="shared" si="188"/>
        <v>0</v>
      </c>
      <c r="R461" s="76">
        <f t="shared" si="189"/>
        <v>0</v>
      </c>
      <c r="S461" s="76">
        <f t="shared" si="190"/>
        <v>1.0010821996004184</v>
      </c>
      <c r="T461" s="76">
        <f t="shared" si="191"/>
        <v>1.0010821996004184</v>
      </c>
      <c r="U461" s="76">
        <f t="shared" si="192"/>
        <v>1</v>
      </c>
    </row>
    <row r="462" spans="1:21" x14ac:dyDescent="0.25">
      <c r="A462" s="71">
        <v>6</v>
      </c>
      <c r="B462" s="72">
        <f t="shared" si="193"/>
        <v>45809</v>
      </c>
      <c r="C462" s="73">
        <f t="shared" si="174"/>
        <v>45838</v>
      </c>
      <c r="D462" s="67">
        <f t="shared" si="175"/>
        <v>30</v>
      </c>
      <c r="E462" s="67">
        <f t="shared" si="176"/>
        <v>6</v>
      </c>
      <c r="F462" s="74">
        <f t="shared" si="177"/>
        <v>45824</v>
      </c>
      <c r="G462" s="67">
        <f t="shared" si="178"/>
        <v>24305</v>
      </c>
      <c r="H462" s="75">
        <f t="shared" si="179"/>
        <v>1</v>
      </c>
      <c r="I462" s="76">
        <f t="shared" si="180"/>
        <v>1</v>
      </c>
      <c r="J462" s="76">
        <f t="shared" si="181"/>
        <v>1</v>
      </c>
      <c r="K462" s="67">
        <f t="shared" si="182"/>
        <v>0</v>
      </c>
      <c r="L462" s="67">
        <f t="shared" si="183"/>
        <v>0</v>
      </c>
      <c r="M462" s="77">
        <f t="shared" si="184"/>
        <v>0</v>
      </c>
      <c r="N462" s="76">
        <f t="shared" si="185"/>
        <v>1</v>
      </c>
      <c r="O462" s="77">
        <f t="shared" si="186"/>
        <v>0.92032822757111599</v>
      </c>
      <c r="P462" s="76">
        <f t="shared" si="187"/>
        <v>0</v>
      </c>
      <c r="Q462" s="76">
        <f t="shared" si="188"/>
        <v>0</v>
      </c>
      <c r="R462" s="76">
        <f t="shared" si="189"/>
        <v>0</v>
      </c>
      <c r="S462" s="76">
        <f t="shared" si="190"/>
        <v>1.0003567690990391</v>
      </c>
      <c r="T462" s="76">
        <f t="shared" si="191"/>
        <v>1.0003567690990391</v>
      </c>
      <c r="U462" s="76">
        <f t="shared" si="192"/>
        <v>1</v>
      </c>
    </row>
    <row r="463" spans="1:21" x14ac:dyDescent="0.25">
      <c r="A463" s="71">
        <v>7</v>
      </c>
      <c r="B463" s="72">
        <f t="shared" si="193"/>
        <v>45839</v>
      </c>
      <c r="C463" s="73">
        <f t="shared" si="174"/>
        <v>45869</v>
      </c>
      <c r="D463" s="67">
        <f t="shared" si="175"/>
        <v>31</v>
      </c>
      <c r="E463" s="67">
        <f t="shared" si="176"/>
        <v>7</v>
      </c>
      <c r="F463" s="74">
        <f t="shared" si="177"/>
        <v>45854.5</v>
      </c>
      <c r="G463" s="67">
        <f t="shared" si="178"/>
        <v>24306</v>
      </c>
      <c r="H463" s="75">
        <f t="shared" si="179"/>
        <v>1</v>
      </c>
      <c r="I463" s="76">
        <f t="shared" si="180"/>
        <v>1</v>
      </c>
      <c r="J463" s="76">
        <f t="shared" si="181"/>
        <v>1</v>
      </c>
      <c r="K463" s="67">
        <f t="shared" si="182"/>
        <v>0</v>
      </c>
      <c r="L463" s="67">
        <f t="shared" si="183"/>
        <v>0</v>
      </c>
      <c r="M463" s="77">
        <f t="shared" si="184"/>
        <v>0</v>
      </c>
      <c r="N463" s="76">
        <f t="shared" si="185"/>
        <v>1</v>
      </c>
      <c r="O463" s="77">
        <f t="shared" si="186"/>
        <v>0.91966083150984679</v>
      </c>
      <c r="P463" s="76">
        <f t="shared" si="187"/>
        <v>8.333333333333337E-2</v>
      </c>
      <c r="Q463" s="76">
        <f t="shared" si="188"/>
        <v>0</v>
      </c>
      <c r="R463" s="76">
        <f t="shared" si="189"/>
        <v>0</v>
      </c>
      <c r="S463" s="76">
        <f t="shared" si="190"/>
        <v>0.99963133859765951</v>
      </c>
      <c r="T463" s="76">
        <f t="shared" si="191"/>
        <v>0.99963133859765951</v>
      </c>
      <c r="U463" s="76">
        <f t="shared" si="192"/>
        <v>1</v>
      </c>
    </row>
    <row r="464" spans="1:21" x14ac:dyDescent="0.25">
      <c r="A464" s="71">
        <v>8</v>
      </c>
      <c r="B464" s="72">
        <f t="shared" si="193"/>
        <v>45870</v>
      </c>
      <c r="C464" s="73">
        <f t="shared" si="174"/>
        <v>45900</v>
      </c>
      <c r="D464" s="67">
        <f t="shared" si="175"/>
        <v>31</v>
      </c>
      <c r="E464" s="67">
        <f t="shared" si="176"/>
        <v>8</v>
      </c>
      <c r="F464" s="74">
        <f t="shared" si="177"/>
        <v>45885.5</v>
      </c>
      <c r="G464" s="67">
        <f t="shared" si="178"/>
        <v>24307</v>
      </c>
      <c r="H464" s="75">
        <f t="shared" si="179"/>
        <v>1</v>
      </c>
      <c r="I464" s="76">
        <f t="shared" si="180"/>
        <v>1</v>
      </c>
      <c r="J464" s="76">
        <f t="shared" si="181"/>
        <v>1</v>
      </c>
      <c r="K464" s="67">
        <f t="shared" si="182"/>
        <v>0</v>
      </c>
      <c r="L464" s="67">
        <f t="shared" si="183"/>
        <v>0</v>
      </c>
      <c r="M464" s="77">
        <f t="shared" si="184"/>
        <v>0</v>
      </c>
      <c r="N464" s="76">
        <f t="shared" si="185"/>
        <v>1</v>
      </c>
      <c r="O464" s="77">
        <f t="shared" si="186"/>
        <v>0.91898249452954051</v>
      </c>
      <c r="P464" s="76">
        <f t="shared" si="187"/>
        <v>0.25</v>
      </c>
      <c r="Q464" s="76">
        <f t="shared" si="188"/>
        <v>0</v>
      </c>
      <c r="R464" s="76">
        <f t="shared" si="189"/>
        <v>0</v>
      </c>
      <c r="S464" s="76">
        <f t="shared" si="190"/>
        <v>0.99889401579297876</v>
      </c>
      <c r="T464" s="76">
        <f t="shared" si="191"/>
        <v>0.99889401579297876</v>
      </c>
      <c r="U464" s="76">
        <f t="shared" si="192"/>
        <v>1</v>
      </c>
    </row>
    <row r="465" spans="1:21" x14ac:dyDescent="0.25">
      <c r="A465" s="71">
        <v>9</v>
      </c>
      <c r="B465" s="72">
        <f t="shared" si="193"/>
        <v>45901</v>
      </c>
      <c r="C465" s="73">
        <f t="shared" si="174"/>
        <v>45930</v>
      </c>
      <c r="D465" s="67">
        <f t="shared" si="175"/>
        <v>30</v>
      </c>
      <c r="E465" s="67">
        <f t="shared" si="176"/>
        <v>9</v>
      </c>
      <c r="F465" s="74">
        <f t="shared" si="177"/>
        <v>45916</v>
      </c>
      <c r="G465" s="67">
        <f t="shared" si="178"/>
        <v>24308</v>
      </c>
      <c r="H465" s="75">
        <f t="shared" si="179"/>
        <v>1</v>
      </c>
      <c r="I465" s="76">
        <f t="shared" si="180"/>
        <v>1</v>
      </c>
      <c r="J465" s="76">
        <f t="shared" si="181"/>
        <v>1</v>
      </c>
      <c r="K465" s="67">
        <f t="shared" si="182"/>
        <v>0</v>
      </c>
      <c r="L465" s="67">
        <f t="shared" si="183"/>
        <v>0</v>
      </c>
      <c r="M465" s="77">
        <f t="shared" si="184"/>
        <v>0</v>
      </c>
      <c r="N465" s="76">
        <f t="shared" si="185"/>
        <v>1</v>
      </c>
      <c r="O465" s="77">
        <f t="shared" si="186"/>
        <v>0.91831509846827131</v>
      </c>
      <c r="P465" s="76">
        <f t="shared" si="187"/>
        <v>0.41666666666666663</v>
      </c>
      <c r="Q465" s="76">
        <f t="shared" si="188"/>
        <v>0</v>
      </c>
      <c r="R465" s="76">
        <f t="shared" si="189"/>
        <v>0</v>
      </c>
      <c r="S465" s="76">
        <f t="shared" si="190"/>
        <v>0.99816858529159924</v>
      </c>
      <c r="T465" s="76">
        <f t="shared" si="191"/>
        <v>0.99816858529159924</v>
      </c>
      <c r="U465" s="76">
        <f t="shared" si="192"/>
        <v>1</v>
      </c>
    </row>
    <row r="466" spans="1:21" x14ac:dyDescent="0.25">
      <c r="A466" s="71">
        <v>10</v>
      </c>
      <c r="B466" s="72">
        <f t="shared" si="193"/>
        <v>45931</v>
      </c>
      <c r="C466" s="73">
        <f t="shared" si="174"/>
        <v>45961</v>
      </c>
      <c r="D466" s="67">
        <f t="shared" si="175"/>
        <v>31</v>
      </c>
      <c r="E466" s="67">
        <f t="shared" si="176"/>
        <v>10</v>
      </c>
      <c r="F466" s="74">
        <f t="shared" si="177"/>
        <v>45946.5</v>
      </c>
      <c r="G466" s="67">
        <f t="shared" si="178"/>
        <v>24309</v>
      </c>
      <c r="H466" s="75">
        <f t="shared" si="179"/>
        <v>1</v>
      </c>
      <c r="I466" s="76">
        <f t="shared" si="180"/>
        <v>1</v>
      </c>
      <c r="J466" s="76">
        <f t="shared" si="181"/>
        <v>1</v>
      </c>
      <c r="K466" s="67">
        <f t="shared" si="182"/>
        <v>0</v>
      </c>
      <c r="L466" s="67">
        <f t="shared" si="183"/>
        <v>0</v>
      </c>
      <c r="M466" s="77">
        <f t="shared" si="184"/>
        <v>0</v>
      </c>
      <c r="N466" s="76">
        <f t="shared" si="185"/>
        <v>1</v>
      </c>
      <c r="O466" s="77">
        <f t="shared" si="186"/>
        <v>0.91764770240700222</v>
      </c>
      <c r="P466" s="76">
        <f t="shared" si="187"/>
        <v>0.58333333333333326</v>
      </c>
      <c r="Q466" s="76">
        <f t="shared" si="188"/>
        <v>0</v>
      </c>
      <c r="R466" s="76">
        <f t="shared" si="189"/>
        <v>0</v>
      </c>
      <c r="S466" s="76">
        <f t="shared" si="190"/>
        <v>0.99744315479021972</v>
      </c>
      <c r="T466" s="76">
        <f t="shared" si="191"/>
        <v>0.99744315479021972</v>
      </c>
      <c r="U466" s="76">
        <f t="shared" si="192"/>
        <v>1</v>
      </c>
    </row>
    <row r="467" spans="1:21" x14ac:dyDescent="0.25">
      <c r="A467" s="71">
        <v>11</v>
      </c>
      <c r="B467" s="72">
        <f t="shared" si="193"/>
        <v>45962</v>
      </c>
      <c r="C467" s="73">
        <f t="shared" si="174"/>
        <v>45991</v>
      </c>
      <c r="D467" s="67">
        <f t="shared" si="175"/>
        <v>30</v>
      </c>
      <c r="E467" s="67">
        <f t="shared" si="176"/>
        <v>11</v>
      </c>
      <c r="F467" s="74">
        <f t="shared" si="177"/>
        <v>45977</v>
      </c>
      <c r="G467" s="67">
        <f t="shared" si="178"/>
        <v>24310</v>
      </c>
      <c r="H467" s="75">
        <f t="shared" si="179"/>
        <v>1</v>
      </c>
      <c r="I467" s="76">
        <f t="shared" si="180"/>
        <v>1</v>
      </c>
      <c r="J467" s="76">
        <f t="shared" si="181"/>
        <v>1</v>
      </c>
      <c r="K467" s="67">
        <f t="shared" si="182"/>
        <v>0</v>
      </c>
      <c r="L467" s="67">
        <f t="shared" si="183"/>
        <v>0</v>
      </c>
      <c r="M467" s="77">
        <f t="shared" si="184"/>
        <v>0</v>
      </c>
      <c r="N467" s="76">
        <f t="shared" si="185"/>
        <v>1</v>
      </c>
      <c r="O467" s="77">
        <f t="shared" si="186"/>
        <v>0.91698030634573302</v>
      </c>
      <c r="P467" s="76">
        <f t="shared" si="187"/>
        <v>0.75</v>
      </c>
      <c r="Q467" s="76">
        <f t="shared" si="188"/>
        <v>0</v>
      </c>
      <c r="R467" s="76">
        <f t="shared" si="189"/>
        <v>0</v>
      </c>
      <c r="S467" s="76">
        <f t="shared" si="190"/>
        <v>0.9967177242888402</v>
      </c>
      <c r="T467" s="76">
        <f t="shared" si="191"/>
        <v>0.9967177242888402</v>
      </c>
      <c r="U467" s="76">
        <f t="shared" si="192"/>
        <v>1</v>
      </c>
    </row>
    <row r="468" spans="1:21" x14ac:dyDescent="0.25">
      <c r="A468" s="71">
        <v>12</v>
      </c>
      <c r="B468" s="72">
        <f t="shared" si="193"/>
        <v>45992</v>
      </c>
      <c r="C468" s="73">
        <f t="shared" si="174"/>
        <v>46022</v>
      </c>
      <c r="D468" s="67">
        <f t="shared" si="175"/>
        <v>31</v>
      </c>
      <c r="E468" s="67">
        <f t="shared" si="176"/>
        <v>12</v>
      </c>
      <c r="F468" s="74">
        <f t="shared" si="177"/>
        <v>46007.5</v>
      </c>
      <c r="G468" s="67">
        <f t="shared" si="178"/>
        <v>24311</v>
      </c>
      <c r="H468" s="75">
        <f t="shared" si="179"/>
        <v>1</v>
      </c>
      <c r="I468" s="76">
        <f t="shared" si="180"/>
        <v>1</v>
      </c>
      <c r="J468" s="76">
        <f t="shared" si="181"/>
        <v>1</v>
      </c>
      <c r="K468" s="67">
        <f t="shared" si="182"/>
        <v>0</v>
      </c>
      <c r="L468" s="67">
        <f t="shared" si="183"/>
        <v>0</v>
      </c>
      <c r="M468" s="77">
        <f t="shared" si="184"/>
        <v>0</v>
      </c>
      <c r="N468" s="76">
        <f t="shared" si="185"/>
        <v>1</v>
      </c>
      <c r="O468" s="77">
        <f t="shared" si="186"/>
        <v>0.91631291028446393</v>
      </c>
      <c r="P468" s="76">
        <f t="shared" si="187"/>
        <v>0.91666666666666663</v>
      </c>
      <c r="Q468" s="76">
        <f t="shared" si="188"/>
        <v>0</v>
      </c>
      <c r="R468" s="76">
        <f t="shared" si="189"/>
        <v>0</v>
      </c>
      <c r="S468" s="76">
        <f t="shared" si="190"/>
        <v>0.99599229378746079</v>
      </c>
      <c r="T468" s="76">
        <f t="shared" si="191"/>
        <v>0.99599229378746079</v>
      </c>
      <c r="U468" s="76">
        <f t="shared" si="192"/>
        <v>1</v>
      </c>
    </row>
    <row r="469" spans="1:21" x14ac:dyDescent="0.25">
      <c r="A469" s="71">
        <v>13</v>
      </c>
      <c r="B469" s="72">
        <f t="shared" si="193"/>
        <v>46023</v>
      </c>
      <c r="C469" s="73">
        <f t="shared" si="174"/>
        <v>46053</v>
      </c>
      <c r="D469" s="67">
        <f t="shared" si="175"/>
        <v>31</v>
      </c>
      <c r="E469" s="67">
        <f t="shared" si="176"/>
        <v>1</v>
      </c>
      <c r="F469" s="74">
        <f t="shared" si="177"/>
        <v>46038.5</v>
      </c>
      <c r="G469" s="67">
        <f t="shared" si="178"/>
        <v>24312</v>
      </c>
      <c r="H469" s="75">
        <f t="shared" si="179"/>
        <v>1</v>
      </c>
      <c r="I469" s="76">
        <f t="shared" si="180"/>
        <v>1</v>
      </c>
      <c r="J469" s="76">
        <f t="shared" si="181"/>
        <v>1</v>
      </c>
      <c r="K469" s="67">
        <f t="shared" si="182"/>
        <v>0</v>
      </c>
      <c r="L469" s="67">
        <f t="shared" si="183"/>
        <v>0</v>
      </c>
      <c r="M469" s="77">
        <f t="shared" si="184"/>
        <v>0</v>
      </c>
      <c r="N469" s="76">
        <f t="shared" si="185"/>
        <v>1</v>
      </c>
      <c r="O469" s="77">
        <f t="shared" si="186"/>
        <v>0.91563457330415754</v>
      </c>
      <c r="P469" s="76">
        <f t="shared" si="187"/>
        <v>1</v>
      </c>
      <c r="Q469" s="76">
        <f t="shared" si="188"/>
        <v>0</v>
      </c>
      <c r="R469" s="76">
        <f t="shared" si="189"/>
        <v>0</v>
      </c>
      <c r="S469" s="76">
        <f t="shared" si="190"/>
        <v>0.99525497098277993</v>
      </c>
      <c r="T469" s="76">
        <f t="shared" si="191"/>
        <v>0.99525497098277993</v>
      </c>
      <c r="U469" s="76">
        <f t="shared" si="192"/>
        <v>1</v>
      </c>
    </row>
    <row r="470" spans="1:21" x14ac:dyDescent="0.25">
      <c r="A470" s="71">
        <v>14</v>
      </c>
      <c r="B470" s="72">
        <f t="shared" si="193"/>
        <v>46054</v>
      </c>
      <c r="C470" s="73">
        <f t="shared" si="174"/>
        <v>46081</v>
      </c>
      <c r="D470" s="67">
        <f t="shared" si="175"/>
        <v>28</v>
      </c>
      <c r="E470" s="67">
        <f t="shared" si="176"/>
        <v>2</v>
      </c>
      <c r="F470" s="74">
        <f t="shared" si="177"/>
        <v>46068</v>
      </c>
      <c r="G470" s="67">
        <f t="shared" si="178"/>
        <v>24313</v>
      </c>
      <c r="H470" s="75">
        <f t="shared" si="179"/>
        <v>1</v>
      </c>
      <c r="I470" s="76">
        <f t="shared" si="180"/>
        <v>1</v>
      </c>
      <c r="J470" s="76">
        <f t="shared" si="181"/>
        <v>1</v>
      </c>
      <c r="K470" s="67">
        <f t="shared" si="182"/>
        <v>0</v>
      </c>
      <c r="L470" s="67">
        <f t="shared" si="183"/>
        <v>0</v>
      </c>
      <c r="M470" s="77">
        <f t="shared" si="184"/>
        <v>0</v>
      </c>
      <c r="N470" s="76">
        <f t="shared" si="185"/>
        <v>1</v>
      </c>
      <c r="O470" s="77">
        <f t="shared" si="186"/>
        <v>0.91498905908096284</v>
      </c>
      <c r="P470" s="76">
        <f t="shared" si="187"/>
        <v>1</v>
      </c>
      <c r="Q470" s="76">
        <f t="shared" si="188"/>
        <v>0</v>
      </c>
      <c r="R470" s="76">
        <f t="shared" si="189"/>
        <v>0</v>
      </c>
      <c r="S470" s="76">
        <f t="shared" si="190"/>
        <v>0.99455332508800309</v>
      </c>
      <c r="T470" s="76">
        <f t="shared" si="191"/>
        <v>0.99455332508800309</v>
      </c>
      <c r="U470" s="76">
        <f t="shared" si="192"/>
        <v>1</v>
      </c>
    </row>
    <row r="471" spans="1:21" x14ac:dyDescent="0.25">
      <c r="A471" s="71">
        <v>15</v>
      </c>
      <c r="B471" s="72">
        <f t="shared" si="193"/>
        <v>46082</v>
      </c>
      <c r="C471" s="73">
        <f t="shared" si="174"/>
        <v>46112</v>
      </c>
      <c r="D471" s="67">
        <f t="shared" si="175"/>
        <v>31</v>
      </c>
      <c r="E471" s="67">
        <f t="shared" si="176"/>
        <v>3</v>
      </c>
      <c r="F471" s="74">
        <f t="shared" si="177"/>
        <v>46097.5</v>
      </c>
      <c r="G471" s="67">
        <f t="shared" si="178"/>
        <v>24314</v>
      </c>
      <c r="H471" s="75">
        <f t="shared" si="179"/>
        <v>1</v>
      </c>
      <c r="I471" s="76">
        <f t="shared" si="180"/>
        <v>1</v>
      </c>
      <c r="J471" s="76">
        <f t="shared" si="181"/>
        <v>1</v>
      </c>
      <c r="K471" s="67">
        <f t="shared" si="182"/>
        <v>0</v>
      </c>
      <c r="L471" s="67">
        <f t="shared" si="183"/>
        <v>0</v>
      </c>
      <c r="M471" s="77">
        <f t="shared" si="184"/>
        <v>0</v>
      </c>
      <c r="N471" s="76">
        <f t="shared" si="185"/>
        <v>1</v>
      </c>
      <c r="O471" s="77">
        <f t="shared" si="186"/>
        <v>0.91434354485776803</v>
      </c>
      <c r="P471" s="76">
        <f t="shared" si="187"/>
        <v>1</v>
      </c>
      <c r="Q471" s="76">
        <f t="shared" si="188"/>
        <v>0</v>
      </c>
      <c r="R471" s="76">
        <f t="shared" si="189"/>
        <v>0</v>
      </c>
      <c r="S471" s="76">
        <f t="shared" si="190"/>
        <v>0.99385167919322603</v>
      </c>
      <c r="T471" s="76">
        <f t="shared" si="191"/>
        <v>0.99385167919322603</v>
      </c>
      <c r="U471" s="76">
        <f t="shared" si="192"/>
        <v>1</v>
      </c>
    </row>
    <row r="472" spans="1:21" x14ac:dyDescent="0.25">
      <c r="A472" s="71">
        <v>16</v>
      </c>
      <c r="B472" s="72">
        <f t="shared" si="193"/>
        <v>46113</v>
      </c>
      <c r="C472" s="73">
        <f t="shared" si="174"/>
        <v>46142</v>
      </c>
      <c r="D472" s="67">
        <f t="shared" si="175"/>
        <v>30</v>
      </c>
      <c r="E472" s="67">
        <f t="shared" si="176"/>
        <v>4</v>
      </c>
      <c r="F472" s="74">
        <f t="shared" si="177"/>
        <v>46128</v>
      </c>
      <c r="G472" s="67">
        <f t="shared" si="178"/>
        <v>24315</v>
      </c>
      <c r="H472" s="75">
        <f t="shared" si="179"/>
        <v>1</v>
      </c>
      <c r="I472" s="76">
        <f t="shared" si="180"/>
        <v>1</v>
      </c>
      <c r="J472" s="76">
        <f t="shared" si="181"/>
        <v>1</v>
      </c>
      <c r="K472" s="67">
        <f t="shared" si="182"/>
        <v>0</v>
      </c>
      <c r="L472" s="67">
        <f t="shared" si="183"/>
        <v>0</v>
      </c>
      <c r="M472" s="77">
        <f t="shared" si="184"/>
        <v>0</v>
      </c>
      <c r="N472" s="76">
        <f t="shared" si="185"/>
        <v>1</v>
      </c>
      <c r="O472" s="77">
        <f t="shared" si="186"/>
        <v>0.91367614879649894</v>
      </c>
      <c r="P472" s="76">
        <f t="shared" si="187"/>
        <v>1</v>
      </c>
      <c r="Q472" s="76">
        <f t="shared" si="188"/>
        <v>0</v>
      </c>
      <c r="R472" s="76">
        <f t="shared" si="189"/>
        <v>0</v>
      </c>
      <c r="S472" s="76">
        <f t="shared" si="190"/>
        <v>0.99312624869184662</v>
      </c>
      <c r="T472" s="76">
        <f t="shared" si="191"/>
        <v>0.99312624869184662</v>
      </c>
      <c r="U472" s="76">
        <f t="shared" si="192"/>
        <v>1</v>
      </c>
    </row>
    <row r="473" spans="1:21" x14ac:dyDescent="0.25">
      <c r="A473" s="71">
        <v>17</v>
      </c>
      <c r="B473" s="72">
        <f t="shared" si="193"/>
        <v>46143</v>
      </c>
      <c r="C473" s="73">
        <f t="shared" si="174"/>
        <v>46173</v>
      </c>
      <c r="D473" s="67">
        <f t="shared" si="175"/>
        <v>31</v>
      </c>
      <c r="E473" s="67">
        <f t="shared" si="176"/>
        <v>5</v>
      </c>
      <c r="F473" s="74">
        <f t="shared" si="177"/>
        <v>46158.5</v>
      </c>
      <c r="G473" s="67">
        <f t="shared" si="178"/>
        <v>24316</v>
      </c>
      <c r="H473" s="75">
        <f t="shared" si="179"/>
        <v>1</v>
      </c>
      <c r="I473" s="76">
        <f t="shared" si="180"/>
        <v>1</v>
      </c>
      <c r="J473" s="76">
        <f t="shared" si="181"/>
        <v>1</v>
      </c>
      <c r="K473" s="67">
        <f t="shared" si="182"/>
        <v>0</v>
      </c>
      <c r="L473" s="67">
        <f t="shared" si="183"/>
        <v>0</v>
      </c>
      <c r="M473" s="77">
        <f t="shared" si="184"/>
        <v>0</v>
      </c>
      <c r="N473" s="76">
        <f t="shared" si="185"/>
        <v>1</v>
      </c>
      <c r="O473" s="77">
        <f t="shared" si="186"/>
        <v>0.91300875273522974</v>
      </c>
      <c r="P473" s="76">
        <f t="shared" si="187"/>
        <v>1</v>
      </c>
      <c r="Q473" s="76">
        <f t="shared" si="188"/>
        <v>0</v>
      </c>
      <c r="R473" s="76">
        <f t="shared" si="189"/>
        <v>0</v>
      </c>
      <c r="S473" s="76">
        <f t="shared" si="190"/>
        <v>0.9924008181904671</v>
      </c>
      <c r="T473" s="76">
        <f t="shared" si="191"/>
        <v>0.9924008181904671</v>
      </c>
      <c r="U473" s="76">
        <f t="shared" si="192"/>
        <v>1</v>
      </c>
    </row>
    <row r="474" spans="1:21" x14ac:dyDescent="0.25">
      <c r="A474" s="71">
        <v>18</v>
      </c>
      <c r="B474" s="72">
        <f t="shared" si="193"/>
        <v>46174</v>
      </c>
      <c r="C474" s="73">
        <f t="shared" si="174"/>
        <v>46203</v>
      </c>
      <c r="D474" s="67">
        <f t="shared" si="175"/>
        <v>30</v>
      </c>
      <c r="E474" s="67">
        <f t="shared" si="176"/>
        <v>6</v>
      </c>
      <c r="F474" s="74">
        <f t="shared" si="177"/>
        <v>46189</v>
      </c>
      <c r="G474" s="67">
        <f t="shared" si="178"/>
        <v>24317</v>
      </c>
      <c r="H474" s="75">
        <f t="shared" si="179"/>
        <v>1</v>
      </c>
      <c r="I474" s="76">
        <f t="shared" si="180"/>
        <v>1</v>
      </c>
      <c r="J474" s="76">
        <f t="shared" si="181"/>
        <v>1</v>
      </c>
      <c r="K474" s="67">
        <f t="shared" si="182"/>
        <v>0</v>
      </c>
      <c r="L474" s="67">
        <f t="shared" si="183"/>
        <v>0</v>
      </c>
      <c r="M474" s="77">
        <f t="shared" si="184"/>
        <v>0</v>
      </c>
      <c r="N474" s="76">
        <f t="shared" si="185"/>
        <v>1</v>
      </c>
      <c r="O474" s="77">
        <f t="shared" si="186"/>
        <v>0.91234135667396066</v>
      </c>
      <c r="P474" s="76">
        <f t="shared" si="187"/>
        <v>1</v>
      </c>
      <c r="Q474" s="76">
        <f t="shared" si="188"/>
        <v>0</v>
      </c>
      <c r="R474" s="76">
        <f t="shared" si="189"/>
        <v>0</v>
      </c>
      <c r="S474" s="76">
        <f t="shared" si="190"/>
        <v>0.99167538768908758</v>
      </c>
      <c r="T474" s="76">
        <f t="shared" si="191"/>
        <v>0.99167538768908758</v>
      </c>
      <c r="U474" s="76">
        <f t="shared" si="192"/>
        <v>1</v>
      </c>
    </row>
    <row r="475" spans="1:21" x14ac:dyDescent="0.25">
      <c r="A475" s="71">
        <v>19</v>
      </c>
      <c r="B475" s="72">
        <f t="shared" si="193"/>
        <v>46204</v>
      </c>
      <c r="C475" s="73">
        <f t="shared" si="174"/>
        <v>46234</v>
      </c>
      <c r="D475" s="67">
        <f t="shared" si="175"/>
        <v>31</v>
      </c>
      <c r="E475" s="67">
        <f t="shared" si="176"/>
        <v>7</v>
      </c>
      <c r="F475" s="74">
        <f t="shared" si="177"/>
        <v>46219.5</v>
      </c>
      <c r="G475" s="67">
        <f t="shared" si="178"/>
        <v>24318</v>
      </c>
      <c r="H475" s="75">
        <f t="shared" si="179"/>
        <v>1</v>
      </c>
      <c r="I475" s="76">
        <f t="shared" si="180"/>
        <v>1</v>
      </c>
      <c r="J475" s="76">
        <f t="shared" si="181"/>
        <v>1</v>
      </c>
      <c r="K475" s="67">
        <f t="shared" si="182"/>
        <v>0</v>
      </c>
      <c r="L475" s="67">
        <f t="shared" si="183"/>
        <v>0</v>
      </c>
      <c r="M475" s="77">
        <f t="shared" si="184"/>
        <v>0</v>
      </c>
      <c r="N475" s="76">
        <f t="shared" si="185"/>
        <v>1</v>
      </c>
      <c r="O475" s="77">
        <f t="shared" si="186"/>
        <v>0.91167396061269146</v>
      </c>
      <c r="P475" s="76">
        <f t="shared" si="187"/>
        <v>0.91666666666666663</v>
      </c>
      <c r="Q475" s="76">
        <f t="shared" si="188"/>
        <v>8.333333333333337E-2</v>
      </c>
      <c r="R475" s="76">
        <f t="shared" si="189"/>
        <v>0</v>
      </c>
      <c r="S475" s="76">
        <f t="shared" si="190"/>
        <v>0.99094995718770806</v>
      </c>
      <c r="T475" s="76">
        <f t="shared" si="191"/>
        <v>0.99094995718770806</v>
      </c>
      <c r="U475" s="76">
        <f t="shared" si="192"/>
        <v>1</v>
      </c>
    </row>
    <row r="476" spans="1:21" x14ac:dyDescent="0.25">
      <c r="A476" s="71">
        <v>20</v>
      </c>
      <c r="B476" s="72">
        <f t="shared" si="193"/>
        <v>46235</v>
      </c>
      <c r="C476" s="73">
        <f t="shared" si="174"/>
        <v>46265</v>
      </c>
      <c r="D476" s="67">
        <f t="shared" si="175"/>
        <v>31</v>
      </c>
      <c r="E476" s="67">
        <f t="shared" si="176"/>
        <v>8</v>
      </c>
      <c r="F476" s="74">
        <f t="shared" si="177"/>
        <v>46250.5</v>
      </c>
      <c r="G476" s="67">
        <f t="shared" si="178"/>
        <v>24319</v>
      </c>
      <c r="H476" s="75">
        <f t="shared" si="179"/>
        <v>1</v>
      </c>
      <c r="I476" s="76">
        <f t="shared" si="180"/>
        <v>1</v>
      </c>
      <c r="J476" s="76">
        <f t="shared" si="181"/>
        <v>1.04</v>
      </c>
      <c r="K476" s="67">
        <f t="shared" si="182"/>
        <v>1</v>
      </c>
      <c r="L476" s="67">
        <f t="shared" si="183"/>
        <v>31</v>
      </c>
      <c r="M476" s="77">
        <f t="shared" si="184"/>
        <v>1</v>
      </c>
      <c r="N476" s="76">
        <f t="shared" si="185"/>
        <v>1.04</v>
      </c>
      <c r="O476" s="77">
        <f t="shared" si="186"/>
        <v>0.91099562363238518</v>
      </c>
      <c r="P476" s="76">
        <f t="shared" si="187"/>
        <v>0.75</v>
      </c>
      <c r="Q476" s="76">
        <f t="shared" si="188"/>
        <v>0.25</v>
      </c>
      <c r="R476" s="76">
        <f t="shared" si="189"/>
        <v>0</v>
      </c>
      <c r="S476" s="76">
        <f t="shared" si="190"/>
        <v>1.0298211397583485</v>
      </c>
      <c r="T476" s="76">
        <f t="shared" si="191"/>
        <v>1.0298211397583485</v>
      </c>
      <c r="U476" s="76">
        <f t="shared" si="192"/>
        <v>1.04</v>
      </c>
    </row>
    <row r="477" spans="1:21" x14ac:dyDescent="0.25">
      <c r="A477" s="71">
        <v>21</v>
      </c>
      <c r="B477" s="72">
        <f t="shared" si="193"/>
        <v>46266</v>
      </c>
      <c r="C477" s="73">
        <f t="shared" si="174"/>
        <v>46295</v>
      </c>
      <c r="D477" s="67">
        <f t="shared" si="175"/>
        <v>30</v>
      </c>
      <c r="E477" s="67">
        <f t="shared" si="176"/>
        <v>9</v>
      </c>
      <c r="F477" s="74">
        <f t="shared" si="177"/>
        <v>46281</v>
      </c>
      <c r="G477" s="67">
        <f t="shared" si="178"/>
        <v>24320</v>
      </c>
      <c r="H477" s="75">
        <f t="shared" si="179"/>
        <v>1</v>
      </c>
      <c r="I477" s="76">
        <f t="shared" si="180"/>
        <v>1.04</v>
      </c>
      <c r="J477" s="76">
        <f t="shared" si="181"/>
        <v>1.04</v>
      </c>
      <c r="K477" s="67">
        <f t="shared" si="182"/>
        <v>0</v>
      </c>
      <c r="L477" s="67">
        <f t="shared" si="183"/>
        <v>0</v>
      </c>
      <c r="M477" s="77">
        <f t="shared" si="184"/>
        <v>0</v>
      </c>
      <c r="N477" s="76">
        <f t="shared" si="185"/>
        <v>1.04</v>
      </c>
      <c r="O477" s="77">
        <f t="shared" si="186"/>
        <v>0.91032822757111598</v>
      </c>
      <c r="P477" s="76">
        <f t="shared" si="187"/>
        <v>0.58333333333333337</v>
      </c>
      <c r="Q477" s="76">
        <f t="shared" si="188"/>
        <v>0.41666666666666663</v>
      </c>
      <c r="R477" s="76">
        <f t="shared" si="189"/>
        <v>0</v>
      </c>
      <c r="S477" s="76">
        <f t="shared" si="190"/>
        <v>1.0290666920369138</v>
      </c>
      <c r="T477" s="76">
        <f t="shared" si="191"/>
        <v>1.0290666920369138</v>
      </c>
      <c r="U477" s="76">
        <f t="shared" si="192"/>
        <v>1.04</v>
      </c>
    </row>
    <row r="478" spans="1:21" x14ac:dyDescent="0.25">
      <c r="A478" s="71">
        <v>22</v>
      </c>
      <c r="B478" s="72">
        <f t="shared" si="193"/>
        <v>46296</v>
      </c>
      <c r="C478" s="73">
        <f t="shared" si="174"/>
        <v>46326</v>
      </c>
      <c r="D478" s="67">
        <f t="shared" si="175"/>
        <v>31</v>
      </c>
      <c r="E478" s="67">
        <f t="shared" si="176"/>
        <v>10</v>
      </c>
      <c r="F478" s="74">
        <f t="shared" si="177"/>
        <v>46311.5</v>
      </c>
      <c r="G478" s="67">
        <f t="shared" si="178"/>
        <v>24321</v>
      </c>
      <c r="H478" s="75">
        <f t="shared" si="179"/>
        <v>1</v>
      </c>
      <c r="I478" s="76">
        <f t="shared" si="180"/>
        <v>1.04</v>
      </c>
      <c r="J478" s="76">
        <f t="shared" si="181"/>
        <v>1.04</v>
      </c>
      <c r="K478" s="67">
        <f t="shared" si="182"/>
        <v>0</v>
      </c>
      <c r="L478" s="67">
        <f t="shared" si="183"/>
        <v>0</v>
      </c>
      <c r="M478" s="77">
        <f t="shared" si="184"/>
        <v>0</v>
      </c>
      <c r="N478" s="76">
        <f t="shared" si="185"/>
        <v>1.04</v>
      </c>
      <c r="O478" s="77">
        <f t="shared" si="186"/>
        <v>0.90966083150984689</v>
      </c>
      <c r="P478" s="76">
        <f t="shared" si="187"/>
        <v>0.41666666666666669</v>
      </c>
      <c r="Q478" s="76">
        <f t="shared" si="188"/>
        <v>0.58333333333333326</v>
      </c>
      <c r="R478" s="76">
        <f t="shared" si="189"/>
        <v>0</v>
      </c>
      <c r="S478" s="76">
        <f t="shared" si="190"/>
        <v>1.0283122443154791</v>
      </c>
      <c r="T478" s="76">
        <f t="shared" si="191"/>
        <v>1.0283122443154791</v>
      </c>
      <c r="U478" s="76">
        <f t="shared" si="192"/>
        <v>1.04</v>
      </c>
    </row>
    <row r="479" spans="1:21" x14ac:dyDescent="0.25">
      <c r="A479" s="71">
        <v>23</v>
      </c>
      <c r="B479" s="72">
        <f t="shared" si="193"/>
        <v>46327</v>
      </c>
      <c r="C479" s="73">
        <f t="shared" si="174"/>
        <v>46356</v>
      </c>
      <c r="D479" s="67">
        <f t="shared" si="175"/>
        <v>30</v>
      </c>
      <c r="E479" s="67">
        <f t="shared" si="176"/>
        <v>11</v>
      </c>
      <c r="F479" s="74">
        <f t="shared" si="177"/>
        <v>46342</v>
      </c>
      <c r="G479" s="67">
        <f t="shared" si="178"/>
        <v>24322</v>
      </c>
      <c r="H479" s="75">
        <f t="shared" si="179"/>
        <v>1</v>
      </c>
      <c r="I479" s="76">
        <f t="shared" si="180"/>
        <v>1.04</v>
      </c>
      <c r="J479" s="76">
        <f t="shared" si="181"/>
        <v>1.04</v>
      </c>
      <c r="K479" s="67">
        <f t="shared" si="182"/>
        <v>0</v>
      </c>
      <c r="L479" s="67">
        <f t="shared" si="183"/>
        <v>0</v>
      </c>
      <c r="M479" s="77">
        <f t="shared" si="184"/>
        <v>0</v>
      </c>
      <c r="N479" s="76">
        <f t="shared" si="185"/>
        <v>1.04</v>
      </c>
      <c r="O479" s="77">
        <f t="shared" si="186"/>
        <v>0.90899343544857769</v>
      </c>
      <c r="P479" s="76">
        <f t="shared" si="187"/>
        <v>0.25</v>
      </c>
      <c r="Q479" s="76">
        <f t="shared" si="188"/>
        <v>0.75</v>
      </c>
      <c r="R479" s="76">
        <f t="shared" si="189"/>
        <v>0</v>
      </c>
      <c r="S479" s="76">
        <f t="shared" si="190"/>
        <v>1.0275577965940443</v>
      </c>
      <c r="T479" s="76">
        <f t="shared" si="191"/>
        <v>1.0275577965940443</v>
      </c>
      <c r="U479" s="76">
        <f t="shared" si="192"/>
        <v>1.04</v>
      </c>
    </row>
    <row r="480" spans="1:21" x14ac:dyDescent="0.25">
      <c r="A480" s="71">
        <v>24</v>
      </c>
      <c r="B480" s="72">
        <f t="shared" si="193"/>
        <v>46357</v>
      </c>
      <c r="C480" s="73">
        <f t="shared" si="174"/>
        <v>46387</v>
      </c>
      <c r="D480" s="67">
        <f t="shared" si="175"/>
        <v>31</v>
      </c>
      <c r="E480" s="67">
        <f t="shared" si="176"/>
        <v>12</v>
      </c>
      <c r="F480" s="74">
        <f t="shared" si="177"/>
        <v>46372.5</v>
      </c>
      <c r="G480" s="67">
        <f t="shared" si="178"/>
        <v>24323</v>
      </c>
      <c r="H480" s="75">
        <f t="shared" si="179"/>
        <v>1</v>
      </c>
      <c r="I480" s="76">
        <f t="shared" si="180"/>
        <v>1.04</v>
      </c>
      <c r="J480" s="76">
        <f t="shared" si="181"/>
        <v>1.04</v>
      </c>
      <c r="K480" s="67">
        <f t="shared" si="182"/>
        <v>0</v>
      </c>
      <c r="L480" s="67">
        <f t="shared" si="183"/>
        <v>0</v>
      </c>
      <c r="M480" s="77">
        <f t="shared" si="184"/>
        <v>0</v>
      </c>
      <c r="N480" s="76">
        <f t="shared" si="185"/>
        <v>1.04</v>
      </c>
      <c r="O480" s="77">
        <f t="shared" si="186"/>
        <v>0.9083260393873086</v>
      </c>
      <c r="P480" s="76">
        <f t="shared" si="187"/>
        <v>8.3333333333333329E-2</v>
      </c>
      <c r="Q480" s="76">
        <f t="shared" si="188"/>
        <v>0.91666666666666663</v>
      </c>
      <c r="R480" s="76">
        <f t="shared" si="189"/>
        <v>0</v>
      </c>
      <c r="S480" s="76">
        <f t="shared" si="190"/>
        <v>1.0268033488726098</v>
      </c>
      <c r="T480" s="76">
        <f t="shared" si="191"/>
        <v>1.0268033488726098</v>
      </c>
      <c r="U480" s="76">
        <f t="shared" si="192"/>
        <v>1.04</v>
      </c>
    </row>
    <row r="481" spans="1:21" x14ac:dyDescent="0.25">
      <c r="A481" s="71">
        <v>25</v>
      </c>
      <c r="B481" s="72">
        <f t="shared" si="193"/>
        <v>46388</v>
      </c>
      <c r="C481" s="73">
        <f t="shared" si="174"/>
        <v>46418</v>
      </c>
      <c r="D481" s="67">
        <f t="shared" si="175"/>
        <v>31</v>
      </c>
      <c r="E481" s="67">
        <f t="shared" si="176"/>
        <v>1</v>
      </c>
      <c r="F481" s="74">
        <f t="shared" si="177"/>
        <v>46403.5</v>
      </c>
      <c r="G481" s="67">
        <f t="shared" si="178"/>
        <v>24324</v>
      </c>
      <c r="H481" s="75">
        <f t="shared" si="179"/>
        <v>1</v>
      </c>
      <c r="I481" s="76">
        <f t="shared" si="180"/>
        <v>1.04</v>
      </c>
      <c r="J481" s="76">
        <f t="shared" si="181"/>
        <v>1.04</v>
      </c>
      <c r="K481" s="67">
        <f t="shared" si="182"/>
        <v>0</v>
      </c>
      <c r="L481" s="67">
        <f t="shared" si="183"/>
        <v>0</v>
      </c>
      <c r="M481" s="77">
        <f t="shared" si="184"/>
        <v>0</v>
      </c>
      <c r="N481" s="76">
        <f t="shared" si="185"/>
        <v>1.04</v>
      </c>
      <c r="O481" s="77">
        <f t="shared" si="186"/>
        <v>0.90764770240700221</v>
      </c>
      <c r="P481" s="76">
        <f t="shared" si="187"/>
        <v>0</v>
      </c>
      <c r="Q481" s="76">
        <f t="shared" si="188"/>
        <v>1</v>
      </c>
      <c r="R481" s="76">
        <f t="shared" si="189"/>
        <v>0</v>
      </c>
      <c r="S481" s="76">
        <f t="shared" si="190"/>
        <v>1.0260365331557417</v>
      </c>
      <c r="T481" s="76">
        <f t="shared" si="191"/>
        <v>0.99525497098277993</v>
      </c>
      <c r="U481" s="76">
        <f t="shared" si="192"/>
        <v>1.04</v>
      </c>
    </row>
    <row r="482" spans="1:21" x14ac:dyDescent="0.25">
      <c r="A482" s="71">
        <v>26</v>
      </c>
      <c r="B482" s="72">
        <f t="shared" si="193"/>
        <v>46419</v>
      </c>
      <c r="C482" s="73">
        <f t="shared" si="174"/>
        <v>46446</v>
      </c>
      <c r="D482" s="67">
        <f t="shared" si="175"/>
        <v>28</v>
      </c>
      <c r="E482" s="67">
        <f t="shared" si="176"/>
        <v>2</v>
      </c>
      <c r="F482" s="74">
        <f t="shared" si="177"/>
        <v>46433</v>
      </c>
      <c r="G482" s="67">
        <f t="shared" si="178"/>
        <v>24325</v>
      </c>
      <c r="H482" s="75">
        <f t="shared" si="179"/>
        <v>1</v>
      </c>
      <c r="I482" s="76">
        <f t="shared" si="180"/>
        <v>1.04</v>
      </c>
      <c r="J482" s="76">
        <f t="shared" si="181"/>
        <v>1.04</v>
      </c>
      <c r="K482" s="67">
        <f t="shared" si="182"/>
        <v>0</v>
      </c>
      <c r="L482" s="67">
        <f t="shared" si="183"/>
        <v>0</v>
      </c>
      <c r="M482" s="77">
        <f t="shared" si="184"/>
        <v>0</v>
      </c>
      <c r="N482" s="76">
        <f t="shared" si="185"/>
        <v>1.04</v>
      </c>
      <c r="O482" s="77">
        <f t="shared" si="186"/>
        <v>0.90700218818380751</v>
      </c>
      <c r="P482" s="76">
        <f t="shared" si="187"/>
        <v>0</v>
      </c>
      <c r="Q482" s="76">
        <f t="shared" si="188"/>
        <v>1</v>
      </c>
      <c r="R482" s="76">
        <f t="shared" si="189"/>
        <v>0</v>
      </c>
      <c r="S482" s="76">
        <f t="shared" si="190"/>
        <v>1.0253068214251737</v>
      </c>
      <c r="T482" s="76">
        <f t="shared" si="191"/>
        <v>0.99455332508800309</v>
      </c>
      <c r="U482" s="76">
        <f t="shared" si="192"/>
        <v>1.04</v>
      </c>
    </row>
    <row r="483" spans="1:21" x14ac:dyDescent="0.25">
      <c r="A483" s="71">
        <v>27</v>
      </c>
      <c r="B483" s="72">
        <f t="shared" si="193"/>
        <v>46447</v>
      </c>
      <c r="C483" s="73">
        <f t="shared" si="174"/>
        <v>46477</v>
      </c>
      <c r="D483" s="67">
        <f t="shared" si="175"/>
        <v>31</v>
      </c>
      <c r="E483" s="67">
        <f t="shared" si="176"/>
        <v>3</v>
      </c>
      <c r="F483" s="74">
        <f t="shared" si="177"/>
        <v>46462.5</v>
      </c>
      <c r="G483" s="67">
        <f t="shared" si="178"/>
        <v>24326</v>
      </c>
      <c r="H483" s="75">
        <f t="shared" si="179"/>
        <v>1</v>
      </c>
      <c r="I483" s="76">
        <f t="shared" si="180"/>
        <v>1.04</v>
      </c>
      <c r="J483" s="76">
        <f t="shared" si="181"/>
        <v>1.04</v>
      </c>
      <c r="K483" s="67">
        <f t="shared" si="182"/>
        <v>0</v>
      </c>
      <c r="L483" s="67">
        <f t="shared" si="183"/>
        <v>0</v>
      </c>
      <c r="M483" s="77">
        <f t="shared" si="184"/>
        <v>0</v>
      </c>
      <c r="N483" s="76">
        <f t="shared" si="185"/>
        <v>1.04</v>
      </c>
      <c r="O483" s="77">
        <f t="shared" si="186"/>
        <v>0.9063566739606127</v>
      </c>
      <c r="P483" s="76">
        <f t="shared" si="187"/>
        <v>0</v>
      </c>
      <c r="Q483" s="76">
        <f t="shared" si="188"/>
        <v>1</v>
      </c>
      <c r="R483" s="76">
        <f t="shared" si="189"/>
        <v>0</v>
      </c>
      <c r="S483" s="76">
        <f t="shared" si="190"/>
        <v>1.0245771096946057</v>
      </c>
      <c r="T483" s="76">
        <f t="shared" si="191"/>
        <v>0.99385167919322603</v>
      </c>
      <c r="U483" s="76">
        <f t="shared" si="192"/>
        <v>1.04</v>
      </c>
    </row>
    <row r="484" spans="1:21" x14ac:dyDescent="0.25">
      <c r="A484" s="71">
        <v>28</v>
      </c>
      <c r="B484" s="72">
        <f t="shared" si="193"/>
        <v>46478</v>
      </c>
      <c r="C484" s="73">
        <f t="shared" si="174"/>
        <v>46507</v>
      </c>
      <c r="D484" s="67">
        <f t="shared" si="175"/>
        <v>30</v>
      </c>
      <c r="E484" s="67">
        <f t="shared" si="176"/>
        <v>4</v>
      </c>
      <c r="F484" s="74">
        <f t="shared" si="177"/>
        <v>46493</v>
      </c>
      <c r="G484" s="67">
        <f t="shared" si="178"/>
        <v>24327</v>
      </c>
      <c r="H484" s="75">
        <f t="shared" si="179"/>
        <v>1</v>
      </c>
      <c r="I484" s="76">
        <f t="shared" si="180"/>
        <v>1.04</v>
      </c>
      <c r="J484" s="76">
        <f t="shared" si="181"/>
        <v>1.04</v>
      </c>
      <c r="K484" s="67">
        <f t="shared" si="182"/>
        <v>0</v>
      </c>
      <c r="L484" s="67">
        <f t="shared" si="183"/>
        <v>0</v>
      </c>
      <c r="M484" s="77">
        <f t="shared" si="184"/>
        <v>0</v>
      </c>
      <c r="N484" s="76">
        <f t="shared" si="185"/>
        <v>1.04</v>
      </c>
      <c r="O484" s="77">
        <f t="shared" si="186"/>
        <v>0.90568927789934361</v>
      </c>
      <c r="P484" s="76">
        <f t="shared" si="187"/>
        <v>0</v>
      </c>
      <c r="Q484" s="76">
        <f t="shared" si="188"/>
        <v>1</v>
      </c>
      <c r="R484" s="76">
        <f t="shared" si="189"/>
        <v>0</v>
      </c>
      <c r="S484" s="76">
        <f t="shared" si="190"/>
        <v>1.023822661973171</v>
      </c>
      <c r="T484" s="76">
        <f t="shared" si="191"/>
        <v>0.99312624869184662</v>
      </c>
      <c r="U484" s="76">
        <f t="shared" si="192"/>
        <v>1.04</v>
      </c>
    </row>
    <row r="485" spans="1:21" x14ac:dyDescent="0.25">
      <c r="A485" s="71">
        <v>29</v>
      </c>
      <c r="B485" s="72">
        <f t="shared" si="193"/>
        <v>46508</v>
      </c>
      <c r="C485" s="73">
        <f t="shared" si="174"/>
        <v>46538</v>
      </c>
      <c r="D485" s="67">
        <f t="shared" si="175"/>
        <v>31</v>
      </c>
      <c r="E485" s="67">
        <f t="shared" si="176"/>
        <v>5</v>
      </c>
      <c r="F485" s="74">
        <f t="shared" si="177"/>
        <v>46523.5</v>
      </c>
      <c r="G485" s="67">
        <f t="shared" si="178"/>
        <v>24328</v>
      </c>
      <c r="H485" s="75">
        <f t="shared" si="179"/>
        <v>1</v>
      </c>
      <c r="I485" s="76">
        <f t="shared" si="180"/>
        <v>1.04</v>
      </c>
      <c r="J485" s="76">
        <f t="shared" si="181"/>
        <v>1.04</v>
      </c>
      <c r="K485" s="67">
        <f t="shared" si="182"/>
        <v>0</v>
      </c>
      <c r="L485" s="67">
        <f t="shared" si="183"/>
        <v>0</v>
      </c>
      <c r="M485" s="77">
        <f t="shared" si="184"/>
        <v>0</v>
      </c>
      <c r="N485" s="76">
        <f t="shared" si="185"/>
        <v>1.04</v>
      </c>
      <c r="O485" s="77">
        <f t="shared" si="186"/>
        <v>0.90502188183807442</v>
      </c>
      <c r="P485" s="76">
        <f t="shared" si="187"/>
        <v>0</v>
      </c>
      <c r="Q485" s="76">
        <f t="shared" si="188"/>
        <v>1</v>
      </c>
      <c r="R485" s="76">
        <f t="shared" si="189"/>
        <v>0</v>
      </c>
      <c r="S485" s="76">
        <f t="shared" si="190"/>
        <v>1.0230682142517362</v>
      </c>
      <c r="T485" s="76">
        <f t="shared" si="191"/>
        <v>0.9924008181904671</v>
      </c>
      <c r="U485" s="76">
        <f t="shared" si="192"/>
        <v>1.04</v>
      </c>
    </row>
    <row r="486" spans="1:21" x14ac:dyDescent="0.25">
      <c r="A486" s="71">
        <v>30</v>
      </c>
      <c r="B486" s="72">
        <f t="shared" si="193"/>
        <v>46539</v>
      </c>
      <c r="C486" s="73">
        <f t="shared" si="174"/>
        <v>46568</v>
      </c>
      <c r="D486" s="67">
        <f t="shared" si="175"/>
        <v>30</v>
      </c>
      <c r="E486" s="67">
        <f t="shared" si="176"/>
        <v>6</v>
      </c>
      <c r="F486" s="74">
        <f t="shared" si="177"/>
        <v>46554</v>
      </c>
      <c r="G486" s="67">
        <f t="shared" si="178"/>
        <v>24329</v>
      </c>
      <c r="H486" s="75">
        <f t="shared" si="179"/>
        <v>1</v>
      </c>
      <c r="I486" s="76">
        <f t="shared" si="180"/>
        <v>1.04</v>
      </c>
      <c r="J486" s="76">
        <f t="shared" si="181"/>
        <v>1.04</v>
      </c>
      <c r="K486" s="67">
        <f t="shared" si="182"/>
        <v>0</v>
      </c>
      <c r="L486" s="67">
        <f t="shared" si="183"/>
        <v>0</v>
      </c>
      <c r="M486" s="77">
        <f t="shared" si="184"/>
        <v>0</v>
      </c>
      <c r="N486" s="76">
        <f t="shared" si="185"/>
        <v>1.04</v>
      </c>
      <c r="O486" s="77">
        <f t="shared" si="186"/>
        <v>0.90435448577680533</v>
      </c>
      <c r="P486" s="76">
        <f t="shared" si="187"/>
        <v>0</v>
      </c>
      <c r="Q486" s="76">
        <f t="shared" si="188"/>
        <v>1</v>
      </c>
      <c r="R486" s="76">
        <f t="shared" si="189"/>
        <v>0</v>
      </c>
      <c r="S486" s="76">
        <f t="shared" si="190"/>
        <v>1.0223137665303017</v>
      </c>
      <c r="T486" s="76">
        <f t="shared" si="191"/>
        <v>0.99167538768908758</v>
      </c>
      <c r="U486" s="76">
        <f t="shared" si="192"/>
        <v>1.04</v>
      </c>
    </row>
    <row r="487" spans="1:21" x14ac:dyDescent="0.25">
      <c r="A487" s="71">
        <v>31</v>
      </c>
      <c r="B487" s="72">
        <f t="shared" si="193"/>
        <v>46569</v>
      </c>
      <c r="C487" s="73">
        <f t="shared" si="174"/>
        <v>46599</v>
      </c>
      <c r="D487" s="67">
        <f t="shared" si="175"/>
        <v>31</v>
      </c>
      <c r="E487" s="67">
        <f t="shared" si="176"/>
        <v>7</v>
      </c>
      <c r="F487" s="74">
        <f t="shared" si="177"/>
        <v>46584.5</v>
      </c>
      <c r="G487" s="67">
        <f t="shared" si="178"/>
        <v>24330</v>
      </c>
      <c r="H487" s="75">
        <f t="shared" si="179"/>
        <v>1</v>
      </c>
      <c r="I487" s="76">
        <f t="shared" si="180"/>
        <v>1.04</v>
      </c>
      <c r="J487" s="76">
        <f t="shared" si="181"/>
        <v>1.04</v>
      </c>
      <c r="K487" s="67">
        <f t="shared" si="182"/>
        <v>0</v>
      </c>
      <c r="L487" s="67">
        <f t="shared" si="183"/>
        <v>0</v>
      </c>
      <c r="M487" s="77">
        <f t="shared" si="184"/>
        <v>0</v>
      </c>
      <c r="N487" s="76">
        <f t="shared" si="185"/>
        <v>1.04</v>
      </c>
      <c r="O487" s="77">
        <f t="shared" si="186"/>
        <v>0.90368708971553613</v>
      </c>
      <c r="P487" s="76">
        <f t="shared" si="187"/>
        <v>0</v>
      </c>
      <c r="Q487" s="76">
        <f t="shared" si="188"/>
        <v>0.91666666666666663</v>
      </c>
      <c r="R487" s="76">
        <f t="shared" si="189"/>
        <v>8.333333333333337E-2</v>
      </c>
      <c r="S487" s="76">
        <f t="shared" si="190"/>
        <v>1.021559318808867</v>
      </c>
      <c r="T487" s="76">
        <f t="shared" si="191"/>
        <v>0.99094995718770806</v>
      </c>
      <c r="U487" s="76">
        <f t="shared" si="192"/>
        <v>1.04</v>
      </c>
    </row>
    <row r="488" spans="1:21" x14ac:dyDescent="0.25">
      <c r="A488" s="71">
        <v>32</v>
      </c>
      <c r="B488" s="72">
        <f t="shared" si="193"/>
        <v>46600</v>
      </c>
      <c r="C488" s="73">
        <f t="shared" si="174"/>
        <v>46630</v>
      </c>
      <c r="D488" s="67">
        <f t="shared" si="175"/>
        <v>31</v>
      </c>
      <c r="E488" s="67">
        <f t="shared" si="176"/>
        <v>8</v>
      </c>
      <c r="F488" s="74">
        <f t="shared" si="177"/>
        <v>46615.5</v>
      </c>
      <c r="G488" s="67">
        <f t="shared" si="178"/>
        <v>24331</v>
      </c>
      <c r="H488" s="75">
        <f t="shared" si="179"/>
        <v>1</v>
      </c>
      <c r="I488" s="76">
        <f t="shared" si="180"/>
        <v>1.04</v>
      </c>
      <c r="J488" s="76">
        <f t="shared" si="181"/>
        <v>1.04</v>
      </c>
      <c r="K488" s="67">
        <f t="shared" si="182"/>
        <v>0</v>
      </c>
      <c r="L488" s="67">
        <f t="shared" si="183"/>
        <v>0</v>
      </c>
      <c r="M488" s="77">
        <f t="shared" si="184"/>
        <v>0</v>
      </c>
      <c r="N488" s="76">
        <f t="shared" si="185"/>
        <v>1.04</v>
      </c>
      <c r="O488" s="77">
        <f t="shared" si="186"/>
        <v>0.90300875273522974</v>
      </c>
      <c r="P488" s="76">
        <f t="shared" si="187"/>
        <v>0</v>
      </c>
      <c r="Q488" s="76">
        <f t="shared" si="188"/>
        <v>0.75</v>
      </c>
      <c r="R488" s="76">
        <f t="shared" si="189"/>
        <v>0.25</v>
      </c>
      <c r="S488" s="76">
        <f t="shared" si="190"/>
        <v>1.0207925030919989</v>
      </c>
      <c r="T488" s="76">
        <f t="shared" si="191"/>
        <v>1.0298211397583485</v>
      </c>
      <c r="U488" s="76">
        <f t="shared" si="192"/>
        <v>1.04</v>
      </c>
    </row>
    <row r="489" spans="1:21" x14ac:dyDescent="0.25">
      <c r="A489" s="71">
        <v>33</v>
      </c>
      <c r="B489" s="72">
        <f t="shared" si="193"/>
        <v>46631</v>
      </c>
      <c r="C489" s="73">
        <f t="shared" si="174"/>
        <v>46660</v>
      </c>
      <c r="D489" s="67">
        <f t="shared" si="175"/>
        <v>30</v>
      </c>
      <c r="E489" s="67">
        <f t="shared" si="176"/>
        <v>9</v>
      </c>
      <c r="F489" s="74">
        <f t="shared" si="177"/>
        <v>46646</v>
      </c>
      <c r="G489" s="67">
        <f t="shared" si="178"/>
        <v>24332</v>
      </c>
      <c r="H489" s="75">
        <f t="shared" si="179"/>
        <v>1</v>
      </c>
      <c r="I489" s="76">
        <f t="shared" si="180"/>
        <v>1.04</v>
      </c>
      <c r="J489" s="76">
        <f t="shared" si="181"/>
        <v>1.04</v>
      </c>
      <c r="K489" s="67">
        <f t="shared" si="182"/>
        <v>0</v>
      </c>
      <c r="L489" s="67">
        <f t="shared" si="183"/>
        <v>0</v>
      </c>
      <c r="M489" s="77">
        <f t="shared" si="184"/>
        <v>0</v>
      </c>
      <c r="N489" s="76">
        <f t="shared" si="185"/>
        <v>1.04</v>
      </c>
      <c r="O489" s="77">
        <f t="shared" si="186"/>
        <v>0.90234135667396065</v>
      </c>
      <c r="P489" s="76">
        <f t="shared" si="187"/>
        <v>0</v>
      </c>
      <c r="Q489" s="76">
        <f t="shared" si="188"/>
        <v>0.58333333333333337</v>
      </c>
      <c r="R489" s="76">
        <f t="shared" si="189"/>
        <v>0.41666666666666663</v>
      </c>
      <c r="S489" s="76">
        <f t="shared" si="190"/>
        <v>1.0200380553705641</v>
      </c>
      <c r="T489" s="76">
        <f t="shared" si="191"/>
        <v>1.0290666920369138</v>
      </c>
      <c r="U489" s="76">
        <f t="shared" si="192"/>
        <v>1.04</v>
      </c>
    </row>
    <row r="490" spans="1:21" x14ac:dyDescent="0.25">
      <c r="A490" s="71">
        <v>34</v>
      </c>
      <c r="B490" s="72">
        <f t="shared" si="193"/>
        <v>46661</v>
      </c>
      <c r="C490" s="73">
        <f t="shared" si="174"/>
        <v>46691</v>
      </c>
      <c r="D490" s="67">
        <f t="shared" si="175"/>
        <v>31</v>
      </c>
      <c r="E490" s="67">
        <f t="shared" si="176"/>
        <v>10</v>
      </c>
      <c r="F490" s="74">
        <f t="shared" si="177"/>
        <v>46676.5</v>
      </c>
      <c r="G490" s="67">
        <f t="shared" si="178"/>
        <v>24333</v>
      </c>
      <c r="H490" s="75">
        <f t="shared" si="179"/>
        <v>1</v>
      </c>
      <c r="I490" s="76">
        <f t="shared" si="180"/>
        <v>1.04</v>
      </c>
      <c r="J490" s="76">
        <f t="shared" si="181"/>
        <v>1.04</v>
      </c>
      <c r="K490" s="67">
        <f t="shared" si="182"/>
        <v>0</v>
      </c>
      <c r="L490" s="67">
        <f t="shared" si="183"/>
        <v>0</v>
      </c>
      <c r="M490" s="77">
        <f t="shared" si="184"/>
        <v>0</v>
      </c>
      <c r="N490" s="76">
        <f t="shared" si="185"/>
        <v>1.04</v>
      </c>
      <c r="O490" s="77">
        <f t="shared" si="186"/>
        <v>0.90167396061269145</v>
      </c>
      <c r="P490" s="76">
        <f t="shared" si="187"/>
        <v>0</v>
      </c>
      <c r="Q490" s="76">
        <f t="shared" si="188"/>
        <v>0.41666666666666669</v>
      </c>
      <c r="R490" s="76">
        <f t="shared" si="189"/>
        <v>0.58333333333333326</v>
      </c>
      <c r="S490" s="76">
        <f t="shared" si="190"/>
        <v>1.0192836076491294</v>
      </c>
      <c r="T490" s="76">
        <f t="shared" si="191"/>
        <v>1.0283122443154791</v>
      </c>
      <c r="U490" s="76">
        <f t="shared" si="192"/>
        <v>1.04</v>
      </c>
    </row>
    <row r="491" spans="1:21" x14ac:dyDescent="0.25">
      <c r="A491" s="71">
        <v>35</v>
      </c>
      <c r="B491" s="72">
        <f t="shared" si="193"/>
        <v>46692</v>
      </c>
      <c r="C491" s="73">
        <f t="shared" si="174"/>
        <v>46721</v>
      </c>
      <c r="D491" s="67">
        <f t="shared" si="175"/>
        <v>30</v>
      </c>
      <c r="E491" s="67">
        <f t="shared" si="176"/>
        <v>11</v>
      </c>
      <c r="F491" s="74">
        <f t="shared" si="177"/>
        <v>46707</v>
      </c>
      <c r="G491" s="67">
        <f t="shared" si="178"/>
        <v>24334</v>
      </c>
      <c r="H491" s="75">
        <f t="shared" si="179"/>
        <v>1</v>
      </c>
      <c r="I491" s="76">
        <f t="shared" si="180"/>
        <v>1.04</v>
      </c>
      <c r="J491" s="76">
        <f t="shared" si="181"/>
        <v>1.04</v>
      </c>
      <c r="K491" s="67">
        <f t="shared" si="182"/>
        <v>0</v>
      </c>
      <c r="L491" s="67">
        <f t="shared" si="183"/>
        <v>0</v>
      </c>
      <c r="M491" s="77">
        <f t="shared" si="184"/>
        <v>0</v>
      </c>
      <c r="N491" s="76">
        <f t="shared" si="185"/>
        <v>1.04</v>
      </c>
      <c r="O491" s="77">
        <f t="shared" si="186"/>
        <v>0.90100656455142236</v>
      </c>
      <c r="P491" s="76">
        <f t="shared" si="187"/>
        <v>0</v>
      </c>
      <c r="Q491" s="76">
        <f t="shared" si="188"/>
        <v>0.25</v>
      </c>
      <c r="R491" s="76">
        <f t="shared" si="189"/>
        <v>0.75</v>
      </c>
      <c r="S491" s="76">
        <f t="shared" si="190"/>
        <v>1.0185291599276949</v>
      </c>
      <c r="T491" s="76">
        <f t="shared" si="191"/>
        <v>1.0275577965940443</v>
      </c>
      <c r="U491" s="76">
        <f t="shared" si="192"/>
        <v>1.04</v>
      </c>
    </row>
    <row r="492" spans="1:21" x14ac:dyDescent="0.25">
      <c r="A492" s="71">
        <v>36</v>
      </c>
      <c r="B492" s="72">
        <f t="shared" si="193"/>
        <v>46722</v>
      </c>
      <c r="C492" s="73">
        <f t="shared" si="174"/>
        <v>46752</v>
      </c>
      <c r="D492" s="67">
        <f t="shared" si="175"/>
        <v>31</v>
      </c>
      <c r="E492" s="67">
        <f t="shared" si="176"/>
        <v>12</v>
      </c>
      <c r="F492" s="74">
        <f t="shared" si="177"/>
        <v>46737.5</v>
      </c>
      <c r="G492" s="67">
        <f t="shared" si="178"/>
        <v>24335</v>
      </c>
      <c r="H492" s="75">
        <f t="shared" si="179"/>
        <v>1</v>
      </c>
      <c r="I492" s="76">
        <f t="shared" si="180"/>
        <v>1.04</v>
      </c>
      <c r="J492" s="76">
        <f t="shared" si="181"/>
        <v>1.04</v>
      </c>
      <c r="K492" s="67">
        <f t="shared" si="182"/>
        <v>0</v>
      </c>
      <c r="L492" s="67">
        <f t="shared" si="183"/>
        <v>0</v>
      </c>
      <c r="M492" s="77">
        <f t="shared" si="184"/>
        <v>0</v>
      </c>
      <c r="N492" s="76">
        <f t="shared" si="185"/>
        <v>1.04</v>
      </c>
      <c r="O492" s="77">
        <f t="shared" si="186"/>
        <v>0.90033916849015316</v>
      </c>
      <c r="P492" s="76">
        <f t="shared" si="187"/>
        <v>0</v>
      </c>
      <c r="Q492" s="76">
        <f t="shared" si="188"/>
        <v>8.3333333333333329E-2</v>
      </c>
      <c r="R492" s="76">
        <f t="shared" si="189"/>
        <v>0.91666666666666663</v>
      </c>
      <c r="S492" s="76">
        <f t="shared" si="190"/>
        <v>1.0177747122062601</v>
      </c>
      <c r="T492" s="76">
        <f t="shared" si="191"/>
        <v>1.0268033488726098</v>
      </c>
      <c r="U492" s="76">
        <f t="shared" si="192"/>
        <v>1.04</v>
      </c>
    </row>
    <row r="493" spans="1:21" x14ac:dyDescent="0.25">
      <c r="A493" s="71">
        <v>37</v>
      </c>
      <c r="B493" s="72">
        <f t="shared" si="193"/>
        <v>46753</v>
      </c>
      <c r="C493" s="73">
        <f t="shared" si="174"/>
        <v>46783</v>
      </c>
      <c r="D493" s="67">
        <f t="shared" si="175"/>
        <v>31</v>
      </c>
      <c r="E493" s="67">
        <f t="shared" si="176"/>
        <v>1</v>
      </c>
      <c r="F493" s="74">
        <f t="shared" si="177"/>
        <v>46768.5</v>
      </c>
      <c r="G493" s="67">
        <f t="shared" si="178"/>
        <v>24336</v>
      </c>
      <c r="H493" s="75">
        <f t="shared" si="179"/>
        <v>1</v>
      </c>
      <c r="I493" s="76">
        <f t="shared" si="180"/>
        <v>1.04</v>
      </c>
      <c r="J493" s="76">
        <f t="shared" si="181"/>
        <v>1.04</v>
      </c>
      <c r="K493" s="67">
        <f t="shared" si="182"/>
        <v>0</v>
      </c>
      <c r="L493" s="67">
        <f t="shared" si="183"/>
        <v>0</v>
      </c>
      <c r="M493" s="77">
        <f t="shared" si="184"/>
        <v>0</v>
      </c>
      <c r="N493" s="76">
        <f t="shared" si="185"/>
        <v>1.04</v>
      </c>
      <c r="O493" s="77">
        <f t="shared" si="186"/>
        <v>0.9</v>
      </c>
      <c r="P493" s="76">
        <f t="shared" si="187"/>
        <v>0</v>
      </c>
      <c r="Q493" s="76">
        <f t="shared" si="188"/>
        <v>0</v>
      </c>
      <c r="R493" s="76">
        <f t="shared" si="189"/>
        <v>1</v>
      </c>
      <c r="S493" s="76">
        <f t="shared" si="190"/>
        <v>1.0173913043478262</v>
      </c>
      <c r="T493" s="76">
        <f t="shared" si="191"/>
        <v>0.99525497098277993</v>
      </c>
      <c r="U493" s="76">
        <f t="shared" si="192"/>
        <v>1.04</v>
      </c>
    </row>
    <row r="494" spans="1:21" x14ac:dyDescent="0.25">
      <c r="A494" s="71">
        <v>38</v>
      </c>
      <c r="B494" s="72">
        <f t="shared" si="193"/>
        <v>46784</v>
      </c>
      <c r="C494" s="73">
        <f t="shared" si="174"/>
        <v>46812</v>
      </c>
      <c r="D494" s="67">
        <f t="shared" si="175"/>
        <v>29</v>
      </c>
      <c r="E494" s="67">
        <f t="shared" si="176"/>
        <v>2</v>
      </c>
      <c r="F494" s="74">
        <f t="shared" si="177"/>
        <v>46798.5</v>
      </c>
      <c r="G494" s="67">
        <f t="shared" si="178"/>
        <v>24337</v>
      </c>
      <c r="H494" s="75">
        <f t="shared" si="179"/>
        <v>1</v>
      </c>
      <c r="I494" s="76">
        <f t="shared" si="180"/>
        <v>1.04</v>
      </c>
      <c r="J494" s="76">
        <f t="shared" si="181"/>
        <v>1.04</v>
      </c>
      <c r="K494" s="67">
        <f t="shared" si="182"/>
        <v>0</v>
      </c>
      <c r="L494" s="67">
        <f t="shared" si="183"/>
        <v>0</v>
      </c>
      <c r="M494" s="77">
        <f t="shared" si="184"/>
        <v>0</v>
      </c>
      <c r="N494" s="76">
        <f t="shared" si="185"/>
        <v>1.04</v>
      </c>
      <c r="O494" s="77">
        <f t="shared" si="186"/>
        <v>0.9</v>
      </c>
      <c r="P494" s="76">
        <f t="shared" si="187"/>
        <v>0</v>
      </c>
      <c r="Q494" s="76">
        <f t="shared" si="188"/>
        <v>0</v>
      </c>
      <c r="R494" s="76">
        <f t="shared" si="189"/>
        <v>1</v>
      </c>
      <c r="S494" s="76">
        <f t="shared" si="190"/>
        <v>1.0173913043478262</v>
      </c>
      <c r="T494" s="76">
        <f t="shared" si="191"/>
        <v>0.99455332508800309</v>
      </c>
      <c r="U494" s="76">
        <f t="shared" si="192"/>
        <v>1.04</v>
      </c>
    </row>
    <row r="495" spans="1:21" x14ac:dyDescent="0.25">
      <c r="A495" s="71">
        <v>39</v>
      </c>
      <c r="B495" s="72">
        <f t="shared" si="193"/>
        <v>46813</v>
      </c>
      <c r="C495" s="73">
        <f t="shared" si="174"/>
        <v>46843</v>
      </c>
      <c r="D495" s="67">
        <f t="shared" si="175"/>
        <v>31</v>
      </c>
      <c r="E495" s="67">
        <f t="shared" si="176"/>
        <v>3</v>
      </c>
      <c r="F495" s="74">
        <f t="shared" si="177"/>
        <v>46828.5</v>
      </c>
      <c r="G495" s="67">
        <f t="shared" si="178"/>
        <v>24338</v>
      </c>
      <c r="H495" s="75">
        <f t="shared" si="179"/>
        <v>1</v>
      </c>
      <c r="I495" s="76">
        <f t="shared" si="180"/>
        <v>1.04</v>
      </c>
      <c r="J495" s="76">
        <f t="shared" si="181"/>
        <v>1.04</v>
      </c>
      <c r="K495" s="67">
        <f t="shared" si="182"/>
        <v>0</v>
      </c>
      <c r="L495" s="67">
        <f t="shared" si="183"/>
        <v>0</v>
      </c>
      <c r="M495" s="77">
        <f t="shared" si="184"/>
        <v>0</v>
      </c>
      <c r="N495" s="76">
        <f t="shared" si="185"/>
        <v>1.04</v>
      </c>
      <c r="O495" s="77">
        <f t="shared" si="186"/>
        <v>0.9</v>
      </c>
      <c r="P495" s="76">
        <f t="shared" si="187"/>
        <v>0</v>
      </c>
      <c r="Q495" s="76">
        <f t="shared" si="188"/>
        <v>0</v>
      </c>
      <c r="R495" s="76">
        <f t="shared" si="189"/>
        <v>1</v>
      </c>
      <c r="S495" s="76">
        <f t="shared" si="190"/>
        <v>1.0173913043478262</v>
      </c>
      <c r="T495" s="76">
        <f t="shared" si="191"/>
        <v>0.99385167919322603</v>
      </c>
      <c r="U495" s="76">
        <f t="shared" si="192"/>
        <v>1.04</v>
      </c>
    </row>
    <row r="496" spans="1:21" x14ac:dyDescent="0.25">
      <c r="A496" s="71">
        <v>40</v>
      </c>
      <c r="B496" s="72">
        <f t="shared" si="193"/>
        <v>46844</v>
      </c>
      <c r="C496" s="73">
        <f t="shared" si="174"/>
        <v>46873</v>
      </c>
      <c r="D496" s="67">
        <f t="shared" si="175"/>
        <v>30</v>
      </c>
      <c r="E496" s="67">
        <f t="shared" si="176"/>
        <v>4</v>
      </c>
      <c r="F496" s="74">
        <f t="shared" si="177"/>
        <v>46859</v>
      </c>
      <c r="G496" s="67">
        <f t="shared" si="178"/>
        <v>24339</v>
      </c>
      <c r="H496" s="75">
        <f t="shared" si="179"/>
        <v>1</v>
      </c>
      <c r="I496" s="76">
        <f t="shared" si="180"/>
        <v>1.04</v>
      </c>
      <c r="J496" s="76">
        <f t="shared" si="181"/>
        <v>1.04</v>
      </c>
      <c r="K496" s="67">
        <f t="shared" si="182"/>
        <v>0</v>
      </c>
      <c r="L496" s="67">
        <f t="shared" si="183"/>
        <v>0</v>
      </c>
      <c r="M496" s="77">
        <f t="shared" si="184"/>
        <v>0</v>
      </c>
      <c r="N496" s="76">
        <f t="shared" si="185"/>
        <v>1.04</v>
      </c>
      <c r="O496" s="77">
        <f t="shared" si="186"/>
        <v>0.9</v>
      </c>
      <c r="P496" s="76">
        <f t="shared" si="187"/>
        <v>0</v>
      </c>
      <c r="Q496" s="76">
        <f t="shared" si="188"/>
        <v>0</v>
      </c>
      <c r="R496" s="76">
        <f t="shared" si="189"/>
        <v>1</v>
      </c>
      <c r="S496" s="76">
        <f t="shared" si="190"/>
        <v>1.0173913043478262</v>
      </c>
      <c r="T496" s="76">
        <f t="shared" si="191"/>
        <v>0.99312624869184662</v>
      </c>
      <c r="U496" s="76">
        <f t="shared" si="192"/>
        <v>1.04</v>
      </c>
    </row>
    <row r="497" spans="1:21" x14ac:dyDescent="0.25">
      <c r="A497" s="71">
        <v>41</v>
      </c>
      <c r="B497" s="72">
        <f t="shared" si="193"/>
        <v>46874</v>
      </c>
      <c r="C497" s="73">
        <f t="shared" si="174"/>
        <v>46904</v>
      </c>
      <c r="D497" s="67">
        <f t="shared" si="175"/>
        <v>31</v>
      </c>
      <c r="E497" s="67">
        <f t="shared" si="176"/>
        <v>5</v>
      </c>
      <c r="F497" s="74">
        <f t="shared" si="177"/>
        <v>46889.5</v>
      </c>
      <c r="G497" s="67">
        <f t="shared" si="178"/>
        <v>24340</v>
      </c>
      <c r="H497" s="75">
        <f t="shared" si="179"/>
        <v>1</v>
      </c>
      <c r="I497" s="76">
        <f t="shared" si="180"/>
        <v>1.04</v>
      </c>
      <c r="J497" s="76">
        <f t="shared" si="181"/>
        <v>1.04</v>
      </c>
      <c r="K497" s="67">
        <f t="shared" si="182"/>
        <v>0</v>
      </c>
      <c r="L497" s="67">
        <f t="shared" si="183"/>
        <v>0</v>
      </c>
      <c r="M497" s="77">
        <f t="shared" si="184"/>
        <v>0</v>
      </c>
      <c r="N497" s="76">
        <f t="shared" si="185"/>
        <v>1.04</v>
      </c>
      <c r="O497" s="77">
        <f t="shared" si="186"/>
        <v>0.9</v>
      </c>
      <c r="P497" s="76">
        <f t="shared" si="187"/>
        <v>0</v>
      </c>
      <c r="Q497" s="76">
        <f t="shared" si="188"/>
        <v>0</v>
      </c>
      <c r="R497" s="76">
        <f t="shared" si="189"/>
        <v>1</v>
      </c>
      <c r="S497" s="76">
        <f t="shared" si="190"/>
        <v>1.0173913043478262</v>
      </c>
      <c r="T497" s="76">
        <f t="shared" si="191"/>
        <v>0.9924008181904671</v>
      </c>
      <c r="U497" s="76">
        <f t="shared" si="192"/>
        <v>1.04</v>
      </c>
    </row>
    <row r="498" spans="1:21" x14ac:dyDescent="0.25">
      <c r="A498" s="71">
        <v>42</v>
      </c>
      <c r="B498" s="72">
        <f t="shared" si="193"/>
        <v>46905</v>
      </c>
      <c r="C498" s="73">
        <f t="shared" si="174"/>
        <v>46934</v>
      </c>
      <c r="D498" s="67">
        <f t="shared" si="175"/>
        <v>30</v>
      </c>
      <c r="E498" s="67">
        <f t="shared" si="176"/>
        <v>6</v>
      </c>
      <c r="F498" s="74">
        <f t="shared" si="177"/>
        <v>46920</v>
      </c>
      <c r="G498" s="67">
        <f t="shared" si="178"/>
        <v>24341</v>
      </c>
      <c r="H498" s="75">
        <f t="shared" si="179"/>
        <v>1</v>
      </c>
      <c r="I498" s="76">
        <f t="shared" si="180"/>
        <v>1.04</v>
      </c>
      <c r="J498" s="76">
        <f t="shared" si="181"/>
        <v>1.04</v>
      </c>
      <c r="K498" s="67">
        <f t="shared" si="182"/>
        <v>0</v>
      </c>
      <c r="L498" s="67">
        <f t="shared" si="183"/>
        <v>0</v>
      </c>
      <c r="M498" s="77">
        <f t="shared" si="184"/>
        <v>0</v>
      </c>
      <c r="N498" s="76">
        <f t="shared" si="185"/>
        <v>1.04</v>
      </c>
      <c r="O498" s="77">
        <f t="shared" si="186"/>
        <v>0.9</v>
      </c>
      <c r="P498" s="76">
        <f t="shared" si="187"/>
        <v>0</v>
      </c>
      <c r="Q498" s="76">
        <f t="shared" si="188"/>
        <v>0</v>
      </c>
      <c r="R498" s="76">
        <f t="shared" si="189"/>
        <v>1</v>
      </c>
      <c r="S498" s="76">
        <f t="shared" si="190"/>
        <v>1.0173913043478262</v>
      </c>
      <c r="T498" s="76">
        <f t="shared" si="191"/>
        <v>0.99167538768908758</v>
      </c>
      <c r="U498" s="76">
        <f t="shared" si="192"/>
        <v>1.04</v>
      </c>
    </row>
    <row r="499" spans="1:21" x14ac:dyDescent="0.25">
      <c r="A499" s="71">
        <v>43</v>
      </c>
      <c r="B499" s="72">
        <f t="shared" si="193"/>
        <v>46935</v>
      </c>
      <c r="C499" s="73">
        <f t="shared" si="174"/>
        <v>46965</v>
      </c>
      <c r="D499" s="67">
        <f t="shared" si="175"/>
        <v>31</v>
      </c>
      <c r="E499" s="67">
        <f t="shared" si="176"/>
        <v>7</v>
      </c>
      <c r="F499" s="74">
        <f t="shared" si="177"/>
        <v>46950.5</v>
      </c>
      <c r="G499" s="67">
        <f t="shared" si="178"/>
        <v>24342</v>
      </c>
      <c r="H499" s="75">
        <f t="shared" si="179"/>
        <v>1</v>
      </c>
      <c r="I499" s="76">
        <f t="shared" si="180"/>
        <v>1.04</v>
      </c>
      <c r="J499" s="76">
        <f t="shared" si="181"/>
        <v>1.04</v>
      </c>
      <c r="K499" s="67">
        <f t="shared" si="182"/>
        <v>0</v>
      </c>
      <c r="L499" s="67">
        <f t="shared" si="183"/>
        <v>0</v>
      </c>
      <c r="M499" s="77">
        <f t="shared" si="184"/>
        <v>0</v>
      </c>
      <c r="N499" s="76">
        <f t="shared" si="185"/>
        <v>1.04</v>
      </c>
      <c r="O499" s="77">
        <f t="shared" si="186"/>
        <v>0.9</v>
      </c>
      <c r="P499" s="76">
        <f t="shared" si="187"/>
        <v>0</v>
      </c>
      <c r="Q499" s="76">
        <f t="shared" si="188"/>
        <v>0</v>
      </c>
      <c r="R499" s="76">
        <f t="shared" si="189"/>
        <v>0.91666666666666663</v>
      </c>
      <c r="S499" s="76">
        <f t="shared" si="190"/>
        <v>1.0173913043478262</v>
      </c>
      <c r="T499" s="76">
        <f t="shared" si="191"/>
        <v>0.99094995718770806</v>
      </c>
      <c r="U499" s="76">
        <f t="shared" si="192"/>
        <v>1.04</v>
      </c>
    </row>
    <row r="500" spans="1:21" x14ac:dyDescent="0.25">
      <c r="A500" s="71">
        <v>44</v>
      </c>
      <c r="B500" s="72">
        <f t="shared" si="193"/>
        <v>46966</v>
      </c>
      <c r="C500" s="73">
        <f t="shared" si="174"/>
        <v>46996</v>
      </c>
      <c r="D500" s="67">
        <f t="shared" si="175"/>
        <v>31</v>
      </c>
      <c r="E500" s="67">
        <f t="shared" si="176"/>
        <v>8</v>
      </c>
      <c r="F500" s="74">
        <f t="shared" si="177"/>
        <v>46981.5</v>
      </c>
      <c r="G500" s="67">
        <f t="shared" si="178"/>
        <v>24343</v>
      </c>
      <c r="H500" s="75">
        <f t="shared" si="179"/>
        <v>1</v>
      </c>
      <c r="I500" s="76">
        <f t="shared" si="180"/>
        <v>1.04</v>
      </c>
      <c r="J500" s="76">
        <f t="shared" si="181"/>
        <v>1.04</v>
      </c>
      <c r="K500" s="67">
        <f t="shared" si="182"/>
        <v>0</v>
      </c>
      <c r="L500" s="67">
        <f t="shared" si="183"/>
        <v>0</v>
      </c>
      <c r="M500" s="77">
        <f t="shared" si="184"/>
        <v>0</v>
      </c>
      <c r="N500" s="76">
        <f t="shared" si="185"/>
        <v>1.04</v>
      </c>
      <c r="O500" s="77">
        <f t="shared" si="186"/>
        <v>0.9</v>
      </c>
      <c r="P500" s="76">
        <f t="shared" si="187"/>
        <v>0</v>
      </c>
      <c r="Q500" s="76">
        <f t="shared" si="188"/>
        <v>0</v>
      </c>
      <c r="R500" s="76">
        <f t="shared" si="189"/>
        <v>0.75</v>
      </c>
      <c r="S500" s="76">
        <f t="shared" si="190"/>
        <v>1.0173913043478262</v>
      </c>
      <c r="T500" s="76">
        <f t="shared" si="191"/>
        <v>1.0298211397583485</v>
      </c>
      <c r="U500" s="76">
        <f t="shared" si="192"/>
        <v>1.04</v>
      </c>
    </row>
    <row r="501" spans="1:21" x14ac:dyDescent="0.25">
      <c r="A501" s="71">
        <v>45</v>
      </c>
      <c r="B501" s="72">
        <f t="shared" si="193"/>
        <v>46997</v>
      </c>
      <c r="C501" s="73">
        <f t="shared" si="174"/>
        <v>47026</v>
      </c>
      <c r="D501" s="67">
        <f t="shared" si="175"/>
        <v>30</v>
      </c>
      <c r="E501" s="67">
        <f t="shared" si="176"/>
        <v>9</v>
      </c>
      <c r="F501" s="74">
        <f t="shared" si="177"/>
        <v>47012</v>
      </c>
      <c r="G501" s="67">
        <f t="shared" si="178"/>
        <v>24344</v>
      </c>
      <c r="H501" s="75">
        <f t="shared" si="179"/>
        <v>1</v>
      </c>
      <c r="I501" s="76">
        <f t="shared" si="180"/>
        <v>1.04</v>
      </c>
      <c r="J501" s="76">
        <f t="shared" si="181"/>
        <v>1.04</v>
      </c>
      <c r="K501" s="67">
        <f t="shared" si="182"/>
        <v>0</v>
      </c>
      <c r="L501" s="67">
        <f t="shared" si="183"/>
        <v>0</v>
      </c>
      <c r="M501" s="77">
        <f t="shared" si="184"/>
        <v>0</v>
      </c>
      <c r="N501" s="76">
        <f t="shared" si="185"/>
        <v>1.04</v>
      </c>
      <c r="O501" s="77">
        <f t="shared" si="186"/>
        <v>0.9</v>
      </c>
      <c r="P501" s="76">
        <f t="shared" si="187"/>
        <v>0</v>
      </c>
      <c r="Q501" s="76">
        <f t="shared" si="188"/>
        <v>0</v>
      </c>
      <c r="R501" s="76">
        <f t="shared" si="189"/>
        <v>0.58333333333333337</v>
      </c>
      <c r="S501" s="76">
        <f t="shared" si="190"/>
        <v>1.0173913043478262</v>
      </c>
      <c r="T501" s="76">
        <f t="shared" si="191"/>
        <v>1.0290666920369138</v>
      </c>
      <c r="U501" s="76">
        <f t="shared" si="192"/>
        <v>1.04</v>
      </c>
    </row>
    <row r="502" spans="1:21" x14ac:dyDescent="0.25">
      <c r="A502" s="71">
        <v>46</v>
      </c>
      <c r="B502" s="72">
        <f t="shared" si="193"/>
        <v>47027</v>
      </c>
      <c r="C502" s="73">
        <f t="shared" si="174"/>
        <v>47057</v>
      </c>
      <c r="D502" s="67">
        <f t="shared" si="175"/>
        <v>31</v>
      </c>
      <c r="E502" s="67">
        <f t="shared" si="176"/>
        <v>10</v>
      </c>
      <c r="F502" s="74">
        <f t="shared" si="177"/>
        <v>47042.5</v>
      </c>
      <c r="G502" s="67">
        <f t="shared" si="178"/>
        <v>24345</v>
      </c>
      <c r="H502" s="75">
        <f t="shared" si="179"/>
        <v>1</v>
      </c>
      <c r="I502" s="76">
        <f t="shared" si="180"/>
        <v>1.04</v>
      </c>
      <c r="J502" s="76">
        <f t="shared" si="181"/>
        <v>1.04</v>
      </c>
      <c r="K502" s="67">
        <f t="shared" si="182"/>
        <v>0</v>
      </c>
      <c r="L502" s="67">
        <f t="shared" si="183"/>
        <v>0</v>
      </c>
      <c r="M502" s="77">
        <f t="shared" si="184"/>
        <v>0</v>
      </c>
      <c r="N502" s="76">
        <f t="shared" si="185"/>
        <v>1.04</v>
      </c>
      <c r="O502" s="77">
        <f t="shared" si="186"/>
        <v>0.9</v>
      </c>
      <c r="P502" s="76">
        <f t="shared" si="187"/>
        <v>0</v>
      </c>
      <c r="Q502" s="76">
        <f t="shared" si="188"/>
        <v>0</v>
      </c>
      <c r="R502" s="76">
        <f t="shared" si="189"/>
        <v>0.41666666666666669</v>
      </c>
      <c r="S502" s="76">
        <f t="shared" si="190"/>
        <v>1.0173913043478262</v>
      </c>
      <c r="T502" s="76">
        <f t="shared" si="191"/>
        <v>1.0283122443154791</v>
      </c>
      <c r="U502" s="76">
        <f t="shared" si="192"/>
        <v>1.04</v>
      </c>
    </row>
    <row r="503" spans="1:21" x14ac:dyDescent="0.25">
      <c r="A503" s="71">
        <v>47</v>
      </c>
      <c r="B503" s="72">
        <f t="shared" si="193"/>
        <v>47058</v>
      </c>
      <c r="C503" s="73">
        <f t="shared" si="174"/>
        <v>47087</v>
      </c>
      <c r="D503" s="67">
        <f t="shared" si="175"/>
        <v>30</v>
      </c>
      <c r="E503" s="67">
        <f t="shared" si="176"/>
        <v>11</v>
      </c>
      <c r="F503" s="74">
        <f t="shared" si="177"/>
        <v>47073</v>
      </c>
      <c r="G503" s="67">
        <f t="shared" si="178"/>
        <v>24346</v>
      </c>
      <c r="H503" s="75">
        <f t="shared" si="179"/>
        <v>1</v>
      </c>
      <c r="I503" s="76">
        <f t="shared" si="180"/>
        <v>1.04</v>
      </c>
      <c r="J503" s="76">
        <f t="shared" si="181"/>
        <v>1.04</v>
      </c>
      <c r="K503" s="67">
        <f t="shared" si="182"/>
        <v>0</v>
      </c>
      <c r="L503" s="67">
        <f t="shared" si="183"/>
        <v>0</v>
      </c>
      <c r="M503" s="77">
        <f t="shared" si="184"/>
        <v>0</v>
      </c>
      <c r="N503" s="76">
        <f t="shared" si="185"/>
        <v>1.04</v>
      </c>
      <c r="O503" s="77">
        <f t="shared" si="186"/>
        <v>0.9</v>
      </c>
      <c r="P503" s="76">
        <f t="shared" si="187"/>
        <v>0</v>
      </c>
      <c r="Q503" s="76">
        <f t="shared" si="188"/>
        <v>0</v>
      </c>
      <c r="R503" s="76">
        <f t="shared" si="189"/>
        <v>0.25</v>
      </c>
      <c r="S503" s="76">
        <f t="shared" si="190"/>
        <v>1.0173913043478262</v>
      </c>
      <c r="T503" s="76">
        <f t="shared" si="191"/>
        <v>1.0275577965940443</v>
      </c>
      <c r="U503" s="76">
        <f t="shared" si="192"/>
        <v>1.04</v>
      </c>
    </row>
    <row r="504" spans="1:21" x14ac:dyDescent="0.25">
      <c r="A504" s="71">
        <v>48</v>
      </c>
      <c r="B504" s="72">
        <f t="shared" si="193"/>
        <v>47088</v>
      </c>
      <c r="C504" s="73">
        <f t="shared" si="174"/>
        <v>47118</v>
      </c>
      <c r="D504" s="67">
        <f t="shared" si="175"/>
        <v>31</v>
      </c>
      <c r="E504" s="67">
        <f t="shared" si="176"/>
        <v>12</v>
      </c>
      <c r="F504" s="74">
        <f t="shared" si="177"/>
        <v>47103.5</v>
      </c>
      <c r="G504" s="67">
        <f t="shared" si="178"/>
        <v>24347</v>
      </c>
      <c r="H504" s="75">
        <f t="shared" si="179"/>
        <v>1</v>
      </c>
      <c r="I504" s="76">
        <f t="shared" si="180"/>
        <v>1.04</v>
      </c>
      <c r="J504" s="76">
        <f t="shared" si="181"/>
        <v>1.04</v>
      </c>
      <c r="K504" s="67">
        <f t="shared" si="182"/>
        <v>0</v>
      </c>
      <c r="L504" s="67">
        <f t="shared" si="183"/>
        <v>0</v>
      </c>
      <c r="M504" s="77">
        <f t="shared" si="184"/>
        <v>0</v>
      </c>
      <c r="N504" s="76">
        <f t="shared" si="185"/>
        <v>1.04</v>
      </c>
      <c r="O504" s="77">
        <f t="shared" si="186"/>
        <v>0.9</v>
      </c>
      <c r="P504" s="76">
        <f t="shared" si="187"/>
        <v>0</v>
      </c>
      <c r="Q504" s="76">
        <f t="shared" si="188"/>
        <v>0</v>
      </c>
      <c r="R504" s="76">
        <f t="shared" si="189"/>
        <v>8.3333333333333329E-2</v>
      </c>
      <c r="S504" s="76">
        <f t="shared" si="190"/>
        <v>1.0173913043478262</v>
      </c>
      <c r="T504" s="76">
        <f t="shared" si="191"/>
        <v>1.0268033488726098</v>
      </c>
      <c r="U504" s="76">
        <f t="shared" si="192"/>
        <v>1.04</v>
      </c>
    </row>
    <row r="505" spans="1:21" x14ac:dyDescent="0.25">
      <c r="A505" s="81" t="s">
        <v>1187</v>
      </c>
      <c r="B505" s="53">
        <f>EXP(SUMPRODUCT((rl_key=$A$454)*(rl_cons="Y")*rl_ln1p))</f>
        <v>1.04</v>
      </c>
      <c r="C505" s="53">
        <f>SUMPRODUCT($H$457:$H$504,$P$457:$P$504,$U$457:$U$504)/SUMPRODUCT($H$457:$H$504,$P$457:$P$504)</f>
        <v>1.0069444444444444</v>
      </c>
      <c r="D505" s="53">
        <f>SUMPRODUCT($H$457:$H$504,$Q$457:$Q$504,$U$457:$U$504)/SUMPRODUCT($H$457:$H$504,$Q$457:$Q$504)</f>
        <v>1.039722222222222</v>
      </c>
      <c r="E505" s="53">
        <f>SUMPRODUCT($H$457:$H$504,$R$457:$R$504,$U$457:$U$504)/SUMPRODUCT($H$457:$H$504,$R$457:$R$504)</f>
        <v>1.0399999999999998</v>
      </c>
      <c r="F505" s="172">
        <f>SUMPRODUCT($H$457:$H$504,$Q$457:$Q$504,$O$457:$O$504)/SUMPRODUCT($H$457:$H$504,$Q$457:$Q$504)</f>
        <v>0.90600747629467537</v>
      </c>
      <c r="G505" s="172">
        <f>SUMPRODUCT($H$457:$H$504,$R$457:$R$504,$O$457:$O$504)/SUMPRODUCT($H$457:$H$504,$R$457:$R$504)</f>
        <v>0.90033977631898854</v>
      </c>
    </row>
    <row r="508" spans="1:21" x14ac:dyDescent="0.25">
      <c r="A508" s="81" t="str">
        <f>INDEX(lr_key,9)</f>
        <v>BU-A|IA</v>
      </c>
      <c r="B508" s="81" t="str">
        <f>INDEX(lr_state,9)</f>
        <v>IA</v>
      </c>
      <c r="C508" s="55">
        <f>nr_TermMonths</f>
        <v>6</v>
      </c>
      <c r="D508" s="55">
        <f>IF(COUNTIF(se_state,$B508)=0,0,MATCH($B508,se_state,0))</f>
        <v>0</v>
      </c>
      <c r="E508" s="57">
        <f>IF($D508=0,0,INDEX(se_sum,$D508))</f>
        <v>0</v>
      </c>
      <c r="F508" s="172">
        <f>IF(N(INDEX(lr_mind,9))=0,1,INDEX(lr_mind,9))</f>
        <v>0.92</v>
      </c>
      <c r="G508" s="172">
        <f>IF(N(INDEX(lr_m0,9))=0,1,INDEX(lr_m0,9))</f>
        <v>0.91</v>
      </c>
      <c r="H508" s="54">
        <f>IF(N(INDEX(lr_m0asof,9))=0,DATE(nr_PlanYear-1,10,1),INDEX(lr_m0asof,9))</f>
        <v>46295</v>
      </c>
      <c r="I508" s="172">
        <f>IF(N(INDEX(lr_m1,9))=0,1,INDEX(lr_m1,9))</f>
        <v>0.91500000000000004</v>
      </c>
      <c r="J508" s="172">
        <f>INDEX(lr_mprior,9)</f>
        <v>0</v>
      </c>
      <c r="K508" s="172">
        <f>INDEX(lr_m2,9)</f>
        <v>0</v>
      </c>
      <c r="L508" s="81" t="b">
        <f>NOT(ISBLANK(INDEX(lr_netp,9)))</f>
        <v>0</v>
      </c>
      <c r="M508" s="52">
        <f>N(INDEX(lr_netp,9))</f>
        <v>0</v>
      </c>
      <c r="N508" s="52">
        <f>IF(ISBLANK(INDEX(lr_netp1,9)),$M$508,N(INDEX(lr_netp1,9)))</f>
        <v>0</v>
      </c>
      <c r="O508" s="55">
        <f>IF(AND(nr_ModAdjMaster="ON",INDEX(lr_modadj,9)="ON"),1,0)</f>
        <v>1</v>
      </c>
    </row>
    <row r="509" spans="1:21" x14ac:dyDescent="0.25">
      <c r="A509" s="81">
        <f>EDATE($H$508,-12)+1</f>
        <v>45931</v>
      </c>
      <c r="B509" s="81">
        <f>$H$508+1</f>
        <v>46296</v>
      </c>
      <c r="C509" s="81">
        <f>DATE(nr_PlanYear,12,31)+1</f>
        <v>46753</v>
      </c>
      <c r="D509" s="81">
        <f>DATE(nr_PlanYear+1,12,31)+1</f>
        <v>47119</v>
      </c>
      <c r="E509" s="81">
        <f>IF(N($J$508)=0,$F$509-($G$509-$F$509)/($C$509-$B$509)*($B$509-$A$509),$J$508)</f>
        <v>0.90600656455142237</v>
      </c>
      <c r="F509" s="81">
        <f>$G$508</f>
        <v>0.91</v>
      </c>
      <c r="G509" s="81">
        <f>$I$508</f>
        <v>0.91500000000000004</v>
      </c>
      <c r="H509" s="81">
        <f>IF(N($K$508)=0,$I$508,$K$508)</f>
        <v>0.91500000000000004</v>
      </c>
      <c r="I509" s="81">
        <f>($F$509-$E$509)/($B$509-$A$509)</f>
        <v>1.0940919037199081E-5</v>
      </c>
      <c r="J509" s="81">
        <f>($G$509-$F$509)/($C$509-$B$509)</f>
        <v>1.0940919037199135E-5</v>
      </c>
      <c r="K509" s="81">
        <f>($H$509-$G$509)/($D$509-$C$509)</f>
        <v>0</v>
      </c>
    </row>
    <row r="510" spans="1:21" ht="36" x14ac:dyDescent="0.25">
      <c r="A510" s="50" t="s">
        <v>211</v>
      </c>
      <c r="B510" s="50" t="s">
        <v>212</v>
      </c>
      <c r="C510" s="50" t="s">
        <v>213</v>
      </c>
      <c r="D510" s="50" t="s">
        <v>214</v>
      </c>
      <c r="E510" s="50" t="s">
        <v>215</v>
      </c>
      <c r="F510" s="50" t="s">
        <v>216</v>
      </c>
      <c r="G510" s="50" t="s">
        <v>217</v>
      </c>
      <c r="H510" s="50" t="s">
        <v>218</v>
      </c>
      <c r="I510" s="50" t="s">
        <v>219</v>
      </c>
      <c r="J510" s="50" t="s">
        <v>220</v>
      </c>
      <c r="K510" s="50" t="s">
        <v>221</v>
      </c>
      <c r="L510" s="50" t="s">
        <v>222</v>
      </c>
      <c r="M510" s="50" t="s">
        <v>223</v>
      </c>
      <c r="N510" s="50" t="s">
        <v>224</v>
      </c>
      <c r="O510" s="50" t="s">
        <v>225</v>
      </c>
      <c r="P510" s="50" t="s">
        <v>226</v>
      </c>
      <c r="Q510" s="50" t="s">
        <v>227</v>
      </c>
      <c r="R510" s="50" t="s">
        <v>228</v>
      </c>
      <c r="S510" s="50" t="s">
        <v>229</v>
      </c>
      <c r="T510" s="50" t="s">
        <v>230</v>
      </c>
      <c r="U510" s="50" t="s">
        <v>231</v>
      </c>
    </row>
    <row r="511" spans="1:21" x14ac:dyDescent="0.25">
      <c r="A511" s="71">
        <v>1</v>
      </c>
      <c r="B511" s="72">
        <f>DATE(nr_PlanYear-2,1,1)</f>
        <v>45658</v>
      </c>
      <c r="C511" s="73">
        <f t="shared" ref="C511:C558" si="194">EOMONTH($B511,0)</f>
        <v>45688</v>
      </c>
      <c r="D511" s="67">
        <f t="shared" ref="D511:D558" si="195">$C511-$B511+1</f>
        <v>31</v>
      </c>
      <c r="E511" s="67">
        <f t="shared" ref="E511:E558" si="196">MONTH($B511)</f>
        <v>1</v>
      </c>
      <c r="F511" s="74">
        <f t="shared" ref="F511:F558" si="197">($B511+$C511+1)/2</f>
        <v>45673.5</v>
      </c>
      <c r="G511" s="67">
        <f t="shared" ref="G511:G558" si="198">YEAR($B511)*12+MONTH($B511)-1</f>
        <v>24300</v>
      </c>
      <c r="H511" s="75">
        <f t="shared" ref="H511:H558" si="199">IF(OR(nr_SeasonOn="OFF",$D$508=0,$E$508=0),1,12*INDEX(se_block,$D$508,$E511)/$E$508)</f>
        <v>1</v>
      </c>
      <c r="I511" s="76">
        <f t="shared" ref="I511:I558" si="200">EXP(SUMPRODUCT((rl_eff&lt;$B511)*(rl_key=$A$508)*rl_ln1p))</f>
        <v>1</v>
      </c>
      <c r="J511" s="76">
        <f t="shared" ref="J511:J558" si="201">EXP(SUMPRODUCT((rl_eff&lt;=$C511)*(rl_key=$A$508)*rl_ln1p))</f>
        <v>1</v>
      </c>
      <c r="K511" s="67">
        <f t="shared" ref="K511:K558" si="202">COUNTIFS(rl_key,$A$508,rl_eff,"&gt;="&amp;$B511,rl_eff,"&lt;="&amp;$C511)</f>
        <v>0</v>
      </c>
      <c r="L511" s="67">
        <f t="shared" ref="L511:L558" si="203">SUMIFS(rl_daysafter,rl_key,$A$508,rl_effmonth,$B511,rl_first,1)</f>
        <v>0</v>
      </c>
      <c r="M511" s="77">
        <f t="shared" ref="M511:M558" si="204">IF($K511=0,0,MIN(1,$L511/$D511))</f>
        <v>0</v>
      </c>
      <c r="N511" s="76">
        <f t="shared" ref="N511:N558" si="205">IF($K511=0,$J511,(1-$M511)*$I511+$M511*$J511)</f>
        <v>1</v>
      </c>
      <c r="O511" s="77">
        <f t="shared" ref="O511:O558" si="206">IF($F511&lt;$B$509,$E$509+$I$509*($F511-$A$509),IF($F511&lt;$C$509,$F$509+$J$509*($F511-$B$509),$G$509+$K$509*($F511-$C$509)))</f>
        <v>0.90318927789934356</v>
      </c>
      <c r="P511" s="76">
        <f t="shared" ref="P511:P558" si="207">MIN(1,MAX(0,(nr_MEndPm1-$G511+0.5)/$C$508))-MIN(1,MAX(0,(nr_MStartPm1-1-$G511+0.5)/$C$508))</f>
        <v>0</v>
      </c>
      <c r="Q511" s="76">
        <f t="shared" ref="Q511:Q558" si="208">MIN(1,MAX(0,(nr_MEndP-$G511+0.5)/$C$508))-MIN(1,MAX(0,(nr_MStartP-1-$G511+0.5)/$C$508))</f>
        <v>0</v>
      </c>
      <c r="R511" s="76">
        <f t="shared" ref="R511:R558" si="209">MIN(1,MAX(0,(nr_MEndP1-$G511+0.5)/$C$508))-MIN(1,MAX(0,(nr_MStartP1-1-$G511+0.5)/$C$508))</f>
        <v>0</v>
      </c>
      <c r="S511" s="76">
        <f t="shared" ref="S511:S558" si="210">$N511*IF($O$508=1,$O511/$F$508,1)</f>
        <v>0.98172747597754728</v>
      </c>
      <c r="T511" s="76">
        <f t="shared" ref="T511:T558" si="211">IF($G511&lt;nr_MStartP,$S511,$T499*(1+IF($G511&lt;nr_MStartP1,$M$508,$N$508)))</f>
        <v>0.98172747597754728</v>
      </c>
      <c r="U511" s="76">
        <f t="shared" ref="U511:U558" si="212">IF($L$508,$T511,$N511)</f>
        <v>1</v>
      </c>
    </row>
    <row r="512" spans="1:21" x14ac:dyDescent="0.25">
      <c r="A512" s="71">
        <v>2</v>
      </c>
      <c r="B512" s="72">
        <f t="shared" ref="B512:B558" si="213">EDATE($B511,1)</f>
        <v>45689</v>
      </c>
      <c r="C512" s="73">
        <f t="shared" si="194"/>
        <v>45716</v>
      </c>
      <c r="D512" s="67">
        <f t="shared" si="195"/>
        <v>28</v>
      </c>
      <c r="E512" s="67">
        <f t="shared" si="196"/>
        <v>2</v>
      </c>
      <c r="F512" s="74">
        <f t="shared" si="197"/>
        <v>45703</v>
      </c>
      <c r="G512" s="67">
        <f t="shared" si="198"/>
        <v>24301</v>
      </c>
      <c r="H512" s="75">
        <f t="shared" si="199"/>
        <v>1</v>
      </c>
      <c r="I512" s="76">
        <f t="shared" si="200"/>
        <v>1</v>
      </c>
      <c r="J512" s="76">
        <f t="shared" si="201"/>
        <v>1</v>
      </c>
      <c r="K512" s="67">
        <f t="shared" si="202"/>
        <v>0</v>
      </c>
      <c r="L512" s="67">
        <f t="shared" si="203"/>
        <v>0</v>
      </c>
      <c r="M512" s="77">
        <f t="shared" si="204"/>
        <v>0</v>
      </c>
      <c r="N512" s="76">
        <f t="shared" si="205"/>
        <v>1</v>
      </c>
      <c r="O512" s="77">
        <f t="shared" si="206"/>
        <v>0.90351203501094102</v>
      </c>
      <c r="P512" s="76">
        <f t="shared" si="207"/>
        <v>0</v>
      </c>
      <c r="Q512" s="76">
        <f t="shared" si="208"/>
        <v>0</v>
      </c>
      <c r="R512" s="76">
        <f t="shared" si="209"/>
        <v>0</v>
      </c>
      <c r="S512" s="76">
        <f t="shared" si="210"/>
        <v>0.98207829892493581</v>
      </c>
      <c r="T512" s="76">
        <f t="shared" si="211"/>
        <v>0.98207829892493581</v>
      </c>
      <c r="U512" s="76">
        <f t="shared" si="212"/>
        <v>1</v>
      </c>
    </row>
    <row r="513" spans="1:21" x14ac:dyDescent="0.25">
      <c r="A513" s="71">
        <v>3</v>
      </c>
      <c r="B513" s="72">
        <f t="shared" si="213"/>
        <v>45717</v>
      </c>
      <c r="C513" s="73">
        <f t="shared" si="194"/>
        <v>45747</v>
      </c>
      <c r="D513" s="67">
        <f t="shared" si="195"/>
        <v>31</v>
      </c>
      <c r="E513" s="67">
        <f t="shared" si="196"/>
        <v>3</v>
      </c>
      <c r="F513" s="74">
        <f t="shared" si="197"/>
        <v>45732.5</v>
      </c>
      <c r="G513" s="67">
        <f t="shared" si="198"/>
        <v>24302</v>
      </c>
      <c r="H513" s="75">
        <f t="shared" si="199"/>
        <v>1</v>
      </c>
      <c r="I513" s="76">
        <f t="shared" si="200"/>
        <v>1</v>
      </c>
      <c r="J513" s="76">
        <f t="shared" si="201"/>
        <v>1</v>
      </c>
      <c r="K513" s="67">
        <f t="shared" si="202"/>
        <v>0</v>
      </c>
      <c r="L513" s="67">
        <f t="shared" si="203"/>
        <v>0</v>
      </c>
      <c r="M513" s="77">
        <f t="shared" si="204"/>
        <v>0</v>
      </c>
      <c r="N513" s="76">
        <f t="shared" si="205"/>
        <v>1</v>
      </c>
      <c r="O513" s="77">
        <f t="shared" si="206"/>
        <v>0.90383479212253837</v>
      </c>
      <c r="P513" s="76">
        <f t="shared" si="207"/>
        <v>0</v>
      </c>
      <c r="Q513" s="76">
        <f t="shared" si="208"/>
        <v>0</v>
      </c>
      <c r="R513" s="76">
        <f t="shared" si="209"/>
        <v>0</v>
      </c>
      <c r="S513" s="76">
        <f t="shared" si="210"/>
        <v>0.98242912187232423</v>
      </c>
      <c r="T513" s="76">
        <f t="shared" si="211"/>
        <v>0.98242912187232423</v>
      </c>
      <c r="U513" s="76">
        <f t="shared" si="212"/>
        <v>1</v>
      </c>
    </row>
    <row r="514" spans="1:21" x14ac:dyDescent="0.25">
      <c r="A514" s="71">
        <v>4</v>
      </c>
      <c r="B514" s="72">
        <f t="shared" si="213"/>
        <v>45748</v>
      </c>
      <c r="C514" s="73">
        <f t="shared" si="194"/>
        <v>45777</v>
      </c>
      <c r="D514" s="67">
        <f t="shared" si="195"/>
        <v>30</v>
      </c>
      <c r="E514" s="67">
        <f t="shared" si="196"/>
        <v>4</v>
      </c>
      <c r="F514" s="74">
        <f t="shared" si="197"/>
        <v>45763</v>
      </c>
      <c r="G514" s="67">
        <f t="shared" si="198"/>
        <v>24303</v>
      </c>
      <c r="H514" s="75">
        <f t="shared" si="199"/>
        <v>1</v>
      </c>
      <c r="I514" s="76">
        <f t="shared" si="200"/>
        <v>1</v>
      </c>
      <c r="J514" s="76">
        <f t="shared" si="201"/>
        <v>1</v>
      </c>
      <c r="K514" s="67">
        <f t="shared" si="202"/>
        <v>0</v>
      </c>
      <c r="L514" s="67">
        <f t="shared" si="203"/>
        <v>0</v>
      </c>
      <c r="M514" s="77">
        <f t="shared" si="204"/>
        <v>0</v>
      </c>
      <c r="N514" s="76">
        <f t="shared" si="205"/>
        <v>1</v>
      </c>
      <c r="O514" s="77">
        <f t="shared" si="206"/>
        <v>0.90416849015317291</v>
      </c>
      <c r="P514" s="76">
        <f t="shared" si="207"/>
        <v>0</v>
      </c>
      <c r="Q514" s="76">
        <f t="shared" si="208"/>
        <v>0</v>
      </c>
      <c r="R514" s="76">
        <f t="shared" si="209"/>
        <v>0</v>
      </c>
      <c r="S514" s="76">
        <f t="shared" si="210"/>
        <v>0.98279183712301399</v>
      </c>
      <c r="T514" s="76">
        <f t="shared" si="211"/>
        <v>0.98279183712301399</v>
      </c>
      <c r="U514" s="76">
        <f t="shared" si="212"/>
        <v>1</v>
      </c>
    </row>
    <row r="515" spans="1:21" x14ac:dyDescent="0.25">
      <c r="A515" s="71">
        <v>5</v>
      </c>
      <c r="B515" s="72">
        <f t="shared" si="213"/>
        <v>45778</v>
      </c>
      <c r="C515" s="73">
        <f t="shared" si="194"/>
        <v>45808</v>
      </c>
      <c r="D515" s="67">
        <f t="shared" si="195"/>
        <v>31</v>
      </c>
      <c r="E515" s="67">
        <f t="shared" si="196"/>
        <v>5</v>
      </c>
      <c r="F515" s="74">
        <f t="shared" si="197"/>
        <v>45793.5</v>
      </c>
      <c r="G515" s="67">
        <f t="shared" si="198"/>
        <v>24304</v>
      </c>
      <c r="H515" s="75">
        <f t="shared" si="199"/>
        <v>1</v>
      </c>
      <c r="I515" s="76">
        <f t="shared" si="200"/>
        <v>1</v>
      </c>
      <c r="J515" s="76">
        <f t="shared" si="201"/>
        <v>1</v>
      </c>
      <c r="K515" s="67">
        <f t="shared" si="202"/>
        <v>0</v>
      </c>
      <c r="L515" s="67">
        <f t="shared" si="203"/>
        <v>0</v>
      </c>
      <c r="M515" s="77">
        <f t="shared" si="204"/>
        <v>0</v>
      </c>
      <c r="N515" s="76">
        <f t="shared" si="205"/>
        <v>1</v>
      </c>
      <c r="O515" s="77">
        <f t="shared" si="206"/>
        <v>0.90450218818380745</v>
      </c>
      <c r="P515" s="76">
        <f t="shared" si="207"/>
        <v>0</v>
      </c>
      <c r="Q515" s="76">
        <f t="shared" si="208"/>
        <v>0</v>
      </c>
      <c r="R515" s="76">
        <f t="shared" si="209"/>
        <v>0</v>
      </c>
      <c r="S515" s="76">
        <f t="shared" si="210"/>
        <v>0.98315455237370375</v>
      </c>
      <c r="T515" s="76">
        <f t="shared" si="211"/>
        <v>0.98315455237370375</v>
      </c>
      <c r="U515" s="76">
        <f t="shared" si="212"/>
        <v>1</v>
      </c>
    </row>
    <row r="516" spans="1:21" x14ac:dyDescent="0.25">
      <c r="A516" s="71">
        <v>6</v>
      </c>
      <c r="B516" s="72">
        <f t="shared" si="213"/>
        <v>45809</v>
      </c>
      <c r="C516" s="73">
        <f t="shared" si="194"/>
        <v>45838</v>
      </c>
      <c r="D516" s="67">
        <f t="shared" si="195"/>
        <v>30</v>
      </c>
      <c r="E516" s="67">
        <f t="shared" si="196"/>
        <v>6</v>
      </c>
      <c r="F516" s="74">
        <f t="shared" si="197"/>
        <v>45824</v>
      </c>
      <c r="G516" s="67">
        <f t="shared" si="198"/>
        <v>24305</v>
      </c>
      <c r="H516" s="75">
        <f t="shared" si="199"/>
        <v>1</v>
      </c>
      <c r="I516" s="76">
        <f t="shared" si="200"/>
        <v>1</v>
      </c>
      <c r="J516" s="76">
        <f t="shared" si="201"/>
        <v>1</v>
      </c>
      <c r="K516" s="67">
        <f t="shared" si="202"/>
        <v>0</v>
      </c>
      <c r="L516" s="67">
        <f t="shared" si="203"/>
        <v>0</v>
      </c>
      <c r="M516" s="77">
        <f t="shared" si="204"/>
        <v>0</v>
      </c>
      <c r="N516" s="76">
        <f t="shared" si="205"/>
        <v>1</v>
      </c>
      <c r="O516" s="77">
        <f t="shared" si="206"/>
        <v>0.90483588621444211</v>
      </c>
      <c r="P516" s="76">
        <f t="shared" si="207"/>
        <v>0</v>
      </c>
      <c r="Q516" s="76">
        <f t="shared" si="208"/>
        <v>0</v>
      </c>
      <c r="R516" s="76">
        <f t="shared" si="209"/>
        <v>0</v>
      </c>
      <c r="S516" s="76">
        <f t="shared" si="210"/>
        <v>0.98351726762439351</v>
      </c>
      <c r="T516" s="76">
        <f t="shared" si="211"/>
        <v>0.98351726762439351</v>
      </c>
      <c r="U516" s="76">
        <f t="shared" si="212"/>
        <v>1</v>
      </c>
    </row>
    <row r="517" spans="1:21" x14ac:dyDescent="0.25">
      <c r="A517" s="71">
        <v>7</v>
      </c>
      <c r="B517" s="72">
        <f t="shared" si="213"/>
        <v>45839</v>
      </c>
      <c r="C517" s="73">
        <f t="shared" si="194"/>
        <v>45869</v>
      </c>
      <c r="D517" s="67">
        <f t="shared" si="195"/>
        <v>31</v>
      </c>
      <c r="E517" s="67">
        <f t="shared" si="196"/>
        <v>7</v>
      </c>
      <c r="F517" s="74">
        <f t="shared" si="197"/>
        <v>45854.5</v>
      </c>
      <c r="G517" s="67">
        <f t="shared" si="198"/>
        <v>24306</v>
      </c>
      <c r="H517" s="75">
        <f t="shared" si="199"/>
        <v>1</v>
      </c>
      <c r="I517" s="76">
        <f t="shared" si="200"/>
        <v>1</v>
      </c>
      <c r="J517" s="76">
        <f t="shared" si="201"/>
        <v>1</v>
      </c>
      <c r="K517" s="67">
        <f t="shared" si="202"/>
        <v>0</v>
      </c>
      <c r="L517" s="67">
        <f t="shared" si="203"/>
        <v>0</v>
      </c>
      <c r="M517" s="77">
        <f t="shared" si="204"/>
        <v>0</v>
      </c>
      <c r="N517" s="76">
        <f t="shared" si="205"/>
        <v>1</v>
      </c>
      <c r="O517" s="77">
        <f t="shared" si="206"/>
        <v>0.90516958424507665</v>
      </c>
      <c r="P517" s="76">
        <f t="shared" si="207"/>
        <v>8.333333333333337E-2</v>
      </c>
      <c r="Q517" s="76">
        <f t="shared" si="208"/>
        <v>0</v>
      </c>
      <c r="R517" s="76">
        <f t="shared" si="209"/>
        <v>0</v>
      </c>
      <c r="S517" s="76">
        <f t="shared" si="210"/>
        <v>0.98387998287508327</v>
      </c>
      <c r="T517" s="76">
        <f t="shared" si="211"/>
        <v>0.98387998287508327</v>
      </c>
      <c r="U517" s="76">
        <f t="shared" si="212"/>
        <v>1</v>
      </c>
    </row>
    <row r="518" spans="1:21" x14ac:dyDescent="0.25">
      <c r="A518" s="71">
        <v>8</v>
      </c>
      <c r="B518" s="72">
        <f t="shared" si="213"/>
        <v>45870</v>
      </c>
      <c r="C518" s="73">
        <f t="shared" si="194"/>
        <v>45900</v>
      </c>
      <c r="D518" s="67">
        <f t="shared" si="195"/>
        <v>31</v>
      </c>
      <c r="E518" s="67">
        <f t="shared" si="196"/>
        <v>8</v>
      </c>
      <c r="F518" s="74">
        <f t="shared" si="197"/>
        <v>45885.5</v>
      </c>
      <c r="G518" s="67">
        <f t="shared" si="198"/>
        <v>24307</v>
      </c>
      <c r="H518" s="75">
        <f t="shared" si="199"/>
        <v>1</v>
      </c>
      <c r="I518" s="76">
        <f t="shared" si="200"/>
        <v>1</v>
      </c>
      <c r="J518" s="76">
        <f t="shared" si="201"/>
        <v>1</v>
      </c>
      <c r="K518" s="67">
        <f t="shared" si="202"/>
        <v>0</v>
      </c>
      <c r="L518" s="67">
        <f t="shared" si="203"/>
        <v>0</v>
      </c>
      <c r="M518" s="77">
        <f t="shared" si="204"/>
        <v>0</v>
      </c>
      <c r="N518" s="76">
        <f t="shared" si="205"/>
        <v>1</v>
      </c>
      <c r="O518" s="77">
        <f t="shared" si="206"/>
        <v>0.90550875273522979</v>
      </c>
      <c r="P518" s="76">
        <f t="shared" si="207"/>
        <v>0.25</v>
      </c>
      <c r="Q518" s="76">
        <f t="shared" si="208"/>
        <v>0</v>
      </c>
      <c r="R518" s="76">
        <f t="shared" si="209"/>
        <v>0</v>
      </c>
      <c r="S518" s="76">
        <f t="shared" si="210"/>
        <v>0.98424864427742365</v>
      </c>
      <c r="T518" s="76">
        <f t="shared" si="211"/>
        <v>0.98424864427742365</v>
      </c>
      <c r="U518" s="76">
        <f t="shared" si="212"/>
        <v>1</v>
      </c>
    </row>
    <row r="519" spans="1:21" x14ac:dyDescent="0.25">
      <c r="A519" s="71">
        <v>9</v>
      </c>
      <c r="B519" s="72">
        <f t="shared" si="213"/>
        <v>45901</v>
      </c>
      <c r="C519" s="73">
        <f t="shared" si="194"/>
        <v>45930</v>
      </c>
      <c r="D519" s="67">
        <f t="shared" si="195"/>
        <v>30</v>
      </c>
      <c r="E519" s="67">
        <f t="shared" si="196"/>
        <v>9</v>
      </c>
      <c r="F519" s="74">
        <f t="shared" si="197"/>
        <v>45916</v>
      </c>
      <c r="G519" s="67">
        <f t="shared" si="198"/>
        <v>24308</v>
      </c>
      <c r="H519" s="75">
        <f t="shared" si="199"/>
        <v>1</v>
      </c>
      <c r="I519" s="76">
        <f t="shared" si="200"/>
        <v>1</v>
      </c>
      <c r="J519" s="76">
        <f t="shared" si="201"/>
        <v>1</v>
      </c>
      <c r="K519" s="67">
        <f t="shared" si="202"/>
        <v>0</v>
      </c>
      <c r="L519" s="67">
        <f t="shared" si="203"/>
        <v>0</v>
      </c>
      <c r="M519" s="77">
        <f t="shared" si="204"/>
        <v>0</v>
      </c>
      <c r="N519" s="76">
        <f t="shared" si="205"/>
        <v>1</v>
      </c>
      <c r="O519" s="77">
        <f t="shared" si="206"/>
        <v>0.90584245076586434</v>
      </c>
      <c r="P519" s="76">
        <f t="shared" si="207"/>
        <v>0.41666666666666663</v>
      </c>
      <c r="Q519" s="76">
        <f t="shared" si="208"/>
        <v>0</v>
      </c>
      <c r="R519" s="76">
        <f t="shared" si="209"/>
        <v>0</v>
      </c>
      <c r="S519" s="76">
        <f t="shared" si="210"/>
        <v>0.98461135952811341</v>
      </c>
      <c r="T519" s="76">
        <f t="shared" si="211"/>
        <v>0.98461135952811341</v>
      </c>
      <c r="U519" s="76">
        <f t="shared" si="212"/>
        <v>1</v>
      </c>
    </row>
    <row r="520" spans="1:21" x14ac:dyDescent="0.25">
      <c r="A520" s="71">
        <v>10</v>
      </c>
      <c r="B520" s="72">
        <f t="shared" si="213"/>
        <v>45931</v>
      </c>
      <c r="C520" s="73">
        <f t="shared" si="194"/>
        <v>45961</v>
      </c>
      <c r="D520" s="67">
        <f t="shared" si="195"/>
        <v>31</v>
      </c>
      <c r="E520" s="67">
        <f t="shared" si="196"/>
        <v>10</v>
      </c>
      <c r="F520" s="74">
        <f t="shared" si="197"/>
        <v>45946.5</v>
      </c>
      <c r="G520" s="67">
        <f t="shared" si="198"/>
        <v>24309</v>
      </c>
      <c r="H520" s="75">
        <f t="shared" si="199"/>
        <v>1</v>
      </c>
      <c r="I520" s="76">
        <f t="shared" si="200"/>
        <v>1</v>
      </c>
      <c r="J520" s="76">
        <f t="shared" si="201"/>
        <v>1</v>
      </c>
      <c r="K520" s="67">
        <f t="shared" si="202"/>
        <v>0</v>
      </c>
      <c r="L520" s="67">
        <f t="shared" si="203"/>
        <v>0</v>
      </c>
      <c r="M520" s="77">
        <f t="shared" si="204"/>
        <v>0</v>
      </c>
      <c r="N520" s="76">
        <f t="shared" si="205"/>
        <v>1</v>
      </c>
      <c r="O520" s="77">
        <f t="shared" si="206"/>
        <v>0.90617614879649899</v>
      </c>
      <c r="P520" s="76">
        <f t="shared" si="207"/>
        <v>0.58333333333333326</v>
      </c>
      <c r="Q520" s="76">
        <f t="shared" si="208"/>
        <v>0</v>
      </c>
      <c r="R520" s="76">
        <f t="shared" si="209"/>
        <v>0</v>
      </c>
      <c r="S520" s="76">
        <f t="shared" si="210"/>
        <v>0.98497407477880317</v>
      </c>
      <c r="T520" s="76">
        <f t="shared" si="211"/>
        <v>0.98497407477880317</v>
      </c>
      <c r="U520" s="76">
        <f t="shared" si="212"/>
        <v>1</v>
      </c>
    </row>
    <row r="521" spans="1:21" x14ac:dyDescent="0.25">
      <c r="A521" s="71">
        <v>11</v>
      </c>
      <c r="B521" s="72">
        <f t="shared" si="213"/>
        <v>45962</v>
      </c>
      <c r="C521" s="73">
        <f t="shared" si="194"/>
        <v>45991</v>
      </c>
      <c r="D521" s="67">
        <f t="shared" si="195"/>
        <v>30</v>
      </c>
      <c r="E521" s="67">
        <f t="shared" si="196"/>
        <v>11</v>
      </c>
      <c r="F521" s="74">
        <f t="shared" si="197"/>
        <v>45977</v>
      </c>
      <c r="G521" s="67">
        <f t="shared" si="198"/>
        <v>24310</v>
      </c>
      <c r="H521" s="75">
        <f t="shared" si="199"/>
        <v>1</v>
      </c>
      <c r="I521" s="76">
        <f t="shared" si="200"/>
        <v>1</v>
      </c>
      <c r="J521" s="76">
        <f t="shared" si="201"/>
        <v>1</v>
      </c>
      <c r="K521" s="67">
        <f t="shared" si="202"/>
        <v>0</v>
      </c>
      <c r="L521" s="67">
        <f t="shared" si="203"/>
        <v>0</v>
      </c>
      <c r="M521" s="77">
        <f t="shared" si="204"/>
        <v>0</v>
      </c>
      <c r="N521" s="76">
        <f t="shared" si="205"/>
        <v>1</v>
      </c>
      <c r="O521" s="77">
        <f t="shared" si="206"/>
        <v>0.90650984682713354</v>
      </c>
      <c r="P521" s="76">
        <f t="shared" si="207"/>
        <v>0.75</v>
      </c>
      <c r="Q521" s="76">
        <f t="shared" si="208"/>
        <v>0</v>
      </c>
      <c r="R521" s="76">
        <f t="shared" si="209"/>
        <v>0</v>
      </c>
      <c r="S521" s="76">
        <f t="shared" si="210"/>
        <v>0.98533679002949293</v>
      </c>
      <c r="T521" s="76">
        <f t="shared" si="211"/>
        <v>0.98533679002949293</v>
      </c>
      <c r="U521" s="76">
        <f t="shared" si="212"/>
        <v>1</v>
      </c>
    </row>
    <row r="522" spans="1:21" x14ac:dyDescent="0.25">
      <c r="A522" s="71">
        <v>12</v>
      </c>
      <c r="B522" s="72">
        <f t="shared" si="213"/>
        <v>45992</v>
      </c>
      <c r="C522" s="73">
        <f t="shared" si="194"/>
        <v>46022</v>
      </c>
      <c r="D522" s="67">
        <f t="shared" si="195"/>
        <v>31</v>
      </c>
      <c r="E522" s="67">
        <f t="shared" si="196"/>
        <v>12</v>
      </c>
      <c r="F522" s="74">
        <f t="shared" si="197"/>
        <v>46007.5</v>
      </c>
      <c r="G522" s="67">
        <f t="shared" si="198"/>
        <v>24311</v>
      </c>
      <c r="H522" s="75">
        <f t="shared" si="199"/>
        <v>1</v>
      </c>
      <c r="I522" s="76">
        <f t="shared" si="200"/>
        <v>1</v>
      </c>
      <c r="J522" s="76">
        <f t="shared" si="201"/>
        <v>1</v>
      </c>
      <c r="K522" s="67">
        <f t="shared" si="202"/>
        <v>0</v>
      </c>
      <c r="L522" s="67">
        <f t="shared" si="203"/>
        <v>0</v>
      </c>
      <c r="M522" s="77">
        <f t="shared" si="204"/>
        <v>0</v>
      </c>
      <c r="N522" s="76">
        <f t="shared" si="205"/>
        <v>1</v>
      </c>
      <c r="O522" s="77">
        <f t="shared" si="206"/>
        <v>0.90684354485776808</v>
      </c>
      <c r="P522" s="76">
        <f t="shared" si="207"/>
        <v>0.91666666666666663</v>
      </c>
      <c r="Q522" s="76">
        <f t="shared" si="208"/>
        <v>0</v>
      </c>
      <c r="R522" s="76">
        <f t="shared" si="209"/>
        <v>0</v>
      </c>
      <c r="S522" s="76">
        <f t="shared" si="210"/>
        <v>0.98569950528018269</v>
      </c>
      <c r="T522" s="76">
        <f t="shared" si="211"/>
        <v>0.98569950528018269</v>
      </c>
      <c r="U522" s="76">
        <f t="shared" si="212"/>
        <v>1</v>
      </c>
    </row>
    <row r="523" spans="1:21" x14ac:dyDescent="0.25">
      <c r="A523" s="71">
        <v>13</v>
      </c>
      <c r="B523" s="72">
        <f t="shared" si="213"/>
        <v>46023</v>
      </c>
      <c r="C523" s="73">
        <f t="shared" si="194"/>
        <v>46053</v>
      </c>
      <c r="D523" s="67">
        <f t="shared" si="195"/>
        <v>31</v>
      </c>
      <c r="E523" s="67">
        <f t="shared" si="196"/>
        <v>1</v>
      </c>
      <c r="F523" s="74">
        <f t="shared" si="197"/>
        <v>46038.5</v>
      </c>
      <c r="G523" s="67">
        <f t="shared" si="198"/>
        <v>24312</v>
      </c>
      <c r="H523" s="75">
        <f t="shared" si="199"/>
        <v>1</v>
      </c>
      <c r="I523" s="76">
        <f t="shared" si="200"/>
        <v>1</v>
      </c>
      <c r="J523" s="76">
        <f t="shared" si="201"/>
        <v>1</v>
      </c>
      <c r="K523" s="67">
        <f t="shared" si="202"/>
        <v>0</v>
      </c>
      <c r="L523" s="67">
        <f t="shared" si="203"/>
        <v>0</v>
      </c>
      <c r="M523" s="77">
        <f t="shared" si="204"/>
        <v>0</v>
      </c>
      <c r="N523" s="76">
        <f t="shared" si="205"/>
        <v>1</v>
      </c>
      <c r="O523" s="77">
        <f t="shared" si="206"/>
        <v>0.90718271334792122</v>
      </c>
      <c r="P523" s="76">
        <f t="shared" si="207"/>
        <v>1</v>
      </c>
      <c r="Q523" s="76">
        <f t="shared" si="208"/>
        <v>0</v>
      </c>
      <c r="R523" s="76">
        <f t="shared" si="209"/>
        <v>0</v>
      </c>
      <c r="S523" s="76">
        <f t="shared" si="210"/>
        <v>0.98606816668252306</v>
      </c>
      <c r="T523" s="76">
        <f t="shared" si="211"/>
        <v>0.98606816668252306</v>
      </c>
      <c r="U523" s="76">
        <f t="shared" si="212"/>
        <v>1</v>
      </c>
    </row>
    <row r="524" spans="1:21" x14ac:dyDescent="0.25">
      <c r="A524" s="71">
        <v>14</v>
      </c>
      <c r="B524" s="72">
        <f t="shared" si="213"/>
        <v>46054</v>
      </c>
      <c r="C524" s="73">
        <f t="shared" si="194"/>
        <v>46081</v>
      </c>
      <c r="D524" s="67">
        <f t="shared" si="195"/>
        <v>28</v>
      </c>
      <c r="E524" s="67">
        <f t="shared" si="196"/>
        <v>2</v>
      </c>
      <c r="F524" s="74">
        <f t="shared" si="197"/>
        <v>46068</v>
      </c>
      <c r="G524" s="67">
        <f t="shared" si="198"/>
        <v>24313</v>
      </c>
      <c r="H524" s="75">
        <f t="shared" si="199"/>
        <v>1</v>
      </c>
      <c r="I524" s="76">
        <f t="shared" si="200"/>
        <v>1</v>
      </c>
      <c r="J524" s="76">
        <f t="shared" si="201"/>
        <v>1</v>
      </c>
      <c r="K524" s="67">
        <f t="shared" si="202"/>
        <v>0</v>
      </c>
      <c r="L524" s="67">
        <f t="shared" si="203"/>
        <v>0</v>
      </c>
      <c r="M524" s="77">
        <f t="shared" si="204"/>
        <v>0</v>
      </c>
      <c r="N524" s="76">
        <f t="shared" si="205"/>
        <v>1</v>
      </c>
      <c r="O524" s="77">
        <f t="shared" si="206"/>
        <v>0.90750547045951868</v>
      </c>
      <c r="P524" s="76">
        <f t="shared" si="207"/>
        <v>1</v>
      </c>
      <c r="Q524" s="76">
        <f t="shared" si="208"/>
        <v>0</v>
      </c>
      <c r="R524" s="76">
        <f t="shared" si="209"/>
        <v>0</v>
      </c>
      <c r="S524" s="76">
        <f t="shared" si="210"/>
        <v>0.98641898962991159</v>
      </c>
      <c r="T524" s="76">
        <f t="shared" si="211"/>
        <v>0.98641898962991159</v>
      </c>
      <c r="U524" s="76">
        <f t="shared" si="212"/>
        <v>1</v>
      </c>
    </row>
    <row r="525" spans="1:21" x14ac:dyDescent="0.25">
      <c r="A525" s="71">
        <v>15</v>
      </c>
      <c r="B525" s="72">
        <f t="shared" si="213"/>
        <v>46082</v>
      </c>
      <c r="C525" s="73">
        <f t="shared" si="194"/>
        <v>46112</v>
      </c>
      <c r="D525" s="67">
        <f t="shared" si="195"/>
        <v>31</v>
      </c>
      <c r="E525" s="67">
        <f t="shared" si="196"/>
        <v>3</v>
      </c>
      <c r="F525" s="74">
        <f t="shared" si="197"/>
        <v>46097.5</v>
      </c>
      <c r="G525" s="67">
        <f t="shared" si="198"/>
        <v>24314</v>
      </c>
      <c r="H525" s="75">
        <f t="shared" si="199"/>
        <v>1</v>
      </c>
      <c r="I525" s="76">
        <f t="shared" si="200"/>
        <v>1</v>
      </c>
      <c r="J525" s="76">
        <f t="shared" si="201"/>
        <v>1</v>
      </c>
      <c r="K525" s="67">
        <f t="shared" si="202"/>
        <v>0</v>
      </c>
      <c r="L525" s="67">
        <f t="shared" si="203"/>
        <v>0</v>
      </c>
      <c r="M525" s="77">
        <f t="shared" si="204"/>
        <v>0</v>
      </c>
      <c r="N525" s="76">
        <f t="shared" si="205"/>
        <v>1</v>
      </c>
      <c r="O525" s="77">
        <f t="shared" si="206"/>
        <v>0.90782822757111603</v>
      </c>
      <c r="P525" s="76">
        <f t="shared" si="207"/>
        <v>1</v>
      </c>
      <c r="Q525" s="76">
        <f t="shared" si="208"/>
        <v>0</v>
      </c>
      <c r="R525" s="76">
        <f t="shared" si="209"/>
        <v>0</v>
      </c>
      <c r="S525" s="76">
        <f t="shared" si="210"/>
        <v>0.98676981257730001</v>
      </c>
      <c r="T525" s="76">
        <f t="shared" si="211"/>
        <v>0.98676981257730001</v>
      </c>
      <c r="U525" s="76">
        <f t="shared" si="212"/>
        <v>1</v>
      </c>
    </row>
    <row r="526" spans="1:21" x14ac:dyDescent="0.25">
      <c r="A526" s="71">
        <v>16</v>
      </c>
      <c r="B526" s="72">
        <f t="shared" si="213"/>
        <v>46113</v>
      </c>
      <c r="C526" s="73">
        <f t="shared" si="194"/>
        <v>46142</v>
      </c>
      <c r="D526" s="67">
        <f t="shared" si="195"/>
        <v>30</v>
      </c>
      <c r="E526" s="67">
        <f t="shared" si="196"/>
        <v>4</v>
      </c>
      <c r="F526" s="74">
        <f t="shared" si="197"/>
        <v>46128</v>
      </c>
      <c r="G526" s="67">
        <f t="shared" si="198"/>
        <v>24315</v>
      </c>
      <c r="H526" s="75">
        <f t="shared" si="199"/>
        <v>1</v>
      </c>
      <c r="I526" s="76">
        <f t="shared" si="200"/>
        <v>1</v>
      </c>
      <c r="J526" s="76">
        <f t="shared" si="201"/>
        <v>1</v>
      </c>
      <c r="K526" s="67">
        <f t="shared" si="202"/>
        <v>0</v>
      </c>
      <c r="L526" s="67">
        <f t="shared" si="203"/>
        <v>0</v>
      </c>
      <c r="M526" s="77">
        <f t="shared" si="204"/>
        <v>0</v>
      </c>
      <c r="N526" s="76">
        <f t="shared" si="205"/>
        <v>1</v>
      </c>
      <c r="O526" s="77">
        <f t="shared" si="206"/>
        <v>0.90816192560175057</v>
      </c>
      <c r="P526" s="76">
        <f t="shared" si="207"/>
        <v>1</v>
      </c>
      <c r="Q526" s="76">
        <f t="shared" si="208"/>
        <v>0</v>
      </c>
      <c r="R526" s="76">
        <f t="shared" si="209"/>
        <v>0</v>
      </c>
      <c r="S526" s="76">
        <f t="shared" si="210"/>
        <v>0.98713252782798966</v>
      </c>
      <c r="T526" s="76">
        <f t="shared" si="211"/>
        <v>0.98713252782798966</v>
      </c>
      <c r="U526" s="76">
        <f t="shared" si="212"/>
        <v>1</v>
      </c>
    </row>
    <row r="527" spans="1:21" x14ac:dyDescent="0.25">
      <c r="A527" s="71">
        <v>17</v>
      </c>
      <c r="B527" s="72">
        <f t="shared" si="213"/>
        <v>46143</v>
      </c>
      <c r="C527" s="73">
        <f t="shared" si="194"/>
        <v>46173</v>
      </c>
      <c r="D527" s="67">
        <f t="shared" si="195"/>
        <v>31</v>
      </c>
      <c r="E527" s="67">
        <f t="shared" si="196"/>
        <v>5</v>
      </c>
      <c r="F527" s="74">
        <f t="shared" si="197"/>
        <v>46158.5</v>
      </c>
      <c r="G527" s="67">
        <f t="shared" si="198"/>
        <v>24316</v>
      </c>
      <c r="H527" s="75">
        <f t="shared" si="199"/>
        <v>1</v>
      </c>
      <c r="I527" s="76">
        <f t="shared" si="200"/>
        <v>1</v>
      </c>
      <c r="J527" s="76">
        <f t="shared" si="201"/>
        <v>1</v>
      </c>
      <c r="K527" s="67">
        <f t="shared" si="202"/>
        <v>0</v>
      </c>
      <c r="L527" s="67">
        <f t="shared" si="203"/>
        <v>0</v>
      </c>
      <c r="M527" s="77">
        <f t="shared" si="204"/>
        <v>0</v>
      </c>
      <c r="N527" s="76">
        <f t="shared" si="205"/>
        <v>1</v>
      </c>
      <c r="O527" s="77">
        <f t="shared" si="206"/>
        <v>0.90849562363238512</v>
      </c>
      <c r="P527" s="76">
        <f t="shared" si="207"/>
        <v>1</v>
      </c>
      <c r="Q527" s="76">
        <f t="shared" si="208"/>
        <v>0</v>
      </c>
      <c r="R527" s="76">
        <f t="shared" si="209"/>
        <v>0</v>
      </c>
      <c r="S527" s="76">
        <f t="shared" si="210"/>
        <v>0.98749524307867942</v>
      </c>
      <c r="T527" s="76">
        <f t="shared" si="211"/>
        <v>0.98749524307867942</v>
      </c>
      <c r="U527" s="76">
        <f t="shared" si="212"/>
        <v>1</v>
      </c>
    </row>
    <row r="528" spans="1:21" x14ac:dyDescent="0.25">
      <c r="A528" s="71">
        <v>18</v>
      </c>
      <c r="B528" s="72">
        <f t="shared" si="213"/>
        <v>46174</v>
      </c>
      <c r="C528" s="73">
        <f t="shared" si="194"/>
        <v>46203</v>
      </c>
      <c r="D528" s="67">
        <f t="shared" si="195"/>
        <v>30</v>
      </c>
      <c r="E528" s="67">
        <f t="shared" si="196"/>
        <v>6</v>
      </c>
      <c r="F528" s="74">
        <f t="shared" si="197"/>
        <v>46189</v>
      </c>
      <c r="G528" s="67">
        <f t="shared" si="198"/>
        <v>24317</v>
      </c>
      <c r="H528" s="75">
        <f t="shared" si="199"/>
        <v>1</v>
      </c>
      <c r="I528" s="76">
        <f t="shared" si="200"/>
        <v>1</v>
      </c>
      <c r="J528" s="76">
        <f t="shared" si="201"/>
        <v>1</v>
      </c>
      <c r="K528" s="67">
        <f t="shared" si="202"/>
        <v>0</v>
      </c>
      <c r="L528" s="67">
        <f t="shared" si="203"/>
        <v>0</v>
      </c>
      <c r="M528" s="77">
        <f t="shared" si="204"/>
        <v>0</v>
      </c>
      <c r="N528" s="76">
        <f t="shared" si="205"/>
        <v>1</v>
      </c>
      <c r="O528" s="77">
        <f t="shared" si="206"/>
        <v>0.90882932166301977</v>
      </c>
      <c r="P528" s="76">
        <f t="shared" si="207"/>
        <v>1</v>
      </c>
      <c r="Q528" s="76">
        <f t="shared" si="208"/>
        <v>0</v>
      </c>
      <c r="R528" s="76">
        <f t="shared" si="209"/>
        <v>0</v>
      </c>
      <c r="S528" s="76">
        <f t="shared" si="210"/>
        <v>0.98785795832936929</v>
      </c>
      <c r="T528" s="76">
        <f t="shared" si="211"/>
        <v>0.98785795832936929</v>
      </c>
      <c r="U528" s="76">
        <f t="shared" si="212"/>
        <v>1</v>
      </c>
    </row>
    <row r="529" spans="1:21" x14ac:dyDescent="0.25">
      <c r="A529" s="71">
        <v>19</v>
      </c>
      <c r="B529" s="72">
        <f t="shared" si="213"/>
        <v>46204</v>
      </c>
      <c r="C529" s="73">
        <f t="shared" si="194"/>
        <v>46234</v>
      </c>
      <c r="D529" s="67">
        <f t="shared" si="195"/>
        <v>31</v>
      </c>
      <c r="E529" s="67">
        <f t="shared" si="196"/>
        <v>7</v>
      </c>
      <c r="F529" s="74">
        <f t="shared" si="197"/>
        <v>46219.5</v>
      </c>
      <c r="G529" s="67">
        <f t="shared" si="198"/>
        <v>24318</v>
      </c>
      <c r="H529" s="75">
        <f t="shared" si="199"/>
        <v>1</v>
      </c>
      <c r="I529" s="76">
        <f t="shared" si="200"/>
        <v>1</v>
      </c>
      <c r="J529" s="76">
        <f t="shared" si="201"/>
        <v>1</v>
      </c>
      <c r="K529" s="67">
        <f t="shared" si="202"/>
        <v>0</v>
      </c>
      <c r="L529" s="67">
        <f t="shared" si="203"/>
        <v>0</v>
      </c>
      <c r="M529" s="77">
        <f t="shared" si="204"/>
        <v>0</v>
      </c>
      <c r="N529" s="76">
        <f t="shared" si="205"/>
        <v>1</v>
      </c>
      <c r="O529" s="77">
        <f t="shared" si="206"/>
        <v>0.90916301969365432</v>
      </c>
      <c r="P529" s="76">
        <f t="shared" si="207"/>
        <v>0.91666666666666663</v>
      </c>
      <c r="Q529" s="76">
        <f t="shared" si="208"/>
        <v>8.333333333333337E-2</v>
      </c>
      <c r="R529" s="76">
        <f t="shared" si="209"/>
        <v>0</v>
      </c>
      <c r="S529" s="76">
        <f t="shared" si="210"/>
        <v>0.98822067358005905</v>
      </c>
      <c r="T529" s="76">
        <f t="shared" si="211"/>
        <v>0.98822067358005905</v>
      </c>
      <c r="U529" s="76">
        <f t="shared" si="212"/>
        <v>1</v>
      </c>
    </row>
    <row r="530" spans="1:21" x14ac:dyDescent="0.25">
      <c r="A530" s="71">
        <v>20</v>
      </c>
      <c r="B530" s="72">
        <f t="shared" si="213"/>
        <v>46235</v>
      </c>
      <c r="C530" s="73">
        <f t="shared" si="194"/>
        <v>46265</v>
      </c>
      <c r="D530" s="67">
        <f t="shared" si="195"/>
        <v>31</v>
      </c>
      <c r="E530" s="67">
        <f t="shared" si="196"/>
        <v>8</v>
      </c>
      <c r="F530" s="74">
        <f t="shared" si="197"/>
        <v>46250.5</v>
      </c>
      <c r="G530" s="67">
        <f t="shared" si="198"/>
        <v>24319</v>
      </c>
      <c r="H530" s="75">
        <f t="shared" si="199"/>
        <v>1</v>
      </c>
      <c r="I530" s="76">
        <f t="shared" si="200"/>
        <v>1</v>
      </c>
      <c r="J530" s="76">
        <f t="shared" si="201"/>
        <v>1</v>
      </c>
      <c r="K530" s="67">
        <f t="shared" si="202"/>
        <v>0</v>
      </c>
      <c r="L530" s="67">
        <f t="shared" si="203"/>
        <v>0</v>
      </c>
      <c r="M530" s="77">
        <f t="shared" si="204"/>
        <v>0</v>
      </c>
      <c r="N530" s="76">
        <f t="shared" si="205"/>
        <v>1</v>
      </c>
      <c r="O530" s="77">
        <f t="shared" si="206"/>
        <v>0.90950218818380746</v>
      </c>
      <c r="P530" s="76">
        <f t="shared" si="207"/>
        <v>0.75</v>
      </c>
      <c r="Q530" s="76">
        <f t="shared" si="208"/>
        <v>0.25</v>
      </c>
      <c r="R530" s="76">
        <f t="shared" si="209"/>
        <v>0</v>
      </c>
      <c r="S530" s="76">
        <f t="shared" si="210"/>
        <v>0.98858933498239931</v>
      </c>
      <c r="T530" s="76">
        <f t="shared" si="211"/>
        <v>0.98858933498239931</v>
      </c>
      <c r="U530" s="76">
        <f t="shared" si="212"/>
        <v>1</v>
      </c>
    </row>
    <row r="531" spans="1:21" x14ac:dyDescent="0.25">
      <c r="A531" s="71">
        <v>21</v>
      </c>
      <c r="B531" s="72">
        <f t="shared" si="213"/>
        <v>46266</v>
      </c>
      <c r="C531" s="73">
        <f t="shared" si="194"/>
        <v>46295</v>
      </c>
      <c r="D531" s="67">
        <f t="shared" si="195"/>
        <v>30</v>
      </c>
      <c r="E531" s="67">
        <f t="shared" si="196"/>
        <v>9</v>
      </c>
      <c r="F531" s="74">
        <f t="shared" si="197"/>
        <v>46281</v>
      </c>
      <c r="G531" s="67">
        <f t="shared" si="198"/>
        <v>24320</v>
      </c>
      <c r="H531" s="75">
        <f t="shared" si="199"/>
        <v>1</v>
      </c>
      <c r="I531" s="76">
        <f t="shared" si="200"/>
        <v>1</v>
      </c>
      <c r="J531" s="76">
        <f t="shared" si="201"/>
        <v>1</v>
      </c>
      <c r="K531" s="67">
        <f t="shared" si="202"/>
        <v>0</v>
      </c>
      <c r="L531" s="67">
        <f t="shared" si="203"/>
        <v>0</v>
      </c>
      <c r="M531" s="77">
        <f t="shared" si="204"/>
        <v>0</v>
      </c>
      <c r="N531" s="76">
        <f t="shared" si="205"/>
        <v>1</v>
      </c>
      <c r="O531" s="77">
        <f t="shared" si="206"/>
        <v>0.909835886214442</v>
      </c>
      <c r="P531" s="76">
        <f t="shared" si="207"/>
        <v>0.58333333333333337</v>
      </c>
      <c r="Q531" s="76">
        <f t="shared" si="208"/>
        <v>0.41666666666666663</v>
      </c>
      <c r="R531" s="76">
        <f t="shared" si="209"/>
        <v>0</v>
      </c>
      <c r="S531" s="76">
        <f t="shared" si="210"/>
        <v>0.98895205023308907</v>
      </c>
      <c r="T531" s="76">
        <f t="shared" si="211"/>
        <v>0.98895205023308907</v>
      </c>
      <c r="U531" s="76">
        <f t="shared" si="212"/>
        <v>1</v>
      </c>
    </row>
    <row r="532" spans="1:21" x14ac:dyDescent="0.25">
      <c r="A532" s="71">
        <v>22</v>
      </c>
      <c r="B532" s="72">
        <f t="shared" si="213"/>
        <v>46296</v>
      </c>
      <c r="C532" s="73">
        <f t="shared" si="194"/>
        <v>46326</v>
      </c>
      <c r="D532" s="67">
        <f t="shared" si="195"/>
        <v>31</v>
      </c>
      <c r="E532" s="67">
        <f t="shared" si="196"/>
        <v>10</v>
      </c>
      <c r="F532" s="74">
        <f t="shared" si="197"/>
        <v>46311.5</v>
      </c>
      <c r="G532" s="67">
        <f t="shared" si="198"/>
        <v>24321</v>
      </c>
      <c r="H532" s="75">
        <f t="shared" si="199"/>
        <v>1</v>
      </c>
      <c r="I532" s="76">
        <f t="shared" si="200"/>
        <v>1</v>
      </c>
      <c r="J532" s="76">
        <f t="shared" si="201"/>
        <v>1</v>
      </c>
      <c r="K532" s="67">
        <f t="shared" si="202"/>
        <v>0</v>
      </c>
      <c r="L532" s="67">
        <f t="shared" si="203"/>
        <v>0</v>
      </c>
      <c r="M532" s="77">
        <f t="shared" si="204"/>
        <v>0</v>
      </c>
      <c r="N532" s="76">
        <f t="shared" si="205"/>
        <v>1</v>
      </c>
      <c r="O532" s="77">
        <f t="shared" si="206"/>
        <v>0.91016958424507666</v>
      </c>
      <c r="P532" s="76">
        <f t="shared" si="207"/>
        <v>0.41666666666666669</v>
      </c>
      <c r="Q532" s="76">
        <f t="shared" si="208"/>
        <v>0.58333333333333326</v>
      </c>
      <c r="R532" s="76">
        <f t="shared" si="209"/>
        <v>0</v>
      </c>
      <c r="S532" s="76">
        <f t="shared" si="210"/>
        <v>0.98931476548377895</v>
      </c>
      <c r="T532" s="76">
        <f t="shared" si="211"/>
        <v>0.98931476548377895</v>
      </c>
      <c r="U532" s="76">
        <f t="shared" si="212"/>
        <v>1</v>
      </c>
    </row>
    <row r="533" spans="1:21" x14ac:dyDescent="0.25">
      <c r="A533" s="71">
        <v>23</v>
      </c>
      <c r="B533" s="72">
        <f t="shared" si="213"/>
        <v>46327</v>
      </c>
      <c r="C533" s="73">
        <f t="shared" si="194"/>
        <v>46356</v>
      </c>
      <c r="D533" s="67">
        <f t="shared" si="195"/>
        <v>30</v>
      </c>
      <c r="E533" s="67">
        <f t="shared" si="196"/>
        <v>11</v>
      </c>
      <c r="F533" s="74">
        <f t="shared" si="197"/>
        <v>46342</v>
      </c>
      <c r="G533" s="67">
        <f t="shared" si="198"/>
        <v>24322</v>
      </c>
      <c r="H533" s="75">
        <f t="shared" si="199"/>
        <v>1</v>
      </c>
      <c r="I533" s="76">
        <f t="shared" si="200"/>
        <v>1</v>
      </c>
      <c r="J533" s="76">
        <f t="shared" si="201"/>
        <v>1</v>
      </c>
      <c r="K533" s="67">
        <f t="shared" si="202"/>
        <v>0</v>
      </c>
      <c r="L533" s="67">
        <f t="shared" si="203"/>
        <v>0</v>
      </c>
      <c r="M533" s="77">
        <f t="shared" si="204"/>
        <v>0</v>
      </c>
      <c r="N533" s="76">
        <f t="shared" si="205"/>
        <v>1</v>
      </c>
      <c r="O533" s="77">
        <f t="shared" si="206"/>
        <v>0.9105032822757112</v>
      </c>
      <c r="P533" s="76">
        <f t="shared" si="207"/>
        <v>0.25</v>
      </c>
      <c r="Q533" s="76">
        <f t="shared" si="208"/>
        <v>0.75</v>
      </c>
      <c r="R533" s="76">
        <f t="shared" si="209"/>
        <v>0</v>
      </c>
      <c r="S533" s="76">
        <f t="shared" si="210"/>
        <v>0.98967748073446871</v>
      </c>
      <c r="T533" s="76">
        <f t="shared" si="211"/>
        <v>0.98967748073446871</v>
      </c>
      <c r="U533" s="76">
        <f t="shared" si="212"/>
        <v>1</v>
      </c>
    </row>
    <row r="534" spans="1:21" x14ac:dyDescent="0.25">
      <c r="A534" s="71">
        <v>24</v>
      </c>
      <c r="B534" s="72">
        <f t="shared" si="213"/>
        <v>46357</v>
      </c>
      <c r="C534" s="73">
        <f t="shared" si="194"/>
        <v>46387</v>
      </c>
      <c r="D534" s="67">
        <f t="shared" si="195"/>
        <v>31</v>
      </c>
      <c r="E534" s="67">
        <f t="shared" si="196"/>
        <v>12</v>
      </c>
      <c r="F534" s="74">
        <f t="shared" si="197"/>
        <v>46372.5</v>
      </c>
      <c r="G534" s="67">
        <f t="shared" si="198"/>
        <v>24323</v>
      </c>
      <c r="H534" s="75">
        <f t="shared" si="199"/>
        <v>1</v>
      </c>
      <c r="I534" s="76">
        <f t="shared" si="200"/>
        <v>1</v>
      </c>
      <c r="J534" s="76">
        <f t="shared" si="201"/>
        <v>1</v>
      </c>
      <c r="K534" s="67">
        <f t="shared" si="202"/>
        <v>0</v>
      </c>
      <c r="L534" s="67">
        <f t="shared" si="203"/>
        <v>0</v>
      </c>
      <c r="M534" s="77">
        <f t="shared" si="204"/>
        <v>0</v>
      </c>
      <c r="N534" s="76">
        <f t="shared" si="205"/>
        <v>1</v>
      </c>
      <c r="O534" s="77">
        <f t="shared" si="206"/>
        <v>0.91083698030634574</v>
      </c>
      <c r="P534" s="76">
        <f t="shared" si="207"/>
        <v>8.3333333333333329E-2</v>
      </c>
      <c r="Q534" s="76">
        <f t="shared" si="208"/>
        <v>0.91666666666666663</v>
      </c>
      <c r="R534" s="76">
        <f t="shared" si="209"/>
        <v>0</v>
      </c>
      <c r="S534" s="76">
        <f t="shared" si="210"/>
        <v>0.99004019598515836</v>
      </c>
      <c r="T534" s="76">
        <f t="shared" si="211"/>
        <v>0.99004019598515836</v>
      </c>
      <c r="U534" s="76">
        <f t="shared" si="212"/>
        <v>1</v>
      </c>
    </row>
    <row r="535" spans="1:21" x14ac:dyDescent="0.25">
      <c r="A535" s="71">
        <v>25</v>
      </c>
      <c r="B535" s="72">
        <f t="shared" si="213"/>
        <v>46388</v>
      </c>
      <c r="C535" s="73">
        <f t="shared" si="194"/>
        <v>46418</v>
      </c>
      <c r="D535" s="67">
        <f t="shared" si="195"/>
        <v>31</v>
      </c>
      <c r="E535" s="67">
        <f t="shared" si="196"/>
        <v>1</v>
      </c>
      <c r="F535" s="74">
        <f t="shared" si="197"/>
        <v>46403.5</v>
      </c>
      <c r="G535" s="67">
        <f t="shared" si="198"/>
        <v>24324</v>
      </c>
      <c r="H535" s="75">
        <f t="shared" si="199"/>
        <v>1</v>
      </c>
      <c r="I535" s="76">
        <f t="shared" si="200"/>
        <v>1</v>
      </c>
      <c r="J535" s="76">
        <f t="shared" si="201"/>
        <v>1</v>
      </c>
      <c r="K535" s="67">
        <f t="shared" si="202"/>
        <v>0</v>
      </c>
      <c r="L535" s="67">
        <f t="shared" si="203"/>
        <v>0</v>
      </c>
      <c r="M535" s="77">
        <f t="shared" si="204"/>
        <v>0</v>
      </c>
      <c r="N535" s="76">
        <f t="shared" si="205"/>
        <v>1</v>
      </c>
      <c r="O535" s="77">
        <f t="shared" si="206"/>
        <v>0.91117614879649889</v>
      </c>
      <c r="P535" s="76">
        <f t="shared" si="207"/>
        <v>0</v>
      </c>
      <c r="Q535" s="76">
        <f t="shared" si="208"/>
        <v>1</v>
      </c>
      <c r="R535" s="76">
        <f t="shared" si="209"/>
        <v>0</v>
      </c>
      <c r="S535" s="76">
        <f t="shared" si="210"/>
        <v>0.99040885738749873</v>
      </c>
      <c r="T535" s="76">
        <f t="shared" si="211"/>
        <v>0.98606816668252306</v>
      </c>
      <c r="U535" s="76">
        <f t="shared" si="212"/>
        <v>1</v>
      </c>
    </row>
    <row r="536" spans="1:21" x14ac:dyDescent="0.25">
      <c r="A536" s="71">
        <v>26</v>
      </c>
      <c r="B536" s="72">
        <f t="shared" si="213"/>
        <v>46419</v>
      </c>
      <c r="C536" s="73">
        <f t="shared" si="194"/>
        <v>46446</v>
      </c>
      <c r="D536" s="67">
        <f t="shared" si="195"/>
        <v>28</v>
      </c>
      <c r="E536" s="67">
        <f t="shared" si="196"/>
        <v>2</v>
      </c>
      <c r="F536" s="74">
        <f t="shared" si="197"/>
        <v>46433</v>
      </c>
      <c r="G536" s="67">
        <f t="shared" si="198"/>
        <v>24325</v>
      </c>
      <c r="H536" s="75">
        <f t="shared" si="199"/>
        <v>1</v>
      </c>
      <c r="I536" s="76">
        <f t="shared" si="200"/>
        <v>1</v>
      </c>
      <c r="J536" s="76">
        <f t="shared" si="201"/>
        <v>1</v>
      </c>
      <c r="K536" s="67">
        <f t="shared" si="202"/>
        <v>0</v>
      </c>
      <c r="L536" s="67">
        <f t="shared" si="203"/>
        <v>0</v>
      </c>
      <c r="M536" s="77">
        <f t="shared" si="204"/>
        <v>0</v>
      </c>
      <c r="N536" s="76">
        <f t="shared" si="205"/>
        <v>1</v>
      </c>
      <c r="O536" s="77">
        <f t="shared" si="206"/>
        <v>0.91149890590809635</v>
      </c>
      <c r="P536" s="76">
        <f t="shared" si="207"/>
        <v>0</v>
      </c>
      <c r="Q536" s="76">
        <f t="shared" si="208"/>
        <v>1</v>
      </c>
      <c r="R536" s="76">
        <f t="shared" si="209"/>
        <v>0</v>
      </c>
      <c r="S536" s="76">
        <f t="shared" si="210"/>
        <v>0.99075968033488726</v>
      </c>
      <c r="T536" s="76">
        <f t="shared" si="211"/>
        <v>0.98641898962991159</v>
      </c>
      <c r="U536" s="76">
        <f t="shared" si="212"/>
        <v>1</v>
      </c>
    </row>
    <row r="537" spans="1:21" x14ac:dyDescent="0.25">
      <c r="A537" s="71">
        <v>27</v>
      </c>
      <c r="B537" s="72">
        <f t="shared" si="213"/>
        <v>46447</v>
      </c>
      <c r="C537" s="73">
        <f t="shared" si="194"/>
        <v>46477</v>
      </c>
      <c r="D537" s="67">
        <f t="shared" si="195"/>
        <v>31</v>
      </c>
      <c r="E537" s="67">
        <f t="shared" si="196"/>
        <v>3</v>
      </c>
      <c r="F537" s="74">
        <f t="shared" si="197"/>
        <v>46462.5</v>
      </c>
      <c r="G537" s="67">
        <f t="shared" si="198"/>
        <v>24326</v>
      </c>
      <c r="H537" s="75">
        <f t="shared" si="199"/>
        <v>1</v>
      </c>
      <c r="I537" s="76">
        <f t="shared" si="200"/>
        <v>1</v>
      </c>
      <c r="J537" s="76">
        <f t="shared" si="201"/>
        <v>1</v>
      </c>
      <c r="K537" s="67">
        <f t="shared" si="202"/>
        <v>0</v>
      </c>
      <c r="L537" s="67">
        <f t="shared" si="203"/>
        <v>0</v>
      </c>
      <c r="M537" s="77">
        <f t="shared" si="204"/>
        <v>0</v>
      </c>
      <c r="N537" s="76">
        <f t="shared" si="205"/>
        <v>1</v>
      </c>
      <c r="O537" s="77">
        <f t="shared" si="206"/>
        <v>0.9118216630196937</v>
      </c>
      <c r="P537" s="76">
        <f t="shared" si="207"/>
        <v>0</v>
      </c>
      <c r="Q537" s="76">
        <f t="shared" si="208"/>
        <v>1</v>
      </c>
      <c r="R537" s="76">
        <f t="shared" si="209"/>
        <v>0</v>
      </c>
      <c r="S537" s="76">
        <f t="shared" si="210"/>
        <v>0.99111050328227568</v>
      </c>
      <c r="T537" s="76">
        <f t="shared" si="211"/>
        <v>0.98676981257730001</v>
      </c>
      <c r="U537" s="76">
        <f t="shared" si="212"/>
        <v>1</v>
      </c>
    </row>
    <row r="538" spans="1:21" x14ac:dyDescent="0.25">
      <c r="A538" s="71">
        <v>28</v>
      </c>
      <c r="B538" s="72">
        <f t="shared" si="213"/>
        <v>46478</v>
      </c>
      <c r="C538" s="73">
        <f t="shared" si="194"/>
        <v>46507</v>
      </c>
      <c r="D538" s="67">
        <f t="shared" si="195"/>
        <v>30</v>
      </c>
      <c r="E538" s="67">
        <f t="shared" si="196"/>
        <v>4</v>
      </c>
      <c r="F538" s="74">
        <f t="shared" si="197"/>
        <v>46493</v>
      </c>
      <c r="G538" s="67">
        <f t="shared" si="198"/>
        <v>24327</v>
      </c>
      <c r="H538" s="75">
        <f t="shared" si="199"/>
        <v>1</v>
      </c>
      <c r="I538" s="76">
        <f t="shared" si="200"/>
        <v>1</v>
      </c>
      <c r="J538" s="76">
        <f t="shared" si="201"/>
        <v>1</v>
      </c>
      <c r="K538" s="67">
        <f t="shared" si="202"/>
        <v>0</v>
      </c>
      <c r="L538" s="67">
        <f t="shared" si="203"/>
        <v>0</v>
      </c>
      <c r="M538" s="77">
        <f t="shared" si="204"/>
        <v>0</v>
      </c>
      <c r="N538" s="76">
        <f t="shared" si="205"/>
        <v>1</v>
      </c>
      <c r="O538" s="77">
        <f t="shared" si="206"/>
        <v>0.91215536105032824</v>
      </c>
      <c r="P538" s="76">
        <f t="shared" si="207"/>
        <v>0</v>
      </c>
      <c r="Q538" s="76">
        <f t="shared" si="208"/>
        <v>1</v>
      </c>
      <c r="R538" s="76">
        <f t="shared" si="209"/>
        <v>0</v>
      </c>
      <c r="S538" s="76">
        <f t="shared" si="210"/>
        <v>0.99147321853296544</v>
      </c>
      <c r="T538" s="76">
        <f t="shared" si="211"/>
        <v>0.98713252782798966</v>
      </c>
      <c r="U538" s="76">
        <f t="shared" si="212"/>
        <v>1</v>
      </c>
    </row>
    <row r="539" spans="1:21" x14ac:dyDescent="0.25">
      <c r="A539" s="71">
        <v>29</v>
      </c>
      <c r="B539" s="72">
        <f t="shared" si="213"/>
        <v>46508</v>
      </c>
      <c r="C539" s="73">
        <f t="shared" si="194"/>
        <v>46538</v>
      </c>
      <c r="D539" s="67">
        <f t="shared" si="195"/>
        <v>31</v>
      </c>
      <c r="E539" s="67">
        <f t="shared" si="196"/>
        <v>5</v>
      </c>
      <c r="F539" s="74">
        <f t="shared" si="197"/>
        <v>46523.5</v>
      </c>
      <c r="G539" s="67">
        <f t="shared" si="198"/>
        <v>24328</v>
      </c>
      <c r="H539" s="75">
        <f t="shared" si="199"/>
        <v>1</v>
      </c>
      <c r="I539" s="76">
        <f t="shared" si="200"/>
        <v>1</v>
      </c>
      <c r="J539" s="76">
        <f t="shared" si="201"/>
        <v>1</v>
      </c>
      <c r="K539" s="67">
        <f t="shared" si="202"/>
        <v>0</v>
      </c>
      <c r="L539" s="67">
        <f t="shared" si="203"/>
        <v>0</v>
      </c>
      <c r="M539" s="77">
        <f t="shared" si="204"/>
        <v>0</v>
      </c>
      <c r="N539" s="76">
        <f t="shared" si="205"/>
        <v>1</v>
      </c>
      <c r="O539" s="77">
        <f t="shared" si="206"/>
        <v>0.91248905908096278</v>
      </c>
      <c r="P539" s="76">
        <f t="shared" si="207"/>
        <v>0</v>
      </c>
      <c r="Q539" s="76">
        <f t="shared" si="208"/>
        <v>1</v>
      </c>
      <c r="R539" s="76">
        <f t="shared" si="209"/>
        <v>0</v>
      </c>
      <c r="S539" s="76">
        <f t="shared" si="210"/>
        <v>0.9918359337836552</v>
      </c>
      <c r="T539" s="76">
        <f t="shared" si="211"/>
        <v>0.98749524307867942</v>
      </c>
      <c r="U539" s="76">
        <f t="shared" si="212"/>
        <v>1</v>
      </c>
    </row>
    <row r="540" spans="1:21" x14ac:dyDescent="0.25">
      <c r="A540" s="71">
        <v>30</v>
      </c>
      <c r="B540" s="72">
        <f t="shared" si="213"/>
        <v>46539</v>
      </c>
      <c r="C540" s="73">
        <f t="shared" si="194"/>
        <v>46568</v>
      </c>
      <c r="D540" s="67">
        <f t="shared" si="195"/>
        <v>30</v>
      </c>
      <c r="E540" s="67">
        <f t="shared" si="196"/>
        <v>6</v>
      </c>
      <c r="F540" s="74">
        <f t="shared" si="197"/>
        <v>46554</v>
      </c>
      <c r="G540" s="67">
        <f t="shared" si="198"/>
        <v>24329</v>
      </c>
      <c r="H540" s="75">
        <f t="shared" si="199"/>
        <v>1</v>
      </c>
      <c r="I540" s="76">
        <f t="shared" si="200"/>
        <v>1</v>
      </c>
      <c r="J540" s="76">
        <f t="shared" si="201"/>
        <v>1</v>
      </c>
      <c r="K540" s="67">
        <f t="shared" si="202"/>
        <v>0</v>
      </c>
      <c r="L540" s="67">
        <f t="shared" si="203"/>
        <v>0</v>
      </c>
      <c r="M540" s="77">
        <f t="shared" si="204"/>
        <v>0</v>
      </c>
      <c r="N540" s="76">
        <f t="shared" si="205"/>
        <v>1</v>
      </c>
      <c r="O540" s="77">
        <f t="shared" si="206"/>
        <v>0.91282275711159744</v>
      </c>
      <c r="P540" s="76">
        <f t="shared" si="207"/>
        <v>0</v>
      </c>
      <c r="Q540" s="76">
        <f t="shared" si="208"/>
        <v>1</v>
      </c>
      <c r="R540" s="76">
        <f t="shared" si="209"/>
        <v>0</v>
      </c>
      <c r="S540" s="76">
        <f t="shared" si="210"/>
        <v>0.99219864903434496</v>
      </c>
      <c r="T540" s="76">
        <f t="shared" si="211"/>
        <v>0.98785795832936929</v>
      </c>
      <c r="U540" s="76">
        <f t="shared" si="212"/>
        <v>1</v>
      </c>
    </row>
    <row r="541" spans="1:21" x14ac:dyDescent="0.25">
      <c r="A541" s="71">
        <v>31</v>
      </c>
      <c r="B541" s="72">
        <f t="shared" si="213"/>
        <v>46569</v>
      </c>
      <c r="C541" s="73">
        <f t="shared" si="194"/>
        <v>46599</v>
      </c>
      <c r="D541" s="67">
        <f t="shared" si="195"/>
        <v>31</v>
      </c>
      <c r="E541" s="67">
        <f t="shared" si="196"/>
        <v>7</v>
      </c>
      <c r="F541" s="74">
        <f t="shared" si="197"/>
        <v>46584.5</v>
      </c>
      <c r="G541" s="67">
        <f t="shared" si="198"/>
        <v>24330</v>
      </c>
      <c r="H541" s="75">
        <f t="shared" si="199"/>
        <v>1</v>
      </c>
      <c r="I541" s="76">
        <f t="shared" si="200"/>
        <v>1</v>
      </c>
      <c r="J541" s="76">
        <f t="shared" si="201"/>
        <v>1</v>
      </c>
      <c r="K541" s="67">
        <f t="shared" si="202"/>
        <v>0</v>
      </c>
      <c r="L541" s="67">
        <f t="shared" si="203"/>
        <v>0</v>
      </c>
      <c r="M541" s="77">
        <f t="shared" si="204"/>
        <v>0</v>
      </c>
      <c r="N541" s="76">
        <f t="shared" si="205"/>
        <v>1</v>
      </c>
      <c r="O541" s="77">
        <f t="shared" si="206"/>
        <v>0.91315645514223198</v>
      </c>
      <c r="P541" s="76">
        <f t="shared" si="207"/>
        <v>0</v>
      </c>
      <c r="Q541" s="76">
        <f t="shared" si="208"/>
        <v>0.91666666666666663</v>
      </c>
      <c r="R541" s="76">
        <f t="shared" si="209"/>
        <v>8.333333333333337E-2</v>
      </c>
      <c r="S541" s="76">
        <f t="shared" si="210"/>
        <v>0.99256136428503472</v>
      </c>
      <c r="T541" s="76">
        <f t="shared" si="211"/>
        <v>0.98822067358005905</v>
      </c>
      <c r="U541" s="76">
        <f t="shared" si="212"/>
        <v>1</v>
      </c>
    </row>
    <row r="542" spans="1:21" x14ac:dyDescent="0.25">
      <c r="A542" s="71">
        <v>32</v>
      </c>
      <c r="B542" s="72">
        <f t="shared" si="213"/>
        <v>46600</v>
      </c>
      <c r="C542" s="73">
        <f t="shared" si="194"/>
        <v>46630</v>
      </c>
      <c r="D542" s="67">
        <f t="shared" si="195"/>
        <v>31</v>
      </c>
      <c r="E542" s="67">
        <f t="shared" si="196"/>
        <v>8</v>
      </c>
      <c r="F542" s="74">
        <f t="shared" si="197"/>
        <v>46615.5</v>
      </c>
      <c r="G542" s="67">
        <f t="shared" si="198"/>
        <v>24331</v>
      </c>
      <c r="H542" s="75">
        <f t="shared" si="199"/>
        <v>1</v>
      </c>
      <c r="I542" s="76">
        <f t="shared" si="200"/>
        <v>1</v>
      </c>
      <c r="J542" s="76">
        <f t="shared" si="201"/>
        <v>1</v>
      </c>
      <c r="K542" s="67">
        <f t="shared" si="202"/>
        <v>0</v>
      </c>
      <c r="L542" s="67">
        <f t="shared" si="203"/>
        <v>0</v>
      </c>
      <c r="M542" s="77">
        <f t="shared" si="204"/>
        <v>0</v>
      </c>
      <c r="N542" s="76">
        <f t="shared" si="205"/>
        <v>1</v>
      </c>
      <c r="O542" s="77">
        <f t="shared" si="206"/>
        <v>0.91349562363238512</v>
      </c>
      <c r="P542" s="76">
        <f t="shared" si="207"/>
        <v>0</v>
      </c>
      <c r="Q542" s="76">
        <f t="shared" si="208"/>
        <v>0.75</v>
      </c>
      <c r="R542" s="76">
        <f t="shared" si="209"/>
        <v>0.25</v>
      </c>
      <c r="S542" s="76">
        <f t="shared" si="210"/>
        <v>0.9929300256873751</v>
      </c>
      <c r="T542" s="76">
        <f t="shared" si="211"/>
        <v>0.98858933498239931</v>
      </c>
      <c r="U542" s="76">
        <f t="shared" si="212"/>
        <v>1</v>
      </c>
    </row>
    <row r="543" spans="1:21" x14ac:dyDescent="0.25">
      <c r="A543" s="71">
        <v>33</v>
      </c>
      <c r="B543" s="72">
        <f t="shared" si="213"/>
        <v>46631</v>
      </c>
      <c r="C543" s="73">
        <f t="shared" si="194"/>
        <v>46660</v>
      </c>
      <c r="D543" s="67">
        <f t="shared" si="195"/>
        <v>30</v>
      </c>
      <c r="E543" s="67">
        <f t="shared" si="196"/>
        <v>9</v>
      </c>
      <c r="F543" s="74">
        <f t="shared" si="197"/>
        <v>46646</v>
      </c>
      <c r="G543" s="67">
        <f t="shared" si="198"/>
        <v>24332</v>
      </c>
      <c r="H543" s="75">
        <f t="shared" si="199"/>
        <v>1</v>
      </c>
      <c r="I543" s="76">
        <f t="shared" si="200"/>
        <v>1</v>
      </c>
      <c r="J543" s="76">
        <f t="shared" si="201"/>
        <v>1</v>
      </c>
      <c r="K543" s="67">
        <f t="shared" si="202"/>
        <v>0</v>
      </c>
      <c r="L543" s="67">
        <f t="shared" si="203"/>
        <v>0</v>
      </c>
      <c r="M543" s="77">
        <f t="shared" si="204"/>
        <v>0</v>
      </c>
      <c r="N543" s="76">
        <f t="shared" si="205"/>
        <v>1</v>
      </c>
      <c r="O543" s="77">
        <f t="shared" si="206"/>
        <v>0.91382932166301978</v>
      </c>
      <c r="P543" s="76">
        <f t="shared" si="207"/>
        <v>0</v>
      </c>
      <c r="Q543" s="76">
        <f t="shared" si="208"/>
        <v>0.58333333333333337</v>
      </c>
      <c r="R543" s="76">
        <f t="shared" si="209"/>
        <v>0.41666666666666663</v>
      </c>
      <c r="S543" s="76">
        <f t="shared" si="210"/>
        <v>0.99329274093806497</v>
      </c>
      <c r="T543" s="76">
        <f t="shared" si="211"/>
        <v>0.98895205023308907</v>
      </c>
      <c r="U543" s="76">
        <f t="shared" si="212"/>
        <v>1</v>
      </c>
    </row>
    <row r="544" spans="1:21" x14ac:dyDescent="0.25">
      <c r="A544" s="71">
        <v>34</v>
      </c>
      <c r="B544" s="72">
        <f t="shared" si="213"/>
        <v>46661</v>
      </c>
      <c r="C544" s="73">
        <f t="shared" si="194"/>
        <v>46691</v>
      </c>
      <c r="D544" s="67">
        <f t="shared" si="195"/>
        <v>31</v>
      </c>
      <c r="E544" s="67">
        <f t="shared" si="196"/>
        <v>10</v>
      </c>
      <c r="F544" s="74">
        <f t="shared" si="197"/>
        <v>46676.5</v>
      </c>
      <c r="G544" s="67">
        <f t="shared" si="198"/>
        <v>24333</v>
      </c>
      <c r="H544" s="75">
        <f t="shared" si="199"/>
        <v>1</v>
      </c>
      <c r="I544" s="76">
        <f t="shared" si="200"/>
        <v>1</v>
      </c>
      <c r="J544" s="76">
        <f t="shared" si="201"/>
        <v>1</v>
      </c>
      <c r="K544" s="67">
        <f t="shared" si="202"/>
        <v>0</v>
      </c>
      <c r="L544" s="67">
        <f t="shared" si="203"/>
        <v>0</v>
      </c>
      <c r="M544" s="77">
        <f t="shared" si="204"/>
        <v>0</v>
      </c>
      <c r="N544" s="76">
        <f t="shared" si="205"/>
        <v>1</v>
      </c>
      <c r="O544" s="77">
        <f t="shared" si="206"/>
        <v>0.91416301969365432</v>
      </c>
      <c r="P544" s="76">
        <f t="shared" si="207"/>
        <v>0</v>
      </c>
      <c r="Q544" s="76">
        <f t="shared" si="208"/>
        <v>0.41666666666666669</v>
      </c>
      <c r="R544" s="76">
        <f t="shared" si="209"/>
        <v>0.58333333333333326</v>
      </c>
      <c r="S544" s="76">
        <f t="shared" si="210"/>
        <v>0.99365545618875462</v>
      </c>
      <c r="T544" s="76">
        <f t="shared" si="211"/>
        <v>0.98931476548377895</v>
      </c>
      <c r="U544" s="76">
        <f t="shared" si="212"/>
        <v>1</v>
      </c>
    </row>
    <row r="545" spans="1:21" x14ac:dyDescent="0.25">
      <c r="A545" s="71">
        <v>35</v>
      </c>
      <c r="B545" s="72">
        <f t="shared" si="213"/>
        <v>46692</v>
      </c>
      <c r="C545" s="73">
        <f t="shared" si="194"/>
        <v>46721</v>
      </c>
      <c r="D545" s="67">
        <f t="shared" si="195"/>
        <v>30</v>
      </c>
      <c r="E545" s="67">
        <f t="shared" si="196"/>
        <v>11</v>
      </c>
      <c r="F545" s="74">
        <f t="shared" si="197"/>
        <v>46707</v>
      </c>
      <c r="G545" s="67">
        <f t="shared" si="198"/>
        <v>24334</v>
      </c>
      <c r="H545" s="75">
        <f t="shared" si="199"/>
        <v>1</v>
      </c>
      <c r="I545" s="76">
        <f t="shared" si="200"/>
        <v>1</v>
      </c>
      <c r="J545" s="76">
        <f t="shared" si="201"/>
        <v>1</v>
      </c>
      <c r="K545" s="67">
        <f t="shared" si="202"/>
        <v>0</v>
      </c>
      <c r="L545" s="67">
        <f t="shared" si="203"/>
        <v>0</v>
      </c>
      <c r="M545" s="77">
        <f t="shared" si="204"/>
        <v>0</v>
      </c>
      <c r="N545" s="76">
        <f t="shared" si="205"/>
        <v>1</v>
      </c>
      <c r="O545" s="77">
        <f t="shared" si="206"/>
        <v>0.91449671772428887</v>
      </c>
      <c r="P545" s="76">
        <f t="shared" si="207"/>
        <v>0</v>
      </c>
      <c r="Q545" s="76">
        <f t="shared" si="208"/>
        <v>0.25</v>
      </c>
      <c r="R545" s="76">
        <f t="shared" si="209"/>
        <v>0.75</v>
      </c>
      <c r="S545" s="76">
        <f t="shared" si="210"/>
        <v>0.99401817143944438</v>
      </c>
      <c r="T545" s="76">
        <f t="shared" si="211"/>
        <v>0.98967748073446871</v>
      </c>
      <c r="U545" s="76">
        <f t="shared" si="212"/>
        <v>1</v>
      </c>
    </row>
    <row r="546" spans="1:21" x14ac:dyDescent="0.25">
      <c r="A546" s="71">
        <v>36</v>
      </c>
      <c r="B546" s="72">
        <f t="shared" si="213"/>
        <v>46722</v>
      </c>
      <c r="C546" s="73">
        <f t="shared" si="194"/>
        <v>46752</v>
      </c>
      <c r="D546" s="67">
        <f t="shared" si="195"/>
        <v>31</v>
      </c>
      <c r="E546" s="67">
        <f t="shared" si="196"/>
        <v>12</v>
      </c>
      <c r="F546" s="74">
        <f t="shared" si="197"/>
        <v>46737.5</v>
      </c>
      <c r="G546" s="67">
        <f t="shared" si="198"/>
        <v>24335</v>
      </c>
      <c r="H546" s="75">
        <f t="shared" si="199"/>
        <v>1</v>
      </c>
      <c r="I546" s="76">
        <f t="shared" si="200"/>
        <v>1</v>
      </c>
      <c r="J546" s="76">
        <f t="shared" si="201"/>
        <v>1</v>
      </c>
      <c r="K546" s="67">
        <f t="shared" si="202"/>
        <v>0</v>
      </c>
      <c r="L546" s="67">
        <f t="shared" si="203"/>
        <v>0</v>
      </c>
      <c r="M546" s="77">
        <f t="shared" si="204"/>
        <v>0</v>
      </c>
      <c r="N546" s="76">
        <f t="shared" si="205"/>
        <v>1</v>
      </c>
      <c r="O546" s="77">
        <f t="shared" si="206"/>
        <v>0.91483041575492341</v>
      </c>
      <c r="P546" s="76">
        <f t="shared" si="207"/>
        <v>0</v>
      </c>
      <c r="Q546" s="76">
        <f t="shared" si="208"/>
        <v>8.3333333333333329E-2</v>
      </c>
      <c r="R546" s="76">
        <f t="shared" si="209"/>
        <v>0.91666666666666663</v>
      </c>
      <c r="S546" s="76">
        <f t="shared" si="210"/>
        <v>0.99438088669013414</v>
      </c>
      <c r="T546" s="76">
        <f t="shared" si="211"/>
        <v>0.99004019598515836</v>
      </c>
      <c r="U546" s="76">
        <f t="shared" si="212"/>
        <v>1</v>
      </c>
    </row>
    <row r="547" spans="1:21" x14ac:dyDescent="0.25">
      <c r="A547" s="71">
        <v>37</v>
      </c>
      <c r="B547" s="72">
        <f t="shared" si="213"/>
        <v>46753</v>
      </c>
      <c r="C547" s="73">
        <f t="shared" si="194"/>
        <v>46783</v>
      </c>
      <c r="D547" s="67">
        <f t="shared" si="195"/>
        <v>31</v>
      </c>
      <c r="E547" s="67">
        <f t="shared" si="196"/>
        <v>1</v>
      </c>
      <c r="F547" s="74">
        <f t="shared" si="197"/>
        <v>46768.5</v>
      </c>
      <c r="G547" s="67">
        <f t="shared" si="198"/>
        <v>24336</v>
      </c>
      <c r="H547" s="75">
        <f t="shared" si="199"/>
        <v>1</v>
      </c>
      <c r="I547" s="76">
        <f t="shared" si="200"/>
        <v>1</v>
      </c>
      <c r="J547" s="76">
        <f t="shared" si="201"/>
        <v>1</v>
      </c>
      <c r="K547" s="67">
        <f t="shared" si="202"/>
        <v>0</v>
      </c>
      <c r="L547" s="67">
        <f t="shared" si="203"/>
        <v>0</v>
      </c>
      <c r="M547" s="77">
        <f t="shared" si="204"/>
        <v>0</v>
      </c>
      <c r="N547" s="76">
        <f t="shared" si="205"/>
        <v>1</v>
      </c>
      <c r="O547" s="77">
        <f t="shared" si="206"/>
        <v>0.91500000000000004</v>
      </c>
      <c r="P547" s="76">
        <f t="shared" si="207"/>
        <v>0</v>
      </c>
      <c r="Q547" s="76">
        <f t="shared" si="208"/>
        <v>0</v>
      </c>
      <c r="R547" s="76">
        <f t="shared" si="209"/>
        <v>1</v>
      </c>
      <c r="S547" s="76">
        <f t="shared" si="210"/>
        <v>0.99456521739130432</v>
      </c>
      <c r="T547" s="76">
        <f t="shared" si="211"/>
        <v>0.98606816668252306</v>
      </c>
      <c r="U547" s="76">
        <f t="shared" si="212"/>
        <v>1</v>
      </c>
    </row>
    <row r="548" spans="1:21" x14ac:dyDescent="0.25">
      <c r="A548" s="71">
        <v>38</v>
      </c>
      <c r="B548" s="72">
        <f t="shared" si="213"/>
        <v>46784</v>
      </c>
      <c r="C548" s="73">
        <f t="shared" si="194"/>
        <v>46812</v>
      </c>
      <c r="D548" s="67">
        <f t="shared" si="195"/>
        <v>29</v>
      </c>
      <c r="E548" s="67">
        <f t="shared" si="196"/>
        <v>2</v>
      </c>
      <c r="F548" s="74">
        <f t="shared" si="197"/>
        <v>46798.5</v>
      </c>
      <c r="G548" s="67">
        <f t="shared" si="198"/>
        <v>24337</v>
      </c>
      <c r="H548" s="75">
        <f t="shared" si="199"/>
        <v>1</v>
      </c>
      <c r="I548" s="76">
        <f t="shared" si="200"/>
        <v>1</v>
      </c>
      <c r="J548" s="76">
        <f t="shared" si="201"/>
        <v>1</v>
      </c>
      <c r="K548" s="67">
        <f t="shared" si="202"/>
        <v>0</v>
      </c>
      <c r="L548" s="67">
        <f t="shared" si="203"/>
        <v>0</v>
      </c>
      <c r="M548" s="77">
        <f t="shared" si="204"/>
        <v>0</v>
      </c>
      <c r="N548" s="76">
        <f t="shared" si="205"/>
        <v>1</v>
      </c>
      <c r="O548" s="77">
        <f t="shared" si="206"/>
        <v>0.91500000000000004</v>
      </c>
      <c r="P548" s="76">
        <f t="shared" si="207"/>
        <v>0</v>
      </c>
      <c r="Q548" s="76">
        <f t="shared" si="208"/>
        <v>0</v>
      </c>
      <c r="R548" s="76">
        <f t="shared" si="209"/>
        <v>1</v>
      </c>
      <c r="S548" s="76">
        <f t="shared" si="210"/>
        <v>0.99456521739130432</v>
      </c>
      <c r="T548" s="76">
        <f t="shared" si="211"/>
        <v>0.98641898962991159</v>
      </c>
      <c r="U548" s="76">
        <f t="shared" si="212"/>
        <v>1</v>
      </c>
    </row>
    <row r="549" spans="1:21" x14ac:dyDescent="0.25">
      <c r="A549" s="71">
        <v>39</v>
      </c>
      <c r="B549" s="72">
        <f t="shared" si="213"/>
        <v>46813</v>
      </c>
      <c r="C549" s="73">
        <f t="shared" si="194"/>
        <v>46843</v>
      </c>
      <c r="D549" s="67">
        <f t="shared" si="195"/>
        <v>31</v>
      </c>
      <c r="E549" s="67">
        <f t="shared" si="196"/>
        <v>3</v>
      </c>
      <c r="F549" s="74">
        <f t="shared" si="197"/>
        <v>46828.5</v>
      </c>
      <c r="G549" s="67">
        <f t="shared" si="198"/>
        <v>24338</v>
      </c>
      <c r="H549" s="75">
        <f t="shared" si="199"/>
        <v>1</v>
      </c>
      <c r="I549" s="76">
        <f t="shared" si="200"/>
        <v>1</v>
      </c>
      <c r="J549" s="76">
        <f t="shared" si="201"/>
        <v>1</v>
      </c>
      <c r="K549" s="67">
        <f t="shared" si="202"/>
        <v>0</v>
      </c>
      <c r="L549" s="67">
        <f t="shared" si="203"/>
        <v>0</v>
      </c>
      <c r="M549" s="77">
        <f t="shared" si="204"/>
        <v>0</v>
      </c>
      <c r="N549" s="76">
        <f t="shared" si="205"/>
        <v>1</v>
      </c>
      <c r="O549" s="77">
        <f t="shared" si="206"/>
        <v>0.91500000000000004</v>
      </c>
      <c r="P549" s="76">
        <f t="shared" si="207"/>
        <v>0</v>
      </c>
      <c r="Q549" s="76">
        <f t="shared" si="208"/>
        <v>0</v>
      </c>
      <c r="R549" s="76">
        <f t="shared" si="209"/>
        <v>1</v>
      </c>
      <c r="S549" s="76">
        <f t="shared" si="210"/>
        <v>0.99456521739130432</v>
      </c>
      <c r="T549" s="76">
        <f t="shared" si="211"/>
        <v>0.98676981257730001</v>
      </c>
      <c r="U549" s="76">
        <f t="shared" si="212"/>
        <v>1</v>
      </c>
    </row>
    <row r="550" spans="1:21" x14ac:dyDescent="0.25">
      <c r="A550" s="71">
        <v>40</v>
      </c>
      <c r="B550" s="72">
        <f t="shared" si="213"/>
        <v>46844</v>
      </c>
      <c r="C550" s="73">
        <f t="shared" si="194"/>
        <v>46873</v>
      </c>
      <c r="D550" s="67">
        <f t="shared" si="195"/>
        <v>30</v>
      </c>
      <c r="E550" s="67">
        <f t="shared" si="196"/>
        <v>4</v>
      </c>
      <c r="F550" s="74">
        <f t="shared" si="197"/>
        <v>46859</v>
      </c>
      <c r="G550" s="67">
        <f t="shared" si="198"/>
        <v>24339</v>
      </c>
      <c r="H550" s="75">
        <f t="shared" si="199"/>
        <v>1</v>
      </c>
      <c r="I550" s="76">
        <f t="shared" si="200"/>
        <v>1</v>
      </c>
      <c r="J550" s="76">
        <f t="shared" si="201"/>
        <v>1</v>
      </c>
      <c r="K550" s="67">
        <f t="shared" si="202"/>
        <v>0</v>
      </c>
      <c r="L550" s="67">
        <f t="shared" si="203"/>
        <v>0</v>
      </c>
      <c r="M550" s="77">
        <f t="shared" si="204"/>
        <v>0</v>
      </c>
      <c r="N550" s="76">
        <f t="shared" si="205"/>
        <v>1</v>
      </c>
      <c r="O550" s="77">
        <f t="shared" si="206"/>
        <v>0.91500000000000004</v>
      </c>
      <c r="P550" s="76">
        <f t="shared" si="207"/>
        <v>0</v>
      </c>
      <c r="Q550" s="76">
        <f t="shared" si="208"/>
        <v>0</v>
      </c>
      <c r="R550" s="76">
        <f t="shared" si="209"/>
        <v>1</v>
      </c>
      <c r="S550" s="76">
        <f t="shared" si="210"/>
        <v>0.99456521739130432</v>
      </c>
      <c r="T550" s="76">
        <f t="shared" si="211"/>
        <v>0.98713252782798966</v>
      </c>
      <c r="U550" s="76">
        <f t="shared" si="212"/>
        <v>1</v>
      </c>
    </row>
    <row r="551" spans="1:21" x14ac:dyDescent="0.25">
      <c r="A551" s="71">
        <v>41</v>
      </c>
      <c r="B551" s="72">
        <f t="shared" si="213"/>
        <v>46874</v>
      </c>
      <c r="C551" s="73">
        <f t="shared" si="194"/>
        <v>46904</v>
      </c>
      <c r="D551" s="67">
        <f t="shared" si="195"/>
        <v>31</v>
      </c>
      <c r="E551" s="67">
        <f t="shared" si="196"/>
        <v>5</v>
      </c>
      <c r="F551" s="74">
        <f t="shared" si="197"/>
        <v>46889.5</v>
      </c>
      <c r="G551" s="67">
        <f t="shared" si="198"/>
        <v>24340</v>
      </c>
      <c r="H551" s="75">
        <f t="shared" si="199"/>
        <v>1</v>
      </c>
      <c r="I551" s="76">
        <f t="shared" si="200"/>
        <v>1</v>
      </c>
      <c r="J551" s="76">
        <f t="shared" si="201"/>
        <v>1</v>
      </c>
      <c r="K551" s="67">
        <f t="shared" si="202"/>
        <v>0</v>
      </c>
      <c r="L551" s="67">
        <f t="shared" si="203"/>
        <v>0</v>
      </c>
      <c r="M551" s="77">
        <f t="shared" si="204"/>
        <v>0</v>
      </c>
      <c r="N551" s="76">
        <f t="shared" si="205"/>
        <v>1</v>
      </c>
      <c r="O551" s="77">
        <f t="shared" si="206"/>
        <v>0.91500000000000004</v>
      </c>
      <c r="P551" s="76">
        <f t="shared" si="207"/>
        <v>0</v>
      </c>
      <c r="Q551" s="76">
        <f t="shared" si="208"/>
        <v>0</v>
      </c>
      <c r="R551" s="76">
        <f t="shared" si="209"/>
        <v>1</v>
      </c>
      <c r="S551" s="76">
        <f t="shared" si="210"/>
        <v>0.99456521739130432</v>
      </c>
      <c r="T551" s="76">
        <f t="shared" si="211"/>
        <v>0.98749524307867942</v>
      </c>
      <c r="U551" s="76">
        <f t="shared" si="212"/>
        <v>1</v>
      </c>
    </row>
    <row r="552" spans="1:21" x14ac:dyDescent="0.25">
      <c r="A552" s="71">
        <v>42</v>
      </c>
      <c r="B552" s="72">
        <f t="shared" si="213"/>
        <v>46905</v>
      </c>
      <c r="C552" s="73">
        <f t="shared" si="194"/>
        <v>46934</v>
      </c>
      <c r="D552" s="67">
        <f t="shared" si="195"/>
        <v>30</v>
      </c>
      <c r="E552" s="67">
        <f t="shared" si="196"/>
        <v>6</v>
      </c>
      <c r="F552" s="74">
        <f t="shared" si="197"/>
        <v>46920</v>
      </c>
      <c r="G552" s="67">
        <f t="shared" si="198"/>
        <v>24341</v>
      </c>
      <c r="H552" s="75">
        <f t="shared" si="199"/>
        <v>1</v>
      </c>
      <c r="I552" s="76">
        <f t="shared" si="200"/>
        <v>1</v>
      </c>
      <c r="J552" s="76">
        <f t="shared" si="201"/>
        <v>1</v>
      </c>
      <c r="K552" s="67">
        <f t="shared" si="202"/>
        <v>0</v>
      </c>
      <c r="L552" s="67">
        <f t="shared" si="203"/>
        <v>0</v>
      </c>
      <c r="M552" s="77">
        <f t="shared" si="204"/>
        <v>0</v>
      </c>
      <c r="N552" s="76">
        <f t="shared" si="205"/>
        <v>1</v>
      </c>
      <c r="O552" s="77">
        <f t="shared" si="206"/>
        <v>0.91500000000000004</v>
      </c>
      <c r="P552" s="76">
        <f t="shared" si="207"/>
        <v>0</v>
      </c>
      <c r="Q552" s="76">
        <f t="shared" si="208"/>
        <v>0</v>
      </c>
      <c r="R552" s="76">
        <f t="shared" si="209"/>
        <v>1</v>
      </c>
      <c r="S552" s="76">
        <f t="shared" si="210"/>
        <v>0.99456521739130432</v>
      </c>
      <c r="T552" s="76">
        <f t="shared" si="211"/>
        <v>0.98785795832936929</v>
      </c>
      <c r="U552" s="76">
        <f t="shared" si="212"/>
        <v>1</v>
      </c>
    </row>
    <row r="553" spans="1:21" x14ac:dyDescent="0.25">
      <c r="A553" s="71">
        <v>43</v>
      </c>
      <c r="B553" s="72">
        <f t="shared" si="213"/>
        <v>46935</v>
      </c>
      <c r="C553" s="73">
        <f t="shared" si="194"/>
        <v>46965</v>
      </c>
      <c r="D553" s="67">
        <f t="shared" si="195"/>
        <v>31</v>
      </c>
      <c r="E553" s="67">
        <f t="shared" si="196"/>
        <v>7</v>
      </c>
      <c r="F553" s="74">
        <f t="shared" si="197"/>
        <v>46950.5</v>
      </c>
      <c r="G553" s="67">
        <f t="shared" si="198"/>
        <v>24342</v>
      </c>
      <c r="H553" s="75">
        <f t="shared" si="199"/>
        <v>1</v>
      </c>
      <c r="I553" s="76">
        <f t="shared" si="200"/>
        <v>1</v>
      </c>
      <c r="J553" s="76">
        <f t="shared" si="201"/>
        <v>1</v>
      </c>
      <c r="K553" s="67">
        <f t="shared" si="202"/>
        <v>0</v>
      </c>
      <c r="L553" s="67">
        <f t="shared" si="203"/>
        <v>0</v>
      </c>
      <c r="M553" s="77">
        <f t="shared" si="204"/>
        <v>0</v>
      </c>
      <c r="N553" s="76">
        <f t="shared" si="205"/>
        <v>1</v>
      </c>
      <c r="O553" s="77">
        <f t="shared" si="206"/>
        <v>0.91500000000000004</v>
      </c>
      <c r="P553" s="76">
        <f t="shared" si="207"/>
        <v>0</v>
      </c>
      <c r="Q553" s="76">
        <f t="shared" si="208"/>
        <v>0</v>
      </c>
      <c r="R553" s="76">
        <f t="shared" si="209"/>
        <v>0.91666666666666663</v>
      </c>
      <c r="S553" s="76">
        <f t="shared" si="210"/>
        <v>0.99456521739130432</v>
      </c>
      <c r="T553" s="76">
        <f t="shared" si="211"/>
        <v>0.98822067358005905</v>
      </c>
      <c r="U553" s="76">
        <f t="shared" si="212"/>
        <v>1</v>
      </c>
    </row>
    <row r="554" spans="1:21" x14ac:dyDescent="0.25">
      <c r="A554" s="71">
        <v>44</v>
      </c>
      <c r="B554" s="72">
        <f t="shared" si="213"/>
        <v>46966</v>
      </c>
      <c r="C554" s="73">
        <f t="shared" si="194"/>
        <v>46996</v>
      </c>
      <c r="D554" s="67">
        <f t="shared" si="195"/>
        <v>31</v>
      </c>
      <c r="E554" s="67">
        <f t="shared" si="196"/>
        <v>8</v>
      </c>
      <c r="F554" s="74">
        <f t="shared" si="197"/>
        <v>46981.5</v>
      </c>
      <c r="G554" s="67">
        <f t="shared" si="198"/>
        <v>24343</v>
      </c>
      <c r="H554" s="75">
        <f t="shared" si="199"/>
        <v>1</v>
      </c>
      <c r="I554" s="76">
        <f t="shared" si="200"/>
        <v>1</v>
      </c>
      <c r="J554" s="76">
        <f t="shared" si="201"/>
        <v>1</v>
      </c>
      <c r="K554" s="67">
        <f t="shared" si="202"/>
        <v>0</v>
      </c>
      <c r="L554" s="67">
        <f t="shared" si="203"/>
        <v>0</v>
      </c>
      <c r="M554" s="77">
        <f t="shared" si="204"/>
        <v>0</v>
      </c>
      <c r="N554" s="76">
        <f t="shared" si="205"/>
        <v>1</v>
      </c>
      <c r="O554" s="77">
        <f t="shared" si="206"/>
        <v>0.91500000000000004</v>
      </c>
      <c r="P554" s="76">
        <f t="shared" si="207"/>
        <v>0</v>
      </c>
      <c r="Q554" s="76">
        <f t="shared" si="208"/>
        <v>0</v>
      </c>
      <c r="R554" s="76">
        <f t="shared" si="209"/>
        <v>0.75</v>
      </c>
      <c r="S554" s="76">
        <f t="shared" si="210"/>
        <v>0.99456521739130432</v>
      </c>
      <c r="T554" s="76">
        <f t="shared" si="211"/>
        <v>0.98858933498239931</v>
      </c>
      <c r="U554" s="76">
        <f t="shared" si="212"/>
        <v>1</v>
      </c>
    </row>
    <row r="555" spans="1:21" x14ac:dyDescent="0.25">
      <c r="A555" s="71">
        <v>45</v>
      </c>
      <c r="B555" s="72">
        <f t="shared" si="213"/>
        <v>46997</v>
      </c>
      <c r="C555" s="73">
        <f t="shared" si="194"/>
        <v>47026</v>
      </c>
      <c r="D555" s="67">
        <f t="shared" si="195"/>
        <v>30</v>
      </c>
      <c r="E555" s="67">
        <f t="shared" si="196"/>
        <v>9</v>
      </c>
      <c r="F555" s="74">
        <f t="shared" si="197"/>
        <v>47012</v>
      </c>
      <c r="G555" s="67">
        <f t="shared" si="198"/>
        <v>24344</v>
      </c>
      <c r="H555" s="75">
        <f t="shared" si="199"/>
        <v>1</v>
      </c>
      <c r="I555" s="76">
        <f t="shared" si="200"/>
        <v>1</v>
      </c>
      <c r="J555" s="76">
        <f t="shared" si="201"/>
        <v>1</v>
      </c>
      <c r="K555" s="67">
        <f t="shared" si="202"/>
        <v>0</v>
      </c>
      <c r="L555" s="67">
        <f t="shared" si="203"/>
        <v>0</v>
      </c>
      <c r="M555" s="77">
        <f t="shared" si="204"/>
        <v>0</v>
      </c>
      <c r="N555" s="76">
        <f t="shared" si="205"/>
        <v>1</v>
      </c>
      <c r="O555" s="77">
        <f t="shared" si="206"/>
        <v>0.91500000000000004</v>
      </c>
      <c r="P555" s="76">
        <f t="shared" si="207"/>
        <v>0</v>
      </c>
      <c r="Q555" s="76">
        <f t="shared" si="208"/>
        <v>0</v>
      </c>
      <c r="R555" s="76">
        <f t="shared" si="209"/>
        <v>0.58333333333333337</v>
      </c>
      <c r="S555" s="76">
        <f t="shared" si="210"/>
        <v>0.99456521739130432</v>
      </c>
      <c r="T555" s="76">
        <f t="shared" si="211"/>
        <v>0.98895205023308907</v>
      </c>
      <c r="U555" s="76">
        <f t="shared" si="212"/>
        <v>1</v>
      </c>
    </row>
    <row r="556" spans="1:21" x14ac:dyDescent="0.25">
      <c r="A556" s="71">
        <v>46</v>
      </c>
      <c r="B556" s="72">
        <f t="shared" si="213"/>
        <v>47027</v>
      </c>
      <c r="C556" s="73">
        <f t="shared" si="194"/>
        <v>47057</v>
      </c>
      <c r="D556" s="67">
        <f t="shared" si="195"/>
        <v>31</v>
      </c>
      <c r="E556" s="67">
        <f t="shared" si="196"/>
        <v>10</v>
      </c>
      <c r="F556" s="74">
        <f t="shared" si="197"/>
        <v>47042.5</v>
      </c>
      <c r="G556" s="67">
        <f t="shared" si="198"/>
        <v>24345</v>
      </c>
      <c r="H556" s="75">
        <f t="shared" si="199"/>
        <v>1</v>
      </c>
      <c r="I556" s="76">
        <f t="shared" si="200"/>
        <v>1</v>
      </c>
      <c r="J556" s="76">
        <f t="shared" si="201"/>
        <v>1</v>
      </c>
      <c r="K556" s="67">
        <f t="shared" si="202"/>
        <v>0</v>
      </c>
      <c r="L556" s="67">
        <f t="shared" si="203"/>
        <v>0</v>
      </c>
      <c r="M556" s="77">
        <f t="shared" si="204"/>
        <v>0</v>
      </c>
      <c r="N556" s="76">
        <f t="shared" si="205"/>
        <v>1</v>
      </c>
      <c r="O556" s="77">
        <f t="shared" si="206"/>
        <v>0.91500000000000004</v>
      </c>
      <c r="P556" s="76">
        <f t="shared" si="207"/>
        <v>0</v>
      </c>
      <c r="Q556" s="76">
        <f t="shared" si="208"/>
        <v>0</v>
      </c>
      <c r="R556" s="76">
        <f t="shared" si="209"/>
        <v>0.41666666666666669</v>
      </c>
      <c r="S556" s="76">
        <f t="shared" si="210"/>
        <v>0.99456521739130432</v>
      </c>
      <c r="T556" s="76">
        <f t="shared" si="211"/>
        <v>0.98931476548377895</v>
      </c>
      <c r="U556" s="76">
        <f t="shared" si="212"/>
        <v>1</v>
      </c>
    </row>
    <row r="557" spans="1:21" x14ac:dyDescent="0.25">
      <c r="A557" s="71">
        <v>47</v>
      </c>
      <c r="B557" s="72">
        <f t="shared" si="213"/>
        <v>47058</v>
      </c>
      <c r="C557" s="73">
        <f t="shared" si="194"/>
        <v>47087</v>
      </c>
      <c r="D557" s="67">
        <f t="shared" si="195"/>
        <v>30</v>
      </c>
      <c r="E557" s="67">
        <f t="shared" si="196"/>
        <v>11</v>
      </c>
      <c r="F557" s="74">
        <f t="shared" si="197"/>
        <v>47073</v>
      </c>
      <c r="G557" s="67">
        <f t="shared" si="198"/>
        <v>24346</v>
      </c>
      <c r="H557" s="75">
        <f t="shared" si="199"/>
        <v>1</v>
      </c>
      <c r="I557" s="76">
        <f t="shared" si="200"/>
        <v>1</v>
      </c>
      <c r="J557" s="76">
        <f t="shared" si="201"/>
        <v>1</v>
      </c>
      <c r="K557" s="67">
        <f t="shared" si="202"/>
        <v>0</v>
      </c>
      <c r="L557" s="67">
        <f t="shared" si="203"/>
        <v>0</v>
      </c>
      <c r="M557" s="77">
        <f t="shared" si="204"/>
        <v>0</v>
      </c>
      <c r="N557" s="76">
        <f t="shared" si="205"/>
        <v>1</v>
      </c>
      <c r="O557" s="77">
        <f t="shared" si="206"/>
        <v>0.91500000000000004</v>
      </c>
      <c r="P557" s="76">
        <f t="shared" si="207"/>
        <v>0</v>
      </c>
      <c r="Q557" s="76">
        <f t="shared" si="208"/>
        <v>0</v>
      </c>
      <c r="R557" s="76">
        <f t="shared" si="209"/>
        <v>0.25</v>
      </c>
      <c r="S557" s="76">
        <f t="shared" si="210"/>
        <v>0.99456521739130432</v>
      </c>
      <c r="T557" s="76">
        <f t="shared" si="211"/>
        <v>0.98967748073446871</v>
      </c>
      <c r="U557" s="76">
        <f t="shared" si="212"/>
        <v>1</v>
      </c>
    </row>
    <row r="558" spans="1:21" x14ac:dyDescent="0.25">
      <c r="A558" s="71">
        <v>48</v>
      </c>
      <c r="B558" s="72">
        <f t="shared" si="213"/>
        <v>47088</v>
      </c>
      <c r="C558" s="73">
        <f t="shared" si="194"/>
        <v>47118</v>
      </c>
      <c r="D558" s="67">
        <f t="shared" si="195"/>
        <v>31</v>
      </c>
      <c r="E558" s="67">
        <f t="shared" si="196"/>
        <v>12</v>
      </c>
      <c r="F558" s="74">
        <f t="shared" si="197"/>
        <v>47103.5</v>
      </c>
      <c r="G558" s="67">
        <f t="shared" si="198"/>
        <v>24347</v>
      </c>
      <c r="H558" s="75">
        <f t="shared" si="199"/>
        <v>1</v>
      </c>
      <c r="I558" s="76">
        <f t="shared" si="200"/>
        <v>1</v>
      </c>
      <c r="J558" s="76">
        <f t="shared" si="201"/>
        <v>1</v>
      </c>
      <c r="K558" s="67">
        <f t="shared" si="202"/>
        <v>0</v>
      </c>
      <c r="L558" s="67">
        <f t="shared" si="203"/>
        <v>0</v>
      </c>
      <c r="M558" s="77">
        <f t="shared" si="204"/>
        <v>0</v>
      </c>
      <c r="N558" s="76">
        <f t="shared" si="205"/>
        <v>1</v>
      </c>
      <c r="O558" s="77">
        <f t="shared" si="206"/>
        <v>0.91500000000000004</v>
      </c>
      <c r="P558" s="76">
        <f t="shared" si="207"/>
        <v>0</v>
      </c>
      <c r="Q558" s="76">
        <f t="shared" si="208"/>
        <v>0</v>
      </c>
      <c r="R558" s="76">
        <f t="shared" si="209"/>
        <v>8.3333333333333329E-2</v>
      </c>
      <c r="S558" s="76">
        <f t="shared" si="210"/>
        <v>0.99456521739130432</v>
      </c>
      <c r="T558" s="76">
        <f t="shared" si="211"/>
        <v>0.99004019598515836</v>
      </c>
      <c r="U558" s="76">
        <f t="shared" si="212"/>
        <v>1</v>
      </c>
    </row>
    <row r="559" spans="1:21" x14ac:dyDescent="0.25">
      <c r="A559" s="81" t="s">
        <v>1187</v>
      </c>
      <c r="B559" s="53">
        <f>EXP(SUMPRODUCT((rl_key=$A$508)*(rl_cons="Y")*rl_ln1p))</f>
        <v>1</v>
      </c>
      <c r="C559" s="53">
        <f>SUMPRODUCT($H$511:$H$558,$P$511:$P$558,$U$511:$U$558)/SUMPRODUCT($H$511:$H$558,$P$511:$P$558)</f>
        <v>1</v>
      </c>
      <c r="D559" s="53">
        <f>SUMPRODUCT($H$511:$H$558,$Q$511:$Q$558,$U$511:$U$558)/SUMPRODUCT($H$511:$H$558,$Q$511:$Q$558)</f>
        <v>1</v>
      </c>
      <c r="E559" s="53">
        <f>SUMPRODUCT($H$511:$H$558,$R$511:$R$558,$U$511:$U$558)/SUMPRODUCT($H$511:$H$558,$R$511:$R$558)</f>
        <v>1</v>
      </c>
      <c r="F559" s="172">
        <f>SUMPRODUCT($H$511:$H$558,$Q$511:$Q$558,$O$511:$O$558)/SUMPRODUCT($H$511:$H$558,$Q$511:$Q$558)</f>
        <v>0.91199626185266247</v>
      </c>
      <c r="G559" s="172">
        <f>SUMPRODUCT($H$511:$H$558,$R$511:$R$558,$O$511:$O$558)/SUMPRODUCT($H$511:$H$558,$R$511:$R$558)</f>
        <v>0.91483011184050556</v>
      </c>
    </row>
    <row r="562" spans="1:21" x14ac:dyDescent="0.25">
      <c r="A562" s="81" t="str">
        <f>INDEX(lr_key,10)</f>
        <v>BU-A|KY</v>
      </c>
      <c r="B562" s="81" t="str">
        <f>INDEX(lr_state,10)</f>
        <v>KY</v>
      </c>
      <c r="C562" s="55">
        <f>nr_TermMonths</f>
        <v>6</v>
      </c>
      <c r="D562" s="55">
        <f>IF(COUNTIF(se_state,$B562)=0,0,MATCH($B562,se_state,0))</f>
        <v>0</v>
      </c>
      <c r="E562" s="57">
        <f>IF($D562=0,0,INDEX(se_sum,$D562))</f>
        <v>0</v>
      </c>
      <c r="F562" s="172">
        <f>IF(N(INDEX(lr_mind,10))=0,1,INDEX(lr_mind,10))</f>
        <v>0.92</v>
      </c>
      <c r="G562" s="172">
        <f>IF(N(INDEX(lr_m0,10))=0,1,INDEX(lr_m0,10))</f>
        <v>0.91</v>
      </c>
      <c r="H562" s="54">
        <f>IF(N(INDEX(lr_m0asof,10))=0,DATE(nr_PlanYear-1,10,1),INDEX(lr_m0asof,10))</f>
        <v>46295</v>
      </c>
      <c r="I562" s="172">
        <f>IF(N(INDEX(lr_m1,10))=0,1,INDEX(lr_m1,10))</f>
        <v>0.93</v>
      </c>
      <c r="J562" s="172">
        <f>INDEX(lr_mprior,10)</f>
        <v>0</v>
      </c>
      <c r="K562" s="172">
        <f>INDEX(lr_m2,10)</f>
        <v>0</v>
      </c>
      <c r="L562" s="81" t="b">
        <f>NOT(ISBLANK(INDEX(lr_netp,10)))</f>
        <v>0</v>
      </c>
      <c r="M562" s="52">
        <f>N(INDEX(lr_netp,10))</f>
        <v>0</v>
      </c>
      <c r="N562" s="52">
        <f>IF(ISBLANK(INDEX(lr_netp1,10)),$M$562,N(INDEX(lr_netp1,10)))</f>
        <v>0</v>
      </c>
      <c r="O562" s="55">
        <f>IF(AND(nr_ModAdjMaster="ON",INDEX(lr_modadj,10)="ON"),1,0)</f>
        <v>1</v>
      </c>
    </row>
    <row r="563" spans="1:21" x14ac:dyDescent="0.25">
      <c r="A563" s="81">
        <f>EDATE($H$562,-12)+1</f>
        <v>45931</v>
      </c>
      <c r="B563" s="81">
        <f>$H$562+1</f>
        <v>46296</v>
      </c>
      <c r="C563" s="81">
        <f>DATE(nr_PlanYear,12,31)+1</f>
        <v>46753</v>
      </c>
      <c r="D563" s="81">
        <f>DATE(nr_PlanYear+1,12,31)+1</f>
        <v>47119</v>
      </c>
      <c r="E563" s="81">
        <f>IF(N($J$562)=0,$F$563-($G$563-$F$563)/($C$563-$B$563)*($B$563-$A$563),$J$562)</f>
        <v>0.89402625820568926</v>
      </c>
      <c r="F563" s="81">
        <f>$G$562</f>
        <v>0.91</v>
      </c>
      <c r="G563" s="81">
        <f>$I$562</f>
        <v>0.93</v>
      </c>
      <c r="H563" s="81">
        <f>IF(N($K$562)=0,$I$562,$K$562)</f>
        <v>0.93</v>
      </c>
      <c r="I563" s="81">
        <f>($F$563-$E$563)/($B$563-$A$563)</f>
        <v>4.3763676148796628E-5</v>
      </c>
      <c r="J563" s="81">
        <f>($G$563-$F$563)/($C$563-$B$563)</f>
        <v>4.376367614879654E-5</v>
      </c>
      <c r="K563" s="81">
        <f>($H$563-$G$563)/($D$563-$C$563)</f>
        <v>0</v>
      </c>
    </row>
    <row r="564" spans="1:21" ht="36" x14ac:dyDescent="0.25">
      <c r="A564" s="50" t="s">
        <v>211</v>
      </c>
      <c r="B564" s="50" t="s">
        <v>212</v>
      </c>
      <c r="C564" s="50" t="s">
        <v>213</v>
      </c>
      <c r="D564" s="50" t="s">
        <v>214</v>
      </c>
      <c r="E564" s="50" t="s">
        <v>215</v>
      </c>
      <c r="F564" s="50" t="s">
        <v>216</v>
      </c>
      <c r="G564" s="50" t="s">
        <v>217</v>
      </c>
      <c r="H564" s="50" t="s">
        <v>218</v>
      </c>
      <c r="I564" s="50" t="s">
        <v>219</v>
      </c>
      <c r="J564" s="50" t="s">
        <v>220</v>
      </c>
      <c r="K564" s="50" t="s">
        <v>221</v>
      </c>
      <c r="L564" s="50" t="s">
        <v>222</v>
      </c>
      <c r="M564" s="50" t="s">
        <v>223</v>
      </c>
      <c r="N564" s="50" t="s">
        <v>224</v>
      </c>
      <c r="O564" s="50" t="s">
        <v>225</v>
      </c>
      <c r="P564" s="50" t="s">
        <v>226</v>
      </c>
      <c r="Q564" s="50" t="s">
        <v>227</v>
      </c>
      <c r="R564" s="50" t="s">
        <v>228</v>
      </c>
      <c r="S564" s="50" t="s">
        <v>229</v>
      </c>
      <c r="T564" s="50" t="s">
        <v>230</v>
      </c>
      <c r="U564" s="50" t="s">
        <v>231</v>
      </c>
    </row>
    <row r="565" spans="1:21" x14ac:dyDescent="0.25">
      <c r="A565" s="71">
        <v>1</v>
      </c>
      <c r="B565" s="72">
        <f>DATE(nr_PlanYear-2,1,1)</f>
        <v>45658</v>
      </c>
      <c r="C565" s="73">
        <f t="shared" ref="C565:C612" si="214">EOMONTH($B565,0)</f>
        <v>45688</v>
      </c>
      <c r="D565" s="67">
        <f t="shared" ref="D565:D612" si="215">$C565-$B565+1</f>
        <v>31</v>
      </c>
      <c r="E565" s="67">
        <f t="shared" ref="E565:E612" si="216">MONTH($B565)</f>
        <v>1</v>
      </c>
      <c r="F565" s="74">
        <f t="shared" ref="F565:F612" si="217">($B565+$C565+1)/2</f>
        <v>45673.5</v>
      </c>
      <c r="G565" s="67">
        <f t="shared" ref="G565:G612" si="218">YEAR($B565)*12+MONTH($B565)-1</f>
        <v>24300</v>
      </c>
      <c r="H565" s="75">
        <f t="shared" ref="H565:H612" si="219">IF(OR(nr_SeasonOn="OFF",$D$562=0,$E$562=0),1,12*INDEX(se_block,$D$562,$E565)/$E$562)</f>
        <v>1</v>
      </c>
      <c r="I565" s="76">
        <f t="shared" ref="I565:I612" si="220">EXP(SUMPRODUCT((rl_eff&lt;$B565)*(rl_key=$A$562)*rl_ln1p))</f>
        <v>1</v>
      </c>
      <c r="J565" s="76">
        <f t="shared" ref="J565:J612" si="221">EXP(SUMPRODUCT((rl_eff&lt;=$C565)*(rl_key=$A$562)*rl_ln1p))</f>
        <v>1</v>
      </c>
      <c r="K565" s="67">
        <f t="shared" ref="K565:K612" si="222">COUNTIFS(rl_key,$A$562,rl_eff,"&gt;="&amp;$B565,rl_eff,"&lt;="&amp;$C565)</f>
        <v>0</v>
      </c>
      <c r="L565" s="67">
        <f t="shared" ref="L565:L612" si="223">SUMIFS(rl_daysafter,rl_key,$A$562,rl_effmonth,$B565,rl_first,1)</f>
        <v>0</v>
      </c>
      <c r="M565" s="77">
        <f t="shared" ref="M565:M612" si="224">IF($K565=0,0,MIN(1,$L565/$D565))</f>
        <v>0</v>
      </c>
      <c r="N565" s="76">
        <f t="shared" ref="N565:N612" si="225">IF($K565=0,$J565,(1-$M565)*$I565+$M565*$J565)</f>
        <v>1</v>
      </c>
      <c r="O565" s="77">
        <f t="shared" ref="O565:O612" si="226">IF($F565&lt;$B$563,$E$563+$I$563*($F565-$A$563),IF($F565&lt;$C$563,$F$563+$J$563*($F565-$B$563),$G$563+$K$563*($F565-$C$563)))</f>
        <v>0.88275711159737413</v>
      </c>
      <c r="P565" s="76">
        <f t="shared" ref="P565:P612" si="227">MIN(1,MAX(0,(nr_MEndPm1-$G565+0.5)/$C$562))-MIN(1,MAX(0,(nr_MStartPm1-1-$G565+0.5)/$C$562))</f>
        <v>0</v>
      </c>
      <c r="Q565" s="76">
        <f t="shared" ref="Q565:Q612" si="228">MIN(1,MAX(0,(nr_MEndP-$G565+0.5)/$C$562))-MIN(1,MAX(0,(nr_MStartP-1-$G565+0.5)/$C$562))</f>
        <v>0</v>
      </c>
      <c r="R565" s="76">
        <f t="shared" ref="R565:R612" si="229">MIN(1,MAX(0,(nr_MEndP1-$G565+0.5)/$C$562))-MIN(1,MAX(0,(nr_MStartP1-1-$G565+0.5)/$C$562))</f>
        <v>0</v>
      </c>
      <c r="S565" s="76">
        <f t="shared" ref="S565:S612" si="230">$N565*IF($O$562=1,$O565/$F$562,1)</f>
        <v>0.95951859956236318</v>
      </c>
      <c r="T565" s="76">
        <f t="shared" ref="T565:T612" si="231">IF($G565&lt;nr_MStartP,$S565,$T553*(1+IF($G565&lt;nr_MStartP1,$M$562,$N$562)))</f>
        <v>0.95951859956236318</v>
      </c>
      <c r="U565" s="76">
        <f t="shared" ref="U565:U612" si="232">IF($L$562,$T565,$N565)</f>
        <v>1</v>
      </c>
    </row>
    <row r="566" spans="1:21" x14ac:dyDescent="0.25">
      <c r="A566" s="71">
        <v>2</v>
      </c>
      <c r="B566" s="72">
        <f t="shared" ref="B566:B612" si="233">EDATE($B565,1)</f>
        <v>45689</v>
      </c>
      <c r="C566" s="73">
        <f t="shared" si="214"/>
        <v>45716</v>
      </c>
      <c r="D566" s="67">
        <f t="shared" si="215"/>
        <v>28</v>
      </c>
      <c r="E566" s="67">
        <f t="shared" si="216"/>
        <v>2</v>
      </c>
      <c r="F566" s="74">
        <f t="shared" si="217"/>
        <v>45703</v>
      </c>
      <c r="G566" s="67">
        <f t="shared" si="218"/>
        <v>24301</v>
      </c>
      <c r="H566" s="75">
        <f t="shared" si="219"/>
        <v>1</v>
      </c>
      <c r="I566" s="76">
        <f t="shared" si="220"/>
        <v>1</v>
      </c>
      <c r="J566" s="76">
        <f t="shared" si="221"/>
        <v>1</v>
      </c>
      <c r="K566" s="67">
        <f t="shared" si="222"/>
        <v>0</v>
      </c>
      <c r="L566" s="67">
        <f t="shared" si="223"/>
        <v>0</v>
      </c>
      <c r="M566" s="77">
        <f t="shared" si="224"/>
        <v>0</v>
      </c>
      <c r="N566" s="76">
        <f t="shared" si="225"/>
        <v>1</v>
      </c>
      <c r="O566" s="77">
        <f t="shared" si="226"/>
        <v>0.88404814004376364</v>
      </c>
      <c r="P566" s="76">
        <f t="shared" si="227"/>
        <v>0</v>
      </c>
      <c r="Q566" s="76">
        <f t="shared" si="228"/>
        <v>0</v>
      </c>
      <c r="R566" s="76">
        <f t="shared" si="229"/>
        <v>0</v>
      </c>
      <c r="S566" s="76">
        <f t="shared" si="230"/>
        <v>0.96092189135191697</v>
      </c>
      <c r="T566" s="76">
        <f t="shared" si="231"/>
        <v>0.96092189135191697</v>
      </c>
      <c r="U566" s="76">
        <f t="shared" si="232"/>
        <v>1</v>
      </c>
    </row>
    <row r="567" spans="1:21" x14ac:dyDescent="0.25">
      <c r="A567" s="71">
        <v>3</v>
      </c>
      <c r="B567" s="72">
        <f t="shared" si="233"/>
        <v>45717</v>
      </c>
      <c r="C567" s="73">
        <f t="shared" si="214"/>
        <v>45747</v>
      </c>
      <c r="D567" s="67">
        <f t="shared" si="215"/>
        <v>31</v>
      </c>
      <c r="E567" s="67">
        <f t="shared" si="216"/>
        <v>3</v>
      </c>
      <c r="F567" s="74">
        <f t="shared" si="217"/>
        <v>45732.5</v>
      </c>
      <c r="G567" s="67">
        <f t="shared" si="218"/>
        <v>24302</v>
      </c>
      <c r="H567" s="75">
        <f t="shared" si="219"/>
        <v>1</v>
      </c>
      <c r="I567" s="76">
        <f t="shared" si="220"/>
        <v>1</v>
      </c>
      <c r="J567" s="76">
        <f t="shared" si="221"/>
        <v>1</v>
      </c>
      <c r="K567" s="67">
        <f t="shared" si="222"/>
        <v>0</v>
      </c>
      <c r="L567" s="67">
        <f t="shared" si="223"/>
        <v>0</v>
      </c>
      <c r="M567" s="77">
        <f t="shared" si="224"/>
        <v>0</v>
      </c>
      <c r="N567" s="76">
        <f t="shared" si="225"/>
        <v>1</v>
      </c>
      <c r="O567" s="77">
        <f t="shared" si="226"/>
        <v>0.88533916849015315</v>
      </c>
      <c r="P567" s="76">
        <f t="shared" si="227"/>
        <v>0</v>
      </c>
      <c r="Q567" s="76">
        <f t="shared" si="228"/>
        <v>0</v>
      </c>
      <c r="R567" s="76">
        <f t="shared" si="229"/>
        <v>0</v>
      </c>
      <c r="S567" s="76">
        <f t="shared" si="230"/>
        <v>0.96232518314147075</v>
      </c>
      <c r="T567" s="76">
        <f t="shared" si="231"/>
        <v>0.96232518314147075</v>
      </c>
      <c r="U567" s="76">
        <f t="shared" si="232"/>
        <v>1</v>
      </c>
    </row>
    <row r="568" spans="1:21" x14ac:dyDescent="0.25">
      <c r="A568" s="71">
        <v>4</v>
      </c>
      <c r="B568" s="72">
        <f t="shared" si="233"/>
        <v>45748</v>
      </c>
      <c r="C568" s="73">
        <f t="shared" si="214"/>
        <v>45777</v>
      </c>
      <c r="D568" s="67">
        <f t="shared" si="215"/>
        <v>30</v>
      </c>
      <c r="E568" s="67">
        <f t="shared" si="216"/>
        <v>4</v>
      </c>
      <c r="F568" s="74">
        <f t="shared" si="217"/>
        <v>45763</v>
      </c>
      <c r="G568" s="67">
        <f t="shared" si="218"/>
        <v>24303</v>
      </c>
      <c r="H568" s="75">
        <f t="shared" si="219"/>
        <v>1</v>
      </c>
      <c r="I568" s="76">
        <f t="shared" si="220"/>
        <v>1</v>
      </c>
      <c r="J568" s="76">
        <f t="shared" si="221"/>
        <v>1</v>
      </c>
      <c r="K568" s="67">
        <f t="shared" si="222"/>
        <v>0</v>
      </c>
      <c r="L568" s="67">
        <f t="shared" si="223"/>
        <v>0</v>
      </c>
      <c r="M568" s="77">
        <f t="shared" si="224"/>
        <v>0</v>
      </c>
      <c r="N568" s="76">
        <f t="shared" si="225"/>
        <v>1</v>
      </c>
      <c r="O568" s="77">
        <f t="shared" si="226"/>
        <v>0.88667396061269144</v>
      </c>
      <c r="P568" s="76">
        <f t="shared" si="227"/>
        <v>0</v>
      </c>
      <c r="Q568" s="76">
        <f t="shared" si="228"/>
        <v>0</v>
      </c>
      <c r="R568" s="76">
        <f t="shared" si="229"/>
        <v>0</v>
      </c>
      <c r="S568" s="76">
        <f t="shared" si="230"/>
        <v>0.96377604414422979</v>
      </c>
      <c r="T568" s="76">
        <f t="shared" si="231"/>
        <v>0.96377604414422979</v>
      </c>
      <c r="U568" s="76">
        <f t="shared" si="232"/>
        <v>1</v>
      </c>
    </row>
    <row r="569" spans="1:21" x14ac:dyDescent="0.25">
      <c r="A569" s="71">
        <v>5</v>
      </c>
      <c r="B569" s="72">
        <f t="shared" si="233"/>
        <v>45778</v>
      </c>
      <c r="C569" s="73">
        <f t="shared" si="214"/>
        <v>45808</v>
      </c>
      <c r="D569" s="67">
        <f t="shared" si="215"/>
        <v>31</v>
      </c>
      <c r="E569" s="67">
        <f t="shared" si="216"/>
        <v>5</v>
      </c>
      <c r="F569" s="74">
        <f t="shared" si="217"/>
        <v>45793.5</v>
      </c>
      <c r="G569" s="67">
        <f t="shared" si="218"/>
        <v>24304</v>
      </c>
      <c r="H569" s="75">
        <f t="shared" si="219"/>
        <v>1</v>
      </c>
      <c r="I569" s="76">
        <f t="shared" si="220"/>
        <v>1</v>
      </c>
      <c r="J569" s="76">
        <f t="shared" si="221"/>
        <v>1</v>
      </c>
      <c r="K569" s="67">
        <f t="shared" si="222"/>
        <v>0</v>
      </c>
      <c r="L569" s="67">
        <f t="shared" si="223"/>
        <v>0</v>
      </c>
      <c r="M569" s="77">
        <f t="shared" si="224"/>
        <v>0</v>
      </c>
      <c r="N569" s="76">
        <f t="shared" si="225"/>
        <v>1</v>
      </c>
      <c r="O569" s="77">
        <f t="shared" si="226"/>
        <v>0.88800875273522972</v>
      </c>
      <c r="P569" s="76">
        <f t="shared" si="227"/>
        <v>0</v>
      </c>
      <c r="Q569" s="76">
        <f t="shared" si="228"/>
        <v>0</v>
      </c>
      <c r="R569" s="76">
        <f t="shared" si="229"/>
        <v>0</v>
      </c>
      <c r="S569" s="76">
        <f t="shared" si="230"/>
        <v>0.96522690514698883</v>
      </c>
      <c r="T569" s="76">
        <f t="shared" si="231"/>
        <v>0.96522690514698883</v>
      </c>
      <c r="U569" s="76">
        <f t="shared" si="232"/>
        <v>1</v>
      </c>
    </row>
    <row r="570" spans="1:21" x14ac:dyDescent="0.25">
      <c r="A570" s="71">
        <v>6</v>
      </c>
      <c r="B570" s="72">
        <f t="shared" si="233"/>
        <v>45809</v>
      </c>
      <c r="C570" s="73">
        <f t="shared" si="214"/>
        <v>45838</v>
      </c>
      <c r="D570" s="67">
        <f t="shared" si="215"/>
        <v>30</v>
      </c>
      <c r="E570" s="67">
        <f t="shared" si="216"/>
        <v>6</v>
      </c>
      <c r="F570" s="74">
        <f t="shared" si="217"/>
        <v>45824</v>
      </c>
      <c r="G570" s="67">
        <f t="shared" si="218"/>
        <v>24305</v>
      </c>
      <c r="H570" s="75">
        <f t="shared" si="219"/>
        <v>1</v>
      </c>
      <c r="I570" s="76">
        <f t="shared" si="220"/>
        <v>1</v>
      </c>
      <c r="J570" s="76">
        <f t="shared" si="221"/>
        <v>1</v>
      </c>
      <c r="K570" s="67">
        <f t="shared" si="222"/>
        <v>0</v>
      </c>
      <c r="L570" s="67">
        <f t="shared" si="223"/>
        <v>0</v>
      </c>
      <c r="M570" s="77">
        <f t="shared" si="224"/>
        <v>0</v>
      </c>
      <c r="N570" s="76">
        <f t="shared" si="225"/>
        <v>1</v>
      </c>
      <c r="O570" s="77">
        <f t="shared" si="226"/>
        <v>0.88934354485776801</v>
      </c>
      <c r="P570" s="76">
        <f t="shared" si="227"/>
        <v>0</v>
      </c>
      <c r="Q570" s="76">
        <f t="shared" si="228"/>
        <v>0</v>
      </c>
      <c r="R570" s="76">
        <f t="shared" si="229"/>
        <v>0</v>
      </c>
      <c r="S570" s="76">
        <f t="shared" si="230"/>
        <v>0.96667776614974776</v>
      </c>
      <c r="T570" s="76">
        <f t="shared" si="231"/>
        <v>0.96667776614974776</v>
      </c>
      <c r="U570" s="76">
        <f t="shared" si="232"/>
        <v>1</v>
      </c>
    </row>
    <row r="571" spans="1:21" x14ac:dyDescent="0.25">
      <c r="A571" s="71">
        <v>7</v>
      </c>
      <c r="B571" s="72">
        <f t="shared" si="233"/>
        <v>45839</v>
      </c>
      <c r="C571" s="73">
        <f t="shared" si="214"/>
        <v>45869</v>
      </c>
      <c r="D571" s="67">
        <f t="shared" si="215"/>
        <v>31</v>
      </c>
      <c r="E571" s="67">
        <f t="shared" si="216"/>
        <v>7</v>
      </c>
      <c r="F571" s="74">
        <f t="shared" si="217"/>
        <v>45854.5</v>
      </c>
      <c r="G571" s="67">
        <f t="shared" si="218"/>
        <v>24306</v>
      </c>
      <c r="H571" s="75">
        <f t="shared" si="219"/>
        <v>1</v>
      </c>
      <c r="I571" s="76">
        <f t="shared" si="220"/>
        <v>1</v>
      </c>
      <c r="J571" s="76">
        <f t="shared" si="221"/>
        <v>1</v>
      </c>
      <c r="K571" s="67">
        <f t="shared" si="222"/>
        <v>0</v>
      </c>
      <c r="L571" s="67">
        <f t="shared" si="223"/>
        <v>0</v>
      </c>
      <c r="M571" s="77">
        <f t="shared" si="224"/>
        <v>0</v>
      </c>
      <c r="N571" s="76">
        <f t="shared" si="225"/>
        <v>1</v>
      </c>
      <c r="O571" s="77">
        <f t="shared" si="226"/>
        <v>0.8906783369803063</v>
      </c>
      <c r="P571" s="76">
        <f t="shared" si="227"/>
        <v>8.333333333333337E-2</v>
      </c>
      <c r="Q571" s="76">
        <f t="shared" si="228"/>
        <v>0</v>
      </c>
      <c r="R571" s="76">
        <f t="shared" si="229"/>
        <v>0</v>
      </c>
      <c r="S571" s="76">
        <f t="shared" si="230"/>
        <v>0.9681286271525068</v>
      </c>
      <c r="T571" s="76">
        <f t="shared" si="231"/>
        <v>0.9681286271525068</v>
      </c>
      <c r="U571" s="76">
        <f t="shared" si="232"/>
        <v>1</v>
      </c>
    </row>
    <row r="572" spans="1:21" x14ac:dyDescent="0.25">
      <c r="A572" s="71">
        <v>8</v>
      </c>
      <c r="B572" s="72">
        <f t="shared" si="233"/>
        <v>45870</v>
      </c>
      <c r="C572" s="73">
        <f t="shared" si="214"/>
        <v>45900</v>
      </c>
      <c r="D572" s="67">
        <f t="shared" si="215"/>
        <v>31</v>
      </c>
      <c r="E572" s="67">
        <f t="shared" si="216"/>
        <v>8</v>
      </c>
      <c r="F572" s="74">
        <f t="shared" si="217"/>
        <v>45885.5</v>
      </c>
      <c r="G572" s="67">
        <f t="shared" si="218"/>
        <v>24307</v>
      </c>
      <c r="H572" s="75">
        <f t="shared" si="219"/>
        <v>1</v>
      </c>
      <c r="I572" s="76">
        <f t="shared" si="220"/>
        <v>1</v>
      </c>
      <c r="J572" s="76">
        <f t="shared" si="221"/>
        <v>1</v>
      </c>
      <c r="K572" s="67">
        <f t="shared" si="222"/>
        <v>0</v>
      </c>
      <c r="L572" s="67">
        <f t="shared" si="223"/>
        <v>0</v>
      </c>
      <c r="M572" s="77">
        <f t="shared" si="224"/>
        <v>0</v>
      </c>
      <c r="N572" s="76">
        <f t="shared" si="225"/>
        <v>1</v>
      </c>
      <c r="O572" s="77">
        <f t="shared" si="226"/>
        <v>0.89203501094091897</v>
      </c>
      <c r="P572" s="76">
        <f t="shared" si="227"/>
        <v>0.25</v>
      </c>
      <c r="Q572" s="76">
        <f t="shared" si="228"/>
        <v>0</v>
      </c>
      <c r="R572" s="76">
        <f t="shared" si="229"/>
        <v>0</v>
      </c>
      <c r="S572" s="76">
        <f t="shared" si="230"/>
        <v>0.96960327276186842</v>
      </c>
      <c r="T572" s="76">
        <f t="shared" si="231"/>
        <v>0.96960327276186842</v>
      </c>
      <c r="U572" s="76">
        <f t="shared" si="232"/>
        <v>1</v>
      </c>
    </row>
    <row r="573" spans="1:21" x14ac:dyDescent="0.25">
      <c r="A573" s="71">
        <v>9</v>
      </c>
      <c r="B573" s="72">
        <f t="shared" si="233"/>
        <v>45901</v>
      </c>
      <c r="C573" s="73">
        <f t="shared" si="214"/>
        <v>45930</v>
      </c>
      <c r="D573" s="67">
        <f t="shared" si="215"/>
        <v>30</v>
      </c>
      <c r="E573" s="67">
        <f t="shared" si="216"/>
        <v>9</v>
      </c>
      <c r="F573" s="74">
        <f t="shared" si="217"/>
        <v>45916</v>
      </c>
      <c r="G573" s="67">
        <f t="shared" si="218"/>
        <v>24308</v>
      </c>
      <c r="H573" s="75">
        <f t="shared" si="219"/>
        <v>1</v>
      </c>
      <c r="I573" s="76">
        <f t="shared" si="220"/>
        <v>1</v>
      </c>
      <c r="J573" s="76">
        <f t="shared" si="221"/>
        <v>1</v>
      </c>
      <c r="K573" s="67">
        <f t="shared" si="222"/>
        <v>0</v>
      </c>
      <c r="L573" s="67">
        <f t="shared" si="223"/>
        <v>0</v>
      </c>
      <c r="M573" s="77">
        <f t="shared" si="224"/>
        <v>0</v>
      </c>
      <c r="N573" s="76">
        <f t="shared" si="225"/>
        <v>1</v>
      </c>
      <c r="O573" s="77">
        <f t="shared" si="226"/>
        <v>0.89336980306345726</v>
      </c>
      <c r="P573" s="76">
        <f t="shared" si="227"/>
        <v>0.41666666666666663</v>
      </c>
      <c r="Q573" s="76">
        <f t="shared" si="228"/>
        <v>0</v>
      </c>
      <c r="R573" s="76">
        <f t="shared" si="229"/>
        <v>0</v>
      </c>
      <c r="S573" s="76">
        <f t="shared" si="230"/>
        <v>0.97105413376462746</v>
      </c>
      <c r="T573" s="76">
        <f t="shared" si="231"/>
        <v>0.97105413376462746</v>
      </c>
      <c r="U573" s="76">
        <f t="shared" si="232"/>
        <v>1</v>
      </c>
    </row>
    <row r="574" spans="1:21" x14ac:dyDescent="0.25">
      <c r="A574" s="71">
        <v>10</v>
      </c>
      <c r="B574" s="72">
        <f t="shared" si="233"/>
        <v>45931</v>
      </c>
      <c r="C574" s="73">
        <f t="shared" si="214"/>
        <v>45961</v>
      </c>
      <c r="D574" s="67">
        <f t="shared" si="215"/>
        <v>31</v>
      </c>
      <c r="E574" s="67">
        <f t="shared" si="216"/>
        <v>10</v>
      </c>
      <c r="F574" s="74">
        <f t="shared" si="217"/>
        <v>45946.5</v>
      </c>
      <c r="G574" s="67">
        <f t="shared" si="218"/>
        <v>24309</v>
      </c>
      <c r="H574" s="75">
        <f t="shared" si="219"/>
        <v>1</v>
      </c>
      <c r="I574" s="76">
        <f t="shared" si="220"/>
        <v>1</v>
      </c>
      <c r="J574" s="76">
        <f t="shared" si="221"/>
        <v>1</v>
      </c>
      <c r="K574" s="67">
        <f t="shared" si="222"/>
        <v>0</v>
      </c>
      <c r="L574" s="67">
        <f t="shared" si="223"/>
        <v>0</v>
      </c>
      <c r="M574" s="77">
        <f t="shared" si="224"/>
        <v>0</v>
      </c>
      <c r="N574" s="76">
        <f t="shared" si="225"/>
        <v>1</v>
      </c>
      <c r="O574" s="77">
        <f t="shared" si="226"/>
        <v>0.89470459518599565</v>
      </c>
      <c r="P574" s="76">
        <f t="shared" si="227"/>
        <v>0.58333333333333326</v>
      </c>
      <c r="Q574" s="76">
        <f t="shared" si="228"/>
        <v>0</v>
      </c>
      <c r="R574" s="76">
        <f t="shared" si="229"/>
        <v>0</v>
      </c>
      <c r="S574" s="76">
        <f t="shared" si="230"/>
        <v>0.9725049947673865</v>
      </c>
      <c r="T574" s="76">
        <f t="shared" si="231"/>
        <v>0.9725049947673865</v>
      </c>
      <c r="U574" s="76">
        <f t="shared" si="232"/>
        <v>1</v>
      </c>
    </row>
    <row r="575" spans="1:21" x14ac:dyDescent="0.25">
      <c r="A575" s="71">
        <v>11</v>
      </c>
      <c r="B575" s="72">
        <f t="shared" si="233"/>
        <v>45962</v>
      </c>
      <c r="C575" s="73">
        <f t="shared" si="214"/>
        <v>45991</v>
      </c>
      <c r="D575" s="67">
        <f t="shared" si="215"/>
        <v>30</v>
      </c>
      <c r="E575" s="67">
        <f t="shared" si="216"/>
        <v>11</v>
      </c>
      <c r="F575" s="74">
        <f t="shared" si="217"/>
        <v>45977</v>
      </c>
      <c r="G575" s="67">
        <f t="shared" si="218"/>
        <v>24310</v>
      </c>
      <c r="H575" s="75">
        <f t="shared" si="219"/>
        <v>1</v>
      </c>
      <c r="I575" s="76">
        <f t="shared" si="220"/>
        <v>1</v>
      </c>
      <c r="J575" s="76">
        <f t="shared" si="221"/>
        <v>1</v>
      </c>
      <c r="K575" s="67">
        <f t="shared" si="222"/>
        <v>0</v>
      </c>
      <c r="L575" s="67">
        <f t="shared" si="223"/>
        <v>0</v>
      </c>
      <c r="M575" s="77">
        <f t="shared" si="224"/>
        <v>0</v>
      </c>
      <c r="N575" s="76">
        <f t="shared" si="225"/>
        <v>1</v>
      </c>
      <c r="O575" s="77">
        <f t="shared" si="226"/>
        <v>0.89603938730853394</v>
      </c>
      <c r="P575" s="76">
        <f t="shared" si="227"/>
        <v>0.75</v>
      </c>
      <c r="Q575" s="76">
        <f t="shared" si="228"/>
        <v>0</v>
      </c>
      <c r="R575" s="76">
        <f t="shared" si="229"/>
        <v>0</v>
      </c>
      <c r="S575" s="76">
        <f t="shared" si="230"/>
        <v>0.97395585577014554</v>
      </c>
      <c r="T575" s="76">
        <f t="shared" si="231"/>
        <v>0.97395585577014554</v>
      </c>
      <c r="U575" s="76">
        <f t="shared" si="232"/>
        <v>1</v>
      </c>
    </row>
    <row r="576" spans="1:21" x14ac:dyDescent="0.25">
      <c r="A576" s="71">
        <v>12</v>
      </c>
      <c r="B576" s="72">
        <f t="shared" si="233"/>
        <v>45992</v>
      </c>
      <c r="C576" s="73">
        <f t="shared" si="214"/>
        <v>46022</v>
      </c>
      <c r="D576" s="67">
        <f t="shared" si="215"/>
        <v>31</v>
      </c>
      <c r="E576" s="67">
        <f t="shared" si="216"/>
        <v>12</v>
      </c>
      <c r="F576" s="74">
        <f t="shared" si="217"/>
        <v>46007.5</v>
      </c>
      <c r="G576" s="67">
        <f t="shared" si="218"/>
        <v>24311</v>
      </c>
      <c r="H576" s="75">
        <f t="shared" si="219"/>
        <v>1</v>
      </c>
      <c r="I576" s="76">
        <f t="shared" si="220"/>
        <v>1</v>
      </c>
      <c r="J576" s="76">
        <f t="shared" si="221"/>
        <v>1</v>
      </c>
      <c r="K576" s="67">
        <f t="shared" si="222"/>
        <v>0</v>
      </c>
      <c r="L576" s="67">
        <f t="shared" si="223"/>
        <v>0</v>
      </c>
      <c r="M576" s="77">
        <f t="shared" si="224"/>
        <v>0</v>
      </c>
      <c r="N576" s="76">
        <f t="shared" si="225"/>
        <v>1</v>
      </c>
      <c r="O576" s="77">
        <f t="shared" si="226"/>
        <v>0.89737417943107223</v>
      </c>
      <c r="P576" s="76">
        <f t="shared" si="227"/>
        <v>0.91666666666666663</v>
      </c>
      <c r="Q576" s="76">
        <f t="shared" si="228"/>
        <v>0</v>
      </c>
      <c r="R576" s="76">
        <f t="shared" si="229"/>
        <v>0</v>
      </c>
      <c r="S576" s="76">
        <f t="shared" si="230"/>
        <v>0.97540671677290458</v>
      </c>
      <c r="T576" s="76">
        <f t="shared" si="231"/>
        <v>0.97540671677290458</v>
      </c>
      <c r="U576" s="76">
        <f t="shared" si="232"/>
        <v>1</v>
      </c>
    </row>
    <row r="577" spans="1:21" x14ac:dyDescent="0.25">
      <c r="A577" s="71">
        <v>13</v>
      </c>
      <c r="B577" s="72">
        <f t="shared" si="233"/>
        <v>46023</v>
      </c>
      <c r="C577" s="73">
        <f t="shared" si="214"/>
        <v>46053</v>
      </c>
      <c r="D577" s="67">
        <f t="shared" si="215"/>
        <v>31</v>
      </c>
      <c r="E577" s="67">
        <f t="shared" si="216"/>
        <v>1</v>
      </c>
      <c r="F577" s="74">
        <f t="shared" si="217"/>
        <v>46038.5</v>
      </c>
      <c r="G577" s="67">
        <f t="shared" si="218"/>
        <v>24312</v>
      </c>
      <c r="H577" s="75">
        <f t="shared" si="219"/>
        <v>1</v>
      </c>
      <c r="I577" s="76">
        <f t="shared" si="220"/>
        <v>1</v>
      </c>
      <c r="J577" s="76">
        <f t="shared" si="221"/>
        <v>1</v>
      </c>
      <c r="K577" s="67">
        <f t="shared" si="222"/>
        <v>0</v>
      </c>
      <c r="L577" s="67">
        <f t="shared" si="223"/>
        <v>0</v>
      </c>
      <c r="M577" s="77">
        <f t="shared" si="224"/>
        <v>0</v>
      </c>
      <c r="N577" s="76">
        <f t="shared" si="225"/>
        <v>1</v>
      </c>
      <c r="O577" s="77">
        <f t="shared" si="226"/>
        <v>0.8987308533916849</v>
      </c>
      <c r="P577" s="76">
        <f t="shared" si="227"/>
        <v>1</v>
      </c>
      <c r="Q577" s="76">
        <f t="shared" si="228"/>
        <v>0</v>
      </c>
      <c r="R577" s="76">
        <f t="shared" si="229"/>
        <v>0</v>
      </c>
      <c r="S577" s="76">
        <f t="shared" si="230"/>
        <v>0.97688136238226619</v>
      </c>
      <c r="T577" s="76">
        <f t="shared" si="231"/>
        <v>0.97688136238226619</v>
      </c>
      <c r="U577" s="76">
        <f t="shared" si="232"/>
        <v>1</v>
      </c>
    </row>
    <row r="578" spans="1:21" x14ac:dyDescent="0.25">
      <c r="A578" s="71">
        <v>14</v>
      </c>
      <c r="B578" s="72">
        <f t="shared" si="233"/>
        <v>46054</v>
      </c>
      <c r="C578" s="73">
        <f t="shared" si="214"/>
        <v>46081</v>
      </c>
      <c r="D578" s="67">
        <f t="shared" si="215"/>
        <v>28</v>
      </c>
      <c r="E578" s="67">
        <f t="shared" si="216"/>
        <v>2</v>
      </c>
      <c r="F578" s="74">
        <f t="shared" si="217"/>
        <v>46068</v>
      </c>
      <c r="G578" s="67">
        <f t="shared" si="218"/>
        <v>24313</v>
      </c>
      <c r="H578" s="75">
        <f t="shared" si="219"/>
        <v>1</v>
      </c>
      <c r="I578" s="76">
        <f t="shared" si="220"/>
        <v>1</v>
      </c>
      <c r="J578" s="76">
        <f t="shared" si="221"/>
        <v>1</v>
      </c>
      <c r="K578" s="67">
        <f t="shared" si="222"/>
        <v>0</v>
      </c>
      <c r="L578" s="67">
        <f t="shared" si="223"/>
        <v>0</v>
      </c>
      <c r="M578" s="77">
        <f t="shared" si="224"/>
        <v>0</v>
      </c>
      <c r="N578" s="76">
        <f t="shared" si="225"/>
        <v>1</v>
      </c>
      <c r="O578" s="77">
        <f t="shared" si="226"/>
        <v>0.90002188183807441</v>
      </c>
      <c r="P578" s="76">
        <f t="shared" si="227"/>
        <v>1</v>
      </c>
      <c r="Q578" s="76">
        <f t="shared" si="228"/>
        <v>0</v>
      </c>
      <c r="R578" s="76">
        <f t="shared" si="229"/>
        <v>0</v>
      </c>
      <c r="S578" s="76">
        <f t="shared" si="230"/>
        <v>0.97828465417181998</v>
      </c>
      <c r="T578" s="76">
        <f t="shared" si="231"/>
        <v>0.97828465417181998</v>
      </c>
      <c r="U578" s="76">
        <f t="shared" si="232"/>
        <v>1</v>
      </c>
    </row>
    <row r="579" spans="1:21" x14ac:dyDescent="0.25">
      <c r="A579" s="71">
        <v>15</v>
      </c>
      <c r="B579" s="72">
        <f t="shared" si="233"/>
        <v>46082</v>
      </c>
      <c r="C579" s="73">
        <f t="shared" si="214"/>
        <v>46112</v>
      </c>
      <c r="D579" s="67">
        <f t="shared" si="215"/>
        <v>31</v>
      </c>
      <c r="E579" s="67">
        <f t="shared" si="216"/>
        <v>3</v>
      </c>
      <c r="F579" s="74">
        <f t="shared" si="217"/>
        <v>46097.5</v>
      </c>
      <c r="G579" s="67">
        <f t="shared" si="218"/>
        <v>24314</v>
      </c>
      <c r="H579" s="75">
        <f t="shared" si="219"/>
        <v>1</v>
      </c>
      <c r="I579" s="76">
        <f t="shared" si="220"/>
        <v>1</v>
      </c>
      <c r="J579" s="76">
        <f t="shared" si="221"/>
        <v>1</v>
      </c>
      <c r="K579" s="67">
        <f t="shared" si="222"/>
        <v>0</v>
      </c>
      <c r="L579" s="67">
        <f t="shared" si="223"/>
        <v>0</v>
      </c>
      <c r="M579" s="77">
        <f t="shared" si="224"/>
        <v>0</v>
      </c>
      <c r="N579" s="76">
        <f t="shared" si="225"/>
        <v>1</v>
      </c>
      <c r="O579" s="77">
        <f t="shared" si="226"/>
        <v>0.90131291028446392</v>
      </c>
      <c r="P579" s="76">
        <f t="shared" si="227"/>
        <v>1</v>
      </c>
      <c r="Q579" s="76">
        <f t="shared" si="228"/>
        <v>0</v>
      </c>
      <c r="R579" s="76">
        <f t="shared" si="229"/>
        <v>0</v>
      </c>
      <c r="S579" s="76">
        <f t="shared" si="230"/>
        <v>0.97968794596137376</v>
      </c>
      <c r="T579" s="76">
        <f t="shared" si="231"/>
        <v>0.97968794596137376</v>
      </c>
      <c r="U579" s="76">
        <f t="shared" si="232"/>
        <v>1</v>
      </c>
    </row>
    <row r="580" spans="1:21" x14ac:dyDescent="0.25">
      <c r="A580" s="71">
        <v>16</v>
      </c>
      <c r="B580" s="72">
        <f t="shared" si="233"/>
        <v>46113</v>
      </c>
      <c r="C580" s="73">
        <f t="shared" si="214"/>
        <v>46142</v>
      </c>
      <c r="D580" s="67">
        <f t="shared" si="215"/>
        <v>30</v>
      </c>
      <c r="E580" s="67">
        <f t="shared" si="216"/>
        <v>4</v>
      </c>
      <c r="F580" s="74">
        <f t="shared" si="217"/>
        <v>46128</v>
      </c>
      <c r="G580" s="67">
        <f t="shared" si="218"/>
        <v>24315</v>
      </c>
      <c r="H580" s="75">
        <f t="shared" si="219"/>
        <v>1</v>
      </c>
      <c r="I580" s="76">
        <f t="shared" si="220"/>
        <v>1</v>
      </c>
      <c r="J580" s="76">
        <f t="shared" si="221"/>
        <v>1</v>
      </c>
      <c r="K580" s="67">
        <f t="shared" si="222"/>
        <v>0</v>
      </c>
      <c r="L580" s="67">
        <f t="shared" si="223"/>
        <v>0</v>
      </c>
      <c r="M580" s="77">
        <f t="shared" si="224"/>
        <v>0</v>
      </c>
      <c r="N580" s="76">
        <f t="shared" si="225"/>
        <v>1</v>
      </c>
      <c r="O580" s="77">
        <f t="shared" si="226"/>
        <v>0.90264770240700221</v>
      </c>
      <c r="P580" s="76">
        <f t="shared" si="227"/>
        <v>1</v>
      </c>
      <c r="Q580" s="76">
        <f t="shared" si="228"/>
        <v>0</v>
      </c>
      <c r="R580" s="76">
        <f t="shared" si="229"/>
        <v>0</v>
      </c>
      <c r="S580" s="76">
        <f t="shared" si="230"/>
        <v>0.9811388069641328</v>
      </c>
      <c r="T580" s="76">
        <f t="shared" si="231"/>
        <v>0.9811388069641328</v>
      </c>
      <c r="U580" s="76">
        <f t="shared" si="232"/>
        <v>1</v>
      </c>
    </row>
    <row r="581" spans="1:21" x14ac:dyDescent="0.25">
      <c r="A581" s="71">
        <v>17</v>
      </c>
      <c r="B581" s="72">
        <f t="shared" si="233"/>
        <v>46143</v>
      </c>
      <c r="C581" s="73">
        <f t="shared" si="214"/>
        <v>46173</v>
      </c>
      <c r="D581" s="67">
        <f t="shared" si="215"/>
        <v>31</v>
      </c>
      <c r="E581" s="67">
        <f t="shared" si="216"/>
        <v>5</v>
      </c>
      <c r="F581" s="74">
        <f t="shared" si="217"/>
        <v>46158.5</v>
      </c>
      <c r="G581" s="67">
        <f t="shared" si="218"/>
        <v>24316</v>
      </c>
      <c r="H581" s="75">
        <f t="shared" si="219"/>
        <v>1</v>
      </c>
      <c r="I581" s="76">
        <f t="shared" si="220"/>
        <v>1</v>
      </c>
      <c r="J581" s="76">
        <f t="shared" si="221"/>
        <v>1</v>
      </c>
      <c r="K581" s="67">
        <f t="shared" si="222"/>
        <v>0</v>
      </c>
      <c r="L581" s="67">
        <f t="shared" si="223"/>
        <v>0</v>
      </c>
      <c r="M581" s="77">
        <f t="shared" si="224"/>
        <v>0</v>
      </c>
      <c r="N581" s="76">
        <f t="shared" si="225"/>
        <v>1</v>
      </c>
      <c r="O581" s="77">
        <f t="shared" si="226"/>
        <v>0.90398249452954049</v>
      </c>
      <c r="P581" s="76">
        <f t="shared" si="227"/>
        <v>1</v>
      </c>
      <c r="Q581" s="76">
        <f t="shared" si="228"/>
        <v>0</v>
      </c>
      <c r="R581" s="76">
        <f t="shared" si="229"/>
        <v>0</v>
      </c>
      <c r="S581" s="76">
        <f t="shared" si="230"/>
        <v>0.98258966796689184</v>
      </c>
      <c r="T581" s="76">
        <f t="shared" si="231"/>
        <v>0.98258966796689184</v>
      </c>
      <c r="U581" s="76">
        <f t="shared" si="232"/>
        <v>1</v>
      </c>
    </row>
    <row r="582" spans="1:21" x14ac:dyDescent="0.25">
      <c r="A582" s="71">
        <v>18</v>
      </c>
      <c r="B582" s="72">
        <f t="shared" si="233"/>
        <v>46174</v>
      </c>
      <c r="C582" s="73">
        <f t="shared" si="214"/>
        <v>46203</v>
      </c>
      <c r="D582" s="67">
        <f t="shared" si="215"/>
        <v>30</v>
      </c>
      <c r="E582" s="67">
        <f t="shared" si="216"/>
        <v>6</v>
      </c>
      <c r="F582" s="74">
        <f t="shared" si="217"/>
        <v>46189</v>
      </c>
      <c r="G582" s="67">
        <f t="shared" si="218"/>
        <v>24317</v>
      </c>
      <c r="H582" s="75">
        <f t="shared" si="219"/>
        <v>1</v>
      </c>
      <c r="I582" s="76">
        <f t="shared" si="220"/>
        <v>1</v>
      </c>
      <c r="J582" s="76">
        <f t="shared" si="221"/>
        <v>1</v>
      </c>
      <c r="K582" s="67">
        <f t="shared" si="222"/>
        <v>0</v>
      </c>
      <c r="L582" s="67">
        <f t="shared" si="223"/>
        <v>0</v>
      </c>
      <c r="M582" s="77">
        <f t="shared" si="224"/>
        <v>0</v>
      </c>
      <c r="N582" s="76">
        <f t="shared" si="225"/>
        <v>1</v>
      </c>
      <c r="O582" s="77">
        <f t="shared" si="226"/>
        <v>0.90531728665207878</v>
      </c>
      <c r="P582" s="76">
        <f t="shared" si="227"/>
        <v>1</v>
      </c>
      <c r="Q582" s="76">
        <f t="shared" si="228"/>
        <v>0</v>
      </c>
      <c r="R582" s="76">
        <f t="shared" si="229"/>
        <v>0</v>
      </c>
      <c r="S582" s="76">
        <f t="shared" si="230"/>
        <v>0.98404052896965077</v>
      </c>
      <c r="T582" s="76">
        <f t="shared" si="231"/>
        <v>0.98404052896965077</v>
      </c>
      <c r="U582" s="76">
        <f t="shared" si="232"/>
        <v>1</v>
      </c>
    </row>
    <row r="583" spans="1:21" x14ac:dyDescent="0.25">
      <c r="A583" s="71">
        <v>19</v>
      </c>
      <c r="B583" s="72">
        <f t="shared" si="233"/>
        <v>46204</v>
      </c>
      <c r="C583" s="73">
        <f t="shared" si="214"/>
        <v>46234</v>
      </c>
      <c r="D583" s="67">
        <f t="shared" si="215"/>
        <v>31</v>
      </c>
      <c r="E583" s="67">
        <f t="shared" si="216"/>
        <v>7</v>
      </c>
      <c r="F583" s="74">
        <f t="shared" si="217"/>
        <v>46219.5</v>
      </c>
      <c r="G583" s="67">
        <f t="shared" si="218"/>
        <v>24318</v>
      </c>
      <c r="H583" s="75">
        <f t="shared" si="219"/>
        <v>1</v>
      </c>
      <c r="I583" s="76">
        <f t="shared" si="220"/>
        <v>1</v>
      </c>
      <c r="J583" s="76">
        <f t="shared" si="221"/>
        <v>1</v>
      </c>
      <c r="K583" s="67">
        <f t="shared" si="222"/>
        <v>0</v>
      </c>
      <c r="L583" s="67">
        <f t="shared" si="223"/>
        <v>0</v>
      </c>
      <c r="M583" s="77">
        <f t="shared" si="224"/>
        <v>0</v>
      </c>
      <c r="N583" s="76">
        <f t="shared" si="225"/>
        <v>1</v>
      </c>
      <c r="O583" s="77">
        <f t="shared" si="226"/>
        <v>0.90665207877461707</v>
      </c>
      <c r="P583" s="76">
        <f t="shared" si="227"/>
        <v>0.91666666666666663</v>
      </c>
      <c r="Q583" s="76">
        <f t="shared" si="228"/>
        <v>8.333333333333337E-2</v>
      </c>
      <c r="R583" s="76">
        <f t="shared" si="229"/>
        <v>0</v>
      </c>
      <c r="S583" s="76">
        <f t="shared" si="230"/>
        <v>0.98549138997240981</v>
      </c>
      <c r="T583" s="76">
        <f t="shared" si="231"/>
        <v>0.98549138997240981</v>
      </c>
      <c r="U583" s="76">
        <f t="shared" si="232"/>
        <v>1</v>
      </c>
    </row>
    <row r="584" spans="1:21" x14ac:dyDescent="0.25">
      <c r="A584" s="71">
        <v>20</v>
      </c>
      <c r="B584" s="72">
        <f t="shared" si="233"/>
        <v>46235</v>
      </c>
      <c r="C584" s="73">
        <f t="shared" si="214"/>
        <v>46265</v>
      </c>
      <c r="D584" s="67">
        <f t="shared" si="215"/>
        <v>31</v>
      </c>
      <c r="E584" s="67">
        <f t="shared" si="216"/>
        <v>8</v>
      </c>
      <c r="F584" s="74">
        <f t="shared" si="217"/>
        <v>46250.5</v>
      </c>
      <c r="G584" s="67">
        <f t="shared" si="218"/>
        <v>24319</v>
      </c>
      <c r="H584" s="75">
        <f t="shared" si="219"/>
        <v>1</v>
      </c>
      <c r="I584" s="76">
        <f t="shared" si="220"/>
        <v>1</v>
      </c>
      <c r="J584" s="76">
        <f t="shared" si="221"/>
        <v>1</v>
      </c>
      <c r="K584" s="67">
        <f t="shared" si="222"/>
        <v>0</v>
      </c>
      <c r="L584" s="67">
        <f t="shared" si="223"/>
        <v>0</v>
      </c>
      <c r="M584" s="77">
        <f t="shared" si="224"/>
        <v>0</v>
      </c>
      <c r="N584" s="76">
        <f t="shared" si="225"/>
        <v>1</v>
      </c>
      <c r="O584" s="77">
        <f t="shared" si="226"/>
        <v>0.90800875273522974</v>
      </c>
      <c r="P584" s="76">
        <f t="shared" si="227"/>
        <v>0.75</v>
      </c>
      <c r="Q584" s="76">
        <f t="shared" si="228"/>
        <v>0.25</v>
      </c>
      <c r="R584" s="76">
        <f t="shared" si="229"/>
        <v>0</v>
      </c>
      <c r="S584" s="76">
        <f t="shared" si="230"/>
        <v>0.98696603558177143</v>
      </c>
      <c r="T584" s="76">
        <f t="shared" si="231"/>
        <v>0.98696603558177143</v>
      </c>
      <c r="U584" s="76">
        <f t="shared" si="232"/>
        <v>1</v>
      </c>
    </row>
    <row r="585" spans="1:21" x14ac:dyDescent="0.25">
      <c r="A585" s="71">
        <v>21</v>
      </c>
      <c r="B585" s="72">
        <f t="shared" si="233"/>
        <v>46266</v>
      </c>
      <c r="C585" s="73">
        <f t="shared" si="214"/>
        <v>46295</v>
      </c>
      <c r="D585" s="67">
        <f t="shared" si="215"/>
        <v>30</v>
      </c>
      <c r="E585" s="67">
        <f t="shared" si="216"/>
        <v>9</v>
      </c>
      <c r="F585" s="74">
        <f t="shared" si="217"/>
        <v>46281</v>
      </c>
      <c r="G585" s="67">
        <f t="shared" si="218"/>
        <v>24320</v>
      </c>
      <c r="H585" s="75">
        <f t="shared" si="219"/>
        <v>1</v>
      </c>
      <c r="I585" s="76">
        <f t="shared" si="220"/>
        <v>1</v>
      </c>
      <c r="J585" s="76">
        <f t="shared" si="221"/>
        <v>1</v>
      </c>
      <c r="K585" s="67">
        <f t="shared" si="222"/>
        <v>0</v>
      </c>
      <c r="L585" s="67">
        <f t="shared" si="223"/>
        <v>0</v>
      </c>
      <c r="M585" s="77">
        <f t="shared" si="224"/>
        <v>0</v>
      </c>
      <c r="N585" s="76">
        <f t="shared" si="225"/>
        <v>1</v>
      </c>
      <c r="O585" s="77">
        <f t="shared" si="226"/>
        <v>0.90934354485776803</v>
      </c>
      <c r="P585" s="76">
        <f t="shared" si="227"/>
        <v>0.58333333333333337</v>
      </c>
      <c r="Q585" s="76">
        <f t="shared" si="228"/>
        <v>0.41666666666666663</v>
      </c>
      <c r="R585" s="76">
        <f t="shared" si="229"/>
        <v>0</v>
      </c>
      <c r="S585" s="76">
        <f t="shared" si="230"/>
        <v>0.98841689658453047</v>
      </c>
      <c r="T585" s="76">
        <f t="shared" si="231"/>
        <v>0.98841689658453047</v>
      </c>
      <c r="U585" s="76">
        <f t="shared" si="232"/>
        <v>1</v>
      </c>
    </row>
    <row r="586" spans="1:21" x14ac:dyDescent="0.25">
      <c r="A586" s="71">
        <v>22</v>
      </c>
      <c r="B586" s="72">
        <f t="shared" si="233"/>
        <v>46296</v>
      </c>
      <c r="C586" s="73">
        <f t="shared" si="214"/>
        <v>46326</v>
      </c>
      <c r="D586" s="67">
        <f t="shared" si="215"/>
        <v>31</v>
      </c>
      <c r="E586" s="67">
        <f t="shared" si="216"/>
        <v>10</v>
      </c>
      <c r="F586" s="74">
        <f t="shared" si="217"/>
        <v>46311.5</v>
      </c>
      <c r="G586" s="67">
        <f t="shared" si="218"/>
        <v>24321</v>
      </c>
      <c r="H586" s="75">
        <f t="shared" si="219"/>
        <v>1</v>
      </c>
      <c r="I586" s="76">
        <f t="shared" si="220"/>
        <v>1</v>
      </c>
      <c r="J586" s="76">
        <f t="shared" si="221"/>
        <v>1.06</v>
      </c>
      <c r="K586" s="67">
        <f t="shared" si="222"/>
        <v>1</v>
      </c>
      <c r="L586" s="67">
        <f t="shared" si="223"/>
        <v>31</v>
      </c>
      <c r="M586" s="77">
        <f t="shared" si="224"/>
        <v>1</v>
      </c>
      <c r="N586" s="76">
        <f t="shared" si="225"/>
        <v>1.06</v>
      </c>
      <c r="O586" s="77">
        <f t="shared" si="226"/>
        <v>0.91067833698030642</v>
      </c>
      <c r="P586" s="76">
        <f t="shared" si="227"/>
        <v>0.41666666666666669</v>
      </c>
      <c r="Q586" s="76">
        <f t="shared" si="228"/>
        <v>0.58333333333333326</v>
      </c>
      <c r="R586" s="76">
        <f t="shared" si="229"/>
        <v>0</v>
      </c>
      <c r="S586" s="76">
        <f t="shared" si="230"/>
        <v>1.049259823042527</v>
      </c>
      <c r="T586" s="76">
        <f t="shared" si="231"/>
        <v>1.049259823042527</v>
      </c>
      <c r="U586" s="76">
        <f t="shared" si="232"/>
        <v>1.06</v>
      </c>
    </row>
    <row r="587" spans="1:21" x14ac:dyDescent="0.25">
      <c r="A587" s="71">
        <v>23</v>
      </c>
      <c r="B587" s="72">
        <f t="shared" si="233"/>
        <v>46327</v>
      </c>
      <c r="C587" s="73">
        <f t="shared" si="214"/>
        <v>46356</v>
      </c>
      <c r="D587" s="67">
        <f t="shared" si="215"/>
        <v>30</v>
      </c>
      <c r="E587" s="67">
        <f t="shared" si="216"/>
        <v>11</v>
      </c>
      <c r="F587" s="74">
        <f t="shared" si="217"/>
        <v>46342</v>
      </c>
      <c r="G587" s="67">
        <f t="shared" si="218"/>
        <v>24322</v>
      </c>
      <c r="H587" s="75">
        <f t="shared" si="219"/>
        <v>1</v>
      </c>
      <c r="I587" s="76">
        <f t="shared" si="220"/>
        <v>1.06</v>
      </c>
      <c r="J587" s="76">
        <f t="shared" si="221"/>
        <v>1.06</v>
      </c>
      <c r="K587" s="67">
        <f t="shared" si="222"/>
        <v>0</v>
      </c>
      <c r="L587" s="67">
        <f t="shared" si="223"/>
        <v>0</v>
      </c>
      <c r="M587" s="77">
        <f t="shared" si="224"/>
        <v>0</v>
      </c>
      <c r="N587" s="76">
        <f t="shared" si="225"/>
        <v>1.06</v>
      </c>
      <c r="O587" s="77">
        <f t="shared" si="226"/>
        <v>0.91201312910284471</v>
      </c>
      <c r="P587" s="76">
        <f t="shared" si="227"/>
        <v>0.25</v>
      </c>
      <c r="Q587" s="76">
        <f t="shared" si="228"/>
        <v>0.75</v>
      </c>
      <c r="R587" s="76">
        <f t="shared" si="229"/>
        <v>0</v>
      </c>
      <c r="S587" s="76">
        <f t="shared" si="230"/>
        <v>1.0507977357054514</v>
      </c>
      <c r="T587" s="76">
        <f t="shared" si="231"/>
        <v>1.0507977357054514</v>
      </c>
      <c r="U587" s="76">
        <f t="shared" si="232"/>
        <v>1.06</v>
      </c>
    </row>
    <row r="588" spans="1:21" x14ac:dyDescent="0.25">
      <c r="A588" s="71">
        <v>24</v>
      </c>
      <c r="B588" s="72">
        <f t="shared" si="233"/>
        <v>46357</v>
      </c>
      <c r="C588" s="73">
        <f t="shared" si="214"/>
        <v>46387</v>
      </c>
      <c r="D588" s="67">
        <f t="shared" si="215"/>
        <v>31</v>
      </c>
      <c r="E588" s="67">
        <f t="shared" si="216"/>
        <v>12</v>
      </c>
      <c r="F588" s="74">
        <f t="shared" si="217"/>
        <v>46372.5</v>
      </c>
      <c r="G588" s="67">
        <f t="shared" si="218"/>
        <v>24323</v>
      </c>
      <c r="H588" s="75">
        <f t="shared" si="219"/>
        <v>1</v>
      </c>
      <c r="I588" s="76">
        <f t="shared" si="220"/>
        <v>1.06</v>
      </c>
      <c r="J588" s="76">
        <f t="shared" si="221"/>
        <v>1.06</v>
      </c>
      <c r="K588" s="67">
        <f t="shared" si="222"/>
        <v>0</v>
      </c>
      <c r="L588" s="67">
        <f t="shared" si="223"/>
        <v>0</v>
      </c>
      <c r="M588" s="77">
        <f t="shared" si="224"/>
        <v>0</v>
      </c>
      <c r="N588" s="76">
        <f t="shared" si="225"/>
        <v>1.06</v>
      </c>
      <c r="O588" s="77">
        <f t="shared" si="226"/>
        <v>0.913347921225383</v>
      </c>
      <c r="P588" s="76">
        <f t="shared" si="227"/>
        <v>8.3333333333333329E-2</v>
      </c>
      <c r="Q588" s="76">
        <f t="shared" si="228"/>
        <v>0.91666666666666663</v>
      </c>
      <c r="R588" s="76">
        <f t="shared" si="229"/>
        <v>0</v>
      </c>
      <c r="S588" s="76">
        <f t="shared" si="230"/>
        <v>1.0523356483683761</v>
      </c>
      <c r="T588" s="76">
        <f t="shared" si="231"/>
        <v>1.0523356483683761</v>
      </c>
      <c r="U588" s="76">
        <f t="shared" si="232"/>
        <v>1.06</v>
      </c>
    </row>
    <row r="589" spans="1:21" x14ac:dyDescent="0.25">
      <c r="A589" s="71">
        <v>25</v>
      </c>
      <c r="B589" s="72">
        <f t="shared" si="233"/>
        <v>46388</v>
      </c>
      <c r="C589" s="73">
        <f t="shared" si="214"/>
        <v>46418</v>
      </c>
      <c r="D589" s="67">
        <f t="shared" si="215"/>
        <v>31</v>
      </c>
      <c r="E589" s="67">
        <f t="shared" si="216"/>
        <v>1</v>
      </c>
      <c r="F589" s="74">
        <f t="shared" si="217"/>
        <v>46403.5</v>
      </c>
      <c r="G589" s="67">
        <f t="shared" si="218"/>
        <v>24324</v>
      </c>
      <c r="H589" s="75">
        <f t="shared" si="219"/>
        <v>1</v>
      </c>
      <c r="I589" s="76">
        <f t="shared" si="220"/>
        <v>1.06</v>
      </c>
      <c r="J589" s="76">
        <f t="shared" si="221"/>
        <v>1.06</v>
      </c>
      <c r="K589" s="67">
        <f t="shared" si="222"/>
        <v>0</v>
      </c>
      <c r="L589" s="67">
        <f t="shared" si="223"/>
        <v>0</v>
      </c>
      <c r="M589" s="77">
        <f t="shared" si="224"/>
        <v>0</v>
      </c>
      <c r="N589" s="76">
        <f t="shared" si="225"/>
        <v>1.06</v>
      </c>
      <c r="O589" s="77">
        <f t="shared" si="226"/>
        <v>0.91470459518599567</v>
      </c>
      <c r="P589" s="76">
        <f t="shared" si="227"/>
        <v>0</v>
      </c>
      <c r="Q589" s="76">
        <f t="shared" si="228"/>
        <v>1</v>
      </c>
      <c r="R589" s="76">
        <f t="shared" si="229"/>
        <v>0</v>
      </c>
      <c r="S589" s="76">
        <f t="shared" si="230"/>
        <v>1.0538987727142994</v>
      </c>
      <c r="T589" s="76">
        <f t="shared" si="231"/>
        <v>0.97688136238226619</v>
      </c>
      <c r="U589" s="76">
        <f t="shared" si="232"/>
        <v>1.06</v>
      </c>
    </row>
    <row r="590" spans="1:21" x14ac:dyDescent="0.25">
      <c r="A590" s="71">
        <v>26</v>
      </c>
      <c r="B590" s="72">
        <f t="shared" si="233"/>
        <v>46419</v>
      </c>
      <c r="C590" s="73">
        <f t="shared" si="214"/>
        <v>46446</v>
      </c>
      <c r="D590" s="67">
        <f t="shared" si="215"/>
        <v>28</v>
      </c>
      <c r="E590" s="67">
        <f t="shared" si="216"/>
        <v>2</v>
      </c>
      <c r="F590" s="74">
        <f t="shared" si="217"/>
        <v>46433</v>
      </c>
      <c r="G590" s="67">
        <f t="shared" si="218"/>
        <v>24325</v>
      </c>
      <c r="H590" s="75">
        <f t="shared" si="219"/>
        <v>1</v>
      </c>
      <c r="I590" s="76">
        <f t="shared" si="220"/>
        <v>1.06</v>
      </c>
      <c r="J590" s="76">
        <f t="shared" si="221"/>
        <v>1.06</v>
      </c>
      <c r="K590" s="67">
        <f t="shared" si="222"/>
        <v>0</v>
      </c>
      <c r="L590" s="67">
        <f t="shared" si="223"/>
        <v>0</v>
      </c>
      <c r="M590" s="77">
        <f t="shared" si="224"/>
        <v>0</v>
      </c>
      <c r="N590" s="76">
        <f t="shared" si="225"/>
        <v>1.06</v>
      </c>
      <c r="O590" s="77">
        <f t="shared" si="226"/>
        <v>0.91599562363238518</v>
      </c>
      <c r="P590" s="76">
        <f t="shared" si="227"/>
        <v>0</v>
      </c>
      <c r="Q590" s="76">
        <f t="shared" si="228"/>
        <v>1</v>
      </c>
      <c r="R590" s="76">
        <f t="shared" si="229"/>
        <v>0</v>
      </c>
      <c r="S590" s="76">
        <f t="shared" si="230"/>
        <v>1.0553862620112264</v>
      </c>
      <c r="T590" s="76">
        <f t="shared" si="231"/>
        <v>0.97828465417181998</v>
      </c>
      <c r="U590" s="76">
        <f t="shared" si="232"/>
        <v>1.06</v>
      </c>
    </row>
    <row r="591" spans="1:21" x14ac:dyDescent="0.25">
      <c r="A591" s="71">
        <v>27</v>
      </c>
      <c r="B591" s="72">
        <f t="shared" si="233"/>
        <v>46447</v>
      </c>
      <c r="C591" s="73">
        <f t="shared" si="214"/>
        <v>46477</v>
      </c>
      <c r="D591" s="67">
        <f t="shared" si="215"/>
        <v>31</v>
      </c>
      <c r="E591" s="67">
        <f t="shared" si="216"/>
        <v>3</v>
      </c>
      <c r="F591" s="74">
        <f t="shared" si="217"/>
        <v>46462.5</v>
      </c>
      <c r="G591" s="67">
        <f t="shared" si="218"/>
        <v>24326</v>
      </c>
      <c r="H591" s="75">
        <f t="shared" si="219"/>
        <v>1</v>
      </c>
      <c r="I591" s="76">
        <f t="shared" si="220"/>
        <v>1.06</v>
      </c>
      <c r="J591" s="76">
        <f t="shared" si="221"/>
        <v>1.06</v>
      </c>
      <c r="K591" s="67">
        <f t="shared" si="222"/>
        <v>0</v>
      </c>
      <c r="L591" s="67">
        <f t="shared" si="223"/>
        <v>0</v>
      </c>
      <c r="M591" s="77">
        <f t="shared" si="224"/>
        <v>0</v>
      </c>
      <c r="N591" s="76">
        <f t="shared" si="225"/>
        <v>1.06</v>
      </c>
      <c r="O591" s="77">
        <f t="shared" si="226"/>
        <v>0.91728665207877469</v>
      </c>
      <c r="P591" s="76">
        <f t="shared" si="227"/>
        <v>0</v>
      </c>
      <c r="Q591" s="76">
        <f t="shared" si="228"/>
        <v>1</v>
      </c>
      <c r="R591" s="76">
        <f t="shared" si="229"/>
        <v>0</v>
      </c>
      <c r="S591" s="76">
        <f t="shared" si="230"/>
        <v>1.0568737513081534</v>
      </c>
      <c r="T591" s="76">
        <f t="shared" si="231"/>
        <v>0.97968794596137376</v>
      </c>
      <c r="U591" s="76">
        <f t="shared" si="232"/>
        <v>1.06</v>
      </c>
    </row>
    <row r="592" spans="1:21" x14ac:dyDescent="0.25">
      <c r="A592" s="71">
        <v>28</v>
      </c>
      <c r="B592" s="72">
        <f t="shared" si="233"/>
        <v>46478</v>
      </c>
      <c r="C592" s="73">
        <f t="shared" si="214"/>
        <v>46507</v>
      </c>
      <c r="D592" s="67">
        <f t="shared" si="215"/>
        <v>30</v>
      </c>
      <c r="E592" s="67">
        <f t="shared" si="216"/>
        <v>4</v>
      </c>
      <c r="F592" s="74">
        <f t="shared" si="217"/>
        <v>46493</v>
      </c>
      <c r="G592" s="67">
        <f t="shared" si="218"/>
        <v>24327</v>
      </c>
      <c r="H592" s="75">
        <f t="shared" si="219"/>
        <v>1</v>
      </c>
      <c r="I592" s="76">
        <f t="shared" si="220"/>
        <v>1.06</v>
      </c>
      <c r="J592" s="76">
        <f t="shared" si="221"/>
        <v>1.06</v>
      </c>
      <c r="K592" s="67">
        <f t="shared" si="222"/>
        <v>0</v>
      </c>
      <c r="L592" s="67">
        <f t="shared" si="223"/>
        <v>0</v>
      </c>
      <c r="M592" s="77">
        <f t="shared" si="224"/>
        <v>0</v>
      </c>
      <c r="N592" s="76">
        <f t="shared" si="225"/>
        <v>1.06</v>
      </c>
      <c r="O592" s="77">
        <f t="shared" si="226"/>
        <v>0.91862144420131298</v>
      </c>
      <c r="P592" s="76">
        <f t="shared" si="227"/>
        <v>0</v>
      </c>
      <c r="Q592" s="76">
        <f t="shared" si="228"/>
        <v>1</v>
      </c>
      <c r="R592" s="76">
        <f t="shared" si="229"/>
        <v>0</v>
      </c>
      <c r="S592" s="76">
        <f t="shared" si="230"/>
        <v>1.0584116639710781</v>
      </c>
      <c r="T592" s="76">
        <f t="shared" si="231"/>
        <v>0.9811388069641328</v>
      </c>
      <c r="U592" s="76">
        <f t="shared" si="232"/>
        <v>1.06</v>
      </c>
    </row>
    <row r="593" spans="1:21" x14ac:dyDescent="0.25">
      <c r="A593" s="71">
        <v>29</v>
      </c>
      <c r="B593" s="72">
        <f t="shared" si="233"/>
        <v>46508</v>
      </c>
      <c r="C593" s="73">
        <f t="shared" si="214"/>
        <v>46538</v>
      </c>
      <c r="D593" s="67">
        <f t="shared" si="215"/>
        <v>31</v>
      </c>
      <c r="E593" s="67">
        <f t="shared" si="216"/>
        <v>5</v>
      </c>
      <c r="F593" s="74">
        <f t="shared" si="217"/>
        <v>46523.5</v>
      </c>
      <c r="G593" s="67">
        <f t="shared" si="218"/>
        <v>24328</v>
      </c>
      <c r="H593" s="75">
        <f t="shared" si="219"/>
        <v>1</v>
      </c>
      <c r="I593" s="76">
        <f t="shared" si="220"/>
        <v>1.06</v>
      </c>
      <c r="J593" s="76">
        <f t="shared" si="221"/>
        <v>1.06</v>
      </c>
      <c r="K593" s="67">
        <f t="shared" si="222"/>
        <v>0</v>
      </c>
      <c r="L593" s="67">
        <f t="shared" si="223"/>
        <v>0</v>
      </c>
      <c r="M593" s="77">
        <f t="shared" si="224"/>
        <v>0</v>
      </c>
      <c r="N593" s="76">
        <f t="shared" si="225"/>
        <v>1.06</v>
      </c>
      <c r="O593" s="77">
        <f t="shared" si="226"/>
        <v>0.91995623632385126</v>
      </c>
      <c r="P593" s="76">
        <f t="shared" si="227"/>
        <v>0</v>
      </c>
      <c r="Q593" s="76">
        <f t="shared" si="228"/>
        <v>1</v>
      </c>
      <c r="R593" s="76">
        <f t="shared" si="229"/>
        <v>0</v>
      </c>
      <c r="S593" s="76">
        <f t="shared" si="230"/>
        <v>1.0599495766340026</v>
      </c>
      <c r="T593" s="76">
        <f t="shared" si="231"/>
        <v>0.98258966796689184</v>
      </c>
      <c r="U593" s="76">
        <f t="shared" si="232"/>
        <v>1.06</v>
      </c>
    </row>
    <row r="594" spans="1:21" x14ac:dyDescent="0.25">
      <c r="A594" s="71">
        <v>30</v>
      </c>
      <c r="B594" s="72">
        <f t="shared" si="233"/>
        <v>46539</v>
      </c>
      <c r="C594" s="73">
        <f t="shared" si="214"/>
        <v>46568</v>
      </c>
      <c r="D594" s="67">
        <f t="shared" si="215"/>
        <v>30</v>
      </c>
      <c r="E594" s="67">
        <f t="shared" si="216"/>
        <v>6</v>
      </c>
      <c r="F594" s="74">
        <f t="shared" si="217"/>
        <v>46554</v>
      </c>
      <c r="G594" s="67">
        <f t="shared" si="218"/>
        <v>24329</v>
      </c>
      <c r="H594" s="75">
        <f t="shared" si="219"/>
        <v>1</v>
      </c>
      <c r="I594" s="76">
        <f t="shared" si="220"/>
        <v>1.06</v>
      </c>
      <c r="J594" s="76">
        <f t="shared" si="221"/>
        <v>1.06</v>
      </c>
      <c r="K594" s="67">
        <f t="shared" si="222"/>
        <v>0</v>
      </c>
      <c r="L594" s="67">
        <f t="shared" si="223"/>
        <v>0</v>
      </c>
      <c r="M594" s="77">
        <f t="shared" si="224"/>
        <v>0</v>
      </c>
      <c r="N594" s="76">
        <f t="shared" si="225"/>
        <v>1.06</v>
      </c>
      <c r="O594" s="77">
        <f t="shared" si="226"/>
        <v>0.92129102844638955</v>
      </c>
      <c r="P594" s="76">
        <f t="shared" si="227"/>
        <v>0</v>
      </c>
      <c r="Q594" s="76">
        <f t="shared" si="228"/>
        <v>1</v>
      </c>
      <c r="R594" s="76">
        <f t="shared" si="229"/>
        <v>0</v>
      </c>
      <c r="S594" s="76">
        <f t="shared" si="230"/>
        <v>1.0614874892969273</v>
      </c>
      <c r="T594" s="76">
        <f t="shared" si="231"/>
        <v>0.98404052896965077</v>
      </c>
      <c r="U594" s="76">
        <f t="shared" si="232"/>
        <v>1.06</v>
      </c>
    </row>
    <row r="595" spans="1:21" x14ac:dyDescent="0.25">
      <c r="A595" s="71">
        <v>31</v>
      </c>
      <c r="B595" s="72">
        <f t="shared" si="233"/>
        <v>46569</v>
      </c>
      <c r="C595" s="73">
        <f t="shared" si="214"/>
        <v>46599</v>
      </c>
      <c r="D595" s="67">
        <f t="shared" si="215"/>
        <v>31</v>
      </c>
      <c r="E595" s="67">
        <f t="shared" si="216"/>
        <v>7</v>
      </c>
      <c r="F595" s="74">
        <f t="shared" si="217"/>
        <v>46584.5</v>
      </c>
      <c r="G595" s="67">
        <f t="shared" si="218"/>
        <v>24330</v>
      </c>
      <c r="H595" s="75">
        <f t="shared" si="219"/>
        <v>1</v>
      </c>
      <c r="I595" s="76">
        <f t="shared" si="220"/>
        <v>1.06</v>
      </c>
      <c r="J595" s="76">
        <f t="shared" si="221"/>
        <v>1.06</v>
      </c>
      <c r="K595" s="67">
        <f t="shared" si="222"/>
        <v>0</v>
      </c>
      <c r="L595" s="67">
        <f t="shared" si="223"/>
        <v>0</v>
      </c>
      <c r="M595" s="77">
        <f t="shared" si="224"/>
        <v>0</v>
      </c>
      <c r="N595" s="76">
        <f t="shared" si="225"/>
        <v>1.06</v>
      </c>
      <c r="O595" s="77">
        <f t="shared" si="226"/>
        <v>0.92262582056892783</v>
      </c>
      <c r="P595" s="76">
        <f t="shared" si="227"/>
        <v>0</v>
      </c>
      <c r="Q595" s="76">
        <f t="shared" si="228"/>
        <v>0.91666666666666663</v>
      </c>
      <c r="R595" s="76">
        <f t="shared" si="229"/>
        <v>8.333333333333337E-2</v>
      </c>
      <c r="S595" s="76">
        <f t="shared" si="230"/>
        <v>1.0630254019598515</v>
      </c>
      <c r="T595" s="76">
        <f t="shared" si="231"/>
        <v>0.98549138997240981</v>
      </c>
      <c r="U595" s="76">
        <f t="shared" si="232"/>
        <v>1.06</v>
      </c>
    </row>
    <row r="596" spans="1:21" x14ac:dyDescent="0.25">
      <c r="A596" s="71">
        <v>32</v>
      </c>
      <c r="B596" s="72">
        <f t="shared" si="233"/>
        <v>46600</v>
      </c>
      <c r="C596" s="73">
        <f t="shared" si="214"/>
        <v>46630</v>
      </c>
      <c r="D596" s="67">
        <f t="shared" si="215"/>
        <v>31</v>
      </c>
      <c r="E596" s="67">
        <f t="shared" si="216"/>
        <v>8</v>
      </c>
      <c r="F596" s="74">
        <f t="shared" si="217"/>
        <v>46615.5</v>
      </c>
      <c r="G596" s="67">
        <f t="shared" si="218"/>
        <v>24331</v>
      </c>
      <c r="H596" s="75">
        <f t="shared" si="219"/>
        <v>1</v>
      </c>
      <c r="I596" s="76">
        <f t="shared" si="220"/>
        <v>1.06</v>
      </c>
      <c r="J596" s="76">
        <f t="shared" si="221"/>
        <v>1.06</v>
      </c>
      <c r="K596" s="67">
        <f t="shared" si="222"/>
        <v>0</v>
      </c>
      <c r="L596" s="67">
        <f t="shared" si="223"/>
        <v>0</v>
      </c>
      <c r="M596" s="77">
        <f t="shared" si="224"/>
        <v>0</v>
      </c>
      <c r="N596" s="76">
        <f t="shared" si="225"/>
        <v>1.06</v>
      </c>
      <c r="O596" s="77">
        <f t="shared" si="226"/>
        <v>0.92398249452954051</v>
      </c>
      <c r="P596" s="76">
        <f t="shared" si="227"/>
        <v>0</v>
      </c>
      <c r="Q596" s="76">
        <f t="shared" si="228"/>
        <v>0.75</v>
      </c>
      <c r="R596" s="76">
        <f t="shared" si="229"/>
        <v>0.25</v>
      </c>
      <c r="S596" s="76">
        <f t="shared" si="230"/>
        <v>1.0645885263057751</v>
      </c>
      <c r="T596" s="76">
        <f t="shared" si="231"/>
        <v>0.98696603558177143</v>
      </c>
      <c r="U596" s="76">
        <f t="shared" si="232"/>
        <v>1.06</v>
      </c>
    </row>
    <row r="597" spans="1:21" x14ac:dyDescent="0.25">
      <c r="A597" s="71">
        <v>33</v>
      </c>
      <c r="B597" s="72">
        <f t="shared" si="233"/>
        <v>46631</v>
      </c>
      <c r="C597" s="73">
        <f t="shared" si="214"/>
        <v>46660</v>
      </c>
      <c r="D597" s="67">
        <f t="shared" si="215"/>
        <v>30</v>
      </c>
      <c r="E597" s="67">
        <f t="shared" si="216"/>
        <v>9</v>
      </c>
      <c r="F597" s="74">
        <f t="shared" si="217"/>
        <v>46646</v>
      </c>
      <c r="G597" s="67">
        <f t="shared" si="218"/>
        <v>24332</v>
      </c>
      <c r="H597" s="75">
        <f t="shared" si="219"/>
        <v>1</v>
      </c>
      <c r="I597" s="76">
        <f t="shared" si="220"/>
        <v>1.06</v>
      </c>
      <c r="J597" s="76">
        <f t="shared" si="221"/>
        <v>1.06</v>
      </c>
      <c r="K597" s="67">
        <f t="shared" si="222"/>
        <v>0</v>
      </c>
      <c r="L597" s="67">
        <f t="shared" si="223"/>
        <v>0</v>
      </c>
      <c r="M597" s="77">
        <f t="shared" si="224"/>
        <v>0</v>
      </c>
      <c r="N597" s="76">
        <f t="shared" si="225"/>
        <v>1.06</v>
      </c>
      <c r="O597" s="77">
        <f t="shared" si="226"/>
        <v>0.9253172866520788</v>
      </c>
      <c r="P597" s="76">
        <f t="shared" si="227"/>
        <v>0</v>
      </c>
      <c r="Q597" s="76">
        <f t="shared" si="228"/>
        <v>0.58333333333333337</v>
      </c>
      <c r="R597" s="76">
        <f t="shared" si="229"/>
        <v>0.41666666666666663</v>
      </c>
      <c r="S597" s="76">
        <f t="shared" si="230"/>
        <v>1.0661264389686995</v>
      </c>
      <c r="T597" s="76">
        <f t="shared" si="231"/>
        <v>0.98841689658453047</v>
      </c>
      <c r="U597" s="76">
        <f t="shared" si="232"/>
        <v>1.06</v>
      </c>
    </row>
    <row r="598" spans="1:21" x14ac:dyDescent="0.25">
      <c r="A598" s="71">
        <v>34</v>
      </c>
      <c r="B598" s="72">
        <f t="shared" si="233"/>
        <v>46661</v>
      </c>
      <c r="C598" s="73">
        <f t="shared" si="214"/>
        <v>46691</v>
      </c>
      <c r="D598" s="67">
        <f t="shared" si="215"/>
        <v>31</v>
      </c>
      <c r="E598" s="67">
        <f t="shared" si="216"/>
        <v>10</v>
      </c>
      <c r="F598" s="74">
        <f t="shared" si="217"/>
        <v>46676.5</v>
      </c>
      <c r="G598" s="67">
        <f t="shared" si="218"/>
        <v>24333</v>
      </c>
      <c r="H598" s="75">
        <f t="shared" si="219"/>
        <v>1</v>
      </c>
      <c r="I598" s="76">
        <f t="shared" si="220"/>
        <v>1.06</v>
      </c>
      <c r="J598" s="76">
        <f t="shared" si="221"/>
        <v>1.1024</v>
      </c>
      <c r="K598" s="67">
        <f t="shared" si="222"/>
        <v>1</v>
      </c>
      <c r="L598" s="67">
        <f t="shared" si="223"/>
        <v>31</v>
      </c>
      <c r="M598" s="77">
        <f t="shared" si="224"/>
        <v>1</v>
      </c>
      <c r="N598" s="76">
        <f t="shared" si="225"/>
        <v>1.1024</v>
      </c>
      <c r="O598" s="77">
        <f t="shared" si="226"/>
        <v>0.92665207877461708</v>
      </c>
      <c r="P598" s="76">
        <f t="shared" si="227"/>
        <v>0</v>
      </c>
      <c r="Q598" s="76">
        <f t="shared" si="228"/>
        <v>0.41666666666666669</v>
      </c>
      <c r="R598" s="76">
        <f t="shared" si="229"/>
        <v>0.58333333333333326</v>
      </c>
      <c r="S598" s="76">
        <f t="shared" si="230"/>
        <v>1.110370925696889</v>
      </c>
      <c r="T598" s="76">
        <f t="shared" si="231"/>
        <v>1.049259823042527</v>
      </c>
      <c r="U598" s="76">
        <f t="shared" si="232"/>
        <v>1.1024</v>
      </c>
    </row>
    <row r="599" spans="1:21" x14ac:dyDescent="0.25">
      <c r="A599" s="71">
        <v>35</v>
      </c>
      <c r="B599" s="72">
        <f t="shared" si="233"/>
        <v>46692</v>
      </c>
      <c r="C599" s="73">
        <f t="shared" si="214"/>
        <v>46721</v>
      </c>
      <c r="D599" s="67">
        <f t="shared" si="215"/>
        <v>30</v>
      </c>
      <c r="E599" s="67">
        <f t="shared" si="216"/>
        <v>11</v>
      </c>
      <c r="F599" s="74">
        <f t="shared" si="217"/>
        <v>46707</v>
      </c>
      <c r="G599" s="67">
        <f t="shared" si="218"/>
        <v>24334</v>
      </c>
      <c r="H599" s="75">
        <f t="shared" si="219"/>
        <v>1</v>
      </c>
      <c r="I599" s="76">
        <f t="shared" si="220"/>
        <v>1.1024</v>
      </c>
      <c r="J599" s="76">
        <f t="shared" si="221"/>
        <v>1.1024</v>
      </c>
      <c r="K599" s="67">
        <f t="shared" si="222"/>
        <v>0</v>
      </c>
      <c r="L599" s="67">
        <f t="shared" si="223"/>
        <v>0</v>
      </c>
      <c r="M599" s="77">
        <f t="shared" si="224"/>
        <v>0</v>
      </c>
      <c r="N599" s="76">
        <f t="shared" si="225"/>
        <v>1.1024</v>
      </c>
      <c r="O599" s="77">
        <f t="shared" si="226"/>
        <v>0.92798687089715537</v>
      </c>
      <c r="P599" s="76">
        <f t="shared" si="227"/>
        <v>0</v>
      </c>
      <c r="Q599" s="76">
        <f t="shared" si="228"/>
        <v>0.25</v>
      </c>
      <c r="R599" s="76">
        <f t="shared" si="229"/>
        <v>0.75</v>
      </c>
      <c r="S599" s="76">
        <f t="shared" si="230"/>
        <v>1.1119703548663304</v>
      </c>
      <c r="T599" s="76">
        <f t="shared" si="231"/>
        <v>1.0507977357054514</v>
      </c>
      <c r="U599" s="76">
        <f t="shared" si="232"/>
        <v>1.1024</v>
      </c>
    </row>
    <row r="600" spans="1:21" x14ac:dyDescent="0.25">
      <c r="A600" s="71">
        <v>36</v>
      </c>
      <c r="B600" s="72">
        <f t="shared" si="233"/>
        <v>46722</v>
      </c>
      <c r="C600" s="73">
        <f t="shared" si="214"/>
        <v>46752</v>
      </c>
      <c r="D600" s="67">
        <f t="shared" si="215"/>
        <v>31</v>
      </c>
      <c r="E600" s="67">
        <f t="shared" si="216"/>
        <v>12</v>
      </c>
      <c r="F600" s="74">
        <f t="shared" si="217"/>
        <v>46737.5</v>
      </c>
      <c r="G600" s="67">
        <f t="shared" si="218"/>
        <v>24335</v>
      </c>
      <c r="H600" s="75">
        <f t="shared" si="219"/>
        <v>1</v>
      </c>
      <c r="I600" s="76">
        <f t="shared" si="220"/>
        <v>1.1024</v>
      </c>
      <c r="J600" s="76">
        <f t="shared" si="221"/>
        <v>1.1024</v>
      </c>
      <c r="K600" s="67">
        <f t="shared" si="222"/>
        <v>0</v>
      </c>
      <c r="L600" s="67">
        <f t="shared" si="223"/>
        <v>0</v>
      </c>
      <c r="M600" s="77">
        <f t="shared" si="224"/>
        <v>0</v>
      </c>
      <c r="N600" s="76">
        <f t="shared" si="225"/>
        <v>1.1024</v>
      </c>
      <c r="O600" s="77">
        <f t="shared" si="226"/>
        <v>0.92932166301969366</v>
      </c>
      <c r="P600" s="76">
        <f t="shared" si="227"/>
        <v>0</v>
      </c>
      <c r="Q600" s="76">
        <f t="shared" si="228"/>
        <v>8.3333333333333329E-2</v>
      </c>
      <c r="R600" s="76">
        <f t="shared" si="229"/>
        <v>0.91666666666666663</v>
      </c>
      <c r="S600" s="76">
        <f t="shared" si="230"/>
        <v>1.1135697840357719</v>
      </c>
      <c r="T600" s="76">
        <f t="shared" si="231"/>
        <v>1.0523356483683761</v>
      </c>
      <c r="U600" s="76">
        <f t="shared" si="232"/>
        <v>1.1024</v>
      </c>
    </row>
    <row r="601" spans="1:21" x14ac:dyDescent="0.25">
      <c r="A601" s="71">
        <v>37</v>
      </c>
      <c r="B601" s="72">
        <f t="shared" si="233"/>
        <v>46753</v>
      </c>
      <c r="C601" s="73">
        <f t="shared" si="214"/>
        <v>46783</v>
      </c>
      <c r="D601" s="67">
        <f t="shared" si="215"/>
        <v>31</v>
      </c>
      <c r="E601" s="67">
        <f t="shared" si="216"/>
        <v>1</v>
      </c>
      <c r="F601" s="74">
        <f t="shared" si="217"/>
        <v>46768.5</v>
      </c>
      <c r="G601" s="67">
        <f t="shared" si="218"/>
        <v>24336</v>
      </c>
      <c r="H601" s="75">
        <f t="shared" si="219"/>
        <v>1</v>
      </c>
      <c r="I601" s="76">
        <f t="shared" si="220"/>
        <v>1.1024</v>
      </c>
      <c r="J601" s="76">
        <f t="shared" si="221"/>
        <v>1.1024</v>
      </c>
      <c r="K601" s="67">
        <f t="shared" si="222"/>
        <v>0</v>
      </c>
      <c r="L601" s="67">
        <f t="shared" si="223"/>
        <v>0</v>
      </c>
      <c r="M601" s="77">
        <f t="shared" si="224"/>
        <v>0</v>
      </c>
      <c r="N601" s="76">
        <f t="shared" si="225"/>
        <v>1.1024</v>
      </c>
      <c r="O601" s="77">
        <f t="shared" si="226"/>
        <v>0.93</v>
      </c>
      <c r="P601" s="76">
        <f t="shared" si="227"/>
        <v>0</v>
      </c>
      <c r="Q601" s="76">
        <f t="shared" si="228"/>
        <v>0</v>
      </c>
      <c r="R601" s="76">
        <f t="shared" si="229"/>
        <v>1</v>
      </c>
      <c r="S601" s="76">
        <f t="shared" si="230"/>
        <v>1.1143826086956523</v>
      </c>
      <c r="T601" s="76">
        <f t="shared" si="231"/>
        <v>0.97688136238226619</v>
      </c>
      <c r="U601" s="76">
        <f t="shared" si="232"/>
        <v>1.1024</v>
      </c>
    </row>
    <row r="602" spans="1:21" x14ac:dyDescent="0.25">
      <c r="A602" s="71">
        <v>38</v>
      </c>
      <c r="B602" s="72">
        <f t="shared" si="233"/>
        <v>46784</v>
      </c>
      <c r="C602" s="73">
        <f t="shared" si="214"/>
        <v>46812</v>
      </c>
      <c r="D602" s="67">
        <f t="shared" si="215"/>
        <v>29</v>
      </c>
      <c r="E602" s="67">
        <f t="shared" si="216"/>
        <v>2</v>
      </c>
      <c r="F602" s="74">
        <f t="shared" si="217"/>
        <v>46798.5</v>
      </c>
      <c r="G602" s="67">
        <f t="shared" si="218"/>
        <v>24337</v>
      </c>
      <c r="H602" s="75">
        <f t="shared" si="219"/>
        <v>1</v>
      </c>
      <c r="I602" s="76">
        <f t="shared" si="220"/>
        <v>1.1024</v>
      </c>
      <c r="J602" s="76">
        <f t="shared" si="221"/>
        <v>1.1024</v>
      </c>
      <c r="K602" s="67">
        <f t="shared" si="222"/>
        <v>0</v>
      </c>
      <c r="L602" s="67">
        <f t="shared" si="223"/>
        <v>0</v>
      </c>
      <c r="M602" s="77">
        <f t="shared" si="224"/>
        <v>0</v>
      </c>
      <c r="N602" s="76">
        <f t="shared" si="225"/>
        <v>1.1024</v>
      </c>
      <c r="O602" s="77">
        <f t="shared" si="226"/>
        <v>0.93</v>
      </c>
      <c r="P602" s="76">
        <f t="shared" si="227"/>
        <v>0</v>
      </c>
      <c r="Q602" s="76">
        <f t="shared" si="228"/>
        <v>0</v>
      </c>
      <c r="R602" s="76">
        <f t="shared" si="229"/>
        <v>1</v>
      </c>
      <c r="S602" s="76">
        <f t="shared" si="230"/>
        <v>1.1143826086956523</v>
      </c>
      <c r="T602" s="76">
        <f t="shared" si="231"/>
        <v>0.97828465417181998</v>
      </c>
      <c r="U602" s="76">
        <f t="shared" si="232"/>
        <v>1.1024</v>
      </c>
    </row>
    <row r="603" spans="1:21" x14ac:dyDescent="0.25">
      <c r="A603" s="71">
        <v>39</v>
      </c>
      <c r="B603" s="72">
        <f t="shared" si="233"/>
        <v>46813</v>
      </c>
      <c r="C603" s="73">
        <f t="shared" si="214"/>
        <v>46843</v>
      </c>
      <c r="D603" s="67">
        <f t="shared" si="215"/>
        <v>31</v>
      </c>
      <c r="E603" s="67">
        <f t="shared" si="216"/>
        <v>3</v>
      </c>
      <c r="F603" s="74">
        <f t="shared" si="217"/>
        <v>46828.5</v>
      </c>
      <c r="G603" s="67">
        <f t="shared" si="218"/>
        <v>24338</v>
      </c>
      <c r="H603" s="75">
        <f t="shared" si="219"/>
        <v>1</v>
      </c>
      <c r="I603" s="76">
        <f t="shared" si="220"/>
        <v>1.1024</v>
      </c>
      <c r="J603" s="76">
        <f t="shared" si="221"/>
        <v>1.1024</v>
      </c>
      <c r="K603" s="67">
        <f t="shared" si="222"/>
        <v>0</v>
      </c>
      <c r="L603" s="67">
        <f t="shared" si="223"/>
        <v>0</v>
      </c>
      <c r="M603" s="77">
        <f t="shared" si="224"/>
        <v>0</v>
      </c>
      <c r="N603" s="76">
        <f t="shared" si="225"/>
        <v>1.1024</v>
      </c>
      <c r="O603" s="77">
        <f t="shared" si="226"/>
        <v>0.93</v>
      </c>
      <c r="P603" s="76">
        <f t="shared" si="227"/>
        <v>0</v>
      </c>
      <c r="Q603" s="76">
        <f t="shared" si="228"/>
        <v>0</v>
      </c>
      <c r="R603" s="76">
        <f t="shared" si="229"/>
        <v>1</v>
      </c>
      <c r="S603" s="76">
        <f t="shared" si="230"/>
        <v>1.1143826086956523</v>
      </c>
      <c r="T603" s="76">
        <f t="shared" si="231"/>
        <v>0.97968794596137376</v>
      </c>
      <c r="U603" s="76">
        <f t="shared" si="232"/>
        <v>1.1024</v>
      </c>
    </row>
    <row r="604" spans="1:21" x14ac:dyDescent="0.25">
      <c r="A604" s="71">
        <v>40</v>
      </c>
      <c r="B604" s="72">
        <f t="shared" si="233"/>
        <v>46844</v>
      </c>
      <c r="C604" s="73">
        <f t="shared" si="214"/>
        <v>46873</v>
      </c>
      <c r="D604" s="67">
        <f t="shared" si="215"/>
        <v>30</v>
      </c>
      <c r="E604" s="67">
        <f t="shared" si="216"/>
        <v>4</v>
      </c>
      <c r="F604" s="74">
        <f t="shared" si="217"/>
        <v>46859</v>
      </c>
      <c r="G604" s="67">
        <f t="shared" si="218"/>
        <v>24339</v>
      </c>
      <c r="H604" s="75">
        <f t="shared" si="219"/>
        <v>1</v>
      </c>
      <c r="I604" s="76">
        <f t="shared" si="220"/>
        <v>1.1024</v>
      </c>
      <c r="J604" s="76">
        <f t="shared" si="221"/>
        <v>1.1024</v>
      </c>
      <c r="K604" s="67">
        <f t="shared" si="222"/>
        <v>0</v>
      </c>
      <c r="L604" s="67">
        <f t="shared" si="223"/>
        <v>0</v>
      </c>
      <c r="M604" s="77">
        <f t="shared" si="224"/>
        <v>0</v>
      </c>
      <c r="N604" s="76">
        <f t="shared" si="225"/>
        <v>1.1024</v>
      </c>
      <c r="O604" s="77">
        <f t="shared" si="226"/>
        <v>0.93</v>
      </c>
      <c r="P604" s="76">
        <f t="shared" si="227"/>
        <v>0</v>
      </c>
      <c r="Q604" s="76">
        <f t="shared" si="228"/>
        <v>0</v>
      </c>
      <c r="R604" s="76">
        <f t="shared" si="229"/>
        <v>1</v>
      </c>
      <c r="S604" s="76">
        <f t="shared" si="230"/>
        <v>1.1143826086956523</v>
      </c>
      <c r="T604" s="76">
        <f t="shared" si="231"/>
        <v>0.9811388069641328</v>
      </c>
      <c r="U604" s="76">
        <f t="shared" si="232"/>
        <v>1.1024</v>
      </c>
    </row>
    <row r="605" spans="1:21" x14ac:dyDescent="0.25">
      <c r="A605" s="71">
        <v>41</v>
      </c>
      <c r="B605" s="72">
        <f t="shared" si="233"/>
        <v>46874</v>
      </c>
      <c r="C605" s="73">
        <f t="shared" si="214"/>
        <v>46904</v>
      </c>
      <c r="D605" s="67">
        <f t="shared" si="215"/>
        <v>31</v>
      </c>
      <c r="E605" s="67">
        <f t="shared" si="216"/>
        <v>5</v>
      </c>
      <c r="F605" s="74">
        <f t="shared" si="217"/>
        <v>46889.5</v>
      </c>
      <c r="G605" s="67">
        <f t="shared" si="218"/>
        <v>24340</v>
      </c>
      <c r="H605" s="75">
        <f t="shared" si="219"/>
        <v>1</v>
      </c>
      <c r="I605" s="76">
        <f t="shared" si="220"/>
        <v>1.1024</v>
      </c>
      <c r="J605" s="76">
        <f t="shared" si="221"/>
        <v>1.1024</v>
      </c>
      <c r="K605" s="67">
        <f t="shared" si="222"/>
        <v>0</v>
      </c>
      <c r="L605" s="67">
        <f t="shared" si="223"/>
        <v>0</v>
      </c>
      <c r="M605" s="77">
        <f t="shared" si="224"/>
        <v>0</v>
      </c>
      <c r="N605" s="76">
        <f t="shared" si="225"/>
        <v>1.1024</v>
      </c>
      <c r="O605" s="77">
        <f t="shared" si="226"/>
        <v>0.93</v>
      </c>
      <c r="P605" s="76">
        <f t="shared" si="227"/>
        <v>0</v>
      </c>
      <c r="Q605" s="76">
        <f t="shared" si="228"/>
        <v>0</v>
      </c>
      <c r="R605" s="76">
        <f t="shared" si="229"/>
        <v>1</v>
      </c>
      <c r="S605" s="76">
        <f t="shared" si="230"/>
        <v>1.1143826086956523</v>
      </c>
      <c r="T605" s="76">
        <f t="shared" si="231"/>
        <v>0.98258966796689184</v>
      </c>
      <c r="U605" s="76">
        <f t="shared" si="232"/>
        <v>1.1024</v>
      </c>
    </row>
    <row r="606" spans="1:21" x14ac:dyDescent="0.25">
      <c r="A606" s="71">
        <v>42</v>
      </c>
      <c r="B606" s="72">
        <f t="shared" si="233"/>
        <v>46905</v>
      </c>
      <c r="C606" s="73">
        <f t="shared" si="214"/>
        <v>46934</v>
      </c>
      <c r="D606" s="67">
        <f t="shared" si="215"/>
        <v>30</v>
      </c>
      <c r="E606" s="67">
        <f t="shared" si="216"/>
        <v>6</v>
      </c>
      <c r="F606" s="74">
        <f t="shared" si="217"/>
        <v>46920</v>
      </c>
      <c r="G606" s="67">
        <f t="shared" si="218"/>
        <v>24341</v>
      </c>
      <c r="H606" s="75">
        <f t="shared" si="219"/>
        <v>1</v>
      </c>
      <c r="I606" s="76">
        <f t="shared" si="220"/>
        <v>1.1024</v>
      </c>
      <c r="J606" s="76">
        <f t="shared" si="221"/>
        <v>1.1024</v>
      </c>
      <c r="K606" s="67">
        <f t="shared" si="222"/>
        <v>0</v>
      </c>
      <c r="L606" s="67">
        <f t="shared" si="223"/>
        <v>0</v>
      </c>
      <c r="M606" s="77">
        <f t="shared" si="224"/>
        <v>0</v>
      </c>
      <c r="N606" s="76">
        <f t="shared" si="225"/>
        <v>1.1024</v>
      </c>
      <c r="O606" s="77">
        <f t="shared" si="226"/>
        <v>0.93</v>
      </c>
      <c r="P606" s="76">
        <f t="shared" si="227"/>
        <v>0</v>
      </c>
      <c r="Q606" s="76">
        <f t="shared" si="228"/>
        <v>0</v>
      </c>
      <c r="R606" s="76">
        <f t="shared" si="229"/>
        <v>1</v>
      </c>
      <c r="S606" s="76">
        <f t="shared" si="230"/>
        <v>1.1143826086956523</v>
      </c>
      <c r="T606" s="76">
        <f t="shared" si="231"/>
        <v>0.98404052896965077</v>
      </c>
      <c r="U606" s="76">
        <f t="shared" si="232"/>
        <v>1.1024</v>
      </c>
    </row>
    <row r="607" spans="1:21" x14ac:dyDescent="0.25">
      <c r="A607" s="71">
        <v>43</v>
      </c>
      <c r="B607" s="72">
        <f t="shared" si="233"/>
        <v>46935</v>
      </c>
      <c r="C607" s="73">
        <f t="shared" si="214"/>
        <v>46965</v>
      </c>
      <c r="D607" s="67">
        <f t="shared" si="215"/>
        <v>31</v>
      </c>
      <c r="E607" s="67">
        <f t="shared" si="216"/>
        <v>7</v>
      </c>
      <c r="F607" s="74">
        <f t="shared" si="217"/>
        <v>46950.5</v>
      </c>
      <c r="G607" s="67">
        <f t="shared" si="218"/>
        <v>24342</v>
      </c>
      <c r="H607" s="75">
        <f t="shared" si="219"/>
        <v>1</v>
      </c>
      <c r="I607" s="76">
        <f t="shared" si="220"/>
        <v>1.1024</v>
      </c>
      <c r="J607" s="76">
        <f t="shared" si="221"/>
        <v>1.1024</v>
      </c>
      <c r="K607" s="67">
        <f t="shared" si="222"/>
        <v>0</v>
      </c>
      <c r="L607" s="67">
        <f t="shared" si="223"/>
        <v>0</v>
      </c>
      <c r="M607" s="77">
        <f t="shared" si="224"/>
        <v>0</v>
      </c>
      <c r="N607" s="76">
        <f t="shared" si="225"/>
        <v>1.1024</v>
      </c>
      <c r="O607" s="77">
        <f t="shared" si="226"/>
        <v>0.93</v>
      </c>
      <c r="P607" s="76">
        <f t="shared" si="227"/>
        <v>0</v>
      </c>
      <c r="Q607" s="76">
        <f t="shared" si="228"/>
        <v>0</v>
      </c>
      <c r="R607" s="76">
        <f t="shared" si="229"/>
        <v>0.91666666666666663</v>
      </c>
      <c r="S607" s="76">
        <f t="shared" si="230"/>
        <v>1.1143826086956523</v>
      </c>
      <c r="T607" s="76">
        <f t="shared" si="231"/>
        <v>0.98549138997240981</v>
      </c>
      <c r="U607" s="76">
        <f t="shared" si="232"/>
        <v>1.1024</v>
      </c>
    </row>
    <row r="608" spans="1:21" x14ac:dyDescent="0.25">
      <c r="A608" s="71">
        <v>44</v>
      </c>
      <c r="B608" s="72">
        <f t="shared" si="233"/>
        <v>46966</v>
      </c>
      <c r="C608" s="73">
        <f t="shared" si="214"/>
        <v>46996</v>
      </c>
      <c r="D608" s="67">
        <f t="shared" si="215"/>
        <v>31</v>
      </c>
      <c r="E608" s="67">
        <f t="shared" si="216"/>
        <v>8</v>
      </c>
      <c r="F608" s="74">
        <f t="shared" si="217"/>
        <v>46981.5</v>
      </c>
      <c r="G608" s="67">
        <f t="shared" si="218"/>
        <v>24343</v>
      </c>
      <c r="H608" s="75">
        <f t="shared" si="219"/>
        <v>1</v>
      </c>
      <c r="I608" s="76">
        <f t="shared" si="220"/>
        <v>1.1024</v>
      </c>
      <c r="J608" s="76">
        <f t="shared" si="221"/>
        <v>1.1024</v>
      </c>
      <c r="K608" s="67">
        <f t="shared" si="222"/>
        <v>0</v>
      </c>
      <c r="L608" s="67">
        <f t="shared" si="223"/>
        <v>0</v>
      </c>
      <c r="M608" s="77">
        <f t="shared" si="224"/>
        <v>0</v>
      </c>
      <c r="N608" s="76">
        <f t="shared" si="225"/>
        <v>1.1024</v>
      </c>
      <c r="O608" s="77">
        <f t="shared" si="226"/>
        <v>0.93</v>
      </c>
      <c r="P608" s="76">
        <f t="shared" si="227"/>
        <v>0</v>
      </c>
      <c r="Q608" s="76">
        <f t="shared" si="228"/>
        <v>0</v>
      </c>
      <c r="R608" s="76">
        <f t="shared" si="229"/>
        <v>0.75</v>
      </c>
      <c r="S608" s="76">
        <f t="shared" si="230"/>
        <v>1.1143826086956523</v>
      </c>
      <c r="T608" s="76">
        <f t="shared" si="231"/>
        <v>0.98696603558177143</v>
      </c>
      <c r="U608" s="76">
        <f t="shared" si="232"/>
        <v>1.1024</v>
      </c>
    </row>
    <row r="609" spans="1:21" x14ac:dyDescent="0.25">
      <c r="A609" s="71">
        <v>45</v>
      </c>
      <c r="B609" s="72">
        <f t="shared" si="233"/>
        <v>46997</v>
      </c>
      <c r="C609" s="73">
        <f t="shared" si="214"/>
        <v>47026</v>
      </c>
      <c r="D609" s="67">
        <f t="shared" si="215"/>
        <v>30</v>
      </c>
      <c r="E609" s="67">
        <f t="shared" si="216"/>
        <v>9</v>
      </c>
      <c r="F609" s="74">
        <f t="shared" si="217"/>
        <v>47012</v>
      </c>
      <c r="G609" s="67">
        <f t="shared" si="218"/>
        <v>24344</v>
      </c>
      <c r="H609" s="75">
        <f t="shared" si="219"/>
        <v>1</v>
      </c>
      <c r="I609" s="76">
        <f t="shared" si="220"/>
        <v>1.1024</v>
      </c>
      <c r="J609" s="76">
        <f t="shared" si="221"/>
        <v>1.1024</v>
      </c>
      <c r="K609" s="67">
        <f t="shared" si="222"/>
        <v>0</v>
      </c>
      <c r="L609" s="67">
        <f t="shared" si="223"/>
        <v>0</v>
      </c>
      <c r="M609" s="77">
        <f t="shared" si="224"/>
        <v>0</v>
      </c>
      <c r="N609" s="76">
        <f t="shared" si="225"/>
        <v>1.1024</v>
      </c>
      <c r="O609" s="77">
        <f t="shared" si="226"/>
        <v>0.93</v>
      </c>
      <c r="P609" s="76">
        <f t="shared" si="227"/>
        <v>0</v>
      </c>
      <c r="Q609" s="76">
        <f t="shared" si="228"/>
        <v>0</v>
      </c>
      <c r="R609" s="76">
        <f t="shared" si="229"/>
        <v>0.58333333333333337</v>
      </c>
      <c r="S609" s="76">
        <f t="shared" si="230"/>
        <v>1.1143826086956523</v>
      </c>
      <c r="T609" s="76">
        <f t="shared" si="231"/>
        <v>0.98841689658453047</v>
      </c>
      <c r="U609" s="76">
        <f t="shared" si="232"/>
        <v>1.1024</v>
      </c>
    </row>
    <row r="610" spans="1:21" x14ac:dyDescent="0.25">
      <c r="A610" s="71">
        <v>46</v>
      </c>
      <c r="B610" s="72">
        <f t="shared" si="233"/>
        <v>47027</v>
      </c>
      <c r="C610" s="73">
        <f t="shared" si="214"/>
        <v>47057</v>
      </c>
      <c r="D610" s="67">
        <f t="shared" si="215"/>
        <v>31</v>
      </c>
      <c r="E610" s="67">
        <f t="shared" si="216"/>
        <v>10</v>
      </c>
      <c r="F610" s="74">
        <f t="shared" si="217"/>
        <v>47042.5</v>
      </c>
      <c r="G610" s="67">
        <f t="shared" si="218"/>
        <v>24345</v>
      </c>
      <c r="H610" s="75">
        <f t="shared" si="219"/>
        <v>1</v>
      </c>
      <c r="I610" s="76">
        <f t="shared" si="220"/>
        <v>1.1024</v>
      </c>
      <c r="J610" s="76">
        <f t="shared" si="221"/>
        <v>1.1024</v>
      </c>
      <c r="K610" s="67">
        <f t="shared" si="222"/>
        <v>0</v>
      </c>
      <c r="L610" s="67">
        <f t="shared" si="223"/>
        <v>0</v>
      </c>
      <c r="M610" s="77">
        <f t="shared" si="224"/>
        <v>0</v>
      </c>
      <c r="N610" s="76">
        <f t="shared" si="225"/>
        <v>1.1024</v>
      </c>
      <c r="O610" s="77">
        <f t="shared" si="226"/>
        <v>0.93</v>
      </c>
      <c r="P610" s="76">
        <f t="shared" si="227"/>
        <v>0</v>
      </c>
      <c r="Q610" s="76">
        <f t="shared" si="228"/>
        <v>0</v>
      </c>
      <c r="R610" s="76">
        <f t="shared" si="229"/>
        <v>0.41666666666666669</v>
      </c>
      <c r="S610" s="76">
        <f t="shared" si="230"/>
        <v>1.1143826086956523</v>
      </c>
      <c r="T610" s="76">
        <f t="shared" si="231"/>
        <v>1.049259823042527</v>
      </c>
      <c r="U610" s="76">
        <f t="shared" si="232"/>
        <v>1.1024</v>
      </c>
    </row>
    <row r="611" spans="1:21" x14ac:dyDescent="0.25">
      <c r="A611" s="71">
        <v>47</v>
      </c>
      <c r="B611" s="72">
        <f t="shared" si="233"/>
        <v>47058</v>
      </c>
      <c r="C611" s="73">
        <f t="shared" si="214"/>
        <v>47087</v>
      </c>
      <c r="D611" s="67">
        <f t="shared" si="215"/>
        <v>30</v>
      </c>
      <c r="E611" s="67">
        <f t="shared" si="216"/>
        <v>11</v>
      </c>
      <c r="F611" s="74">
        <f t="shared" si="217"/>
        <v>47073</v>
      </c>
      <c r="G611" s="67">
        <f t="shared" si="218"/>
        <v>24346</v>
      </c>
      <c r="H611" s="75">
        <f t="shared" si="219"/>
        <v>1</v>
      </c>
      <c r="I611" s="76">
        <f t="shared" si="220"/>
        <v>1.1024</v>
      </c>
      <c r="J611" s="76">
        <f t="shared" si="221"/>
        <v>1.1024</v>
      </c>
      <c r="K611" s="67">
        <f t="shared" si="222"/>
        <v>0</v>
      </c>
      <c r="L611" s="67">
        <f t="shared" si="223"/>
        <v>0</v>
      </c>
      <c r="M611" s="77">
        <f t="shared" si="224"/>
        <v>0</v>
      </c>
      <c r="N611" s="76">
        <f t="shared" si="225"/>
        <v>1.1024</v>
      </c>
      <c r="O611" s="77">
        <f t="shared" si="226"/>
        <v>0.93</v>
      </c>
      <c r="P611" s="76">
        <f t="shared" si="227"/>
        <v>0</v>
      </c>
      <c r="Q611" s="76">
        <f t="shared" si="228"/>
        <v>0</v>
      </c>
      <c r="R611" s="76">
        <f t="shared" si="229"/>
        <v>0.25</v>
      </c>
      <c r="S611" s="76">
        <f t="shared" si="230"/>
        <v>1.1143826086956523</v>
      </c>
      <c r="T611" s="76">
        <f t="shared" si="231"/>
        <v>1.0507977357054514</v>
      </c>
      <c r="U611" s="76">
        <f t="shared" si="232"/>
        <v>1.1024</v>
      </c>
    </row>
    <row r="612" spans="1:21" x14ac:dyDescent="0.25">
      <c r="A612" s="71">
        <v>48</v>
      </c>
      <c r="B612" s="72">
        <f t="shared" si="233"/>
        <v>47088</v>
      </c>
      <c r="C612" s="73">
        <f t="shared" si="214"/>
        <v>47118</v>
      </c>
      <c r="D612" s="67">
        <f t="shared" si="215"/>
        <v>31</v>
      </c>
      <c r="E612" s="67">
        <f t="shared" si="216"/>
        <v>12</v>
      </c>
      <c r="F612" s="74">
        <f t="shared" si="217"/>
        <v>47103.5</v>
      </c>
      <c r="G612" s="67">
        <f t="shared" si="218"/>
        <v>24347</v>
      </c>
      <c r="H612" s="75">
        <f t="shared" si="219"/>
        <v>1</v>
      </c>
      <c r="I612" s="76">
        <f t="shared" si="220"/>
        <v>1.1024</v>
      </c>
      <c r="J612" s="76">
        <f t="shared" si="221"/>
        <v>1.1024</v>
      </c>
      <c r="K612" s="67">
        <f t="shared" si="222"/>
        <v>0</v>
      </c>
      <c r="L612" s="67">
        <f t="shared" si="223"/>
        <v>0</v>
      </c>
      <c r="M612" s="77">
        <f t="shared" si="224"/>
        <v>0</v>
      </c>
      <c r="N612" s="76">
        <f t="shared" si="225"/>
        <v>1.1024</v>
      </c>
      <c r="O612" s="77">
        <f t="shared" si="226"/>
        <v>0.93</v>
      </c>
      <c r="P612" s="76">
        <f t="shared" si="227"/>
        <v>0</v>
      </c>
      <c r="Q612" s="76">
        <f t="shared" si="228"/>
        <v>0</v>
      </c>
      <c r="R612" s="76">
        <f t="shared" si="229"/>
        <v>8.3333333333333329E-2</v>
      </c>
      <c r="S612" s="76">
        <f t="shared" si="230"/>
        <v>1.1143826086956523</v>
      </c>
      <c r="T612" s="76">
        <f t="shared" si="231"/>
        <v>1.0523356483683761</v>
      </c>
      <c r="U612" s="76">
        <f t="shared" si="232"/>
        <v>1.1024</v>
      </c>
    </row>
    <row r="613" spans="1:21" x14ac:dyDescent="0.25">
      <c r="A613" s="81" t="s">
        <v>1187</v>
      </c>
      <c r="B613" s="53">
        <f>EXP(SUMPRODUCT((rl_key=$A$562)*(rl_cons="Y")*rl_ln1p))</f>
        <v>1.06</v>
      </c>
      <c r="C613" s="53">
        <f>SUMPRODUCT($H$565:$H$612,$P$565:$P$612,$U$565:$U$612)/SUMPRODUCT($H$565:$H$612,$P$565:$P$612)</f>
        <v>1.0037499999999999</v>
      </c>
      <c r="D613" s="53">
        <f>SUMPRODUCT($H$565:$H$612,$Q$565:$Q$612,$U$565:$U$612)/SUMPRODUCT($H$565:$H$612,$Q$565:$Q$612)</f>
        <v>1.0589000000000002</v>
      </c>
      <c r="E613" s="53">
        <f>SUMPRODUCT($H$565:$H$612,$R$565:$R$612,$U$565:$U$612)/SUMPRODUCT($H$565:$H$612,$R$565:$R$612)</f>
        <v>1.09975</v>
      </c>
      <c r="F613" s="172">
        <f>SUMPRODUCT($H$565:$H$612,$Q$565:$Q$612,$O$565:$O$612)/SUMPRODUCT($H$565:$H$612,$Q$565:$Q$612)</f>
        <v>0.91798504741064912</v>
      </c>
      <c r="G613" s="172">
        <f>SUMPRODUCT($H$565:$H$612,$R$565:$R$612,$O$565:$O$612)/SUMPRODUCT($H$565:$H$612,$R$565:$R$612)</f>
        <v>0.92932044736202268</v>
      </c>
    </row>
    <row r="616" spans="1:21" x14ac:dyDescent="0.25">
      <c r="A616" s="81" t="str">
        <f>INDEX(lr_key,11)</f>
        <v>BU-A|MD</v>
      </c>
      <c r="B616" s="81" t="str">
        <f>INDEX(lr_state,11)</f>
        <v>MD</v>
      </c>
      <c r="C616" s="55">
        <f>nr_TermMonths</f>
        <v>6</v>
      </c>
      <c r="D616" s="55">
        <f>IF(COUNTIF(se_state,$B616)=0,0,MATCH($B616,se_state,0))</f>
        <v>0</v>
      </c>
      <c r="E616" s="57">
        <f>IF($D616=0,0,INDEX(se_sum,$D616))</f>
        <v>0</v>
      </c>
      <c r="F616" s="172">
        <f>IF(N(INDEX(lr_mind,11))=0,1,INDEX(lr_mind,11))</f>
        <v>0.92</v>
      </c>
      <c r="G616" s="172">
        <f>IF(N(INDEX(lr_m0,11))=0,1,INDEX(lr_m0,11))</f>
        <v>0.91</v>
      </c>
      <c r="H616" s="54">
        <f>IF(N(INDEX(lr_m0asof,11))=0,DATE(nr_PlanYear-1,10,1),INDEX(lr_m0asof,11))</f>
        <v>46295</v>
      </c>
      <c r="I616" s="172">
        <f>IF(N(INDEX(lr_m1,11))=0,1,INDEX(lr_m1,11))</f>
        <v>0.91</v>
      </c>
      <c r="J616" s="172">
        <f>INDEX(lr_mprior,11)</f>
        <v>0</v>
      </c>
      <c r="K616" s="172">
        <f>INDEX(lr_m2,11)</f>
        <v>0</v>
      </c>
      <c r="L616" s="81" t="b">
        <f>NOT(ISBLANK(INDEX(lr_netp,11)))</f>
        <v>0</v>
      </c>
      <c r="M616" s="52">
        <f>N(INDEX(lr_netp,11))</f>
        <v>0</v>
      </c>
      <c r="N616" s="52">
        <f>IF(ISBLANK(INDEX(lr_netp1,11)),$M$616,N(INDEX(lr_netp1,11)))</f>
        <v>0</v>
      </c>
      <c r="O616" s="55">
        <f>IF(AND(nr_ModAdjMaster="ON",INDEX(lr_modadj,11)="ON"),1,0)</f>
        <v>1</v>
      </c>
    </row>
    <row r="617" spans="1:21" x14ac:dyDescent="0.25">
      <c r="A617" s="81">
        <f>EDATE($H$616,-12)+1</f>
        <v>45931</v>
      </c>
      <c r="B617" s="81">
        <f>$H$616+1</f>
        <v>46296</v>
      </c>
      <c r="C617" s="81">
        <f>DATE(nr_PlanYear,12,31)+1</f>
        <v>46753</v>
      </c>
      <c r="D617" s="81">
        <f>DATE(nr_PlanYear+1,12,31)+1</f>
        <v>47119</v>
      </c>
      <c r="E617" s="81">
        <f>IF(N($J$616)=0,$F$617-($G$617-$F$617)/($C$617-$B$617)*($B$617-$A$617),$J$616)</f>
        <v>0.91</v>
      </c>
      <c r="F617" s="81">
        <f>$G$616</f>
        <v>0.91</v>
      </c>
      <c r="G617" s="81">
        <f>$I$616</f>
        <v>0.91</v>
      </c>
      <c r="H617" s="81">
        <f>IF(N($K$616)=0,$I$616,$K$616)</f>
        <v>0.91</v>
      </c>
      <c r="I617" s="81">
        <f>($F$617-$E$617)/($B$617-$A$617)</f>
        <v>0</v>
      </c>
      <c r="J617" s="81">
        <f>($G$617-$F$617)/($C$617-$B$617)</f>
        <v>0</v>
      </c>
      <c r="K617" s="81">
        <f>($H$617-$G$617)/($D$617-$C$617)</f>
        <v>0</v>
      </c>
    </row>
    <row r="618" spans="1:21" ht="36" x14ac:dyDescent="0.25">
      <c r="A618" s="50" t="s">
        <v>211</v>
      </c>
      <c r="B618" s="50" t="s">
        <v>212</v>
      </c>
      <c r="C618" s="50" t="s">
        <v>213</v>
      </c>
      <c r="D618" s="50" t="s">
        <v>214</v>
      </c>
      <c r="E618" s="50" t="s">
        <v>215</v>
      </c>
      <c r="F618" s="50" t="s">
        <v>216</v>
      </c>
      <c r="G618" s="50" t="s">
        <v>217</v>
      </c>
      <c r="H618" s="50" t="s">
        <v>218</v>
      </c>
      <c r="I618" s="50" t="s">
        <v>219</v>
      </c>
      <c r="J618" s="50" t="s">
        <v>220</v>
      </c>
      <c r="K618" s="50" t="s">
        <v>221</v>
      </c>
      <c r="L618" s="50" t="s">
        <v>222</v>
      </c>
      <c r="M618" s="50" t="s">
        <v>223</v>
      </c>
      <c r="N618" s="50" t="s">
        <v>224</v>
      </c>
      <c r="O618" s="50" t="s">
        <v>225</v>
      </c>
      <c r="P618" s="50" t="s">
        <v>226</v>
      </c>
      <c r="Q618" s="50" t="s">
        <v>227</v>
      </c>
      <c r="R618" s="50" t="s">
        <v>228</v>
      </c>
      <c r="S618" s="50" t="s">
        <v>229</v>
      </c>
      <c r="T618" s="50" t="s">
        <v>230</v>
      </c>
      <c r="U618" s="50" t="s">
        <v>231</v>
      </c>
    </row>
    <row r="619" spans="1:21" x14ac:dyDescent="0.25">
      <c r="A619" s="71">
        <v>1</v>
      </c>
      <c r="B619" s="72">
        <f>DATE(nr_PlanYear-2,1,1)</f>
        <v>45658</v>
      </c>
      <c r="C619" s="73">
        <f t="shared" ref="C619:C666" si="234">EOMONTH($B619,0)</f>
        <v>45688</v>
      </c>
      <c r="D619" s="67">
        <f t="shared" ref="D619:D666" si="235">$C619-$B619+1</f>
        <v>31</v>
      </c>
      <c r="E619" s="67">
        <f t="shared" ref="E619:E666" si="236">MONTH($B619)</f>
        <v>1</v>
      </c>
      <c r="F619" s="74">
        <f t="shared" ref="F619:F666" si="237">($B619+$C619+1)/2</f>
        <v>45673.5</v>
      </c>
      <c r="G619" s="67">
        <f t="shared" ref="G619:G666" si="238">YEAR($B619)*12+MONTH($B619)-1</f>
        <v>24300</v>
      </c>
      <c r="H619" s="75">
        <f t="shared" ref="H619:H666" si="239">IF(OR(nr_SeasonOn="OFF",$D$616=0,$E$616=0),1,12*INDEX(se_block,$D$616,$E619)/$E$616)</f>
        <v>1</v>
      </c>
      <c r="I619" s="76">
        <f t="shared" ref="I619:I666" si="240">EXP(SUMPRODUCT((rl_eff&lt;$B619)*(rl_key=$A$616)*rl_ln1p))</f>
        <v>1</v>
      </c>
      <c r="J619" s="76">
        <f t="shared" ref="J619:J666" si="241">EXP(SUMPRODUCT((rl_eff&lt;=$C619)*(rl_key=$A$616)*rl_ln1p))</f>
        <v>1</v>
      </c>
      <c r="K619" s="67">
        <f t="shared" ref="K619:K666" si="242">COUNTIFS(rl_key,$A$616,rl_eff,"&gt;="&amp;$B619,rl_eff,"&lt;="&amp;$C619)</f>
        <v>0</v>
      </c>
      <c r="L619" s="67">
        <f t="shared" ref="L619:L666" si="243">SUMIFS(rl_daysafter,rl_key,$A$616,rl_effmonth,$B619,rl_first,1)</f>
        <v>0</v>
      </c>
      <c r="M619" s="77">
        <f t="shared" ref="M619:M666" si="244">IF($K619=0,0,MIN(1,$L619/$D619))</f>
        <v>0</v>
      </c>
      <c r="N619" s="76">
        <f t="shared" ref="N619:N666" si="245">IF($K619=0,$J619,(1-$M619)*$I619+$M619*$J619)</f>
        <v>1</v>
      </c>
      <c r="O619" s="77">
        <f t="shared" ref="O619:O666" si="246">IF($F619&lt;$B$617,$E$617+$I$617*($F619-$A$617),IF($F619&lt;$C$617,$F$617+$J$617*($F619-$B$617),$G$617+$K$617*($F619-$C$617)))</f>
        <v>0.91</v>
      </c>
      <c r="P619" s="76">
        <f t="shared" ref="P619:P666" si="247">MIN(1,MAX(0,(nr_MEndPm1-$G619+0.5)/$C$616))-MIN(1,MAX(0,(nr_MStartPm1-1-$G619+0.5)/$C$616))</f>
        <v>0</v>
      </c>
      <c r="Q619" s="76">
        <f t="shared" ref="Q619:Q666" si="248">MIN(1,MAX(0,(nr_MEndP-$G619+0.5)/$C$616))-MIN(1,MAX(0,(nr_MStartP-1-$G619+0.5)/$C$616))</f>
        <v>0</v>
      </c>
      <c r="R619" s="76">
        <f t="shared" ref="R619:R666" si="249">MIN(1,MAX(0,(nr_MEndP1-$G619+0.5)/$C$616))-MIN(1,MAX(0,(nr_MStartP1-1-$G619+0.5)/$C$616))</f>
        <v>0</v>
      </c>
      <c r="S619" s="76">
        <f t="shared" ref="S619:S666" si="250">$N619*IF($O$616=1,$O619/$F$616,1)</f>
        <v>0.98913043478260865</v>
      </c>
      <c r="T619" s="76">
        <f t="shared" ref="T619:T666" si="251">IF($G619&lt;nr_MStartP,$S619,$T607*(1+IF($G619&lt;nr_MStartP1,$M$616,$N$616)))</f>
        <v>0.98913043478260865</v>
      </c>
      <c r="U619" s="76">
        <f t="shared" ref="U619:U666" si="252">IF($L$616,$T619,$N619)</f>
        <v>1</v>
      </c>
    </row>
    <row r="620" spans="1:21" x14ac:dyDescent="0.25">
      <c r="A620" s="71">
        <v>2</v>
      </c>
      <c r="B620" s="72">
        <f t="shared" ref="B620:B666" si="253">EDATE($B619,1)</f>
        <v>45689</v>
      </c>
      <c r="C620" s="73">
        <f t="shared" si="234"/>
        <v>45716</v>
      </c>
      <c r="D620" s="67">
        <f t="shared" si="235"/>
        <v>28</v>
      </c>
      <c r="E620" s="67">
        <f t="shared" si="236"/>
        <v>2</v>
      </c>
      <c r="F620" s="74">
        <f t="shared" si="237"/>
        <v>45703</v>
      </c>
      <c r="G620" s="67">
        <f t="shared" si="238"/>
        <v>24301</v>
      </c>
      <c r="H620" s="75">
        <f t="shared" si="239"/>
        <v>1</v>
      </c>
      <c r="I620" s="76">
        <f t="shared" si="240"/>
        <v>1</v>
      </c>
      <c r="J620" s="76">
        <f t="shared" si="241"/>
        <v>1</v>
      </c>
      <c r="K620" s="67">
        <f t="shared" si="242"/>
        <v>0</v>
      </c>
      <c r="L620" s="67">
        <f t="shared" si="243"/>
        <v>0</v>
      </c>
      <c r="M620" s="77">
        <f t="shared" si="244"/>
        <v>0</v>
      </c>
      <c r="N620" s="76">
        <f t="shared" si="245"/>
        <v>1</v>
      </c>
      <c r="O620" s="77">
        <f t="shared" si="246"/>
        <v>0.91</v>
      </c>
      <c r="P620" s="76">
        <f t="shared" si="247"/>
        <v>0</v>
      </c>
      <c r="Q620" s="76">
        <f t="shared" si="248"/>
        <v>0</v>
      </c>
      <c r="R620" s="76">
        <f t="shared" si="249"/>
        <v>0</v>
      </c>
      <c r="S620" s="76">
        <f t="shared" si="250"/>
        <v>0.98913043478260865</v>
      </c>
      <c r="T620" s="76">
        <f t="shared" si="251"/>
        <v>0.98913043478260865</v>
      </c>
      <c r="U620" s="76">
        <f t="shared" si="252"/>
        <v>1</v>
      </c>
    </row>
    <row r="621" spans="1:21" x14ac:dyDescent="0.25">
      <c r="A621" s="71">
        <v>3</v>
      </c>
      <c r="B621" s="72">
        <f t="shared" si="253"/>
        <v>45717</v>
      </c>
      <c r="C621" s="73">
        <f t="shared" si="234"/>
        <v>45747</v>
      </c>
      <c r="D621" s="67">
        <f t="shared" si="235"/>
        <v>31</v>
      </c>
      <c r="E621" s="67">
        <f t="shared" si="236"/>
        <v>3</v>
      </c>
      <c r="F621" s="74">
        <f t="shared" si="237"/>
        <v>45732.5</v>
      </c>
      <c r="G621" s="67">
        <f t="shared" si="238"/>
        <v>24302</v>
      </c>
      <c r="H621" s="75">
        <f t="shared" si="239"/>
        <v>1</v>
      </c>
      <c r="I621" s="76">
        <f t="shared" si="240"/>
        <v>1</v>
      </c>
      <c r="J621" s="76">
        <f t="shared" si="241"/>
        <v>1</v>
      </c>
      <c r="K621" s="67">
        <f t="shared" si="242"/>
        <v>0</v>
      </c>
      <c r="L621" s="67">
        <f t="shared" si="243"/>
        <v>0</v>
      </c>
      <c r="M621" s="77">
        <f t="shared" si="244"/>
        <v>0</v>
      </c>
      <c r="N621" s="76">
        <f t="shared" si="245"/>
        <v>1</v>
      </c>
      <c r="O621" s="77">
        <f t="shared" si="246"/>
        <v>0.91</v>
      </c>
      <c r="P621" s="76">
        <f t="shared" si="247"/>
        <v>0</v>
      </c>
      <c r="Q621" s="76">
        <f t="shared" si="248"/>
        <v>0</v>
      </c>
      <c r="R621" s="76">
        <f t="shared" si="249"/>
        <v>0</v>
      </c>
      <c r="S621" s="76">
        <f t="shared" si="250"/>
        <v>0.98913043478260865</v>
      </c>
      <c r="T621" s="76">
        <f t="shared" si="251"/>
        <v>0.98913043478260865</v>
      </c>
      <c r="U621" s="76">
        <f t="shared" si="252"/>
        <v>1</v>
      </c>
    </row>
    <row r="622" spans="1:21" x14ac:dyDescent="0.25">
      <c r="A622" s="71">
        <v>4</v>
      </c>
      <c r="B622" s="72">
        <f t="shared" si="253"/>
        <v>45748</v>
      </c>
      <c r="C622" s="73">
        <f t="shared" si="234"/>
        <v>45777</v>
      </c>
      <c r="D622" s="67">
        <f t="shared" si="235"/>
        <v>30</v>
      </c>
      <c r="E622" s="67">
        <f t="shared" si="236"/>
        <v>4</v>
      </c>
      <c r="F622" s="74">
        <f t="shared" si="237"/>
        <v>45763</v>
      </c>
      <c r="G622" s="67">
        <f t="shared" si="238"/>
        <v>24303</v>
      </c>
      <c r="H622" s="75">
        <f t="shared" si="239"/>
        <v>1</v>
      </c>
      <c r="I622" s="76">
        <f t="shared" si="240"/>
        <v>1</v>
      </c>
      <c r="J622" s="76">
        <f t="shared" si="241"/>
        <v>1</v>
      </c>
      <c r="K622" s="67">
        <f t="shared" si="242"/>
        <v>0</v>
      </c>
      <c r="L622" s="67">
        <f t="shared" si="243"/>
        <v>0</v>
      </c>
      <c r="M622" s="77">
        <f t="shared" si="244"/>
        <v>0</v>
      </c>
      <c r="N622" s="76">
        <f t="shared" si="245"/>
        <v>1</v>
      </c>
      <c r="O622" s="77">
        <f t="shared" si="246"/>
        <v>0.91</v>
      </c>
      <c r="P622" s="76">
        <f t="shared" si="247"/>
        <v>0</v>
      </c>
      <c r="Q622" s="76">
        <f t="shared" si="248"/>
        <v>0</v>
      </c>
      <c r="R622" s="76">
        <f t="shared" si="249"/>
        <v>0</v>
      </c>
      <c r="S622" s="76">
        <f t="shared" si="250"/>
        <v>0.98913043478260865</v>
      </c>
      <c r="T622" s="76">
        <f t="shared" si="251"/>
        <v>0.98913043478260865</v>
      </c>
      <c r="U622" s="76">
        <f t="shared" si="252"/>
        <v>1</v>
      </c>
    </row>
    <row r="623" spans="1:21" x14ac:dyDescent="0.25">
      <c r="A623" s="71">
        <v>5</v>
      </c>
      <c r="B623" s="72">
        <f t="shared" si="253"/>
        <v>45778</v>
      </c>
      <c r="C623" s="73">
        <f t="shared" si="234"/>
        <v>45808</v>
      </c>
      <c r="D623" s="67">
        <f t="shared" si="235"/>
        <v>31</v>
      </c>
      <c r="E623" s="67">
        <f t="shared" si="236"/>
        <v>5</v>
      </c>
      <c r="F623" s="74">
        <f t="shared" si="237"/>
        <v>45793.5</v>
      </c>
      <c r="G623" s="67">
        <f t="shared" si="238"/>
        <v>24304</v>
      </c>
      <c r="H623" s="75">
        <f t="shared" si="239"/>
        <v>1</v>
      </c>
      <c r="I623" s="76">
        <f t="shared" si="240"/>
        <v>1</v>
      </c>
      <c r="J623" s="76">
        <f t="shared" si="241"/>
        <v>1</v>
      </c>
      <c r="K623" s="67">
        <f t="shared" si="242"/>
        <v>0</v>
      </c>
      <c r="L623" s="67">
        <f t="shared" si="243"/>
        <v>0</v>
      </c>
      <c r="M623" s="77">
        <f t="shared" si="244"/>
        <v>0</v>
      </c>
      <c r="N623" s="76">
        <f t="shared" si="245"/>
        <v>1</v>
      </c>
      <c r="O623" s="77">
        <f t="shared" si="246"/>
        <v>0.91</v>
      </c>
      <c r="P623" s="76">
        <f t="shared" si="247"/>
        <v>0</v>
      </c>
      <c r="Q623" s="76">
        <f t="shared" si="248"/>
        <v>0</v>
      </c>
      <c r="R623" s="76">
        <f t="shared" si="249"/>
        <v>0</v>
      </c>
      <c r="S623" s="76">
        <f t="shared" si="250"/>
        <v>0.98913043478260865</v>
      </c>
      <c r="T623" s="76">
        <f t="shared" si="251"/>
        <v>0.98913043478260865</v>
      </c>
      <c r="U623" s="76">
        <f t="shared" si="252"/>
        <v>1</v>
      </c>
    </row>
    <row r="624" spans="1:21" x14ac:dyDescent="0.25">
      <c r="A624" s="71">
        <v>6</v>
      </c>
      <c r="B624" s="72">
        <f t="shared" si="253"/>
        <v>45809</v>
      </c>
      <c r="C624" s="73">
        <f t="shared" si="234"/>
        <v>45838</v>
      </c>
      <c r="D624" s="67">
        <f t="shared" si="235"/>
        <v>30</v>
      </c>
      <c r="E624" s="67">
        <f t="shared" si="236"/>
        <v>6</v>
      </c>
      <c r="F624" s="74">
        <f t="shared" si="237"/>
        <v>45824</v>
      </c>
      <c r="G624" s="67">
        <f t="shared" si="238"/>
        <v>24305</v>
      </c>
      <c r="H624" s="75">
        <f t="shared" si="239"/>
        <v>1</v>
      </c>
      <c r="I624" s="76">
        <f t="shared" si="240"/>
        <v>1</v>
      </c>
      <c r="J624" s="76">
        <f t="shared" si="241"/>
        <v>1</v>
      </c>
      <c r="K624" s="67">
        <f t="shared" si="242"/>
        <v>0</v>
      </c>
      <c r="L624" s="67">
        <f t="shared" si="243"/>
        <v>0</v>
      </c>
      <c r="M624" s="77">
        <f t="shared" si="244"/>
        <v>0</v>
      </c>
      <c r="N624" s="76">
        <f t="shared" si="245"/>
        <v>1</v>
      </c>
      <c r="O624" s="77">
        <f t="shared" si="246"/>
        <v>0.91</v>
      </c>
      <c r="P624" s="76">
        <f t="shared" si="247"/>
        <v>0</v>
      </c>
      <c r="Q624" s="76">
        <f t="shared" si="248"/>
        <v>0</v>
      </c>
      <c r="R624" s="76">
        <f t="shared" si="249"/>
        <v>0</v>
      </c>
      <c r="S624" s="76">
        <f t="shared" si="250"/>
        <v>0.98913043478260865</v>
      </c>
      <c r="T624" s="76">
        <f t="shared" si="251"/>
        <v>0.98913043478260865</v>
      </c>
      <c r="U624" s="76">
        <f t="shared" si="252"/>
        <v>1</v>
      </c>
    </row>
    <row r="625" spans="1:21" x14ac:dyDescent="0.25">
      <c r="A625" s="71">
        <v>7</v>
      </c>
      <c r="B625" s="72">
        <f t="shared" si="253"/>
        <v>45839</v>
      </c>
      <c r="C625" s="73">
        <f t="shared" si="234"/>
        <v>45869</v>
      </c>
      <c r="D625" s="67">
        <f t="shared" si="235"/>
        <v>31</v>
      </c>
      <c r="E625" s="67">
        <f t="shared" si="236"/>
        <v>7</v>
      </c>
      <c r="F625" s="74">
        <f t="shared" si="237"/>
        <v>45854.5</v>
      </c>
      <c r="G625" s="67">
        <f t="shared" si="238"/>
        <v>24306</v>
      </c>
      <c r="H625" s="75">
        <f t="shared" si="239"/>
        <v>1</v>
      </c>
      <c r="I625" s="76">
        <f t="shared" si="240"/>
        <v>1</v>
      </c>
      <c r="J625" s="76">
        <f t="shared" si="241"/>
        <v>1</v>
      </c>
      <c r="K625" s="67">
        <f t="shared" si="242"/>
        <v>0</v>
      </c>
      <c r="L625" s="67">
        <f t="shared" si="243"/>
        <v>0</v>
      </c>
      <c r="M625" s="77">
        <f t="shared" si="244"/>
        <v>0</v>
      </c>
      <c r="N625" s="76">
        <f t="shared" si="245"/>
        <v>1</v>
      </c>
      <c r="O625" s="77">
        <f t="shared" si="246"/>
        <v>0.91</v>
      </c>
      <c r="P625" s="76">
        <f t="shared" si="247"/>
        <v>8.333333333333337E-2</v>
      </c>
      <c r="Q625" s="76">
        <f t="shared" si="248"/>
        <v>0</v>
      </c>
      <c r="R625" s="76">
        <f t="shared" si="249"/>
        <v>0</v>
      </c>
      <c r="S625" s="76">
        <f t="shared" si="250"/>
        <v>0.98913043478260865</v>
      </c>
      <c r="T625" s="76">
        <f t="shared" si="251"/>
        <v>0.98913043478260865</v>
      </c>
      <c r="U625" s="76">
        <f t="shared" si="252"/>
        <v>1</v>
      </c>
    </row>
    <row r="626" spans="1:21" x14ac:dyDescent="0.25">
      <c r="A626" s="71">
        <v>8</v>
      </c>
      <c r="B626" s="72">
        <f t="shared" si="253"/>
        <v>45870</v>
      </c>
      <c r="C626" s="73">
        <f t="shared" si="234"/>
        <v>45900</v>
      </c>
      <c r="D626" s="67">
        <f t="shared" si="235"/>
        <v>31</v>
      </c>
      <c r="E626" s="67">
        <f t="shared" si="236"/>
        <v>8</v>
      </c>
      <c r="F626" s="74">
        <f t="shared" si="237"/>
        <v>45885.5</v>
      </c>
      <c r="G626" s="67">
        <f t="shared" si="238"/>
        <v>24307</v>
      </c>
      <c r="H626" s="75">
        <f t="shared" si="239"/>
        <v>1</v>
      </c>
      <c r="I626" s="76">
        <f t="shared" si="240"/>
        <v>1</v>
      </c>
      <c r="J626" s="76">
        <f t="shared" si="241"/>
        <v>1</v>
      </c>
      <c r="K626" s="67">
        <f t="shared" si="242"/>
        <v>0</v>
      </c>
      <c r="L626" s="67">
        <f t="shared" si="243"/>
        <v>0</v>
      </c>
      <c r="M626" s="77">
        <f t="shared" si="244"/>
        <v>0</v>
      </c>
      <c r="N626" s="76">
        <f t="shared" si="245"/>
        <v>1</v>
      </c>
      <c r="O626" s="77">
        <f t="shared" si="246"/>
        <v>0.91</v>
      </c>
      <c r="P626" s="76">
        <f t="shared" si="247"/>
        <v>0.25</v>
      </c>
      <c r="Q626" s="76">
        <f t="shared" si="248"/>
        <v>0</v>
      </c>
      <c r="R626" s="76">
        <f t="shared" si="249"/>
        <v>0</v>
      </c>
      <c r="S626" s="76">
        <f t="shared" si="250"/>
        <v>0.98913043478260865</v>
      </c>
      <c r="T626" s="76">
        <f t="shared" si="251"/>
        <v>0.98913043478260865</v>
      </c>
      <c r="U626" s="76">
        <f t="shared" si="252"/>
        <v>1</v>
      </c>
    </row>
    <row r="627" spans="1:21" x14ac:dyDescent="0.25">
      <c r="A627" s="71">
        <v>9</v>
      </c>
      <c r="B627" s="72">
        <f t="shared" si="253"/>
        <v>45901</v>
      </c>
      <c r="C627" s="73">
        <f t="shared" si="234"/>
        <v>45930</v>
      </c>
      <c r="D627" s="67">
        <f t="shared" si="235"/>
        <v>30</v>
      </c>
      <c r="E627" s="67">
        <f t="shared" si="236"/>
        <v>9</v>
      </c>
      <c r="F627" s="74">
        <f t="shared" si="237"/>
        <v>45916</v>
      </c>
      <c r="G627" s="67">
        <f t="shared" si="238"/>
        <v>24308</v>
      </c>
      <c r="H627" s="75">
        <f t="shared" si="239"/>
        <v>1</v>
      </c>
      <c r="I627" s="76">
        <f t="shared" si="240"/>
        <v>1</v>
      </c>
      <c r="J627" s="76">
        <f t="shared" si="241"/>
        <v>1</v>
      </c>
      <c r="K627" s="67">
        <f t="shared" si="242"/>
        <v>0</v>
      </c>
      <c r="L627" s="67">
        <f t="shared" si="243"/>
        <v>0</v>
      </c>
      <c r="M627" s="77">
        <f t="shared" si="244"/>
        <v>0</v>
      </c>
      <c r="N627" s="76">
        <f t="shared" si="245"/>
        <v>1</v>
      </c>
      <c r="O627" s="77">
        <f t="shared" si="246"/>
        <v>0.91</v>
      </c>
      <c r="P627" s="76">
        <f t="shared" si="247"/>
        <v>0.41666666666666663</v>
      </c>
      <c r="Q627" s="76">
        <f t="shared" si="248"/>
        <v>0</v>
      </c>
      <c r="R627" s="76">
        <f t="shared" si="249"/>
        <v>0</v>
      </c>
      <c r="S627" s="76">
        <f t="shared" si="250"/>
        <v>0.98913043478260865</v>
      </c>
      <c r="T627" s="76">
        <f t="shared" si="251"/>
        <v>0.98913043478260865</v>
      </c>
      <c r="U627" s="76">
        <f t="shared" si="252"/>
        <v>1</v>
      </c>
    </row>
    <row r="628" spans="1:21" x14ac:dyDescent="0.25">
      <c r="A628" s="71">
        <v>10</v>
      </c>
      <c r="B628" s="72">
        <f t="shared" si="253"/>
        <v>45931</v>
      </c>
      <c r="C628" s="73">
        <f t="shared" si="234"/>
        <v>45961</v>
      </c>
      <c r="D628" s="67">
        <f t="shared" si="235"/>
        <v>31</v>
      </c>
      <c r="E628" s="67">
        <f t="shared" si="236"/>
        <v>10</v>
      </c>
      <c r="F628" s="74">
        <f t="shared" si="237"/>
        <v>45946.5</v>
      </c>
      <c r="G628" s="67">
        <f t="shared" si="238"/>
        <v>24309</v>
      </c>
      <c r="H628" s="75">
        <f t="shared" si="239"/>
        <v>1</v>
      </c>
      <c r="I628" s="76">
        <f t="shared" si="240"/>
        <v>1</v>
      </c>
      <c r="J628" s="76">
        <f t="shared" si="241"/>
        <v>1</v>
      </c>
      <c r="K628" s="67">
        <f t="shared" si="242"/>
        <v>0</v>
      </c>
      <c r="L628" s="67">
        <f t="shared" si="243"/>
        <v>0</v>
      </c>
      <c r="M628" s="77">
        <f t="shared" si="244"/>
        <v>0</v>
      </c>
      <c r="N628" s="76">
        <f t="shared" si="245"/>
        <v>1</v>
      </c>
      <c r="O628" s="77">
        <f t="shared" si="246"/>
        <v>0.91</v>
      </c>
      <c r="P628" s="76">
        <f t="shared" si="247"/>
        <v>0.58333333333333326</v>
      </c>
      <c r="Q628" s="76">
        <f t="shared" si="248"/>
        <v>0</v>
      </c>
      <c r="R628" s="76">
        <f t="shared" si="249"/>
        <v>0</v>
      </c>
      <c r="S628" s="76">
        <f t="shared" si="250"/>
        <v>0.98913043478260865</v>
      </c>
      <c r="T628" s="76">
        <f t="shared" si="251"/>
        <v>0.98913043478260865</v>
      </c>
      <c r="U628" s="76">
        <f t="shared" si="252"/>
        <v>1</v>
      </c>
    </row>
    <row r="629" spans="1:21" x14ac:dyDescent="0.25">
      <c r="A629" s="71">
        <v>11</v>
      </c>
      <c r="B629" s="72">
        <f t="shared" si="253"/>
        <v>45962</v>
      </c>
      <c r="C629" s="73">
        <f t="shared" si="234"/>
        <v>45991</v>
      </c>
      <c r="D629" s="67">
        <f t="shared" si="235"/>
        <v>30</v>
      </c>
      <c r="E629" s="67">
        <f t="shared" si="236"/>
        <v>11</v>
      </c>
      <c r="F629" s="74">
        <f t="shared" si="237"/>
        <v>45977</v>
      </c>
      <c r="G629" s="67">
        <f t="shared" si="238"/>
        <v>24310</v>
      </c>
      <c r="H629" s="75">
        <f t="shared" si="239"/>
        <v>1</v>
      </c>
      <c r="I629" s="76">
        <f t="shared" si="240"/>
        <v>1</v>
      </c>
      <c r="J629" s="76">
        <f t="shared" si="241"/>
        <v>1</v>
      </c>
      <c r="K629" s="67">
        <f t="shared" si="242"/>
        <v>0</v>
      </c>
      <c r="L629" s="67">
        <f t="shared" si="243"/>
        <v>0</v>
      </c>
      <c r="M629" s="77">
        <f t="shared" si="244"/>
        <v>0</v>
      </c>
      <c r="N629" s="76">
        <f t="shared" si="245"/>
        <v>1</v>
      </c>
      <c r="O629" s="77">
        <f t="shared" si="246"/>
        <v>0.91</v>
      </c>
      <c r="P629" s="76">
        <f t="shared" si="247"/>
        <v>0.75</v>
      </c>
      <c r="Q629" s="76">
        <f t="shared" si="248"/>
        <v>0</v>
      </c>
      <c r="R629" s="76">
        <f t="shared" si="249"/>
        <v>0</v>
      </c>
      <c r="S629" s="76">
        <f t="shared" si="250"/>
        <v>0.98913043478260865</v>
      </c>
      <c r="T629" s="76">
        <f t="shared" si="251"/>
        <v>0.98913043478260865</v>
      </c>
      <c r="U629" s="76">
        <f t="shared" si="252"/>
        <v>1</v>
      </c>
    </row>
    <row r="630" spans="1:21" x14ac:dyDescent="0.25">
      <c r="A630" s="71">
        <v>12</v>
      </c>
      <c r="B630" s="72">
        <f t="shared" si="253"/>
        <v>45992</v>
      </c>
      <c r="C630" s="73">
        <f t="shared" si="234"/>
        <v>46022</v>
      </c>
      <c r="D630" s="67">
        <f t="shared" si="235"/>
        <v>31</v>
      </c>
      <c r="E630" s="67">
        <f t="shared" si="236"/>
        <v>12</v>
      </c>
      <c r="F630" s="74">
        <f t="shared" si="237"/>
        <v>46007.5</v>
      </c>
      <c r="G630" s="67">
        <f t="shared" si="238"/>
        <v>24311</v>
      </c>
      <c r="H630" s="75">
        <f t="shared" si="239"/>
        <v>1</v>
      </c>
      <c r="I630" s="76">
        <f t="shared" si="240"/>
        <v>1</v>
      </c>
      <c r="J630" s="76">
        <f t="shared" si="241"/>
        <v>1</v>
      </c>
      <c r="K630" s="67">
        <f t="shared" si="242"/>
        <v>0</v>
      </c>
      <c r="L630" s="67">
        <f t="shared" si="243"/>
        <v>0</v>
      </c>
      <c r="M630" s="77">
        <f t="shared" si="244"/>
        <v>0</v>
      </c>
      <c r="N630" s="76">
        <f t="shared" si="245"/>
        <v>1</v>
      </c>
      <c r="O630" s="77">
        <f t="shared" si="246"/>
        <v>0.91</v>
      </c>
      <c r="P630" s="76">
        <f t="shared" si="247"/>
        <v>0.91666666666666663</v>
      </c>
      <c r="Q630" s="76">
        <f t="shared" si="248"/>
        <v>0</v>
      </c>
      <c r="R630" s="76">
        <f t="shared" si="249"/>
        <v>0</v>
      </c>
      <c r="S630" s="76">
        <f t="shared" si="250"/>
        <v>0.98913043478260865</v>
      </c>
      <c r="T630" s="76">
        <f t="shared" si="251"/>
        <v>0.98913043478260865</v>
      </c>
      <c r="U630" s="76">
        <f t="shared" si="252"/>
        <v>1</v>
      </c>
    </row>
    <row r="631" spans="1:21" x14ac:dyDescent="0.25">
      <c r="A631" s="71">
        <v>13</v>
      </c>
      <c r="B631" s="72">
        <f t="shared" si="253"/>
        <v>46023</v>
      </c>
      <c r="C631" s="73">
        <f t="shared" si="234"/>
        <v>46053</v>
      </c>
      <c r="D631" s="67">
        <f t="shared" si="235"/>
        <v>31</v>
      </c>
      <c r="E631" s="67">
        <f t="shared" si="236"/>
        <v>1</v>
      </c>
      <c r="F631" s="74">
        <f t="shared" si="237"/>
        <v>46038.5</v>
      </c>
      <c r="G631" s="67">
        <f t="shared" si="238"/>
        <v>24312</v>
      </c>
      <c r="H631" s="75">
        <f t="shared" si="239"/>
        <v>1</v>
      </c>
      <c r="I631" s="76">
        <f t="shared" si="240"/>
        <v>1</v>
      </c>
      <c r="J631" s="76">
        <f t="shared" si="241"/>
        <v>1</v>
      </c>
      <c r="K631" s="67">
        <f t="shared" si="242"/>
        <v>0</v>
      </c>
      <c r="L631" s="67">
        <f t="shared" si="243"/>
        <v>0</v>
      </c>
      <c r="M631" s="77">
        <f t="shared" si="244"/>
        <v>0</v>
      </c>
      <c r="N631" s="76">
        <f t="shared" si="245"/>
        <v>1</v>
      </c>
      <c r="O631" s="77">
        <f t="shared" si="246"/>
        <v>0.91</v>
      </c>
      <c r="P631" s="76">
        <f t="shared" si="247"/>
        <v>1</v>
      </c>
      <c r="Q631" s="76">
        <f t="shared" si="248"/>
        <v>0</v>
      </c>
      <c r="R631" s="76">
        <f t="shared" si="249"/>
        <v>0</v>
      </c>
      <c r="S631" s="76">
        <f t="shared" si="250"/>
        <v>0.98913043478260865</v>
      </c>
      <c r="T631" s="76">
        <f t="shared" si="251"/>
        <v>0.98913043478260865</v>
      </c>
      <c r="U631" s="76">
        <f t="shared" si="252"/>
        <v>1</v>
      </c>
    </row>
    <row r="632" spans="1:21" x14ac:dyDescent="0.25">
      <c r="A632" s="71">
        <v>14</v>
      </c>
      <c r="B632" s="72">
        <f t="shared" si="253"/>
        <v>46054</v>
      </c>
      <c r="C632" s="73">
        <f t="shared" si="234"/>
        <v>46081</v>
      </c>
      <c r="D632" s="67">
        <f t="shared" si="235"/>
        <v>28</v>
      </c>
      <c r="E632" s="67">
        <f t="shared" si="236"/>
        <v>2</v>
      </c>
      <c r="F632" s="74">
        <f t="shared" si="237"/>
        <v>46068</v>
      </c>
      <c r="G632" s="67">
        <f t="shared" si="238"/>
        <v>24313</v>
      </c>
      <c r="H632" s="75">
        <f t="shared" si="239"/>
        <v>1</v>
      </c>
      <c r="I632" s="76">
        <f t="shared" si="240"/>
        <v>1</v>
      </c>
      <c r="J632" s="76">
        <f t="shared" si="241"/>
        <v>1</v>
      </c>
      <c r="K632" s="67">
        <f t="shared" si="242"/>
        <v>0</v>
      </c>
      <c r="L632" s="67">
        <f t="shared" si="243"/>
        <v>0</v>
      </c>
      <c r="M632" s="77">
        <f t="shared" si="244"/>
        <v>0</v>
      </c>
      <c r="N632" s="76">
        <f t="shared" si="245"/>
        <v>1</v>
      </c>
      <c r="O632" s="77">
        <f t="shared" si="246"/>
        <v>0.91</v>
      </c>
      <c r="P632" s="76">
        <f t="shared" si="247"/>
        <v>1</v>
      </c>
      <c r="Q632" s="76">
        <f t="shared" si="248"/>
        <v>0</v>
      </c>
      <c r="R632" s="76">
        <f t="shared" si="249"/>
        <v>0</v>
      </c>
      <c r="S632" s="76">
        <f t="shared" si="250"/>
        <v>0.98913043478260865</v>
      </c>
      <c r="T632" s="76">
        <f t="shared" si="251"/>
        <v>0.98913043478260865</v>
      </c>
      <c r="U632" s="76">
        <f t="shared" si="252"/>
        <v>1</v>
      </c>
    </row>
    <row r="633" spans="1:21" x14ac:dyDescent="0.25">
      <c r="A633" s="71">
        <v>15</v>
      </c>
      <c r="B633" s="72">
        <f t="shared" si="253"/>
        <v>46082</v>
      </c>
      <c r="C633" s="73">
        <f t="shared" si="234"/>
        <v>46112</v>
      </c>
      <c r="D633" s="67">
        <f t="shared" si="235"/>
        <v>31</v>
      </c>
      <c r="E633" s="67">
        <f t="shared" si="236"/>
        <v>3</v>
      </c>
      <c r="F633" s="74">
        <f t="shared" si="237"/>
        <v>46097.5</v>
      </c>
      <c r="G633" s="67">
        <f t="shared" si="238"/>
        <v>24314</v>
      </c>
      <c r="H633" s="75">
        <f t="shared" si="239"/>
        <v>1</v>
      </c>
      <c r="I633" s="76">
        <f t="shared" si="240"/>
        <v>1</v>
      </c>
      <c r="J633" s="76">
        <f t="shared" si="241"/>
        <v>1</v>
      </c>
      <c r="K633" s="67">
        <f t="shared" si="242"/>
        <v>0</v>
      </c>
      <c r="L633" s="67">
        <f t="shared" si="243"/>
        <v>0</v>
      </c>
      <c r="M633" s="77">
        <f t="shared" si="244"/>
        <v>0</v>
      </c>
      <c r="N633" s="76">
        <f t="shared" si="245"/>
        <v>1</v>
      </c>
      <c r="O633" s="77">
        <f t="shared" si="246"/>
        <v>0.91</v>
      </c>
      <c r="P633" s="76">
        <f t="shared" si="247"/>
        <v>1</v>
      </c>
      <c r="Q633" s="76">
        <f t="shared" si="248"/>
        <v>0</v>
      </c>
      <c r="R633" s="76">
        <f t="shared" si="249"/>
        <v>0</v>
      </c>
      <c r="S633" s="76">
        <f t="shared" si="250"/>
        <v>0.98913043478260865</v>
      </c>
      <c r="T633" s="76">
        <f t="shared" si="251"/>
        <v>0.98913043478260865</v>
      </c>
      <c r="U633" s="76">
        <f t="shared" si="252"/>
        <v>1</v>
      </c>
    </row>
    <row r="634" spans="1:21" x14ac:dyDescent="0.25">
      <c r="A634" s="71">
        <v>16</v>
      </c>
      <c r="B634" s="72">
        <f t="shared" si="253"/>
        <v>46113</v>
      </c>
      <c r="C634" s="73">
        <f t="shared" si="234"/>
        <v>46142</v>
      </c>
      <c r="D634" s="67">
        <f t="shared" si="235"/>
        <v>30</v>
      </c>
      <c r="E634" s="67">
        <f t="shared" si="236"/>
        <v>4</v>
      </c>
      <c r="F634" s="74">
        <f t="shared" si="237"/>
        <v>46128</v>
      </c>
      <c r="G634" s="67">
        <f t="shared" si="238"/>
        <v>24315</v>
      </c>
      <c r="H634" s="75">
        <f t="shared" si="239"/>
        <v>1</v>
      </c>
      <c r="I634" s="76">
        <f t="shared" si="240"/>
        <v>1</v>
      </c>
      <c r="J634" s="76">
        <f t="shared" si="241"/>
        <v>1</v>
      </c>
      <c r="K634" s="67">
        <f t="shared" si="242"/>
        <v>0</v>
      </c>
      <c r="L634" s="67">
        <f t="shared" si="243"/>
        <v>0</v>
      </c>
      <c r="M634" s="77">
        <f t="shared" si="244"/>
        <v>0</v>
      </c>
      <c r="N634" s="76">
        <f t="shared" si="245"/>
        <v>1</v>
      </c>
      <c r="O634" s="77">
        <f t="shared" si="246"/>
        <v>0.91</v>
      </c>
      <c r="P634" s="76">
        <f t="shared" si="247"/>
        <v>1</v>
      </c>
      <c r="Q634" s="76">
        <f t="shared" si="248"/>
        <v>0</v>
      </c>
      <c r="R634" s="76">
        <f t="shared" si="249"/>
        <v>0</v>
      </c>
      <c r="S634" s="76">
        <f t="shared" si="250"/>
        <v>0.98913043478260865</v>
      </c>
      <c r="T634" s="76">
        <f t="shared" si="251"/>
        <v>0.98913043478260865</v>
      </c>
      <c r="U634" s="76">
        <f t="shared" si="252"/>
        <v>1</v>
      </c>
    </row>
    <row r="635" spans="1:21" x14ac:dyDescent="0.25">
      <c r="A635" s="71">
        <v>17</v>
      </c>
      <c r="B635" s="72">
        <f t="shared" si="253"/>
        <v>46143</v>
      </c>
      <c r="C635" s="73">
        <f t="shared" si="234"/>
        <v>46173</v>
      </c>
      <c r="D635" s="67">
        <f t="shared" si="235"/>
        <v>31</v>
      </c>
      <c r="E635" s="67">
        <f t="shared" si="236"/>
        <v>5</v>
      </c>
      <c r="F635" s="74">
        <f t="shared" si="237"/>
        <v>46158.5</v>
      </c>
      <c r="G635" s="67">
        <f t="shared" si="238"/>
        <v>24316</v>
      </c>
      <c r="H635" s="75">
        <f t="shared" si="239"/>
        <v>1</v>
      </c>
      <c r="I635" s="76">
        <f t="shared" si="240"/>
        <v>1</v>
      </c>
      <c r="J635" s="76">
        <f t="shared" si="241"/>
        <v>1</v>
      </c>
      <c r="K635" s="67">
        <f t="shared" si="242"/>
        <v>0</v>
      </c>
      <c r="L635" s="67">
        <f t="shared" si="243"/>
        <v>0</v>
      </c>
      <c r="M635" s="77">
        <f t="shared" si="244"/>
        <v>0</v>
      </c>
      <c r="N635" s="76">
        <f t="shared" si="245"/>
        <v>1</v>
      </c>
      <c r="O635" s="77">
        <f t="shared" si="246"/>
        <v>0.91</v>
      </c>
      <c r="P635" s="76">
        <f t="shared" si="247"/>
        <v>1</v>
      </c>
      <c r="Q635" s="76">
        <f t="shared" si="248"/>
        <v>0</v>
      </c>
      <c r="R635" s="76">
        <f t="shared" si="249"/>
        <v>0</v>
      </c>
      <c r="S635" s="76">
        <f t="shared" si="250"/>
        <v>0.98913043478260865</v>
      </c>
      <c r="T635" s="76">
        <f t="shared" si="251"/>
        <v>0.98913043478260865</v>
      </c>
      <c r="U635" s="76">
        <f t="shared" si="252"/>
        <v>1</v>
      </c>
    </row>
    <row r="636" spans="1:21" x14ac:dyDescent="0.25">
      <c r="A636" s="71">
        <v>18</v>
      </c>
      <c r="B636" s="72">
        <f t="shared" si="253"/>
        <v>46174</v>
      </c>
      <c r="C636" s="73">
        <f t="shared" si="234"/>
        <v>46203</v>
      </c>
      <c r="D636" s="67">
        <f t="shared" si="235"/>
        <v>30</v>
      </c>
      <c r="E636" s="67">
        <f t="shared" si="236"/>
        <v>6</v>
      </c>
      <c r="F636" s="74">
        <f t="shared" si="237"/>
        <v>46189</v>
      </c>
      <c r="G636" s="67">
        <f t="shared" si="238"/>
        <v>24317</v>
      </c>
      <c r="H636" s="75">
        <f t="shared" si="239"/>
        <v>1</v>
      </c>
      <c r="I636" s="76">
        <f t="shared" si="240"/>
        <v>1</v>
      </c>
      <c r="J636" s="76">
        <f t="shared" si="241"/>
        <v>1</v>
      </c>
      <c r="K636" s="67">
        <f t="shared" si="242"/>
        <v>0</v>
      </c>
      <c r="L636" s="67">
        <f t="shared" si="243"/>
        <v>0</v>
      </c>
      <c r="M636" s="77">
        <f t="shared" si="244"/>
        <v>0</v>
      </c>
      <c r="N636" s="76">
        <f t="shared" si="245"/>
        <v>1</v>
      </c>
      <c r="O636" s="77">
        <f t="shared" si="246"/>
        <v>0.91</v>
      </c>
      <c r="P636" s="76">
        <f t="shared" si="247"/>
        <v>1</v>
      </c>
      <c r="Q636" s="76">
        <f t="shared" si="248"/>
        <v>0</v>
      </c>
      <c r="R636" s="76">
        <f t="shared" si="249"/>
        <v>0</v>
      </c>
      <c r="S636" s="76">
        <f t="shared" si="250"/>
        <v>0.98913043478260865</v>
      </c>
      <c r="T636" s="76">
        <f t="shared" si="251"/>
        <v>0.98913043478260865</v>
      </c>
      <c r="U636" s="76">
        <f t="shared" si="252"/>
        <v>1</v>
      </c>
    </row>
    <row r="637" spans="1:21" x14ac:dyDescent="0.25">
      <c r="A637" s="71">
        <v>19</v>
      </c>
      <c r="B637" s="72">
        <f t="shared" si="253"/>
        <v>46204</v>
      </c>
      <c r="C637" s="73">
        <f t="shared" si="234"/>
        <v>46234</v>
      </c>
      <c r="D637" s="67">
        <f t="shared" si="235"/>
        <v>31</v>
      </c>
      <c r="E637" s="67">
        <f t="shared" si="236"/>
        <v>7</v>
      </c>
      <c r="F637" s="74">
        <f t="shared" si="237"/>
        <v>46219.5</v>
      </c>
      <c r="G637" s="67">
        <f t="shared" si="238"/>
        <v>24318</v>
      </c>
      <c r="H637" s="75">
        <f t="shared" si="239"/>
        <v>1</v>
      </c>
      <c r="I637" s="76">
        <f t="shared" si="240"/>
        <v>1</v>
      </c>
      <c r="J637" s="76">
        <f t="shared" si="241"/>
        <v>1</v>
      </c>
      <c r="K637" s="67">
        <f t="shared" si="242"/>
        <v>0</v>
      </c>
      <c r="L637" s="67">
        <f t="shared" si="243"/>
        <v>0</v>
      </c>
      <c r="M637" s="77">
        <f t="shared" si="244"/>
        <v>0</v>
      </c>
      <c r="N637" s="76">
        <f t="shared" si="245"/>
        <v>1</v>
      </c>
      <c r="O637" s="77">
        <f t="shared" si="246"/>
        <v>0.91</v>
      </c>
      <c r="P637" s="76">
        <f t="shared" si="247"/>
        <v>0.91666666666666663</v>
      </c>
      <c r="Q637" s="76">
        <f t="shared" si="248"/>
        <v>8.333333333333337E-2</v>
      </c>
      <c r="R637" s="76">
        <f t="shared" si="249"/>
        <v>0</v>
      </c>
      <c r="S637" s="76">
        <f t="shared" si="250"/>
        <v>0.98913043478260865</v>
      </c>
      <c r="T637" s="76">
        <f t="shared" si="251"/>
        <v>0.98913043478260865</v>
      </c>
      <c r="U637" s="76">
        <f t="shared" si="252"/>
        <v>1</v>
      </c>
    </row>
    <row r="638" spans="1:21" x14ac:dyDescent="0.25">
      <c r="A638" s="71">
        <v>20</v>
      </c>
      <c r="B638" s="72">
        <f t="shared" si="253"/>
        <v>46235</v>
      </c>
      <c r="C638" s="73">
        <f t="shared" si="234"/>
        <v>46265</v>
      </c>
      <c r="D638" s="67">
        <f t="shared" si="235"/>
        <v>31</v>
      </c>
      <c r="E638" s="67">
        <f t="shared" si="236"/>
        <v>8</v>
      </c>
      <c r="F638" s="74">
        <f t="shared" si="237"/>
        <v>46250.5</v>
      </c>
      <c r="G638" s="67">
        <f t="shared" si="238"/>
        <v>24319</v>
      </c>
      <c r="H638" s="75">
        <f t="shared" si="239"/>
        <v>1</v>
      </c>
      <c r="I638" s="76">
        <f t="shared" si="240"/>
        <v>1</v>
      </c>
      <c r="J638" s="76">
        <f t="shared" si="241"/>
        <v>1</v>
      </c>
      <c r="K638" s="67">
        <f t="shared" si="242"/>
        <v>0</v>
      </c>
      <c r="L638" s="67">
        <f t="shared" si="243"/>
        <v>0</v>
      </c>
      <c r="M638" s="77">
        <f t="shared" si="244"/>
        <v>0</v>
      </c>
      <c r="N638" s="76">
        <f t="shared" si="245"/>
        <v>1</v>
      </c>
      <c r="O638" s="77">
        <f t="shared" si="246"/>
        <v>0.91</v>
      </c>
      <c r="P638" s="76">
        <f t="shared" si="247"/>
        <v>0.75</v>
      </c>
      <c r="Q638" s="76">
        <f t="shared" si="248"/>
        <v>0.25</v>
      </c>
      <c r="R638" s="76">
        <f t="shared" si="249"/>
        <v>0</v>
      </c>
      <c r="S638" s="76">
        <f t="shared" si="250"/>
        <v>0.98913043478260865</v>
      </c>
      <c r="T638" s="76">
        <f t="shared" si="251"/>
        <v>0.98913043478260865</v>
      </c>
      <c r="U638" s="76">
        <f t="shared" si="252"/>
        <v>1</v>
      </c>
    </row>
    <row r="639" spans="1:21" x14ac:dyDescent="0.25">
      <c r="A639" s="71">
        <v>21</v>
      </c>
      <c r="B639" s="72">
        <f t="shared" si="253"/>
        <v>46266</v>
      </c>
      <c r="C639" s="73">
        <f t="shared" si="234"/>
        <v>46295</v>
      </c>
      <c r="D639" s="67">
        <f t="shared" si="235"/>
        <v>30</v>
      </c>
      <c r="E639" s="67">
        <f t="shared" si="236"/>
        <v>9</v>
      </c>
      <c r="F639" s="74">
        <f t="shared" si="237"/>
        <v>46281</v>
      </c>
      <c r="G639" s="67">
        <f t="shared" si="238"/>
        <v>24320</v>
      </c>
      <c r="H639" s="75">
        <f t="shared" si="239"/>
        <v>1</v>
      </c>
      <c r="I639" s="76">
        <f t="shared" si="240"/>
        <v>1</v>
      </c>
      <c r="J639" s="76">
        <f t="shared" si="241"/>
        <v>1</v>
      </c>
      <c r="K639" s="67">
        <f t="shared" si="242"/>
        <v>0</v>
      </c>
      <c r="L639" s="67">
        <f t="shared" si="243"/>
        <v>0</v>
      </c>
      <c r="M639" s="77">
        <f t="shared" si="244"/>
        <v>0</v>
      </c>
      <c r="N639" s="76">
        <f t="shared" si="245"/>
        <v>1</v>
      </c>
      <c r="O639" s="77">
        <f t="shared" si="246"/>
        <v>0.91</v>
      </c>
      <c r="P639" s="76">
        <f t="shared" si="247"/>
        <v>0.58333333333333337</v>
      </c>
      <c r="Q639" s="76">
        <f t="shared" si="248"/>
        <v>0.41666666666666663</v>
      </c>
      <c r="R639" s="76">
        <f t="shared" si="249"/>
        <v>0</v>
      </c>
      <c r="S639" s="76">
        <f t="shared" si="250"/>
        <v>0.98913043478260865</v>
      </c>
      <c r="T639" s="76">
        <f t="shared" si="251"/>
        <v>0.98913043478260865</v>
      </c>
      <c r="U639" s="76">
        <f t="shared" si="252"/>
        <v>1</v>
      </c>
    </row>
    <row r="640" spans="1:21" x14ac:dyDescent="0.25">
      <c r="A640" s="71">
        <v>22</v>
      </c>
      <c r="B640" s="72">
        <f t="shared" si="253"/>
        <v>46296</v>
      </c>
      <c r="C640" s="73">
        <f t="shared" si="234"/>
        <v>46326</v>
      </c>
      <c r="D640" s="67">
        <f t="shared" si="235"/>
        <v>31</v>
      </c>
      <c r="E640" s="67">
        <f t="shared" si="236"/>
        <v>10</v>
      </c>
      <c r="F640" s="74">
        <f t="shared" si="237"/>
        <v>46311.5</v>
      </c>
      <c r="G640" s="67">
        <f t="shared" si="238"/>
        <v>24321</v>
      </c>
      <c r="H640" s="75">
        <f t="shared" si="239"/>
        <v>1</v>
      </c>
      <c r="I640" s="76">
        <f t="shared" si="240"/>
        <v>1</v>
      </c>
      <c r="J640" s="76">
        <f t="shared" si="241"/>
        <v>1</v>
      </c>
      <c r="K640" s="67">
        <f t="shared" si="242"/>
        <v>0</v>
      </c>
      <c r="L640" s="67">
        <f t="shared" si="243"/>
        <v>0</v>
      </c>
      <c r="M640" s="77">
        <f t="shared" si="244"/>
        <v>0</v>
      </c>
      <c r="N640" s="76">
        <f t="shared" si="245"/>
        <v>1</v>
      </c>
      <c r="O640" s="77">
        <f t="shared" si="246"/>
        <v>0.91</v>
      </c>
      <c r="P640" s="76">
        <f t="shared" si="247"/>
        <v>0.41666666666666669</v>
      </c>
      <c r="Q640" s="76">
        <f t="shared" si="248"/>
        <v>0.58333333333333326</v>
      </c>
      <c r="R640" s="76">
        <f t="shared" si="249"/>
        <v>0</v>
      </c>
      <c r="S640" s="76">
        <f t="shared" si="250"/>
        <v>0.98913043478260865</v>
      </c>
      <c r="T640" s="76">
        <f t="shared" si="251"/>
        <v>0.98913043478260865</v>
      </c>
      <c r="U640" s="76">
        <f t="shared" si="252"/>
        <v>1</v>
      </c>
    </row>
    <row r="641" spans="1:21" x14ac:dyDescent="0.25">
      <c r="A641" s="71">
        <v>23</v>
      </c>
      <c r="B641" s="72">
        <f t="shared" si="253"/>
        <v>46327</v>
      </c>
      <c r="C641" s="73">
        <f t="shared" si="234"/>
        <v>46356</v>
      </c>
      <c r="D641" s="67">
        <f t="shared" si="235"/>
        <v>30</v>
      </c>
      <c r="E641" s="67">
        <f t="shared" si="236"/>
        <v>11</v>
      </c>
      <c r="F641" s="74">
        <f t="shared" si="237"/>
        <v>46342</v>
      </c>
      <c r="G641" s="67">
        <f t="shared" si="238"/>
        <v>24322</v>
      </c>
      <c r="H641" s="75">
        <f t="shared" si="239"/>
        <v>1</v>
      </c>
      <c r="I641" s="76">
        <f t="shared" si="240"/>
        <v>1</v>
      </c>
      <c r="J641" s="76">
        <f t="shared" si="241"/>
        <v>1.02</v>
      </c>
      <c r="K641" s="67">
        <f t="shared" si="242"/>
        <v>1</v>
      </c>
      <c r="L641" s="67">
        <f t="shared" si="243"/>
        <v>30</v>
      </c>
      <c r="M641" s="77">
        <f t="shared" si="244"/>
        <v>1</v>
      </c>
      <c r="N641" s="76">
        <f t="shared" si="245"/>
        <v>1.02</v>
      </c>
      <c r="O641" s="77">
        <f t="shared" si="246"/>
        <v>0.91</v>
      </c>
      <c r="P641" s="76">
        <f t="shared" si="247"/>
        <v>0.25</v>
      </c>
      <c r="Q641" s="76">
        <f t="shared" si="248"/>
        <v>0.75</v>
      </c>
      <c r="R641" s="76">
        <f t="shared" si="249"/>
        <v>0</v>
      </c>
      <c r="S641" s="76">
        <f t="shared" si="250"/>
        <v>1.0089130434782609</v>
      </c>
      <c r="T641" s="76">
        <f t="shared" si="251"/>
        <v>1.0089130434782609</v>
      </c>
      <c r="U641" s="76">
        <f t="shared" si="252"/>
        <v>1.02</v>
      </c>
    </row>
    <row r="642" spans="1:21" x14ac:dyDescent="0.25">
      <c r="A642" s="71">
        <v>24</v>
      </c>
      <c r="B642" s="72">
        <f t="shared" si="253"/>
        <v>46357</v>
      </c>
      <c r="C642" s="73">
        <f t="shared" si="234"/>
        <v>46387</v>
      </c>
      <c r="D642" s="67">
        <f t="shared" si="235"/>
        <v>31</v>
      </c>
      <c r="E642" s="67">
        <f t="shared" si="236"/>
        <v>12</v>
      </c>
      <c r="F642" s="74">
        <f t="shared" si="237"/>
        <v>46372.5</v>
      </c>
      <c r="G642" s="67">
        <f t="shared" si="238"/>
        <v>24323</v>
      </c>
      <c r="H642" s="75">
        <f t="shared" si="239"/>
        <v>1</v>
      </c>
      <c r="I642" s="76">
        <f t="shared" si="240"/>
        <v>1.02</v>
      </c>
      <c r="J642" s="76">
        <f t="shared" si="241"/>
        <v>1.02</v>
      </c>
      <c r="K642" s="67">
        <f t="shared" si="242"/>
        <v>0</v>
      </c>
      <c r="L642" s="67">
        <f t="shared" si="243"/>
        <v>0</v>
      </c>
      <c r="M642" s="77">
        <f t="shared" si="244"/>
        <v>0</v>
      </c>
      <c r="N642" s="76">
        <f t="shared" si="245"/>
        <v>1.02</v>
      </c>
      <c r="O642" s="77">
        <f t="shared" si="246"/>
        <v>0.91</v>
      </c>
      <c r="P642" s="76">
        <f t="shared" si="247"/>
        <v>8.3333333333333329E-2</v>
      </c>
      <c r="Q642" s="76">
        <f t="shared" si="248"/>
        <v>0.91666666666666663</v>
      </c>
      <c r="R642" s="76">
        <f t="shared" si="249"/>
        <v>0</v>
      </c>
      <c r="S642" s="76">
        <f t="shared" si="250"/>
        <v>1.0089130434782609</v>
      </c>
      <c r="T642" s="76">
        <f t="shared" si="251"/>
        <v>1.0089130434782609</v>
      </c>
      <c r="U642" s="76">
        <f t="shared" si="252"/>
        <v>1.02</v>
      </c>
    </row>
    <row r="643" spans="1:21" x14ac:dyDescent="0.25">
      <c r="A643" s="71">
        <v>25</v>
      </c>
      <c r="B643" s="72">
        <f t="shared" si="253"/>
        <v>46388</v>
      </c>
      <c r="C643" s="73">
        <f t="shared" si="234"/>
        <v>46418</v>
      </c>
      <c r="D643" s="67">
        <f t="shared" si="235"/>
        <v>31</v>
      </c>
      <c r="E643" s="67">
        <f t="shared" si="236"/>
        <v>1</v>
      </c>
      <c r="F643" s="74">
        <f t="shared" si="237"/>
        <v>46403.5</v>
      </c>
      <c r="G643" s="67">
        <f t="shared" si="238"/>
        <v>24324</v>
      </c>
      <c r="H643" s="75">
        <f t="shared" si="239"/>
        <v>1</v>
      </c>
      <c r="I643" s="76">
        <f t="shared" si="240"/>
        <v>1.02</v>
      </c>
      <c r="J643" s="76">
        <f t="shared" si="241"/>
        <v>1.02</v>
      </c>
      <c r="K643" s="67">
        <f t="shared" si="242"/>
        <v>0</v>
      </c>
      <c r="L643" s="67">
        <f t="shared" si="243"/>
        <v>0</v>
      </c>
      <c r="M643" s="77">
        <f t="shared" si="244"/>
        <v>0</v>
      </c>
      <c r="N643" s="76">
        <f t="shared" si="245"/>
        <v>1.02</v>
      </c>
      <c r="O643" s="77">
        <f t="shared" si="246"/>
        <v>0.91</v>
      </c>
      <c r="P643" s="76">
        <f t="shared" si="247"/>
        <v>0</v>
      </c>
      <c r="Q643" s="76">
        <f t="shared" si="248"/>
        <v>1</v>
      </c>
      <c r="R643" s="76">
        <f t="shared" si="249"/>
        <v>0</v>
      </c>
      <c r="S643" s="76">
        <f t="shared" si="250"/>
        <v>1.0089130434782609</v>
      </c>
      <c r="T643" s="76">
        <f t="shared" si="251"/>
        <v>0.98913043478260865</v>
      </c>
      <c r="U643" s="76">
        <f t="shared" si="252"/>
        <v>1.02</v>
      </c>
    </row>
    <row r="644" spans="1:21" x14ac:dyDescent="0.25">
      <c r="A644" s="71">
        <v>26</v>
      </c>
      <c r="B644" s="72">
        <f t="shared" si="253"/>
        <v>46419</v>
      </c>
      <c r="C644" s="73">
        <f t="shared" si="234"/>
        <v>46446</v>
      </c>
      <c r="D644" s="67">
        <f t="shared" si="235"/>
        <v>28</v>
      </c>
      <c r="E644" s="67">
        <f t="shared" si="236"/>
        <v>2</v>
      </c>
      <c r="F644" s="74">
        <f t="shared" si="237"/>
        <v>46433</v>
      </c>
      <c r="G644" s="67">
        <f t="shared" si="238"/>
        <v>24325</v>
      </c>
      <c r="H644" s="75">
        <f t="shared" si="239"/>
        <v>1</v>
      </c>
      <c r="I644" s="76">
        <f t="shared" si="240"/>
        <v>1.02</v>
      </c>
      <c r="J644" s="76">
        <f t="shared" si="241"/>
        <v>1.02</v>
      </c>
      <c r="K644" s="67">
        <f t="shared" si="242"/>
        <v>0</v>
      </c>
      <c r="L644" s="67">
        <f t="shared" si="243"/>
        <v>0</v>
      </c>
      <c r="M644" s="77">
        <f t="shared" si="244"/>
        <v>0</v>
      </c>
      <c r="N644" s="76">
        <f t="shared" si="245"/>
        <v>1.02</v>
      </c>
      <c r="O644" s="77">
        <f t="shared" si="246"/>
        <v>0.91</v>
      </c>
      <c r="P644" s="76">
        <f t="shared" si="247"/>
        <v>0</v>
      </c>
      <c r="Q644" s="76">
        <f t="shared" si="248"/>
        <v>1</v>
      </c>
      <c r="R644" s="76">
        <f t="shared" si="249"/>
        <v>0</v>
      </c>
      <c r="S644" s="76">
        <f t="shared" si="250"/>
        <v>1.0089130434782609</v>
      </c>
      <c r="T644" s="76">
        <f t="shared" si="251"/>
        <v>0.98913043478260865</v>
      </c>
      <c r="U644" s="76">
        <f t="shared" si="252"/>
        <v>1.02</v>
      </c>
    </row>
    <row r="645" spans="1:21" x14ac:dyDescent="0.25">
      <c r="A645" s="71">
        <v>27</v>
      </c>
      <c r="B645" s="72">
        <f t="shared" si="253"/>
        <v>46447</v>
      </c>
      <c r="C645" s="73">
        <f t="shared" si="234"/>
        <v>46477</v>
      </c>
      <c r="D645" s="67">
        <f t="shared" si="235"/>
        <v>31</v>
      </c>
      <c r="E645" s="67">
        <f t="shared" si="236"/>
        <v>3</v>
      </c>
      <c r="F645" s="74">
        <f t="shared" si="237"/>
        <v>46462.5</v>
      </c>
      <c r="G645" s="67">
        <f t="shared" si="238"/>
        <v>24326</v>
      </c>
      <c r="H645" s="75">
        <f t="shared" si="239"/>
        <v>1</v>
      </c>
      <c r="I645" s="76">
        <f t="shared" si="240"/>
        <v>1.02</v>
      </c>
      <c r="J645" s="76">
        <f t="shared" si="241"/>
        <v>1.02</v>
      </c>
      <c r="K645" s="67">
        <f t="shared" si="242"/>
        <v>0</v>
      </c>
      <c r="L645" s="67">
        <f t="shared" si="243"/>
        <v>0</v>
      </c>
      <c r="M645" s="77">
        <f t="shared" si="244"/>
        <v>0</v>
      </c>
      <c r="N645" s="76">
        <f t="shared" si="245"/>
        <v>1.02</v>
      </c>
      <c r="O645" s="77">
        <f t="shared" si="246"/>
        <v>0.91</v>
      </c>
      <c r="P645" s="76">
        <f t="shared" si="247"/>
        <v>0</v>
      </c>
      <c r="Q645" s="76">
        <f t="shared" si="248"/>
        <v>1</v>
      </c>
      <c r="R645" s="76">
        <f t="shared" si="249"/>
        <v>0</v>
      </c>
      <c r="S645" s="76">
        <f t="shared" si="250"/>
        <v>1.0089130434782609</v>
      </c>
      <c r="T645" s="76">
        <f t="shared" si="251"/>
        <v>0.98913043478260865</v>
      </c>
      <c r="U645" s="76">
        <f t="shared" si="252"/>
        <v>1.02</v>
      </c>
    </row>
    <row r="646" spans="1:21" x14ac:dyDescent="0.25">
      <c r="A646" s="71">
        <v>28</v>
      </c>
      <c r="B646" s="72">
        <f t="shared" si="253"/>
        <v>46478</v>
      </c>
      <c r="C646" s="73">
        <f t="shared" si="234"/>
        <v>46507</v>
      </c>
      <c r="D646" s="67">
        <f t="shared" si="235"/>
        <v>30</v>
      </c>
      <c r="E646" s="67">
        <f t="shared" si="236"/>
        <v>4</v>
      </c>
      <c r="F646" s="74">
        <f t="shared" si="237"/>
        <v>46493</v>
      </c>
      <c r="G646" s="67">
        <f t="shared" si="238"/>
        <v>24327</v>
      </c>
      <c r="H646" s="75">
        <f t="shared" si="239"/>
        <v>1</v>
      </c>
      <c r="I646" s="76">
        <f t="shared" si="240"/>
        <v>1.02</v>
      </c>
      <c r="J646" s="76">
        <f t="shared" si="241"/>
        <v>1.02</v>
      </c>
      <c r="K646" s="67">
        <f t="shared" si="242"/>
        <v>0</v>
      </c>
      <c r="L646" s="67">
        <f t="shared" si="243"/>
        <v>0</v>
      </c>
      <c r="M646" s="77">
        <f t="shared" si="244"/>
        <v>0</v>
      </c>
      <c r="N646" s="76">
        <f t="shared" si="245"/>
        <v>1.02</v>
      </c>
      <c r="O646" s="77">
        <f t="shared" si="246"/>
        <v>0.91</v>
      </c>
      <c r="P646" s="76">
        <f t="shared" si="247"/>
        <v>0</v>
      </c>
      <c r="Q646" s="76">
        <f t="shared" si="248"/>
        <v>1</v>
      </c>
      <c r="R646" s="76">
        <f t="shared" si="249"/>
        <v>0</v>
      </c>
      <c r="S646" s="76">
        <f t="shared" si="250"/>
        <v>1.0089130434782609</v>
      </c>
      <c r="T646" s="76">
        <f t="shared" si="251"/>
        <v>0.98913043478260865</v>
      </c>
      <c r="U646" s="76">
        <f t="shared" si="252"/>
        <v>1.02</v>
      </c>
    </row>
    <row r="647" spans="1:21" x14ac:dyDescent="0.25">
      <c r="A647" s="71">
        <v>29</v>
      </c>
      <c r="B647" s="72">
        <f t="shared" si="253"/>
        <v>46508</v>
      </c>
      <c r="C647" s="73">
        <f t="shared" si="234"/>
        <v>46538</v>
      </c>
      <c r="D647" s="67">
        <f t="shared" si="235"/>
        <v>31</v>
      </c>
      <c r="E647" s="67">
        <f t="shared" si="236"/>
        <v>5</v>
      </c>
      <c r="F647" s="74">
        <f t="shared" si="237"/>
        <v>46523.5</v>
      </c>
      <c r="G647" s="67">
        <f t="shared" si="238"/>
        <v>24328</v>
      </c>
      <c r="H647" s="75">
        <f t="shared" si="239"/>
        <v>1</v>
      </c>
      <c r="I647" s="76">
        <f t="shared" si="240"/>
        <v>1.02</v>
      </c>
      <c r="J647" s="76">
        <f t="shared" si="241"/>
        <v>1.02</v>
      </c>
      <c r="K647" s="67">
        <f t="shared" si="242"/>
        <v>0</v>
      </c>
      <c r="L647" s="67">
        <f t="shared" si="243"/>
        <v>0</v>
      </c>
      <c r="M647" s="77">
        <f t="shared" si="244"/>
        <v>0</v>
      </c>
      <c r="N647" s="76">
        <f t="shared" si="245"/>
        <v>1.02</v>
      </c>
      <c r="O647" s="77">
        <f t="shared" si="246"/>
        <v>0.91</v>
      </c>
      <c r="P647" s="76">
        <f t="shared" si="247"/>
        <v>0</v>
      </c>
      <c r="Q647" s="76">
        <f t="shared" si="248"/>
        <v>1</v>
      </c>
      <c r="R647" s="76">
        <f t="shared" si="249"/>
        <v>0</v>
      </c>
      <c r="S647" s="76">
        <f t="shared" si="250"/>
        <v>1.0089130434782609</v>
      </c>
      <c r="T647" s="76">
        <f t="shared" si="251"/>
        <v>0.98913043478260865</v>
      </c>
      <c r="U647" s="76">
        <f t="shared" si="252"/>
        <v>1.02</v>
      </c>
    </row>
    <row r="648" spans="1:21" x14ac:dyDescent="0.25">
      <c r="A648" s="71">
        <v>30</v>
      </c>
      <c r="B648" s="72">
        <f t="shared" si="253"/>
        <v>46539</v>
      </c>
      <c r="C648" s="73">
        <f t="shared" si="234"/>
        <v>46568</v>
      </c>
      <c r="D648" s="67">
        <f t="shared" si="235"/>
        <v>30</v>
      </c>
      <c r="E648" s="67">
        <f t="shared" si="236"/>
        <v>6</v>
      </c>
      <c r="F648" s="74">
        <f t="shared" si="237"/>
        <v>46554</v>
      </c>
      <c r="G648" s="67">
        <f t="shared" si="238"/>
        <v>24329</v>
      </c>
      <c r="H648" s="75">
        <f t="shared" si="239"/>
        <v>1</v>
      </c>
      <c r="I648" s="76">
        <f t="shared" si="240"/>
        <v>1.02</v>
      </c>
      <c r="J648" s="76">
        <f t="shared" si="241"/>
        <v>1.02</v>
      </c>
      <c r="K648" s="67">
        <f t="shared" si="242"/>
        <v>0</v>
      </c>
      <c r="L648" s="67">
        <f t="shared" si="243"/>
        <v>0</v>
      </c>
      <c r="M648" s="77">
        <f t="shared" si="244"/>
        <v>0</v>
      </c>
      <c r="N648" s="76">
        <f t="shared" si="245"/>
        <v>1.02</v>
      </c>
      <c r="O648" s="77">
        <f t="shared" si="246"/>
        <v>0.91</v>
      </c>
      <c r="P648" s="76">
        <f t="shared" si="247"/>
        <v>0</v>
      </c>
      <c r="Q648" s="76">
        <f t="shared" si="248"/>
        <v>1</v>
      </c>
      <c r="R648" s="76">
        <f t="shared" si="249"/>
        <v>0</v>
      </c>
      <c r="S648" s="76">
        <f t="shared" si="250"/>
        <v>1.0089130434782609</v>
      </c>
      <c r="T648" s="76">
        <f t="shared" si="251"/>
        <v>0.98913043478260865</v>
      </c>
      <c r="U648" s="76">
        <f t="shared" si="252"/>
        <v>1.02</v>
      </c>
    </row>
    <row r="649" spans="1:21" x14ac:dyDescent="0.25">
      <c r="A649" s="71">
        <v>31</v>
      </c>
      <c r="B649" s="72">
        <f t="shared" si="253"/>
        <v>46569</v>
      </c>
      <c r="C649" s="73">
        <f t="shared" si="234"/>
        <v>46599</v>
      </c>
      <c r="D649" s="67">
        <f t="shared" si="235"/>
        <v>31</v>
      </c>
      <c r="E649" s="67">
        <f t="shared" si="236"/>
        <v>7</v>
      </c>
      <c r="F649" s="74">
        <f t="shared" si="237"/>
        <v>46584.5</v>
      </c>
      <c r="G649" s="67">
        <f t="shared" si="238"/>
        <v>24330</v>
      </c>
      <c r="H649" s="75">
        <f t="shared" si="239"/>
        <v>1</v>
      </c>
      <c r="I649" s="76">
        <f t="shared" si="240"/>
        <v>1.02</v>
      </c>
      <c r="J649" s="76">
        <f t="shared" si="241"/>
        <v>1.02</v>
      </c>
      <c r="K649" s="67">
        <f t="shared" si="242"/>
        <v>0</v>
      </c>
      <c r="L649" s="67">
        <f t="shared" si="243"/>
        <v>0</v>
      </c>
      <c r="M649" s="77">
        <f t="shared" si="244"/>
        <v>0</v>
      </c>
      <c r="N649" s="76">
        <f t="shared" si="245"/>
        <v>1.02</v>
      </c>
      <c r="O649" s="77">
        <f t="shared" si="246"/>
        <v>0.91</v>
      </c>
      <c r="P649" s="76">
        <f t="shared" si="247"/>
        <v>0</v>
      </c>
      <c r="Q649" s="76">
        <f t="shared" si="248"/>
        <v>0.91666666666666663</v>
      </c>
      <c r="R649" s="76">
        <f t="shared" si="249"/>
        <v>8.333333333333337E-2</v>
      </c>
      <c r="S649" s="76">
        <f t="shared" si="250"/>
        <v>1.0089130434782609</v>
      </c>
      <c r="T649" s="76">
        <f t="shared" si="251"/>
        <v>0.98913043478260865</v>
      </c>
      <c r="U649" s="76">
        <f t="shared" si="252"/>
        <v>1.02</v>
      </c>
    </row>
    <row r="650" spans="1:21" x14ac:dyDescent="0.25">
      <c r="A650" s="71">
        <v>32</v>
      </c>
      <c r="B650" s="72">
        <f t="shared" si="253"/>
        <v>46600</v>
      </c>
      <c r="C650" s="73">
        <f t="shared" si="234"/>
        <v>46630</v>
      </c>
      <c r="D650" s="67">
        <f t="shared" si="235"/>
        <v>31</v>
      </c>
      <c r="E650" s="67">
        <f t="shared" si="236"/>
        <v>8</v>
      </c>
      <c r="F650" s="74">
        <f t="shared" si="237"/>
        <v>46615.5</v>
      </c>
      <c r="G650" s="67">
        <f t="shared" si="238"/>
        <v>24331</v>
      </c>
      <c r="H650" s="75">
        <f t="shared" si="239"/>
        <v>1</v>
      </c>
      <c r="I650" s="76">
        <f t="shared" si="240"/>
        <v>1.02</v>
      </c>
      <c r="J650" s="76">
        <f t="shared" si="241"/>
        <v>1.02</v>
      </c>
      <c r="K650" s="67">
        <f t="shared" si="242"/>
        <v>0</v>
      </c>
      <c r="L650" s="67">
        <f t="shared" si="243"/>
        <v>0</v>
      </c>
      <c r="M650" s="77">
        <f t="shared" si="244"/>
        <v>0</v>
      </c>
      <c r="N650" s="76">
        <f t="shared" si="245"/>
        <v>1.02</v>
      </c>
      <c r="O650" s="77">
        <f t="shared" si="246"/>
        <v>0.91</v>
      </c>
      <c r="P650" s="76">
        <f t="shared" si="247"/>
        <v>0</v>
      </c>
      <c r="Q650" s="76">
        <f t="shared" si="248"/>
        <v>0.75</v>
      </c>
      <c r="R650" s="76">
        <f t="shared" si="249"/>
        <v>0.25</v>
      </c>
      <c r="S650" s="76">
        <f t="shared" si="250"/>
        <v>1.0089130434782609</v>
      </c>
      <c r="T650" s="76">
        <f t="shared" si="251"/>
        <v>0.98913043478260865</v>
      </c>
      <c r="U650" s="76">
        <f t="shared" si="252"/>
        <v>1.02</v>
      </c>
    </row>
    <row r="651" spans="1:21" x14ac:dyDescent="0.25">
      <c r="A651" s="71">
        <v>33</v>
      </c>
      <c r="B651" s="72">
        <f t="shared" si="253"/>
        <v>46631</v>
      </c>
      <c r="C651" s="73">
        <f t="shared" si="234"/>
        <v>46660</v>
      </c>
      <c r="D651" s="67">
        <f t="shared" si="235"/>
        <v>30</v>
      </c>
      <c r="E651" s="67">
        <f t="shared" si="236"/>
        <v>9</v>
      </c>
      <c r="F651" s="74">
        <f t="shared" si="237"/>
        <v>46646</v>
      </c>
      <c r="G651" s="67">
        <f t="shared" si="238"/>
        <v>24332</v>
      </c>
      <c r="H651" s="75">
        <f t="shared" si="239"/>
        <v>1</v>
      </c>
      <c r="I651" s="76">
        <f t="shared" si="240"/>
        <v>1.02</v>
      </c>
      <c r="J651" s="76">
        <f t="shared" si="241"/>
        <v>1.02</v>
      </c>
      <c r="K651" s="67">
        <f t="shared" si="242"/>
        <v>0</v>
      </c>
      <c r="L651" s="67">
        <f t="shared" si="243"/>
        <v>0</v>
      </c>
      <c r="M651" s="77">
        <f t="shared" si="244"/>
        <v>0</v>
      </c>
      <c r="N651" s="76">
        <f t="shared" si="245"/>
        <v>1.02</v>
      </c>
      <c r="O651" s="77">
        <f t="shared" si="246"/>
        <v>0.91</v>
      </c>
      <c r="P651" s="76">
        <f t="shared" si="247"/>
        <v>0</v>
      </c>
      <c r="Q651" s="76">
        <f t="shared" si="248"/>
        <v>0.58333333333333337</v>
      </c>
      <c r="R651" s="76">
        <f t="shared" si="249"/>
        <v>0.41666666666666663</v>
      </c>
      <c r="S651" s="76">
        <f t="shared" si="250"/>
        <v>1.0089130434782609</v>
      </c>
      <c r="T651" s="76">
        <f t="shared" si="251"/>
        <v>0.98913043478260865</v>
      </c>
      <c r="U651" s="76">
        <f t="shared" si="252"/>
        <v>1.02</v>
      </c>
    </row>
    <row r="652" spans="1:21" x14ac:dyDescent="0.25">
      <c r="A652" s="71">
        <v>34</v>
      </c>
      <c r="B652" s="72">
        <f t="shared" si="253"/>
        <v>46661</v>
      </c>
      <c r="C652" s="73">
        <f t="shared" si="234"/>
        <v>46691</v>
      </c>
      <c r="D652" s="67">
        <f t="shared" si="235"/>
        <v>31</v>
      </c>
      <c r="E652" s="67">
        <f t="shared" si="236"/>
        <v>10</v>
      </c>
      <c r="F652" s="74">
        <f t="shared" si="237"/>
        <v>46676.5</v>
      </c>
      <c r="G652" s="67">
        <f t="shared" si="238"/>
        <v>24333</v>
      </c>
      <c r="H652" s="75">
        <f t="shared" si="239"/>
        <v>1</v>
      </c>
      <c r="I652" s="76">
        <f t="shared" si="240"/>
        <v>1.02</v>
      </c>
      <c r="J652" s="76">
        <f t="shared" si="241"/>
        <v>1.02</v>
      </c>
      <c r="K652" s="67">
        <f t="shared" si="242"/>
        <v>0</v>
      </c>
      <c r="L652" s="67">
        <f t="shared" si="243"/>
        <v>0</v>
      </c>
      <c r="M652" s="77">
        <f t="shared" si="244"/>
        <v>0</v>
      </c>
      <c r="N652" s="76">
        <f t="shared" si="245"/>
        <v>1.02</v>
      </c>
      <c r="O652" s="77">
        <f t="shared" si="246"/>
        <v>0.91</v>
      </c>
      <c r="P652" s="76">
        <f t="shared" si="247"/>
        <v>0</v>
      </c>
      <c r="Q652" s="76">
        <f t="shared" si="248"/>
        <v>0.41666666666666669</v>
      </c>
      <c r="R652" s="76">
        <f t="shared" si="249"/>
        <v>0.58333333333333326</v>
      </c>
      <c r="S652" s="76">
        <f t="shared" si="250"/>
        <v>1.0089130434782609</v>
      </c>
      <c r="T652" s="76">
        <f t="shared" si="251"/>
        <v>0.98913043478260865</v>
      </c>
      <c r="U652" s="76">
        <f t="shared" si="252"/>
        <v>1.02</v>
      </c>
    </row>
    <row r="653" spans="1:21" x14ac:dyDescent="0.25">
      <c r="A653" s="71">
        <v>35</v>
      </c>
      <c r="B653" s="72">
        <f t="shared" si="253"/>
        <v>46692</v>
      </c>
      <c r="C653" s="73">
        <f t="shared" si="234"/>
        <v>46721</v>
      </c>
      <c r="D653" s="67">
        <f t="shared" si="235"/>
        <v>30</v>
      </c>
      <c r="E653" s="67">
        <f t="shared" si="236"/>
        <v>11</v>
      </c>
      <c r="F653" s="74">
        <f t="shared" si="237"/>
        <v>46707</v>
      </c>
      <c r="G653" s="67">
        <f t="shared" si="238"/>
        <v>24334</v>
      </c>
      <c r="H653" s="75">
        <f t="shared" si="239"/>
        <v>1</v>
      </c>
      <c r="I653" s="76">
        <f t="shared" si="240"/>
        <v>1.02</v>
      </c>
      <c r="J653" s="76">
        <f t="shared" si="241"/>
        <v>1.02</v>
      </c>
      <c r="K653" s="67">
        <f t="shared" si="242"/>
        <v>0</v>
      </c>
      <c r="L653" s="67">
        <f t="shared" si="243"/>
        <v>0</v>
      </c>
      <c r="M653" s="77">
        <f t="shared" si="244"/>
        <v>0</v>
      </c>
      <c r="N653" s="76">
        <f t="shared" si="245"/>
        <v>1.02</v>
      </c>
      <c r="O653" s="77">
        <f t="shared" si="246"/>
        <v>0.91</v>
      </c>
      <c r="P653" s="76">
        <f t="shared" si="247"/>
        <v>0</v>
      </c>
      <c r="Q653" s="76">
        <f t="shared" si="248"/>
        <v>0.25</v>
      </c>
      <c r="R653" s="76">
        <f t="shared" si="249"/>
        <v>0.75</v>
      </c>
      <c r="S653" s="76">
        <f t="shared" si="250"/>
        <v>1.0089130434782609</v>
      </c>
      <c r="T653" s="76">
        <f t="shared" si="251"/>
        <v>1.0089130434782609</v>
      </c>
      <c r="U653" s="76">
        <f t="shared" si="252"/>
        <v>1.02</v>
      </c>
    </row>
    <row r="654" spans="1:21" x14ac:dyDescent="0.25">
      <c r="A654" s="71">
        <v>36</v>
      </c>
      <c r="B654" s="72">
        <f t="shared" si="253"/>
        <v>46722</v>
      </c>
      <c r="C654" s="73">
        <f t="shared" si="234"/>
        <v>46752</v>
      </c>
      <c r="D654" s="67">
        <f t="shared" si="235"/>
        <v>31</v>
      </c>
      <c r="E654" s="67">
        <f t="shared" si="236"/>
        <v>12</v>
      </c>
      <c r="F654" s="74">
        <f t="shared" si="237"/>
        <v>46737.5</v>
      </c>
      <c r="G654" s="67">
        <f t="shared" si="238"/>
        <v>24335</v>
      </c>
      <c r="H654" s="75">
        <f t="shared" si="239"/>
        <v>1</v>
      </c>
      <c r="I654" s="76">
        <f t="shared" si="240"/>
        <v>1.02</v>
      </c>
      <c r="J654" s="76">
        <f t="shared" si="241"/>
        <v>1.02</v>
      </c>
      <c r="K654" s="67">
        <f t="shared" si="242"/>
        <v>0</v>
      </c>
      <c r="L654" s="67">
        <f t="shared" si="243"/>
        <v>0</v>
      </c>
      <c r="M654" s="77">
        <f t="shared" si="244"/>
        <v>0</v>
      </c>
      <c r="N654" s="76">
        <f t="shared" si="245"/>
        <v>1.02</v>
      </c>
      <c r="O654" s="77">
        <f t="shared" si="246"/>
        <v>0.91</v>
      </c>
      <c r="P654" s="76">
        <f t="shared" si="247"/>
        <v>0</v>
      </c>
      <c r="Q654" s="76">
        <f t="shared" si="248"/>
        <v>8.3333333333333329E-2</v>
      </c>
      <c r="R654" s="76">
        <f t="shared" si="249"/>
        <v>0.91666666666666663</v>
      </c>
      <c r="S654" s="76">
        <f t="shared" si="250"/>
        <v>1.0089130434782609</v>
      </c>
      <c r="T654" s="76">
        <f t="shared" si="251"/>
        <v>1.0089130434782609</v>
      </c>
      <c r="U654" s="76">
        <f t="shared" si="252"/>
        <v>1.02</v>
      </c>
    </row>
    <row r="655" spans="1:21" x14ac:dyDescent="0.25">
      <c r="A655" s="71">
        <v>37</v>
      </c>
      <c r="B655" s="72">
        <f t="shared" si="253"/>
        <v>46753</v>
      </c>
      <c r="C655" s="73">
        <f t="shared" si="234"/>
        <v>46783</v>
      </c>
      <c r="D655" s="67">
        <f t="shared" si="235"/>
        <v>31</v>
      </c>
      <c r="E655" s="67">
        <f t="shared" si="236"/>
        <v>1</v>
      </c>
      <c r="F655" s="74">
        <f t="shared" si="237"/>
        <v>46768.5</v>
      </c>
      <c r="G655" s="67">
        <f t="shared" si="238"/>
        <v>24336</v>
      </c>
      <c r="H655" s="75">
        <f t="shared" si="239"/>
        <v>1</v>
      </c>
      <c r="I655" s="76">
        <f t="shared" si="240"/>
        <v>1.02</v>
      </c>
      <c r="J655" s="76">
        <f t="shared" si="241"/>
        <v>1.02</v>
      </c>
      <c r="K655" s="67">
        <f t="shared" si="242"/>
        <v>0</v>
      </c>
      <c r="L655" s="67">
        <f t="shared" si="243"/>
        <v>0</v>
      </c>
      <c r="M655" s="77">
        <f t="shared" si="244"/>
        <v>0</v>
      </c>
      <c r="N655" s="76">
        <f t="shared" si="245"/>
        <v>1.02</v>
      </c>
      <c r="O655" s="77">
        <f t="shared" si="246"/>
        <v>0.91</v>
      </c>
      <c r="P655" s="76">
        <f t="shared" si="247"/>
        <v>0</v>
      </c>
      <c r="Q655" s="76">
        <f t="shared" si="248"/>
        <v>0</v>
      </c>
      <c r="R655" s="76">
        <f t="shared" si="249"/>
        <v>1</v>
      </c>
      <c r="S655" s="76">
        <f t="shared" si="250"/>
        <v>1.0089130434782609</v>
      </c>
      <c r="T655" s="76">
        <f t="shared" si="251"/>
        <v>0.98913043478260865</v>
      </c>
      <c r="U655" s="76">
        <f t="shared" si="252"/>
        <v>1.02</v>
      </c>
    </row>
    <row r="656" spans="1:21" x14ac:dyDescent="0.25">
      <c r="A656" s="71">
        <v>38</v>
      </c>
      <c r="B656" s="72">
        <f t="shared" si="253"/>
        <v>46784</v>
      </c>
      <c r="C656" s="73">
        <f t="shared" si="234"/>
        <v>46812</v>
      </c>
      <c r="D656" s="67">
        <f t="shared" si="235"/>
        <v>29</v>
      </c>
      <c r="E656" s="67">
        <f t="shared" si="236"/>
        <v>2</v>
      </c>
      <c r="F656" s="74">
        <f t="shared" si="237"/>
        <v>46798.5</v>
      </c>
      <c r="G656" s="67">
        <f t="shared" si="238"/>
        <v>24337</v>
      </c>
      <c r="H656" s="75">
        <f t="shared" si="239"/>
        <v>1</v>
      </c>
      <c r="I656" s="76">
        <f t="shared" si="240"/>
        <v>1.02</v>
      </c>
      <c r="J656" s="76">
        <f t="shared" si="241"/>
        <v>1.02</v>
      </c>
      <c r="K656" s="67">
        <f t="shared" si="242"/>
        <v>0</v>
      </c>
      <c r="L656" s="67">
        <f t="shared" si="243"/>
        <v>0</v>
      </c>
      <c r="M656" s="77">
        <f t="shared" si="244"/>
        <v>0</v>
      </c>
      <c r="N656" s="76">
        <f t="shared" si="245"/>
        <v>1.02</v>
      </c>
      <c r="O656" s="77">
        <f t="shared" si="246"/>
        <v>0.91</v>
      </c>
      <c r="P656" s="76">
        <f t="shared" si="247"/>
        <v>0</v>
      </c>
      <c r="Q656" s="76">
        <f t="shared" si="248"/>
        <v>0</v>
      </c>
      <c r="R656" s="76">
        <f t="shared" si="249"/>
        <v>1</v>
      </c>
      <c r="S656" s="76">
        <f t="shared" si="250"/>
        <v>1.0089130434782609</v>
      </c>
      <c r="T656" s="76">
        <f t="shared" si="251"/>
        <v>0.98913043478260865</v>
      </c>
      <c r="U656" s="76">
        <f t="shared" si="252"/>
        <v>1.02</v>
      </c>
    </row>
    <row r="657" spans="1:21" x14ac:dyDescent="0.25">
      <c r="A657" s="71">
        <v>39</v>
      </c>
      <c r="B657" s="72">
        <f t="shared" si="253"/>
        <v>46813</v>
      </c>
      <c r="C657" s="73">
        <f t="shared" si="234"/>
        <v>46843</v>
      </c>
      <c r="D657" s="67">
        <f t="shared" si="235"/>
        <v>31</v>
      </c>
      <c r="E657" s="67">
        <f t="shared" si="236"/>
        <v>3</v>
      </c>
      <c r="F657" s="74">
        <f t="shared" si="237"/>
        <v>46828.5</v>
      </c>
      <c r="G657" s="67">
        <f t="shared" si="238"/>
        <v>24338</v>
      </c>
      <c r="H657" s="75">
        <f t="shared" si="239"/>
        <v>1</v>
      </c>
      <c r="I657" s="76">
        <f t="shared" si="240"/>
        <v>1.02</v>
      </c>
      <c r="J657" s="76">
        <f t="shared" si="241"/>
        <v>1.02</v>
      </c>
      <c r="K657" s="67">
        <f t="shared" si="242"/>
        <v>0</v>
      </c>
      <c r="L657" s="67">
        <f t="shared" si="243"/>
        <v>0</v>
      </c>
      <c r="M657" s="77">
        <f t="shared" si="244"/>
        <v>0</v>
      </c>
      <c r="N657" s="76">
        <f t="shared" si="245"/>
        <v>1.02</v>
      </c>
      <c r="O657" s="77">
        <f t="shared" si="246"/>
        <v>0.91</v>
      </c>
      <c r="P657" s="76">
        <f t="shared" si="247"/>
        <v>0</v>
      </c>
      <c r="Q657" s="76">
        <f t="shared" si="248"/>
        <v>0</v>
      </c>
      <c r="R657" s="76">
        <f t="shared" si="249"/>
        <v>1</v>
      </c>
      <c r="S657" s="76">
        <f t="shared" si="250"/>
        <v>1.0089130434782609</v>
      </c>
      <c r="T657" s="76">
        <f t="shared" si="251"/>
        <v>0.98913043478260865</v>
      </c>
      <c r="U657" s="76">
        <f t="shared" si="252"/>
        <v>1.02</v>
      </c>
    </row>
    <row r="658" spans="1:21" x14ac:dyDescent="0.25">
      <c r="A658" s="71">
        <v>40</v>
      </c>
      <c r="B658" s="72">
        <f t="shared" si="253"/>
        <v>46844</v>
      </c>
      <c r="C658" s="73">
        <f t="shared" si="234"/>
        <v>46873</v>
      </c>
      <c r="D658" s="67">
        <f t="shared" si="235"/>
        <v>30</v>
      </c>
      <c r="E658" s="67">
        <f t="shared" si="236"/>
        <v>4</v>
      </c>
      <c r="F658" s="74">
        <f t="shared" si="237"/>
        <v>46859</v>
      </c>
      <c r="G658" s="67">
        <f t="shared" si="238"/>
        <v>24339</v>
      </c>
      <c r="H658" s="75">
        <f t="shared" si="239"/>
        <v>1</v>
      </c>
      <c r="I658" s="76">
        <f t="shared" si="240"/>
        <v>1.02</v>
      </c>
      <c r="J658" s="76">
        <f t="shared" si="241"/>
        <v>1.02</v>
      </c>
      <c r="K658" s="67">
        <f t="shared" si="242"/>
        <v>0</v>
      </c>
      <c r="L658" s="67">
        <f t="shared" si="243"/>
        <v>0</v>
      </c>
      <c r="M658" s="77">
        <f t="shared" si="244"/>
        <v>0</v>
      </c>
      <c r="N658" s="76">
        <f t="shared" si="245"/>
        <v>1.02</v>
      </c>
      <c r="O658" s="77">
        <f t="shared" si="246"/>
        <v>0.91</v>
      </c>
      <c r="P658" s="76">
        <f t="shared" si="247"/>
        <v>0</v>
      </c>
      <c r="Q658" s="76">
        <f t="shared" si="248"/>
        <v>0</v>
      </c>
      <c r="R658" s="76">
        <f t="shared" si="249"/>
        <v>1</v>
      </c>
      <c r="S658" s="76">
        <f t="shared" si="250"/>
        <v>1.0089130434782609</v>
      </c>
      <c r="T658" s="76">
        <f t="shared" si="251"/>
        <v>0.98913043478260865</v>
      </c>
      <c r="U658" s="76">
        <f t="shared" si="252"/>
        <v>1.02</v>
      </c>
    </row>
    <row r="659" spans="1:21" x14ac:dyDescent="0.25">
      <c r="A659" s="71">
        <v>41</v>
      </c>
      <c r="B659" s="72">
        <f t="shared" si="253"/>
        <v>46874</v>
      </c>
      <c r="C659" s="73">
        <f t="shared" si="234"/>
        <v>46904</v>
      </c>
      <c r="D659" s="67">
        <f t="shared" si="235"/>
        <v>31</v>
      </c>
      <c r="E659" s="67">
        <f t="shared" si="236"/>
        <v>5</v>
      </c>
      <c r="F659" s="74">
        <f t="shared" si="237"/>
        <v>46889.5</v>
      </c>
      <c r="G659" s="67">
        <f t="shared" si="238"/>
        <v>24340</v>
      </c>
      <c r="H659" s="75">
        <f t="shared" si="239"/>
        <v>1</v>
      </c>
      <c r="I659" s="76">
        <f t="shared" si="240"/>
        <v>1.02</v>
      </c>
      <c r="J659" s="76">
        <f t="shared" si="241"/>
        <v>1.02</v>
      </c>
      <c r="K659" s="67">
        <f t="shared" si="242"/>
        <v>0</v>
      </c>
      <c r="L659" s="67">
        <f t="shared" si="243"/>
        <v>0</v>
      </c>
      <c r="M659" s="77">
        <f t="shared" si="244"/>
        <v>0</v>
      </c>
      <c r="N659" s="76">
        <f t="shared" si="245"/>
        <v>1.02</v>
      </c>
      <c r="O659" s="77">
        <f t="shared" si="246"/>
        <v>0.91</v>
      </c>
      <c r="P659" s="76">
        <f t="shared" si="247"/>
        <v>0</v>
      </c>
      <c r="Q659" s="76">
        <f t="shared" si="248"/>
        <v>0</v>
      </c>
      <c r="R659" s="76">
        <f t="shared" si="249"/>
        <v>1</v>
      </c>
      <c r="S659" s="76">
        <f t="shared" si="250"/>
        <v>1.0089130434782609</v>
      </c>
      <c r="T659" s="76">
        <f t="shared" si="251"/>
        <v>0.98913043478260865</v>
      </c>
      <c r="U659" s="76">
        <f t="shared" si="252"/>
        <v>1.02</v>
      </c>
    </row>
    <row r="660" spans="1:21" x14ac:dyDescent="0.25">
      <c r="A660" s="71">
        <v>42</v>
      </c>
      <c r="B660" s="72">
        <f t="shared" si="253"/>
        <v>46905</v>
      </c>
      <c r="C660" s="73">
        <f t="shared" si="234"/>
        <v>46934</v>
      </c>
      <c r="D660" s="67">
        <f t="shared" si="235"/>
        <v>30</v>
      </c>
      <c r="E660" s="67">
        <f t="shared" si="236"/>
        <v>6</v>
      </c>
      <c r="F660" s="74">
        <f t="shared" si="237"/>
        <v>46920</v>
      </c>
      <c r="G660" s="67">
        <f t="shared" si="238"/>
        <v>24341</v>
      </c>
      <c r="H660" s="75">
        <f t="shared" si="239"/>
        <v>1</v>
      </c>
      <c r="I660" s="76">
        <f t="shared" si="240"/>
        <v>1.02</v>
      </c>
      <c r="J660" s="76">
        <f t="shared" si="241"/>
        <v>1.02</v>
      </c>
      <c r="K660" s="67">
        <f t="shared" si="242"/>
        <v>0</v>
      </c>
      <c r="L660" s="67">
        <f t="shared" si="243"/>
        <v>0</v>
      </c>
      <c r="M660" s="77">
        <f t="shared" si="244"/>
        <v>0</v>
      </c>
      <c r="N660" s="76">
        <f t="shared" si="245"/>
        <v>1.02</v>
      </c>
      <c r="O660" s="77">
        <f t="shared" si="246"/>
        <v>0.91</v>
      </c>
      <c r="P660" s="76">
        <f t="shared" si="247"/>
        <v>0</v>
      </c>
      <c r="Q660" s="76">
        <f t="shared" si="248"/>
        <v>0</v>
      </c>
      <c r="R660" s="76">
        <f t="shared" si="249"/>
        <v>1</v>
      </c>
      <c r="S660" s="76">
        <f t="shared" si="250"/>
        <v>1.0089130434782609</v>
      </c>
      <c r="T660" s="76">
        <f t="shared" si="251"/>
        <v>0.98913043478260865</v>
      </c>
      <c r="U660" s="76">
        <f t="shared" si="252"/>
        <v>1.02</v>
      </c>
    </row>
    <row r="661" spans="1:21" x14ac:dyDescent="0.25">
      <c r="A661" s="71">
        <v>43</v>
      </c>
      <c r="B661" s="72">
        <f t="shared" si="253"/>
        <v>46935</v>
      </c>
      <c r="C661" s="73">
        <f t="shared" si="234"/>
        <v>46965</v>
      </c>
      <c r="D661" s="67">
        <f t="shared" si="235"/>
        <v>31</v>
      </c>
      <c r="E661" s="67">
        <f t="shared" si="236"/>
        <v>7</v>
      </c>
      <c r="F661" s="74">
        <f t="shared" si="237"/>
        <v>46950.5</v>
      </c>
      <c r="G661" s="67">
        <f t="shared" si="238"/>
        <v>24342</v>
      </c>
      <c r="H661" s="75">
        <f t="shared" si="239"/>
        <v>1</v>
      </c>
      <c r="I661" s="76">
        <f t="shared" si="240"/>
        <v>1.02</v>
      </c>
      <c r="J661" s="76">
        <f t="shared" si="241"/>
        <v>1.02</v>
      </c>
      <c r="K661" s="67">
        <f t="shared" si="242"/>
        <v>0</v>
      </c>
      <c r="L661" s="67">
        <f t="shared" si="243"/>
        <v>0</v>
      </c>
      <c r="M661" s="77">
        <f t="shared" si="244"/>
        <v>0</v>
      </c>
      <c r="N661" s="76">
        <f t="shared" si="245"/>
        <v>1.02</v>
      </c>
      <c r="O661" s="77">
        <f t="shared" si="246"/>
        <v>0.91</v>
      </c>
      <c r="P661" s="76">
        <f t="shared" si="247"/>
        <v>0</v>
      </c>
      <c r="Q661" s="76">
        <f t="shared" si="248"/>
        <v>0</v>
      </c>
      <c r="R661" s="76">
        <f t="shared" si="249"/>
        <v>0.91666666666666663</v>
      </c>
      <c r="S661" s="76">
        <f t="shared" si="250"/>
        <v>1.0089130434782609</v>
      </c>
      <c r="T661" s="76">
        <f t="shared" si="251"/>
        <v>0.98913043478260865</v>
      </c>
      <c r="U661" s="76">
        <f t="shared" si="252"/>
        <v>1.02</v>
      </c>
    </row>
    <row r="662" spans="1:21" x14ac:dyDescent="0.25">
      <c r="A662" s="71">
        <v>44</v>
      </c>
      <c r="B662" s="72">
        <f t="shared" si="253"/>
        <v>46966</v>
      </c>
      <c r="C662" s="73">
        <f t="shared" si="234"/>
        <v>46996</v>
      </c>
      <c r="D662" s="67">
        <f t="shared" si="235"/>
        <v>31</v>
      </c>
      <c r="E662" s="67">
        <f t="shared" si="236"/>
        <v>8</v>
      </c>
      <c r="F662" s="74">
        <f t="shared" si="237"/>
        <v>46981.5</v>
      </c>
      <c r="G662" s="67">
        <f t="shared" si="238"/>
        <v>24343</v>
      </c>
      <c r="H662" s="75">
        <f t="shared" si="239"/>
        <v>1</v>
      </c>
      <c r="I662" s="76">
        <f t="shared" si="240"/>
        <v>1.02</v>
      </c>
      <c r="J662" s="76">
        <f t="shared" si="241"/>
        <v>1.02</v>
      </c>
      <c r="K662" s="67">
        <f t="shared" si="242"/>
        <v>0</v>
      </c>
      <c r="L662" s="67">
        <f t="shared" si="243"/>
        <v>0</v>
      </c>
      <c r="M662" s="77">
        <f t="shared" si="244"/>
        <v>0</v>
      </c>
      <c r="N662" s="76">
        <f t="shared" si="245"/>
        <v>1.02</v>
      </c>
      <c r="O662" s="77">
        <f t="shared" si="246"/>
        <v>0.91</v>
      </c>
      <c r="P662" s="76">
        <f t="shared" si="247"/>
        <v>0</v>
      </c>
      <c r="Q662" s="76">
        <f t="shared" si="248"/>
        <v>0</v>
      </c>
      <c r="R662" s="76">
        <f t="shared" si="249"/>
        <v>0.75</v>
      </c>
      <c r="S662" s="76">
        <f t="shared" si="250"/>
        <v>1.0089130434782609</v>
      </c>
      <c r="T662" s="76">
        <f t="shared" si="251"/>
        <v>0.98913043478260865</v>
      </c>
      <c r="U662" s="76">
        <f t="shared" si="252"/>
        <v>1.02</v>
      </c>
    </row>
    <row r="663" spans="1:21" x14ac:dyDescent="0.25">
      <c r="A663" s="71">
        <v>45</v>
      </c>
      <c r="B663" s="72">
        <f t="shared" si="253"/>
        <v>46997</v>
      </c>
      <c r="C663" s="73">
        <f t="shared" si="234"/>
        <v>47026</v>
      </c>
      <c r="D663" s="67">
        <f t="shared" si="235"/>
        <v>30</v>
      </c>
      <c r="E663" s="67">
        <f t="shared" si="236"/>
        <v>9</v>
      </c>
      <c r="F663" s="74">
        <f t="shared" si="237"/>
        <v>47012</v>
      </c>
      <c r="G663" s="67">
        <f t="shared" si="238"/>
        <v>24344</v>
      </c>
      <c r="H663" s="75">
        <f t="shared" si="239"/>
        <v>1</v>
      </c>
      <c r="I663" s="76">
        <f t="shared" si="240"/>
        <v>1.02</v>
      </c>
      <c r="J663" s="76">
        <f t="shared" si="241"/>
        <v>1.02</v>
      </c>
      <c r="K663" s="67">
        <f t="shared" si="242"/>
        <v>0</v>
      </c>
      <c r="L663" s="67">
        <f t="shared" si="243"/>
        <v>0</v>
      </c>
      <c r="M663" s="77">
        <f t="shared" si="244"/>
        <v>0</v>
      </c>
      <c r="N663" s="76">
        <f t="shared" si="245"/>
        <v>1.02</v>
      </c>
      <c r="O663" s="77">
        <f t="shared" si="246"/>
        <v>0.91</v>
      </c>
      <c r="P663" s="76">
        <f t="shared" si="247"/>
        <v>0</v>
      </c>
      <c r="Q663" s="76">
        <f t="shared" si="248"/>
        <v>0</v>
      </c>
      <c r="R663" s="76">
        <f t="shared" si="249"/>
        <v>0.58333333333333337</v>
      </c>
      <c r="S663" s="76">
        <f t="shared" si="250"/>
        <v>1.0089130434782609</v>
      </c>
      <c r="T663" s="76">
        <f t="shared" si="251"/>
        <v>0.98913043478260865</v>
      </c>
      <c r="U663" s="76">
        <f t="shared" si="252"/>
        <v>1.02</v>
      </c>
    </row>
    <row r="664" spans="1:21" x14ac:dyDescent="0.25">
      <c r="A664" s="71">
        <v>46</v>
      </c>
      <c r="B664" s="72">
        <f t="shared" si="253"/>
        <v>47027</v>
      </c>
      <c r="C664" s="73">
        <f t="shared" si="234"/>
        <v>47057</v>
      </c>
      <c r="D664" s="67">
        <f t="shared" si="235"/>
        <v>31</v>
      </c>
      <c r="E664" s="67">
        <f t="shared" si="236"/>
        <v>10</v>
      </c>
      <c r="F664" s="74">
        <f t="shared" si="237"/>
        <v>47042.5</v>
      </c>
      <c r="G664" s="67">
        <f t="shared" si="238"/>
        <v>24345</v>
      </c>
      <c r="H664" s="75">
        <f t="shared" si="239"/>
        <v>1</v>
      </c>
      <c r="I664" s="76">
        <f t="shared" si="240"/>
        <v>1.02</v>
      </c>
      <c r="J664" s="76">
        <f t="shared" si="241"/>
        <v>1.02</v>
      </c>
      <c r="K664" s="67">
        <f t="shared" si="242"/>
        <v>0</v>
      </c>
      <c r="L664" s="67">
        <f t="shared" si="243"/>
        <v>0</v>
      </c>
      <c r="M664" s="77">
        <f t="shared" si="244"/>
        <v>0</v>
      </c>
      <c r="N664" s="76">
        <f t="shared" si="245"/>
        <v>1.02</v>
      </c>
      <c r="O664" s="77">
        <f t="shared" si="246"/>
        <v>0.91</v>
      </c>
      <c r="P664" s="76">
        <f t="shared" si="247"/>
        <v>0</v>
      </c>
      <c r="Q664" s="76">
        <f t="shared" si="248"/>
        <v>0</v>
      </c>
      <c r="R664" s="76">
        <f t="shared" si="249"/>
        <v>0.41666666666666669</v>
      </c>
      <c r="S664" s="76">
        <f t="shared" si="250"/>
        <v>1.0089130434782609</v>
      </c>
      <c r="T664" s="76">
        <f t="shared" si="251"/>
        <v>0.98913043478260865</v>
      </c>
      <c r="U664" s="76">
        <f t="shared" si="252"/>
        <v>1.02</v>
      </c>
    </row>
    <row r="665" spans="1:21" x14ac:dyDescent="0.25">
      <c r="A665" s="71">
        <v>47</v>
      </c>
      <c r="B665" s="72">
        <f t="shared" si="253"/>
        <v>47058</v>
      </c>
      <c r="C665" s="73">
        <f t="shared" si="234"/>
        <v>47087</v>
      </c>
      <c r="D665" s="67">
        <f t="shared" si="235"/>
        <v>30</v>
      </c>
      <c r="E665" s="67">
        <f t="shared" si="236"/>
        <v>11</v>
      </c>
      <c r="F665" s="74">
        <f t="shared" si="237"/>
        <v>47073</v>
      </c>
      <c r="G665" s="67">
        <f t="shared" si="238"/>
        <v>24346</v>
      </c>
      <c r="H665" s="75">
        <f t="shared" si="239"/>
        <v>1</v>
      </c>
      <c r="I665" s="76">
        <f t="shared" si="240"/>
        <v>1.02</v>
      </c>
      <c r="J665" s="76">
        <f t="shared" si="241"/>
        <v>1.02</v>
      </c>
      <c r="K665" s="67">
        <f t="shared" si="242"/>
        <v>0</v>
      </c>
      <c r="L665" s="67">
        <f t="shared" si="243"/>
        <v>0</v>
      </c>
      <c r="M665" s="77">
        <f t="shared" si="244"/>
        <v>0</v>
      </c>
      <c r="N665" s="76">
        <f t="shared" si="245"/>
        <v>1.02</v>
      </c>
      <c r="O665" s="77">
        <f t="shared" si="246"/>
        <v>0.91</v>
      </c>
      <c r="P665" s="76">
        <f t="shared" si="247"/>
        <v>0</v>
      </c>
      <c r="Q665" s="76">
        <f t="shared" si="248"/>
        <v>0</v>
      </c>
      <c r="R665" s="76">
        <f t="shared" si="249"/>
        <v>0.25</v>
      </c>
      <c r="S665" s="76">
        <f t="shared" si="250"/>
        <v>1.0089130434782609</v>
      </c>
      <c r="T665" s="76">
        <f t="shared" si="251"/>
        <v>1.0089130434782609</v>
      </c>
      <c r="U665" s="76">
        <f t="shared" si="252"/>
        <v>1.02</v>
      </c>
    </row>
    <row r="666" spans="1:21" x14ac:dyDescent="0.25">
      <c r="A666" s="71">
        <v>48</v>
      </c>
      <c r="B666" s="72">
        <f t="shared" si="253"/>
        <v>47088</v>
      </c>
      <c r="C666" s="73">
        <f t="shared" si="234"/>
        <v>47118</v>
      </c>
      <c r="D666" s="67">
        <f t="shared" si="235"/>
        <v>31</v>
      </c>
      <c r="E666" s="67">
        <f t="shared" si="236"/>
        <v>12</v>
      </c>
      <c r="F666" s="74">
        <f t="shared" si="237"/>
        <v>47103.5</v>
      </c>
      <c r="G666" s="67">
        <f t="shared" si="238"/>
        <v>24347</v>
      </c>
      <c r="H666" s="75">
        <f t="shared" si="239"/>
        <v>1</v>
      </c>
      <c r="I666" s="76">
        <f t="shared" si="240"/>
        <v>1.02</v>
      </c>
      <c r="J666" s="76">
        <f t="shared" si="241"/>
        <v>1.02</v>
      </c>
      <c r="K666" s="67">
        <f t="shared" si="242"/>
        <v>0</v>
      </c>
      <c r="L666" s="67">
        <f t="shared" si="243"/>
        <v>0</v>
      </c>
      <c r="M666" s="77">
        <f t="shared" si="244"/>
        <v>0</v>
      </c>
      <c r="N666" s="76">
        <f t="shared" si="245"/>
        <v>1.02</v>
      </c>
      <c r="O666" s="77">
        <f t="shared" si="246"/>
        <v>0.91</v>
      </c>
      <c r="P666" s="76">
        <f t="shared" si="247"/>
        <v>0</v>
      </c>
      <c r="Q666" s="76">
        <f t="shared" si="248"/>
        <v>0</v>
      </c>
      <c r="R666" s="76">
        <f t="shared" si="249"/>
        <v>8.3333333333333329E-2</v>
      </c>
      <c r="S666" s="76">
        <f t="shared" si="250"/>
        <v>1.0089130434782609</v>
      </c>
      <c r="T666" s="76">
        <f t="shared" si="251"/>
        <v>1.0089130434782609</v>
      </c>
      <c r="U666" s="76">
        <f t="shared" si="252"/>
        <v>1.02</v>
      </c>
    </row>
    <row r="667" spans="1:21" x14ac:dyDescent="0.25">
      <c r="A667" s="81" t="s">
        <v>1187</v>
      </c>
      <c r="B667" s="53">
        <f>EXP(SUMPRODUCT((rl_key=$A$616)*(rl_cons="Y")*rl_ln1p))</f>
        <v>1.02</v>
      </c>
      <c r="C667" s="53">
        <f>SUMPRODUCT($H$619:$H$666,$P$619:$P$666,$U$619:$U$666)/SUMPRODUCT($H$619:$H$666,$P$619:$P$666)</f>
        <v>1.0005555555555556</v>
      </c>
      <c r="D667" s="53">
        <f>SUMPRODUCT($H$619:$H$666,$Q$619:$Q$666,$U$619:$U$666)/SUMPRODUCT($H$619:$H$666,$Q$619:$Q$666)</f>
        <v>1.0177777777777779</v>
      </c>
      <c r="E667" s="53">
        <f>SUMPRODUCT($H$619:$H$666,$R$619:$R$666,$U$619:$U$666)/SUMPRODUCT($H$619:$H$666,$R$619:$R$666)</f>
        <v>1.0200000000000002</v>
      </c>
      <c r="F667" s="172">
        <f>SUMPRODUCT($H$619:$H$666,$Q$619:$Q$666,$O$619:$O$666)/SUMPRODUCT($H$619:$H$666,$Q$619:$Q$666)</f>
        <v>0.90999999999999981</v>
      </c>
      <c r="G667" s="172">
        <f>SUMPRODUCT($H$619:$H$666,$R$619:$R$666,$O$619:$O$666)/SUMPRODUCT($H$619:$H$666,$R$619:$R$666)</f>
        <v>0.90999999999999981</v>
      </c>
    </row>
    <row r="670" spans="1:21" x14ac:dyDescent="0.25">
      <c r="A670" s="81" t="str">
        <f>INDEX(lr_key,12)</f>
        <v>BU-A|MI</v>
      </c>
      <c r="B670" s="81" t="str">
        <f>INDEX(lr_state,12)</f>
        <v>MI</v>
      </c>
      <c r="C670" s="55">
        <f>nr_TermMonths</f>
        <v>6</v>
      </c>
      <c r="D670" s="55">
        <f>IF(COUNTIF(se_state,$B670)=0,0,MATCH($B670,se_state,0))</f>
        <v>0</v>
      </c>
      <c r="E670" s="57">
        <f>IF($D670=0,0,INDEX(se_sum,$D670))</f>
        <v>0</v>
      </c>
      <c r="F670" s="172">
        <f>IF(N(INDEX(lr_mind,12))=0,1,INDEX(lr_mind,12))</f>
        <v>0.92</v>
      </c>
      <c r="G670" s="172">
        <f>IF(N(INDEX(lr_m0,12))=0,1,INDEX(lr_m0,12))</f>
        <v>0.91</v>
      </c>
      <c r="H670" s="54">
        <f>IF(N(INDEX(lr_m0asof,12))=0,DATE(nr_PlanYear-1,10,1),INDEX(lr_m0asof,12))</f>
        <v>46295</v>
      </c>
      <c r="I670" s="172">
        <f>IF(N(INDEX(lr_m1,12))=0,1,INDEX(lr_m1,12))</f>
        <v>0.92500000000000004</v>
      </c>
      <c r="J670" s="172">
        <f>INDEX(lr_mprior,12)</f>
        <v>0</v>
      </c>
      <c r="K670" s="172">
        <f>INDEX(lr_m2,12)</f>
        <v>0</v>
      </c>
      <c r="L670" s="81" t="b">
        <f>NOT(ISBLANK(INDEX(lr_netp,12)))</f>
        <v>0</v>
      </c>
      <c r="M670" s="52">
        <f>N(INDEX(lr_netp,12))</f>
        <v>0</v>
      </c>
      <c r="N670" s="52">
        <f>IF(ISBLANK(INDEX(lr_netp1,12)),$M$670,N(INDEX(lr_netp1,12)))</f>
        <v>0</v>
      </c>
      <c r="O670" s="55">
        <f>IF(AND(nr_ModAdjMaster="ON",INDEX(lr_modadj,12)="ON"),1,0)</f>
        <v>1</v>
      </c>
    </row>
    <row r="671" spans="1:21" x14ac:dyDescent="0.25">
      <c r="A671" s="81">
        <f>EDATE($H$670,-12)+1</f>
        <v>45931</v>
      </c>
      <c r="B671" s="81">
        <f>$H$670+1</f>
        <v>46296</v>
      </c>
      <c r="C671" s="81">
        <f>DATE(nr_PlanYear,12,31)+1</f>
        <v>46753</v>
      </c>
      <c r="D671" s="81">
        <f>DATE(nr_PlanYear+1,12,31)+1</f>
        <v>47119</v>
      </c>
      <c r="E671" s="81">
        <f>IF(N($J$670)=0,$F$671-($G$671-$F$671)/($C$671-$B$671)*($B$671-$A$671),$J$670)</f>
        <v>0.89801969365426693</v>
      </c>
      <c r="F671" s="81">
        <f>$G$670</f>
        <v>0.91</v>
      </c>
      <c r="G671" s="81">
        <f>$I$670</f>
        <v>0.92500000000000004</v>
      </c>
      <c r="H671" s="81">
        <f>IF(N($K$670)=0,$I$670,$K$670)</f>
        <v>0.92500000000000004</v>
      </c>
      <c r="I671" s="81">
        <f>($F$671-$E$671)/($B$671-$A$671)</f>
        <v>3.2822757111597549E-5</v>
      </c>
      <c r="J671" s="81">
        <f>($G$671-$F$671)/($C$671-$B$671)</f>
        <v>3.2822757111597407E-5</v>
      </c>
      <c r="K671" s="81">
        <f>($H$671-$G$671)/($D$671-$C$671)</f>
        <v>0</v>
      </c>
    </row>
    <row r="672" spans="1:21" ht="36" x14ac:dyDescent="0.25">
      <c r="A672" s="50" t="s">
        <v>211</v>
      </c>
      <c r="B672" s="50" t="s">
        <v>212</v>
      </c>
      <c r="C672" s="50" t="s">
        <v>213</v>
      </c>
      <c r="D672" s="50" t="s">
        <v>214</v>
      </c>
      <c r="E672" s="50" t="s">
        <v>215</v>
      </c>
      <c r="F672" s="50" t="s">
        <v>216</v>
      </c>
      <c r="G672" s="50" t="s">
        <v>217</v>
      </c>
      <c r="H672" s="50" t="s">
        <v>218</v>
      </c>
      <c r="I672" s="50" t="s">
        <v>219</v>
      </c>
      <c r="J672" s="50" t="s">
        <v>220</v>
      </c>
      <c r="K672" s="50" t="s">
        <v>221</v>
      </c>
      <c r="L672" s="50" t="s">
        <v>222</v>
      </c>
      <c r="M672" s="50" t="s">
        <v>223</v>
      </c>
      <c r="N672" s="50" t="s">
        <v>224</v>
      </c>
      <c r="O672" s="50" t="s">
        <v>225</v>
      </c>
      <c r="P672" s="50" t="s">
        <v>226</v>
      </c>
      <c r="Q672" s="50" t="s">
        <v>227</v>
      </c>
      <c r="R672" s="50" t="s">
        <v>228</v>
      </c>
      <c r="S672" s="50" t="s">
        <v>229</v>
      </c>
      <c r="T672" s="50" t="s">
        <v>230</v>
      </c>
      <c r="U672" s="50" t="s">
        <v>231</v>
      </c>
    </row>
    <row r="673" spans="1:21" x14ac:dyDescent="0.25">
      <c r="A673" s="71">
        <v>1</v>
      </c>
      <c r="B673" s="72">
        <f>DATE(nr_PlanYear-2,1,1)</f>
        <v>45658</v>
      </c>
      <c r="C673" s="73">
        <f t="shared" ref="C673:C720" si="254">EOMONTH($B673,0)</f>
        <v>45688</v>
      </c>
      <c r="D673" s="67">
        <f t="shared" ref="D673:D720" si="255">$C673-$B673+1</f>
        <v>31</v>
      </c>
      <c r="E673" s="67">
        <f t="shared" ref="E673:E720" si="256">MONTH($B673)</f>
        <v>1</v>
      </c>
      <c r="F673" s="74">
        <f t="shared" ref="F673:F720" si="257">($B673+$C673+1)/2</f>
        <v>45673.5</v>
      </c>
      <c r="G673" s="67">
        <f t="shared" ref="G673:G720" si="258">YEAR($B673)*12+MONTH($B673)-1</f>
        <v>24300</v>
      </c>
      <c r="H673" s="75">
        <f t="shared" ref="H673:H720" si="259">IF(OR(nr_SeasonOn="OFF",$D$670=0,$E$670=0),1,12*INDEX(se_block,$D$670,$E673)/$E$670)</f>
        <v>1</v>
      </c>
      <c r="I673" s="76">
        <f t="shared" ref="I673:I720" si="260">EXP(SUMPRODUCT((rl_eff&lt;$B673)*(rl_key=$A$670)*rl_ln1p))</f>
        <v>1</v>
      </c>
      <c r="J673" s="76">
        <f t="shared" ref="J673:J720" si="261">EXP(SUMPRODUCT((rl_eff&lt;=$C673)*(rl_key=$A$670)*rl_ln1p))</f>
        <v>1</v>
      </c>
      <c r="K673" s="67">
        <f t="shared" ref="K673:K720" si="262">COUNTIFS(rl_key,$A$670,rl_eff,"&gt;="&amp;$B673,rl_eff,"&lt;="&amp;$C673)</f>
        <v>0</v>
      </c>
      <c r="L673" s="67">
        <f t="shared" ref="L673:L720" si="263">SUMIFS(rl_daysafter,rl_key,$A$670,rl_effmonth,$B673,rl_first,1)</f>
        <v>0</v>
      </c>
      <c r="M673" s="77">
        <f t="shared" ref="M673:M720" si="264">IF($K673=0,0,MIN(1,$L673/$D673))</f>
        <v>0</v>
      </c>
      <c r="N673" s="76">
        <f t="shared" ref="N673:N720" si="265">IF($K673=0,$J673,(1-$M673)*$I673+$M673*$J673)</f>
        <v>1</v>
      </c>
      <c r="O673" s="77">
        <f t="shared" ref="O673:O720" si="266">IF($F673&lt;$B$671,$E$671+$I$671*($F673-$A$671),IF($F673&lt;$C$671,$F$671+$J$671*($F673-$B$671),$G$671+$K$671*($F673-$C$671)))</f>
        <v>0.88956783369803061</v>
      </c>
      <c r="P673" s="76">
        <f t="shared" ref="P673:P720" si="267">MIN(1,MAX(0,(nr_MEndPm1-$G673+0.5)/$C$670))-MIN(1,MAX(0,(nr_MStartPm1-1-$G673+0.5)/$C$670))</f>
        <v>0</v>
      </c>
      <c r="Q673" s="76">
        <f t="shared" ref="Q673:Q720" si="268">MIN(1,MAX(0,(nr_MEndP-$G673+0.5)/$C$670))-MIN(1,MAX(0,(nr_MStartP-1-$G673+0.5)/$C$670))</f>
        <v>0</v>
      </c>
      <c r="R673" s="76">
        <f t="shared" ref="R673:R720" si="269">MIN(1,MAX(0,(nr_MEndP1-$G673+0.5)/$C$670))-MIN(1,MAX(0,(nr_MStartP1-1-$G673+0.5)/$C$670))</f>
        <v>0</v>
      </c>
      <c r="S673" s="76">
        <f t="shared" ref="S673:S720" si="270">$N673*IF($O$670=1,$O673/$F$670,1)</f>
        <v>0.96692155836742455</v>
      </c>
      <c r="T673" s="76">
        <f t="shared" ref="T673:T720" si="271">IF($G673&lt;nr_MStartP,$S673,$T661*(1+IF($G673&lt;nr_MStartP1,$M$670,$N$670)))</f>
        <v>0.96692155836742455</v>
      </c>
      <c r="U673" s="76">
        <f t="shared" ref="U673:U720" si="272">IF($L$670,$T673,$N673)</f>
        <v>1</v>
      </c>
    </row>
    <row r="674" spans="1:21" x14ac:dyDescent="0.25">
      <c r="A674" s="71">
        <v>2</v>
      </c>
      <c r="B674" s="72">
        <f t="shared" ref="B674:B720" si="273">EDATE($B673,1)</f>
        <v>45689</v>
      </c>
      <c r="C674" s="73">
        <f t="shared" si="254"/>
        <v>45716</v>
      </c>
      <c r="D674" s="67">
        <f t="shared" si="255"/>
        <v>28</v>
      </c>
      <c r="E674" s="67">
        <f t="shared" si="256"/>
        <v>2</v>
      </c>
      <c r="F674" s="74">
        <f t="shared" si="257"/>
        <v>45703</v>
      </c>
      <c r="G674" s="67">
        <f t="shared" si="258"/>
        <v>24301</v>
      </c>
      <c r="H674" s="75">
        <f t="shared" si="259"/>
        <v>1</v>
      </c>
      <c r="I674" s="76">
        <f t="shared" si="260"/>
        <v>1</v>
      </c>
      <c r="J674" s="76">
        <f t="shared" si="261"/>
        <v>1</v>
      </c>
      <c r="K674" s="67">
        <f t="shared" si="262"/>
        <v>0</v>
      </c>
      <c r="L674" s="67">
        <f t="shared" si="263"/>
        <v>0</v>
      </c>
      <c r="M674" s="77">
        <f t="shared" si="264"/>
        <v>0</v>
      </c>
      <c r="N674" s="76">
        <f t="shared" si="265"/>
        <v>1</v>
      </c>
      <c r="O674" s="77">
        <f t="shared" si="266"/>
        <v>0.89053610503282266</v>
      </c>
      <c r="P674" s="76">
        <f t="shared" si="267"/>
        <v>0</v>
      </c>
      <c r="Q674" s="76">
        <f t="shared" si="268"/>
        <v>0</v>
      </c>
      <c r="R674" s="76">
        <f t="shared" si="269"/>
        <v>0</v>
      </c>
      <c r="S674" s="76">
        <f t="shared" si="270"/>
        <v>0.9679740272095898</v>
      </c>
      <c r="T674" s="76">
        <f t="shared" si="271"/>
        <v>0.9679740272095898</v>
      </c>
      <c r="U674" s="76">
        <f t="shared" si="272"/>
        <v>1</v>
      </c>
    </row>
    <row r="675" spans="1:21" x14ac:dyDescent="0.25">
      <c r="A675" s="71">
        <v>3</v>
      </c>
      <c r="B675" s="72">
        <f t="shared" si="273"/>
        <v>45717</v>
      </c>
      <c r="C675" s="73">
        <f t="shared" si="254"/>
        <v>45747</v>
      </c>
      <c r="D675" s="67">
        <f t="shared" si="255"/>
        <v>31</v>
      </c>
      <c r="E675" s="67">
        <f t="shared" si="256"/>
        <v>3</v>
      </c>
      <c r="F675" s="74">
        <f t="shared" si="257"/>
        <v>45732.5</v>
      </c>
      <c r="G675" s="67">
        <f t="shared" si="258"/>
        <v>24302</v>
      </c>
      <c r="H675" s="75">
        <f t="shared" si="259"/>
        <v>1</v>
      </c>
      <c r="I675" s="76">
        <f t="shared" si="260"/>
        <v>1</v>
      </c>
      <c r="J675" s="76">
        <f t="shared" si="261"/>
        <v>1</v>
      </c>
      <c r="K675" s="67">
        <f t="shared" si="262"/>
        <v>0</v>
      </c>
      <c r="L675" s="67">
        <f t="shared" si="263"/>
        <v>0</v>
      </c>
      <c r="M675" s="77">
        <f t="shared" si="264"/>
        <v>0</v>
      </c>
      <c r="N675" s="76">
        <f t="shared" si="265"/>
        <v>1</v>
      </c>
      <c r="O675" s="77">
        <f t="shared" si="266"/>
        <v>0.89150437636761481</v>
      </c>
      <c r="P675" s="76">
        <f t="shared" si="267"/>
        <v>0</v>
      </c>
      <c r="Q675" s="76">
        <f t="shared" si="268"/>
        <v>0</v>
      </c>
      <c r="R675" s="76">
        <f t="shared" si="269"/>
        <v>0</v>
      </c>
      <c r="S675" s="76">
        <f t="shared" si="270"/>
        <v>0.96902649605175517</v>
      </c>
      <c r="T675" s="76">
        <f t="shared" si="271"/>
        <v>0.96902649605175517</v>
      </c>
      <c r="U675" s="76">
        <f t="shared" si="272"/>
        <v>1</v>
      </c>
    </row>
    <row r="676" spans="1:21" x14ac:dyDescent="0.25">
      <c r="A676" s="71">
        <v>4</v>
      </c>
      <c r="B676" s="72">
        <f t="shared" si="273"/>
        <v>45748</v>
      </c>
      <c r="C676" s="73">
        <f t="shared" si="254"/>
        <v>45777</v>
      </c>
      <c r="D676" s="67">
        <f t="shared" si="255"/>
        <v>30</v>
      </c>
      <c r="E676" s="67">
        <f t="shared" si="256"/>
        <v>4</v>
      </c>
      <c r="F676" s="74">
        <f t="shared" si="257"/>
        <v>45763</v>
      </c>
      <c r="G676" s="67">
        <f t="shared" si="258"/>
        <v>24303</v>
      </c>
      <c r="H676" s="75">
        <f t="shared" si="259"/>
        <v>1</v>
      </c>
      <c r="I676" s="76">
        <f t="shared" si="260"/>
        <v>1</v>
      </c>
      <c r="J676" s="76">
        <f t="shared" si="261"/>
        <v>1</v>
      </c>
      <c r="K676" s="67">
        <f t="shared" si="262"/>
        <v>0</v>
      </c>
      <c r="L676" s="67">
        <f t="shared" si="263"/>
        <v>0</v>
      </c>
      <c r="M676" s="77">
        <f t="shared" si="264"/>
        <v>0</v>
      </c>
      <c r="N676" s="76">
        <f t="shared" si="265"/>
        <v>1</v>
      </c>
      <c r="O676" s="77">
        <f t="shared" si="266"/>
        <v>0.89250547045951856</v>
      </c>
      <c r="P676" s="76">
        <f t="shared" si="267"/>
        <v>0</v>
      </c>
      <c r="Q676" s="76">
        <f t="shared" si="268"/>
        <v>0</v>
      </c>
      <c r="R676" s="76">
        <f t="shared" si="269"/>
        <v>0</v>
      </c>
      <c r="S676" s="76">
        <f t="shared" si="270"/>
        <v>0.97011464180382445</v>
      </c>
      <c r="T676" s="76">
        <f t="shared" si="271"/>
        <v>0.97011464180382445</v>
      </c>
      <c r="U676" s="76">
        <f t="shared" si="272"/>
        <v>1</v>
      </c>
    </row>
    <row r="677" spans="1:21" x14ac:dyDescent="0.25">
      <c r="A677" s="71">
        <v>5</v>
      </c>
      <c r="B677" s="72">
        <f t="shared" si="273"/>
        <v>45778</v>
      </c>
      <c r="C677" s="73">
        <f t="shared" si="254"/>
        <v>45808</v>
      </c>
      <c r="D677" s="67">
        <f t="shared" si="255"/>
        <v>31</v>
      </c>
      <c r="E677" s="67">
        <f t="shared" si="256"/>
        <v>5</v>
      </c>
      <c r="F677" s="74">
        <f t="shared" si="257"/>
        <v>45793.5</v>
      </c>
      <c r="G677" s="67">
        <f t="shared" si="258"/>
        <v>24304</v>
      </c>
      <c r="H677" s="75">
        <f t="shared" si="259"/>
        <v>1</v>
      </c>
      <c r="I677" s="76">
        <f t="shared" si="260"/>
        <v>1</v>
      </c>
      <c r="J677" s="76">
        <f t="shared" si="261"/>
        <v>1</v>
      </c>
      <c r="K677" s="67">
        <f t="shared" si="262"/>
        <v>0</v>
      </c>
      <c r="L677" s="67">
        <f t="shared" si="263"/>
        <v>0</v>
      </c>
      <c r="M677" s="77">
        <f t="shared" si="264"/>
        <v>0</v>
      </c>
      <c r="N677" s="76">
        <f t="shared" si="265"/>
        <v>1</v>
      </c>
      <c r="O677" s="77">
        <f t="shared" si="266"/>
        <v>0.8935065645514223</v>
      </c>
      <c r="P677" s="76">
        <f t="shared" si="267"/>
        <v>0</v>
      </c>
      <c r="Q677" s="76">
        <f t="shared" si="268"/>
        <v>0</v>
      </c>
      <c r="R677" s="76">
        <f t="shared" si="269"/>
        <v>0</v>
      </c>
      <c r="S677" s="76">
        <f t="shared" si="270"/>
        <v>0.97120278755589373</v>
      </c>
      <c r="T677" s="76">
        <f t="shared" si="271"/>
        <v>0.97120278755589373</v>
      </c>
      <c r="U677" s="76">
        <f t="shared" si="272"/>
        <v>1</v>
      </c>
    </row>
    <row r="678" spans="1:21" x14ac:dyDescent="0.25">
      <c r="A678" s="71">
        <v>6</v>
      </c>
      <c r="B678" s="72">
        <f t="shared" si="273"/>
        <v>45809</v>
      </c>
      <c r="C678" s="73">
        <f t="shared" si="254"/>
        <v>45838</v>
      </c>
      <c r="D678" s="67">
        <f t="shared" si="255"/>
        <v>30</v>
      </c>
      <c r="E678" s="67">
        <f t="shared" si="256"/>
        <v>6</v>
      </c>
      <c r="F678" s="74">
        <f t="shared" si="257"/>
        <v>45824</v>
      </c>
      <c r="G678" s="67">
        <f t="shared" si="258"/>
        <v>24305</v>
      </c>
      <c r="H678" s="75">
        <f t="shared" si="259"/>
        <v>1</v>
      </c>
      <c r="I678" s="76">
        <f t="shared" si="260"/>
        <v>1</v>
      </c>
      <c r="J678" s="76">
        <f t="shared" si="261"/>
        <v>1</v>
      </c>
      <c r="K678" s="67">
        <f t="shared" si="262"/>
        <v>0</v>
      </c>
      <c r="L678" s="67">
        <f t="shared" si="263"/>
        <v>0</v>
      </c>
      <c r="M678" s="77">
        <f t="shared" si="264"/>
        <v>0</v>
      </c>
      <c r="N678" s="76">
        <f t="shared" si="265"/>
        <v>1</v>
      </c>
      <c r="O678" s="77">
        <f t="shared" si="266"/>
        <v>0.89450765864332604</v>
      </c>
      <c r="P678" s="76">
        <f t="shared" si="267"/>
        <v>0</v>
      </c>
      <c r="Q678" s="76">
        <f t="shared" si="268"/>
        <v>0</v>
      </c>
      <c r="R678" s="76">
        <f t="shared" si="269"/>
        <v>0</v>
      </c>
      <c r="S678" s="76">
        <f t="shared" si="270"/>
        <v>0.97229093330796301</v>
      </c>
      <c r="T678" s="76">
        <f t="shared" si="271"/>
        <v>0.97229093330796301</v>
      </c>
      <c r="U678" s="76">
        <f t="shared" si="272"/>
        <v>1</v>
      </c>
    </row>
    <row r="679" spans="1:21" x14ac:dyDescent="0.25">
      <c r="A679" s="71">
        <v>7</v>
      </c>
      <c r="B679" s="72">
        <f t="shared" si="273"/>
        <v>45839</v>
      </c>
      <c r="C679" s="73">
        <f t="shared" si="254"/>
        <v>45869</v>
      </c>
      <c r="D679" s="67">
        <f t="shared" si="255"/>
        <v>31</v>
      </c>
      <c r="E679" s="67">
        <f t="shared" si="256"/>
        <v>7</v>
      </c>
      <c r="F679" s="74">
        <f t="shared" si="257"/>
        <v>45854.5</v>
      </c>
      <c r="G679" s="67">
        <f t="shared" si="258"/>
        <v>24306</v>
      </c>
      <c r="H679" s="75">
        <f t="shared" si="259"/>
        <v>1</v>
      </c>
      <c r="I679" s="76">
        <f t="shared" si="260"/>
        <v>1</v>
      </c>
      <c r="J679" s="76">
        <f t="shared" si="261"/>
        <v>1</v>
      </c>
      <c r="K679" s="67">
        <f t="shared" si="262"/>
        <v>0</v>
      </c>
      <c r="L679" s="67">
        <f t="shared" si="263"/>
        <v>0</v>
      </c>
      <c r="M679" s="77">
        <f t="shared" si="264"/>
        <v>0</v>
      </c>
      <c r="N679" s="76">
        <f t="shared" si="265"/>
        <v>1</v>
      </c>
      <c r="O679" s="77">
        <f t="shared" si="266"/>
        <v>0.89550875273522967</v>
      </c>
      <c r="P679" s="76">
        <f t="shared" si="267"/>
        <v>8.333333333333337E-2</v>
      </c>
      <c r="Q679" s="76">
        <f t="shared" si="268"/>
        <v>0</v>
      </c>
      <c r="R679" s="76">
        <f t="shared" si="269"/>
        <v>0</v>
      </c>
      <c r="S679" s="76">
        <f t="shared" si="270"/>
        <v>0.97337907906003218</v>
      </c>
      <c r="T679" s="76">
        <f t="shared" si="271"/>
        <v>0.97337907906003218</v>
      </c>
      <c r="U679" s="76">
        <f t="shared" si="272"/>
        <v>1</v>
      </c>
    </row>
    <row r="680" spans="1:21" x14ac:dyDescent="0.25">
      <c r="A680" s="71">
        <v>8</v>
      </c>
      <c r="B680" s="72">
        <f t="shared" si="273"/>
        <v>45870</v>
      </c>
      <c r="C680" s="73">
        <f t="shared" si="254"/>
        <v>45900</v>
      </c>
      <c r="D680" s="67">
        <f t="shared" si="255"/>
        <v>31</v>
      </c>
      <c r="E680" s="67">
        <f t="shared" si="256"/>
        <v>8</v>
      </c>
      <c r="F680" s="74">
        <f t="shared" si="257"/>
        <v>45885.5</v>
      </c>
      <c r="G680" s="67">
        <f t="shared" si="258"/>
        <v>24307</v>
      </c>
      <c r="H680" s="75">
        <f t="shared" si="259"/>
        <v>1</v>
      </c>
      <c r="I680" s="76">
        <f t="shared" si="260"/>
        <v>1</v>
      </c>
      <c r="J680" s="76">
        <f t="shared" si="261"/>
        <v>1</v>
      </c>
      <c r="K680" s="67">
        <f t="shared" si="262"/>
        <v>0</v>
      </c>
      <c r="L680" s="67">
        <f t="shared" si="263"/>
        <v>0</v>
      </c>
      <c r="M680" s="77">
        <f t="shared" si="264"/>
        <v>0</v>
      </c>
      <c r="N680" s="76">
        <f t="shared" si="265"/>
        <v>1</v>
      </c>
      <c r="O680" s="77">
        <f t="shared" si="266"/>
        <v>0.89652625820568921</v>
      </c>
      <c r="P680" s="76">
        <f t="shared" si="267"/>
        <v>0.25</v>
      </c>
      <c r="Q680" s="76">
        <f t="shared" si="268"/>
        <v>0</v>
      </c>
      <c r="R680" s="76">
        <f t="shared" si="269"/>
        <v>0</v>
      </c>
      <c r="S680" s="76">
        <f t="shared" si="270"/>
        <v>0.97448506326705342</v>
      </c>
      <c r="T680" s="76">
        <f t="shared" si="271"/>
        <v>0.97448506326705342</v>
      </c>
      <c r="U680" s="76">
        <f t="shared" si="272"/>
        <v>1</v>
      </c>
    </row>
    <row r="681" spans="1:21" x14ac:dyDescent="0.25">
      <c r="A681" s="71">
        <v>9</v>
      </c>
      <c r="B681" s="72">
        <f t="shared" si="273"/>
        <v>45901</v>
      </c>
      <c r="C681" s="73">
        <f t="shared" si="254"/>
        <v>45930</v>
      </c>
      <c r="D681" s="67">
        <f t="shared" si="255"/>
        <v>30</v>
      </c>
      <c r="E681" s="67">
        <f t="shared" si="256"/>
        <v>9</v>
      </c>
      <c r="F681" s="74">
        <f t="shared" si="257"/>
        <v>45916</v>
      </c>
      <c r="G681" s="67">
        <f t="shared" si="258"/>
        <v>24308</v>
      </c>
      <c r="H681" s="75">
        <f t="shared" si="259"/>
        <v>1</v>
      </c>
      <c r="I681" s="76">
        <f t="shared" si="260"/>
        <v>1</v>
      </c>
      <c r="J681" s="76">
        <f t="shared" si="261"/>
        <v>1</v>
      </c>
      <c r="K681" s="67">
        <f t="shared" si="262"/>
        <v>0</v>
      </c>
      <c r="L681" s="67">
        <f t="shared" si="263"/>
        <v>0</v>
      </c>
      <c r="M681" s="77">
        <f t="shared" si="264"/>
        <v>0</v>
      </c>
      <c r="N681" s="76">
        <f t="shared" si="265"/>
        <v>1</v>
      </c>
      <c r="O681" s="77">
        <f t="shared" si="266"/>
        <v>0.89752735229759295</v>
      </c>
      <c r="P681" s="76">
        <f t="shared" si="267"/>
        <v>0.41666666666666663</v>
      </c>
      <c r="Q681" s="76">
        <f t="shared" si="268"/>
        <v>0</v>
      </c>
      <c r="R681" s="76">
        <f t="shared" si="269"/>
        <v>0</v>
      </c>
      <c r="S681" s="76">
        <f t="shared" si="270"/>
        <v>0.9755732090191227</v>
      </c>
      <c r="T681" s="76">
        <f t="shared" si="271"/>
        <v>0.9755732090191227</v>
      </c>
      <c r="U681" s="76">
        <f t="shared" si="272"/>
        <v>1</v>
      </c>
    </row>
    <row r="682" spans="1:21" x14ac:dyDescent="0.25">
      <c r="A682" s="71">
        <v>10</v>
      </c>
      <c r="B682" s="72">
        <f t="shared" si="273"/>
        <v>45931</v>
      </c>
      <c r="C682" s="73">
        <f t="shared" si="254"/>
        <v>45961</v>
      </c>
      <c r="D682" s="67">
        <f t="shared" si="255"/>
        <v>31</v>
      </c>
      <c r="E682" s="67">
        <f t="shared" si="256"/>
        <v>10</v>
      </c>
      <c r="F682" s="74">
        <f t="shared" si="257"/>
        <v>45946.5</v>
      </c>
      <c r="G682" s="67">
        <f t="shared" si="258"/>
        <v>24309</v>
      </c>
      <c r="H682" s="75">
        <f t="shared" si="259"/>
        <v>1</v>
      </c>
      <c r="I682" s="76">
        <f t="shared" si="260"/>
        <v>1</v>
      </c>
      <c r="J682" s="76">
        <f t="shared" si="261"/>
        <v>1</v>
      </c>
      <c r="K682" s="67">
        <f t="shared" si="262"/>
        <v>0</v>
      </c>
      <c r="L682" s="67">
        <f t="shared" si="263"/>
        <v>0</v>
      </c>
      <c r="M682" s="77">
        <f t="shared" si="264"/>
        <v>0</v>
      </c>
      <c r="N682" s="76">
        <f t="shared" si="265"/>
        <v>1</v>
      </c>
      <c r="O682" s="77">
        <f t="shared" si="266"/>
        <v>0.89852844638949669</v>
      </c>
      <c r="P682" s="76">
        <f t="shared" si="267"/>
        <v>0.58333333333333326</v>
      </c>
      <c r="Q682" s="76">
        <f t="shared" si="268"/>
        <v>0</v>
      </c>
      <c r="R682" s="76">
        <f t="shared" si="269"/>
        <v>0</v>
      </c>
      <c r="S682" s="76">
        <f t="shared" si="270"/>
        <v>0.97666135477119198</v>
      </c>
      <c r="T682" s="76">
        <f t="shared" si="271"/>
        <v>0.97666135477119198</v>
      </c>
      <c r="U682" s="76">
        <f t="shared" si="272"/>
        <v>1</v>
      </c>
    </row>
    <row r="683" spans="1:21" x14ac:dyDescent="0.25">
      <c r="A683" s="71">
        <v>11</v>
      </c>
      <c r="B683" s="72">
        <f t="shared" si="273"/>
        <v>45962</v>
      </c>
      <c r="C683" s="73">
        <f t="shared" si="254"/>
        <v>45991</v>
      </c>
      <c r="D683" s="67">
        <f t="shared" si="255"/>
        <v>30</v>
      </c>
      <c r="E683" s="67">
        <f t="shared" si="256"/>
        <v>11</v>
      </c>
      <c r="F683" s="74">
        <f t="shared" si="257"/>
        <v>45977</v>
      </c>
      <c r="G683" s="67">
        <f t="shared" si="258"/>
        <v>24310</v>
      </c>
      <c r="H683" s="75">
        <f t="shared" si="259"/>
        <v>1</v>
      </c>
      <c r="I683" s="76">
        <f t="shared" si="260"/>
        <v>1</v>
      </c>
      <c r="J683" s="76">
        <f t="shared" si="261"/>
        <v>1</v>
      </c>
      <c r="K683" s="67">
        <f t="shared" si="262"/>
        <v>0</v>
      </c>
      <c r="L683" s="67">
        <f t="shared" si="263"/>
        <v>0</v>
      </c>
      <c r="M683" s="77">
        <f t="shared" si="264"/>
        <v>0</v>
      </c>
      <c r="N683" s="76">
        <f t="shared" si="265"/>
        <v>1</v>
      </c>
      <c r="O683" s="77">
        <f t="shared" si="266"/>
        <v>0.89952954048140044</v>
      </c>
      <c r="P683" s="76">
        <f t="shared" si="267"/>
        <v>0.75</v>
      </c>
      <c r="Q683" s="76">
        <f t="shared" si="268"/>
        <v>0</v>
      </c>
      <c r="R683" s="76">
        <f t="shared" si="269"/>
        <v>0</v>
      </c>
      <c r="S683" s="76">
        <f t="shared" si="270"/>
        <v>0.97774950052326126</v>
      </c>
      <c r="T683" s="76">
        <f t="shared" si="271"/>
        <v>0.97774950052326126</v>
      </c>
      <c r="U683" s="76">
        <f t="shared" si="272"/>
        <v>1</v>
      </c>
    </row>
    <row r="684" spans="1:21" x14ac:dyDescent="0.25">
      <c r="A684" s="71">
        <v>12</v>
      </c>
      <c r="B684" s="72">
        <f t="shared" si="273"/>
        <v>45992</v>
      </c>
      <c r="C684" s="73">
        <f t="shared" si="254"/>
        <v>46022</v>
      </c>
      <c r="D684" s="67">
        <f t="shared" si="255"/>
        <v>31</v>
      </c>
      <c r="E684" s="67">
        <f t="shared" si="256"/>
        <v>12</v>
      </c>
      <c r="F684" s="74">
        <f t="shared" si="257"/>
        <v>46007.5</v>
      </c>
      <c r="G684" s="67">
        <f t="shared" si="258"/>
        <v>24311</v>
      </c>
      <c r="H684" s="75">
        <f t="shared" si="259"/>
        <v>1</v>
      </c>
      <c r="I684" s="76">
        <f t="shared" si="260"/>
        <v>1</v>
      </c>
      <c r="J684" s="76">
        <f t="shared" si="261"/>
        <v>1</v>
      </c>
      <c r="K684" s="67">
        <f t="shared" si="262"/>
        <v>0</v>
      </c>
      <c r="L684" s="67">
        <f t="shared" si="263"/>
        <v>0</v>
      </c>
      <c r="M684" s="77">
        <f t="shared" si="264"/>
        <v>0</v>
      </c>
      <c r="N684" s="76">
        <f t="shared" si="265"/>
        <v>1</v>
      </c>
      <c r="O684" s="77">
        <f t="shared" si="266"/>
        <v>0.90053063457330418</v>
      </c>
      <c r="P684" s="76">
        <f t="shared" si="267"/>
        <v>0.91666666666666663</v>
      </c>
      <c r="Q684" s="76">
        <f t="shared" si="268"/>
        <v>0</v>
      </c>
      <c r="R684" s="76">
        <f t="shared" si="269"/>
        <v>0</v>
      </c>
      <c r="S684" s="76">
        <f t="shared" si="270"/>
        <v>0.97883764627533054</v>
      </c>
      <c r="T684" s="76">
        <f t="shared" si="271"/>
        <v>0.97883764627533054</v>
      </c>
      <c r="U684" s="76">
        <f t="shared" si="272"/>
        <v>1</v>
      </c>
    </row>
    <row r="685" spans="1:21" x14ac:dyDescent="0.25">
      <c r="A685" s="71">
        <v>13</v>
      </c>
      <c r="B685" s="72">
        <f t="shared" si="273"/>
        <v>46023</v>
      </c>
      <c r="C685" s="73">
        <f t="shared" si="254"/>
        <v>46053</v>
      </c>
      <c r="D685" s="67">
        <f t="shared" si="255"/>
        <v>31</v>
      </c>
      <c r="E685" s="67">
        <f t="shared" si="256"/>
        <v>1</v>
      </c>
      <c r="F685" s="74">
        <f t="shared" si="257"/>
        <v>46038.5</v>
      </c>
      <c r="G685" s="67">
        <f t="shared" si="258"/>
        <v>24312</v>
      </c>
      <c r="H685" s="75">
        <f t="shared" si="259"/>
        <v>1</v>
      </c>
      <c r="I685" s="76">
        <f t="shared" si="260"/>
        <v>1</v>
      </c>
      <c r="J685" s="76">
        <f t="shared" si="261"/>
        <v>1</v>
      </c>
      <c r="K685" s="67">
        <f t="shared" si="262"/>
        <v>0</v>
      </c>
      <c r="L685" s="67">
        <f t="shared" si="263"/>
        <v>0</v>
      </c>
      <c r="M685" s="77">
        <f t="shared" si="264"/>
        <v>0</v>
      </c>
      <c r="N685" s="76">
        <f t="shared" si="265"/>
        <v>1</v>
      </c>
      <c r="O685" s="77">
        <f t="shared" si="266"/>
        <v>0.90154814004376371</v>
      </c>
      <c r="P685" s="76">
        <f t="shared" si="267"/>
        <v>1</v>
      </c>
      <c r="Q685" s="76">
        <f t="shared" si="268"/>
        <v>0</v>
      </c>
      <c r="R685" s="76">
        <f t="shared" si="269"/>
        <v>0</v>
      </c>
      <c r="S685" s="76">
        <f t="shared" si="270"/>
        <v>0.97994363048235178</v>
      </c>
      <c r="T685" s="76">
        <f t="shared" si="271"/>
        <v>0.97994363048235178</v>
      </c>
      <c r="U685" s="76">
        <f t="shared" si="272"/>
        <v>1</v>
      </c>
    </row>
    <row r="686" spans="1:21" x14ac:dyDescent="0.25">
      <c r="A686" s="71">
        <v>14</v>
      </c>
      <c r="B686" s="72">
        <f t="shared" si="273"/>
        <v>46054</v>
      </c>
      <c r="C686" s="73">
        <f t="shared" si="254"/>
        <v>46081</v>
      </c>
      <c r="D686" s="67">
        <f t="shared" si="255"/>
        <v>28</v>
      </c>
      <c r="E686" s="67">
        <f t="shared" si="256"/>
        <v>2</v>
      </c>
      <c r="F686" s="74">
        <f t="shared" si="257"/>
        <v>46068</v>
      </c>
      <c r="G686" s="67">
        <f t="shared" si="258"/>
        <v>24313</v>
      </c>
      <c r="H686" s="75">
        <f t="shared" si="259"/>
        <v>1</v>
      </c>
      <c r="I686" s="76">
        <f t="shared" si="260"/>
        <v>1</v>
      </c>
      <c r="J686" s="76">
        <f t="shared" si="261"/>
        <v>1</v>
      </c>
      <c r="K686" s="67">
        <f t="shared" si="262"/>
        <v>0</v>
      </c>
      <c r="L686" s="67">
        <f t="shared" si="263"/>
        <v>0</v>
      </c>
      <c r="M686" s="77">
        <f t="shared" si="264"/>
        <v>0</v>
      </c>
      <c r="N686" s="76">
        <f t="shared" si="265"/>
        <v>1</v>
      </c>
      <c r="O686" s="77">
        <f t="shared" si="266"/>
        <v>0.90251641137855576</v>
      </c>
      <c r="P686" s="76">
        <f t="shared" si="267"/>
        <v>1</v>
      </c>
      <c r="Q686" s="76">
        <f t="shared" si="268"/>
        <v>0</v>
      </c>
      <c r="R686" s="76">
        <f t="shared" si="269"/>
        <v>0</v>
      </c>
      <c r="S686" s="76">
        <f t="shared" si="270"/>
        <v>0.98099609932451703</v>
      </c>
      <c r="T686" s="76">
        <f t="shared" si="271"/>
        <v>0.98099609932451703</v>
      </c>
      <c r="U686" s="76">
        <f t="shared" si="272"/>
        <v>1</v>
      </c>
    </row>
    <row r="687" spans="1:21" x14ac:dyDescent="0.25">
      <c r="A687" s="71">
        <v>15</v>
      </c>
      <c r="B687" s="72">
        <f t="shared" si="273"/>
        <v>46082</v>
      </c>
      <c r="C687" s="73">
        <f t="shared" si="254"/>
        <v>46112</v>
      </c>
      <c r="D687" s="67">
        <f t="shared" si="255"/>
        <v>31</v>
      </c>
      <c r="E687" s="67">
        <f t="shared" si="256"/>
        <v>3</v>
      </c>
      <c r="F687" s="74">
        <f t="shared" si="257"/>
        <v>46097.5</v>
      </c>
      <c r="G687" s="67">
        <f t="shared" si="258"/>
        <v>24314</v>
      </c>
      <c r="H687" s="75">
        <f t="shared" si="259"/>
        <v>1</v>
      </c>
      <c r="I687" s="76">
        <f t="shared" si="260"/>
        <v>1</v>
      </c>
      <c r="J687" s="76">
        <f t="shared" si="261"/>
        <v>1</v>
      </c>
      <c r="K687" s="67">
        <f t="shared" si="262"/>
        <v>0</v>
      </c>
      <c r="L687" s="67">
        <f t="shared" si="263"/>
        <v>0</v>
      </c>
      <c r="M687" s="77">
        <f t="shared" si="264"/>
        <v>0</v>
      </c>
      <c r="N687" s="76">
        <f t="shared" si="265"/>
        <v>1</v>
      </c>
      <c r="O687" s="77">
        <f t="shared" si="266"/>
        <v>0.90348468271334792</v>
      </c>
      <c r="P687" s="76">
        <f t="shared" si="267"/>
        <v>1</v>
      </c>
      <c r="Q687" s="76">
        <f t="shared" si="268"/>
        <v>0</v>
      </c>
      <c r="R687" s="76">
        <f t="shared" si="269"/>
        <v>0</v>
      </c>
      <c r="S687" s="76">
        <f t="shared" si="270"/>
        <v>0.98204856816668251</v>
      </c>
      <c r="T687" s="76">
        <f t="shared" si="271"/>
        <v>0.98204856816668251</v>
      </c>
      <c r="U687" s="76">
        <f t="shared" si="272"/>
        <v>1</v>
      </c>
    </row>
    <row r="688" spans="1:21" x14ac:dyDescent="0.25">
      <c r="A688" s="71">
        <v>16</v>
      </c>
      <c r="B688" s="72">
        <f t="shared" si="273"/>
        <v>46113</v>
      </c>
      <c r="C688" s="73">
        <f t="shared" si="254"/>
        <v>46142</v>
      </c>
      <c r="D688" s="67">
        <f t="shared" si="255"/>
        <v>30</v>
      </c>
      <c r="E688" s="67">
        <f t="shared" si="256"/>
        <v>4</v>
      </c>
      <c r="F688" s="74">
        <f t="shared" si="257"/>
        <v>46128</v>
      </c>
      <c r="G688" s="67">
        <f t="shared" si="258"/>
        <v>24315</v>
      </c>
      <c r="H688" s="75">
        <f t="shared" si="259"/>
        <v>1</v>
      </c>
      <c r="I688" s="76">
        <f t="shared" si="260"/>
        <v>1</v>
      </c>
      <c r="J688" s="76">
        <f t="shared" si="261"/>
        <v>1</v>
      </c>
      <c r="K688" s="67">
        <f t="shared" si="262"/>
        <v>0</v>
      </c>
      <c r="L688" s="67">
        <f t="shared" si="263"/>
        <v>0</v>
      </c>
      <c r="M688" s="77">
        <f t="shared" si="264"/>
        <v>0</v>
      </c>
      <c r="N688" s="76">
        <f t="shared" si="265"/>
        <v>1</v>
      </c>
      <c r="O688" s="77">
        <f t="shared" si="266"/>
        <v>0.90448577680525166</v>
      </c>
      <c r="P688" s="76">
        <f t="shared" si="267"/>
        <v>1</v>
      </c>
      <c r="Q688" s="76">
        <f t="shared" si="268"/>
        <v>0</v>
      </c>
      <c r="R688" s="76">
        <f t="shared" si="269"/>
        <v>0</v>
      </c>
      <c r="S688" s="76">
        <f t="shared" si="270"/>
        <v>0.98313671391875179</v>
      </c>
      <c r="T688" s="76">
        <f t="shared" si="271"/>
        <v>0.98313671391875179</v>
      </c>
      <c r="U688" s="76">
        <f t="shared" si="272"/>
        <v>1</v>
      </c>
    </row>
    <row r="689" spans="1:21" x14ac:dyDescent="0.25">
      <c r="A689" s="71">
        <v>17</v>
      </c>
      <c r="B689" s="72">
        <f t="shared" si="273"/>
        <v>46143</v>
      </c>
      <c r="C689" s="73">
        <f t="shared" si="254"/>
        <v>46173</v>
      </c>
      <c r="D689" s="67">
        <f t="shared" si="255"/>
        <v>31</v>
      </c>
      <c r="E689" s="67">
        <f t="shared" si="256"/>
        <v>5</v>
      </c>
      <c r="F689" s="74">
        <f t="shared" si="257"/>
        <v>46158.5</v>
      </c>
      <c r="G689" s="67">
        <f t="shared" si="258"/>
        <v>24316</v>
      </c>
      <c r="H689" s="75">
        <f t="shared" si="259"/>
        <v>1</v>
      </c>
      <c r="I689" s="76">
        <f t="shared" si="260"/>
        <v>1</v>
      </c>
      <c r="J689" s="76">
        <f t="shared" si="261"/>
        <v>1</v>
      </c>
      <c r="K689" s="67">
        <f t="shared" si="262"/>
        <v>0</v>
      </c>
      <c r="L689" s="67">
        <f t="shared" si="263"/>
        <v>0</v>
      </c>
      <c r="M689" s="77">
        <f t="shared" si="264"/>
        <v>0</v>
      </c>
      <c r="N689" s="76">
        <f t="shared" si="265"/>
        <v>1</v>
      </c>
      <c r="O689" s="77">
        <f t="shared" si="266"/>
        <v>0.9054868708971554</v>
      </c>
      <c r="P689" s="76">
        <f t="shared" si="267"/>
        <v>1</v>
      </c>
      <c r="Q689" s="76">
        <f t="shared" si="268"/>
        <v>0</v>
      </c>
      <c r="R689" s="76">
        <f t="shared" si="269"/>
        <v>0</v>
      </c>
      <c r="S689" s="76">
        <f t="shared" si="270"/>
        <v>0.98422485967082107</v>
      </c>
      <c r="T689" s="76">
        <f t="shared" si="271"/>
        <v>0.98422485967082107</v>
      </c>
      <c r="U689" s="76">
        <f t="shared" si="272"/>
        <v>1</v>
      </c>
    </row>
    <row r="690" spans="1:21" x14ac:dyDescent="0.25">
      <c r="A690" s="71">
        <v>18</v>
      </c>
      <c r="B690" s="72">
        <f t="shared" si="273"/>
        <v>46174</v>
      </c>
      <c r="C690" s="73">
        <f t="shared" si="254"/>
        <v>46203</v>
      </c>
      <c r="D690" s="67">
        <f t="shared" si="255"/>
        <v>30</v>
      </c>
      <c r="E690" s="67">
        <f t="shared" si="256"/>
        <v>6</v>
      </c>
      <c r="F690" s="74">
        <f t="shared" si="257"/>
        <v>46189</v>
      </c>
      <c r="G690" s="67">
        <f t="shared" si="258"/>
        <v>24317</v>
      </c>
      <c r="H690" s="75">
        <f t="shared" si="259"/>
        <v>1</v>
      </c>
      <c r="I690" s="76">
        <f t="shared" si="260"/>
        <v>1</v>
      </c>
      <c r="J690" s="76">
        <f t="shared" si="261"/>
        <v>1</v>
      </c>
      <c r="K690" s="67">
        <f t="shared" si="262"/>
        <v>0</v>
      </c>
      <c r="L690" s="67">
        <f t="shared" si="263"/>
        <v>0</v>
      </c>
      <c r="M690" s="77">
        <f t="shared" si="264"/>
        <v>0</v>
      </c>
      <c r="N690" s="76">
        <f t="shared" si="265"/>
        <v>1</v>
      </c>
      <c r="O690" s="77">
        <f t="shared" si="266"/>
        <v>0.90648796498905915</v>
      </c>
      <c r="P690" s="76">
        <f t="shared" si="267"/>
        <v>1</v>
      </c>
      <c r="Q690" s="76">
        <f t="shared" si="268"/>
        <v>0</v>
      </c>
      <c r="R690" s="76">
        <f t="shared" si="269"/>
        <v>0</v>
      </c>
      <c r="S690" s="76">
        <f t="shared" si="270"/>
        <v>0.98531300542289035</v>
      </c>
      <c r="T690" s="76">
        <f t="shared" si="271"/>
        <v>0.98531300542289035</v>
      </c>
      <c r="U690" s="76">
        <f t="shared" si="272"/>
        <v>1</v>
      </c>
    </row>
    <row r="691" spans="1:21" x14ac:dyDescent="0.25">
      <c r="A691" s="71">
        <v>19</v>
      </c>
      <c r="B691" s="72">
        <f t="shared" si="273"/>
        <v>46204</v>
      </c>
      <c r="C691" s="73">
        <f t="shared" si="254"/>
        <v>46234</v>
      </c>
      <c r="D691" s="67">
        <f t="shared" si="255"/>
        <v>31</v>
      </c>
      <c r="E691" s="67">
        <f t="shared" si="256"/>
        <v>7</v>
      </c>
      <c r="F691" s="74">
        <f t="shared" si="257"/>
        <v>46219.5</v>
      </c>
      <c r="G691" s="67">
        <f t="shared" si="258"/>
        <v>24318</v>
      </c>
      <c r="H691" s="75">
        <f t="shared" si="259"/>
        <v>1</v>
      </c>
      <c r="I691" s="76">
        <f t="shared" si="260"/>
        <v>1</v>
      </c>
      <c r="J691" s="76">
        <f t="shared" si="261"/>
        <v>1</v>
      </c>
      <c r="K691" s="67">
        <f t="shared" si="262"/>
        <v>0</v>
      </c>
      <c r="L691" s="67">
        <f t="shared" si="263"/>
        <v>0</v>
      </c>
      <c r="M691" s="77">
        <f t="shared" si="264"/>
        <v>0</v>
      </c>
      <c r="N691" s="76">
        <f t="shared" si="265"/>
        <v>1</v>
      </c>
      <c r="O691" s="77">
        <f t="shared" si="266"/>
        <v>0.90748905908096278</v>
      </c>
      <c r="P691" s="76">
        <f t="shared" si="267"/>
        <v>0.91666666666666663</v>
      </c>
      <c r="Q691" s="76">
        <f t="shared" si="268"/>
        <v>8.333333333333337E-2</v>
      </c>
      <c r="R691" s="76">
        <f t="shared" si="269"/>
        <v>0</v>
      </c>
      <c r="S691" s="76">
        <f t="shared" si="270"/>
        <v>0.98640115117495952</v>
      </c>
      <c r="T691" s="76">
        <f t="shared" si="271"/>
        <v>0.98640115117495952</v>
      </c>
      <c r="U691" s="76">
        <f t="shared" si="272"/>
        <v>1</v>
      </c>
    </row>
    <row r="692" spans="1:21" x14ac:dyDescent="0.25">
      <c r="A692" s="71">
        <v>20</v>
      </c>
      <c r="B692" s="72">
        <f t="shared" si="273"/>
        <v>46235</v>
      </c>
      <c r="C692" s="73">
        <f t="shared" si="254"/>
        <v>46265</v>
      </c>
      <c r="D692" s="67">
        <f t="shared" si="255"/>
        <v>31</v>
      </c>
      <c r="E692" s="67">
        <f t="shared" si="256"/>
        <v>8</v>
      </c>
      <c r="F692" s="74">
        <f t="shared" si="257"/>
        <v>46250.5</v>
      </c>
      <c r="G692" s="67">
        <f t="shared" si="258"/>
        <v>24319</v>
      </c>
      <c r="H692" s="75">
        <f t="shared" si="259"/>
        <v>1</v>
      </c>
      <c r="I692" s="76">
        <f t="shared" si="260"/>
        <v>1</v>
      </c>
      <c r="J692" s="76">
        <f t="shared" si="261"/>
        <v>1</v>
      </c>
      <c r="K692" s="67">
        <f t="shared" si="262"/>
        <v>0</v>
      </c>
      <c r="L692" s="67">
        <f t="shared" si="263"/>
        <v>0</v>
      </c>
      <c r="M692" s="77">
        <f t="shared" si="264"/>
        <v>0</v>
      </c>
      <c r="N692" s="76">
        <f t="shared" si="265"/>
        <v>1</v>
      </c>
      <c r="O692" s="77">
        <f t="shared" si="266"/>
        <v>0.90850656455142231</v>
      </c>
      <c r="P692" s="76">
        <f t="shared" si="267"/>
        <v>0.75</v>
      </c>
      <c r="Q692" s="76">
        <f t="shared" si="268"/>
        <v>0.25</v>
      </c>
      <c r="R692" s="76">
        <f t="shared" si="269"/>
        <v>0</v>
      </c>
      <c r="S692" s="76">
        <f t="shared" si="270"/>
        <v>0.98750713538198076</v>
      </c>
      <c r="T692" s="76">
        <f t="shared" si="271"/>
        <v>0.98750713538198076</v>
      </c>
      <c r="U692" s="76">
        <f t="shared" si="272"/>
        <v>1</v>
      </c>
    </row>
    <row r="693" spans="1:21" x14ac:dyDescent="0.25">
      <c r="A693" s="71">
        <v>21</v>
      </c>
      <c r="B693" s="72">
        <f t="shared" si="273"/>
        <v>46266</v>
      </c>
      <c r="C693" s="73">
        <f t="shared" si="254"/>
        <v>46295</v>
      </c>
      <c r="D693" s="67">
        <f t="shared" si="255"/>
        <v>30</v>
      </c>
      <c r="E693" s="67">
        <f t="shared" si="256"/>
        <v>9</v>
      </c>
      <c r="F693" s="74">
        <f t="shared" si="257"/>
        <v>46281</v>
      </c>
      <c r="G693" s="67">
        <f t="shared" si="258"/>
        <v>24320</v>
      </c>
      <c r="H693" s="75">
        <f t="shared" si="259"/>
        <v>1</v>
      </c>
      <c r="I693" s="76">
        <f t="shared" si="260"/>
        <v>1</v>
      </c>
      <c r="J693" s="76">
        <f t="shared" si="261"/>
        <v>1</v>
      </c>
      <c r="K693" s="67">
        <f t="shared" si="262"/>
        <v>0</v>
      </c>
      <c r="L693" s="67">
        <f t="shared" si="263"/>
        <v>0</v>
      </c>
      <c r="M693" s="77">
        <f t="shared" si="264"/>
        <v>0</v>
      </c>
      <c r="N693" s="76">
        <f t="shared" si="265"/>
        <v>1</v>
      </c>
      <c r="O693" s="77">
        <f t="shared" si="266"/>
        <v>0.90950765864332606</v>
      </c>
      <c r="P693" s="76">
        <f t="shared" si="267"/>
        <v>0.58333333333333337</v>
      </c>
      <c r="Q693" s="76">
        <f t="shared" si="268"/>
        <v>0.41666666666666663</v>
      </c>
      <c r="R693" s="76">
        <f t="shared" si="269"/>
        <v>0</v>
      </c>
      <c r="S693" s="76">
        <f t="shared" si="270"/>
        <v>0.98859528113405004</v>
      </c>
      <c r="T693" s="76">
        <f t="shared" si="271"/>
        <v>0.98859528113405004</v>
      </c>
      <c r="U693" s="76">
        <f t="shared" si="272"/>
        <v>1</v>
      </c>
    </row>
    <row r="694" spans="1:21" x14ac:dyDescent="0.25">
      <c r="A694" s="71">
        <v>22</v>
      </c>
      <c r="B694" s="72">
        <f t="shared" si="273"/>
        <v>46296</v>
      </c>
      <c r="C694" s="73">
        <f t="shared" si="254"/>
        <v>46326</v>
      </c>
      <c r="D694" s="67">
        <f t="shared" si="255"/>
        <v>31</v>
      </c>
      <c r="E694" s="67">
        <f t="shared" si="256"/>
        <v>10</v>
      </c>
      <c r="F694" s="74">
        <f t="shared" si="257"/>
        <v>46311.5</v>
      </c>
      <c r="G694" s="67">
        <f t="shared" si="258"/>
        <v>24321</v>
      </c>
      <c r="H694" s="75">
        <f t="shared" si="259"/>
        <v>1</v>
      </c>
      <c r="I694" s="76">
        <f t="shared" si="260"/>
        <v>1</v>
      </c>
      <c r="J694" s="76">
        <f t="shared" si="261"/>
        <v>1</v>
      </c>
      <c r="K694" s="67">
        <f t="shared" si="262"/>
        <v>0</v>
      </c>
      <c r="L694" s="67">
        <f t="shared" si="263"/>
        <v>0</v>
      </c>
      <c r="M694" s="77">
        <f t="shared" si="264"/>
        <v>0</v>
      </c>
      <c r="N694" s="76">
        <f t="shared" si="265"/>
        <v>1</v>
      </c>
      <c r="O694" s="77">
        <f t="shared" si="266"/>
        <v>0.9105087527352298</v>
      </c>
      <c r="P694" s="76">
        <f t="shared" si="267"/>
        <v>0.41666666666666669</v>
      </c>
      <c r="Q694" s="76">
        <f t="shared" si="268"/>
        <v>0.58333333333333326</v>
      </c>
      <c r="R694" s="76">
        <f t="shared" si="269"/>
        <v>0</v>
      </c>
      <c r="S694" s="76">
        <f t="shared" si="270"/>
        <v>0.98968342688611932</v>
      </c>
      <c r="T694" s="76">
        <f t="shared" si="271"/>
        <v>0.98968342688611932</v>
      </c>
      <c r="U694" s="76">
        <f t="shared" si="272"/>
        <v>1</v>
      </c>
    </row>
    <row r="695" spans="1:21" x14ac:dyDescent="0.25">
      <c r="A695" s="71">
        <v>23</v>
      </c>
      <c r="B695" s="72">
        <f t="shared" si="273"/>
        <v>46327</v>
      </c>
      <c r="C695" s="73">
        <f t="shared" si="254"/>
        <v>46356</v>
      </c>
      <c r="D695" s="67">
        <f t="shared" si="255"/>
        <v>30</v>
      </c>
      <c r="E695" s="67">
        <f t="shared" si="256"/>
        <v>11</v>
      </c>
      <c r="F695" s="74">
        <f t="shared" si="257"/>
        <v>46342</v>
      </c>
      <c r="G695" s="67">
        <f t="shared" si="258"/>
        <v>24322</v>
      </c>
      <c r="H695" s="75">
        <f t="shared" si="259"/>
        <v>1</v>
      </c>
      <c r="I695" s="76">
        <f t="shared" si="260"/>
        <v>1</v>
      </c>
      <c r="J695" s="76">
        <f t="shared" si="261"/>
        <v>1</v>
      </c>
      <c r="K695" s="67">
        <f t="shared" si="262"/>
        <v>0</v>
      </c>
      <c r="L695" s="67">
        <f t="shared" si="263"/>
        <v>0</v>
      </c>
      <c r="M695" s="77">
        <f t="shared" si="264"/>
        <v>0</v>
      </c>
      <c r="N695" s="76">
        <f t="shared" si="265"/>
        <v>1</v>
      </c>
      <c r="O695" s="77">
        <f t="shared" si="266"/>
        <v>0.91150984682713354</v>
      </c>
      <c r="P695" s="76">
        <f t="shared" si="267"/>
        <v>0.25</v>
      </c>
      <c r="Q695" s="76">
        <f t="shared" si="268"/>
        <v>0.75</v>
      </c>
      <c r="R695" s="76">
        <f t="shared" si="269"/>
        <v>0</v>
      </c>
      <c r="S695" s="76">
        <f t="shared" si="270"/>
        <v>0.9907715726381886</v>
      </c>
      <c r="T695" s="76">
        <f t="shared" si="271"/>
        <v>0.9907715726381886</v>
      </c>
      <c r="U695" s="76">
        <f t="shared" si="272"/>
        <v>1</v>
      </c>
    </row>
    <row r="696" spans="1:21" x14ac:dyDescent="0.25">
      <c r="A696" s="71">
        <v>24</v>
      </c>
      <c r="B696" s="72">
        <f t="shared" si="273"/>
        <v>46357</v>
      </c>
      <c r="C696" s="73">
        <f t="shared" si="254"/>
        <v>46387</v>
      </c>
      <c r="D696" s="67">
        <f t="shared" si="255"/>
        <v>31</v>
      </c>
      <c r="E696" s="67">
        <f t="shared" si="256"/>
        <v>12</v>
      </c>
      <c r="F696" s="74">
        <f t="shared" si="257"/>
        <v>46372.5</v>
      </c>
      <c r="G696" s="67">
        <f t="shared" si="258"/>
        <v>24323</v>
      </c>
      <c r="H696" s="75">
        <f t="shared" si="259"/>
        <v>1</v>
      </c>
      <c r="I696" s="76">
        <f t="shared" si="260"/>
        <v>1</v>
      </c>
      <c r="J696" s="76">
        <f t="shared" si="261"/>
        <v>1</v>
      </c>
      <c r="K696" s="67">
        <f t="shared" si="262"/>
        <v>0</v>
      </c>
      <c r="L696" s="67">
        <f t="shared" si="263"/>
        <v>0</v>
      </c>
      <c r="M696" s="77">
        <f t="shared" si="264"/>
        <v>0</v>
      </c>
      <c r="N696" s="76">
        <f t="shared" si="265"/>
        <v>1</v>
      </c>
      <c r="O696" s="77">
        <f t="shared" si="266"/>
        <v>0.91251094091903728</v>
      </c>
      <c r="P696" s="76">
        <f t="shared" si="267"/>
        <v>8.3333333333333329E-2</v>
      </c>
      <c r="Q696" s="76">
        <f t="shared" si="268"/>
        <v>0.91666666666666663</v>
      </c>
      <c r="R696" s="76">
        <f t="shared" si="269"/>
        <v>0</v>
      </c>
      <c r="S696" s="76">
        <f t="shared" si="270"/>
        <v>0.99185971839025788</v>
      </c>
      <c r="T696" s="76">
        <f t="shared" si="271"/>
        <v>0.99185971839025788</v>
      </c>
      <c r="U696" s="76">
        <f t="shared" si="272"/>
        <v>1</v>
      </c>
    </row>
    <row r="697" spans="1:21" x14ac:dyDescent="0.25">
      <c r="A697" s="71">
        <v>25</v>
      </c>
      <c r="B697" s="72">
        <f t="shared" si="273"/>
        <v>46388</v>
      </c>
      <c r="C697" s="73">
        <f t="shared" si="254"/>
        <v>46418</v>
      </c>
      <c r="D697" s="67">
        <f t="shared" si="255"/>
        <v>31</v>
      </c>
      <c r="E697" s="67">
        <f t="shared" si="256"/>
        <v>1</v>
      </c>
      <c r="F697" s="74">
        <f t="shared" si="257"/>
        <v>46403.5</v>
      </c>
      <c r="G697" s="67">
        <f t="shared" si="258"/>
        <v>24324</v>
      </c>
      <c r="H697" s="75">
        <f t="shared" si="259"/>
        <v>1</v>
      </c>
      <c r="I697" s="76">
        <f t="shared" si="260"/>
        <v>1</v>
      </c>
      <c r="J697" s="76">
        <f t="shared" si="261"/>
        <v>1</v>
      </c>
      <c r="K697" s="67">
        <f t="shared" si="262"/>
        <v>0</v>
      </c>
      <c r="L697" s="67">
        <f t="shared" si="263"/>
        <v>0</v>
      </c>
      <c r="M697" s="77">
        <f t="shared" si="264"/>
        <v>0</v>
      </c>
      <c r="N697" s="76">
        <f t="shared" si="265"/>
        <v>1</v>
      </c>
      <c r="O697" s="77">
        <f t="shared" si="266"/>
        <v>0.91352844638949671</v>
      </c>
      <c r="P697" s="76">
        <f t="shared" si="267"/>
        <v>0</v>
      </c>
      <c r="Q697" s="76">
        <f t="shared" si="268"/>
        <v>1</v>
      </c>
      <c r="R697" s="76">
        <f t="shared" si="269"/>
        <v>0</v>
      </c>
      <c r="S697" s="76">
        <f t="shared" si="270"/>
        <v>0.99296570259727901</v>
      </c>
      <c r="T697" s="76">
        <f t="shared" si="271"/>
        <v>0.97994363048235178</v>
      </c>
      <c r="U697" s="76">
        <f t="shared" si="272"/>
        <v>1</v>
      </c>
    </row>
    <row r="698" spans="1:21" x14ac:dyDescent="0.25">
      <c r="A698" s="71">
        <v>26</v>
      </c>
      <c r="B698" s="72">
        <f t="shared" si="273"/>
        <v>46419</v>
      </c>
      <c r="C698" s="73">
        <f t="shared" si="254"/>
        <v>46446</v>
      </c>
      <c r="D698" s="67">
        <f t="shared" si="255"/>
        <v>28</v>
      </c>
      <c r="E698" s="67">
        <f t="shared" si="256"/>
        <v>2</v>
      </c>
      <c r="F698" s="74">
        <f t="shared" si="257"/>
        <v>46433</v>
      </c>
      <c r="G698" s="67">
        <f t="shared" si="258"/>
        <v>24325</v>
      </c>
      <c r="H698" s="75">
        <f t="shared" si="259"/>
        <v>1</v>
      </c>
      <c r="I698" s="76">
        <f t="shared" si="260"/>
        <v>1</v>
      </c>
      <c r="J698" s="76">
        <f t="shared" si="261"/>
        <v>1</v>
      </c>
      <c r="K698" s="67">
        <f t="shared" si="262"/>
        <v>0</v>
      </c>
      <c r="L698" s="67">
        <f t="shared" si="263"/>
        <v>0</v>
      </c>
      <c r="M698" s="77">
        <f t="shared" si="264"/>
        <v>0</v>
      </c>
      <c r="N698" s="76">
        <f t="shared" si="265"/>
        <v>1</v>
      </c>
      <c r="O698" s="77">
        <f t="shared" si="266"/>
        <v>0.91449671772428887</v>
      </c>
      <c r="P698" s="76">
        <f t="shared" si="267"/>
        <v>0</v>
      </c>
      <c r="Q698" s="76">
        <f t="shared" si="268"/>
        <v>1</v>
      </c>
      <c r="R698" s="76">
        <f t="shared" si="269"/>
        <v>0</v>
      </c>
      <c r="S698" s="76">
        <f t="shared" si="270"/>
        <v>0.99401817143944438</v>
      </c>
      <c r="T698" s="76">
        <f t="shared" si="271"/>
        <v>0.98099609932451703</v>
      </c>
      <c r="U698" s="76">
        <f t="shared" si="272"/>
        <v>1</v>
      </c>
    </row>
    <row r="699" spans="1:21" x14ac:dyDescent="0.25">
      <c r="A699" s="71">
        <v>27</v>
      </c>
      <c r="B699" s="72">
        <f t="shared" si="273"/>
        <v>46447</v>
      </c>
      <c r="C699" s="73">
        <f t="shared" si="254"/>
        <v>46477</v>
      </c>
      <c r="D699" s="67">
        <f t="shared" si="255"/>
        <v>31</v>
      </c>
      <c r="E699" s="67">
        <f t="shared" si="256"/>
        <v>3</v>
      </c>
      <c r="F699" s="74">
        <f t="shared" si="257"/>
        <v>46462.5</v>
      </c>
      <c r="G699" s="67">
        <f t="shared" si="258"/>
        <v>24326</v>
      </c>
      <c r="H699" s="75">
        <f t="shared" si="259"/>
        <v>1</v>
      </c>
      <c r="I699" s="76">
        <f t="shared" si="260"/>
        <v>1</v>
      </c>
      <c r="J699" s="76">
        <f t="shared" si="261"/>
        <v>1</v>
      </c>
      <c r="K699" s="67">
        <f t="shared" si="262"/>
        <v>0</v>
      </c>
      <c r="L699" s="67">
        <f t="shared" si="263"/>
        <v>0</v>
      </c>
      <c r="M699" s="77">
        <f t="shared" si="264"/>
        <v>0</v>
      </c>
      <c r="N699" s="76">
        <f t="shared" si="265"/>
        <v>1</v>
      </c>
      <c r="O699" s="77">
        <f t="shared" si="266"/>
        <v>0.91546498905908102</v>
      </c>
      <c r="P699" s="76">
        <f t="shared" si="267"/>
        <v>0</v>
      </c>
      <c r="Q699" s="76">
        <f t="shared" si="268"/>
        <v>1</v>
      </c>
      <c r="R699" s="76">
        <f t="shared" si="269"/>
        <v>0</v>
      </c>
      <c r="S699" s="76">
        <f t="shared" si="270"/>
        <v>0.99507064028160974</v>
      </c>
      <c r="T699" s="76">
        <f t="shared" si="271"/>
        <v>0.98204856816668251</v>
      </c>
      <c r="U699" s="76">
        <f t="shared" si="272"/>
        <v>1</v>
      </c>
    </row>
    <row r="700" spans="1:21" x14ac:dyDescent="0.25">
      <c r="A700" s="71">
        <v>28</v>
      </c>
      <c r="B700" s="72">
        <f t="shared" si="273"/>
        <v>46478</v>
      </c>
      <c r="C700" s="73">
        <f t="shared" si="254"/>
        <v>46507</v>
      </c>
      <c r="D700" s="67">
        <f t="shared" si="255"/>
        <v>30</v>
      </c>
      <c r="E700" s="67">
        <f t="shared" si="256"/>
        <v>4</v>
      </c>
      <c r="F700" s="74">
        <f t="shared" si="257"/>
        <v>46493</v>
      </c>
      <c r="G700" s="67">
        <f t="shared" si="258"/>
        <v>24327</v>
      </c>
      <c r="H700" s="75">
        <f t="shared" si="259"/>
        <v>1</v>
      </c>
      <c r="I700" s="76">
        <f t="shared" si="260"/>
        <v>1</v>
      </c>
      <c r="J700" s="76">
        <f t="shared" si="261"/>
        <v>1</v>
      </c>
      <c r="K700" s="67">
        <f t="shared" si="262"/>
        <v>0</v>
      </c>
      <c r="L700" s="67">
        <f t="shared" si="263"/>
        <v>0</v>
      </c>
      <c r="M700" s="77">
        <f t="shared" si="264"/>
        <v>0</v>
      </c>
      <c r="N700" s="76">
        <f t="shared" si="265"/>
        <v>1</v>
      </c>
      <c r="O700" s="77">
        <f t="shared" si="266"/>
        <v>0.91646608315098477</v>
      </c>
      <c r="P700" s="76">
        <f t="shared" si="267"/>
        <v>0</v>
      </c>
      <c r="Q700" s="76">
        <f t="shared" si="268"/>
        <v>1</v>
      </c>
      <c r="R700" s="76">
        <f t="shared" si="269"/>
        <v>0</v>
      </c>
      <c r="S700" s="76">
        <f t="shared" si="270"/>
        <v>0.99615878603367902</v>
      </c>
      <c r="T700" s="76">
        <f t="shared" si="271"/>
        <v>0.98313671391875179</v>
      </c>
      <c r="U700" s="76">
        <f t="shared" si="272"/>
        <v>1</v>
      </c>
    </row>
    <row r="701" spans="1:21" x14ac:dyDescent="0.25">
      <c r="A701" s="71">
        <v>29</v>
      </c>
      <c r="B701" s="72">
        <f t="shared" si="273"/>
        <v>46508</v>
      </c>
      <c r="C701" s="73">
        <f t="shared" si="254"/>
        <v>46538</v>
      </c>
      <c r="D701" s="67">
        <f t="shared" si="255"/>
        <v>31</v>
      </c>
      <c r="E701" s="67">
        <f t="shared" si="256"/>
        <v>5</v>
      </c>
      <c r="F701" s="74">
        <f t="shared" si="257"/>
        <v>46523.5</v>
      </c>
      <c r="G701" s="67">
        <f t="shared" si="258"/>
        <v>24328</v>
      </c>
      <c r="H701" s="75">
        <f t="shared" si="259"/>
        <v>1</v>
      </c>
      <c r="I701" s="76">
        <f t="shared" si="260"/>
        <v>1</v>
      </c>
      <c r="J701" s="76">
        <f t="shared" si="261"/>
        <v>1</v>
      </c>
      <c r="K701" s="67">
        <f t="shared" si="262"/>
        <v>0</v>
      </c>
      <c r="L701" s="67">
        <f t="shared" si="263"/>
        <v>0</v>
      </c>
      <c r="M701" s="77">
        <f t="shared" si="264"/>
        <v>0</v>
      </c>
      <c r="N701" s="76">
        <f t="shared" si="265"/>
        <v>1</v>
      </c>
      <c r="O701" s="77">
        <f t="shared" si="266"/>
        <v>0.9174671772428884</v>
      </c>
      <c r="P701" s="76">
        <f t="shared" si="267"/>
        <v>0</v>
      </c>
      <c r="Q701" s="76">
        <f t="shared" si="268"/>
        <v>1</v>
      </c>
      <c r="R701" s="76">
        <f t="shared" si="269"/>
        <v>0</v>
      </c>
      <c r="S701" s="76">
        <f t="shared" si="270"/>
        <v>0.99724693178574819</v>
      </c>
      <c r="T701" s="76">
        <f t="shared" si="271"/>
        <v>0.98422485967082107</v>
      </c>
      <c r="U701" s="76">
        <f t="shared" si="272"/>
        <v>1</v>
      </c>
    </row>
    <row r="702" spans="1:21" x14ac:dyDescent="0.25">
      <c r="A702" s="71">
        <v>30</v>
      </c>
      <c r="B702" s="72">
        <f t="shared" si="273"/>
        <v>46539</v>
      </c>
      <c r="C702" s="73">
        <f t="shared" si="254"/>
        <v>46568</v>
      </c>
      <c r="D702" s="67">
        <f t="shared" si="255"/>
        <v>30</v>
      </c>
      <c r="E702" s="67">
        <f t="shared" si="256"/>
        <v>6</v>
      </c>
      <c r="F702" s="74">
        <f t="shared" si="257"/>
        <v>46554</v>
      </c>
      <c r="G702" s="67">
        <f t="shared" si="258"/>
        <v>24329</v>
      </c>
      <c r="H702" s="75">
        <f t="shared" si="259"/>
        <v>1</v>
      </c>
      <c r="I702" s="76">
        <f t="shared" si="260"/>
        <v>1</v>
      </c>
      <c r="J702" s="76">
        <f t="shared" si="261"/>
        <v>1</v>
      </c>
      <c r="K702" s="67">
        <f t="shared" si="262"/>
        <v>0</v>
      </c>
      <c r="L702" s="67">
        <f t="shared" si="263"/>
        <v>0</v>
      </c>
      <c r="M702" s="77">
        <f t="shared" si="264"/>
        <v>0</v>
      </c>
      <c r="N702" s="76">
        <f t="shared" si="265"/>
        <v>1</v>
      </c>
      <c r="O702" s="77">
        <f t="shared" si="266"/>
        <v>0.91846827133479214</v>
      </c>
      <c r="P702" s="76">
        <f t="shared" si="267"/>
        <v>0</v>
      </c>
      <c r="Q702" s="76">
        <f t="shared" si="268"/>
        <v>1</v>
      </c>
      <c r="R702" s="76">
        <f t="shared" si="269"/>
        <v>0</v>
      </c>
      <c r="S702" s="76">
        <f t="shared" si="270"/>
        <v>0.99833507753781747</v>
      </c>
      <c r="T702" s="76">
        <f t="shared" si="271"/>
        <v>0.98531300542289035</v>
      </c>
      <c r="U702" s="76">
        <f t="shared" si="272"/>
        <v>1</v>
      </c>
    </row>
    <row r="703" spans="1:21" x14ac:dyDescent="0.25">
      <c r="A703" s="71">
        <v>31</v>
      </c>
      <c r="B703" s="72">
        <f t="shared" si="273"/>
        <v>46569</v>
      </c>
      <c r="C703" s="73">
        <f t="shared" si="254"/>
        <v>46599</v>
      </c>
      <c r="D703" s="67">
        <f t="shared" si="255"/>
        <v>31</v>
      </c>
      <c r="E703" s="67">
        <f t="shared" si="256"/>
        <v>7</v>
      </c>
      <c r="F703" s="74">
        <f t="shared" si="257"/>
        <v>46584.5</v>
      </c>
      <c r="G703" s="67">
        <f t="shared" si="258"/>
        <v>24330</v>
      </c>
      <c r="H703" s="75">
        <f t="shared" si="259"/>
        <v>1</v>
      </c>
      <c r="I703" s="76">
        <f t="shared" si="260"/>
        <v>1</v>
      </c>
      <c r="J703" s="76">
        <f t="shared" si="261"/>
        <v>1</v>
      </c>
      <c r="K703" s="67">
        <f t="shared" si="262"/>
        <v>0</v>
      </c>
      <c r="L703" s="67">
        <f t="shared" si="263"/>
        <v>0</v>
      </c>
      <c r="M703" s="77">
        <f t="shared" si="264"/>
        <v>0</v>
      </c>
      <c r="N703" s="76">
        <f t="shared" si="265"/>
        <v>1</v>
      </c>
      <c r="O703" s="77">
        <f t="shared" si="266"/>
        <v>0.91946936542669588</v>
      </c>
      <c r="P703" s="76">
        <f t="shared" si="267"/>
        <v>0</v>
      </c>
      <c r="Q703" s="76">
        <f t="shared" si="268"/>
        <v>0.91666666666666663</v>
      </c>
      <c r="R703" s="76">
        <f t="shared" si="269"/>
        <v>8.333333333333337E-2</v>
      </c>
      <c r="S703" s="76">
        <f t="shared" si="270"/>
        <v>0.99942322328988675</v>
      </c>
      <c r="T703" s="76">
        <f t="shared" si="271"/>
        <v>0.98640115117495952</v>
      </c>
      <c r="U703" s="76">
        <f t="shared" si="272"/>
        <v>1</v>
      </c>
    </row>
    <row r="704" spans="1:21" x14ac:dyDescent="0.25">
      <c r="A704" s="71">
        <v>32</v>
      </c>
      <c r="B704" s="72">
        <f t="shared" si="273"/>
        <v>46600</v>
      </c>
      <c r="C704" s="73">
        <f t="shared" si="254"/>
        <v>46630</v>
      </c>
      <c r="D704" s="67">
        <f t="shared" si="255"/>
        <v>31</v>
      </c>
      <c r="E704" s="67">
        <f t="shared" si="256"/>
        <v>8</v>
      </c>
      <c r="F704" s="74">
        <f t="shared" si="257"/>
        <v>46615.5</v>
      </c>
      <c r="G704" s="67">
        <f t="shared" si="258"/>
        <v>24331</v>
      </c>
      <c r="H704" s="75">
        <f t="shared" si="259"/>
        <v>1</v>
      </c>
      <c r="I704" s="76">
        <f t="shared" si="260"/>
        <v>1</v>
      </c>
      <c r="J704" s="76">
        <f t="shared" si="261"/>
        <v>1</v>
      </c>
      <c r="K704" s="67">
        <f t="shared" si="262"/>
        <v>0</v>
      </c>
      <c r="L704" s="67">
        <f t="shared" si="263"/>
        <v>0</v>
      </c>
      <c r="M704" s="77">
        <f t="shared" si="264"/>
        <v>0</v>
      </c>
      <c r="N704" s="76">
        <f t="shared" si="265"/>
        <v>1</v>
      </c>
      <c r="O704" s="77">
        <f t="shared" si="266"/>
        <v>0.92048687089715542</v>
      </c>
      <c r="P704" s="76">
        <f t="shared" si="267"/>
        <v>0</v>
      </c>
      <c r="Q704" s="76">
        <f t="shared" si="268"/>
        <v>0.75</v>
      </c>
      <c r="R704" s="76">
        <f t="shared" si="269"/>
        <v>0.25</v>
      </c>
      <c r="S704" s="76">
        <f t="shared" si="270"/>
        <v>1.0005292074969081</v>
      </c>
      <c r="T704" s="76">
        <f t="shared" si="271"/>
        <v>0.98750713538198076</v>
      </c>
      <c r="U704" s="76">
        <f t="shared" si="272"/>
        <v>1</v>
      </c>
    </row>
    <row r="705" spans="1:21" x14ac:dyDescent="0.25">
      <c r="A705" s="71">
        <v>33</v>
      </c>
      <c r="B705" s="72">
        <f t="shared" si="273"/>
        <v>46631</v>
      </c>
      <c r="C705" s="73">
        <f t="shared" si="254"/>
        <v>46660</v>
      </c>
      <c r="D705" s="67">
        <f t="shared" si="255"/>
        <v>30</v>
      </c>
      <c r="E705" s="67">
        <f t="shared" si="256"/>
        <v>9</v>
      </c>
      <c r="F705" s="74">
        <f t="shared" si="257"/>
        <v>46646</v>
      </c>
      <c r="G705" s="67">
        <f t="shared" si="258"/>
        <v>24332</v>
      </c>
      <c r="H705" s="75">
        <f t="shared" si="259"/>
        <v>1</v>
      </c>
      <c r="I705" s="76">
        <f t="shared" si="260"/>
        <v>1</v>
      </c>
      <c r="J705" s="76">
        <f t="shared" si="261"/>
        <v>1</v>
      </c>
      <c r="K705" s="67">
        <f t="shared" si="262"/>
        <v>0</v>
      </c>
      <c r="L705" s="67">
        <f t="shared" si="263"/>
        <v>0</v>
      </c>
      <c r="M705" s="77">
        <f t="shared" si="264"/>
        <v>0</v>
      </c>
      <c r="N705" s="76">
        <f t="shared" si="265"/>
        <v>1</v>
      </c>
      <c r="O705" s="77">
        <f t="shared" si="266"/>
        <v>0.92148796498905916</v>
      </c>
      <c r="P705" s="76">
        <f t="shared" si="267"/>
        <v>0</v>
      </c>
      <c r="Q705" s="76">
        <f t="shared" si="268"/>
        <v>0.58333333333333337</v>
      </c>
      <c r="R705" s="76">
        <f t="shared" si="269"/>
        <v>0.41666666666666663</v>
      </c>
      <c r="S705" s="76">
        <f t="shared" si="270"/>
        <v>1.0016173532489774</v>
      </c>
      <c r="T705" s="76">
        <f t="shared" si="271"/>
        <v>0.98859528113405004</v>
      </c>
      <c r="U705" s="76">
        <f t="shared" si="272"/>
        <v>1</v>
      </c>
    </row>
    <row r="706" spans="1:21" x14ac:dyDescent="0.25">
      <c r="A706" s="71">
        <v>34</v>
      </c>
      <c r="B706" s="72">
        <f t="shared" si="273"/>
        <v>46661</v>
      </c>
      <c r="C706" s="73">
        <f t="shared" si="254"/>
        <v>46691</v>
      </c>
      <c r="D706" s="67">
        <f t="shared" si="255"/>
        <v>31</v>
      </c>
      <c r="E706" s="67">
        <f t="shared" si="256"/>
        <v>10</v>
      </c>
      <c r="F706" s="74">
        <f t="shared" si="257"/>
        <v>46676.5</v>
      </c>
      <c r="G706" s="67">
        <f t="shared" si="258"/>
        <v>24333</v>
      </c>
      <c r="H706" s="75">
        <f t="shared" si="259"/>
        <v>1</v>
      </c>
      <c r="I706" s="76">
        <f t="shared" si="260"/>
        <v>1</v>
      </c>
      <c r="J706" s="76">
        <f t="shared" si="261"/>
        <v>1</v>
      </c>
      <c r="K706" s="67">
        <f t="shared" si="262"/>
        <v>0</v>
      </c>
      <c r="L706" s="67">
        <f t="shared" si="263"/>
        <v>0</v>
      </c>
      <c r="M706" s="77">
        <f t="shared" si="264"/>
        <v>0</v>
      </c>
      <c r="N706" s="76">
        <f t="shared" si="265"/>
        <v>1</v>
      </c>
      <c r="O706" s="77">
        <f t="shared" si="266"/>
        <v>0.92248905908096279</v>
      </c>
      <c r="P706" s="76">
        <f t="shared" si="267"/>
        <v>0</v>
      </c>
      <c r="Q706" s="76">
        <f t="shared" si="268"/>
        <v>0.41666666666666669</v>
      </c>
      <c r="R706" s="76">
        <f t="shared" si="269"/>
        <v>0.58333333333333326</v>
      </c>
      <c r="S706" s="76">
        <f t="shared" si="270"/>
        <v>1.0027054990010464</v>
      </c>
      <c r="T706" s="76">
        <f t="shared" si="271"/>
        <v>0.98968342688611932</v>
      </c>
      <c r="U706" s="76">
        <f t="shared" si="272"/>
        <v>1</v>
      </c>
    </row>
    <row r="707" spans="1:21" x14ac:dyDescent="0.25">
      <c r="A707" s="71">
        <v>35</v>
      </c>
      <c r="B707" s="72">
        <f t="shared" si="273"/>
        <v>46692</v>
      </c>
      <c r="C707" s="73">
        <f t="shared" si="254"/>
        <v>46721</v>
      </c>
      <c r="D707" s="67">
        <f t="shared" si="255"/>
        <v>30</v>
      </c>
      <c r="E707" s="67">
        <f t="shared" si="256"/>
        <v>11</v>
      </c>
      <c r="F707" s="74">
        <f t="shared" si="257"/>
        <v>46707</v>
      </c>
      <c r="G707" s="67">
        <f t="shared" si="258"/>
        <v>24334</v>
      </c>
      <c r="H707" s="75">
        <f t="shared" si="259"/>
        <v>1</v>
      </c>
      <c r="I707" s="76">
        <f t="shared" si="260"/>
        <v>1</v>
      </c>
      <c r="J707" s="76">
        <f t="shared" si="261"/>
        <v>1</v>
      </c>
      <c r="K707" s="67">
        <f t="shared" si="262"/>
        <v>0</v>
      </c>
      <c r="L707" s="67">
        <f t="shared" si="263"/>
        <v>0</v>
      </c>
      <c r="M707" s="77">
        <f t="shared" si="264"/>
        <v>0</v>
      </c>
      <c r="N707" s="76">
        <f t="shared" si="265"/>
        <v>1</v>
      </c>
      <c r="O707" s="77">
        <f t="shared" si="266"/>
        <v>0.92349015317286653</v>
      </c>
      <c r="P707" s="76">
        <f t="shared" si="267"/>
        <v>0</v>
      </c>
      <c r="Q707" s="76">
        <f t="shared" si="268"/>
        <v>0.25</v>
      </c>
      <c r="R707" s="76">
        <f t="shared" si="269"/>
        <v>0.75</v>
      </c>
      <c r="S707" s="76">
        <f t="shared" si="270"/>
        <v>1.0037936447531157</v>
      </c>
      <c r="T707" s="76">
        <f t="shared" si="271"/>
        <v>0.9907715726381886</v>
      </c>
      <c r="U707" s="76">
        <f t="shared" si="272"/>
        <v>1</v>
      </c>
    </row>
    <row r="708" spans="1:21" x14ac:dyDescent="0.25">
      <c r="A708" s="71">
        <v>36</v>
      </c>
      <c r="B708" s="72">
        <f t="shared" si="273"/>
        <v>46722</v>
      </c>
      <c r="C708" s="73">
        <f t="shared" si="254"/>
        <v>46752</v>
      </c>
      <c r="D708" s="67">
        <f t="shared" si="255"/>
        <v>31</v>
      </c>
      <c r="E708" s="67">
        <f t="shared" si="256"/>
        <v>12</v>
      </c>
      <c r="F708" s="74">
        <f t="shared" si="257"/>
        <v>46737.5</v>
      </c>
      <c r="G708" s="67">
        <f t="shared" si="258"/>
        <v>24335</v>
      </c>
      <c r="H708" s="75">
        <f t="shared" si="259"/>
        <v>1</v>
      </c>
      <c r="I708" s="76">
        <f t="shared" si="260"/>
        <v>1</v>
      </c>
      <c r="J708" s="76">
        <f t="shared" si="261"/>
        <v>1</v>
      </c>
      <c r="K708" s="67">
        <f t="shared" si="262"/>
        <v>0</v>
      </c>
      <c r="L708" s="67">
        <f t="shared" si="263"/>
        <v>0</v>
      </c>
      <c r="M708" s="77">
        <f t="shared" si="264"/>
        <v>0</v>
      </c>
      <c r="N708" s="76">
        <f t="shared" si="265"/>
        <v>1</v>
      </c>
      <c r="O708" s="77">
        <f t="shared" si="266"/>
        <v>0.92449124726477028</v>
      </c>
      <c r="P708" s="76">
        <f t="shared" si="267"/>
        <v>0</v>
      </c>
      <c r="Q708" s="76">
        <f t="shared" si="268"/>
        <v>8.3333333333333329E-2</v>
      </c>
      <c r="R708" s="76">
        <f t="shared" si="269"/>
        <v>0.91666666666666663</v>
      </c>
      <c r="S708" s="76">
        <f t="shared" si="270"/>
        <v>1.004881790505185</v>
      </c>
      <c r="T708" s="76">
        <f t="shared" si="271"/>
        <v>0.99185971839025788</v>
      </c>
      <c r="U708" s="76">
        <f t="shared" si="272"/>
        <v>1</v>
      </c>
    </row>
    <row r="709" spans="1:21" x14ac:dyDescent="0.25">
      <c r="A709" s="71">
        <v>37</v>
      </c>
      <c r="B709" s="72">
        <f t="shared" si="273"/>
        <v>46753</v>
      </c>
      <c r="C709" s="73">
        <f t="shared" si="254"/>
        <v>46783</v>
      </c>
      <c r="D709" s="67">
        <f t="shared" si="255"/>
        <v>31</v>
      </c>
      <c r="E709" s="67">
        <f t="shared" si="256"/>
        <v>1</v>
      </c>
      <c r="F709" s="74">
        <f t="shared" si="257"/>
        <v>46768.5</v>
      </c>
      <c r="G709" s="67">
        <f t="shared" si="258"/>
        <v>24336</v>
      </c>
      <c r="H709" s="75">
        <f t="shared" si="259"/>
        <v>1</v>
      </c>
      <c r="I709" s="76">
        <f t="shared" si="260"/>
        <v>1</v>
      </c>
      <c r="J709" s="76">
        <f t="shared" si="261"/>
        <v>1</v>
      </c>
      <c r="K709" s="67">
        <f t="shared" si="262"/>
        <v>0</v>
      </c>
      <c r="L709" s="67">
        <f t="shared" si="263"/>
        <v>0</v>
      </c>
      <c r="M709" s="77">
        <f t="shared" si="264"/>
        <v>0</v>
      </c>
      <c r="N709" s="76">
        <f t="shared" si="265"/>
        <v>1</v>
      </c>
      <c r="O709" s="77">
        <f t="shared" si="266"/>
        <v>0.92500000000000004</v>
      </c>
      <c r="P709" s="76">
        <f t="shared" si="267"/>
        <v>0</v>
      </c>
      <c r="Q709" s="76">
        <f t="shared" si="268"/>
        <v>0</v>
      </c>
      <c r="R709" s="76">
        <f t="shared" si="269"/>
        <v>1</v>
      </c>
      <c r="S709" s="76">
        <f t="shared" si="270"/>
        <v>1.0054347826086956</v>
      </c>
      <c r="T709" s="76">
        <f t="shared" si="271"/>
        <v>0.97994363048235178</v>
      </c>
      <c r="U709" s="76">
        <f t="shared" si="272"/>
        <v>1</v>
      </c>
    </row>
    <row r="710" spans="1:21" x14ac:dyDescent="0.25">
      <c r="A710" s="71">
        <v>38</v>
      </c>
      <c r="B710" s="72">
        <f t="shared" si="273"/>
        <v>46784</v>
      </c>
      <c r="C710" s="73">
        <f t="shared" si="254"/>
        <v>46812</v>
      </c>
      <c r="D710" s="67">
        <f t="shared" si="255"/>
        <v>29</v>
      </c>
      <c r="E710" s="67">
        <f t="shared" si="256"/>
        <v>2</v>
      </c>
      <c r="F710" s="74">
        <f t="shared" si="257"/>
        <v>46798.5</v>
      </c>
      <c r="G710" s="67">
        <f t="shared" si="258"/>
        <v>24337</v>
      </c>
      <c r="H710" s="75">
        <f t="shared" si="259"/>
        <v>1</v>
      </c>
      <c r="I710" s="76">
        <f t="shared" si="260"/>
        <v>1</v>
      </c>
      <c r="J710" s="76">
        <f t="shared" si="261"/>
        <v>1</v>
      </c>
      <c r="K710" s="67">
        <f t="shared" si="262"/>
        <v>0</v>
      </c>
      <c r="L710" s="67">
        <f t="shared" si="263"/>
        <v>0</v>
      </c>
      <c r="M710" s="77">
        <f t="shared" si="264"/>
        <v>0</v>
      </c>
      <c r="N710" s="76">
        <f t="shared" si="265"/>
        <v>1</v>
      </c>
      <c r="O710" s="77">
        <f t="shared" si="266"/>
        <v>0.92500000000000004</v>
      </c>
      <c r="P710" s="76">
        <f t="shared" si="267"/>
        <v>0</v>
      </c>
      <c r="Q710" s="76">
        <f t="shared" si="268"/>
        <v>0</v>
      </c>
      <c r="R710" s="76">
        <f t="shared" si="269"/>
        <v>1</v>
      </c>
      <c r="S710" s="76">
        <f t="shared" si="270"/>
        <v>1.0054347826086956</v>
      </c>
      <c r="T710" s="76">
        <f t="shared" si="271"/>
        <v>0.98099609932451703</v>
      </c>
      <c r="U710" s="76">
        <f t="shared" si="272"/>
        <v>1</v>
      </c>
    </row>
    <row r="711" spans="1:21" x14ac:dyDescent="0.25">
      <c r="A711" s="71">
        <v>39</v>
      </c>
      <c r="B711" s="72">
        <f t="shared" si="273"/>
        <v>46813</v>
      </c>
      <c r="C711" s="73">
        <f t="shared" si="254"/>
        <v>46843</v>
      </c>
      <c r="D711" s="67">
        <f t="shared" si="255"/>
        <v>31</v>
      </c>
      <c r="E711" s="67">
        <f t="shared" si="256"/>
        <v>3</v>
      </c>
      <c r="F711" s="74">
        <f t="shared" si="257"/>
        <v>46828.5</v>
      </c>
      <c r="G711" s="67">
        <f t="shared" si="258"/>
        <v>24338</v>
      </c>
      <c r="H711" s="75">
        <f t="shared" si="259"/>
        <v>1</v>
      </c>
      <c r="I711" s="76">
        <f t="shared" si="260"/>
        <v>1</v>
      </c>
      <c r="J711" s="76">
        <f t="shared" si="261"/>
        <v>1</v>
      </c>
      <c r="K711" s="67">
        <f t="shared" si="262"/>
        <v>0</v>
      </c>
      <c r="L711" s="67">
        <f t="shared" si="263"/>
        <v>0</v>
      </c>
      <c r="M711" s="77">
        <f t="shared" si="264"/>
        <v>0</v>
      </c>
      <c r="N711" s="76">
        <f t="shared" si="265"/>
        <v>1</v>
      </c>
      <c r="O711" s="77">
        <f t="shared" si="266"/>
        <v>0.92500000000000004</v>
      </c>
      <c r="P711" s="76">
        <f t="shared" si="267"/>
        <v>0</v>
      </c>
      <c r="Q711" s="76">
        <f t="shared" si="268"/>
        <v>0</v>
      </c>
      <c r="R711" s="76">
        <f t="shared" si="269"/>
        <v>1</v>
      </c>
      <c r="S711" s="76">
        <f t="shared" si="270"/>
        <v>1.0054347826086956</v>
      </c>
      <c r="T711" s="76">
        <f t="shared" si="271"/>
        <v>0.98204856816668251</v>
      </c>
      <c r="U711" s="76">
        <f t="shared" si="272"/>
        <v>1</v>
      </c>
    </row>
    <row r="712" spans="1:21" x14ac:dyDescent="0.25">
      <c r="A712" s="71">
        <v>40</v>
      </c>
      <c r="B712" s="72">
        <f t="shared" si="273"/>
        <v>46844</v>
      </c>
      <c r="C712" s="73">
        <f t="shared" si="254"/>
        <v>46873</v>
      </c>
      <c r="D712" s="67">
        <f t="shared" si="255"/>
        <v>30</v>
      </c>
      <c r="E712" s="67">
        <f t="shared" si="256"/>
        <v>4</v>
      </c>
      <c r="F712" s="74">
        <f t="shared" si="257"/>
        <v>46859</v>
      </c>
      <c r="G712" s="67">
        <f t="shared" si="258"/>
        <v>24339</v>
      </c>
      <c r="H712" s="75">
        <f t="shared" si="259"/>
        <v>1</v>
      </c>
      <c r="I712" s="76">
        <f t="shared" si="260"/>
        <v>1</v>
      </c>
      <c r="J712" s="76">
        <f t="shared" si="261"/>
        <v>1</v>
      </c>
      <c r="K712" s="67">
        <f t="shared" si="262"/>
        <v>0</v>
      </c>
      <c r="L712" s="67">
        <f t="shared" si="263"/>
        <v>0</v>
      </c>
      <c r="M712" s="77">
        <f t="shared" si="264"/>
        <v>0</v>
      </c>
      <c r="N712" s="76">
        <f t="shared" si="265"/>
        <v>1</v>
      </c>
      <c r="O712" s="77">
        <f t="shared" si="266"/>
        <v>0.92500000000000004</v>
      </c>
      <c r="P712" s="76">
        <f t="shared" si="267"/>
        <v>0</v>
      </c>
      <c r="Q712" s="76">
        <f t="shared" si="268"/>
        <v>0</v>
      </c>
      <c r="R712" s="76">
        <f t="shared" si="269"/>
        <v>1</v>
      </c>
      <c r="S712" s="76">
        <f t="shared" si="270"/>
        <v>1.0054347826086956</v>
      </c>
      <c r="T712" s="76">
        <f t="shared" si="271"/>
        <v>0.98313671391875179</v>
      </c>
      <c r="U712" s="76">
        <f t="shared" si="272"/>
        <v>1</v>
      </c>
    </row>
    <row r="713" spans="1:21" x14ac:dyDescent="0.25">
      <c r="A713" s="71">
        <v>41</v>
      </c>
      <c r="B713" s="72">
        <f t="shared" si="273"/>
        <v>46874</v>
      </c>
      <c r="C713" s="73">
        <f t="shared" si="254"/>
        <v>46904</v>
      </c>
      <c r="D713" s="67">
        <f t="shared" si="255"/>
        <v>31</v>
      </c>
      <c r="E713" s="67">
        <f t="shared" si="256"/>
        <v>5</v>
      </c>
      <c r="F713" s="74">
        <f t="shared" si="257"/>
        <v>46889.5</v>
      </c>
      <c r="G713" s="67">
        <f t="shared" si="258"/>
        <v>24340</v>
      </c>
      <c r="H713" s="75">
        <f t="shared" si="259"/>
        <v>1</v>
      </c>
      <c r="I713" s="76">
        <f t="shared" si="260"/>
        <v>1</v>
      </c>
      <c r="J713" s="76">
        <f t="shared" si="261"/>
        <v>1</v>
      </c>
      <c r="K713" s="67">
        <f t="shared" si="262"/>
        <v>0</v>
      </c>
      <c r="L713" s="67">
        <f t="shared" si="263"/>
        <v>0</v>
      </c>
      <c r="M713" s="77">
        <f t="shared" si="264"/>
        <v>0</v>
      </c>
      <c r="N713" s="76">
        <f t="shared" si="265"/>
        <v>1</v>
      </c>
      <c r="O713" s="77">
        <f t="shared" si="266"/>
        <v>0.92500000000000004</v>
      </c>
      <c r="P713" s="76">
        <f t="shared" si="267"/>
        <v>0</v>
      </c>
      <c r="Q713" s="76">
        <f t="shared" si="268"/>
        <v>0</v>
      </c>
      <c r="R713" s="76">
        <f t="shared" si="269"/>
        <v>1</v>
      </c>
      <c r="S713" s="76">
        <f t="shared" si="270"/>
        <v>1.0054347826086956</v>
      </c>
      <c r="T713" s="76">
        <f t="shared" si="271"/>
        <v>0.98422485967082107</v>
      </c>
      <c r="U713" s="76">
        <f t="shared" si="272"/>
        <v>1</v>
      </c>
    </row>
    <row r="714" spans="1:21" x14ac:dyDescent="0.25">
      <c r="A714" s="71">
        <v>42</v>
      </c>
      <c r="B714" s="72">
        <f t="shared" si="273"/>
        <v>46905</v>
      </c>
      <c r="C714" s="73">
        <f t="shared" si="254"/>
        <v>46934</v>
      </c>
      <c r="D714" s="67">
        <f t="shared" si="255"/>
        <v>30</v>
      </c>
      <c r="E714" s="67">
        <f t="shared" si="256"/>
        <v>6</v>
      </c>
      <c r="F714" s="74">
        <f t="shared" si="257"/>
        <v>46920</v>
      </c>
      <c r="G714" s="67">
        <f t="shared" si="258"/>
        <v>24341</v>
      </c>
      <c r="H714" s="75">
        <f t="shared" si="259"/>
        <v>1</v>
      </c>
      <c r="I714" s="76">
        <f t="shared" si="260"/>
        <v>1</v>
      </c>
      <c r="J714" s="76">
        <f t="shared" si="261"/>
        <v>1</v>
      </c>
      <c r="K714" s="67">
        <f t="shared" si="262"/>
        <v>0</v>
      </c>
      <c r="L714" s="67">
        <f t="shared" si="263"/>
        <v>0</v>
      </c>
      <c r="M714" s="77">
        <f t="shared" si="264"/>
        <v>0</v>
      </c>
      <c r="N714" s="76">
        <f t="shared" si="265"/>
        <v>1</v>
      </c>
      <c r="O714" s="77">
        <f t="shared" si="266"/>
        <v>0.92500000000000004</v>
      </c>
      <c r="P714" s="76">
        <f t="shared" si="267"/>
        <v>0</v>
      </c>
      <c r="Q714" s="76">
        <f t="shared" si="268"/>
        <v>0</v>
      </c>
      <c r="R714" s="76">
        <f t="shared" si="269"/>
        <v>1</v>
      </c>
      <c r="S714" s="76">
        <f t="shared" si="270"/>
        <v>1.0054347826086956</v>
      </c>
      <c r="T714" s="76">
        <f t="shared" si="271"/>
        <v>0.98531300542289035</v>
      </c>
      <c r="U714" s="76">
        <f t="shared" si="272"/>
        <v>1</v>
      </c>
    </row>
    <row r="715" spans="1:21" x14ac:dyDescent="0.25">
      <c r="A715" s="71">
        <v>43</v>
      </c>
      <c r="B715" s="72">
        <f t="shared" si="273"/>
        <v>46935</v>
      </c>
      <c r="C715" s="73">
        <f t="shared" si="254"/>
        <v>46965</v>
      </c>
      <c r="D715" s="67">
        <f t="shared" si="255"/>
        <v>31</v>
      </c>
      <c r="E715" s="67">
        <f t="shared" si="256"/>
        <v>7</v>
      </c>
      <c r="F715" s="74">
        <f t="shared" si="257"/>
        <v>46950.5</v>
      </c>
      <c r="G715" s="67">
        <f t="shared" si="258"/>
        <v>24342</v>
      </c>
      <c r="H715" s="75">
        <f t="shared" si="259"/>
        <v>1</v>
      </c>
      <c r="I715" s="76">
        <f t="shared" si="260"/>
        <v>1</v>
      </c>
      <c r="J715" s="76">
        <f t="shared" si="261"/>
        <v>1</v>
      </c>
      <c r="K715" s="67">
        <f t="shared" si="262"/>
        <v>0</v>
      </c>
      <c r="L715" s="67">
        <f t="shared" si="263"/>
        <v>0</v>
      </c>
      <c r="M715" s="77">
        <f t="shared" si="264"/>
        <v>0</v>
      </c>
      <c r="N715" s="76">
        <f t="shared" si="265"/>
        <v>1</v>
      </c>
      <c r="O715" s="77">
        <f t="shared" si="266"/>
        <v>0.92500000000000004</v>
      </c>
      <c r="P715" s="76">
        <f t="shared" si="267"/>
        <v>0</v>
      </c>
      <c r="Q715" s="76">
        <f t="shared" si="268"/>
        <v>0</v>
      </c>
      <c r="R715" s="76">
        <f t="shared" si="269"/>
        <v>0.91666666666666663</v>
      </c>
      <c r="S715" s="76">
        <f t="shared" si="270"/>
        <v>1.0054347826086956</v>
      </c>
      <c r="T715" s="76">
        <f t="shared" si="271"/>
        <v>0.98640115117495952</v>
      </c>
      <c r="U715" s="76">
        <f t="shared" si="272"/>
        <v>1</v>
      </c>
    </row>
    <row r="716" spans="1:21" x14ac:dyDescent="0.25">
      <c r="A716" s="71">
        <v>44</v>
      </c>
      <c r="B716" s="72">
        <f t="shared" si="273"/>
        <v>46966</v>
      </c>
      <c r="C716" s="73">
        <f t="shared" si="254"/>
        <v>46996</v>
      </c>
      <c r="D716" s="67">
        <f t="shared" si="255"/>
        <v>31</v>
      </c>
      <c r="E716" s="67">
        <f t="shared" si="256"/>
        <v>8</v>
      </c>
      <c r="F716" s="74">
        <f t="shared" si="257"/>
        <v>46981.5</v>
      </c>
      <c r="G716" s="67">
        <f t="shared" si="258"/>
        <v>24343</v>
      </c>
      <c r="H716" s="75">
        <f t="shared" si="259"/>
        <v>1</v>
      </c>
      <c r="I716" s="76">
        <f t="shared" si="260"/>
        <v>1</v>
      </c>
      <c r="J716" s="76">
        <f t="shared" si="261"/>
        <v>1</v>
      </c>
      <c r="K716" s="67">
        <f t="shared" si="262"/>
        <v>0</v>
      </c>
      <c r="L716" s="67">
        <f t="shared" si="263"/>
        <v>0</v>
      </c>
      <c r="M716" s="77">
        <f t="shared" si="264"/>
        <v>0</v>
      </c>
      <c r="N716" s="76">
        <f t="shared" si="265"/>
        <v>1</v>
      </c>
      <c r="O716" s="77">
        <f t="shared" si="266"/>
        <v>0.92500000000000004</v>
      </c>
      <c r="P716" s="76">
        <f t="shared" si="267"/>
        <v>0</v>
      </c>
      <c r="Q716" s="76">
        <f t="shared" si="268"/>
        <v>0</v>
      </c>
      <c r="R716" s="76">
        <f t="shared" si="269"/>
        <v>0.75</v>
      </c>
      <c r="S716" s="76">
        <f t="shared" si="270"/>
        <v>1.0054347826086956</v>
      </c>
      <c r="T716" s="76">
        <f t="shared" si="271"/>
        <v>0.98750713538198076</v>
      </c>
      <c r="U716" s="76">
        <f t="shared" si="272"/>
        <v>1</v>
      </c>
    </row>
    <row r="717" spans="1:21" x14ac:dyDescent="0.25">
      <c r="A717" s="71">
        <v>45</v>
      </c>
      <c r="B717" s="72">
        <f t="shared" si="273"/>
        <v>46997</v>
      </c>
      <c r="C717" s="73">
        <f t="shared" si="254"/>
        <v>47026</v>
      </c>
      <c r="D717" s="67">
        <f t="shared" si="255"/>
        <v>30</v>
      </c>
      <c r="E717" s="67">
        <f t="shared" si="256"/>
        <v>9</v>
      </c>
      <c r="F717" s="74">
        <f t="shared" si="257"/>
        <v>47012</v>
      </c>
      <c r="G717" s="67">
        <f t="shared" si="258"/>
        <v>24344</v>
      </c>
      <c r="H717" s="75">
        <f t="shared" si="259"/>
        <v>1</v>
      </c>
      <c r="I717" s="76">
        <f t="shared" si="260"/>
        <v>1</v>
      </c>
      <c r="J717" s="76">
        <f t="shared" si="261"/>
        <v>1</v>
      </c>
      <c r="K717" s="67">
        <f t="shared" si="262"/>
        <v>0</v>
      </c>
      <c r="L717" s="67">
        <f t="shared" si="263"/>
        <v>0</v>
      </c>
      <c r="M717" s="77">
        <f t="shared" si="264"/>
        <v>0</v>
      </c>
      <c r="N717" s="76">
        <f t="shared" si="265"/>
        <v>1</v>
      </c>
      <c r="O717" s="77">
        <f t="shared" si="266"/>
        <v>0.92500000000000004</v>
      </c>
      <c r="P717" s="76">
        <f t="shared" si="267"/>
        <v>0</v>
      </c>
      <c r="Q717" s="76">
        <f t="shared" si="268"/>
        <v>0</v>
      </c>
      <c r="R717" s="76">
        <f t="shared" si="269"/>
        <v>0.58333333333333337</v>
      </c>
      <c r="S717" s="76">
        <f t="shared" si="270"/>
        <v>1.0054347826086956</v>
      </c>
      <c r="T717" s="76">
        <f t="shared" si="271"/>
        <v>0.98859528113405004</v>
      </c>
      <c r="U717" s="76">
        <f t="shared" si="272"/>
        <v>1</v>
      </c>
    </row>
    <row r="718" spans="1:21" x14ac:dyDescent="0.25">
      <c r="A718" s="71">
        <v>46</v>
      </c>
      <c r="B718" s="72">
        <f t="shared" si="273"/>
        <v>47027</v>
      </c>
      <c r="C718" s="73">
        <f t="shared" si="254"/>
        <v>47057</v>
      </c>
      <c r="D718" s="67">
        <f t="shared" si="255"/>
        <v>31</v>
      </c>
      <c r="E718" s="67">
        <f t="shared" si="256"/>
        <v>10</v>
      </c>
      <c r="F718" s="74">
        <f t="shared" si="257"/>
        <v>47042.5</v>
      </c>
      <c r="G718" s="67">
        <f t="shared" si="258"/>
        <v>24345</v>
      </c>
      <c r="H718" s="75">
        <f t="shared" si="259"/>
        <v>1</v>
      </c>
      <c r="I718" s="76">
        <f t="shared" si="260"/>
        <v>1</v>
      </c>
      <c r="J718" s="76">
        <f t="shared" si="261"/>
        <v>1</v>
      </c>
      <c r="K718" s="67">
        <f t="shared" si="262"/>
        <v>0</v>
      </c>
      <c r="L718" s="67">
        <f t="shared" si="263"/>
        <v>0</v>
      </c>
      <c r="M718" s="77">
        <f t="shared" si="264"/>
        <v>0</v>
      </c>
      <c r="N718" s="76">
        <f t="shared" si="265"/>
        <v>1</v>
      </c>
      <c r="O718" s="77">
        <f t="shared" si="266"/>
        <v>0.92500000000000004</v>
      </c>
      <c r="P718" s="76">
        <f t="shared" si="267"/>
        <v>0</v>
      </c>
      <c r="Q718" s="76">
        <f t="shared" si="268"/>
        <v>0</v>
      </c>
      <c r="R718" s="76">
        <f t="shared" si="269"/>
        <v>0.41666666666666669</v>
      </c>
      <c r="S718" s="76">
        <f t="shared" si="270"/>
        <v>1.0054347826086956</v>
      </c>
      <c r="T718" s="76">
        <f t="shared" si="271"/>
        <v>0.98968342688611932</v>
      </c>
      <c r="U718" s="76">
        <f t="shared" si="272"/>
        <v>1</v>
      </c>
    </row>
    <row r="719" spans="1:21" x14ac:dyDescent="0.25">
      <c r="A719" s="71">
        <v>47</v>
      </c>
      <c r="B719" s="72">
        <f t="shared" si="273"/>
        <v>47058</v>
      </c>
      <c r="C719" s="73">
        <f t="shared" si="254"/>
        <v>47087</v>
      </c>
      <c r="D719" s="67">
        <f t="shared" si="255"/>
        <v>30</v>
      </c>
      <c r="E719" s="67">
        <f t="shared" si="256"/>
        <v>11</v>
      </c>
      <c r="F719" s="74">
        <f t="shared" si="257"/>
        <v>47073</v>
      </c>
      <c r="G719" s="67">
        <f t="shared" si="258"/>
        <v>24346</v>
      </c>
      <c r="H719" s="75">
        <f t="shared" si="259"/>
        <v>1</v>
      </c>
      <c r="I719" s="76">
        <f t="shared" si="260"/>
        <v>1</v>
      </c>
      <c r="J719" s="76">
        <f t="shared" si="261"/>
        <v>1</v>
      </c>
      <c r="K719" s="67">
        <f t="shared" si="262"/>
        <v>0</v>
      </c>
      <c r="L719" s="67">
        <f t="shared" si="263"/>
        <v>0</v>
      </c>
      <c r="M719" s="77">
        <f t="shared" si="264"/>
        <v>0</v>
      </c>
      <c r="N719" s="76">
        <f t="shared" si="265"/>
        <v>1</v>
      </c>
      <c r="O719" s="77">
        <f t="shared" si="266"/>
        <v>0.92500000000000004</v>
      </c>
      <c r="P719" s="76">
        <f t="shared" si="267"/>
        <v>0</v>
      </c>
      <c r="Q719" s="76">
        <f t="shared" si="268"/>
        <v>0</v>
      </c>
      <c r="R719" s="76">
        <f t="shared" si="269"/>
        <v>0.25</v>
      </c>
      <c r="S719" s="76">
        <f t="shared" si="270"/>
        <v>1.0054347826086956</v>
      </c>
      <c r="T719" s="76">
        <f t="shared" si="271"/>
        <v>0.9907715726381886</v>
      </c>
      <c r="U719" s="76">
        <f t="shared" si="272"/>
        <v>1</v>
      </c>
    </row>
    <row r="720" spans="1:21" x14ac:dyDescent="0.25">
      <c r="A720" s="71">
        <v>48</v>
      </c>
      <c r="B720" s="72">
        <f t="shared" si="273"/>
        <v>47088</v>
      </c>
      <c r="C720" s="73">
        <f t="shared" si="254"/>
        <v>47118</v>
      </c>
      <c r="D720" s="67">
        <f t="shared" si="255"/>
        <v>31</v>
      </c>
      <c r="E720" s="67">
        <f t="shared" si="256"/>
        <v>12</v>
      </c>
      <c r="F720" s="74">
        <f t="shared" si="257"/>
        <v>47103.5</v>
      </c>
      <c r="G720" s="67">
        <f t="shared" si="258"/>
        <v>24347</v>
      </c>
      <c r="H720" s="75">
        <f t="shared" si="259"/>
        <v>1</v>
      </c>
      <c r="I720" s="76">
        <f t="shared" si="260"/>
        <v>1</v>
      </c>
      <c r="J720" s="76">
        <f t="shared" si="261"/>
        <v>1</v>
      </c>
      <c r="K720" s="67">
        <f t="shared" si="262"/>
        <v>0</v>
      </c>
      <c r="L720" s="67">
        <f t="shared" si="263"/>
        <v>0</v>
      </c>
      <c r="M720" s="77">
        <f t="shared" si="264"/>
        <v>0</v>
      </c>
      <c r="N720" s="76">
        <f t="shared" si="265"/>
        <v>1</v>
      </c>
      <c r="O720" s="77">
        <f t="shared" si="266"/>
        <v>0.92500000000000004</v>
      </c>
      <c r="P720" s="76">
        <f t="shared" si="267"/>
        <v>0</v>
      </c>
      <c r="Q720" s="76">
        <f t="shared" si="268"/>
        <v>0</v>
      </c>
      <c r="R720" s="76">
        <f t="shared" si="269"/>
        <v>8.3333333333333329E-2</v>
      </c>
      <c r="S720" s="76">
        <f t="shared" si="270"/>
        <v>1.0054347826086956</v>
      </c>
      <c r="T720" s="76">
        <f t="shared" si="271"/>
        <v>0.99185971839025788</v>
      </c>
      <c r="U720" s="76">
        <f t="shared" si="272"/>
        <v>1</v>
      </c>
    </row>
    <row r="721" spans="1:21" x14ac:dyDescent="0.25">
      <c r="A721" s="81" t="s">
        <v>1187</v>
      </c>
      <c r="B721" s="53">
        <f>EXP(SUMPRODUCT((rl_key=$A$670)*(rl_cons="Y")*rl_ln1p))</f>
        <v>1</v>
      </c>
      <c r="C721" s="53">
        <f>SUMPRODUCT($H$673:$H$720,$P$673:$P$720,$U$673:$U$720)/SUMPRODUCT($H$673:$H$720,$P$673:$P$720)</f>
        <v>1</v>
      </c>
      <c r="D721" s="53">
        <f>SUMPRODUCT($H$673:$H$720,$Q$673:$Q$720,$U$673:$U$720)/SUMPRODUCT($H$673:$H$720,$Q$673:$Q$720)</f>
        <v>1</v>
      </c>
      <c r="E721" s="53">
        <f>SUMPRODUCT($H$673:$H$720,$R$673:$R$720,$U$673:$U$720)/SUMPRODUCT($H$673:$H$720,$R$673:$R$720)</f>
        <v>1</v>
      </c>
      <c r="F721" s="172">
        <f>SUMPRODUCT($H$673:$H$720,$Q$673:$Q$720,$O$673:$O$720)/SUMPRODUCT($H$673:$H$720,$Q$673:$Q$720)</f>
        <v>0.91598878555798668</v>
      </c>
      <c r="G721" s="172">
        <f>SUMPRODUCT($H$673:$H$720,$R$673:$R$720,$O$673:$O$720)/SUMPRODUCT($H$673:$H$720,$R$673:$R$720)</f>
        <v>0.92449033552151683</v>
      </c>
    </row>
    <row r="724" spans="1:21" x14ac:dyDescent="0.25">
      <c r="A724" s="81" t="str">
        <f>INDEX(lr_key,13)</f>
        <v>BU-A|MN</v>
      </c>
      <c r="B724" s="81" t="str">
        <f>INDEX(lr_state,13)</f>
        <v>MN</v>
      </c>
      <c r="C724" s="55">
        <f>nr_TermMonths</f>
        <v>6</v>
      </c>
      <c r="D724" s="55">
        <f>IF(COUNTIF(se_state,$B724)=0,0,MATCH($B724,se_state,0))</f>
        <v>0</v>
      </c>
      <c r="E724" s="57">
        <f>IF($D724=0,0,INDEX(se_sum,$D724))</f>
        <v>0</v>
      </c>
      <c r="F724" s="172">
        <f>IF(N(INDEX(lr_mind,13))=0,1,INDEX(lr_mind,13))</f>
        <v>0.92</v>
      </c>
      <c r="G724" s="172">
        <f>IF(N(INDEX(lr_m0,13))=0,1,INDEX(lr_m0,13))</f>
        <v>0.91</v>
      </c>
      <c r="H724" s="54">
        <f>IF(N(INDEX(lr_m0asof,13))=0,DATE(nr_PlanYear-1,10,1),INDEX(lr_m0asof,13))</f>
        <v>46295</v>
      </c>
      <c r="I724" s="172">
        <f>IF(N(INDEX(lr_m1,13))=0,1,INDEX(lr_m1,13))</f>
        <v>0.90500000000000003</v>
      </c>
      <c r="J724" s="172">
        <f>INDEX(lr_mprior,13)</f>
        <v>0</v>
      </c>
      <c r="K724" s="172">
        <f>INDEX(lr_m2,13)</f>
        <v>0</v>
      </c>
      <c r="L724" s="81" t="b">
        <f>NOT(ISBLANK(INDEX(lr_netp,13)))</f>
        <v>0</v>
      </c>
      <c r="M724" s="52">
        <f>N(INDEX(lr_netp,13))</f>
        <v>0</v>
      </c>
      <c r="N724" s="52">
        <f>IF(ISBLANK(INDEX(lr_netp1,13)),$M$724,N(INDEX(lr_netp1,13)))</f>
        <v>0</v>
      </c>
      <c r="O724" s="55">
        <f>IF(AND(nr_ModAdjMaster="ON",INDEX(lr_modadj,13)="ON"),1,0)</f>
        <v>1</v>
      </c>
    </row>
    <row r="725" spans="1:21" x14ac:dyDescent="0.25">
      <c r="A725" s="81">
        <f>EDATE($H$724,-12)+1</f>
        <v>45931</v>
      </c>
      <c r="B725" s="81">
        <f>$H$724+1</f>
        <v>46296</v>
      </c>
      <c r="C725" s="81">
        <f>DATE(nr_PlanYear,12,31)+1</f>
        <v>46753</v>
      </c>
      <c r="D725" s="81">
        <f>DATE(nr_PlanYear+1,12,31)+1</f>
        <v>47119</v>
      </c>
      <c r="E725" s="81">
        <f>IF(N($J$724)=0,$F$725-($G$725-$F$725)/($C$725-$B$725)*($B$725-$A$725),$J$724)</f>
        <v>0.9139934354485777</v>
      </c>
      <c r="F725" s="81">
        <f>$G$724</f>
        <v>0.91</v>
      </c>
      <c r="G725" s="81">
        <f>$I$724</f>
        <v>0.90500000000000003</v>
      </c>
      <c r="H725" s="81">
        <f>IF(N($K$724)=0,$I$724,$K$724)</f>
        <v>0.90500000000000003</v>
      </c>
      <c r="I725" s="81">
        <f>($F$725-$E$725)/($B$725-$A$725)</f>
        <v>-1.0940919037199081E-5</v>
      </c>
      <c r="J725" s="81">
        <f>($G$725-$F$725)/($C$725-$B$725)</f>
        <v>-1.0940919037199135E-5</v>
      </c>
      <c r="K725" s="81">
        <f>($H$725-$G$725)/($D$725-$C$725)</f>
        <v>0</v>
      </c>
    </row>
    <row r="726" spans="1:21" ht="36" x14ac:dyDescent="0.25">
      <c r="A726" s="50" t="s">
        <v>211</v>
      </c>
      <c r="B726" s="50" t="s">
        <v>212</v>
      </c>
      <c r="C726" s="50" t="s">
        <v>213</v>
      </c>
      <c r="D726" s="50" t="s">
        <v>214</v>
      </c>
      <c r="E726" s="50" t="s">
        <v>215</v>
      </c>
      <c r="F726" s="50" t="s">
        <v>216</v>
      </c>
      <c r="G726" s="50" t="s">
        <v>217</v>
      </c>
      <c r="H726" s="50" t="s">
        <v>218</v>
      </c>
      <c r="I726" s="50" t="s">
        <v>219</v>
      </c>
      <c r="J726" s="50" t="s">
        <v>220</v>
      </c>
      <c r="K726" s="50" t="s">
        <v>221</v>
      </c>
      <c r="L726" s="50" t="s">
        <v>222</v>
      </c>
      <c r="M726" s="50" t="s">
        <v>223</v>
      </c>
      <c r="N726" s="50" t="s">
        <v>224</v>
      </c>
      <c r="O726" s="50" t="s">
        <v>225</v>
      </c>
      <c r="P726" s="50" t="s">
        <v>226</v>
      </c>
      <c r="Q726" s="50" t="s">
        <v>227</v>
      </c>
      <c r="R726" s="50" t="s">
        <v>228</v>
      </c>
      <c r="S726" s="50" t="s">
        <v>229</v>
      </c>
      <c r="T726" s="50" t="s">
        <v>230</v>
      </c>
      <c r="U726" s="50" t="s">
        <v>231</v>
      </c>
    </row>
    <row r="727" spans="1:21" x14ac:dyDescent="0.25">
      <c r="A727" s="71">
        <v>1</v>
      </c>
      <c r="B727" s="72">
        <f>DATE(nr_PlanYear-2,1,1)</f>
        <v>45658</v>
      </c>
      <c r="C727" s="73">
        <f t="shared" ref="C727:C774" si="274">EOMONTH($B727,0)</f>
        <v>45688</v>
      </c>
      <c r="D727" s="67">
        <f t="shared" ref="D727:D774" si="275">$C727-$B727+1</f>
        <v>31</v>
      </c>
      <c r="E727" s="67">
        <f t="shared" ref="E727:E774" si="276">MONTH($B727)</f>
        <v>1</v>
      </c>
      <c r="F727" s="74">
        <f t="shared" ref="F727:F774" si="277">($B727+$C727+1)/2</f>
        <v>45673.5</v>
      </c>
      <c r="G727" s="67">
        <f t="shared" ref="G727:G774" si="278">YEAR($B727)*12+MONTH($B727)-1</f>
        <v>24300</v>
      </c>
      <c r="H727" s="75">
        <f t="shared" ref="H727:H774" si="279">IF(OR(nr_SeasonOn="OFF",$D$724=0,$E$724=0),1,12*INDEX(se_block,$D$724,$E727)/$E$724)</f>
        <v>1</v>
      </c>
      <c r="I727" s="76">
        <f t="shared" ref="I727:I774" si="280">EXP(SUMPRODUCT((rl_eff&lt;$B727)*(rl_key=$A$724)*rl_ln1p))</f>
        <v>1</v>
      </c>
      <c r="J727" s="76">
        <f t="shared" ref="J727:J774" si="281">EXP(SUMPRODUCT((rl_eff&lt;=$C727)*(rl_key=$A$724)*rl_ln1p))</f>
        <v>1</v>
      </c>
      <c r="K727" s="67">
        <f t="shared" ref="K727:K774" si="282">COUNTIFS(rl_key,$A$724,rl_eff,"&gt;="&amp;$B727,rl_eff,"&lt;="&amp;$C727)</f>
        <v>0</v>
      </c>
      <c r="L727" s="67">
        <f t="shared" ref="L727:L774" si="283">SUMIFS(rl_daysafter,rl_key,$A$724,rl_effmonth,$B727,rl_first,1)</f>
        <v>0</v>
      </c>
      <c r="M727" s="77">
        <f t="shared" ref="M727:M774" si="284">IF($K727=0,0,MIN(1,$L727/$D727))</f>
        <v>0</v>
      </c>
      <c r="N727" s="76">
        <f t="shared" ref="N727:N774" si="285">IF($K727=0,$J727,(1-$M727)*$I727+$M727*$J727)</f>
        <v>1</v>
      </c>
      <c r="O727" s="77">
        <f t="shared" ref="O727:O774" si="286">IF($F727&lt;$B$725,$E$725+$I$725*($F727-$A$725),IF($F727&lt;$C$725,$F$725+$J$725*($F727-$B$725),$G$725+$K$725*($F727-$C$725)))</f>
        <v>0.91681072210065651</v>
      </c>
      <c r="P727" s="76">
        <f t="shared" ref="P727:P774" si="287">MIN(1,MAX(0,(nr_MEndPm1-$G727+0.5)/$C$724))-MIN(1,MAX(0,(nr_MStartPm1-1-$G727+0.5)/$C$724))</f>
        <v>0</v>
      </c>
      <c r="Q727" s="76">
        <f t="shared" ref="Q727:Q774" si="288">MIN(1,MAX(0,(nr_MEndP-$G727+0.5)/$C$724))-MIN(1,MAX(0,(nr_MStartP-1-$G727+0.5)/$C$724))</f>
        <v>0</v>
      </c>
      <c r="R727" s="76">
        <f t="shared" ref="R727:R774" si="289">MIN(1,MAX(0,(nr_MEndP1-$G727+0.5)/$C$724))-MIN(1,MAX(0,(nr_MStartP1-1-$G727+0.5)/$C$724))</f>
        <v>0</v>
      </c>
      <c r="S727" s="76">
        <f t="shared" ref="S727:S774" si="290">$N727*IF($O$724=1,$O727/$F$724,1)</f>
        <v>0.99653339358767012</v>
      </c>
      <c r="T727" s="76">
        <f t="shared" ref="T727:T774" si="291">IF($G727&lt;nr_MStartP,$S727,$T715*(1+IF($G727&lt;nr_MStartP1,$M$724,$N$724)))</f>
        <v>0.99653339358767012</v>
      </c>
      <c r="U727" s="76">
        <f t="shared" ref="U727:U774" si="292">IF($L$724,$T727,$N727)</f>
        <v>1</v>
      </c>
    </row>
    <row r="728" spans="1:21" x14ac:dyDescent="0.25">
      <c r="A728" s="71">
        <v>2</v>
      </c>
      <c r="B728" s="72">
        <f t="shared" ref="B728:B774" si="293">EDATE($B727,1)</f>
        <v>45689</v>
      </c>
      <c r="C728" s="73">
        <f t="shared" si="274"/>
        <v>45716</v>
      </c>
      <c r="D728" s="67">
        <f t="shared" si="275"/>
        <v>28</v>
      </c>
      <c r="E728" s="67">
        <f t="shared" si="276"/>
        <v>2</v>
      </c>
      <c r="F728" s="74">
        <f t="shared" si="277"/>
        <v>45703</v>
      </c>
      <c r="G728" s="67">
        <f t="shared" si="278"/>
        <v>24301</v>
      </c>
      <c r="H728" s="75">
        <f t="shared" si="279"/>
        <v>1</v>
      </c>
      <c r="I728" s="76">
        <f t="shared" si="280"/>
        <v>1</v>
      </c>
      <c r="J728" s="76">
        <f t="shared" si="281"/>
        <v>1</v>
      </c>
      <c r="K728" s="67">
        <f t="shared" si="282"/>
        <v>0</v>
      </c>
      <c r="L728" s="67">
        <f t="shared" si="283"/>
        <v>0</v>
      </c>
      <c r="M728" s="77">
        <f t="shared" si="284"/>
        <v>0</v>
      </c>
      <c r="N728" s="76">
        <f t="shared" si="285"/>
        <v>1</v>
      </c>
      <c r="O728" s="77">
        <f t="shared" si="286"/>
        <v>0.91648796498905905</v>
      </c>
      <c r="P728" s="76">
        <f t="shared" si="287"/>
        <v>0</v>
      </c>
      <c r="Q728" s="76">
        <f t="shared" si="288"/>
        <v>0</v>
      </c>
      <c r="R728" s="76">
        <f t="shared" si="289"/>
        <v>0</v>
      </c>
      <c r="S728" s="76">
        <f t="shared" si="290"/>
        <v>0.99618257064028148</v>
      </c>
      <c r="T728" s="76">
        <f t="shared" si="291"/>
        <v>0.99618257064028148</v>
      </c>
      <c r="U728" s="76">
        <f t="shared" si="292"/>
        <v>1</v>
      </c>
    </row>
    <row r="729" spans="1:21" x14ac:dyDescent="0.25">
      <c r="A729" s="71">
        <v>3</v>
      </c>
      <c r="B729" s="72">
        <f t="shared" si="293"/>
        <v>45717</v>
      </c>
      <c r="C729" s="73">
        <f t="shared" si="274"/>
        <v>45747</v>
      </c>
      <c r="D729" s="67">
        <f t="shared" si="275"/>
        <v>31</v>
      </c>
      <c r="E729" s="67">
        <f t="shared" si="276"/>
        <v>3</v>
      </c>
      <c r="F729" s="74">
        <f t="shared" si="277"/>
        <v>45732.5</v>
      </c>
      <c r="G729" s="67">
        <f t="shared" si="278"/>
        <v>24302</v>
      </c>
      <c r="H729" s="75">
        <f t="shared" si="279"/>
        <v>1</v>
      </c>
      <c r="I729" s="76">
        <f t="shared" si="280"/>
        <v>1</v>
      </c>
      <c r="J729" s="76">
        <f t="shared" si="281"/>
        <v>1</v>
      </c>
      <c r="K729" s="67">
        <f t="shared" si="282"/>
        <v>0</v>
      </c>
      <c r="L729" s="67">
        <f t="shared" si="283"/>
        <v>0</v>
      </c>
      <c r="M729" s="77">
        <f t="shared" si="284"/>
        <v>0</v>
      </c>
      <c r="N729" s="76">
        <f t="shared" si="285"/>
        <v>1</v>
      </c>
      <c r="O729" s="77">
        <f t="shared" si="286"/>
        <v>0.9161652078774617</v>
      </c>
      <c r="P729" s="76">
        <f t="shared" si="287"/>
        <v>0</v>
      </c>
      <c r="Q729" s="76">
        <f t="shared" si="288"/>
        <v>0</v>
      </c>
      <c r="R729" s="76">
        <f t="shared" si="289"/>
        <v>0</v>
      </c>
      <c r="S729" s="76">
        <f t="shared" si="290"/>
        <v>0.99583174769289307</v>
      </c>
      <c r="T729" s="76">
        <f t="shared" si="291"/>
        <v>0.99583174769289307</v>
      </c>
      <c r="U729" s="76">
        <f t="shared" si="292"/>
        <v>1</v>
      </c>
    </row>
    <row r="730" spans="1:21" x14ac:dyDescent="0.25">
      <c r="A730" s="71">
        <v>4</v>
      </c>
      <c r="B730" s="72">
        <f t="shared" si="293"/>
        <v>45748</v>
      </c>
      <c r="C730" s="73">
        <f t="shared" si="274"/>
        <v>45777</v>
      </c>
      <c r="D730" s="67">
        <f t="shared" si="275"/>
        <v>30</v>
      </c>
      <c r="E730" s="67">
        <f t="shared" si="276"/>
        <v>4</v>
      </c>
      <c r="F730" s="74">
        <f t="shared" si="277"/>
        <v>45763</v>
      </c>
      <c r="G730" s="67">
        <f t="shared" si="278"/>
        <v>24303</v>
      </c>
      <c r="H730" s="75">
        <f t="shared" si="279"/>
        <v>1</v>
      </c>
      <c r="I730" s="76">
        <f t="shared" si="280"/>
        <v>1</v>
      </c>
      <c r="J730" s="76">
        <f t="shared" si="281"/>
        <v>1</v>
      </c>
      <c r="K730" s="67">
        <f t="shared" si="282"/>
        <v>0</v>
      </c>
      <c r="L730" s="67">
        <f t="shared" si="283"/>
        <v>0</v>
      </c>
      <c r="M730" s="77">
        <f t="shared" si="284"/>
        <v>0</v>
      </c>
      <c r="N730" s="76">
        <f t="shared" si="285"/>
        <v>1</v>
      </c>
      <c r="O730" s="77">
        <f t="shared" si="286"/>
        <v>0.91583150984682715</v>
      </c>
      <c r="P730" s="76">
        <f t="shared" si="287"/>
        <v>0</v>
      </c>
      <c r="Q730" s="76">
        <f t="shared" si="288"/>
        <v>0</v>
      </c>
      <c r="R730" s="76">
        <f t="shared" si="289"/>
        <v>0</v>
      </c>
      <c r="S730" s="76">
        <f t="shared" si="290"/>
        <v>0.99546903244220342</v>
      </c>
      <c r="T730" s="76">
        <f t="shared" si="291"/>
        <v>0.99546903244220342</v>
      </c>
      <c r="U730" s="76">
        <f t="shared" si="292"/>
        <v>1</v>
      </c>
    </row>
    <row r="731" spans="1:21" x14ac:dyDescent="0.25">
      <c r="A731" s="71">
        <v>5</v>
      </c>
      <c r="B731" s="72">
        <f t="shared" si="293"/>
        <v>45778</v>
      </c>
      <c r="C731" s="73">
        <f t="shared" si="274"/>
        <v>45808</v>
      </c>
      <c r="D731" s="67">
        <f t="shared" si="275"/>
        <v>31</v>
      </c>
      <c r="E731" s="67">
        <f t="shared" si="276"/>
        <v>5</v>
      </c>
      <c r="F731" s="74">
        <f t="shared" si="277"/>
        <v>45793.5</v>
      </c>
      <c r="G731" s="67">
        <f t="shared" si="278"/>
        <v>24304</v>
      </c>
      <c r="H731" s="75">
        <f t="shared" si="279"/>
        <v>1</v>
      </c>
      <c r="I731" s="76">
        <f t="shared" si="280"/>
        <v>1</v>
      </c>
      <c r="J731" s="76">
        <f t="shared" si="281"/>
        <v>1</v>
      </c>
      <c r="K731" s="67">
        <f t="shared" si="282"/>
        <v>0</v>
      </c>
      <c r="L731" s="67">
        <f t="shared" si="283"/>
        <v>0</v>
      </c>
      <c r="M731" s="77">
        <f t="shared" si="284"/>
        <v>0</v>
      </c>
      <c r="N731" s="76">
        <f t="shared" si="285"/>
        <v>1</v>
      </c>
      <c r="O731" s="77">
        <f t="shared" si="286"/>
        <v>0.91549781181619261</v>
      </c>
      <c r="P731" s="76">
        <f t="shared" si="287"/>
        <v>0</v>
      </c>
      <c r="Q731" s="76">
        <f t="shared" si="288"/>
        <v>0</v>
      </c>
      <c r="R731" s="76">
        <f t="shared" si="289"/>
        <v>0</v>
      </c>
      <c r="S731" s="76">
        <f t="shared" si="290"/>
        <v>0.99510631719151366</v>
      </c>
      <c r="T731" s="76">
        <f t="shared" si="291"/>
        <v>0.99510631719151366</v>
      </c>
      <c r="U731" s="76">
        <f t="shared" si="292"/>
        <v>1</v>
      </c>
    </row>
    <row r="732" spans="1:21" x14ac:dyDescent="0.25">
      <c r="A732" s="71">
        <v>6</v>
      </c>
      <c r="B732" s="72">
        <f t="shared" si="293"/>
        <v>45809</v>
      </c>
      <c r="C732" s="73">
        <f t="shared" si="274"/>
        <v>45838</v>
      </c>
      <c r="D732" s="67">
        <f t="shared" si="275"/>
        <v>30</v>
      </c>
      <c r="E732" s="67">
        <f t="shared" si="276"/>
        <v>6</v>
      </c>
      <c r="F732" s="74">
        <f t="shared" si="277"/>
        <v>45824</v>
      </c>
      <c r="G732" s="67">
        <f t="shared" si="278"/>
        <v>24305</v>
      </c>
      <c r="H732" s="75">
        <f t="shared" si="279"/>
        <v>1</v>
      </c>
      <c r="I732" s="76">
        <f t="shared" si="280"/>
        <v>1</v>
      </c>
      <c r="J732" s="76">
        <f t="shared" si="281"/>
        <v>1</v>
      </c>
      <c r="K732" s="67">
        <f t="shared" si="282"/>
        <v>0</v>
      </c>
      <c r="L732" s="67">
        <f t="shared" si="283"/>
        <v>0</v>
      </c>
      <c r="M732" s="77">
        <f t="shared" si="284"/>
        <v>0</v>
      </c>
      <c r="N732" s="76">
        <f t="shared" si="285"/>
        <v>1</v>
      </c>
      <c r="O732" s="77">
        <f t="shared" si="286"/>
        <v>0.91516411378555795</v>
      </c>
      <c r="P732" s="76">
        <f t="shared" si="287"/>
        <v>0</v>
      </c>
      <c r="Q732" s="76">
        <f t="shared" si="288"/>
        <v>0</v>
      </c>
      <c r="R732" s="76">
        <f t="shared" si="289"/>
        <v>0</v>
      </c>
      <c r="S732" s="76">
        <f t="shared" si="290"/>
        <v>0.99474360194082379</v>
      </c>
      <c r="T732" s="76">
        <f t="shared" si="291"/>
        <v>0.99474360194082379</v>
      </c>
      <c r="U732" s="76">
        <f t="shared" si="292"/>
        <v>1</v>
      </c>
    </row>
    <row r="733" spans="1:21" x14ac:dyDescent="0.25">
      <c r="A733" s="71">
        <v>7</v>
      </c>
      <c r="B733" s="72">
        <f t="shared" si="293"/>
        <v>45839</v>
      </c>
      <c r="C733" s="73">
        <f t="shared" si="274"/>
        <v>45869</v>
      </c>
      <c r="D733" s="67">
        <f t="shared" si="275"/>
        <v>31</v>
      </c>
      <c r="E733" s="67">
        <f t="shared" si="276"/>
        <v>7</v>
      </c>
      <c r="F733" s="74">
        <f t="shared" si="277"/>
        <v>45854.5</v>
      </c>
      <c r="G733" s="67">
        <f t="shared" si="278"/>
        <v>24306</v>
      </c>
      <c r="H733" s="75">
        <f t="shared" si="279"/>
        <v>1</v>
      </c>
      <c r="I733" s="76">
        <f t="shared" si="280"/>
        <v>1</v>
      </c>
      <c r="J733" s="76">
        <f t="shared" si="281"/>
        <v>1</v>
      </c>
      <c r="K733" s="67">
        <f t="shared" si="282"/>
        <v>0</v>
      </c>
      <c r="L733" s="67">
        <f t="shared" si="283"/>
        <v>0</v>
      </c>
      <c r="M733" s="77">
        <f t="shared" si="284"/>
        <v>0</v>
      </c>
      <c r="N733" s="76">
        <f t="shared" si="285"/>
        <v>1</v>
      </c>
      <c r="O733" s="77">
        <f t="shared" si="286"/>
        <v>0.91483041575492341</v>
      </c>
      <c r="P733" s="76">
        <f t="shared" si="287"/>
        <v>8.333333333333337E-2</v>
      </c>
      <c r="Q733" s="76">
        <f t="shared" si="288"/>
        <v>0</v>
      </c>
      <c r="R733" s="76">
        <f t="shared" si="289"/>
        <v>0</v>
      </c>
      <c r="S733" s="76">
        <f t="shared" si="290"/>
        <v>0.99438088669013414</v>
      </c>
      <c r="T733" s="76">
        <f t="shared" si="291"/>
        <v>0.99438088669013414</v>
      </c>
      <c r="U733" s="76">
        <f t="shared" si="292"/>
        <v>1</v>
      </c>
    </row>
    <row r="734" spans="1:21" x14ac:dyDescent="0.25">
      <c r="A734" s="71">
        <v>8</v>
      </c>
      <c r="B734" s="72">
        <f t="shared" si="293"/>
        <v>45870</v>
      </c>
      <c r="C734" s="73">
        <f t="shared" si="274"/>
        <v>45900</v>
      </c>
      <c r="D734" s="67">
        <f t="shared" si="275"/>
        <v>31</v>
      </c>
      <c r="E734" s="67">
        <f t="shared" si="276"/>
        <v>8</v>
      </c>
      <c r="F734" s="74">
        <f t="shared" si="277"/>
        <v>45885.5</v>
      </c>
      <c r="G734" s="67">
        <f t="shared" si="278"/>
        <v>24307</v>
      </c>
      <c r="H734" s="75">
        <f t="shared" si="279"/>
        <v>1</v>
      </c>
      <c r="I734" s="76">
        <f t="shared" si="280"/>
        <v>1</v>
      </c>
      <c r="J734" s="76">
        <f t="shared" si="281"/>
        <v>1</v>
      </c>
      <c r="K734" s="67">
        <f t="shared" si="282"/>
        <v>0</v>
      </c>
      <c r="L734" s="67">
        <f t="shared" si="283"/>
        <v>0</v>
      </c>
      <c r="M734" s="77">
        <f t="shared" si="284"/>
        <v>0</v>
      </c>
      <c r="N734" s="76">
        <f t="shared" si="285"/>
        <v>1</v>
      </c>
      <c r="O734" s="77">
        <f t="shared" si="286"/>
        <v>0.91449124726477027</v>
      </c>
      <c r="P734" s="76">
        <f t="shared" si="287"/>
        <v>0.25</v>
      </c>
      <c r="Q734" s="76">
        <f t="shared" si="288"/>
        <v>0</v>
      </c>
      <c r="R734" s="76">
        <f t="shared" si="289"/>
        <v>0</v>
      </c>
      <c r="S734" s="76">
        <f t="shared" si="290"/>
        <v>0.99401222528779376</v>
      </c>
      <c r="T734" s="76">
        <f t="shared" si="291"/>
        <v>0.99401222528779376</v>
      </c>
      <c r="U734" s="76">
        <f t="shared" si="292"/>
        <v>1</v>
      </c>
    </row>
    <row r="735" spans="1:21" x14ac:dyDescent="0.25">
      <c r="A735" s="71">
        <v>9</v>
      </c>
      <c r="B735" s="72">
        <f t="shared" si="293"/>
        <v>45901</v>
      </c>
      <c r="C735" s="73">
        <f t="shared" si="274"/>
        <v>45930</v>
      </c>
      <c r="D735" s="67">
        <f t="shared" si="275"/>
        <v>30</v>
      </c>
      <c r="E735" s="67">
        <f t="shared" si="276"/>
        <v>9</v>
      </c>
      <c r="F735" s="74">
        <f t="shared" si="277"/>
        <v>45916</v>
      </c>
      <c r="G735" s="67">
        <f t="shared" si="278"/>
        <v>24308</v>
      </c>
      <c r="H735" s="75">
        <f t="shared" si="279"/>
        <v>1</v>
      </c>
      <c r="I735" s="76">
        <f t="shared" si="280"/>
        <v>1</v>
      </c>
      <c r="J735" s="76">
        <f t="shared" si="281"/>
        <v>1</v>
      </c>
      <c r="K735" s="67">
        <f t="shared" si="282"/>
        <v>0</v>
      </c>
      <c r="L735" s="67">
        <f t="shared" si="283"/>
        <v>0</v>
      </c>
      <c r="M735" s="77">
        <f t="shared" si="284"/>
        <v>0</v>
      </c>
      <c r="N735" s="76">
        <f t="shared" si="285"/>
        <v>1</v>
      </c>
      <c r="O735" s="77">
        <f t="shared" si="286"/>
        <v>0.91415754923413572</v>
      </c>
      <c r="P735" s="76">
        <f t="shared" si="287"/>
        <v>0.41666666666666663</v>
      </c>
      <c r="Q735" s="76">
        <f t="shared" si="288"/>
        <v>0</v>
      </c>
      <c r="R735" s="76">
        <f t="shared" si="289"/>
        <v>0</v>
      </c>
      <c r="S735" s="76">
        <f t="shared" si="290"/>
        <v>0.993649510037104</v>
      </c>
      <c r="T735" s="76">
        <f t="shared" si="291"/>
        <v>0.993649510037104</v>
      </c>
      <c r="U735" s="76">
        <f t="shared" si="292"/>
        <v>1</v>
      </c>
    </row>
    <row r="736" spans="1:21" x14ac:dyDescent="0.25">
      <c r="A736" s="71">
        <v>10</v>
      </c>
      <c r="B736" s="72">
        <f t="shared" si="293"/>
        <v>45931</v>
      </c>
      <c r="C736" s="73">
        <f t="shared" si="274"/>
        <v>45961</v>
      </c>
      <c r="D736" s="67">
        <f t="shared" si="275"/>
        <v>31</v>
      </c>
      <c r="E736" s="67">
        <f t="shared" si="276"/>
        <v>10</v>
      </c>
      <c r="F736" s="74">
        <f t="shared" si="277"/>
        <v>45946.5</v>
      </c>
      <c r="G736" s="67">
        <f t="shared" si="278"/>
        <v>24309</v>
      </c>
      <c r="H736" s="75">
        <f t="shared" si="279"/>
        <v>1</v>
      </c>
      <c r="I736" s="76">
        <f t="shared" si="280"/>
        <v>1</v>
      </c>
      <c r="J736" s="76">
        <f t="shared" si="281"/>
        <v>1</v>
      </c>
      <c r="K736" s="67">
        <f t="shared" si="282"/>
        <v>0</v>
      </c>
      <c r="L736" s="67">
        <f t="shared" si="283"/>
        <v>0</v>
      </c>
      <c r="M736" s="77">
        <f t="shared" si="284"/>
        <v>0</v>
      </c>
      <c r="N736" s="76">
        <f t="shared" si="285"/>
        <v>1</v>
      </c>
      <c r="O736" s="77">
        <f t="shared" si="286"/>
        <v>0.91382385120350107</v>
      </c>
      <c r="P736" s="76">
        <f t="shared" si="287"/>
        <v>0.58333333333333326</v>
      </c>
      <c r="Q736" s="76">
        <f t="shared" si="288"/>
        <v>0</v>
      </c>
      <c r="R736" s="76">
        <f t="shared" si="289"/>
        <v>0</v>
      </c>
      <c r="S736" s="76">
        <f t="shared" si="290"/>
        <v>0.99328679478641413</v>
      </c>
      <c r="T736" s="76">
        <f t="shared" si="291"/>
        <v>0.99328679478641413</v>
      </c>
      <c r="U736" s="76">
        <f t="shared" si="292"/>
        <v>1</v>
      </c>
    </row>
    <row r="737" spans="1:21" x14ac:dyDescent="0.25">
      <c r="A737" s="71">
        <v>11</v>
      </c>
      <c r="B737" s="72">
        <f t="shared" si="293"/>
        <v>45962</v>
      </c>
      <c r="C737" s="73">
        <f t="shared" si="274"/>
        <v>45991</v>
      </c>
      <c r="D737" s="67">
        <f t="shared" si="275"/>
        <v>30</v>
      </c>
      <c r="E737" s="67">
        <f t="shared" si="276"/>
        <v>11</v>
      </c>
      <c r="F737" s="74">
        <f t="shared" si="277"/>
        <v>45977</v>
      </c>
      <c r="G737" s="67">
        <f t="shared" si="278"/>
        <v>24310</v>
      </c>
      <c r="H737" s="75">
        <f t="shared" si="279"/>
        <v>1</v>
      </c>
      <c r="I737" s="76">
        <f t="shared" si="280"/>
        <v>1</v>
      </c>
      <c r="J737" s="76">
        <f t="shared" si="281"/>
        <v>1</v>
      </c>
      <c r="K737" s="67">
        <f t="shared" si="282"/>
        <v>0</v>
      </c>
      <c r="L737" s="67">
        <f t="shared" si="283"/>
        <v>0</v>
      </c>
      <c r="M737" s="77">
        <f t="shared" si="284"/>
        <v>0</v>
      </c>
      <c r="N737" s="76">
        <f t="shared" si="285"/>
        <v>1</v>
      </c>
      <c r="O737" s="77">
        <f t="shared" si="286"/>
        <v>0.91349015317286653</v>
      </c>
      <c r="P737" s="76">
        <f t="shared" si="287"/>
        <v>0.75</v>
      </c>
      <c r="Q737" s="76">
        <f t="shared" si="288"/>
        <v>0</v>
      </c>
      <c r="R737" s="76">
        <f t="shared" si="289"/>
        <v>0</v>
      </c>
      <c r="S737" s="76">
        <f t="shared" si="290"/>
        <v>0.99292407953572448</v>
      </c>
      <c r="T737" s="76">
        <f t="shared" si="291"/>
        <v>0.99292407953572448</v>
      </c>
      <c r="U737" s="76">
        <f t="shared" si="292"/>
        <v>1</v>
      </c>
    </row>
    <row r="738" spans="1:21" x14ac:dyDescent="0.25">
      <c r="A738" s="71">
        <v>12</v>
      </c>
      <c r="B738" s="72">
        <f t="shared" si="293"/>
        <v>45992</v>
      </c>
      <c r="C738" s="73">
        <f t="shared" si="274"/>
        <v>46022</v>
      </c>
      <c r="D738" s="67">
        <f t="shared" si="275"/>
        <v>31</v>
      </c>
      <c r="E738" s="67">
        <f t="shared" si="276"/>
        <v>12</v>
      </c>
      <c r="F738" s="74">
        <f t="shared" si="277"/>
        <v>46007.5</v>
      </c>
      <c r="G738" s="67">
        <f t="shared" si="278"/>
        <v>24311</v>
      </c>
      <c r="H738" s="75">
        <f t="shared" si="279"/>
        <v>1</v>
      </c>
      <c r="I738" s="76">
        <f t="shared" si="280"/>
        <v>1</v>
      </c>
      <c r="J738" s="76">
        <f t="shared" si="281"/>
        <v>1</v>
      </c>
      <c r="K738" s="67">
        <f t="shared" si="282"/>
        <v>0</v>
      </c>
      <c r="L738" s="67">
        <f t="shared" si="283"/>
        <v>0</v>
      </c>
      <c r="M738" s="77">
        <f t="shared" si="284"/>
        <v>0</v>
      </c>
      <c r="N738" s="76">
        <f t="shared" si="285"/>
        <v>1</v>
      </c>
      <c r="O738" s="77">
        <f t="shared" si="286"/>
        <v>0.91315645514223198</v>
      </c>
      <c r="P738" s="76">
        <f t="shared" si="287"/>
        <v>0.91666666666666663</v>
      </c>
      <c r="Q738" s="76">
        <f t="shared" si="288"/>
        <v>0</v>
      </c>
      <c r="R738" s="76">
        <f t="shared" si="289"/>
        <v>0</v>
      </c>
      <c r="S738" s="76">
        <f t="shared" si="290"/>
        <v>0.99256136428503472</v>
      </c>
      <c r="T738" s="76">
        <f t="shared" si="291"/>
        <v>0.99256136428503472</v>
      </c>
      <c r="U738" s="76">
        <f t="shared" si="292"/>
        <v>1</v>
      </c>
    </row>
    <row r="739" spans="1:21" x14ac:dyDescent="0.25">
      <c r="A739" s="71">
        <v>13</v>
      </c>
      <c r="B739" s="72">
        <f t="shared" si="293"/>
        <v>46023</v>
      </c>
      <c r="C739" s="73">
        <f t="shared" si="274"/>
        <v>46053</v>
      </c>
      <c r="D739" s="67">
        <f t="shared" si="275"/>
        <v>31</v>
      </c>
      <c r="E739" s="67">
        <f t="shared" si="276"/>
        <v>1</v>
      </c>
      <c r="F739" s="74">
        <f t="shared" si="277"/>
        <v>46038.5</v>
      </c>
      <c r="G739" s="67">
        <f t="shared" si="278"/>
        <v>24312</v>
      </c>
      <c r="H739" s="75">
        <f t="shared" si="279"/>
        <v>1</v>
      </c>
      <c r="I739" s="76">
        <f t="shared" si="280"/>
        <v>1</v>
      </c>
      <c r="J739" s="76">
        <f t="shared" si="281"/>
        <v>1.04</v>
      </c>
      <c r="K739" s="67">
        <f t="shared" si="282"/>
        <v>1</v>
      </c>
      <c r="L739" s="67">
        <f t="shared" si="283"/>
        <v>31</v>
      </c>
      <c r="M739" s="77">
        <f t="shared" si="284"/>
        <v>1</v>
      </c>
      <c r="N739" s="76">
        <f t="shared" si="285"/>
        <v>1.04</v>
      </c>
      <c r="O739" s="77">
        <f t="shared" si="286"/>
        <v>0.91281728665207884</v>
      </c>
      <c r="P739" s="76">
        <f t="shared" si="287"/>
        <v>1</v>
      </c>
      <c r="Q739" s="76">
        <f t="shared" si="288"/>
        <v>0</v>
      </c>
      <c r="R739" s="76">
        <f t="shared" si="289"/>
        <v>0</v>
      </c>
      <c r="S739" s="76">
        <f t="shared" si="290"/>
        <v>1.0318804109980022</v>
      </c>
      <c r="T739" s="76">
        <f t="shared" si="291"/>
        <v>1.0318804109980022</v>
      </c>
      <c r="U739" s="76">
        <f t="shared" si="292"/>
        <v>1.04</v>
      </c>
    </row>
    <row r="740" spans="1:21" x14ac:dyDescent="0.25">
      <c r="A740" s="71">
        <v>14</v>
      </c>
      <c r="B740" s="72">
        <f t="shared" si="293"/>
        <v>46054</v>
      </c>
      <c r="C740" s="73">
        <f t="shared" si="274"/>
        <v>46081</v>
      </c>
      <c r="D740" s="67">
        <f t="shared" si="275"/>
        <v>28</v>
      </c>
      <c r="E740" s="67">
        <f t="shared" si="276"/>
        <v>2</v>
      </c>
      <c r="F740" s="74">
        <f t="shared" si="277"/>
        <v>46068</v>
      </c>
      <c r="G740" s="67">
        <f t="shared" si="278"/>
        <v>24313</v>
      </c>
      <c r="H740" s="75">
        <f t="shared" si="279"/>
        <v>1</v>
      </c>
      <c r="I740" s="76">
        <f t="shared" si="280"/>
        <v>1.04</v>
      </c>
      <c r="J740" s="76">
        <f t="shared" si="281"/>
        <v>1.04</v>
      </c>
      <c r="K740" s="67">
        <f t="shared" si="282"/>
        <v>0</v>
      </c>
      <c r="L740" s="67">
        <f t="shared" si="283"/>
        <v>0</v>
      </c>
      <c r="M740" s="77">
        <f t="shared" si="284"/>
        <v>0</v>
      </c>
      <c r="N740" s="76">
        <f t="shared" si="285"/>
        <v>1.04</v>
      </c>
      <c r="O740" s="77">
        <f t="shared" si="286"/>
        <v>0.91249452954048138</v>
      </c>
      <c r="P740" s="76">
        <f t="shared" si="287"/>
        <v>1</v>
      </c>
      <c r="Q740" s="76">
        <f t="shared" si="288"/>
        <v>0</v>
      </c>
      <c r="R740" s="76">
        <f t="shared" si="289"/>
        <v>0</v>
      </c>
      <c r="S740" s="76">
        <f t="shared" si="290"/>
        <v>1.031515555132718</v>
      </c>
      <c r="T740" s="76">
        <f t="shared" si="291"/>
        <v>1.031515555132718</v>
      </c>
      <c r="U740" s="76">
        <f t="shared" si="292"/>
        <v>1.04</v>
      </c>
    </row>
    <row r="741" spans="1:21" x14ac:dyDescent="0.25">
      <c r="A741" s="71">
        <v>15</v>
      </c>
      <c r="B741" s="72">
        <f t="shared" si="293"/>
        <v>46082</v>
      </c>
      <c r="C741" s="73">
        <f t="shared" si="274"/>
        <v>46112</v>
      </c>
      <c r="D741" s="67">
        <f t="shared" si="275"/>
        <v>31</v>
      </c>
      <c r="E741" s="67">
        <f t="shared" si="276"/>
        <v>3</v>
      </c>
      <c r="F741" s="74">
        <f t="shared" si="277"/>
        <v>46097.5</v>
      </c>
      <c r="G741" s="67">
        <f t="shared" si="278"/>
        <v>24314</v>
      </c>
      <c r="H741" s="75">
        <f t="shared" si="279"/>
        <v>1</v>
      </c>
      <c r="I741" s="76">
        <f t="shared" si="280"/>
        <v>1.04</v>
      </c>
      <c r="J741" s="76">
        <f t="shared" si="281"/>
        <v>1.04</v>
      </c>
      <c r="K741" s="67">
        <f t="shared" si="282"/>
        <v>0</v>
      </c>
      <c r="L741" s="67">
        <f t="shared" si="283"/>
        <v>0</v>
      </c>
      <c r="M741" s="77">
        <f t="shared" si="284"/>
        <v>0</v>
      </c>
      <c r="N741" s="76">
        <f t="shared" si="285"/>
        <v>1.04</v>
      </c>
      <c r="O741" s="77">
        <f t="shared" si="286"/>
        <v>0.91217177242888403</v>
      </c>
      <c r="P741" s="76">
        <f t="shared" si="287"/>
        <v>1</v>
      </c>
      <c r="Q741" s="76">
        <f t="shared" si="288"/>
        <v>0</v>
      </c>
      <c r="R741" s="76">
        <f t="shared" si="289"/>
        <v>0</v>
      </c>
      <c r="S741" s="76">
        <f t="shared" si="290"/>
        <v>1.0311506992674342</v>
      </c>
      <c r="T741" s="76">
        <f t="shared" si="291"/>
        <v>1.0311506992674342</v>
      </c>
      <c r="U741" s="76">
        <f t="shared" si="292"/>
        <v>1.04</v>
      </c>
    </row>
    <row r="742" spans="1:21" x14ac:dyDescent="0.25">
      <c r="A742" s="71">
        <v>16</v>
      </c>
      <c r="B742" s="72">
        <f t="shared" si="293"/>
        <v>46113</v>
      </c>
      <c r="C742" s="73">
        <f t="shared" si="274"/>
        <v>46142</v>
      </c>
      <c r="D742" s="67">
        <f t="shared" si="275"/>
        <v>30</v>
      </c>
      <c r="E742" s="67">
        <f t="shared" si="276"/>
        <v>4</v>
      </c>
      <c r="F742" s="74">
        <f t="shared" si="277"/>
        <v>46128</v>
      </c>
      <c r="G742" s="67">
        <f t="shared" si="278"/>
        <v>24315</v>
      </c>
      <c r="H742" s="75">
        <f t="shared" si="279"/>
        <v>1</v>
      </c>
      <c r="I742" s="76">
        <f t="shared" si="280"/>
        <v>1.04</v>
      </c>
      <c r="J742" s="76">
        <f t="shared" si="281"/>
        <v>1.04</v>
      </c>
      <c r="K742" s="67">
        <f t="shared" si="282"/>
        <v>0</v>
      </c>
      <c r="L742" s="67">
        <f t="shared" si="283"/>
        <v>0</v>
      </c>
      <c r="M742" s="77">
        <f t="shared" si="284"/>
        <v>0</v>
      </c>
      <c r="N742" s="76">
        <f t="shared" si="285"/>
        <v>1.04</v>
      </c>
      <c r="O742" s="77">
        <f t="shared" si="286"/>
        <v>0.91183807439824949</v>
      </c>
      <c r="P742" s="76">
        <f t="shared" si="287"/>
        <v>1</v>
      </c>
      <c r="Q742" s="76">
        <f t="shared" si="288"/>
        <v>0</v>
      </c>
      <c r="R742" s="76">
        <f t="shared" si="289"/>
        <v>0</v>
      </c>
      <c r="S742" s="76">
        <f t="shared" si="290"/>
        <v>1.0307734754067168</v>
      </c>
      <c r="T742" s="76">
        <f t="shared" si="291"/>
        <v>1.0307734754067168</v>
      </c>
      <c r="U742" s="76">
        <f t="shared" si="292"/>
        <v>1.04</v>
      </c>
    </row>
    <row r="743" spans="1:21" x14ac:dyDescent="0.25">
      <c r="A743" s="71">
        <v>17</v>
      </c>
      <c r="B743" s="72">
        <f t="shared" si="293"/>
        <v>46143</v>
      </c>
      <c r="C743" s="73">
        <f t="shared" si="274"/>
        <v>46173</v>
      </c>
      <c r="D743" s="67">
        <f t="shared" si="275"/>
        <v>31</v>
      </c>
      <c r="E743" s="67">
        <f t="shared" si="276"/>
        <v>5</v>
      </c>
      <c r="F743" s="74">
        <f t="shared" si="277"/>
        <v>46158.5</v>
      </c>
      <c r="G743" s="67">
        <f t="shared" si="278"/>
        <v>24316</v>
      </c>
      <c r="H743" s="75">
        <f t="shared" si="279"/>
        <v>1</v>
      </c>
      <c r="I743" s="76">
        <f t="shared" si="280"/>
        <v>1.04</v>
      </c>
      <c r="J743" s="76">
        <f t="shared" si="281"/>
        <v>1.04</v>
      </c>
      <c r="K743" s="67">
        <f t="shared" si="282"/>
        <v>0</v>
      </c>
      <c r="L743" s="67">
        <f t="shared" si="283"/>
        <v>0</v>
      </c>
      <c r="M743" s="77">
        <f t="shared" si="284"/>
        <v>0</v>
      </c>
      <c r="N743" s="76">
        <f t="shared" si="285"/>
        <v>1.04</v>
      </c>
      <c r="O743" s="77">
        <f t="shared" si="286"/>
        <v>0.91150437636761494</v>
      </c>
      <c r="P743" s="76">
        <f t="shared" si="287"/>
        <v>1</v>
      </c>
      <c r="Q743" s="76">
        <f t="shared" si="288"/>
        <v>0</v>
      </c>
      <c r="R743" s="76">
        <f t="shared" si="289"/>
        <v>0</v>
      </c>
      <c r="S743" s="76">
        <f t="shared" si="290"/>
        <v>1.0303962515459995</v>
      </c>
      <c r="T743" s="76">
        <f t="shared" si="291"/>
        <v>1.0303962515459995</v>
      </c>
      <c r="U743" s="76">
        <f t="shared" si="292"/>
        <v>1.04</v>
      </c>
    </row>
    <row r="744" spans="1:21" x14ac:dyDescent="0.25">
      <c r="A744" s="71">
        <v>18</v>
      </c>
      <c r="B744" s="72">
        <f t="shared" si="293"/>
        <v>46174</v>
      </c>
      <c r="C744" s="73">
        <f t="shared" si="274"/>
        <v>46203</v>
      </c>
      <c r="D744" s="67">
        <f t="shared" si="275"/>
        <v>30</v>
      </c>
      <c r="E744" s="67">
        <f t="shared" si="276"/>
        <v>6</v>
      </c>
      <c r="F744" s="74">
        <f t="shared" si="277"/>
        <v>46189</v>
      </c>
      <c r="G744" s="67">
        <f t="shared" si="278"/>
        <v>24317</v>
      </c>
      <c r="H744" s="75">
        <f t="shared" si="279"/>
        <v>1</v>
      </c>
      <c r="I744" s="76">
        <f t="shared" si="280"/>
        <v>1.04</v>
      </c>
      <c r="J744" s="76">
        <f t="shared" si="281"/>
        <v>1.04</v>
      </c>
      <c r="K744" s="67">
        <f t="shared" si="282"/>
        <v>0</v>
      </c>
      <c r="L744" s="67">
        <f t="shared" si="283"/>
        <v>0</v>
      </c>
      <c r="M744" s="77">
        <f t="shared" si="284"/>
        <v>0</v>
      </c>
      <c r="N744" s="76">
        <f t="shared" si="285"/>
        <v>1.04</v>
      </c>
      <c r="O744" s="77">
        <f t="shared" si="286"/>
        <v>0.91117067833698029</v>
      </c>
      <c r="P744" s="76">
        <f t="shared" si="287"/>
        <v>1</v>
      </c>
      <c r="Q744" s="76">
        <f t="shared" si="288"/>
        <v>0</v>
      </c>
      <c r="R744" s="76">
        <f t="shared" si="289"/>
        <v>0</v>
      </c>
      <c r="S744" s="76">
        <f t="shared" si="290"/>
        <v>1.0300190276852821</v>
      </c>
      <c r="T744" s="76">
        <f t="shared" si="291"/>
        <v>1.0300190276852821</v>
      </c>
      <c r="U744" s="76">
        <f t="shared" si="292"/>
        <v>1.04</v>
      </c>
    </row>
    <row r="745" spans="1:21" x14ac:dyDescent="0.25">
      <c r="A745" s="71">
        <v>19</v>
      </c>
      <c r="B745" s="72">
        <f t="shared" si="293"/>
        <v>46204</v>
      </c>
      <c r="C745" s="73">
        <f t="shared" si="274"/>
        <v>46234</v>
      </c>
      <c r="D745" s="67">
        <f t="shared" si="275"/>
        <v>31</v>
      </c>
      <c r="E745" s="67">
        <f t="shared" si="276"/>
        <v>7</v>
      </c>
      <c r="F745" s="74">
        <f t="shared" si="277"/>
        <v>46219.5</v>
      </c>
      <c r="G745" s="67">
        <f t="shared" si="278"/>
        <v>24318</v>
      </c>
      <c r="H745" s="75">
        <f t="shared" si="279"/>
        <v>1</v>
      </c>
      <c r="I745" s="76">
        <f t="shared" si="280"/>
        <v>1.04</v>
      </c>
      <c r="J745" s="76">
        <f t="shared" si="281"/>
        <v>1.04</v>
      </c>
      <c r="K745" s="67">
        <f t="shared" si="282"/>
        <v>0</v>
      </c>
      <c r="L745" s="67">
        <f t="shared" si="283"/>
        <v>0</v>
      </c>
      <c r="M745" s="77">
        <f t="shared" si="284"/>
        <v>0</v>
      </c>
      <c r="N745" s="76">
        <f t="shared" si="285"/>
        <v>1.04</v>
      </c>
      <c r="O745" s="77">
        <f t="shared" si="286"/>
        <v>0.91083698030634574</v>
      </c>
      <c r="P745" s="76">
        <f t="shared" si="287"/>
        <v>0.91666666666666663</v>
      </c>
      <c r="Q745" s="76">
        <f t="shared" si="288"/>
        <v>8.333333333333337E-2</v>
      </c>
      <c r="R745" s="76">
        <f t="shared" si="289"/>
        <v>0</v>
      </c>
      <c r="S745" s="76">
        <f t="shared" si="290"/>
        <v>1.0296418038245647</v>
      </c>
      <c r="T745" s="76">
        <f t="shared" si="291"/>
        <v>1.0296418038245647</v>
      </c>
      <c r="U745" s="76">
        <f t="shared" si="292"/>
        <v>1.04</v>
      </c>
    </row>
    <row r="746" spans="1:21" x14ac:dyDescent="0.25">
      <c r="A746" s="71">
        <v>20</v>
      </c>
      <c r="B746" s="72">
        <f t="shared" si="293"/>
        <v>46235</v>
      </c>
      <c r="C746" s="73">
        <f t="shared" si="274"/>
        <v>46265</v>
      </c>
      <c r="D746" s="67">
        <f t="shared" si="275"/>
        <v>31</v>
      </c>
      <c r="E746" s="67">
        <f t="shared" si="276"/>
        <v>8</v>
      </c>
      <c r="F746" s="74">
        <f t="shared" si="277"/>
        <v>46250.5</v>
      </c>
      <c r="G746" s="67">
        <f t="shared" si="278"/>
        <v>24319</v>
      </c>
      <c r="H746" s="75">
        <f t="shared" si="279"/>
        <v>1</v>
      </c>
      <c r="I746" s="76">
        <f t="shared" si="280"/>
        <v>1.04</v>
      </c>
      <c r="J746" s="76">
        <f t="shared" si="281"/>
        <v>1.04</v>
      </c>
      <c r="K746" s="67">
        <f t="shared" si="282"/>
        <v>0</v>
      </c>
      <c r="L746" s="67">
        <f t="shared" si="283"/>
        <v>0</v>
      </c>
      <c r="M746" s="77">
        <f t="shared" si="284"/>
        <v>0</v>
      </c>
      <c r="N746" s="76">
        <f t="shared" si="285"/>
        <v>1.04</v>
      </c>
      <c r="O746" s="77">
        <f t="shared" si="286"/>
        <v>0.9104978118161926</v>
      </c>
      <c r="P746" s="76">
        <f t="shared" si="287"/>
        <v>0.75</v>
      </c>
      <c r="Q746" s="76">
        <f t="shared" si="288"/>
        <v>0.25</v>
      </c>
      <c r="R746" s="76">
        <f t="shared" si="289"/>
        <v>0</v>
      </c>
      <c r="S746" s="76">
        <f t="shared" si="290"/>
        <v>1.0292583959661308</v>
      </c>
      <c r="T746" s="76">
        <f t="shared" si="291"/>
        <v>1.0292583959661308</v>
      </c>
      <c r="U746" s="76">
        <f t="shared" si="292"/>
        <v>1.04</v>
      </c>
    </row>
    <row r="747" spans="1:21" x14ac:dyDescent="0.25">
      <c r="A747" s="71">
        <v>21</v>
      </c>
      <c r="B747" s="72">
        <f t="shared" si="293"/>
        <v>46266</v>
      </c>
      <c r="C747" s="73">
        <f t="shared" si="274"/>
        <v>46295</v>
      </c>
      <c r="D747" s="67">
        <f t="shared" si="275"/>
        <v>30</v>
      </c>
      <c r="E747" s="67">
        <f t="shared" si="276"/>
        <v>9</v>
      </c>
      <c r="F747" s="74">
        <f t="shared" si="277"/>
        <v>46281</v>
      </c>
      <c r="G747" s="67">
        <f t="shared" si="278"/>
        <v>24320</v>
      </c>
      <c r="H747" s="75">
        <f t="shared" si="279"/>
        <v>1</v>
      </c>
      <c r="I747" s="76">
        <f t="shared" si="280"/>
        <v>1.04</v>
      </c>
      <c r="J747" s="76">
        <f t="shared" si="281"/>
        <v>1.04</v>
      </c>
      <c r="K747" s="67">
        <f t="shared" si="282"/>
        <v>0</v>
      </c>
      <c r="L747" s="67">
        <f t="shared" si="283"/>
        <v>0</v>
      </c>
      <c r="M747" s="77">
        <f t="shared" si="284"/>
        <v>0</v>
      </c>
      <c r="N747" s="76">
        <f t="shared" si="285"/>
        <v>1.04</v>
      </c>
      <c r="O747" s="77">
        <f t="shared" si="286"/>
        <v>0.91016411378555806</v>
      </c>
      <c r="P747" s="76">
        <f t="shared" si="287"/>
        <v>0.58333333333333337</v>
      </c>
      <c r="Q747" s="76">
        <f t="shared" si="288"/>
        <v>0.41666666666666663</v>
      </c>
      <c r="R747" s="76">
        <f t="shared" si="289"/>
        <v>0</v>
      </c>
      <c r="S747" s="76">
        <f t="shared" si="290"/>
        <v>1.0288811721054134</v>
      </c>
      <c r="T747" s="76">
        <f t="shared" si="291"/>
        <v>1.0288811721054134</v>
      </c>
      <c r="U747" s="76">
        <f t="shared" si="292"/>
        <v>1.04</v>
      </c>
    </row>
    <row r="748" spans="1:21" x14ac:dyDescent="0.25">
      <c r="A748" s="71">
        <v>22</v>
      </c>
      <c r="B748" s="72">
        <f t="shared" si="293"/>
        <v>46296</v>
      </c>
      <c r="C748" s="73">
        <f t="shared" si="274"/>
        <v>46326</v>
      </c>
      <c r="D748" s="67">
        <f t="shared" si="275"/>
        <v>31</v>
      </c>
      <c r="E748" s="67">
        <f t="shared" si="276"/>
        <v>10</v>
      </c>
      <c r="F748" s="74">
        <f t="shared" si="277"/>
        <v>46311.5</v>
      </c>
      <c r="G748" s="67">
        <f t="shared" si="278"/>
        <v>24321</v>
      </c>
      <c r="H748" s="75">
        <f t="shared" si="279"/>
        <v>1</v>
      </c>
      <c r="I748" s="76">
        <f t="shared" si="280"/>
        <v>1.04</v>
      </c>
      <c r="J748" s="76">
        <f t="shared" si="281"/>
        <v>1.04</v>
      </c>
      <c r="K748" s="67">
        <f t="shared" si="282"/>
        <v>0</v>
      </c>
      <c r="L748" s="67">
        <f t="shared" si="283"/>
        <v>0</v>
      </c>
      <c r="M748" s="77">
        <f t="shared" si="284"/>
        <v>0</v>
      </c>
      <c r="N748" s="76">
        <f t="shared" si="285"/>
        <v>1.04</v>
      </c>
      <c r="O748" s="77">
        <f t="shared" si="286"/>
        <v>0.90983041575492341</v>
      </c>
      <c r="P748" s="76">
        <f t="shared" si="287"/>
        <v>0.41666666666666669</v>
      </c>
      <c r="Q748" s="76">
        <f t="shared" si="288"/>
        <v>0.58333333333333326</v>
      </c>
      <c r="R748" s="76">
        <f t="shared" si="289"/>
        <v>0</v>
      </c>
      <c r="S748" s="76">
        <f t="shared" si="290"/>
        <v>1.028503948244696</v>
      </c>
      <c r="T748" s="76">
        <f t="shared" si="291"/>
        <v>1.028503948244696</v>
      </c>
      <c r="U748" s="76">
        <f t="shared" si="292"/>
        <v>1.04</v>
      </c>
    </row>
    <row r="749" spans="1:21" x14ac:dyDescent="0.25">
      <c r="A749" s="71">
        <v>23</v>
      </c>
      <c r="B749" s="72">
        <f t="shared" si="293"/>
        <v>46327</v>
      </c>
      <c r="C749" s="73">
        <f t="shared" si="274"/>
        <v>46356</v>
      </c>
      <c r="D749" s="67">
        <f t="shared" si="275"/>
        <v>30</v>
      </c>
      <c r="E749" s="67">
        <f t="shared" si="276"/>
        <v>11</v>
      </c>
      <c r="F749" s="74">
        <f t="shared" si="277"/>
        <v>46342</v>
      </c>
      <c r="G749" s="67">
        <f t="shared" si="278"/>
        <v>24322</v>
      </c>
      <c r="H749" s="75">
        <f t="shared" si="279"/>
        <v>1</v>
      </c>
      <c r="I749" s="76">
        <f t="shared" si="280"/>
        <v>1.04</v>
      </c>
      <c r="J749" s="76">
        <f t="shared" si="281"/>
        <v>1.04</v>
      </c>
      <c r="K749" s="67">
        <f t="shared" si="282"/>
        <v>0</v>
      </c>
      <c r="L749" s="67">
        <f t="shared" si="283"/>
        <v>0</v>
      </c>
      <c r="M749" s="77">
        <f t="shared" si="284"/>
        <v>0</v>
      </c>
      <c r="N749" s="76">
        <f t="shared" si="285"/>
        <v>1.04</v>
      </c>
      <c r="O749" s="77">
        <f t="shared" si="286"/>
        <v>0.90949671772428886</v>
      </c>
      <c r="P749" s="76">
        <f t="shared" si="287"/>
        <v>0.25</v>
      </c>
      <c r="Q749" s="76">
        <f t="shared" si="288"/>
        <v>0.75</v>
      </c>
      <c r="R749" s="76">
        <f t="shared" si="289"/>
        <v>0</v>
      </c>
      <c r="S749" s="76">
        <f t="shared" si="290"/>
        <v>1.0281267243839787</v>
      </c>
      <c r="T749" s="76">
        <f t="shared" si="291"/>
        <v>1.0281267243839787</v>
      </c>
      <c r="U749" s="76">
        <f t="shared" si="292"/>
        <v>1.04</v>
      </c>
    </row>
    <row r="750" spans="1:21" x14ac:dyDescent="0.25">
      <c r="A750" s="71">
        <v>24</v>
      </c>
      <c r="B750" s="72">
        <f t="shared" si="293"/>
        <v>46357</v>
      </c>
      <c r="C750" s="73">
        <f t="shared" si="274"/>
        <v>46387</v>
      </c>
      <c r="D750" s="67">
        <f t="shared" si="275"/>
        <v>31</v>
      </c>
      <c r="E750" s="67">
        <f t="shared" si="276"/>
        <v>12</v>
      </c>
      <c r="F750" s="74">
        <f t="shared" si="277"/>
        <v>46372.5</v>
      </c>
      <c r="G750" s="67">
        <f t="shared" si="278"/>
        <v>24323</v>
      </c>
      <c r="H750" s="75">
        <f t="shared" si="279"/>
        <v>1</v>
      </c>
      <c r="I750" s="76">
        <f t="shared" si="280"/>
        <v>1.04</v>
      </c>
      <c r="J750" s="76">
        <f t="shared" si="281"/>
        <v>1.04</v>
      </c>
      <c r="K750" s="67">
        <f t="shared" si="282"/>
        <v>0</v>
      </c>
      <c r="L750" s="67">
        <f t="shared" si="283"/>
        <v>0</v>
      </c>
      <c r="M750" s="77">
        <f t="shared" si="284"/>
        <v>0</v>
      </c>
      <c r="N750" s="76">
        <f t="shared" si="285"/>
        <v>1.04</v>
      </c>
      <c r="O750" s="77">
        <f t="shared" si="286"/>
        <v>0.90916301969365432</v>
      </c>
      <c r="P750" s="76">
        <f t="shared" si="287"/>
        <v>8.3333333333333329E-2</v>
      </c>
      <c r="Q750" s="76">
        <f t="shared" si="288"/>
        <v>0.91666666666666663</v>
      </c>
      <c r="R750" s="76">
        <f t="shared" si="289"/>
        <v>0</v>
      </c>
      <c r="S750" s="76">
        <f t="shared" si="290"/>
        <v>1.0277495005232615</v>
      </c>
      <c r="T750" s="76">
        <f t="shared" si="291"/>
        <v>1.0277495005232615</v>
      </c>
      <c r="U750" s="76">
        <f t="shared" si="292"/>
        <v>1.04</v>
      </c>
    </row>
    <row r="751" spans="1:21" x14ac:dyDescent="0.25">
      <c r="A751" s="71">
        <v>25</v>
      </c>
      <c r="B751" s="72">
        <f t="shared" si="293"/>
        <v>46388</v>
      </c>
      <c r="C751" s="73">
        <f t="shared" si="274"/>
        <v>46418</v>
      </c>
      <c r="D751" s="67">
        <f t="shared" si="275"/>
        <v>31</v>
      </c>
      <c r="E751" s="67">
        <f t="shared" si="276"/>
        <v>1</v>
      </c>
      <c r="F751" s="74">
        <f t="shared" si="277"/>
        <v>46403.5</v>
      </c>
      <c r="G751" s="67">
        <f t="shared" si="278"/>
        <v>24324</v>
      </c>
      <c r="H751" s="75">
        <f t="shared" si="279"/>
        <v>1</v>
      </c>
      <c r="I751" s="76">
        <f t="shared" si="280"/>
        <v>1.04</v>
      </c>
      <c r="J751" s="76">
        <f t="shared" si="281"/>
        <v>1.04</v>
      </c>
      <c r="K751" s="67">
        <f t="shared" si="282"/>
        <v>0</v>
      </c>
      <c r="L751" s="67">
        <f t="shared" si="283"/>
        <v>0</v>
      </c>
      <c r="M751" s="77">
        <f t="shared" si="284"/>
        <v>0</v>
      </c>
      <c r="N751" s="76">
        <f t="shared" si="285"/>
        <v>1.04</v>
      </c>
      <c r="O751" s="77">
        <f t="shared" si="286"/>
        <v>0.90882385120350118</v>
      </c>
      <c r="P751" s="76">
        <f t="shared" si="287"/>
        <v>0</v>
      </c>
      <c r="Q751" s="76">
        <f t="shared" si="288"/>
        <v>1</v>
      </c>
      <c r="R751" s="76">
        <f t="shared" si="289"/>
        <v>0</v>
      </c>
      <c r="S751" s="76">
        <f t="shared" si="290"/>
        <v>1.0273660926648274</v>
      </c>
      <c r="T751" s="76">
        <f t="shared" si="291"/>
        <v>1.0318804109980022</v>
      </c>
      <c r="U751" s="76">
        <f t="shared" si="292"/>
        <v>1.04</v>
      </c>
    </row>
    <row r="752" spans="1:21" x14ac:dyDescent="0.25">
      <c r="A752" s="71">
        <v>26</v>
      </c>
      <c r="B752" s="72">
        <f t="shared" si="293"/>
        <v>46419</v>
      </c>
      <c r="C752" s="73">
        <f t="shared" si="274"/>
        <v>46446</v>
      </c>
      <c r="D752" s="67">
        <f t="shared" si="275"/>
        <v>28</v>
      </c>
      <c r="E752" s="67">
        <f t="shared" si="276"/>
        <v>2</v>
      </c>
      <c r="F752" s="74">
        <f t="shared" si="277"/>
        <v>46433</v>
      </c>
      <c r="G752" s="67">
        <f t="shared" si="278"/>
        <v>24325</v>
      </c>
      <c r="H752" s="75">
        <f t="shared" si="279"/>
        <v>1</v>
      </c>
      <c r="I752" s="76">
        <f t="shared" si="280"/>
        <v>1.04</v>
      </c>
      <c r="J752" s="76">
        <f t="shared" si="281"/>
        <v>1.04</v>
      </c>
      <c r="K752" s="67">
        <f t="shared" si="282"/>
        <v>0</v>
      </c>
      <c r="L752" s="67">
        <f t="shared" si="283"/>
        <v>0</v>
      </c>
      <c r="M752" s="77">
        <f t="shared" si="284"/>
        <v>0</v>
      </c>
      <c r="N752" s="76">
        <f t="shared" si="285"/>
        <v>1.04</v>
      </c>
      <c r="O752" s="77">
        <f t="shared" si="286"/>
        <v>0.90850109409190372</v>
      </c>
      <c r="P752" s="76">
        <f t="shared" si="287"/>
        <v>0</v>
      </c>
      <c r="Q752" s="76">
        <f t="shared" si="288"/>
        <v>1</v>
      </c>
      <c r="R752" s="76">
        <f t="shared" si="289"/>
        <v>0</v>
      </c>
      <c r="S752" s="76">
        <f t="shared" si="290"/>
        <v>1.0270012367995434</v>
      </c>
      <c r="T752" s="76">
        <f t="shared" si="291"/>
        <v>1.031515555132718</v>
      </c>
      <c r="U752" s="76">
        <f t="shared" si="292"/>
        <v>1.04</v>
      </c>
    </row>
    <row r="753" spans="1:21" x14ac:dyDescent="0.25">
      <c r="A753" s="71">
        <v>27</v>
      </c>
      <c r="B753" s="72">
        <f t="shared" si="293"/>
        <v>46447</v>
      </c>
      <c r="C753" s="73">
        <f t="shared" si="274"/>
        <v>46477</v>
      </c>
      <c r="D753" s="67">
        <f t="shared" si="275"/>
        <v>31</v>
      </c>
      <c r="E753" s="67">
        <f t="shared" si="276"/>
        <v>3</v>
      </c>
      <c r="F753" s="74">
        <f t="shared" si="277"/>
        <v>46462.5</v>
      </c>
      <c r="G753" s="67">
        <f t="shared" si="278"/>
        <v>24326</v>
      </c>
      <c r="H753" s="75">
        <f t="shared" si="279"/>
        <v>1</v>
      </c>
      <c r="I753" s="76">
        <f t="shared" si="280"/>
        <v>1.04</v>
      </c>
      <c r="J753" s="76">
        <f t="shared" si="281"/>
        <v>1.04</v>
      </c>
      <c r="K753" s="67">
        <f t="shared" si="282"/>
        <v>0</v>
      </c>
      <c r="L753" s="67">
        <f t="shared" si="283"/>
        <v>0</v>
      </c>
      <c r="M753" s="77">
        <f t="shared" si="284"/>
        <v>0</v>
      </c>
      <c r="N753" s="76">
        <f t="shared" si="285"/>
        <v>1.04</v>
      </c>
      <c r="O753" s="77">
        <f t="shared" si="286"/>
        <v>0.90817833698030637</v>
      </c>
      <c r="P753" s="76">
        <f t="shared" si="287"/>
        <v>0</v>
      </c>
      <c r="Q753" s="76">
        <f t="shared" si="288"/>
        <v>1</v>
      </c>
      <c r="R753" s="76">
        <f t="shared" si="289"/>
        <v>0</v>
      </c>
      <c r="S753" s="76">
        <f t="shared" si="290"/>
        <v>1.0266363809342594</v>
      </c>
      <c r="T753" s="76">
        <f t="shared" si="291"/>
        <v>1.0311506992674342</v>
      </c>
      <c r="U753" s="76">
        <f t="shared" si="292"/>
        <v>1.04</v>
      </c>
    </row>
    <row r="754" spans="1:21" x14ac:dyDescent="0.25">
      <c r="A754" s="71">
        <v>28</v>
      </c>
      <c r="B754" s="72">
        <f t="shared" si="293"/>
        <v>46478</v>
      </c>
      <c r="C754" s="73">
        <f t="shared" si="274"/>
        <v>46507</v>
      </c>
      <c r="D754" s="67">
        <f t="shared" si="275"/>
        <v>30</v>
      </c>
      <c r="E754" s="67">
        <f t="shared" si="276"/>
        <v>4</v>
      </c>
      <c r="F754" s="74">
        <f t="shared" si="277"/>
        <v>46493</v>
      </c>
      <c r="G754" s="67">
        <f t="shared" si="278"/>
        <v>24327</v>
      </c>
      <c r="H754" s="75">
        <f t="shared" si="279"/>
        <v>1</v>
      </c>
      <c r="I754" s="76">
        <f t="shared" si="280"/>
        <v>1.04</v>
      </c>
      <c r="J754" s="76">
        <f t="shared" si="281"/>
        <v>1.04</v>
      </c>
      <c r="K754" s="67">
        <f t="shared" si="282"/>
        <v>0</v>
      </c>
      <c r="L754" s="67">
        <f t="shared" si="283"/>
        <v>0</v>
      </c>
      <c r="M754" s="77">
        <f t="shared" si="284"/>
        <v>0</v>
      </c>
      <c r="N754" s="76">
        <f t="shared" si="285"/>
        <v>1.04</v>
      </c>
      <c r="O754" s="77">
        <f t="shared" si="286"/>
        <v>0.90784463894967182</v>
      </c>
      <c r="P754" s="76">
        <f t="shared" si="287"/>
        <v>0</v>
      </c>
      <c r="Q754" s="76">
        <f t="shared" si="288"/>
        <v>1</v>
      </c>
      <c r="R754" s="76">
        <f t="shared" si="289"/>
        <v>0</v>
      </c>
      <c r="S754" s="76">
        <f t="shared" si="290"/>
        <v>1.026259157073542</v>
      </c>
      <c r="T754" s="76">
        <f t="shared" si="291"/>
        <v>1.0307734754067168</v>
      </c>
      <c r="U754" s="76">
        <f t="shared" si="292"/>
        <v>1.04</v>
      </c>
    </row>
    <row r="755" spans="1:21" x14ac:dyDescent="0.25">
      <c r="A755" s="71">
        <v>29</v>
      </c>
      <c r="B755" s="72">
        <f t="shared" si="293"/>
        <v>46508</v>
      </c>
      <c r="C755" s="73">
        <f t="shared" si="274"/>
        <v>46538</v>
      </c>
      <c r="D755" s="67">
        <f t="shared" si="275"/>
        <v>31</v>
      </c>
      <c r="E755" s="67">
        <f t="shared" si="276"/>
        <v>5</v>
      </c>
      <c r="F755" s="74">
        <f t="shared" si="277"/>
        <v>46523.5</v>
      </c>
      <c r="G755" s="67">
        <f t="shared" si="278"/>
        <v>24328</v>
      </c>
      <c r="H755" s="75">
        <f t="shared" si="279"/>
        <v>1</v>
      </c>
      <c r="I755" s="76">
        <f t="shared" si="280"/>
        <v>1.04</v>
      </c>
      <c r="J755" s="76">
        <f t="shared" si="281"/>
        <v>1.04</v>
      </c>
      <c r="K755" s="67">
        <f t="shared" si="282"/>
        <v>0</v>
      </c>
      <c r="L755" s="67">
        <f t="shared" si="283"/>
        <v>0</v>
      </c>
      <c r="M755" s="77">
        <f t="shared" si="284"/>
        <v>0</v>
      </c>
      <c r="N755" s="76">
        <f t="shared" si="285"/>
        <v>1.04</v>
      </c>
      <c r="O755" s="77">
        <f t="shared" si="286"/>
        <v>0.90751094091903728</v>
      </c>
      <c r="P755" s="76">
        <f t="shared" si="287"/>
        <v>0</v>
      </c>
      <c r="Q755" s="76">
        <f t="shared" si="288"/>
        <v>1</v>
      </c>
      <c r="R755" s="76">
        <f t="shared" si="289"/>
        <v>0</v>
      </c>
      <c r="S755" s="76">
        <f t="shared" si="290"/>
        <v>1.0258819332128248</v>
      </c>
      <c r="T755" s="76">
        <f t="shared" si="291"/>
        <v>1.0303962515459995</v>
      </c>
      <c r="U755" s="76">
        <f t="shared" si="292"/>
        <v>1.04</v>
      </c>
    </row>
    <row r="756" spans="1:21" x14ac:dyDescent="0.25">
      <c r="A756" s="71">
        <v>30</v>
      </c>
      <c r="B756" s="72">
        <f t="shared" si="293"/>
        <v>46539</v>
      </c>
      <c r="C756" s="73">
        <f t="shared" si="274"/>
        <v>46568</v>
      </c>
      <c r="D756" s="67">
        <f t="shared" si="275"/>
        <v>30</v>
      </c>
      <c r="E756" s="67">
        <f t="shared" si="276"/>
        <v>6</v>
      </c>
      <c r="F756" s="74">
        <f t="shared" si="277"/>
        <v>46554</v>
      </c>
      <c r="G756" s="67">
        <f t="shared" si="278"/>
        <v>24329</v>
      </c>
      <c r="H756" s="75">
        <f t="shared" si="279"/>
        <v>1</v>
      </c>
      <c r="I756" s="76">
        <f t="shared" si="280"/>
        <v>1.04</v>
      </c>
      <c r="J756" s="76">
        <f t="shared" si="281"/>
        <v>1.04</v>
      </c>
      <c r="K756" s="67">
        <f t="shared" si="282"/>
        <v>0</v>
      </c>
      <c r="L756" s="67">
        <f t="shared" si="283"/>
        <v>0</v>
      </c>
      <c r="M756" s="77">
        <f t="shared" si="284"/>
        <v>0</v>
      </c>
      <c r="N756" s="76">
        <f t="shared" si="285"/>
        <v>1.04</v>
      </c>
      <c r="O756" s="77">
        <f t="shared" si="286"/>
        <v>0.90717724288840262</v>
      </c>
      <c r="P756" s="76">
        <f t="shared" si="287"/>
        <v>0</v>
      </c>
      <c r="Q756" s="76">
        <f t="shared" si="288"/>
        <v>1</v>
      </c>
      <c r="R756" s="76">
        <f t="shared" si="289"/>
        <v>0</v>
      </c>
      <c r="S756" s="76">
        <f t="shared" si="290"/>
        <v>1.0255047093521072</v>
      </c>
      <c r="T756" s="76">
        <f t="shared" si="291"/>
        <v>1.0300190276852821</v>
      </c>
      <c r="U756" s="76">
        <f t="shared" si="292"/>
        <v>1.04</v>
      </c>
    </row>
    <row r="757" spans="1:21" x14ac:dyDescent="0.25">
      <c r="A757" s="71">
        <v>31</v>
      </c>
      <c r="B757" s="72">
        <f t="shared" si="293"/>
        <v>46569</v>
      </c>
      <c r="C757" s="73">
        <f t="shared" si="274"/>
        <v>46599</v>
      </c>
      <c r="D757" s="67">
        <f t="shared" si="275"/>
        <v>31</v>
      </c>
      <c r="E757" s="67">
        <f t="shared" si="276"/>
        <v>7</v>
      </c>
      <c r="F757" s="74">
        <f t="shared" si="277"/>
        <v>46584.5</v>
      </c>
      <c r="G757" s="67">
        <f t="shared" si="278"/>
        <v>24330</v>
      </c>
      <c r="H757" s="75">
        <f t="shared" si="279"/>
        <v>1</v>
      </c>
      <c r="I757" s="76">
        <f t="shared" si="280"/>
        <v>1.04</v>
      </c>
      <c r="J757" s="76">
        <f t="shared" si="281"/>
        <v>1.04</v>
      </c>
      <c r="K757" s="67">
        <f t="shared" si="282"/>
        <v>0</v>
      </c>
      <c r="L757" s="67">
        <f t="shared" si="283"/>
        <v>0</v>
      </c>
      <c r="M757" s="77">
        <f t="shared" si="284"/>
        <v>0</v>
      </c>
      <c r="N757" s="76">
        <f t="shared" si="285"/>
        <v>1.04</v>
      </c>
      <c r="O757" s="77">
        <f t="shared" si="286"/>
        <v>0.90684354485776808</v>
      </c>
      <c r="P757" s="76">
        <f t="shared" si="287"/>
        <v>0</v>
      </c>
      <c r="Q757" s="76">
        <f t="shared" si="288"/>
        <v>0.91666666666666663</v>
      </c>
      <c r="R757" s="76">
        <f t="shared" si="289"/>
        <v>8.333333333333337E-2</v>
      </c>
      <c r="S757" s="76">
        <f t="shared" si="290"/>
        <v>1.0251274854913901</v>
      </c>
      <c r="T757" s="76">
        <f t="shared" si="291"/>
        <v>1.0296418038245647</v>
      </c>
      <c r="U757" s="76">
        <f t="shared" si="292"/>
        <v>1.04</v>
      </c>
    </row>
    <row r="758" spans="1:21" x14ac:dyDescent="0.25">
      <c r="A758" s="71">
        <v>32</v>
      </c>
      <c r="B758" s="72">
        <f t="shared" si="293"/>
        <v>46600</v>
      </c>
      <c r="C758" s="73">
        <f t="shared" si="274"/>
        <v>46630</v>
      </c>
      <c r="D758" s="67">
        <f t="shared" si="275"/>
        <v>31</v>
      </c>
      <c r="E758" s="67">
        <f t="shared" si="276"/>
        <v>8</v>
      </c>
      <c r="F758" s="74">
        <f t="shared" si="277"/>
        <v>46615.5</v>
      </c>
      <c r="G758" s="67">
        <f t="shared" si="278"/>
        <v>24331</v>
      </c>
      <c r="H758" s="75">
        <f t="shared" si="279"/>
        <v>1</v>
      </c>
      <c r="I758" s="76">
        <f t="shared" si="280"/>
        <v>1.04</v>
      </c>
      <c r="J758" s="76">
        <f t="shared" si="281"/>
        <v>1.04</v>
      </c>
      <c r="K758" s="67">
        <f t="shared" si="282"/>
        <v>0</v>
      </c>
      <c r="L758" s="67">
        <f t="shared" si="283"/>
        <v>0</v>
      </c>
      <c r="M758" s="77">
        <f t="shared" si="284"/>
        <v>0</v>
      </c>
      <c r="N758" s="76">
        <f t="shared" si="285"/>
        <v>1.04</v>
      </c>
      <c r="O758" s="77">
        <f t="shared" si="286"/>
        <v>0.90650437636761494</v>
      </c>
      <c r="P758" s="76">
        <f t="shared" si="287"/>
        <v>0</v>
      </c>
      <c r="Q758" s="76">
        <f t="shared" si="288"/>
        <v>0.75</v>
      </c>
      <c r="R758" s="76">
        <f t="shared" si="289"/>
        <v>0.25</v>
      </c>
      <c r="S758" s="76">
        <f t="shared" si="290"/>
        <v>1.0247440776329559</v>
      </c>
      <c r="T758" s="76">
        <f t="shared" si="291"/>
        <v>1.0292583959661308</v>
      </c>
      <c r="U758" s="76">
        <f t="shared" si="292"/>
        <v>1.04</v>
      </c>
    </row>
    <row r="759" spans="1:21" x14ac:dyDescent="0.25">
      <c r="A759" s="71">
        <v>33</v>
      </c>
      <c r="B759" s="72">
        <f t="shared" si="293"/>
        <v>46631</v>
      </c>
      <c r="C759" s="73">
        <f t="shared" si="274"/>
        <v>46660</v>
      </c>
      <c r="D759" s="67">
        <f t="shared" si="275"/>
        <v>30</v>
      </c>
      <c r="E759" s="67">
        <f t="shared" si="276"/>
        <v>9</v>
      </c>
      <c r="F759" s="74">
        <f t="shared" si="277"/>
        <v>46646</v>
      </c>
      <c r="G759" s="67">
        <f t="shared" si="278"/>
        <v>24332</v>
      </c>
      <c r="H759" s="75">
        <f t="shared" si="279"/>
        <v>1</v>
      </c>
      <c r="I759" s="76">
        <f t="shared" si="280"/>
        <v>1.04</v>
      </c>
      <c r="J759" s="76">
        <f t="shared" si="281"/>
        <v>1.04</v>
      </c>
      <c r="K759" s="67">
        <f t="shared" si="282"/>
        <v>0</v>
      </c>
      <c r="L759" s="67">
        <f t="shared" si="283"/>
        <v>0</v>
      </c>
      <c r="M759" s="77">
        <f t="shared" si="284"/>
        <v>0</v>
      </c>
      <c r="N759" s="76">
        <f t="shared" si="285"/>
        <v>1.04</v>
      </c>
      <c r="O759" s="77">
        <f t="shared" si="286"/>
        <v>0.90617067833698028</v>
      </c>
      <c r="P759" s="76">
        <f t="shared" si="287"/>
        <v>0</v>
      </c>
      <c r="Q759" s="76">
        <f t="shared" si="288"/>
        <v>0.58333333333333337</v>
      </c>
      <c r="R759" s="76">
        <f t="shared" si="289"/>
        <v>0.41666666666666663</v>
      </c>
      <c r="S759" s="76">
        <f t="shared" si="290"/>
        <v>1.0243668537722386</v>
      </c>
      <c r="T759" s="76">
        <f t="shared" si="291"/>
        <v>1.0288811721054134</v>
      </c>
      <c r="U759" s="76">
        <f t="shared" si="292"/>
        <v>1.04</v>
      </c>
    </row>
    <row r="760" spans="1:21" x14ac:dyDescent="0.25">
      <c r="A760" s="71">
        <v>34</v>
      </c>
      <c r="B760" s="72">
        <f t="shared" si="293"/>
        <v>46661</v>
      </c>
      <c r="C760" s="73">
        <f t="shared" si="274"/>
        <v>46691</v>
      </c>
      <c r="D760" s="67">
        <f t="shared" si="275"/>
        <v>31</v>
      </c>
      <c r="E760" s="67">
        <f t="shared" si="276"/>
        <v>10</v>
      </c>
      <c r="F760" s="74">
        <f t="shared" si="277"/>
        <v>46676.5</v>
      </c>
      <c r="G760" s="67">
        <f t="shared" si="278"/>
        <v>24333</v>
      </c>
      <c r="H760" s="75">
        <f t="shared" si="279"/>
        <v>1</v>
      </c>
      <c r="I760" s="76">
        <f t="shared" si="280"/>
        <v>1.04</v>
      </c>
      <c r="J760" s="76">
        <f t="shared" si="281"/>
        <v>1.04</v>
      </c>
      <c r="K760" s="67">
        <f t="shared" si="282"/>
        <v>0</v>
      </c>
      <c r="L760" s="67">
        <f t="shared" si="283"/>
        <v>0</v>
      </c>
      <c r="M760" s="77">
        <f t="shared" si="284"/>
        <v>0</v>
      </c>
      <c r="N760" s="76">
        <f t="shared" si="285"/>
        <v>1.04</v>
      </c>
      <c r="O760" s="77">
        <f t="shared" si="286"/>
        <v>0.90583698030634574</v>
      </c>
      <c r="P760" s="76">
        <f t="shared" si="287"/>
        <v>0</v>
      </c>
      <c r="Q760" s="76">
        <f t="shared" si="288"/>
        <v>0.41666666666666669</v>
      </c>
      <c r="R760" s="76">
        <f t="shared" si="289"/>
        <v>0.58333333333333326</v>
      </c>
      <c r="S760" s="76">
        <f t="shared" si="290"/>
        <v>1.0239896299115212</v>
      </c>
      <c r="T760" s="76">
        <f t="shared" si="291"/>
        <v>1.028503948244696</v>
      </c>
      <c r="U760" s="76">
        <f t="shared" si="292"/>
        <v>1.04</v>
      </c>
    </row>
    <row r="761" spans="1:21" x14ac:dyDescent="0.25">
      <c r="A761" s="71">
        <v>35</v>
      </c>
      <c r="B761" s="72">
        <f t="shared" si="293"/>
        <v>46692</v>
      </c>
      <c r="C761" s="73">
        <f t="shared" si="274"/>
        <v>46721</v>
      </c>
      <c r="D761" s="67">
        <f t="shared" si="275"/>
        <v>30</v>
      </c>
      <c r="E761" s="67">
        <f t="shared" si="276"/>
        <v>11</v>
      </c>
      <c r="F761" s="74">
        <f t="shared" si="277"/>
        <v>46707</v>
      </c>
      <c r="G761" s="67">
        <f t="shared" si="278"/>
        <v>24334</v>
      </c>
      <c r="H761" s="75">
        <f t="shared" si="279"/>
        <v>1</v>
      </c>
      <c r="I761" s="76">
        <f t="shared" si="280"/>
        <v>1.04</v>
      </c>
      <c r="J761" s="76">
        <f t="shared" si="281"/>
        <v>1.04</v>
      </c>
      <c r="K761" s="67">
        <f t="shared" si="282"/>
        <v>0</v>
      </c>
      <c r="L761" s="67">
        <f t="shared" si="283"/>
        <v>0</v>
      </c>
      <c r="M761" s="77">
        <f t="shared" si="284"/>
        <v>0</v>
      </c>
      <c r="N761" s="76">
        <f t="shared" si="285"/>
        <v>1.04</v>
      </c>
      <c r="O761" s="77">
        <f t="shared" si="286"/>
        <v>0.9055032822757112</v>
      </c>
      <c r="P761" s="76">
        <f t="shared" si="287"/>
        <v>0</v>
      </c>
      <c r="Q761" s="76">
        <f t="shared" si="288"/>
        <v>0.25</v>
      </c>
      <c r="R761" s="76">
        <f t="shared" si="289"/>
        <v>0.75</v>
      </c>
      <c r="S761" s="76">
        <f t="shared" si="290"/>
        <v>1.0236124060508041</v>
      </c>
      <c r="T761" s="76">
        <f t="shared" si="291"/>
        <v>1.0281267243839787</v>
      </c>
      <c r="U761" s="76">
        <f t="shared" si="292"/>
        <v>1.04</v>
      </c>
    </row>
    <row r="762" spans="1:21" x14ac:dyDescent="0.25">
      <c r="A762" s="71">
        <v>36</v>
      </c>
      <c r="B762" s="72">
        <f t="shared" si="293"/>
        <v>46722</v>
      </c>
      <c r="C762" s="73">
        <f t="shared" si="274"/>
        <v>46752</v>
      </c>
      <c r="D762" s="67">
        <f t="shared" si="275"/>
        <v>31</v>
      </c>
      <c r="E762" s="67">
        <f t="shared" si="276"/>
        <v>12</v>
      </c>
      <c r="F762" s="74">
        <f t="shared" si="277"/>
        <v>46737.5</v>
      </c>
      <c r="G762" s="67">
        <f t="shared" si="278"/>
        <v>24335</v>
      </c>
      <c r="H762" s="75">
        <f t="shared" si="279"/>
        <v>1</v>
      </c>
      <c r="I762" s="76">
        <f t="shared" si="280"/>
        <v>1.04</v>
      </c>
      <c r="J762" s="76">
        <f t="shared" si="281"/>
        <v>1.04</v>
      </c>
      <c r="K762" s="67">
        <f t="shared" si="282"/>
        <v>0</v>
      </c>
      <c r="L762" s="67">
        <f t="shared" si="283"/>
        <v>0</v>
      </c>
      <c r="M762" s="77">
        <f t="shared" si="284"/>
        <v>0</v>
      </c>
      <c r="N762" s="76">
        <f t="shared" si="285"/>
        <v>1.04</v>
      </c>
      <c r="O762" s="77">
        <f t="shared" si="286"/>
        <v>0.90516958424507665</v>
      </c>
      <c r="P762" s="76">
        <f t="shared" si="287"/>
        <v>0</v>
      </c>
      <c r="Q762" s="76">
        <f t="shared" si="288"/>
        <v>8.3333333333333329E-2</v>
      </c>
      <c r="R762" s="76">
        <f t="shared" si="289"/>
        <v>0.91666666666666663</v>
      </c>
      <c r="S762" s="76">
        <f t="shared" si="290"/>
        <v>1.0232351821900867</v>
      </c>
      <c r="T762" s="76">
        <f t="shared" si="291"/>
        <v>1.0277495005232615</v>
      </c>
      <c r="U762" s="76">
        <f t="shared" si="292"/>
        <v>1.04</v>
      </c>
    </row>
    <row r="763" spans="1:21" x14ac:dyDescent="0.25">
      <c r="A763" s="71">
        <v>37</v>
      </c>
      <c r="B763" s="72">
        <f t="shared" si="293"/>
        <v>46753</v>
      </c>
      <c r="C763" s="73">
        <f t="shared" si="274"/>
        <v>46783</v>
      </c>
      <c r="D763" s="67">
        <f t="shared" si="275"/>
        <v>31</v>
      </c>
      <c r="E763" s="67">
        <f t="shared" si="276"/>
        <v>1</v>
      </c>
      <c r="F763" s="74">
        <f t="shared" si="277"/>
        <v>46768.5</v>
      </c>
      <c r="G763" s="67">
        <f t="shared" si="278"/>
        <v>24336</v>
      </c>
      <c r="H763" s="75">
        <f t="shared" si="279"/>
        <v>1</v>
      </c>
      <c r="I763" s="76">
        <f t="shared" si="280"/>
        <v>1.04</v>
      </c>
      <c r="J763" s="76">
        <f t="shared" si="281"/>
        <v>1.04</v>
      </c>
      <c r="K763" s="67">
        <f t="shared" si="282"/>
        <v>0</v>
      </c>
      <c r="L763" s="67">
        <f t="shared" si="283"/>
        <v>0</v>
      </c>
      <c r="M763" s="77">
        <f t="shared" si="284"/>
        <v>0</v>
      </c>
      <c r="N763" s="76">
        <f t="shared" si="285"/>
        <v>1.04</v>
      </c>
      <c r="O763" s="77">
        <f t="shared" si="286"/>
        <v>0.90500000000000003</v>
      </c>
      <c r="P763" s="76">
        <f t="shared" si="287"/>
        <v>0</v>
      </c>
      <c r="Q763" s="76">
        <f t="shared" si="288"/>
        <v>0</v>
      </c>
      <c r="R763" s="76">
        <f t="shared" si="289"/>
        <v>1</v>
      </c>
      <c r="S763" s="76">
        <f t="shared" si="290"/>
        <v>1.0230434782608697</v>
      </c>
      <c r="T763" s="76">
        <f t="shared" si="291"/>
        <v>1.0318804109980022</v>
      </c>
      <c r="U763" s="76">
        <f t="shared" si="292"/>
        <v>1.04</v>
      </c>
    </row>
    <row r="764" spans="1:21" x14ac:dyDescent="0.25">
      <c r="A764" s="71">
        <v>38</v>
      </c>
      <c r="B764" s="72">
        <f t="shared" si="293"/>
        <v>46784</v>
      </c>
      <c r="C764" s="73">
        <f t="shared" si="274"/>
        <v>46812</v>
      </c>
      <c r="D764" s="67">
        <f t="shared" si="275"/>
        <v>29</v>
      </c>
      <c r="E764" s="67">
        <f t="shared" si="276"/>
        <v>2</v>
      </c>
      <c r="F764" s="74">
        <f t="shared" si="277"/>
        <v>46798.5</v>
      </c>
      <c r="G764" s="67">
        <f t="shared" si="278"/>
        <v>24337</v>
      </c>
      <c r="H764" s="75">
        <f t="shared" si="279"/>
        <v>1</v>
      </c>
      <c r="I764" s="76">
        <f t="shared" si="280"/>
        <v>1.04</v>
      </c>
      <c r="J764" s="76">
        <f t="shared" si="281"/>
        <v>1.04</v>
      </c>
      <c r="K764" s="67">
        <f t="shared" si="282"/>
        <v>0</v>
      </c>
      <c r="L764" s="67">
        <f t="shared" si="283"/>
        <v>0</v>
      </c>
      <c r="M764" s="77">
        <f t="shared" si="284"/>
        <v>0</v>
      </c>
      <c r="N764" s="76">
        <f t="shared" si="285"/>
        <v>1.04</v>
      </c>
      <c r="O764" s="77">
        <f t="shared" si="286"/>
        <v>0.90500000000000003</v>
      </c>
      <c r="P764" s="76">
        <f t="shared" si="287"/>
        <v>0</v>
      </c>
      <c r="Q764" s="76">
        <f t="shared" si="288"/>
        <v>0</v>
      </c>
      <c r="R764" s="76">
        <f t="shared" si="289"/>
        <v>1</v>
      </c>
      <c r="S764" s="76">
        <f t="shared" si="290"/>
        <v>1.0230434782608697</v>
      </c>
      <c r="T764" s="76">
        <f t="shared" si="291"/>
        <v>1.031515555132718</v>
      </c>
      <c r="U764" s="76">
        <f t="shared" si="292"/>
        <v>1.04</v>
      </c>
    </row>
    <row r="765" spans="1:21" x14ac:dyDescent="0.25">
      <c r="A765" s="71">
        <v>39</v>
      </c>
      <c r="B765" s="72">
        <f t="shared" si="293"/>
        <v>46813</v>
      </c>
      <c r="C765" s="73">
        <f t="shared" si="274"/>
        <v>46843</v>
      </c>
      <c r="D765" s="67">
        <f t="shared" si="275"/>
        <v>31</v>
      </c>
      <c r="E765" s="67">
        <f t="shared" si="276"/>
        <v>3</v>
      </c>
      <c r="F765" s="74">
        <f t="shared" si="277"/>
        <v>46828.5</v>
      </c>
      <c r="G765" s="67">
        <f t="shared" si="278"/>
        <v>24338</v>
      </c>
      <c r="H765" s="75">
        <f t="shared" si="279"/>
        <v>1</v>
      </c>
      <c r="I765" s="76">
        <f t="shared" si="280"/>
        <v>1.04</v>
      </c>
      <c r="J765" s="76">
        <f t="shared" si="281"/>
        <v>1.04</v>
      </c>
      <c r="K765" s="67">
        <f t="shared" si="282"/>
        <v>0</v>
      </c>
      <c r="L765" s="67">
        <f t="shared" si="283"/>
        <v>0</v>
      </c>
      <c r="M765" s="77">
        <f t="shared" si="284"/>
        <v>0</v>
      </c>
      <c r="N765" s="76">
        <f t="shared" si="285"/>
        <v>1.04</v>
      </c>
      <c r="O765" s="77">
        <f t="shared" si="286"/>
        <v>0.90500000000000003</v>
      </c>
      <c r="P765" s="76">
        <f t="shared" si="287"/>
        <v>0</v>
      </c>
      <c r="Q765" s="76">
        <f t="shared" si="288"/>
        <v>0</v>
      </c>
      <c r="R765" s="76">
        <f t="shared" si="289"/>
        <v>1</v>
      </c>
      <c r="S765" s="76">
        <f t="shared" si="290"/>
        <v>1.0230434782608697</v>
      </c>
      <c r="T765" s="76">
        <f t="shared" si="291"/>
        <v>1.0311506992674342</v>
      </c>
      <c r="U765" s="76">
        <f t="shared" si="292"/>
        <v>1.04</v>
      </c>
    </row>
    <row r="766" spans="1:21" x14ac:dyDescent="0.25">
      <c r="A766" s="71">
        <v>40</v>
      </c>
      <c r="B766" s="72">
        <f t="shared" si="293"/>
        <v>46844</v>
      </c>
      <c r="C766" s="73">
        <f t="shared" si="274"/>
        <v>46873</v>
      </c>
      <c r="D766" s="67">
        <f t="shared" si="275"/>
        <v>30</v>
      </c>
      <c r="E766" s="67">
        <f t="shared" si="276"/>
        <v>4</v>
      </c>
      <c r="F766" s="74">
        <f t="shared" si="277"/>
        <v>46859</v>
      </c>
      <c r="G766" s="67">
        <f t="shared" si="278"/>
        <v>24339</v>
      </c>
      <c r="H766" s="75">
        <f t="shared" si="279"/>
        <v>1</v>
      </c>
      <c r="I766" s="76">
        <f t="shared" si="280"/>
        <v>1.04</v>
      </c>
      <c r="J766" s="76">
        <f t="shared" si="281"/>
        <v>1.04</v>
      </c>
      <c r="K766" s="67">
        <f t="shared" si="282"/>
        <v>0</v>
      </c>
      <c r="L766" s="67">
        <f t="shared" si="283"/>
        <v>0</v>
      </c>
      <c r="M766" s="77">
        <f t="shared" si="284"/>
        <v>0</v>
      </c>
      <c r="N766" s="76">
        <f t="shared" si="285"/>
        <v>1.04</v>
      </c>
      <c r="O766" s="77">
        <f t="shared" si="286"/>
        <v>0.90500000000000003</v>
      </c>
      <c r="P766" s="76">
        <f t="shared" si="287"/>
        <v>0</v>
      </c>
      <c r="Q766" s="76">
        <f t="shared" si="288"/>
        <v>0</v>
      </c>
      <c r="R766" s="76">
        <f t="shared" si="289"/>
        <v>1</v>
      </c>
      <c r="S766" s="76">
        <f t="shared" si="290"/>
        <v>1.0230434782608697</v>
      </c>
      <c r="T766" s="76">
        <f t="shared" si="291"/>
        <v>1.0307734754067168</v>
      </c>
      <c r="U766" s="76">
        <f t="shared" si="292"/>
        <v>1.04</v>
      </c>
    </row>
    <row r="767" spans="1:21" x14ac:dyDescent="0.25">
      <c r="A767" s="71">
        <v>41</v>
      </c>
      <c r="B767" s="72">
        <f t="shared" si="293"/>
        <v>46874</v>
      </c>
      <c r="C767" s="73">
        <f t="shared" si="274"/>
        <v>46904</v>
      </c>
      <c r="D767" s="67">
        <f t="shared" si="275"/>
        <v>31</v>
      </c>
      <c r="E767" s="67">
        <f t="shared" si="276"/>
        <v>5</v>
      </c>
      <c r="F767" s="74">
        <f t="shared" si="277"/>
        <v>46889.5</v>
      </c>
      <c r="G767" s="67">
        <f t="shared" si="278"/>
        <v>24340</v>
      </c>
      <c r="H767" s="75">
        <f t="shared" si="279"/>
        <v>1</v>
      </c>
      <c r="I767" s="76">
        <f t="shared" si="280"/>
        <v>1.04</v>
      </c>
      <c r="J767" s="76">
        <f t="shared" si="281"/>
        <v>1.04</v>
      </c>
      <c r="K767" s="67">
        <f t="shared" si="282"/>
        <v>0</v>
      </c>
      <c r="L767" s="67">
        <f t="shared" si="283"/>
        <v>0</v>
      </c>
      <c r="M767" s="77">
        <f t="shared" si="284"/>
        <v>0</v>
      </c>
      <c r="N767" s="76">
        <f t="shared" si="285"/>
        <v>1.04</v>
      </c>
      <c r="O767" s="77">
        <f t="shared" si="286"/>
        <v>0.90500000000000003</v>
      </c>
      <c r="P767" s="76">
        <f t="shared" si="287"/>
        <v>0</v>
      </c>
      <c r="Q767" s="76">
        <f t="shared" si="288"/>
        <v>0</v>
      </c>
      <c r="R767" s="76">
        <f t="shared" si="289"/>
        <v>1</v>
      </c>
      <c r="S767" s="76">
        <f t="shared" si="290"/>
        <v>1.0230434782608697</v>
      </c>
      <c r="T767" s="76">
        <f t="shared" si="291"/>
        <v>1.0303962515459995</v>
      </c>
      <c r="U767" s="76">
        <f t="shared" si="292"/>
        <v>1.04</v>
      </c>
    </row>
    <row r="768" spans="1:21" x14ac:dyDescent="0.25">
      <c r="A768" s="71">
        <v>42</v>
      </c>
      <c r="B768" s="72">
        <f t="shared" si="293"/>
        <v>46905</v>
      </c>
      <c r="C768" s="73">
        <f t="shared" si="274"/>
        <v>46934</v>
      </c>
      <c r="D768" s="67">
        <f t="shared" si="275"/>
        <v>30</v>
      </c>
      <c r="E768" s="67">
        <f t="shared" si="276"/>
        <v>6</v>
      </c>
      <c r="F768" s="74">
        <f t="shared" si="277"/>
        <v>46920</v>
      </c>
      <c r="G768" s="67">
        <f t="shared" si="278"/>
        <v>24341</v>
      </c>
      <c r="H768" s="75">
        <f t="shared" si="279"/>
        <v>1</v>
      </c>
      <c r="I768" s="76">
        <f t="shared" si="280"/>
        <v>1.04</v>
      </c>
      <c r="J768" s="76">
        <f t="shared" si="281"/>
        <v>1.04</v>
      </c>
      <c r="K768" s="67">
        <f t="shared" si="282"/>
        <v>0</v>
      </c>
      <c r="L768" s="67">
        <f t="shared" si="283"/>
        <v>0</v>
      </c>
      <c r="M768" s="77">
        <f t="shared" si="284"/>
        <v>0</v>
      </c>
      <c r="N768" s="76">
        <f t="shared" si="285"/>
        <v>1.04</v>
      </c>
      <c r="O768" s="77">
        <f t="shared" si="286"/>
        <v>0.90500000000000003</v>
      </c>
      <c r="P768" s="76">
        <f t="shared" si="287"/>
        <v>0</v>
      </c>
      <c r="Q768" s="76">
        <f t="shared" si="288"/>
        <v>0</v>
      </c>
      <c r="R768" s="76">
        <f t="shared" si="289"/>
        <v>1</v>
      </c>
      <c r="S768" s="76">
        <f t="shared" si="290"/>
        <v>1.0230434782608697</v>
      </c>
      <c r="T768" s="76">
        <f t="shared" si="291"/>
        <v>1.0300190276852821</v>
      </c>
      <c r="U768" s="76">
        <f t="shared" si="292"/>
        <v>1.04</v>
      </c>
    </row>
    <row r="769" spans="1:21" x14ac:dyDescent="0.25">
      <c r="A769" s="71">
        <v>43</v>
      </c>
      <c r="B769" s="72">
        <f t="shared" si="293"/>
        <v>46935</v>
      </c>
      <c r="C769" s="73">
        <f t="shared" si="274"/>
        <v>46965</v>
      </c>
      <c r="D769" s="67">
        <f t="shared" si="275"/>
        <v>31</v>
      </c>
      <c r="E769" s="67">
        <f t="shared" si="276"/>
        <v>7</v>
      </c>
      <c r="F769" s="74">
        <f t="shared" si="277"/>
        <v>46950.5</v>
      </c>
      <c r="G769" s="67">
        <f t="shared" si="278"/>
        <v>24342</v>
      </c>
      <c r="H769" s="75">
        <f t="shared" si="279"/>
        <v>1</v>
      </c>
      <c r="I769" s="76">
        <f t="shared" si="280"/>
        <v>1.04</v>
      </c>
      <c r="J769" s="76">
        <f t="shared" si="281"/>
        <v>1.04</v>
      </c>
      <c r="K769" s="67">
        <f t="shared" si="282"/>
        <v>0</v>
      </c>
      <c r="L769" s="67">
        <f t="shared" si="283"/>
        <v>0</v>
      </c>
      <c r="M769" s="77">
        <f t="shared" si="284"/>
        <v>0</v>
      </c>
      <c r="N769" s="76">
        <f t="shared" si="285"/>
        <v>1.04</v>
      </c>
      <c r="O769" s="77">
        <f t="shared" si="286"/>
        <v>0.90500000000000003</v>
      </c>
      <c r="P769" s="76">
        <f t="shared" si="287"/>
        <v>0</v>
      </c>
      <c r="Q769" s="76">
        <f t="shared" si="288"/>
        <v>0</v>
      </c>
      <c r="R769" s="76">
        <f t="shared" si="289"/>
        <v>0.91666666666666663</v>
      </c>
      <c r="S769" s="76">
        <f t="shared" si="290"/>
        <v>1.0230434782608697</v>
      </c>
      <c r="T769" s="76">
        <f t="shared" si="291"/>
        <v>1.0296418038245647</v>
      </c>
      <c r="U769" s="76">
        <f t="shared" si="292"/>
        <v>1.04</v>
      </c>
    </row>
    <row r="770" spans="1:21" x14ac:dyDescent="0.25">
      <c r="A770" s="71">
        <v>44</v>
      </c>
      <c r="B770" s="72">
        <f t="shared" si="293"/>
        <v>46966</v>
      </c>
      <c r="C770" s="73">
        <f t="shared" si="274"/>
        <v>46996</v>
      </c>
      <c r="D770" s="67">
        <f t="shared" si="275"/>
        <v>31</v>
      </c>
      <c r="E770" s="67">
        <f t="shared" si="276"/>
        <v>8</v>
      </c>
      <c r="F770" s="74">
        <f t="shared" si="277"/>
        <v>46981.5</v>
      </c>
      <c r="G770" s="67">
        <f t="shared" si="278"/>
        <v>24343</v>
      </c>
      <c r="H770" s="75">
        <f t="shared" si="279"/>
        <v>1</v>
      </c>
      <c r="I770" s="76">
        <f t="shared" si="280"/>
        <v>1.04</v>
      </c>
      <c r="J770" s="76">
        <f t="shared" si="281"/>
        <v>1.04</v>
      </c>
      <c r="K770" s="67">
        <f t="shared" si="282"/>
        <v>0</v>
      </c>
      <c r="L770" s="67">
        <f t="shared" si="283"/>
        <v>0</v>
      </c>
      <c r="M770" s="77">
        <f t="shared" si="284"/>
        <v>0</v>
      </c>
      <c r="N770" s="76">
        <f t="shared" si="285"/>
        <v>1.04</v>
      </c>
      <c r="O770" s="77">
        <f t="shared" si="286"/>
        <v>0.90500000000000003</v>
      </c>
      <c r="P770" s="76">
        <f t="shared" si="287"/>
        <v>0</v>
      </c>
      <c r="Q770" s="76">
        <f t="shared" si="288"/>
        <v>0</v>
      </c>
      <c r="R770" s="76">
        <f t="shared" si="289"/>
        <v>0.75</v>
      </c>
      <c r="S770" s="76">
        <f t="shared" si="290"/>
        <v>1.0230434782608697</v>
      </c>
      <c r="T770" s="76">
        <f t="shared" si="291"/>
        <v>1.0292583959661308</v>
      </c>
      <c r="U770" s="76">
        <f t="shared" si="292"/>
        <v>1.04</v>
      </c>
    </row>
    <row r="771" spans="1:21" x14ac:dyDescent="0.25">
      <c r="A771" s="71">
        <v>45</v>
      </c>
      <c r="B771" s="72">
        <f t="shared" si="293"/>
        <v>46997</v>
      </c>
      <c r="C771" s="73">
        <f t="shared" si="274"/>
        <v>47026</v>
      </c>
      <c r="D771" s="67">
        <f t="shared" si="275"/>
        <v>30</v>
      </c>
      <c r="E771" s="67">
        <f t="shared" si="276"/>
        <v>9</v>
      </c>
      <c r="F771" s="74">
        <f t="shared" si="277"/>
        <v>47012</v>
      </c>
      <c r="G771" s="67">
        <f t="shared" si="278"/>
        <v>24344</v>
      </c>
      <c r="H771" s="75">
        <f t="shared" si="279"/>
        <v>1</v>
      </c>
      <c r="I771" s="76">
        <f t="shared" si="280"/>
        <v>1.04</v>
      </c>
      <c r="J771" s="76">
        <f t="shared" si="281"/>
        <v>1.04</v>
      </c>
      <c r="K771" s="67">
        <f t="shared" si="282"/>
        <v>0</v>
      </c>
      <c r="L771" s="67">
        <f t="shared" si="283"/>
        <v>0</v>
      </c>
      <c r="M771" s="77">
        <f t="shared" si="284"/>
        <v>0</v>
      </c>
      <c r="N771" s="76">
        <f t="shared" si="285"/>
        <v>1.04</v>
      </c>
      <c r="O771" s="77">
        <f t="shared" si="286"/>
        <v>0.90500000000000003</v>
      </c>
      <c r="P771" s="76">
        <f t="shared" si="287"/>
        <v>0</v>
      </c>
      <c r="Q771" s="76">
        <f t="shared" si="288"/>
        <v>0</v>
      </c>
      <c r="R771" s="76">
        <f t="shared" si="289"/>
        <v>0.58333333333333337</v>
      </c>
      <c r="S771" s="76">
        <f t="shared" si="290"/>
        <v>1.0230434782608697</v>
      </c>
      <c r="T771" s="76">
        <f t="shared" si="291"/>
        <v>1.0288811721054134</v>
      </c>
      <c r="U771" s="76">
        <f t="shared" si="292"/>
        <v>1.04</v>
      </c>
    </row>
    <row r="772" spans="1:21" x14ac:dyDescent="0.25">
      <c r="A772" s="71">
        <v>46</v>
      </c>
      <c r="B772" s="72">
        <f t="shared" si="293"/>
        <v>47027</v>
      </c>
      <c r="C772" s="73">
        <f t="shared" si="274"/>
        <v>47057</v>
      </c>
      <c r="D772" s="67">
        <f t="shared" si="275"/>
        <v>31</v>
      </c>
      <c r="E772" s="67">
        <f t="shared" si="276"/>
        <v>10</v>
      </c>
      <c r="F772" s="74">
        <f t="shared" si="277"/>
        <v>47042.5</v>
      </c>
      <c r="G772" s="67">
        <f t="shared" si="278"/>
        <v>24345</v>
      </c>
      <c r="H772" s="75">
        <f t="shared" si="279"/>
        <v>1</v>
      </c>
      <c r="I772" s="76">
        <f t="shared" si="280"/>
        <v>1.04</v>
      </c>
      <c r="J772" s="76">
        <f t="shared" si="281"/>
        <v>1.04</v>
      </c>
      <c r="K772" s="67">
        <f t="shared" si="282"/>
        <v>0</v>
      </c>
      <c r="L772" s="67">
        <f t="shared" si="283"/>
        <v>0</v>
      </c>
      <c r="M772" s="77">
        <f t="shared" si="284"/>
        <v>0</v>
      </c>
      <c r="N772" s="76">
        <f t="shared" si="285"/>
        <v>1.04</v>
      </c>
      <c r="O772" s="77">
        <f t="shared" si="286"/>
        <v>0.90500000000000003</v>
      </c>
      <c r="P772" s="76">
        <f t="shared" si="287"/>
        <v>0</v>
      </c>
      <c r="Q772" s="76">
        <f t="shared" si="288"/>
        <v>0</v>
      </c>
      <c r="R772" s="76">
        <f t="shared" si="289"/>
        <v>0.41666666666666669</v>
      </c>
      <c r="S772" s="76">
        <f t="shared" si="290"/>
        <v>1.0230434782608697</v>
      </c>
      <c r="T772" s="76">
        <f t="shared" si="291"/>
        <v>1.028503948244696</v>
      </c>
      <c r="U772" s="76">
        <f t="shared" si="292"/>
        <v>1.04</v>
      </c>
    </row>
    <row r="773" spans="1:21" x14ac:dyDescent="0.25">
      <c r="A773" s="71">
        <v>47</v>
      </c>
      <c r="B773" s="72">
        <f t="shared" si="293"/>
        <v>47058</v>
      </c>
      <c r="C773" s="73">
        <f t="shared" si="274"/>
        <v>47087</v>
      </c>
      <c r="D773" s="67">
        <f t="shared" si="275"/>
        <v>30</v>
      </c>
      <c r="E773" s="67">
        <f t="shared" si="276"/>
        <v>11</v>
      </c>
      <c r="F773" s="74">
        <f t="shared" si="277"/>
        <v>47073</v>
      </c>
      <c r="G773" s="67">
        <f t="shared" si="278"/>
        <v>24346</v>
      </c>
      <c r="H773" s="75">
        <f t="shared" si="279"/>
        <v>1</v>
      </c>
      <c r="I773" s="76">
        <f t="shared" si="280"/>
        <v>1.04</v>
      </c>
      <c r="J773" s="76">
        <f t="shared" si="281"/>
        <v>1.04</v>
      </c>
      <c r="K773" s="67">
        <f t="shared" si="282"/>
        <v>0</v>
      </c>
      <c r="L773" s="67">
        <f t="shared" si="283"/>
        <v>0</v>
      </c>
      <c r="M773" s="77">
        <f t="shared" si="284"/>
        <v>0</v>
      </c>
      <c r="N773" s="76">
        <f t="shared" si="285"/>
        <v>1.04</v>
      </c>
      <c r="O773" s="77">
        <f t="shared" si="286"/>
        <v>0.90500000000000003</v>
      </c>
      <c r="P773" s="76">
        <f t="shared" si="287"/>
        <v>0</v>
      </c>
      <c r="Q773" s="76">
        <f t="shared" si="288"/>
        <v>0</v>
      </c>
      <c r="R773" s="76">
        <f t="shared" si="289"/>
        <v>0.25</v>
      </c>
      <c r="S773" s="76">
        <f t="shared" si="290"/>
        <v>1.0230434782608697</v>
      </c>
      <c r="T773" s="76">
        <f t="shared" si="291"/>
        <v>1.0281267243839787</v>
      </c>
      <c r="U773" s="76">
        <f t="shared" si="292"/>
        <v>1.04</v>
      </c>
    </row>
    <row r="774" spans="1:21" x14ac:dyDescent="0.25">
      <c r="A774" s="71">
        <v>48</v>
      </c>
      <c r="B774" s="72">
        <f t="shared" si="293"/>
        <v>47088</v>
      </c>
      <c r="C774" s="73">
        <f t="shared" si="274"/>
        <v>47118</v>
      </c>
      <c r="D774" s="67">
        <f t="shared" si="275"/>
        <v>31</v>
      </c>
      <c r="E774" s="67">
        <f t="shared" si="276"/>
        <v>12</v>
      </c>
      <c r="F774" s="74">
        <f t="shared" si="277"/>
        <v>47103.5</v>
      </c>
      <c r="G774" s="67">
        <f t="shared" si="278"/>
        <v>24347</v>
      </c>
      <c r="H774" s="75">
        <f t="shared" si="279"/>
        <v>1</v>
      </c>
      <c r="I774" s="76">
        <f t="shared" si="280"/>
        <v>1.04</v>
      </c>
      <c r="J774" s="76">
        <f t="shared" si="281"/>
        <v>1.04</v>
      </c>
      <c r="K774" s="67">
        <f t="shared" si="282"/>
        <v>0</v>
      </c>
      <c r="L774" s="67">
        <f t="shared" si="283"/>
        <v>0</v>
      </c>
      <c r="M774" s="77">
        <f t="shared" si="284"/>
        <v>0</v>
      </c>
      <c r="N774" s="76">
        <f t="shared" si="285"/>
        <v>1.04</v>
      </c>
      <c r="O774" s="77">
        <f t="shared" si="286"/>
        <v>0.90500000000000003</v>
      </c>
      <c r="P774" s="76">
        <f t="shared" si="287"/>
        <v>0</v>
      </c>
      <c r="Q774" s="76">
        <f t="shared" si="288"/>
        <v>0</v>
      </c>
      <c r="R774" s="76">
        <f t="shared" si="289"/>
        <v>8.3333333333333329E-2</v>
      </c>
      <c r="S774" s="76">
        <f t="shared" si="290"/>
        <v>1.0230434782608697</v>
      </c>
      <c r="T774" s="76">
        <f t="shared" si="291"/>
        <v>1.0277495005232615</v>
      </c>
      <c r="U774" s="76">
        <f t="shared" si="292"/>
        <v>1.04</v>
      </c>
    </row>
    <row r="775" spans="1:21" x14ac:dyDescent="0.25">
      <c r="A775" s="81" t="s">
        <v>1187</v>
      </c>
      <c r="B775" s="53">
        <f>EXP(SUMPRODUCT((rl_key=$A$724)*(rl_cons="Y")*rl_ln1p))</f>
        <v>1.04</v>
      </c>
      <c r="C775" s="53">
        <f>SUMPRODUCT($H$727:$H$774,$P$727:$P$774,$U$727:$U$774)/SUMPRODUCT($H$727:$H$774,$P$727:$P$774)</f>
        <v>1.0299999999999998</v>
      </c>
      <c r="D775" s="53">
        <f>SUMPRODUCT($H$727:$H$774,$Q$727:$Q$774,$U$727:$U$774)/SUMPRODUCT($H$727:$H$774,$Q$727:$Q$774)</f>
        <v>1.0399999999999998</v>
      </c>
      <c r="E775" s="53">
        <f>SUMPRODUCT($H$727:$H$774,$R$727:$R$774,$U$727:$U$774)/SUMPRODUCT($H$727:$H$774,$R$727:$R$774)</f>
        <v>1.0399999999999998</v>
      </c>
      <c r="F775" s="172">
        <f>SUMPRODUCT($H$727:$H$774,$Q$727:$Q$774,$O$727:$O$774)/SUMPRODUCT($H$727:$H$774,$Q$727:$Q$774)</f>
        <v>0.9080037381473377</v>
      </c>
      <c r="G775" s="172">
        <f>SUMPRODUCT($H$727:$H$774,$R$727:$R$774,$O$727:$O$774)/SUMPRODUCT($H$727:$H$774,$R$727:$R$774)</f>
        <v>0.90516988815949428</v>
      </c>
    </row>
    <row r="778" spans="1:21" x14ac:dyDescent="0.25">
      <c r="A778" s="81" t="str">
        <f>INDEX(lr_key,14)</f>
        <v>BU-A|MO</v>
      </c>
      <c r="B778" s="81" t="str">
        <f>INDEX(lr_state,14)</f>
        <v>MO</v>
      </c>
      <c r="C778" s="55">
        <f>nr_TermMonths</f>
        <v>6</v>
      </c>
      <c r="D778" s="55">
        <f>IF(COUNTIF(se_state,$B778)=0,0,MATCH($B778,se_state,0))</f>
        <v>0</v>
      </c>
      <c r="E778" s="57">
        <f>IF($D778=0,0,INDEX(se_sum,$D778))</f>
        <v>0</v>
      </c>
      <c r="F778" s="172">
        <f>IF(N(INDEX(lr_mind,14))=0,1,INDEX(lr_mind,14))</f>
        <v>0.92</v>
      </c>
      <c r="G778" s="172">
        <f>IF(N(INDEX(lr_m0,14))=0,1,INDEX(lr_m0,14))</f>
        <v>0.91</v>
      </c>
      <c r="H778" s="54">
        <f>IF(N(INDEX(lr_m0asof,14))=0,DATE(nr_PlanYear-1,10,1),INDEX(lr_m0asof,14))</f>
        <v>46295</v>
      </c>
      <c r="I778" s="172">
        <f>IF(N(INDEX(lr_m1,14))=0,1,INDEX(lr_m1,14))</f>
        <v>0.92</v>
      </c>
      <c r="J778" s="172">
        <f>INDEX(lr_mprior,14)</f>
        <v>0</v>
      </c>
      <c r="K778" s="172">
        <f>INDEX(lr_m2,14)</f>
        <v>0</v>
      </c>
      <c r="L778" s="81" t="b">
        <f>NOT(ISBLANK(INDEX(lr_netp,14)))</f>
        <v>0</v>
      </c>
      <c r="M778" s="52">
        <f>N(INDEX(lr_netp,14))</f>
        <v>0</v>
      </c>
      <c r="N778" s="52">
        <f>IF(ISBLANK(INDEX(lr_netp1,14)),$M$778,N(INDEX(lr_netp1,14)))</f>
        <v>0</v>
      </c>
      <c r="O778" s="55">
        <f>IF(AND(nr_ModAdjMaster="ON",INDEX(lr_modadj,14)="ON"),1,0)</f>
        <v>1</v>
      </c>
    </row>
    <row r="779" spans="1:21" x14ac:dyDescent="0.25">
      <c r="A779" s="81">
        <f>EDATE($H$778,-12)+1</f>
        <v>45931</v>
      </c>
      <c r="B779" s="81">
        <f>$H$778+1</f>
        <v>46296</v>
      </c>
      <c r="C779" s="81">
        <f>DATE(nr_PlanYear,12,31)+1</f>
        <v>46753</v>
      </c>
      <c r="D779" s="81">
        <f>DATE(nr_PlanYear+1,12,31)+1</f>
        <v>47119</v>
      </c>
      <c r="E779" s="81">
        <f>IF(N($J$778)=0,$F$779-($G$779-$F$779)/($C$779-$B$779)*($B$779-$A$779),$J$778)</f>
        <v>0.9020131291028447</v>
      </c>
      <c r="F779" s="81">
        <f>$G$778</f>
        <v>0.91</v>
      </c>
      <c r="G779" s="81">
        <f>$I$778</f>
        <v>0.92</v>
      </c>
      <c r="H779" s="81">
        <f>IF(N($K$778)=0,$I$778,$K$778)</f>
        <v>0.92</v>
      </c>
      <c r="I779" s="81">
        <f>($F$779-$E$779)/($B$779-$A$779)</f>
        <v>2.1881838074398162E-5</v>
      </c>
      <c r="J779" s="81">
        <f>($G$779-$F$779)/($C$779-$B$779)</f>
        <v>2.188183807439827E-5</v>
      </c>
      <c r="K779" s="81">
        <f>($H$779-$G$779)/($D$779-$C$779)</f>
        <v>0</v>
      </c>
    </row>
    <row r="780" spans="1:21" ht="36" x14ac:dyDescent="0.25">
      <c r="A780" s="50" t="s">
        <v>211</v>
      </c>
      <c r="B780" s="50" t="s">
        <v>212</v>
      </c>
      <c r="C780" s="50" t="s">
        <v>213</v>
      </c>
      <c r="D780" s="50" t="s">
        <v>214</v>
      </c>
      <c r="E780" s="50" t="s">
        <v>215</v>
      </c>
      <c r="F780" s="50" t="s">
        <v>216</v>
      </c>
      <c r="G780" s="50" t="s">
        <v>217</v>
      </c>
      <c r="H780" s="50" t="s">
        <v>218</v>
      </c>
      <c r="I780" s="50" t="s">
        <v>219</v>
      </c>
      <c r="J780" s="50" t="s">
        <v>220</v>
      </c>
      <c r="K780" s="50" t="s">
        <v>221</v>
      </c>
      <c r="L780" s="50" t="s">
        <v>222</v>
      </c>
      <c r="M780" s="50" t="s">
        <v>223</v>
      </c>
      <c r="N780" s="50" t="s">
        <v>224</v>
      </c>
      <c r="O780" s="50" t="s">
        <v>225</v>
      </c>
      <c r="P780" s="50" t="s">
        <v>226</v>
      </c>
      <c r="Q780" s="50" t="s">
        <v>227</v>
      </c>
      <c r="R780" s="50" t="s">
        <v>228</v>
      </c>
      <c r="S780" s="50" t="s">
        <v>229</v>
      </c>
      <c r="T780" s="50" t="s">
        <v>230</v>
      </c>
      <c r="U780" s="50" t="s">
        <v>231</v>
      </c>
    </row>
    <row r="781" spans="1:21" x14ac:dyDescent="0.25">
      <c r="A781" s="71">
        <v>1</v>
      </c>
      <c r="B781" s="72">
        <f>DATE(nr_PlanYear-2,1,1)</f>
        <v>45658</v>
      </c>
      <c r="C781" s="73">
        <f t="shared" ref="C781:C828" si="294">EOMONTH($B781,0)</f>
        <v>45688</v>
      </c>
      <c r="D781" s="67">
        <f t="shared" ref="D781:D828" si="295">$C781-$B781+1</f>
        <v>31</v>
      </c>
      <c r="E781" s="67">
        <f t="shared" ref="E781:E828" si="296">MONTH($B781)</f>
        <v>1</v>
      </c>
      <c r="F781" s="74">
        <f t="shared" ref="F781:F828" si="297">($B781+$C781+1)/2</f>
        <v>45673.5</v>
      </c>
      <c r="G781" s="67">
        <f t="shared" ref="G781:G828" si="298">YEAR($B781)*12+MONTH($B781)-1</f>
        <v>24300</v>
      </c>
      <c r="H781" s="75">
        <f t="shared" ref="H781:H828" si="299">IF(OR(nr_SeasonOn="OFF",$D$778=0,$E$778=0),1,12*INDEX(se_block,$D$778,$E781)/$E$778)</f>
        <v>1</v>
      </c>
      <c r="I781" s="76">
        <f t="shared" ref="I781:I828" si="300">EXP(SUMPRODUCT((rl_eff&lt;$B781)*(rl_key=$A$778)*rl_ln1p))</f>
        <v>1</v>
      </c>
      <c r="J781" s="76">
        <f t="shared" ref="J781:J828" si="301">EXP(SUMPRODUCT((rl_eff&lt;=$C781)*(rl_key=$A$778)*rl_ln1p))</f>
        <v>1</v>
      </c>
      <c r="K781" s="67">
        <f t="shared" ref="K781:K828" si="302">COUNTIFS(rl_key,$A$778,rl_eff,"&gt;="&amp;$B781,rl_eff,"&lt;="&amp;$C781)</f>
        <v>0</v>
      </c>
      <c r="L781" s="67">
        <f t="shared" ref="L781:L828" si="303">SUMIFS(rl_daysafter,rl_key,$A$778,rl_effmonth,$B781,rl_first,1)</f>
        <v>0</v>
      </c>
      <c r="M781" s="77">
        <f t="shared" ref="M781:M828" si="304">IF($K781=0,0,MIN(1,$L781/$D781))</f>
        <v>0</v>
      </c>
      <c r="N781" s="76">
        <f t="shared" ref="N781:N828" si="305">IF($K781=0,$J781,(1-$M781)*$I781+$M781*$J781)</f>
        <v>1</v>
      </c>
      <c r="O781" s="77">
        <f t="shared" ref="O781:O828" si="306">IF($F781&lt;$B$779,$E$779+$I$779*($F781-$A$779),IF($F781&lt;$C$779,$F$779+$J$779*($F781-$B$779),$G$779+$K$779*($F781-$C$779)))</f>
        <v>0.89637855579868719</v>
      </c>
      <c r="P781" s="76">
        <f t="shared" ref="P781:P828" si="307">MIN(1,MAX(0,(nr_MEndPm1-$G781+0.5)/$C$778))-MIN(1,MAX(0,(nr_MStartPm1-1-$G781+0.5)/$C$778))</f>
        <v>0</v>
      </c>
      <c r="Q781" s="76">
        <f t="shared" ref="Q781:Q828" si="308">MIN(1,MAX(0,(nr_MEndP-$G781+0.5)/$C$778))-MIN(1,MAX(0,(nr_MStartP-1-$G781+0.5)/$C$778))</f>
        <v>0</v>
      </c>
      <c r="R781" s="76">
        <f t="shared" ref="R781:R828" si="309">MIN(1,MAX(0,(nr_MEndP1-$G781+0.5)/$C$778))-MIN(1,MAX(0,(nr_MStartP1-1-$G781+0.5)/$C$778))</f>
        <v>0</v>
      </c>
      <c r="S781" s="76">
        <f t="shared" ref="S781:S828" si="310">$N781*IF($O$778=1,$O781/$F$778,1)</f>
        <v>0.97432451717248603</v>
      </c>
      <c r="T781" s="76">
        <f t="shared" ref="T781:T828" si="311">IF($G781&lt;nr_MStartP,$S781,$T769*(1+IF($G781&lt;nr_MStartP1,$M$778,$N$778)))</f>
        <v>0.97432451717248603</v>
      </c>
      <c r="U781" s="76">
        <f t="shared" ref="U781:U828" si="312">IF($L$778,$T781,$N781)</f>
        <v>1</v>
      </c>
    </row>
    <row r="782" spans="1:21" x14ac:dyDescent="0.25">
      <c r="A782" s="71">
        <v>2</v>
      </c>
      <c r="B782" s="72">
        <f t="shared" ref="B782:B828" si="313">EDATE($B781,1)</f>
        <v>45689</v>
      </c>
      <c r="C782" s="73">
        <f t="shared" si="294"/>
        <v>45716</v>
      </c>
      <c r="D782" s="67">
        <f t="shared" si="295"/>
        <v>28</v>
      </c>
      <c r="E782" s="67">
        <f t="shared" si="296"/>
        <v>2</v>
      </c>
      <c r="F782" s="74">
        <f t="shared" si="297"/>
        <v>45703</v>
      </c>
      <c r="G782" s="67">
        <f t="shared" si="298"/>
        <v>24301</v>
      </c>
      <c r="H782" s="75">
        <f t="shared" si="299"/>
        <v>1</v>
      </c>
      <c r="I782" s="76">
        <f t="shared" si="300"/>
        <v>1</v>
      </c>
      <c r="J782" s="76">
        <f t="shared" si="301"/>
        <v>1</v>
      </c>
      <c r="K782" s="67">
        <f t="shared" si="302"/>
        <v>0</v>
      </c>
      <c r="L782" s="67">
        <f t="shared" si="303"/>
        <v>0</v>
      </c>
      <c r="M782" s="77">
        <f t="shared" si="304"/>
        <v>0</v>
      </c>
      <c r="N782" s="76">
        <f t="shared" si="305"/>
        <v>1</v>
      </c>
      <c r="O782" s="77">
        <f t="shared" si="306"/>
        <v>0.89702407002188189</v>
      </c>
      <c r="P782" s="76">
        <f t="shared" si="307"/>
        <v>0</v>
      </c>
      <c r="Q782" s="76">
        <f t="shared" si="308"/>
        <v>0</v>
      </c>
      <c r="R782" s="76">
        <f t="shared" si="309"/>
        <v>0</v>
      </c>
      <c r="S782" s="76">
        <f t="shared" si="310"/>
        <v>0.97502616306726286</v>
      </c>
      <c r="T782" s="76">
        <f t="shared" si="311"/>
        <v>0.97502616306726286</v>
      </c>
      <c r="U782" s="76">
        <f t="shared" si="312"/>
        <v>1</v>
      </c>
    </row>
    <row r="783" spans="1:21" x14ac:dyDescent="0.25">
      <c r="A783" s="71">
        <v>3</v>
      </c>
      <c r="B783" s="72">
        <f t="shared" si="313"/>
        <v>45717</v>
      </c>
      <c r="C783" s="73">
        <f t="shared" si="294"/>
        <v>45747</v>
      </c>
      <c r="D783" s="67">
        <f t="shared" si="295"/>
        <v>31</v>
      </c>
      <c r="E783" s="67">
        <f t="shared" si="296"/>
        <v>3</v>
      </c>
      <c r="F783" s="74">
        <f t="shared" si="297"/>
        <v>45732.5</v>
      </c>
      <c r="G783" s="67">
        <f t="shared" si="298"/>
        <v>24302</v>
      </c>
      <c r="H783" s="75">
        <f t="shared" si="299"/>
        <v>1</v>
      </c>
      <c r="I783" s="76">
        <f t="shared" si="300"/>
        <v>1</v>
      </c>
      <c r="J783" s="76">
        <f t="shared" si="301"/>
        <v>1</v>
      </c>
      <c r="K783" s="67">
        <f t="shared" si="302"/>
        <v>0</v>
      </c>
      <c r="L783" s="67">
        <f t="shared" si="303"/>
        <v>0</v>
      </c>
      <c r="M783" s="77">
        <f t="shared" si="304"/>
        <v>0</v>
      </c>
      <c r="N783" s="76">
        <f t="shared" si="305"/>
        <v>1</v>
      </c>
      <c r="O783" s="77">
        <f t="shared" si="306"/>
        <v>0.8976695842450767</v>
      </c>
      <c r="P783" s="76">
        <f t="shared" si="307"/>
        <v>0</v>
      </c>
      <c r="Q783" s="76">
        <f t="shared" si="308"/>
        <v>0</v>
      </c>
      <c r="R783" s="76">
        <f t="shared" si="309"/>
        <v>0</v>
      </c>
      <c r="S783" s="76">
        <f t="shared" si="310"/>
        <v>0.97572780896203981</v>
      </c>
      <c r="T783" s="76">
        <f t="shared" si="311"/>
        <v>0.97572780896203981</v>
      </c>
      <c r="U783" s="76">
        <f t="shared" si="312"/>
        <v>1</v>
      </c>
    </row>
    <row r="784" spans="1:21" x14ac:dyDescent="0.25">
      <c r="A784" s="71">
        <v>4</v>
      </c>
      <c r="B784" s="72">
        <f t="shared" si="313"/>
        <v>45748</v>
      </c>
      <c r="C784" s="73">
        <f t="shared" si="294"/>
        <v>45777</v>
      </c>
      <c r="D784" s="67">
        <f t="shared" si="295"/>
        <v>30</v>
      </c>
      <c r="E784" s="67">
        <f t="shared" si="296"/>
        <v>4</v>
      </c>
      <c r="F784" s="74">
        <f t="shared" si="297"/>
        <v>45763</v>
      </c>
      <c r="G784" s="67">
        <f t="shared" si="298"/>
        <v>24303</v>
      </c>
      <c r="H784" s="75">
        <f t="shared" si="299"/>
        <v>1</v>
      </c>
      <c r="I784" s="76">
        <f t="shared" si="300"/>
        <v>1</v>
      </c>
      <c r="J784" s="76">
        <f t="shared" si="301"/>
        <v>1</v>
      </c>
      <c r="K784" s="67">
        <f t="shared" si="302"/>
        <v>0</v>
      </c>
      <c r="L784" s="67">
        <f t="shared" si="303"/>
        <v>0</v>
      </c>
      <c r="M784" s="77">
        <f t="shared" si="304"/>
        <v>0</v>
      </c>
      <c r="N784" s="76">
        <f t="shared" si="305"/>
        <v>1</v>
      </c>
      <c r="O784" s="77">
        <f t="shared" si="306"/>
        <v>0.89833698030634579</v>
      </c>
      <c r="P784" s="76">
        <f t="shared" si="307"/>
        <v>0</v>
      </c>
      <c r="Q784" s="76">
        <f t="shared" si="308"/>
        <v>0</v>
      </c>
      <c r="R784" s="76">
        <f t="shared" si="309"/>
        <v>0</v>
      </c>
      <c r="S784" s="76">
        <f t="shared" si="310"/>
        <v>0.97645323946341933</v>
      </c>
      <c r="T784" s="76">
        <f t="shared" si="311"/>
        <v>0.97645323946341933</v>
      </c>
      <c r="U784" s="76">
        <f t="shared" si="312"/>
        <v>1</v>
      </c>
    </row>
    <row r="785" spans="1:21" x14ac:dyDescent="0.25">
      <c r="A785" s="71">
        <v>5</v>
      </c>
      <c r="B785" s="72">
        <f t="shared" si="313"/>
        <v>45778</v>
      </c>
      <c r="C785" s="73">
        <f t="shared" si="294"/>
        <v>45808</v>
      </c>
      <c r="D785" s="67">
        <f t="shared" si="295"/>
        <v>31</v>
      </c>
      <c r="E785" s="67">
        <f t="shared" si="296"/>
        <v>5</v>
      </c>
      <c r="F785" s="74">
        <f t="shared" si="297"/>
        <v>45793.5</v>
      </c>
      <c r="G785" s="67">
        <f t="shared" si="298"/>
        <v>24304</v>
      </c>
      <c r="H785" s="75">
        <f t="shared" si="299"/>
        <v>1</v>
      </c>
      <c r="I785" s="76">
        <f t="shared" si="300"/>
        <v>1</v>
      </c>
      <c r="J785" s="76">
        <f t="shared" si="301"/>
        <v>1</v>
      </c>
      <c r="K785" s="67">
        <f t="shared" si="302"/>
        <v>0</v>
      </c>
      <c r="L785" s="67">
        <f t="shared" si="303"/>
        <v>0</v>
      </c>
      <c r="M785" s="77">
        <f t="shared" si="304"/>
        <v>0</v>
      </c>
      <c r="N785" s="76">
        <f t="shared" si="305"/>
        <v>1</v>
      </c>
      <c r="O785" s="77">
        <f t="shared" si="306"/>
        <v>0.89900437636761499</v>
      </c>
      <c r="P785" s="76">
        <f t="shared" si="307"/>
        <v>0</v>
      </c>
      <c r="Q785" s="76">
        <f t="shared" si="308"/>
        <v>0</v>
      </c>
      <c r="R785" s="76">
        <f t="shared" si="309"/>
        <v>0</v>
      </c>
      <c r="S785" s="76">
        <f t="shared" si="310"/>
        <v>0.97717866996479885</v>
      </c>
      <c r="T785" s="76">
        <f t="shared" si="311"/>
        <v>0.97717866996479885</v>
      </c>
      <c r="U785" s="76">
        <f t="shared" si="312"/>
        <v>1</v>
      </c>
    </row>
    <row r="786" spans="1:21" x14ac:dyDescent="0.25">
      <c r="A786" s="71">
        <v>6</v>
      </c>
      <c r="B786" s="72">
        <f t="shared" si="313"/>
        <v>45809</v>
      </c>
      <c r="C786" s="73">
        <f t="shared" si="294"/>
        <v>45838</v>
      </c>
      <c r="D786" s="67">
        <f t="shared" si="295"/>
        <v>30</v>
      </c>
      <c r="E786" s="67">
        <f t="shared" si="296"/>
        <v>6</v>
      </c>
      <c r="F786" s="74">
        <f t="shared" si="297"/>
        <v>45824</v>
      </c>
      <c r="G786" s="67">
        <f t="shared" si="298"/>
        <v>24305</v>
      </c>
      <c r="H786" s="75">
        <f t="shared" si="299"/>
        <v>1</v>
      </c>
      <c r="I786" s="76">
        <f t="shared" si="300"/>
        <v>1</v>
      </c>
      <c r="J786" s="76">
        <f t="shared" si="301"/>
        <v>1</v>
      </c>
      <c r="K786" s="67">
        <f t="shared" si="302"/>
        <v>0</v>
      </c>
      <c r="L786" s="67">
        <f t="shared" si="303"/>
        <v>0</v>
      </c>
      <c r="M786" s="77">
        <f t="shared" si="304"/>
        <v>0</v>
      </c>
      <c r="N786" s="76">
        <f t="shared" si="305"/>
        <v>1</v>
      </c>
      <c r="O786" s="77">
        <f t="shared" si="306"/>
        <v>0.89967177242888408</v>
      </c>
      <c r="P786" s="76">
        <f t="shared" si="307"/>
        <v>0</v>
      </c>
      <c r="Q786" s="76">
        <f t="shared" si="308"/>
        <v>0</v>
      </c>
      <c r="R786" s="76">
        <f t="shared" si="309"/>
        <v>0</v>
      </c>
      <c r="S786" s="76">
        <f t="shared" si="310"/>
        <v>0.97790410046617826</v>
      </c>
      <c r="T786" s="76">
        <f t="shared" si="311"/>
        <v>0.97790410046617826</v>
      </c>
      <c r="U786" s="76">
        <f t="shared" si="312"/>
        <v>1</v>
      </c>
    </row>
    <row r="787" spans="1:21" x14ac:dyDescent="0.25">
      <c r="A787" s="71">
        <v>7</v>
      </c>
      <c r="B787" s="72">
        <f t="shared" si="313"/>
        <v>45839</v>
      </c>
      <c r="C787" s="73">
        <f t="shared" si="294"/>
        <v>45869</v>
      </c>
      <c r="D787" s="67">
        <f t="shared" si="295"/>
        <v>31</v>
      </c>
      <c r="E787" s="67">
        <f t="shared" si="296"/>
        <v>7</v>
      </c>
      <c r="F787" s="74">
        <f t="shared" si="297"/>
        <v>45854.5</v>
      </c>
      <c r="G787" s="67">
        <f t="shared" si="298"/>
        <v>24306</v>
      </c>
      <c r="H787" s="75">
        <f t="shared" si="299"/>
        <v>1</v>
      </c>
      <c r="I787" s="76">
        <f t="shared" si="300"/>
        <v>1</v>
      </c>
      <c r="J787" s="76">
        <f t="shared" si="301"/>
        <v>1</v>
      </c>
      <c r="K787" s="67">
        <f t="shared" si="302"/>
        <v>0</v>
      </c>
      <c r="L787" s="67">
        <f t="shared" si="303"/>
        <v>0</v>
      </c>
      <c r="M787" s="77">
        <f t="shared" si="304"/>
        <v>0</v>
      </c>
      <c r="N787" s="76">
        <f t="shared" si="305"/>
        <v>1</v>
      </c>
      <c r="O787" s="77">
        <f t="shared" si="306"/>
        <v>0.90033916849015327</v>
      </c>
      <c r="P787" s="76">
        <f t="shared" si="307"/>
        <v>8.333333333333337E-2</v>
      </c>
      <c r="Q787" s="76">
        <f t="shared" si="308"/>
        <v>0</v>
      </c>
      <c r="R787" s="76">
        <f t="shared" si="309"/>
        <v>0</v>
      </c>
      <c r="S787" s="76">
        <f t="shared" si="310"/>
        <v>0.97862953096755789</v>
      </c>
      <c r="T787" s="76">
        <f t="shared" si="311"/>
        <v>0.97862953096755789</v>
      </c>
      <c r="U787" s="76">
        <f t="shared" si="312"/>
        <v>1</v>
      </c>
    </row>
    <row r="788" spans="1:21" x14ac:dyDescent="0.25">
      <c r="A788" s="71">
        <v>8</v>
      </c>
      <c r="B788" s="72">
        <f t="shared" si="313"/>
        <v>45870</v>
      </c>
      <c r="C788" s="73">
        <f t="shared" si="294"/>
        <v>45900</v>
      </c>
      <c r="D788" s="67">
        <f t="shared" si="295"/>
        <v>31</v>
      </c>
      <c r="E788" s="67">
        <f t="shared" si="296"/>
        <v>8</v>
      </c>
      <c r="F788" s="74">
        <f t="shared" si="297"/>
        <v>45885.5</v>
      </c>
      <c r="G788" s="67">
        <f t="shared" si="298"/>
        <v>24307</v>
      </c>
      <c r="H788" s="75">
        <f t="shared" si="299"/>
        <v>1</v>
      </c>
      <c r="I788" s="76">
        <f t="shared" si="300"/>
        <v>1</v>
      </c>
      <c r="J788" s="76">
        <f t="shared" si="301"/>
        <v>1</v>
      </c>
      <c r="K788" s="67">
        <f t="shared" si="302"/>
        <v>0</v>
      </c>
      <c r="L788" s="67">
        <f t="shared" si="303"/>
        <v>0</v>
      </c>
      <c r="M788" s="77">
        <f t="shared" si="304"/>
        <v>0</v>
      </c>
      <c r="N788" s="76">
        <f t="shared" si="305"/>
        <v>1</v>
      </c>
      <c r="O788" s="77">
        <f t="shared" si="306"/>
        <v>0.90101750547045956</v>
      </c>
      <c r="P788" s="76">
        <f t="shared" si="307"/>
        <v>0.25</v>
      </c>
      <c r="Q788" s="76">
        <f t="shared" si="308"/>
        <v>0</v>
      </c>
      <c r="R788" s="76">
        <f t="shared" si="309"/>
        <v>0</v>
      </c>
      <c r="S788" s="76">
        <f t="shared" si="310"/>
        <v>0.97936685377223864</v>
      </c>
      <c r="T788" s="76">
        <f t="shared" si="311"/>
        <v>0.97936685377223864</v>
      </c>
      <c r="U788" s="76">
        <f t="shared" si="312"/>
        <v>1</v>
      </c>
    </row>
    <row r="789" spans="1:21" x14ac:dyDescent="0.25">
      <c r="A789" s="71">
        <v>9</v>
      </c>
      <c r="B789" s="72">
        <f t="shared" si="313"/>
        <v>45901</v>
      </c>
      <c r="C789" s="73">
        <f t="shared" si="294"/>
        <v>45930</v>
      </c>
      <c r="D789" s="67">
        <f t="shared" si="295"/>
        <v>30</v>
      </c>
      <c r="E789" s="67">
        <f t="shared" si="296"/>
        <v>9</v>
      </c>
      <c r="F789" s="74">
        <f t="shared" si="297"/>
        <v>45916</v>
      </c>
      <c r="G789" s="67">
        <f t="shared" si="298"/>
        <v>24308</v>
      </c>
      <c r="H789" s="75">
        <f t="shared" si="299"/>
        <v>1</v>
      </c>
      <c r="I789" s="76">
        <f t="shared" si="300"/>
        <v>1</v>
      </c>
      <c r="J789" s="76">
        <f t="shared" si="301"/>
        <v>1</v>
      </c>
      <c r="K789" s="67">
        <f t="shared" si="302"/>
        <v>0</v>
      </c>
      <c r="L789" s="67">
        <f t="shared" si="303"/>
        <v>0</v>
      </c>
      <c r="M789" s="77">
        <f t="shared" si="304"/>
        <v>0</v>
      </c>
      <c r="N789" s="76">
        <f t="shared" si="305"/>
        <v>1</v>
      </c>
      <c r="O789" s="77">
        <f t="shared" si="306"/>
        <v>0.90168490153172876</v>
      </c>
      <c r="P789" s="76">
        <f t="shared" si="307"/>
        <v>0.41666666666666663</v>
      </c>
      <c r="Q789" s="76">
        <f t="shared" si="308"/>
        <v>0</v>
      </c>
      <c r="R789" s="76">
        <f t="shared" si="309"/>
        <v>0</v>
      </c>
      <c r="S789" s="76">
        <f t="shared" si="310"/>
        <v>0.98009228427361816</v>
      </c>
      <c r="T789" s="76">
        <f t="shared" si="311"/>
        <v>0.98009228427361816</v>
      </c>
      <c r="U789" s="76">
        <f t="shared" si="312"/>
        <v>1</v>
      </c>
    </row>
    <row r="790" spans="1:21" x14ac:dyDescent="0.25">
      <c r="A790" s="71">
        <v>10</v>
      </c>
      <c r="B790" s="72">
        <f t="shared" si="313"/>
        <v>45931</v>
      </c>
      <c r="C790" s="73">
        <f t="shared" si="294"/>
        <v>45961</v>
      </c>
      <c r="D790" s="67">
        <f t="shared" si="295"/>
        <v>31</v>
      </c>
      <c r="E790" s="67">
        <f t="shared" si="296"/>
        <v>10</v>
      </c>
      <c r="F790" s="74">
        <f t="shared" si="297"/>
        <v>45946.5</v>
      </c>
      <c r="G790" s="67">
        <f t="shared" si="298"/>
        <v>24309</v>
      </c>
      <c r="H790" s="75">
        <f t="shared" si="299"/>
        <v>1</v>
      </c>
      <c r="I790" s="76">
        <f t="shared" si="300"/>
        <v>1</v>
      </c>
      <c r="J790" s="76">
        <f t="shared" si="301"/>
        <v>1</v>
      </c>
      <c r="K790" s="67">
        <f t="shared" si="302"/>
        <v>0</v>
      </c>
      <c r="L790" s="67">
        <f t="shared" si="303"/>
        <v>0</v>
      </c>
      <c r="M790" s="77">
        <f t="shared" si="304"/>
        <v>0</v>
      </c>
      <c r="N790" s="76">
        <f t="shared" si="305"/>
        <v>1</v>
      </c>
      <c r="O790" s="77">
        <f t="shared" si="306"/>
        <v>0.90235229759299784</v>
      </c>
      <c r="P790" s="76">
        <f t="shared" si="307"/>
        <v>0.58333333333333326</v>
      </c>
      <c r="Q790" s="76">
        <f t="shared" si="308"/>
        <v>0</v>
      </c>
      <c r="R790" s="76">
        <f t="shared" si="309"/>
        <v>0</v>
      </c>
      <c r="S790" s="76">
        <f t="shared" si="310"/>
        <v>0.98081771477499757</v>
      </c>
      <c r="T790" s="76">
        <f t="shared" si="311"/>
        <v>0.98081771477499757</v>
      </c>
      <c r="U790" s="76">
        <f t="shared" si="312"/>
        <v>1</v>
      </c>
    </row>
    <row r="791" spans="1:21" x14ac:dyDescent="0.25">
      <c r="A791" s="71">
        <v>11</v>
      </c>
      <c r="B791" s="72">
        <f t="shared" si="313"/>
        <v>45962</v>
      </c>
      <c r="C791" s="73">
        <f t="shared" si="294"/>
        <v>45991</v>
      </c>
      <c r="D791" s="67">
        <f t="shared" si="295"/>
        <v>30</v>
      </c>
      <c r="E791" s="67">
        <f t="shared" si="296"/>
        <v>11</v>
      </c>
      <c r="F791" s="74">
        <f t="shared" si="297"/>
        <v>45977</v>
      </c>
      <c r="G791" s="67">
        <f t="shared" si="298"/>
        <v>24310</v>
      </c>
      <c r="H791" s="75">
        <f t="shared" si="299"/>
        <v>1</v>
      </c>
      <c r="I791" s="76">
        <f t="shared" si="300"/>
        <v>1</v>
      </c>
      <c r="J791" s="76">
        <f t="shared" si="301"/>
        <v>1</v>
      </c>
      <c r="K791" s="67">
        <f t="shared" si="302"/>
        <v>0</v>
      </c>
      <c r="L791" s="67">
        <f t="shared" si="303"/>
        <v>0</v>
      </c>
      <c r="M791" s="77">
        <f t="shared" si="304"/>
        <v>0</v>
      </c>
      <c r="N791" s="76">
        <f t="shared" si="305"/>
        <v>1</v>
      </c>
      <c r="O791" s="77">
        <f t="shared" si="306"/>
        <v>0.90301969365426704</v>
      </c>
      <c r="P791" s="76">
        <f t="shared" si="307"/>
        <v>0.75</v>
      </c>
      <c r="Q791" s="76">
        <f t="shared" si="308"/>
        <v>0</v>
      </c>
      <c r="R791" s="76">
        <f t="shared" si="309"/>
        <v>0</v>
      </c>
      <c r="S791" s="76">
        <f t="shared" si="310"/>
        <v>0.9815431452763772</v>
      </c>
      <c r="T791" s="76">
        <f t="shared" si="311"/>
        <v>0.9815431452763772</v>
      </c>
      <c r="U791" s="76">
        <f t="shared" si="312"/>
        <v>1</v>
      </c>
    </row>
    <row r="792" spans="1:21" x14ac:dyDescent="0.25">
      <c r="A792" s="71">
        <v>12</v>
      </c>
      <c r="B792" s="72">
        <f t="shared" si="313"/>
        <v>45992</v>
      </c>
      <c r="C792" s="73">
        <f t="shared" si="294"/>
        <v>46022</v>
      </c>
      <c r="D792" s="67">
        <f t="shared" si="295"/>
        <v>31</v>
      </c>
      <c r="E792" s="67">
        <f t="shared" si="296"/>
        <v>12</v>
      </c>
      <c r="F792" s="74">
        <f t="shared" si="297"/>
        <v>46007.5</v>
      </c>
      <c r="G792" s="67">
        <f t="shared" si="298"/>
        <v>24311</v>
      </c>
      <c r="H792" s="75">
        <f t="shared" si="299"/>
        <v>1</v>
      </c>
      <c r="I792" s="76">
        <f t="shared" si="300"/>
        <v>1</v>
      </c>
      <c r="J792" s="76">
        <f t="shared" si="301"/>
        <v>1</v>
      </c>
      <c r="K792" s="67">
        <f t="shared" si="302"/>
        <v>0</v>
      </c>
      <c r="L792" s="67">
        <f t="shared" si="303"/>
        <v>0</v>
      </c>
      <c r="M792" s="77">
        <f t="shared" si="304"/>
        <v>0</v>
      </c>
      <c r="N792" s="76">
        <f t="shared" si="305"/>
        <v>1</v>
      </c>
      <c r="O792" s="77">
        <f t="shared" si="306"/>
        <v>0.90368708971553613</v>
      </c>
      <c r="P792" s="76">
        <f t="shared" si="307"/>
        <v>0.91666666666666663</v>
      </c>
      <c r="Q792" s="76">
        <f t="shared" si="308"/>
        <v>0</v>
      </c>
      <c r="R792" s="76">
        <f t="shared" si="309"/>
        <v>0</v>
      </c>
      <c r="S792" s="76">
        <f t="shared" si="310"/>
        <v>0.98226857577775661</v>
      </c>
      <c r="T792" s="76">
        <f t="shared" si="311"/>
        <v>0.98226857577775661</v>
      </c>
      <c r="U792" s="76">
        <f t="shared" si="312"/>
        <v>1</v>
      </c>
    </row>
    <row r="793" spans="1:21" x14ac:dyDescent="0.25">
      <c r="A793" s="71">
        <v>13</v>
      </c>
      <c r="B793" s="72">
        <f t="shared" si="313"/>
        <v>46023</v>
      </c>
      <c r="C793" s="73">
        <f t="shared" si="294"/>
        <v>46053</v>
      </c>
      <c r="D793" s="67">
        <f t="shared" si="295"/>
        <v>31</v>
      </c>
      <c r="E793" s="67">
        <f t="shared" si="296"/>
        <v>1</v>
      </c>
      <c r="F793" s="74">
        <f t="shared" si="297"/>
        <v>46038.5</v>
      </c>
      <c r="G793" s="67">
        <f t="shared" si="298"/>
        <v>24312</v>
      </c>
      <c r="H793" s="75">
        <f t="shared" si="299"/>
        <v>1</v>
      </c>
      <c r="I793" s="76">
        <f t="shared" si="300"/>
        <v>1</v>
      </c>
      <c r="J793" s="76">
        <f t="shared" si="301"/>
        <v>1</v>
      </c>
      <c r="K793" s="67">
        <f t="shared" si="302"/>
        <v>0</v>
      </c>
      <c r="L793" s="67">
        <f t="shared" si="303"/>
        <v>0</v>
      </c>
      <c r="M793" s="77">
        <f t="shared" si="304"/>
        <v>0</v>
      </c>
      <c r="N793" s="76">
        <f t="shared" si="305"/>
        <v>1</v>
      </c>
      <c r="O793" s="77">
        <f t="shared" si="306"/>
        <v>0.90436542669584252</v>
      </c>
      <c r="P793" s="76">
        <f t="shared" si="307"/>
        <v>1</v>
      </c>
      <c r="Q793" s="76">
        <f t="shared" si="308"/>
        <v>0</v>
      </c>
      <c r="R793" s="76">
        <f t="shared" si="309"/>
        <v>0</v>
      </c>
      <c r="S793" s="76">
        <f t="shared" si="310"/>
        <v>0.98300589858243748</v>
      </c>
      <c r="T793" s="76">
        <f t="shared" si="311"/>
        <v>0.98300589858243748</v>
      </c>
      <c r="U793" s="76">
        <f t="shared" si="312"/>
        <v>1</v>
      </c>
    </row>
    <row r="794" spans="1:21" x14ac:dyDescent="0.25">
      <c r="A794" s="71">
        <v>14</v>
      </c>
      <c r="B794" s="72">
        <f t="shared" si="313"/>
        <v>46054</v>
      </c>
      <c r="C794" s="73">
        <f t="shared" si="294"/>
        <v>46081</v>
      </c>
      <c r="D794" s="67">
        <f t="shared" si="295"/>
        <v>28</v>
      </c>
      <c r="E794" s="67">
        <f t="shared" si="296"/>
        <v>2</v>
      </c>
      <c r="F794" s="74">
        <f t="shared" si="297"/>
        <v>46068</v>
      </c>
      <c r="G794" s="67">
        <f t="shared" si="298"/>
        <v>24313</v>
      </c>
      <c r="H794" s="75">
        <f t="shared" si="299"/>
        <v>1</v>
      </c>
      <c r="I794" s="76">
        <f t="shared" si="300"/>
        <v>1</v>
      </c>
      <c r="J794" s="76">
        <f t="shared" si="301"/>
        <v>1.05</v>
      </c>
      <c r="K794" s="67">
        <f t="shared" si="302"/>
        <v>1</v>
      </c>
      <c r="L794" s="67">
        <f t="shared" si="303"/>
        <v>28</v>
      </c>
      <c r="M794" s="77">
        <f t="shared" si="304"/>
        <v>1</v>
      </c>
      <c r="N794" s="76">
        <f t="shared" si="305"/>
        <v>1.05</v>
      </c>
      <c r="O794" s="77">
        <f t="shared" si="306"/>
        <v>0.90501094091903722</v>
      </c>
      <c r="P794" s="76">
        <f t="shared" si="307"/>
        <v>1</v>
      </c>
      <c r="Q794" s="76">
        <f t="shared" si="308"/>
        <v>0</v>
      </c>
      <c r="R794" s="76">
        <f t="shared" si="309"/>
        <v>0</v>
      </c>
      <c r="S794" s="76">
        <f t="shared" si="310"/>
        <v>1.0328929217010752</v>
      </c>
      <c r="T794" s="76">
        <f t="shared" si="311"/>
        <v>1.0328929217010752</v>
      </c>
      <c r="U794" s="76">
        <f t="shared" si="312"/>
        <v>1.05</v>
      </c>
    </row>
    <row r="795" spans="1:21" x14ac:dyDescent="0.25">
      <c r="A795" s="71">
        <v>15</v>
      </c>
      <c r="B795" s="72">
        <f t="shared" si="313"/>
        <v>46082</v>
      </c>
      <c r="C795" s="73">
        <f t="shared" si="294"/>
        <v>46112</v>
      </c>
      <c r="D795" s="67">
        <f t="shared" si="295"/>
        <v>31</v>
      </c>
      <c r="E795" s="67">
        <f t="shared" si="296"/>
        <v>3</v>
      </c>
      <c r="F795" s="74">
        <f t="shared" si="297"/>
        <v>46097.5</v>
      </c>
      <c r="G795" s="67">
        <f t="shared" si="298"/>
        <v>24314</v>
      </c>
      <c r="H795" s="75">
        <f t="shared" si="299"/>
        <v>1</v>
      </c>
      <c r="I795" s="76">
        <f t="shared" si="300"/>
        <v>1.05</v>
      </c>
      <c r="J795" s="76">
        <f t="shared" si="301"/>
        <v>1.05</v>
      </c>
      <c r="K795" s="67">
        <f t="shared" si="302"/>
        <v>0</v>
      </c>
      <c r="L795" s="67">
        <f t="shared" si="303"/>
        <v>0</v>
      </c>
      <c r="M795" s="77">
        <f t="shared" si="304"/>
        <v>0</v>
      </c>
      <c r="N795" s="76">
        <f t="shared" si="305"/>
        <v>1.05</v>
      </c>
      <c r="O795" s="77">
        <f t="shared" si="306"/>
        <v>0.90565645514223203</v>
      </c>
      <c r="P795" s="76">
        <f t="shared" si="307"/>
        <v>1</v>
      </c>
      <c r="Q795" s="76">
        <f t="shared" si="308"/>
        <v>0</v>
      </c>
      <c r="R795" s="76">
        <f t="shared" si="309"/>
        <v>0</v>
      </c>
      <c r="S795" s="76">
        <f t="shared" si="310"/>
        <v>1.0336296498905908</v>
      </c>
      <c r="T795" s="76">
        <f t="shared" si="311"/>
        <v>1.0336296498905908</v>
      </c>
      <c r="U795" s="76">
        <f t="shared" si="312"/>
        <v>1.05</v>
      </c>
    </row>
    <row r="796" spans="1:21" x14ac:dyDescent="0.25">
      <c r="A796" s="71">
        <v>16</v>
      </c>
      <c r="B796" s="72">
        <f t="shared" si="313"/>
        <v>46113</v>
      </c>
      <c r="C796" s="73">
        <f t="shared" si="294"/>
        <v>46142</v>
      </c>
      <c r="D796" s="67">
        <f t="shared" si="295"/>
        <v>30</v>
      </c>
      <c r="E796" s="67">
        <f t="shared" si="296"/>
        <v>4</v>
      </c>
      <c r="F796" s="74">
        <f t="shared" si="297"/>
        <v>46128</v>
      </c>
      <c r="G796" s="67">
        <f t="shared" si="298"/>
        <v>24315</v>
      </c>
      <c r="H796" s="75">
        <f t="shared" si="299"/>
        <v>1</v>
      </c>
      <c r="I796" s="76">
        <f t="shared" si="300"/>
        <v>1.05</v>
      </c>
      <c r="J796" s="76">
        <f t="shared" si="301"/>
        <v>1.05</v>
      </c>
      <c r="K796" s="67">
        <f t="shared" si="302"/>
        <v>0</v>
      </c>
      <c r="L796" s="67">
        <f t="shared" si="303"/>
        <v>0</v>
      </c>
      <c r="M796" s="77">
        <f t="shared" si="304"/>
        <v>0</v>
      </c>
      <c r="N796" s="76">
        <f t="shared" si="305"/>
        <v>1.05</v>
      </c>
      <c r="O796" s="77">
        <f t="shared" si="306"/>
        <v>0.90632385120350112</v>
      </c>
      <c r="P796" s="76">
        <f t="shared" si="307"/>
        <v>1</v>
      </c>
      <c r="Q796" s="76">
        <f t="shared" si="308"/>
        <v>0</v>
      </c>
      <c r="R796" s="76">
        <f t="shared" si="309"/>
        <v>0</v>
      </c>
      <c r="S796" s="76">
        <f t="shared" si="310"/>
        <v>1.0343913519170393</v>
      </c>
      <c r="T796" s="76">
        <f t="shared" si="311"/>
        <v>1.0343913519170393</v>
      </c>
      <c r="U796" s="76">
        <f t="shared" si="312"/>
        <v>1.05</v>
      </c>
    </row>
    <row r="797" spans="1:21" x14ac:dyDescent="0.25">
      <c r="A797" s="71">
        <v>17</v>
      </c>
      <c r="B797" s="72">
        <f t="shared" si="313"/>
        <v>46143</v>
      </c>
      <c r="C797" s="73">
        <f t="shared" si="294"/>
        <v>46173</v>
      </c>
      <c r="D797" s="67">
        <f t="shared" si="295"/>
        <v>31</v>
      </c>
      <c r="E797" s="67">
        <f t="shared" si="296"/>
        <v>5</v>
      </c>
      <c r="F797" s="74">
        <f t="shared" si="297"/>
        <v>46158.5</v>
      </c>
      <c r="G797" s="67">
        <f t="shared" si="298"/>
        <v>24316</v>
      </c>
      <c r="H797" s="75">
        <f t="shared" si="299"/>
        <v>1</v>
      </c>
      <c r="I797" s="76">
        <f t="shared" si="300"/>
        <v>1.05</v>
      </c>
      <c r="J797" s="76">
        <f t="shared" si="301"/>
        <v>1.05</v>
      </c>
      <c r="K797" s="67">
        <f t="shared" si="302"/>
        <v>0</v>
      </c>
      <c r="L797" s="67">
        <f t="shared" si="303"/>
        <v>0</v>
      </c>
      <c r="M797" s="77">
        <f t="shared" si="304"/>
        <v>0</v>
      </c>
      <c r="N797" s="76">
        <f t="shared" si="305"/>
        <v>1.05</v>
      </c>
      <c r="O797" s="77">
        <f t="shared" si="306"/>
        <v>0.90699124726477032</v>
      </c>
      <c r="P797" s="76">
        <f t="shared" si="307"/>
        <v>1</v>
      </c>
      <c r="Q797" s="76">
        <f t="shared" si="308"/>
        <v>0</v>
      </c>
      <c r="R797" s="76">
        <f t="shared" si="309"/>
        <v>0</v>
      </c>
      <c r="S797" s="76">
        <f t="shared" si="310"/>
        <v>1.0351530539434879</v>
      </c>
      <c r="T797" s="76">
        <f t="shared" si="311"/>
        <v>1.0351530539434879</v>
      </c>
      <c r="U797" s="76">
        <f t="shared" si="312"/>
        <v>1.05</v>
      </c>
    </row>
    <row r="798" spans="1:21" x14ac:dyDescent="0.25">
      <c r="A798" s="71">
        <v>18</v>
      </c>
      <c r="B798" s="72">
        <f t="shared" si="313"/>
        <v>46174</v>
      </c>
      <c r="C798" s="73">
        <f t="shared" si="294"/>
        <v>46203</v>
      </c>
      <c r="D798" s="67">
        <f t="shared" si="295"/>
        <v>30</v>
      </c>
      <c r="E798" s="67">
        <f t="shared" si="296"/>
        <v>6</v>
      </c>
      <c r="F798" s="74">
        <f t="shared" si="297"/>
        <v>46189</v>
      </c>
      <c r="G798" s="67">
        <f t="shared" si="298"/>
        <v>24317</v>
      </c>
      <c r="H798" s="75">
        <f t="shared" si="299"/>
        <v>1</v>
      </c>
      <c r="I798" s="76">
        <f t="shared" si="300"/>
        <v>1.05</v>
      </c>
      <c r="J798" s="76">
        <f t="shared" si="301"/>
        <v>1.05</v>
      </c>
      <c r="K798" s="67">
        <f t="shared" si="302"/>
        <v>0</v>
      </c>
      <c r="L798" s="67">
        <f t="shared" si="303"/>
        <v>0</v>
      </c>
      <c r="M798" s="77">
        <f t="shared" si="304"/>
        <v>0</v>
      </c>
      <c r="N798" s="76">
        <f t="shared" si="305"/>
        <v>1.05</v>
      </c>
      <c r="O798" s="77">
        <f t="shared" si="306"/>
        <v>0.9076586433260394</v>
      </c>
      <c r="P798" s="76">
        <f t="shared" si="307"/>
        <v>1</v>
      </c>
      <c r="Q798" s="76">
        <f t="shared" si="308"/>
        <v>0</v>
      </c>
      <c r="R798" s="76">
        <f t="shared" si="309"/>
        <v>0</v>
      </c>
      <c r="S798" s="76">
        <f t="shared" si="310"/>
        <v>1.0359147559699362</v>
      </c>
      <c r="T798" s="76">
        <f t="shared" si="311"/>
        <v>1.0359147559699362</v>
      </c>
      <c r="U798" s="76">
        <f t="shared" si="312"/>
        <v>1.05</v>
      </c>
    </row>
    <row r="799" spans="1:21" x14ac:dyDescent="0.25">
      <c r="A799" s="71">
        <v>19</v>
      </c>
      <c r="B799" s="72">
        <f t="shared" si="313"/>
        <v>46204</v>
      </c>
      <c r="C799" s="73">
        <f t="shared" si="294"/>
        <v>46234</v>
      </c>
      <c r="D799" s="67">
        <f t="shared" si="295"/>
        <v>31</v>
      </c>
      <c r="E799" s="67">
        <f t="shared" si="296"/>
        <v>7</v>
      </c>
      <c r="F799" s="74">
        <f t="shared" si="297"/>
        <v>46219.5</v>
      </c>
      <c r="G799" s="67">
        <f t="shared" si="298"/>
        <v>24318</v>
      </c>
      <c r="H799" s="75">
        <f t="shared" si="299"/>
        <v>1</v>
      </c>
      <c r="I799" s="76">
        <f t="shared" si="300"/>
        <v>1.05</v>
      </c>
      <c r="J799" s="76">
        <f t="shared" si="301"/>
        <v>1.05</v>
      </c>
      <c r="K799" s="67">
        <f t="shared" si="302"/>
        <v>0</v>
      </c>
      <c r="L799" s="67">
        <f t="shared" si="303"/>
        <v>0</v>
      </c>
      <c r="M799" s="77">
        <f t="shared" si="304"/>
        <v>0</v>
      </c>
      <c r="N799" s="76">
        <f t="shared" si="305"/>
        <v>1.05</v>
      </c>
      <c r="O799" s="77">
        <f t="shared" si="306"/>
        <v>0.9083260393873086</v>
      </c>
      <c r="P799" s="76">
        <f t="shared" si="307"/>
        <v>0.91666666666666663</v>
      </c>
      <c r="Q799" s="76">
        <f t="shared" si="308"/>
        <v>8.333333333333337E-2</v>
      </c>
      <c r="R799" s="76">
        <f t="shared" si="309"/>
        <v>0</v>
      </c>
      <c r="S799" s="76">
        <f t="shared" si="310"/>
        <v>1.0366764579963847</v>
      </c>
      <c r="T799" s="76">
        <f t="shared" si="311"/>
        <v>1.0366764579963847</v>
      </c>
      <c r="U799" s="76">
        <f t="shared" si="312"/>
        <v>1.05</v>
      </c>
    </row>
    <row r="800" spans="1:21" x14ac:dyDescent="0.25">
      <c r="A800" s="71">
        <v>20</v>
      </c>
      <c r="B800" s="72">
        <f t="shared" si="313"/>
        <v>46235</v>
      </c>
      <c r="C800" s="73">
        <f t="shared" si="294"/>
        <v>46265</v>
      </c>
      <c r="D800" s="67">
        <f t="shared" si="295"/>
        <v>31</v>
      </c>
      <c r="E800" s="67">
        <f t="shared" si="296"/>
        <v>8</v>
      </c>
      <c r="F800" s="74">
        <f t="shared" si="297"/>
        <v>46250.5</v>
      </c>
      <c r="G800" s="67">
        <f t="shared" si="298"/>
        <v>24319</v>
      </c>
      <c r="H800" s="75">
        <f t="shared" si="299"/>
        <v>1</v>
      </c>
      <c r="I800" s="76">
        <f t="shared" si="300"/>
        <v>1.05</v>
      </c>
      <c r="J800" s="76">
        <f t="shared" si="301"/>
        <v>1.05</v>
      </c>
      <c r="K800" s="67">
        <f t="shared" si="302"/>
        <v>0</v>
      </c>
      <c r="L800" s="67">
        <f t="shared" si="303"/>
        <v>0</v>
      </c>
      <c r="M800" s="77">
        <f t="shared" si="304"/>
        <v>0</v>
      </c>
      <c r="N800" s="76">
        <f t="shared" si="305"/>
        <v>1.05</v>
      </c>
      <c r="O800" s="77">
        <f t="shared" si="306"/>
        <v>0.90900437636761489</v>
      </c>
      <c r="P800" s="76">
        <f t="shared" si="307"/>
        <v>0.75</v>
      </c>
      <c r="Q800" s="76">
        <f t="shared" si="308"/>
        <v>0.25</v>
      </c>
      <c r="R800" s="76">
        <f t="shared" si="309"/>
        <v>0</v>
      </c>
      <c r="S800" s="76">
        <f t="shared" si="310"/>
        <v>1.0374506469412996</v>
      </c>
      <c r="T800" s="76">
        <f t="shared" si="311"/>
        <v>1.0374506469412996</v>
      </c>
      <c r="U800" s="76">
        <f t="shared" si="312"/>
        <v>1.05</v>
      </c>
    </row>
    <row r="801" spans="1:21" x14ac:dyDescent="0.25">
      <c r="A801" s="71">
        <v>21</v>
      </c>
      <c r="B801" s="72">
        <f t="shared" si="313"/>
        <v>46266</v>
      </c>
      <c r="C801" s="73">
        <f t="shared" si="294"/>
        <v>46295</v>
      </c>
      <c r="D801" s="67">
        <f t="shared" si="295"/>
        <v>30</v>
      </c>
      <c r="E801" s="67">
        <f t="shared" si="296"/>
        <v>9</v>
      </c>
      <c r="F801" s="74">
        <f t="shared" si="297"/>
        <v>46281</v>
      </c>
      <c r="G801" s="67">
        <f t="shared" si="298"/>
        <v>24320</v>
      </c>
      <c r="H801" s="75">
        <f t="shared" si="299"/>
        <v>1</v>
      </c>
      <c r="I801" s="76">
        <f t="shared" si="300"/>
        <v>1.05</v>
      </c>
      <c r="J801" s="76">
        <f t="shared" si="301"/>
        <v>1.05</v>
      </c>
      <c r="K801" s="67">
        <f t="shared" si="302"/>
        <v>0</v>
      </c>
      <c r="L801" s="67">
        <f t="shared" si="303"/>
        <v>0</v>
      </c>
      <c r="M801" s="77">
        <f t="shared" si="304"/>
        <v>0</v>
      </c>
      <c r="N801" s="76">
        <f t="shared" si="305"/>
        <v>1.05</v>
      </c>
      <c r="O801" s="77">
        <f t="shared" si="306"/>
        <v>0.90967177242888408</v>
      </c>
      <c r="P801" s="76">
        <f t="shared" si="307"/>
        <v>0.58333333333333337</v>
      </c>
      <c r="Q801" s="76">
        <f t="shared" si="308"/>
        <v>0.41666666666666663</v>
      </c>
      <c r="R801" s="76">
        <f t="shared" si="309"/>
        <v>0</v>
      </c>
      <c r="S801" s="76">
        <f t="shared" si="310"/>
        <v>1.0382123489677482</v>
      </c>
      <c r="T801" s="76">
        <f t="shared" si="311"/>
        <v>1.0382123489677482</v>
      </c>
      <c r="U801" s="76">
        <f t="shared" si="312"/>
        <v>1.05</v>
      </c>
    </row>
    <row r="802" spans="1:21" x14ac:dyDescent="0.25">
      <c r="A802" s="71">
        <v>22</v>
      </c>
      <c r="B802" s="72">
        <f t="shared" si="313"/>
        <v>46296</v>
      </c>
      <c r="C802" s="73">
        <f t="shared" si="294"/>
        <v>46326</v>
      </c>
      <c r="D802" s="67">
        <f t="shared" si="295"/>
        <v>31</v>
      </c>
      <c r="E802" s="67">
        <f t="shared" si="296"/>
        <v>10</v>
      </c>
      <c r="F802" s="74">
        <f t="shared" si="297"/>
        <v>46311.5</v>
      </c>
      <c r="G802" s="67">
        <f t="shared" si="298"/>
        <v>24321</v>
      </c>
      <c r="H802" s="75">
        <f t="shared" si="299"/>
        <v>1</v>
      </c>
      <c r="I802" s="76">
        <f t="shared" si="300"/>
        <v>1.05</v>
      </c>
      <c r="J802" s="76">
        <f t="shared" si="301"/>
        <v>1.05</v>
      </c>
      <c r="K802" s="67">
        <f t="shared" si="302"/>
        <v>0</v>
      </c>
      <c r="L802" s="67">
        <f t="shared" si="303"/>
        <v>0</v>
      </c>
      <c r="M802" s="77">
        <f t="shared" si="304"/>
        <v>0</v>
      </c>
      <c r="N802" s="76">
        <f t="shared" si="305"/>
        <v>1.05</v>
      </c>
      <c r="O802" s="77">
        <f t="shared" si="306"/>
        <v>0.91033916849015317</v>
      </c>
      <c r="P802" s="76">
        <f t="shared" si="307"/>
        <v>0.41666666666666669</v>
      </c>
      <c r="Q802" s="76">
        <f t="shared" si="308"/>
        <v>0.58333333333333326</v>
      </c>
      <c r="R802" s="76">
        <f t="shared" si="309"/>
        <v>0</v>
      </c>
      <c r="S802" s="76">
        <f t="shared" si="310"/>
        <v>1.0389740509941965</v>
      </c>
      <c r="T802" s="76">
        <f t="shared" si="311"/>
        <v>1.0389740509941965</v>
      </c>
      <c r="U802" s="76">
        <f t="shared" si="312"/>
        <v>1.05</v>
      </c>
    </row>
    <row r="803" spans="1:21" x14ac:dyDescent="0.25">
      <c r="A803" s="71">
        <v>23</v>
      </c>
      <c r="B803" s="72">
        <f t="shared" si="313"/>
        <v>46327</v>
      </c>
      <c r="C803" s="73">
        <f t="shared" si="294"/>
        <v>46356</v>
      </c>
      <c r="D803" s="67">
        <f t="shared" si="295"/>
        <v>30</v>
      </c>
      <c r="E803" s="67">
        <f t="shared" si="296"/>
        <v>11</v>
      </c>
      <c r="F803" s="74">
        <f t="shared" si="297"/>
        <v>46342</v>
      </c>
      <c r="G803" s="67">
        <f t="shared" si="298"/>
        <v>24322</v>
      </c>
      <c r="H803" s="75">
        <f t="shared" si="299"/>
        <v>1</v>
      </c>
      <c r="I803" s="76">
        <f t="shared" si="300"/>
        <v>1.05</v>
      </c>
      <c r="J803" s="76">
        <f t="shared" si="301"/>
        <v>1.05</v>
      </c>
      <c r="K803" s="67">
        <f t="shared" si="302"/>
        <v>0</v>
      </c>
      <c r="L803" s="67">
        <f t="shared" si="303"/>
        <v>0</v>
      </c>
      <c r="M803" s="77">
        <f t="shared" si="304"/>
        <v>0</v>
      </c>
      <c r="N803" s="76">
        <f t="shared" si="305"/>
        <v>1.05</v>
      </c>
      <c r="O803" s="77">
        <f t="shared" si="306"/>
        <v>0.91100656455142237</v>
      </c>
      <c r="P803" s="76">
        <f t="shared" si="307"/>
        <v>0.25</v>
      </c>
      <c r="Q803" s="76">
        <f t="shared" si="308"/>
        <v>0.75</v>
      </c>
      <c r="R803" s="76">
        <f t="shared" si="309"/>
        <v>0</v>
      </c>
      <c r="S803" s="76">
        <f t="shared" si="310"/>
        <v>1.039735753020645</v>
      </c>
      <c r="T803" s="76">
        <f t="shared" si="311"/>
        <v>1.039735753020645</v>
      </c>
      <c r="U803" s="76">
        <f t="shared" si="312"/>
        <v>1.05</v>
      </c>
    </row>
    <row r="804" spans="1:21" x14ac:dyDescent="0.25">
      <c r="A804" s="71">
        <v>24</v>
      </c>
      <c r="B804" s="72">
        <f t="shared" si="313"/>
        <v>46357</v>
      </c>
      <c r="C804" s="73">
        <f t="shared" si="294"/>
        <v>46387</v>
      </c>
      <c r="D804" s="67">
        <f t="shared" si="295"/>
        <v>31</v>
      </c>
      <c r="E804" s="67">
        <f t="shared" si="296"/>
        <v>12</v>
      </c>
      <c r="F804" s="74">
        <f t="shared" si="297"/>
        <v>46372.5</v>
      </c>
      <c r="G804" s="67">
        <f t="shared" si="298"/>
        <v>24323</v>
      </c>
      <c r="H804" s="75">
        <f t="shared" si="299"/>
        <v>1</v>
      </c>
      <c r="I804" s="76">
        <f t="shared" si="300"/>
        <v>1.05</v>
      </c>
      <c r="J804" s="76">
        <f t="shared" si="301"/>
        <v>1.05</v>
      </c>
      <c r="K804" s="67">
        <f t="shared" si="302"/>
        <v>0</v>
      </c>
      <c r="L804" s="67">
        <f t="shared" si="303"/>
        <v>0</v>
      </c>
      <c r="M804" s="77">
        <f t="shared" si="304"/>
        <v>0</v>
      </c>
      <c r="N804" s="76">
        <f t="shared" si="305"/>
        <v>1.05</v>
      </c>
      <c r="O804" s="77">
        <f t="shared" si="306"/>
        <v>0.91167396061269146</v>
      </c>
      <c r="P804" s="76">
        <f t="shared" si="307"/>
        <v>8.3333333333333329E-2</v>
      </c>
      <c r="Q804" s="76">
        <f t="shared" si="308"/>
        <v>0.91666666666666663</v>
      </c>
      <c r="R804" s="76">
        <f t="shared" si="309"/>
        <v>0</v>
      </c>
      <c r="S804" s="76">
        <f t="shared" si="310"/>
        <v>1.0404974550470936</v>
      </c>
      <c r="T804" s="76">
        <f t="shared" si="311"/>
        <v>1.0404974550470936</v>
      </c>
      <c r="U804" s="76">
        <f t="shared" si="312"/>
        <v>1.05</v>
      </c>
    </row>
    <row r="805" spans="1:21" x14ac:dyDescent="0.25">
      <c r="A805" s="71">
        <v>25</v>
      </c>
      <c r="B805" s="72">
        <f t="shared" si="313"/>
        <v>46388</v>
      </c>
      <c r="C805" s="73">
        <f t="shared" si="294"/>
        <v>46418</v>
      </c>
      <c r="D805" s="67">
        <f t="shared" si="295"/>
        <v>31</v>
      </c>
      <c r="E805" s="67">
        <f t="shared" si="296"/>
        <v>1</v>
      </c>
      <c r="F805" s="74">
        <f t="shared" si="297"/>
        <v>46403.5</v>
      </c>
      <c r="G805" s="67">
        <f t="shared" si="298"/>
        <v>24324</v>
      </c>
      <c r="H805" s="75">
        <f t="shared" si="299"/>
        <v>1</v>
      </c>
      <c r="I805" s="76">
        <f t="shared" si="300"/>
        <v>1.05</v>
      </c>
      <c r="J805" s="76">
        <f t="shared" si="301"/>
        <v>1.05</v>
      </c>
      <c r="K805" s="67">
        <f t="shared" si="302"/>
        <v>0</v>
      </c>
      <c r="L805" s="67">
        <f t="shared" si="303"/>
        <v>0</v>
      </c>
      <c r="M805" s="77">
        <f t="shared" si="304"/>
        <v>0</v>
      </c>
      <c r="N805" s="76">
        <f t="shared" si="305"/>
        <v>1.05</v>
      </c>
      <c r="O805" s="77">
        <f t="shared" si="306"/>
        <v>0.91235229759299785</v>
      </c>
      <c r="P805" s="76">
        <f t="shared" si="307"/>
        <v>0</v>
      </c>
      <c r="Q805" s="76">
        <f t="shared" si="308"/>
        <v>1</v>
      </c>
      <c r="R805" s="76">
        <f t="shared" si="309"/>
        <v>0</v>
      </c>
      <c r="S805" s="76">
        <f t="shared" si="310"/>
        <v>1.0412716439920084</v>
      </c>
      <c r="T805" s="76">
        <f t="shared" si="311"/>
        <v>0.98300589858243748</v>
      </c>
      <c r="U805" s="76">
        <f t="shared" si="312"/>
        <v>1.05</v>
      </c>
    </row>
    <row r="806" spans="1:21" x14ac:dyDescent="0.25">
      <c r="A806" s="71">
        <v>26</v>
      </c>
      <c r="B806" s="72">
        <f t="shared" si="313"/>
        <v>46419</v>
      </c>
      <c r="C806" s="73">
        <f t="shared" si="294"/>
        <v>46446</v>
      </c>
      <c r="D806" s="67">
        <f t="shared" si="295"/>
        <v>28</v>
      </c>
      <c r="E806" s="67">
        <f t="shared" si="296"/>
        <v>2</v>
      </c>
      <c r="F806" s="74">
        <f t="shared" si="297"/>
        <v>46433</v>
      </c>
      <c r="G806" s="67">
        <f t="shared" si="298"/>
        <v>24325</v>
      </c>
      <c r="H806" s="75">
        <f t="shared" si="299"/>
        <v>1</v>
      </c>
      <c r="I806" s="76">
        <f t="shared" si="300"/>
        <v>1.05</v>
      </c>
      <c r="J806" s="76">
        <f t="shared" si="301"/>
        <v>1.05</v>
      </c>
      <c r="K806" s="67">
        <f t="shared" si="302"/>
        <v>0</v>
      </c>
      <c r="L806" s="67">
        <f t="shared" si="303"/>
        <v>0</v>
      </c>
      <c r="M806" s="77">
        <f t="shared" si="304"/>
        <v>0</v>
      </c>
      <c r="N806" s="76">
        <f t="shared" si="305"/>
        <v>1.05</v>
      </c>
      <c r="O806" s="77">
        <f t="shared" si="306"/>
        <v>0.91299781181619255</v>
      </c>
      <c r="P806" s="76">
        <f t="shared" si="307"/>
        <v>0</v>
      </c>
      <c r="Q806" s="76">
        <f t="shared" si="308"/>
        <v>1</v>
      </c>
      <c r="R806" s="76">
        <f t="shared" si="309"/>
        <v>0</v>
      </c>
      <c r="S806" s="76">
        <f t="shared" si="310"/>
        <v>1.0420083721815241</v>
      </c>
      <c r="T806" s="76">
        <f t="shared" si="311"/>
        <v>1.0328929217010752</v>
      </c>
      <c r="U806" s="76">
        <f t="shared" si="312"/>
        <v>1.05</v>
      </c>
    </row>
    <row r="807" spans="1:21" x14ac:dyDescent="0.25">
      <c r="A807" s="71">
        <v>27</v>
      </c>
      <c r="B807" s="72">
        <f t="shared" si="313"/>
        <v>46447</v>
      </c>
      <c r="C807" s="73">
        <f t="shared" si="294"/>
        <v>46477</v>
      </c>
      <c r="D807" s="67">
        <f t="shared" si="295"/>
        <v>31</v>
      </c>
      <c r="E807" s="67">
        <f t="shared" si="296"/>
        <v>3</v>
      </c>
      <c r="F807" s="74">
        <f t="shared" si="297"/>
        <v>46462.5</v>
      </c>
      <c r="G807" s="67">
        <f t="shared" si="298"/>
        <v>24326</v>
      </c>
      <c r="H807" s="75">
        <f t="shared" si="299"/>
        <v>1</v>
      </c>
      <c r="I807" s="76">
        <f t="shared" si="300"/>
        <v>1.05</v>
      </c>
      <c r="J807" s="76">
        <f t="shared" si="301"/>
        <v>1.05</v>
      </c>
      <c r="K807" s="67">
        <f t="shared" si="302"/>
        <v>0</v>
      </c>
      <c r="L807" s="67">
        <f t="shared" si="303"/>
        <v>0</v>
      </c>
      <c r="M807" s="77">
        <f t="shared" si="304"/>
        <v>0</v>
      </c>
      <c r="N807" s="76">
        <f t="shared" si="305"/>
        <v>1.05</v>
      </c>
      <c r="O807" s="77">
        <f t="shared" si="306"/>
        <v>0.91364332603938736</v>
      </c>
      <c r="P807" s="76">
        <f t="shared" si="307"/>
        <v>0</v>
      </c>
      <c r="Q807" s="76">
        <f t="shared" si="308"/>
        <v>1</v>
      </c>
      <c r="R807" s="76">
        <f t="shared" si="309"/>
        <v>0</v>
      </c>
      <c r="S807" s="76">
        <f t="shared" si="310"/>
        <v>1.04274510037104</v>
      </c>
      <c r="T807" s="76">
        <f t="shared" si="311"/>
        <v>1.0336296498905908</v>
      </c>
      <c r="U807" s="76">
        <f t="shared" si="312"/>
        <v>1.05</v>
      </c>
    </row>
    <row r="808" spans="1:21" x14ac:dyDescent="0.25">
      <c r="A808" s="71">
        <v>28</v>
      </c>
      <c r="B808" s="72">
        <f t="shared" si="313"/>
        <v>46478</v>
      </c>
      <c r="C808" s="73">
        <f t="shared" si="294"/>
        <v>46507</v>
      </c>
      <c r="D808" s="67">
        <f t="shared" si="295"/>
        <v>30</v>
      </c>
      <c r="E808" s="67">
        <f t="shared" si="296"/>
        <v>4</v>
      </c>
      <c r="F808" s="74">
        <f t="shared" si="297"/>
        <v>46493</v>
      </c>
      <c r="G808" s="67">
        <f t="shared" si="298"/>
        <v>24327</v>
      </c>
      <c r="H808" s="75">
        <f t="shared" si="299"/>
        <v>1</v>
      </c>
      <c r="I808" s="76">
        <f t="shared" si="300"/>
        <v>1.05</v>
      </c>
      <c r="J808" s="76">
        <f t="shared" si="301"/>
        <v>1.0920000000000001</v>
      </c>
      <c r="K808" s="67">
        <f t="shared" si="302"/>
        <v>1</v>
      </c>
      <c r="L808" s="67">
        <f t="shared" si="303"/>
        <v>30</v>
      </c>
      <c r="M808" s="77">
        <f t="shared" si="304"/>
        <v>1</v>
      </c>
      <c r="N808" s="76">
        <f t="shared" si="305"/>
        <v>1.0920000000000001</v>
      </c>
      <c r="O808" s="77">
        <f t="shared" si="306"/>
        <v>0.91431072210065645</v>
      </c>
      <c r="P808" s="76">
        <f t="shared" si="307"/>
        <v>0</v>
      </c>
      <c r="Q808" s="76">
        <f t="shared" si="308"/>
        <v>1</v>
      </c>
      <c r="R808" s="76">
        <f t="shared" si="309"/>
        <v>0</v>
      </c>
      <c r="S808" s="76">
        <f t="shared" si="310"/>
        <v>1.085247074493388</v>
      </c>
      <c r="T808" s="76">
        <f t="shared" si="311"/>
        <v>1.0343913519170393</v>
      </c>
      <c r="U808" s="76">
        <f t="shared" si="312"/>
        <v>1.0920000000000001</v>
      </c>
    </row>
    <row r="809" spans="1:21" x14ac:dyDescent="0.25">
      <c r="A809" s="71">
        <v>29</v>
      </c>
      <c r="B809" s="72">
        <f t="shared" si="313"/>
        <v>46508</v>
      </c>
      <c r="C809" s="73">
        <f t="shared" si="294"/>
        <v>46538</v>
      </c>
      <c r="D809" s="67">
        <f t="shared" si="295"/>
        <v>31</v>
      </c>
      <c r="E809" s="67">
        <f t="shared" si="296"/>
        <v>5</v>
      </c>
      <c r="F809" s="74">
        <f t="shared" si="297"/>
        <v>46523.5</v>
      </c>
      <c r="G809" s="67">
        <f t="shared" si="298"/>
        <v>24328</v>
      </c>
      <c r="H809" s="75">
        <f t="shared" si="299"/>
        <v>1</v>
      </c>
      <c r="I809" s="76">
        <f t="shared" si="300"/>
        <v>1.0920000000000001</v>
      </c>
      <c r="J809" s="76">
        <f t="shared" si="301"/>
        <v>1.0920000000000001</v>
      </c>
      <c r="K809" s="67">
        <f t="shared" si="302"/>
        <v>0</v>
      </c>
      <c r="L809" s="67">
        <f t="shared" si="303"/>
        <v>0</v>
      </c>
      <c r="M809" s="77">
        <f t="shared" si="304"/>
        <v>0</v>
      </c>
      <c r="N809" s="76">
        <f t="shared" si="305"/>
        <v>1.0920000000000001</v>
      </c>
      <c r="O809" s="77">
        <f t="shared" si="306"/>
        <v>0.91497811816192565</v>
      </c>
      <c r="P809" s="76">
        <f t="shared" si="307"/>
        <v>0</v>
      </c>
      <c r="Q809" s="76">
        <f t="shared" si="308"/>
        <v>1</v>
      </c>
      <c r="R809" s="76">
        <f t="shared" si="309"/>
        <v>0</v>
      </c>
      <c r="S809" s="76">
        <f t="shared" si="310"/>
        <v>1.0860392446008944</v>
      </c>
      <c r="T809" s="76">
        <f t="shared" si="311"/>
        <v>1.0351530539434879</v>
      </c>
      <c r="U809" s="76">
        <f t="shared" si="312"/>
        <v>1.0920000000000001</v>
      </c>
    </row>
    <row r="810" spans="1:21" x14ac:dyDescent="0.25">
      <c r="A810" s="71">
        <v>30</v>
      </c>
      <c r="B810" s="72">
        <f t="shared" si="313"/>
        <v>46539</v>
      </c>
      <c r="C810" s="73">
        <f t="shared" si="294"/>
        <v>46568</v>
      </c>
      <c r="D810" s="67">
        <f t="shared" si="295"/>
        <v>30</v>
      </c>
      <c r="E810" s="67">
        <f t="shared" si="296"/>
        <v>6</v>
      </c>
      <c r="F810" s="74">
        <f t="shared" si="297"/>
        <v>46554</v>
      </c>
      <c r="G810" s="67">
        <f t="shared" si="298"/>
        <v>24329</v>
      </c>
      <c r="H810" s="75">
        <f t="shared" si="299"/>
        <v>1</v>
      </c>
      <c r="I810" s="76">
        <f t="shared" si="300"/>
        <v>1.0920000000000001</v>
      </c>
      <c r="J810" s="76">
        <f t="shared" si="301"/>
        <v>1.0920000000000001</v>
      </c>
      <c r="K810" s="67">
        <f t="shared" si="302"/>
        <v>0</v>
      </c>
      <c r="L810" s="67">
        <f t="shared" si="303"/>
        <v>0</v>
      </c>
      <c r="M810" s="77">
        <f t="shared" si="304"/>
        <v>0</v>
      </c>
      <c r="N810" s="76">
        <f t="shared" si="305"/>
        <v>1.0920000000000001</v>
      </c>
      <c r="O810" s="77">
        <f t="shared" si="306"/>
        <v>0.91564551422319473</v>
      </c>
      <c r="P810" s="76">
        <f t="shared" si="307"/>
        <v>0</v>
      </c>
      <c r="Q810" s="76">
        <f t="shared" si="308"/>
        <v>1</v>
      </c>
      <c r="R810" s="76">
        <f t="shared" si="309"/>
        <v>0</v>
      </c>
      <c r="S810" s="76">
        <f t="shared" si="310"/>
        <v>1.0868314147084006</v>
      </c>
      <c r="T810" s="76">
        <f t="shared" si="311"/>
        <v>1.0359147559699362</v>
      </c>
      <c r="U810" s="76">
        <f t="shared" si="312"/>
        <v>1.0920000000000001</v>
      </c>
    </row>
    <row r="811" spans="1:21" x14ac:dyDescent="0.25">
      <c r="A811" s="71">
        <v>31</v>
      </c>
      <c r="B811" s="72">
        <f t="shared" si="313"/>
        <v>46569</v>
      </c>
      <c r="C811" s="73">
        <f t="shared" si="294"/>
        <v>46599</v>
      </c>
      <c r="D811" s="67">
        <f t="shared" si="295"/>
        <v>31</v>
      </c>
      <c r="E811" s="67">
        <f t="shared" si="296"/>
        <v>7</v>
      </c>
      <c r="F811" s="74">
        <f t="shared" si="297"/>
        <v>46584.5</v>
      </c>
      <c r="G811" s="67">
        <f t="shared" si="298"/>
        <v>24330</v>
      </c>
      <c r="H811" s="75">
        <f t="shared" si="299"/>
        <v>1</v>
      </c>
      <c r="I811" s="76">
        <f t="shared" si="300"/>
        <v>1.0920000000000001</v>
      </c>
      <c r="J811" s="76">
        <f t="shared" si="301"/>
        <v>1.0920000000000001</v>
      </c>
      <c r="K811" s="67">
        <f t="shared" si="302"/>
        <v>0</v>
      </c>
      <c r="L811" s="67">
        <f t="shared" si="303"/>
        <v>0</v>
      </c>
      <c r="M811" s="77">
        <f t="shared" si="304"/>
        <v>0</v>
      </c>
      <c r="N811" s="76">
        <f t="shared" si="305"/>
        <v>1.0920000000000001</v>
      </c>
      <c r="O811" s="77">
        <f t="shared" si="306"/>
        <v>0.91631291028446393</v>
      </c>
      <c r="P811" s="76">
        <f t="shared" si="307"/>
        <v>0</v>
      </c>
      <c r="Q811" s="76">
        <f t="shared" si="308"/>
        <v>0.91666666666666663</v>
      </c>
      <c r="R811" s="76">
        <f t="shared" si="309"/>
        <v>8.333333333333337E-2</v>
      </c>
      <c r="S811" s="76">
        <f t="shared" si="310"/>
        <v>1.0876235848159073</v>
      </c>
      <c r="T811" s="76">
        <f t="shared" si="311"/>
        <v>1.0366764579963847</v>
      </c>
      <c r="U811" s="76">
        <f t="shared" si="312"/>
        <v>1.0920000000000001</v>
      </c>
    </row>
    <row r="812" spans="1:21" x14ac:dyDescent="0.25">
      <c r="A812" s="71">
        <v>32</v>
      </c>
      <c r="B812" s="72">
        <f t="shared" si="313"/>
        <v>46600</v>
      </c>
      <c r="C812" s="73">
        <f t="shared" si="294"/>
        <v>46630</v>
      </c>
      <c r="D812" s="67">
        <f t="shared" si="295"/>
        <v>31</v>
      </c>
      <c r="E812" s="67">
        <f t="shared" si="296"/>
        <v>8</v>
      </c>
      <c r="F812" s="74">
        <f t="shared" si="297"/>
        <v>46615.5</v>
      </c>
      <c r="G812" s="67">
        <f t="shared" si="298"/>
        <v>24331</v>
      </c>
      <c r="H812" s="75">
        <f t="shared" si="299"/>
        <v>1</v>
      </c>
      <c r="I812" s="76">
        <f t="shared" si="300"/>
        <v>1.0920000000000001</v>
      </c>
      <c r="J812" s="76">
        <f t="shared" si="301"/>
        <v>1.0920000000000001</v>
      </c>
      <c r="K812" s="67">
        <f t="shared" si="302"/>
        <v>0</v>
      </c>
      <c r="L812" s="67">
        <f t="shared" si="303"/>
        <v>0</v>
      </c>
      <c r="M812" s="77">
        <f t="shared" si="304"/>
        <v>0</v>
      </c>
      <c r="N812" s="76">
        <f t="shared" si="305"/>
        <v>1.0920000000000001</v>
      </c>
      <c r="O812" s="77">
        <f t="shared" si="306"/>
        <v>0.91699124726477033</v>
      </c>
      <c r="P812" s="76">
        <f t="shared" si="307"/>
        <v>0</v>
      </c>
      <c r="Q812" s="76">
        <f t="shared" si="308"/>
        <v>0.75</v>
      </c>
      <c r="R812" s="76">
        <f t="shared" si="309"/>
        <v>0.25</v>
      </c>
      <c r="S812" s="76">
        <f t="shared" si="310"/>
        <v>1.0884287413186187</v>
      </c>
      <c r="T812" s="76">
        <f t="shared" si="311"/>
        <v>1.0374506469412996</v>
      </c>
      <c r="U812" s="76">
        <f t="shared" si="312"/>
        <v>1.0920000000000001</v>
      </c>
    </row>
    <row r="813" spans="1:21" x14ac:dyDescent="0.25">
      <c r="A813" s="71">
        <v>33</v>
      </c>
      <c r="B813" s="72">
        <f t="shared" si="313"/>
        <v>46631</v>
      </c>
      <c r="C813" s="73">
        <f t="shared" si="294"/>
        <v>46660</v>
      </c>
      <c r="D813" s="67">
        <f t="shared" si="295"/>
        <v>30</v>
      </c>
      <c r="E813" s="67">
        <f t="shared" si="296"/>
        <v>9</v>
      </c>
      <c r="F813" s="74">
        <f t="shared" si="297"/>
        <v>46646</v>
      </c>
      <c r="G813" s="67">
        <f t="shared" si="298"/>
        <v>24332</v>
      </c>
      <c r="H813" s="75">
        <f t="shared" si="299"/>
        <v>1</v>
      </c>
      <c r="I813" s="76">
        <f t="shared" si="300"/>
        <v>1.0920000000000001</v>
      </c>
      <c r="J813" s="76">
        <f t="shared" si="301"/>
        <v>1.0920000000000001</v>
      </c>
      <c r="K813" s="67">
        <f t="shared" si="302"/>
        <v>0</v>
      </c>
      <c r="L813" s="67">
        <f t="shared" si="303"/>
        <v>0</v>
      </c>
      <c r="M813" s="77">
        <f t="shared" si="304"/>
        <v>0</v>
      </c>
      <c r="N813" s="76">
        <f t="shared" si="305"/>
        <v>1.0920000000000001</v>
      </c>
      <c r="O813" s="77">
        <f t="shared" si="306"/>
        <v>0.91765864332603941</v>
      </c>
      <c r="P813" s="76">
        <f t="shared" si="307"/>
        <v>0</v>
      </c>
      <c r="Q813" s="76">
        <f t="shared" si="308"/>
        <v>0.58333333333333337</v>
      </c>
      <c r="R813" s="76">
        <f t="shared" si="309"/>
        <v>0.41666666666666663</v>
      </c>
      <c r="S813" s="76">
        <f t="shared" si="310"/>
        <v>1.0892209114261251</v>
      </c>
      <c r="T813" s="76">
        <f t="shared" si="311"/>
        <v>1.0382123489677482</v>
      </c>
      <c r="U813" s="76">
        <f t="shared" si="312"/>
        <v>1.0920000000000001</v>
      </c>
    </row>
    <row r="814" spans="1:21" x14ac:dyDescent="0.25">
      <c r="A814" s="71">
        <v>34</v>
      </c>
      <c r="B814" s="72">
        <f t="shared" si="313"/>
        <v>46661</v>
      </c>
      <c r="C814" s="73">
        <f t="shared" si="294"/>
        <v>46691</v>
      </c>
      <c r="D814" s="67">
        <f t="shared" si="295"/>
        <v>31</v>
      </c>
      <c r="E814" s="67">
        <f t="shared" si="296"/>
        <v>10</v>
      </c>
      <c r="F814" s="74">
        <f t="shared" si="297"/>
        <v>46676.5</v>
      </c>
      <c r="G814" s="67">
        <f t="shared" si="298"/>
        <v>24333</v>
      </c>
      <c r="H814" s="75">
        <f t="shared" si="299"/>
        <v>1</v>
      </c>
      <c r="I814" s="76">
        <f t="shared" si="300"/>
        <v>1.0920000000000001</v>
      </c>
      <c r="J814" s="76">
        <f t="shared" si="301"/>
        <v>1.0920000000000001</v>
      </c>
      <c r="K814" s="67">
        <f t="shared" si="302"/>
        <v>0</v>
      </c>
      <c r="L814" s="67">
        <f t="shared" si="303"/>
        <v>0</v>
      </c>
      <c r="M814" s="77">
        <f t="shared" si="304"/>
        <v>0</v>
      </c>
      <c r="N814" s="76">
        <f t="shared" si="305"/>
        <v>1.0920000000000001</v>
      </c>
      <c r="O814" s="77">
        <f t="shared" si="306"/>
        <v>0.91832603938730861</v>
      </c>
      <c r="P814" s="76">
        <f t="shared" si="307"/>
        <v>0</v>
      </c>
      <c r="Q814" s="76">
        <f t="shared" si="308"/>
        <v>0.41666666666666669</v>
      </c>
      <c r="R814" s="76">
        <f t="shared" si="309"/>
        <v>0.58333333333333326</v>
      </c>
      <c r="S814" s="76">
        <f t="shared" si="310"/>
        <v>1.0900130815336315</v>
      </c>
      <c r="T814" s="76">
        <f t="shared" si="311"/>
        <v>1.0389740509941965</v>
      </c>
      <c r="U814" s="76">
        <f t="shared" si="312"/>
        <v>1.0920000000000001</v>
      </c>
    </row>
    <row r="815" spans="1:21" x14ac:dyDescent="0.25">
      <c r="A815" s="71">
        <v>35</v>
      </c>
      <c r="B815" s="72">
        <f t="shared" si="313"/>
        <v>46692</v>
      </c>
      <c r="C815" s="73">
        <f t="shared" si="294"/>
        <v>46721</v>
      </c>
      <c r="D815" s="67">
        <f t="shared" si="295"/>
        <v>30</v>
      </c>
      <c r="E815" s="67">
        <f t="shared" si="296"/>
        <v>11</v>
      </c>
      <c r="F815" s="74">
        <f t="shared" si="297"/>
        <v>46707</v>
      </c>
      <c r="G815" s="67">
        <f t="shared" si="298"/>
        <v>24334</v>
      </c>
      <c r="H815" s="75">
        <f t="shared" si="299"/>
        <v>1</v>
      </c>
      <c r="I815" s="76">
        <f t="shared" si="300"/>
        <v>1.0920000000000001</v>
      </c>
      <c r="J815" s="76">
        <f t="shared" si="301"/>
        <v>1.0920000000000001</v>
      </c>
      <c r="K815" s="67">
        <f t="shared" si="302"/>
        <v>0</v>
      </c>
      <c r="L815" s="67">
        <f t="shared" si="303"/>
        <v>0</v>
      </c>
      <c r="M815" s="77">
        <f t="shared" si="304"/>
        <v>0</v>
      </c>
      <c r="N815" s="76">
        <f t="shared" si="305"/>
        <v>1.0920000000000001</v>
      </c>
      <c r="O815" s="77">
        <f t="shared" si="306"/>
        <v>0.9189934354485777</v>
      </c>
      <c r="P815" s="76">
        <f t="shared" si="307"/>
        <v>0</v>
      </c>
      <c r="Q815" s="76">
        <f t="shared" si="308"/>
        <v>0.25</v>
      </c>
      <c r="R815" s="76">
        <f t="shared" si="309"/>
        <v>0.75</v>
      </c>
      <c r="S815" s="76">
        <f t="shared" si="310"/>
        <v>1.090805251641138</v>
      </c>
      <c r="T815" s="76">
        <f t="shared" si="311"/>
        <v>1.039735753020645</v>
      </c>
      <c r="U815" s="76">
        <f t="shared" si="312"/>
        <v>1.0920000000000001</v>
      </c>
    </row>
    <row r="816" spans="1:21" x14ac:dyDescent="0.25">
      <c r="A816" s="71">
        <v>36</v>
      </c>
      <c r="B816" s="72">
        <f t="shared" si="313"/>
        <v>46722</v>
      </c>
      <c r="C816" s="73">
        <f t="shared" si="294"/>
        <v>46752</v>
      </c>
      <c r="D816" s="67">
        <f t="shared" si="295"/>
        <v>31</v>
      </c>
      <c r="E816" s="67">
        <f t="shared" si="296"/>
        <v>12</v>
      </c>
      <c r="F816" s="74">
        <f t="shared" si="297"/>
        <v>46737.5</v>
      </c>
      <c r="G816" s="67">
        <f t="shared" si="298"/>
        <v>24335</v>
      </c>
      <c r="H816" s="75">
        <f t="shared" si="299"/>
        <v>1</v>
      </c>
      <c r="I816" s="76">
        <f t="shared" si="300"/>
        <v>1.0920000000000001</v>
      </c>
      <c r="J816" s="76">
        <f t="shared" si="301"/>
        <v>1.0920000000000001</v>
      </c>
      <c r="K816" s="67">
        <f t="shared" si="302"/>
        <v>0</v>
      </c>
      <c r="L816" s="67">
        <f t="shared" si="303"/>
        <v>0</v>
      </c>
      <c r="M816" s="77">
        <f t="shared" si="304"/>
        <v>0</v>
      </c>
      <c r="N816" s="76">
        <f t="shared" si="305"/>
        <v>1.0920000000000001</v>
      </c>
      <c r="O816" s="77">
        <f t="shared" si="306"/>
        <v>0.9196608315098469</v>
      </c>
      <c r="P816" s="76">
        <f t="shared" si="307"/>
        <v>0</v>
      </c>
      <c r="Q816" s="76">
        <f t="shared" si="308"/>
        <v>8.3333333333333329E-2</v>
      </c>
      <c r="R816" s="76">
        <f t="shared" si="309"/>
        <v>0.91666666666666663</v>
      </c>
      <c r="S816" s="76">
        <f t="shared" si="310"/>
        <v>1.0915974217486444</v>
      </c>
      <c r="T816" s="76">
        <f t="shared" si="311"/>
        <v>1.0404974550470936</v>
      </c>
      <c r="U816" s="76">
        <f t="shared" si="312"/>
        <v>1.0920000000000001</v>
      </c>
    </row>
    <row r="817" spans="1:21" x14ac:dyDescent="0.25">
      <c r="A817" s="71">
        <v>37</v>
      </c>
      <c r="B817" s="72">
        <f t="shared" si="313"/>
        <v>46753</v>
      </c>
      <c r="C817" s="73">
        <f t="shared" si="294"/>
        <v>46783</v>
      </c>
      <c r="D817" s="67">
        <f t="shared" si="295"/>
        <v>31</v>
      </c>
      <c r="E817" s="67">
        <f t="shared" si="296"/>
        <v>1</v>
      </c>
      <c r="F817" s="74">
        <f t="shared" si="297"/>
        <v>46768.5</v>
      </c>
      <c r="G817" s="67">
        <f t="shared" si="298"/>
        <v>24336</v>
      </c>
      <c r="H817" s="75">
        <f t="shared" si="299"/>
        <v>1</v>
      </c>
      <c r="I817" s="76">
        <f t="shared" si="300"/>
        <v>1.0920000000000001</v>
      </c>
      <c r="J817" s="76">
        <f t="shared" si="301"/>
        <v>1.0920000000000001</v>
      </c>
      <c r="K817" s="67">
        <f t="shared" si="302"/>
        <v>0</v>
      </c>
      <c r="L817" s="67">
        <f t="shared" si="303"/>
        <v>0</v>
      </c>
      <c r="M817" s="77">
        <f t="shared" si="304"/>
        <v>0</v>
      </c>
      <c r="N817" s="76">
        <f t="shared" si="305"/>
        <v>1.0920000000000001</v>
      </c>
      <c r="O817" s="77">
        <f t="shared" si="306"/>
        <v>0.92</v>
      </c>
      <c r="P817" s="76">
        <f t="shared" si="307"/>
        <v>0</v>
      </c>
      <c r="Q817" s="76">
        <f t="shared" si="308"/>
        <v>0</v>
      </c>
      <c r="R817" s="76">
        <f t="shared" si="309"/>
        <v>1</v>
      </c>
      <c r="S817" s="76">
        <f t="shared" si="310"/>
        <v>1.0920000000000001</v>
      </c>
      <c r="T817" s="76">
        <f t="shared" si="311"/>
        <v>0.98300589858243748</v>
      </c>
      <c r="U817" s="76">
        <f t="shared" si="312"/>
        <v>1.0920000000000001</v>
      </c>
    </row>
    <row r="818" spans="1:21" x14ac:dyDescent="0.25">
      <c r="A818" s="71">
        <v>38</v>
      </c>
      <c r="B818" s="72">
        <f t="shared" si="313"/>
        <v>46784</v>
      </c>
      <c r="C818" s="73">
        <f t="shared" si="294"/>
        <v>46812</v>
      </c>
      <c r="D818" s="67">
        <f t="shared" si="295"/>
        <v>29</v>
      </c>
      <c r="E818" s="67">
        <f t="shared" si="296"/>
        <v>2</v>
      </c>
      <c r="F818" s="74">
        <f t="shared" si="297"/>
        <v>46798.5</v>
      </c>
      <c r="G818" s="67">
        <f t="shared" si="298"/>
        <v>24337</v>
      </c>
      <c r="H818" s="75">
        <f t="shared" si="299"/>
        <v>1</v>
      </c>
      <c r="I818" s="76">
        <f t="shared" si="300"/>
        <v>1.0920000000000001</v>
      </c>
      <c r="J818" s="76">
        <f t="shared" si="301"/>
        <v>1.0920000000000001</v>
      </c>
      <c r="K818" s="67">
        <f t="shared" si="302"/>
        <v>0</v>
      </c>
      <c r="L818" s="67">
        <f t="shared" si="303"/>
        <v>0</v>
      </c>
      <c r="M818" s="77">
        <f t="shared" si="304"/>
        <v>0</v>
      </c>
      <c r="N818" s="76">
        <f t="shared" si="305"/>
        <v>1.0920000000000001</v>
      </c>
      <c r="O818" s="77">
        <f t="shared" si="306"/>
        <v>0.92</v>
      </c>
      <c r="P818" s="76">
        <f t="shared" si="307"/>
        <v>0</v>
      </c>
      <c r="Q818" s="76">
        <f t="shared" si="308"/>
        <v>0</v>
      </c>
      <c r="R818" s="76">
        <f t="shared" si="309"/>
        <v>1</v>
      </c>
      <c r="S818" s="76">
        <f t="shared" si="310"/>
        <v>1.0920000000000001</v>
      </c>
      <c r="T818" s="76">
        <f t="shared" si="311"/>
        <v>1.0328929217010752</v>
      </c>
      <c r="U818" s="76">
        <f t="shared" si="312"/>
        <v>1.0920000000000001</v>
      </c>
    </row>
    <row r="819" spans="1:21" x14ac:dyDescent="0.25">
      <c r="A819" s="71">
        <v>39</v>
      </c>
      <c r="B819" s="72">
        <f t="shared" si="313"/>
        <v>46813</v>
      </c>
      <c r="C819" s="73">
        <f t="shared" si="294"/>
        <v>46843</v>
      </c>
      <c r="D819" s="67">
        <f t="shared" si="295"/>
        <v>31</v>
      </c>
      <c r="E819" s="67">
        <f t="shared" si="296"/>
        <v>3</v>
      </c>
      <c r="F819" s="74">
        <f t="shared" si="297"/>
        <v>46828.5</v>
      </c>
      <c r="G819" s="67">
        <f t="shared" si="298"/>
        <v>24338</v>
      </c>
      <c r="H819" s="75">
        <f t="shared" si="299"/>
        <v>1</v>
      </c>
      <c r="I819" s="76">
        <f t="shared" si="300"/>
        <v>1.0920000000000001</v>
      </c>
      <c r="J819" s="76">
        <f t="shared" si="301"/>
        <v>1.0920000000000001</v>
      </c>
      <c r="K819" s="67">
        <f t="shared" si="302"/>
        <v>0</v>
      </c>
      <c r="L819" s="67">
        <f t="shared" si="303"/>
        <v>0</v>
      </c>
      <c r="M819" s="77">
        <f t="shared" si="304"/>
        <v>0</v>
      </c>
      <c r="N819" s="76">
        <f t="shared" si="305"/>
        <v>1.0920000000000001</v>
      </c>
      <c r="O819" s="77">
        <f t="shared" si="306"/>
        <v>0.92</v>
      </c>
      <c r="P819" s="76">
        <f t="shared" si="307"/>
        <v>0</v>
      </c>
      <c r="Q819" s="76">
        <f t="shared" si="308"/>
        <v>0</v>
      </c>
      <c r="R819" s="76">
        <f t="shared" si="309"/>
        <v>1</v>
      </c>
      <c r="S819" s="76">
        <f t="shared" si="310"/>
        <v>1.0920000000000001</v>
      </c>
      <c r="T819" s="76">
        <f t="shared" si="311"/>
        <v>1.0336296498905908</v>
      </c>
      <c r="U819" s="76">
        <f t="shared" si="312"/>
        <v>1.0920000000000001</v>
      </c>
    </row>
    <row r="820" spans="1:21" x14ac:dyDescent="0.25">
      <c r="A820" s="71">
        <v>40</v>
      </c>
      <c r="B820" s="72">
        <f t="shared" si="313"/>
        <v>46844</v>
      </c>
      <c r="C820" s="73">
        <f t="shared" si="294"/>
        <v>46873</v>
      </c>
      <c r="D820" s="67">
        <f t="shared" si="295"/>
        <v>30</v>
      </c>
      <c r="E820" s="67">
        <f t="shared" si="296"/>
        <v>4</v>
      </c>
      <c r="F820" s="74">
        <f t="shared" si="297"/>
        <v>46859</v>
      </c>
      <c r="G820" s="67">
        <f t="shared" si="298"/>
        <v>24339</v>
      </c>
      <c r="H820" s="75">
        <f t="shared" si="299"/>
        <v>1</v>
      </c>
      <c r="I820" s="76">
        <f t="shared" si="300"/>
        <v>1.0920000000000001</v>
      </c>
      <c r="J820" s="76">
        <f t="shared" si="301"/>
        <v>1.0920000000000001</v>
      </c>
      <c r="K820" s="67">
        <f t="shared" si="302"/>
        <v>0</v>
      </c>
      <c r="L820" s="67">
        <f t="shared" si="303"/>
        <v>0</v>
      </c>
      <c r="M820" s="77">
        <f t="shared" si="304"/>
        <v>0</v>
      </c>
      <c r="N820" s="76">
        <f t="shared" si="305"/>
        <v>1.0920000000000001</v>
      </c>
      <c r="O820" s="77">
        <f t="shared" si="306"/>
        <v>0.92</v>
      </c>
      <c r="P820" s="76">
        <f t="shared" si="307"/>
        <v>0</v>
      </c>
      <c r="Q820" s="76">
        <f t="shared" si="308"/>
        <v>0</v>
      </c>
      <c r="R820" s="76">
        <f t="shared" si="309"/>
        <v>1</v>
      </c>
      <c r="S820" s="76">
        <f t="shared" si="310"/>
        <v>1.0920000000000001</v>
      </c>
      <c r="T820" s="76">
        <f t="shared" si="311"/>
        <v>1.0343913519170393</v>
      </c>
      <c r="U820" s="76">
        <f t="shared" si="312"/>
        <v>1.0920000000000001</v>
      </c>
    </row>
    <row r="821" spans="1:21" x14ac:dyDescent="0.25">
      <c r="A821" s="71">
        <v>41</v>
      </c>
      <c r="B821" s="72">
        <f t="shared" si="313"/>
        <v>46874</v>
      </c>
      <c r="C821" s="73">
        <f t="shared" si="294"/>
        <v>46904</v>
      </c>
      <c r="D821" s="67">
        <f t="shared" si="295"/>
        <v>31</v>
      </c>
      <c r="E821" s="67">
        <f t="shared" si="296"/>
        <v>5</v>
      </c>
      <c r="F821" s="74">
        <f t="shared" si="297"/>
        <v>46889.5</v>
      </c>
      <c r="G821" s="67">
        <f t="shared" si="298"/>
        <v>24340</v>
      </c>
      <c r="H821" s="75">
        <f t="shared" si="299"/>
        <v>1</v>
      </c>
      <c r="I821" s="76">
        <f t="shared" si="300"/>
        <v>1.0920000000000001</v>
      </c>
      <c r="J821" s="76">
        <f t="shared" si="301"/>
        <v>1.0920000000000001</v>
      </c>
      <c r="K821" s="67">
        <f t="shared" si="302"/>
        <v>0</v>
      </c>
      <c r="L821" s="67">
        <f t="shared" si="303"/>
        <v>0</v>
      </c>
      <c r="M821" s="77">
        <f t="shared" si="304"/>
        <v>0</v>
      </c>
      <c r="N821" s="76">
        <f t="shared" si="305"/>
        <v>1.0920000000000001</v>
      </c>
      <c r="O821" s="77">
        <f t="shared" si="306"/>
        <v>0.92</v>
      </c>
      <c r="P821" s="76">
        <f t="shared" si="307"/>
        <v>0</v>
      </c>
      <c r="Q821" s="76">
        <f t="shared" si="308"/>
        <v>0</v>
      </c>
      <c r="R821" s="76">
        <f t="shared" si="309"/>
        <v>1</v>
      </c>
      <c r="S821" s="76">
        <f t="shared" si="310"/>
        <v>1.0920000000000001</v>
      </c>
      <c r="T821" s="76">
        <f t="shared" si="311"/>
        <v>1.0351530539434879</v>
      </c>
      <c r="U821" s="76">
        <f t="shared" si="312"/>
        <v>1.0920000000000001</v>
      </c>
    </row>
    <row r="822" spans="1:21" x14ac:dyDescent="0.25">
      <c r="A822" s="71">
        <v>42</v>
      </c>
      <c r="B822" s="72">
        <f t="shared" si="313"/>
        <v>46905</v>
      </c>
      <c r="C822" s="73">
        <f t="shared" si="294"/>
        <v>46934</v>
      </c>
      <c r="D822" s="67">
        <f t="shared" si="295"/>
        <v>30</v>
      </c>
      <c r="E822" s="67">
        <f t="shared" si="296"/>
        <v>6</v>
      </c>
      <c r="F822" s="74">
        <f t="shared" si="297"/>
        <v>46920</v>
      </c>
      <c r="G822" s="67">
        <f t="shared" si="298"/>
        <v>24341</v>
      </c>
      <c r="H822" s="75">
        <f t="shared" si="299"/>
        <v>1</v>
      </c>
      <c r="I822" s="76">
        <f t="shared" si="300"/>
        <v>1.0920000000000001</v>
      </c>
      <c r="J822" s="76">
        <f t="shared" si="301"/>
        <v>1.0920000000000001</v>
      </c>
      <c r="K822" s="67">
        <f t="shared" si="302"/>
        <v>0</v>
      </c>
      <c r="L822" s="67">
        <f t="shared" si="303"/>
        <v>0</v>
      </c>
      <c r="M822" s="77">
        <f t="shared" si="304"/>
        <v>0</v>
      </c>
      <c r="N822" s="76">
        <f t="shared" si="305"/>
        <v>1.0920000000000001</v>
      </c>
      <c r="O822" s="77">
        <f t="shared" si="306"/>
        <v>0.92</v>
      </c>
      <c r="P822" s="76">
        <f t="shared" si="307"/>
        <v>0</v>
      </c>
      <c r="Q822" s="76">
        <f t="shared" si="308"/>
        <v>0</v>
      </c>
      <c r="R822" s="76">
        <f t="shared" si="309"/>
        <v>1</v>
      </c>
      <c r="S822" s="76">
        <f t="shared" si="310"/>
        <v>1.0920000000000001</v>
      </c>
      <c r="T822" s="76">
        <f t="shared" si="311"/>
        <v>1.0359147559699362</v>
      </c>
      <c r="U822" s="76">
        <f t="shared" si="312"/>
        <v>1.0920000000000001</v>
      </c>
    </row>
    <row r="823" spans="1:21" x14ac:dyDescent="0.25">
      <c r="A823" s="71">
        <v>43</v>
      </c>
      <c r="B823" s="72">
        <f t="shared" si="313"/>
        <v>46935</v>
      </c>
      <c r="C823" s="73">
        <f t="shared" si="294"/>
        <v>46965</v>
      </c>
      <c r="D823" s="67">
        <f t="shared" si="295"/>
        <v>31</v>
      </c>
      <c r="E823" s="67">
        <f t="shared" si="296"/>
        <v>7</v>
      </c>
      <c r="F823" s="74">
        <f t="shared" si="297"/>
        <v>46950.5</v>
      </c>
      <c r="G823" s="67">
        <f t="shared" si="298"/>
        <v>24342</v>
      </c>
      <c r="H823" s="75">
        <f t="shared" si="299"/>
        <v>1</v>
      </c>
      <c r="I823" s="76">
        <f t="shared" si="300"/>
        <v>1.0920000000000001</v>
      </c>
      <c r="J823" s="76">
        <f t="shared" si="301"/>
        <v>1.0920000000000001</v>
      </c>
      <c r="K823" s="67">
        <f t="shared" si="302"/>
        <v>0</v>
      </c>
      <c r="L823" s="67">
        <f t="shared" si="303"/>
        <v>0</v>
      </c>
      <c r="M823" s="77">
        <f t="shared" si="304"/>
        <v>0</v>
      </c>
      <c r="N823" s="76">
        <f t="shared" si="305"/>
        <v>1.0920000000000001</v>
      </c>
      <c r="O823" s="77">
        <f t="shared" si="306"/>
        <v>0.92</v>
      </c>
      <c r="P823" s="76">
        <f t="shared" si="307"/>
        <v>0</v>
      </c>
      <c r="Q823" s="76">
        <f t="shared" si="308"/>
        <v>0</v>
      </c>
      <c r="R823" s="76">
        <f t="shared" si="309"/>
        <v>0.91666666666666663</v>
      </c>
      <c r="S823" s="76">
        <f t="shared" si="310"/>
        <v>1.0920000000000001</v>
      </c>
      <c r="T823" s="76">
        <f t="shared" si="311"/>
        <v>1.0366764579963847</v>
      </c>
      <c r="U823" s="76">
        <f t="shared" si="312"/>
        <v>1.0920000000000001</v>
      </c>
    </row>
    <row r="824" spans="1:21" x14ac:dyDescent="0.25">
      <c r="A824" s="71">
        <v>44</v>
      </c>
      <c r="B824" s="72">
        <f t="shared" si="313"/>
        <v>46966</v>
      </c>
      <c r="C824" s="73">
        <f t="shared" si="294"/>
        <v>46996</v>
      </c>
      <c r="D824" s="67">
        <f t="shared" si="295"/>
        <v>31</v>
      </c>
      <c r="E824" s="67">
        <f t="shared" si="296"/>
        <v>8</v>
      </c>
      <c r="F824" s="74">
        <f t="shared" si="297"/>
        <v>46981.5</v>
      </c>
      <c r="G824" s="67">
        <f t="shared" si="298"/>
        <v>24343</v>
      </c>
      <c r="H824" s="75">
        <f t="shared" si="299"/>
        <v>1</v>
      </c>
      <c r="I824" s="76">
        <f t="shared" si="300"/>
        <v>1.0920000000000001</v>
      </c>
      <c r="J824" s="76">
        <f t="shared" si="301"/>
        <v>1.0920000000000001</v>
      </c>
      <c r="K824" s="67">
        <f t="shared" si="302"/>
        <v>0</v>
      </c>
      <c r="L824" s="67">
        <f t="shared" si="303"/>
        <v>0</v>
      </c>
      <c r="M824" s="77">
        <f t="shared" si="304"/>
        <v>0</v>
      </c>
      <c r="N824" s="76">
        <f t="shared" si="305"/>
        <v>1.0920000000000001</v>
      </c>
      <c r="O824" s="77">
        <f t="shared" si="306"/>
        <v>0.92</v>
      </c>
      <c r="P824" s="76">
        <f t="shared" si="307"/>
        <v>0</v>
      </c>
      <c r="Q824" s="76">
        <f t="shared" si="308"/>
        <v>0</v>
      </c>
      <c r="R824" s="76">
        <f t="shared" si="309"/>
        <v>0.75</v>
      </c>
      <c r="S824" s="76">
        <f t="shared" si="310"/>
        <v>1.0920000000000001</v>
      </c>
      <c r="T824" s="76">
        <f t="shared" si="311"/>
        <v>1.0374506469412996</v>
      </c>
      <c r="U824" s="76">
        <f t="shared" si="312"/>
        <v>1.0920000000000001</v>
      </c>
    </row>
    <row r="825" spans="1:21" x14ac:dyDescent="0.25">
      <c r="A825" s="71">
        <v>45</v>
      </c>
      <c r="B825" s="72">
        <f t="shared" si="313"/>
        <v>46997</v>
      </c>
      <c r="C825" s="73">
        <f t="shared" si="294"/>
        <v>47026</v>
      </c>
      <c r="D825" s="67">
        <f t="shared" si="295"/>
        <v>30</v>
      </c>
      <c r="E825" s="67">
        <f t="shared" si="296"/>
        <v>9</v>
      </c>
      <c r="F825" s="74">
        <f t="shared" si="297"/>
        <v>47012</v>
      </c>
      <c r="G825" s="67">
        <f t="shared" si="298"/>
        <v>24344</v>
      </c>
      <c r="H825" s="75">
        <f t="shared" si="299"/>
        <v>1</v>
      </c>
      <c r="I825" s="76">
        <f t="shared" si="300"/>
        <v>1.0920000000000001</v>
      </c>
      <c r="J825" s="76">
        <f t="shared" si="301"/>
        <v>1.0920000000000001</v>
      </c>
      <c r="K825" s="67">
        <f t="shared" si="302"/>
        <v>0</v>
      </c>
      <c r="L825" s="67">
        <f t="shared" si="303"/>
        <v>0</v>
      </c>
      <c r="M825" s="77">
        <f t="shared" si="304"/>
        <v>0</v>
      </c>
      <c r="N825" s="76">
        <f t="shared" si="305"/>
        <v>1.0920000000000001</v>
      </c>
      <c r="O825" s="77">
        <f t="shared" si="306"/>
        <v>0.92</v>
      </c>
      <c r="P825" s="76">
        <f t="shared" si="307"/>
        <v>0</v>
      </c>
      <c r="Q825" s="76">
        <f t="shared" si="308"/>
        <v>0</v>
      </c>
      <c r="R825" s="76">
        <f t="shared" si="309"/>
        <v>0.58333333333333337</v>
      </c>
      <c r="S825" s="76">
        <f t="shared" si="310"/>
        <v>1.0920000000000001</v>
      </c>
      <c r="T825" s="76">
        <f t="shared" si="311"/>
        <v>1.0382123489677482</v>
      </c>
      <c r="U825" s="76">
        <f t="shared" si="312"/>
        <v>1.0920000000000001</v>
      </c>
    </row>
    <row r="826" spans="1:21" x14ac:dyDescent="0.25">
      <c r="A826" s="71">
        <v>46</v>
      </c>
      <c r="B826" s="72">
        <f t="shared" si="313"/>
        <v>47027</v>
      </c>
      <c r="C826" s="73">
        <f t="shared" si="294"/>
        <v>47057</v>
      </c>
      <c r="D826" s="67">
        <f t="shared" si="295"/>
        <v>31</v>
      </c>
      <c r="E826" s="67">
        <f t="shared" si="296"/>
        <v>10</v>
      </c>
      <c r="F826" s="74">
        <f t="shared" si="297"/>
        <v>47042.5</v>
      </c>
      <c r="G826" s="67">
        <f t="shared" si="298"/>
        <v>24345</v>
      </c>
      <c r="H826" s="75">
        <f t="shared" si="299"/>
        <v>1</v>
      </c>
      <c r="I826" s="76">
        <f t="shared" si="300"/>
        <v>1.0920000000000001</v>
      </c>
      <c r="J826" s="76">
        <f t="shared" si="301"/>
        <v>1.0920000000000001</v>
      </c>
      <c r="K826" s="67">
        <f t="shared" si="302"/>
        <v>0</v>
      </c>
      <c r="L826" s="67">
        <f t="shared" si="303"/>
        <v>0</v>
      </c>
      <c r="M826" s="77">
        <f t="shared" si="304"/>
        <v>0</v>
      </c>
      <c r="N826" s="76">
        <f t="shared" si="305"/>
        <v>1.0920000000000001</v>
      </c>
      <c r="O826" s="77">
        <f t="shared" si="306"/>
        <v>0.92</v>
      </c>
      <c r="P826" s="76">
        <f t="shared" si="307"/>
        <v>0</v>
      </c>
      <c r="Q826" s="76">
        <f t="shared" si="308"/>
        <v>0</v>
      </c>
      <c r="R826" s="76">
        <f t="shared" si="309"/>
        <v>0.41666666666666669</v>
      </c>
      <c r="S826" s="76">
        <f t="shared" si="310"/>
        <v>1.0920000000000001</v>
      </c>
      <c r="T826" s="76">
        <f t="shared" si="311"/>
        <v>1.0389740509941965</v>
      </c>
      <c r="U826" s="76">
        <f t="shared" si="312"/>
        <v>1.0920000000000001</v>
      </c>
    </row>
    <row r="827" spans="1:21" x14ac:dyDescent="0.25">
      <c r="A827" s="71">
        <v>47</v>
      </c>
      <c r="B827" s="72">
        <f t="shared" si="313"/>
        <v>47058</v>
      </c>
      <c r="C827" s="73">
        <f t="shared" si="294"/>
        <v>47087</v>
      </c>
      <c r="D827" s="67">
        <f t="shared" si="295"/>
        <v>30</v>
      </c>
      <c r="E827" s="67">
        <f t="shared" si="296"/>
        <v>11</v>
      </c>
      <c r="F827" s="74">
        <f t="shared" si="297"/>
        <v>47073</v>
      </c>
      <c r="G827" s="67">
        <f t="shared" si="298"/>
        <v>24346</v>
      </c>
      <c r="H827" s="75">
        <f t="shared" si="299"/>
        <v>1</v>
      </c>
      <c r="I827" s="76">
        <f t="shared" si="300"/>
        <v>1.0920000000000001</v>
      </c>
      <c r="J827" s="76">
        <f t="shared" si="301"/>
        <v>1.0920000000000001</v>
      </c>
      <c r="K827" s="67">
        <f t="shared" si="302"/>
        <v>0</v>
      </c>
      <c r="L827" s="67">
        <f t="shared" si="303"/>
        <v>0</v>
      </c>
      <c r="M827" s="77">
        <f t="shared" si="304"/>
        <v>0</v>
      </c>
      <c r="N827" s="76">
        <f t="shared" si="305"/>
        <v>1.0920000000000001</v>
      </c>
      <c r="O827" s="77">
        <f t="shared" si="306"/>
        <v>0.92</v>
      </c>
      <c r="P827" s="76">
        <f t="shared" si="307"/>
        <v>0</v>
      </c>
      <c r="Q827" s="76">
        <f t="shared" si="308"/>
        <v>0</v>
      </c>
      <c r="R827" s="76">
        <f t="shared" si="309"/>
        <v>0.25</v>
      </c>
      <c r="S827" s="76">
        <f t="shared" si="310"/>
        <v>1.0920000000000001</v>
      </c>
      <c r="T827" s="76">
        <f t="shared" si="311"/>
        <v>1.039735753020645</v>
      </c>
      <c r="U827" s="76">
        <f t="shared" si="312"/>
        <v>1.0920000000000001</v>
      </c>
    </row>
    <row r="828" spans="1:21" x14ac:dyDescent="0.25">
      <c r="A828" s="71">
        <v>48</v>
      </c>
      <c r="B828" s="72">
        <f t="shared" si="313"/>
        <v>47088</v>
      </c>
      <c r="C828" s="73">
        <f t="shared" si="294"/>
        <v>47118</v>
      </c>
      <c r="D828" s="67">
        <f t="shared" si="295"/>
        <v>31</v>
      </c>
      <c r="E828" s="67">
        <f t="shared" si="296"/>
        <v>12</v>
      </c>
      <c r="F828" s="74">
        <f t="shared" si="297"/>
        <v>47103.5</v>
      </c>
      <c r="G828" s="67">
        <f t="shared" si="298"/>
        <v>24347</v>
      </c>
      <c r="H828" s="75">
        <f t="shared" si="299"/>
        <v>1</v>
      </c>
      <c r="I828" s="76">
        <f t="shared" si="300"/>
        <v>1.0920000000000001</v>
      </c>
      <c r="J828" s="76">
        <f t="shared" si="301"/>
        <v>1.0920000000000001</v>
      </c>
      <c r="K828" s="67">
        <f t="shared" si="302"/>
        <v>0</v>
      </c>
      <c r="L828" s="67">
        <f t="shared" si="303"/>
        <v>0</v>
      </c>
      <c r="M828" s="77">
        <f t="shared" si="304"/>
        <v>0</v>
      </c>
      <c r="N828" s="76">
        <f t="shared" si="305"/>
        <v>1.0920000000000001</v>
      </c>
      <c r="O828" s="77">
        <f t="shared" si="306"/>
        <v>0.92</v>
      </c>
      <c r="P828" s="76">
        <f t="shared" si="307"/>
        <v>0</v>
      </c>
      <c r="Q828" s="76">
        <f t="shared" si="308"/>
        <v>0</v>
      </c>
      <c r="R828" s="76">
        <f t="shared" si="309"/>
        <v>8.3333333333333329E-2</v>
      </c>
      <c r="S828" s="76">
        <f t="shared" si="310"/>
        <v>1.0920000000000001</v>
      </c>
      <c r="T828" s="76">
        <f t="shared" si="311"/>
        <v>1.0404974550470936</v>
      </c>
      <c r="U828" s="76">
        <f t="shared" si="312"/>
        <v>1.0920000000000001</v>
      </c>
    </row>
    <row r="829" spans="1:21" x14ac:dyDescent="0.25">
      <c r="A829" s="81" t="s">
        <v>1187</v>
      </c>
      <c r="B829" s="53">
        <f>EXP(SUMPRODUCT((rl_key=$A$778)*(rl_cons="Y")*rl_ln1p))</f>
        <v>1.05</v>
      </c>
      <c r="C829" s="53">
        <f>SUMPRODUCT($H$781:$H$828,$P$781:$P$828,$U$781:$U$828)/SUMPRODUCT($H$781:$H$828,$P$781:$P$828)</f>
        <v>1.0333333333333334</v>
      </c>
      <c r="D829" s="53">
        <f>SUMPRODUCT($H$781:$H$828,$Q$781:$Q$828,$U$781:$U$828)/SUMPRODUCT($H$781:$H$828,$Q$781:$Q$828)</f>
        <v>1.071</v>
      </c>
      <c r="E829" s="53">
        <f>SUMPRODUCT($H$781:$H$828,$R$781:$R$828,$U$781:$U$828)/SUMPRODUCT($H$781:$H$828,$R$781:$R$828)</f>
        <v>1.0920000000000003</v>
      </c>
      <c r="F829" s="172">
        <f>SUMPRODUCT($H$781:$H$828,$Q$781:$Q$828,$O$781:$O$828)/SUMPRODUCT($H$781:$H$828,$Q$781:$Q$828)</f>
        <v>0.91399252370532447</v>
      </c>
      <c r="G829" s="172">
        <f>SUMPRODUCT($H$781:$H$828,$R$781:$R$828,$O$781:$O$828)/SUMPRODUCT($H$781:$H$828,$R$781:$R$828)</f>
        <v>0.91966022368101141</v>
      </c>
    </row>
    <row r="832" spans="1:21" x14ac:dyDescent="0.25">
      <c r="A832" s="81" t="str">
        <f>INDEX(lr_key,15)</f>
        <v>BU-A|NC</v>
      </c>
      <c r="B832" s="81" t="str">
        <f>INDEX(lr_state,15)</f>
        <v>NC</v>
      </c>
      <c r="C832" s="55">
        <f>nr_TermMonths</f>
        <v>6</v>
      </c>
      <c r="D832" s="55">
        <f>IF(COUNTIF(se_state,$B832)=0,0,MATCH($B832,se_state,0))</f>
        <v>0</v>
      </c>
      <c r="E832" s="57">
        <f>IF($D832=0,0,INDEX(se_sum,$D832))</f>
        <v>0</v>
      </c>
      <c r="F832" s="172">
        <f>IF(N(INDEX(lr_mind,15))=0,1,INDEX(lr_mind,15))</f>
        <v>0.92</v>
      </c>
      <c r="G832" s="172">
        <f>IF(N(INDEX(lr_m0,15))=0,1,INDEX(lr_m0,15))</f>
        <v>0.91</v>
      </c>
      <c r="H832" s="54">
        <f>IF(N(INDEX(lr_m0asof,15))=0,DATE(nr_PlanYear-1,10,1),INDEX(lr_m0asof,15))</f>
        <v>46295</v>
      </c>
      <c r="I832" s="172">
        <f>IF(N(INDEX(lr_m1,15))=0,1,INDEX(lr_m1,15))</f>
        <v>0.9</v>
      </c>
      <c r="J832" s="172">
        <f>INDEX(lr_mprior,15)</f>
        <v>0</v>
      </c>
      <c r="K832" s="172">
        <f>INDEX(lr_m2,15)</f>
        <v>0</v>
      </c>
      <c r="L832" s="81" t="b">
        <f>NOT(ISBLANK(INDEX(lr_netp,15)))</f>
        <v>0</v>
      </c>
      <c r="M832" s="52">
        <f>N(INDEX(lr_netp,15))</f>
        <v>0</v>
      </c>
      <c r="N832" s="52">
        <f>IF(ISBLANK(INDEX(lr_netp1,15)),$M$832,N(INDEX(lr_netp1,15)))</f>
        <v>0</v>
      </c>
      <c r="O832" s="55">
        <f>IF(AND(nr_ModAdjMaster="ON",INDEX(lr_modadj,15)="ON"),1,0)</f>
        <v>1</v>
      </c>
    </row>
    <row r="833" spans="1:21" x14ac:dyDescent="0.25">
      <c r="A833" s="81">
        <f>EDATE($H$832,-12)+1</f>
        <v>45931</v>
      </c>
      <c r="B833" s="81">
        <f>$H$832+1</f>
        <v>46296</v>
      </c>
      <c r="C833" s="81">
        <f>DATE(nr_PlanYear,12,31)+1</f>
        <v>46753</v>
      </c>
      <c r="D833" s="81">
        <f>DATE(nr_PlanYear+1,12,31)+1</f>
        <v>47119</v>
      </c>
      <c r="E833" s="81">
        <f>IF(N($J$832)=0,$F$833-($G$833-$F$833)/($C$833-$B$833)*($B$833-$A$833),$J$832)</f>
        <v>0.91798687089715536</v>
      </c>
      <c r="F833" s="81">
        <f>$G$832</f>
        <v>0.91</v>
      </c>
      <c r="G833" s="81">
        <f>$I$832</f>
        <v>0.9</v>
      </c>
      <c r="H833" s="81">
        <f>IF(N($K$832)=0,$I$832,$K$832)</f>
        <v>0.9</v>
      </c>
      <c r="I833" s="81">
        <f>($F$833-$E$833)/($B$833-$A$833)</f>
        <v>-2.1881838074398162E-5</v>
      </c>
      <c r="J833" s="81">
        <f>($G$833-$F$833)/($C$833-$B$833)</f>
        <v>-2.188183807439827E-5</v>
      </c>
      <c r="K833" s="81">
        <f>($H$833-$G$833)/($D$833-$C$833)</f>
        <v>0</v>
      </c>
    </row>
    <row r="834" spans="1:21" ht="36" x14ac:dyDescent="0.25">
      <c r="A834" s="50" t="s">
        <v>211</v>
      </c>
      <c r="B834" s="50" t="s">
        <v>212</v>
      </c>
      <c r="C834" s="50" t="s">
        <v>213</v>
      </c>
      <c r="D834" s="50" t="s">
        <v>214</v>
      </c>
      <c r="E834" s="50" t="s">
        <v>215</v>
      </c>
      <c r="F834" s="50" t="s">
        <v>216</v>
      </c>
      <c r="G834" s="50" t="s">
        <v>217</v>
      </c>
      <c r="H834" s="50" t="s">
        <v>218</v>
      </c>
      <c r="I834" s="50" t="s">
        <v>219</v>
      </c>
      <c r="J834" s="50" t="s">
        <v>220</v>
      </c>
      <c r="K834" s="50" t="s">
        <v>221</v>
      </c>
      <c r="L834" s="50" t="s">
        <v>222</v>
      </c>
      <c r="M834" s="50" t="s">
        <v>223</v>
      </c>
      <c r="N834" s="50" t="s">
        <v>224</v>
      </c>
      <c r="O834" s="50" t="s">
        <v>225</v>
      </c>
      <c r="P834" s="50" t="s">
        <v>226</v>
      </c>
      <c r="Q834" s="50" t="s">
        <v>227</v>
      </c>
      <c r="R834" s="50" t="s">
        <v>228</v>
      </c>
      <c r="S834" s="50" t="s">
        <v>229</v>
      </c>
      <c r="T834" s="50" t="s">
        <v>230</v>
      </c>
      <c r="U834" s="50" t="s">
        <v>231</v>
      </c>
    </row>
    <row r="835" spans="1:21" x14ac:dyDescent="0.25">
      <c r="A835" s="71">
        <v>1</v>
      </c>
      <c r="B835" s="72">
        <f>DATE(nr_PlanYear-2,1,1)</f>
        <v>45658</v>
      </c>
      <c r="C835" s="73">
        <f t="shared" ref="C835:C882" si="314">EOMONTH($B835,0)</f>
        <v>45688</v>
      </c>
      <c r="D835" s="67">
        <f t="shared" ref="D835:D882" si="315">$C835-$B835+1</f>
        <v>31</v>
      </c>
      <c r="E835" s="67">
        <f t="shared" ref="E835:E882" si="316">MONTH($B835)</f>
        <v>1</v>
      </c>
      <c r="F835" s="74">
        <f t="shared" ref="F835:F882" si="317">($B835+$C835+1)/2</f>
        <v>45673.5</v>
      </c>
      <c r="G835" s="67">
        <f t="shared" ref="G835:G882" si="318">YEAR($B835)*12+MONTH($B835)-1</f>
        <v>24300</v>
      </c>
      <c r="H835" s="75">
        <f t="shared" ref="H835:H882" si="319">IF(OR(nr_SeasonOn="OFF",$D$832=0,$E$832=0),1,12*INDEX(se_block,$D$832,$E835)/$E$832)</f>
        <v>1</v>
      </c>
      <c r="I835" s="76">
        <f t="shared" ref="I835:I882" si="320">EXP(SUMPRODUCT((rl_eff&lt;$B835)*(rl_key=$A$832)*rl_ln1p))</f>
        <v>1</v>
      </c>
      <c r="J835" s="76">
        <f t="shared" ref="J835:J882" si="321">EXP(SUMPRODUCT((rl_eff&lt;=$C835)*(rl_key=$A$832)*rl_ln1p))</f>
        <v>1</v>
      </c>
      <c r="K835" s="67">
        <f t="shared" ref="K835:K882" si="322">COUNTIFS(rl_key,$A$832,rl_eff,"&gt;="&amp;$B835,rl_eff,"&lt;="&amp;$C835)</f>
        <v>0</v>
      </c>
      <c r="L835" s="67">
        <f t="shared" ref="L835:L882" si="323">SUMIFS(rl_daysafter,rl_key,$A$832,rl_effmonth,$B835,rl_first,1)</f>
        <v>0</v>
      </c>
      <c r="M835" s="77">
        <f t="shared" ref="M835:M882" si="324">IF($K835=0,0,MIN(1,$L835/$D835))</f>
        <v>0</v>
      </c>
      <c r="N835" s="76">
        <f t="shared" ref="N835:N882" si="325">IF($K835=0,$J835,(1-$M835)*$I835+$M835*$J835)</f>
        <v>1</v>
      </c>
      <c r="O835" s="77">
        <f t="shared" ref="O835:O882" si="326">IF($F835&lt;$B$833,$E$833+$I$833*($F835-$A$833),IF($F835&lt;$C$833,$F$833+$J$833*($F835-$B$833),$G$833+$K$833*($F835-$C$833)))</f>
        <v>0.92362144420131287</v>
      </c>
      <c r="P835" s="76">
        <f t="shared" ref="P835:P882" si="327">MIN(1,MAX(0,(nr_MEndPm1-$G835+0.5)/$C$832))-MIN(1,MAX(0,(nr_MStartPm1-1-$G835+0.5)/$C$832))</f>
        <v>0</v>
      </c>
      <c r="Q835" s="76">
        <f t="shared" ref="Q835:Q882" si="328">MIN(1,MAX(0,(nr_MEndP-$G835+0.5)/$C$832))-MIN(1,MAX(0,(nr_MStartP-1-$G835+0.5)/$C$832))</f>
        <v>0</v>
      </c>
      <c r="R835" s="76">
        <f t="shared" ref="R835:R882" si="329">MIN(1,MAX(0,(nr_MEndP1-$G835+0.5)/$C$832))-MIN(1,MAX(0,(nr_MStartP1-1-$G835+0.5)/$C$832))</f>
        <v>0</v>
      </c>
      <c r="S835" s="76">
        <f t="shared" ref="S835:S882" si="330">$N835*IF($O$832=1,$O835/$F$832,1)</f>
        <v>1.0039363523927314</v>
      </c>
      <c r="T835" s="76">
        <f t="shared" ref="T835:T882" si="331">IF($G835&lt;nr_MStartP,$S835,$T823*(1+IF($G835&lt;nr_MStartP1,$M$832,$N$832)))</f>
        <v>1.0039363523927314</v>
      </c>
      <c r="U835" s="76">
        <f t="shared" ref="U835:U882" si="332">IF($L$832,$T835,$N835)</f>
        <v>1</v>
      </c>
    </row>
    <row r="836" spans="1:21" x14ac:dyDescent="0.25">
      <c r="A836" s="71">
        <v>2</v>
      </c>
      <c r="B836" s="72">
        <f t="shared" ref="B836:B882" si="333">EDATE($B835,1)</f>
        <v>45689</v>
      </c>
      <c r="C836" s="73">
        <f t="shared" si="314"/>
        <v>45716</v>
      </c>
      <c r="D836" s="67">
        <f t="shared" si="315"/>
        <v>28</v>
      </c>
      <c r="E836" s="67">
        <f t="shared" si="316"/>
        <v>2</v>
      </c>
      <c r="F836" s="74">
        <f t="shared" si="317"/>
        <v>45703</v>
      </c>
      <c r="G836" s="67">
        <f t="shared" si="318"/>
        <v>24301</v>
      </c>
      <c r="H836" s="75">
        <f t="shared" si="319"/>
        <v>1</v>
      </c>
      <c r="I836" s="76">
        <f t="shared" si="320"/>
        <v>1</v>
      </c>
      <c r="J836" s="76">
        <f t="shared" si="321"/>
        <v>1</v>
      </c>
      <c r="K836" s="67">
        <f t="shared" si="322"/>
        <v>0</v>
      </c>
      <c r="L836" s="67">
        <f t="shared" si="323"/>
        <v>0</v>
      </c>
      <c r="M836" s="77">
        <f t="shared" si="324"/>
        <v>0</v>
      </c>
      <c r="N836" s="76">
        <f t="shared" si="325"/>
        <v>1</v>
      </c>
      <c r="O836" s="77">
        <f t="shared" si="326"/>
        <v>0.92297592997811817</v>
      </c>
      <c r="P836" s="76">
        <f t="shared" si="327"/>
        <v>0</v>
      </c>
      <c r="Q836" s="76">
        <f t="shared" si="328"/>
        <v>0</v>
      </c>
      <c r="R836" s="76">
        <f t="shared" si="329"/>
        <v>0</v>
      </c>
      <c r="S836" s="76">
        <f t="shared" si="330"/>
        <v>1.0032347064979545</v>
      </c>
      <c r="T836" s="76">
        <f t="shared" si="331"/>
        <v>1.0032347064979545</v>
      </c>
      <c r="U836" s="76">
        <f t="shared" si="332"/>
        <v>1</v>
      </c>
    </row>
    <row r="837" spans="1:21" x14ac:dyDescent="0.25">
      <c r="A837" s="71">
        <v>3</v>
      </c>
      <c r="B837" s="72">
        <f t="shared" si="333"/>
        <v>45717</v>
      </c>
      <c r="C837" s="73">
        <f t="shared" si="314"/>
        <v>45747</v>
      </c>
      <c r="D837" s="67">
        <f t="shared" si="315"/>
        <v>31</v>
      </c>
      <c r="E837" s="67">
        <f t="shared" si="316"/>
        <v>3</v>
      </c>
      <c r="F837" s="74">
        <f t="shared" si="317"/>
        <v>45732.5</v>
      </c>
      <c r="G837" s="67">
        <f t="shared" si="318"/>
        <v>24302</v>
      </c>
      <c r="H837" s="75">
        <f t="shared" si="319"/>
        <v>1</v>
      </c>
      <c r="I837" s="76">
        <f t="shared" si="320"/>
        <v>1</v>
      </c>
      <c r="J837" s="76">
        <f t="shared" si="321"/>
        <v>1</v>
      </c>
      <c r="K837" s="67">
        <f t="shared" si="322"/>
        <v>0</v>
      </c>
      <c r="L837" s="67">
        <f t="shared" si="323"/>
        <v>0</v>
      </c>
      <c r="M837" s="77">
        <f t="shared" si="324"/>
        <v>0</v>
      </c>
      <c r="N837" s="76">
        <f t="shared" si="325"/>
        <v>1</v>
      </c>
      <c r="O837" s="77">
        <f t="shared" si="326"/>
        <v>0.92233041575492336</v>
      </c>
      <c r="P837" s="76">
        <f t="shared" si="327"/>
        <v>0</v>
      </c>
      <c r="Q837" s="76">
        <f t="shared" si="328"/>
        <v>0</v>
      </c>
      <c r="R837" s="76">
        <f t="shared" si="329"/>
        <v>0</v>
      </c>
      <c r="S837" s="76">
        <f t="shared" si="330"/>
        <v>1.0025330606031775</v>
      </c>
      <c r="T837" s="76">
        <f t="shared" si="331"/>
        <v>1.0025330606031775</v>
      </c>
      <c r="U837" s="76">
        <f t="shared" si="332"/>
        <v>1</v>
      </c>
    </row>
    <row r="838" spans="1:21" x14ac:dyDescent="0.25">
      <c r="A838" s="71">
        <v>4</v>
      </c>
      <c r="B838" s="72">
        <f t="shared" si="333"/>
        <v>45748</v>
      </c>
      <c r="C838" s="73">
        <f t="shared" si="314"/>
        <v>45777</v>
      </c>
      <c r="D838" s="67">
        <f t="shared" si="315"/>
        <v>30</v>
      </c>
      <c r="E838" s="67">
        <f t="shared" si="316"/>
        <v>4</v>
      </c>
      <c r="F838" s="74">
        <f t="shared" si="317"/>
        <v>45763</v>
      </c>
      <c r="G838" s="67">
        <f t="shared" si="318"/>
        <v>24303</v>
      </c>
      <c r="H838" s="75">
        <f t="shared" si="319"/>
        <v>1</v>
      </c>
      <c r="I838" s="76">
        <f t="shared" si="320"/>
        <v>1</v>
      </c>
      <c r="J838" s="76">
        <f t="shared" si="321"/>
        <v>1</v>
      </c>
      <c r="K838" s="67">
        <f t="shared" si="322"/>
        <v>0</v>
      </c>
      <c r="L838" s="67">
        <f t="shared" si="323"/>
        <v>0</v>
      </c>
      <c r="M838" s="77">
        <f t="shared" si="324"/>
        <v>0</v>
      </c>
      <c r="N838" s="76">
        <f t="shared" si="325"/>
        <v>1</v>
      </c>
      <c r="O838" s="77">
        <f t="shared" si="326"/>
        <v>0.92166301969365427</v>
      </c>
      <c r="P838" s="76">
        <f t="shared" si="327"/>
        <v>0</v>
      </c>
      <c r="Q838" s="76">
        <f t="shared" si="328"/>
        <v>0</v>
      </c>
      <c r="R838" s="76">
        <f t="shared" si="329"/>
        <v>0</v>
      </c>
      <c r="S838" s="76">
        <f t="shared" si="330"/>
        <v>1.0018076301017982</v>
      </c>
      <c r="T838" s="76">
        <f t="shared" si="331"/>
        <v>1.0018076301017982</v>
      </c>
      <c r="U838" s="76">
        <f t="shared" si="332"/>
        <v>1</v>
      </c>
    </row>
    <row r="839" spans="1:21" x14ac:dyDescent="0.25">
      <c r="A839" s="71">
        <v>5</v>
      </c>
      <c r="B839" s="72">
        <f t="shared" si="333"/>
        <v>45778</v>
      </c>
      <c r="C839" s="73">
        <f t="shared" si="314"/>
        <v>45808</v>
      </c>
      <c r="D839" s="67">
        <f t="shared" si="315"/>
        <v>31</v>
      </c>
      <c r="E839" s="67">
        <f t="shared" si="316"/>
        <v>5</v>
      </c>
      <c r="F839" s="74">
        <f t="shared" si="317"/>
        <v>45793.5</v>
      </c>
      <c r="G839" s="67">
        <f t="shared" si="318"/>
        <v>24304</v>
      </c>
      <c r="H839" s="75">
        <f t="shared" si="319"/>
        <v>1</v>
      </c>
      <c r="I839" s="76">
        <f t="shared" si="320"/>
        <v>1</v>
      </c>
      <c r="J839" s="76">
        <f t="shared" si="321"/>
        <v>1</v>
      </c>
      <c r="K839" s="67">
        <f t="shared" si="322"/>
        <v>0</v>
      </c>
      <c r="L839" s="67">
        <f t="shared" si="323"/>
        <v>0</v>
      </c>
      <c r="M839" s="77">
        <f t="shared" si="324"/>
        <v>0</v>
      </c>
      <c r="N839" s="76">
        <f t="shared" si="325"/>
        <v>1</v>
      </c>
      <c r="O839" s="77">
        <f t="shared" si="326"/>
        <v>0.92099562363238507</v>
      </c>
      <c r="P839" s="76">
        <f t="shared" si="327"/>
        <v>0</v>
      </c>
      <c r="Q839" s="76">
        <f t="shared" si="328"/>
        <v>0</v>
      </c>
      <c r="R839" s="76">
        <f t="shared" si="329"/>
        <v>0</v>
      </c>
      <c r="S839" s="76">
        <f t="shared" si="330"/>
        <v>1.0010821996004184</v>
      </c>
      <c r="T839" s="76">
        <f t="shared" si="331"/>
        <v>1.0010821996004184</v>
      </c>
      <c r="U839" s="76">
        <f t="shared" si="332"/>
        <v>1</v>
      </c>
    </row>
    <row r="840" spans="1:21" x14ac:dyDescent="0.25">
      <c r="A840" s="71">
        <v>6</v>
      </c>
      <c r="B840" s="72">
        <f t="shared" si="333"/>
        <v>45809</v>
      </c>
      <c r="C840" s="73">
        <f t="shared" si="314"/>
        <v>45838</v>
      </c>
      <c r="D840" s="67">
        <f t="shared" si="315"/>
        <v>30</v>
      </c>
      <c r="E840" s="67">
        <f t="shared" si="316"/>
        <v>6</v>
      </c>
      <c r="F840" s="74">
        <f t="shared" si="317"/>
        <v>45824</v>
      </c>
      <c r="G840" s="67">
        <f t="shared" si="318"/>
        <v>24305</v>
      </c>
      <c r="H840" s="75">
        <f t="shared" si="319"/>
        <v>1</v>
      </c>
      <c r="I840" s="76">
        <f t="shared" si="320"/>
        <v>1</v>
      </c>
      <c r="J840" s="76">
        <f t="shared" si="321"/>
        <v>1</v>
      </c>
      <c r="K840" s="67">
        <f t="shared" si="322"/>
        <v>0</v>
      </c>
      <c r="L840" s="67">
        <f t="shared" si="323"/>
        <v>0</v>
      </c>
      <c r="M840" s="77">
        <f t="shared" si="324"/>
        <v>0</v>
      </c>
      <c r="N840" s="76">
        <f t="shared" si="325"/>
        <v>1</v>
      </c>
      <c r="O840" s="77">
        <f t="shared" si="326"/>
        <v>0.92032822757111599</v>
      </c>
      <c r="P840" s="76">
        <f t="shared" si="327"/>
        <v>0</v>
      </c>
      <c r="Q840" s="76">
        <f t="shared" si="328"/>
        <v>0</v>
      </c>
      <c r="R840" s="76">
        <f t="shared" si="329"/>
        <v>0</v>
      </c>
      <c r="S840" s="76">
        <f t="shared" si="330"/>
        <v>1.0003567690990391</v>
      </c>
      <c r="T840" s="76">
        <f t="shared" si="331"/>
        <v>1.0003567690990391</v>
      </c>
      <c r="U840" s="76">
        <f t="shared" si="332"/>
        <v>1</v>
      </c>
    </row>
    <row r="841" spans="1:21" x14ac:dyDescent="0.25">
      <c r="A841" s="71">
        <v>7</v>
      </c>
      <c r="B841" s="72">
        <f t="shared" si="333"/>
        <v>45839</v>
      </c>
      <c r="C841" s="73">
        <f t="shared" si="314"/>
        <v>45869</v>
      </c>
      <c r="D841" s="67">
        <f t="shared" si="315"/>
        <v>31</v>
      </c>
      <c r="E841" s="67">
        <f t="shared" si="316"/>
        <v>7</v>
      </c>
      <c r="F841" s="74">
        <f t="shared" si="317"/>
        <v>45854.5</v>
      </c>
      <c r="G841" s="67">
        <f t="shared" si="318"/>
        <v>24306</v>
      </c>
      <c r="H841" s="75">
        <f t="shared" si="319"/>
        <v>1</v>
      </c>
      <c r="I841" s="76">
        <f t="shared" si="320"/>
        <v>1</v>
      </c>
      <c r="J841" s="76">
        <f t="shared" si="321"/>
        <v>1</v>
      </c>
      <c r="K841" s="67">
        <f t="shared" si="322"/>
        <v>0</v>
      </c>
      <c r="L841" s="67">
        <f t="shared" si="323"/>
        <v>0</v>
      </c>
      <c r="M841" s="77">
        <f t="shared" si="324"/>
        <v>0</v>
      </c>
      <c r="N841" s="76">
        <f t="shared" si="325"/>
        <v>1</v>
      </c>
      <c r="O841" s="77">
        <f t="shared" si="326"/>
        <v>0.91966083150984679</v>
      </c>
      <c r="P841" s="76">
        <f t="shared" si="327"/>
        <v>8.333333333333337E-2</v>
      </c>
      <c r="Q841" s="76">
        <f t="shared" si="328"/>
        <v>0</v>
      </c>
      <c r="R841" s="76">
        <f t="shared" si="329"/>
        <v>0</v>
      </c>
      <c r="S841" s="76">
        <f t="shared" si="330"/>
        <v>0.99963133859765951</v>
      </c>
      <c r="T841" s="76">
        <f t="shared" si="331"/>
        <v>0.99963133859765951</v>
      </c>
      <c r="U841" s="76">
        <f t="shared" si="332"/>
        <v>1</v>
      </c>
    </row>
    <row r="842" spans="1:21" x14ac:dyDescent="0.25">
      <c r="A842" s="71">
        <v>8</v>
      </c>
      <c r="B842" s="72">
        <f t="shared" si="333"/>
        <v>45870</v>
      </c>
      <c r="C842" s="73">
        <f t="shared" si="314"/>
        <v>45900</v>
      </c>
      <c r="D842" s="67">
        <f t="shared" si="315"/>
        <v>31</v>
      </c>
      <c r="E842" s="67">
        <f t="shared" si="316"/>
        <v>8</v>
      </c>
      <c r="F842" s="74">
        <f t="shared" si="317"/>
        <v>45885.5</v>
      </c>
      <c r="G842" s="67">
        <f t="shared" si="318"/>
        <v>24307</v>
      </c>
      <c r="H842" s="75">
        <f t="shared" si="319"/>
        <v>1</v>
      </c>
      <c r="I842" s="76">
        <f t="shared" si="320"/>
        <v>1</v>
      </c>
      <c r="J842" s="76">
        <f t="shared" si="321"/>
        <v>1</v>
      </c>
      <c r="K842" s="67">
        <f t="shared" si="322"/>
        <v>0</v>
      </c>
      <c r="L842" s="67">
        <f t="shared" si="323"/>
        <v>0</v>
      </c>
      <c r="M842" s="77">
        <f t="shared" si="324"/>
        <v>0</v>
      </c>
      <c r="N842" s="76">
        <f t="shared" si="325"/>
        <v>1</v>
      </c>
      <c r="O842" s="77">
        <f t="shared" si="326"/>
        <v>0.91898249452954051</v>
      </c>
      <c r="P842" s="76">
        <f t="shared" si="327"/>
        <v>0.25</v>
      </c>
      <c r="Q842" s="76">
        <f t="shared" si="328"/>
        <v>0</v>
      </c>
      <c r="R842" s="76">
        <f t="shared" si="329"/>
        <v>0</v>
      </c>
      <c r="S842" s="76">
        <f t="shared" si="330"/>
        <v>0.99889401579297876</v>
      </c>
      <c r="T842" s="76">
        <f t="shared" si="331"/>
        <v>0.99889401579297876</v>
      </c>
      <c r="U842" s="76">
        <f t="shared" si="332"/>
        <v>1</v>
      </c>
    </row>
    <row r="843" spans="1:21" x14ac:dyDescent="0.25">
      <c r="A843" s="71">
        <v>9</v>
      </c>
      <c r="B843" s="72">
        <f t="shared" si="333"/>
        <v>45901</v>
      </c>
      <c r="C843" s="73">
        <f t="shared" si="314"/>
        <v>45930</v>
      </c>
      <c r="D843" s="67">
        <f t="shared" si="315"/>
        <v>30</v>
      </c>
      <c r="E843" s="67">
        <f t="shared" si="316"/>
        <v>9</v>
      </c>
      <c r="F843" s="74">
        <f t="shared" si="317"/>
        <v>45916</v>
      </c>
      <c r="G843" s="67">
        <f t="shared" si="318"/>
        <v>24308</v>
      </c>
      <c r="H843" s="75">
        <f t="shared" si="319"/>
        <v>1</v>
      </c>
      <c r="I843" s="76">
        <f t="shared" si="320"/>
        <v>1</v>
      </c>
      <c r="J843" s="76">
        <f t="shared" si="321"/>
        <v>1</v>
      </c>
      <c r="K843" s="67">
        <f t="shared" si="322"/>
        <v>0</v>
      </c>
      <c r="L843" s="67">
        <f t="shared" si="323"/>
        <v>0</v>
      </c>
      <c r="M843" s="77">
        <f t="shared" si="324"/>
        <v>0</v>
      </c>
      <c r="N843" s="76">
        <f t="shared" si="325"/>
        <v>1</v>
      </c>
      <c r="O843" s="77">
        <f t="shared" si="326"/>
        <v>0.91831509846827131</v>
      </c>
      <c r="P843" s="76">
        <f t="shared" si="327"/>
        <v>0.41666666666666663</v>
      </c>
      <c r="Q843" s="76">
        <f t="shared" si="328"/>
        <v>0</v>
      </c>
      <c r="R843" s="76">
        <f t="shared" si="329"/>
        <v>0</v>
      </c>
      <c r="S843" s="76">
        <f t="shared" si="330"/>
        <v>0.99816858529159924</v>
      </c>
      <c r="T843" s="76">
        <f t="shared" si="331"/>
        <v>0.99816858529159924</v>
      </c>
      <c r="U843" s="76">
        <f t="shared" si="332"/>
        <v>1</v>
      </c>
    </row>
    <row r="844" spans="1:21" x14ac:dyDescent="0.25">
      <c r="A844" s="71">
        <v>10</v>
      </c>
      <c r="B844" s="72">
        <f t="shared" si="333"/>
        <v>45931</v>
      </c>
      <c r="C844" s="73">
        <f t="shared" si="314"/>
        <v>45961</v>
      </c>
      <c r="D844" s="67">
        <f t="shared" si="315"/>
        <v>31</v>
      </c>
      <c r="E844" s="67">
        <f t="shared" si="316"/>
        <v>10</v>
      </c>
      <c r="F844" s="74">
        <f t="shared" si="317"/>
        <v>45946.5</v>
      </c>
      <c r="G844" s="67">
        <f t="shared" si="318"/>
        <v>24309</v>
      </c>
      <c r="H844" s="75">
        <f t="shared" si="319"/>
        <v>1</v>
      </c>
      <c r="I844" s="76">
        <f t="shared" si="320"/>
        <v>1</v>
      </c>
      <c r="J844" s="76">
        <f t="shared" si="321"/>
        <v>1</v>
      </c>
      <c r="K844" s="67">
        <f t="shared" si="322"/>
        <v>0</v>
      </c>
      <c r="L844" s="67">
        <f t="shared" si="323"/>
        <v>0</v>
      </c>
      <c r="M844" s="77">
        <f t="shared" si="324"/>
        <v>0</v>
      </c>
      <c r="N844" s="76">
        <f t="shared" si="325"/>
        <v>1</v>
      </c>
      <c r="O844" s="77">
        <f t="shared" si="326"/>
        <v>0.91764770240700222</v>
      </c>
      <c r="P844" s="76">
        <f t="shared" si="327"/>
        <v>0.58333333333333326</v>
      </c>
      <c r="Q844" s="76">
        <f t="shared" si="328"/>
        <v>0</v>
      </c>
      <c r="R844" s="76">
        <f t="shared" si="329"/>
        <v>0</v>
      </c>
      <c r="S844" s="76">
        <f t="shared" si="330"/>
        <v>0.99744315479021972</v>
      </c>
      <c r="T844" s="76">
        <f t="shared" si="331"/>
        <v>0.99744315479021972</v>
      </c>
      <c r="U844" s="76">
        <f t="shared" si="332"/>
        <v>1</v>
      </c>
    </row>
    <row r="845" spans="1:21" x14ac:dyDescent="0.25">
      <c r="A845" s="71">
        <v>11</v>
      </c>
      <c r="B845" s="72">
        <f t="shared" si="333"/>
        <v>45962</v>
      </c>
      <c r="C845" s="73">
        <f t="shared" si="314"/>
        <v>45991</v>
      </c>
      <c r="D845" s="67">
        <f t="shared" si="315"/>
        <v>30</v>
      </c>
      <c r="E845" s="67">
        <f t="shared" si="316"/>
        <v>11</v>
      </c>
      <c r="F845" s="74">
        <f t="shared" si="317"/>
        <v>45977</v>
      </c>
      <c r="G845" s="67">
        <f t="shared" si="318"/>
        <v>24310</v>
      </c>
      <c r="H845" s="75">
        <f t="shared" si="319"/>
        <v>1</v>
      </c>
      <c r="I845" s="76">
        <f t="shared" si="320"/>
        <v>1</v>
      </c>
      <c r="J845" s="76">
        <f t="shared" si="321"/>
        <v>1</v>
      </c>
      <c r="K845" s="67">
        <f t="shared" si="322"/>
        <v>0</v>
      </c>
      <c r="L845" s="67">
        <f t="shared" si="323"/>
        <v>0</v>
      </c>
      <c r="M845" s="77">
        <f t="shared" si="324"/>
        <v>0</v>
      </c>
      <c r="N845" s="76">
        <f t="shared" si="325"/>
        <v>1</v>
      </c>
      <c r="O845" s="77">
        <f t="shared" si="326"/>
        <v>0.91698030634573302</v>
      </c>
      <c r="P845" s="76">
        <f t="shared" si="327"/>
        <v>0.75</v>
      </c>
      <c r="Q845" s="76">
        <f t="shared" si="328"/>
        <v>0</v>
      </c>
      <c r="R845" s="76">
        <f t="shared" si="329"/>
        <v>0</v>
      </c>
      <c r="S845" s="76">
        <f t="shared" si="330"/>
        <v>0.9967177242888402</v>
      </c>
      <c r="T845" s="76">
        <f t="shared" si="331"/>
        <v>0.9967177242888402</v>
      </c>
      <c r="U845" s="76">
        <f t="shared" si="332"/>
        <v>1</v>
      </c>
    </row>
    <row r="846" spans="1:21" x14ac:dyDescent="0.25">
      <c r="A846" s="71">
        <v>12</v>
      </c>
      <c r="B846" s="72">
        <f t="shared" si="333"/>
        <v>45992</v>
      </c>
      <c r="C846" s="73">
        <f t="shared" si="314"/>
        <v>46022</v>
      </c>
      <c r="D846" s="67">
        <f t="shared" si="315"/>
        <v>31</v>
      </c>
      <c r="E846" s="67">
        <f t="shared" si="316"/>
        <v>12</v>
      </c>
      <c r="F846" s="74">
        <f t="shared" si="317"/>
        <v>46007.5</v>
      </c>
      <c r="G846" s="67">
        <f t="shared" si="318"/>
        <v>24311</v>
      </c>
      <c r="H846" s="75">
        <f t="shared" si="319"/>
        <v>1</v>
      </c>
      <c r="I846" s="76">
        <f t="shared" si="320"/>
        <v>1</v>
      </c>
      <c r="J846" s="76">
        <f t="shared" si="321"/>
        <v>1</v>
      </c>
      <c r="K846" s="67">
        <f t="shared" si="322"/>
        <v>0</v>
      </c>
      <c r="L846" s="67">
        <f t="shared" si="323"/>
        <v>0</v>
      </c>
      <c r="M846" s="77">
        <f t="shared" si="324"/>
        <v>0</v>
      </c>
      <c r="N846" s="76">
        <f t="shared" si="325"/>
        <v>1</v>
      </c>
      <c r="O846" s="77">
        <f t="shared" si="326"/>
        <v>0.91631291028446393</v>
      </c>
      <c r="P846" s="76">
        <f t="shared" si="327"/>
        <v>0.91666666666666663</v>
      </c>
      <c r="Q846" s="76">
        <f t="shared" si="328"/>
        <v>0</v>
      </c>
      <c r="R846" s="76">
        <f t="shared" si="329"/>
        <v>0</v>
      </c>
      <c r="S846" s="76">
        <f t="shared" si="330"/>
        <v>0.99599229378746079</v>
      </c>
      <c r="T846" s="76">
        <f t="shared" si="331"/>
        <v>0.99599229378746079</v>
      </c>
      <c r="U846" s="76">
        <f t="shared" si="332"/>
        <v>1</v>
      </c>
    </row>
    <row r="847" spans="1:21" x14ac:dyDescent="0.25">
      <c r="A847" s="71">
        <v>13</v>
      </c>
      <c r="B847" s="72">
        <f t="shared" si="333"/>
        <v>46023</v>
      </c>
      <c r="C847" s="73">
        <f t="shared" si="314"/>
        <v>46053</v>
      </c>
      <c r="D847" s="67">
        <f t="shared" si="315"/>
        <v>31</v>
      </c>
      <c r="E847" s="67">
        <f t="shared" si="316"/>
        <v>1</v>
      </c>
      <c r="F847" s="74">
        <f t="shared" si="317"/>
        <v>46038.5</v>
      </c>
      <c r="G847" s="67">
        <f t="shared" si="318"/>
        <v>24312</v>
      </c>
      <c r="H847" s="75">
        <f t="shared" si="319"/>
        <v>1</v>
      </c>
      <c r="I847" s="76">
        <f t="shared" si="320"/>
        <v>1</v>
      </c>
      <c r="J847" s="76">
        <f t="shared" si="321"/>
        <v>1</v>
      </c>
      <c r="K847" s="67">
        <f t="shared" si="322"/>
        <v>0</v>
      </c>
      <c r="L847" s="67">
        <f t="shared" si="323"/>
        <v>0</v>
      </c>
      <c r="M847" s="77">
        <f t="shared" si="324"/>
        <v>0</v>
      </c>
      <c r="N847" s="76">
        <f t="shared" si="325"/>
        <v>1</v>
      </c>
      <c r="O847" s="77">
        <f t="shared" si="326"/>
        <v>0.91563457330415754</v>
      </c>
      <c r="P847" s="76">
        <f t="shared" si="327"/>
        <v>1</v>
      </c>
      <c r="Q847" s="76">
        <f t="shared" si="328"/>
        <v>0</v>
      </c>
      <c r="R847" s="76">
        <f t="shared" si="329"/>
        <v>0</v>
      </c>
      <c r="S847" s="76">
        <f t="shared" si="330"/>
        <v>0.99525497098277993</v>
      </c>
      <c r="T847" s="76">
        <f t="shared" si="331"/>
        <v>0.99525497098277993</v>
      </c>
      <c r="U847" s="76">
        <f t="shared" si="332"/>
        <v>1</v>
      </c>
    </row>
    <row r="848" spans="1:21" x14ac:dyDescent="0.25">
      <c r="A848" s="71">
        <v>14</v>
      </c>
      <c r="B848" s="72">
        <f t="shared" si="333"/>
        <v>46054</v>
      </c>
      <c r="C848" s="73">
        <f t="shared" si="314"/>
        <v>46081</v>
      </c>
      <c r="D848" s="67">
        <f t="shared" si="315"/>
        <v>28</v>
      </c>
      <c r="E848" s="67">
        <f t="shared" si="316"/>
        <v>2</v>
      </c>
      <c r="F848" s="74">
        <f t="shared" si="317"/>
        <v>46068</v>
      </c>
      <c r="G848" s="67">
        <f t="shared" si="318"/>
        <v>24313</v>
      </c>
      <c r="H848" s="75">
        <f t="shared" si="319"/>
        <v>1</v>
      </c>
      <c r="I848" s="76">
        <f t="shared" si="320"/>
        <v>1</v>
      </c>
      <c r="J848" s="76">
        <f t="shared" si="321"/>
        <v>1</v>
      </c>
      <c r="K848" s="67">
        <f t="shared" si="322"/>
        <v>0</v>
      </c>
      <c r="L848" s="67">
        <f t="shared" si="323"/>
        <v>0</v>
      </c>
      <c r="M848" s="77">
        <f t="shared" si="324"/>
        <v>0</v>
      </c>
      <c r="N848" s="76">
        <f t="shared" si="325"/>
        <v>1</v>
      </c>
      <c r="O848" s="77">
        <f t="shared" si="326"/>
        <v>0.91498905908096284</v>
      </c>
      <c r="P848" s="76">
        <f t="shared" si="327"/>
        <v>1</v>
      </c>
      <c r="Q848" s="76">
        <f t="shared" si="328"/>
        <v>0</v>
      </c>
      <c r="R848" s="76">
        <f t="shared" si="329"/>
        <v>0</v>
      </c>
      <c r="S848" s="76">
        <f t="shared" si="330"/>
        <v>0.99455332508800309</v>
      </c>
      <c r="T848" s="76">
        <f t="shared" si="331"/>
        <v>0.99455332508800309</v>
      </c>
      <c r="U848" s="76">
        <f t="shared" si="332"/>
        <v>1</v>
      </c>
    </row>
    <row r="849" spans="1:21" x14ac:dyDescent="0.25">
      <c r="A849" s="71">
        <v>15</v>
      </c>
      <c r="B849" s="72">
        <f t="shared" si="333"/>
        <v>46082</v>
      </c>
      <c r="C849" s="73">
        <f t="shared" si="314"/>
        <v>46112</v>
      </c>
      <c r="D849" s="67">
        <f t="shared" si="315"/>
        <v>31</v>
      </c>
      <c r="E849" s="67">
        <f t="shared" si="316"/>
        <v>3</v>
      </c>
      <c r="F849" s="74">
        <f t="shared" si="317"/>
        <v>46097.5</v>
      </c>
      <c r="G849" s="67">
        <f t="shared" si="318"/>
        <v>24314</v>
      </c>
      <c r="H849" s="75">
        <f t="shared" si="319"/>
        <v>1</v>
      </c>
      <c r="I849" s="76">
        <f t="shared" si="320"/>
        <v>1</v>
      </c>
      <c r="J849" s="76">
        <f t="shared" si="321"/>
        <v>1</v>
      </c>
      <c r="K849" s="67">
        <f t="shared" si="322"/>
        <v>0</v>
      </c>
      <c r="L849" s="67">
        <f t="shared" si="323"/>
        <v>0</v>
      </c>
      <c r="M849" s="77">
        <f t="shared" si="324"/>
        <v>0</v>
      </c>
      <c r="N849" s="76">
        <f t="shared" si="325"/>
        <v>1</v>
      </c>
      <c r="O849" s="77">
        <f t="shared" si="326"/>
        <v>0.91434354485776803</v>
      </c>
      <c r="P849" s="76">
        <f t="shared" si="327"/>
        <v>1</v>
      </c>
      <c r="Q849" s="76">
        <f t="shared" si="328"/>
        <v>0</v>
      </c>
      <c r="R849" s="76">
        <f t="shared" si="329"/>
        <v>0</v>
      </c>
      <c r="S849" s="76">
        <f t="shared" si="330"/>
        <v>0.99385167919322603</v>
      </c>
      <c r="T849" s="76">
        <f t="shared" si="331"/>
        <v>0.99385167919322603</v>
      </c>
      <c r="U849" s="76">
        <f t="shared" si="332"/>
        <v>1</v>
      </c>
    </row>
    <row r="850" spans="1:21" x14ac:dyDescent="0.25">
      <c r="A850" s="71">
        <v>16</v>
      </c>
      <c r="B850" s="72">
        <f t="shared" si="333"/>
        <v>46113</v>
      </c>
      <c r="C850" s="73">
        <f t="shared" si="314"/>
        <v>46142</v>
      </c>
      <c r="D850" s="67">
        <f t="shared" si="315"/>
        <v>30</v>
      </c>
      <c r="E850" s="67">
        <f t="shared" si="316"/>
        <v>4</v>
      </c>
      <c r="F850" s="74">
        <f t="shared" si="317"/>
        <v>46128</v>
      </c>
      <c r="G850" s="67">
        <f t="shared" si="318"/>
        <v>24315</v>
      </c>
      <c r="H850" s="75">
        <f t="shared" si="319"/>
        <v>1</v>
      </c>
      <c r="I850" s="76">
        <f t="shared" si="320"/>
        <v>1</v>
      </c>
      <c r="J850" s="76">
        <f t="shared" si="321"/>
        <v>1</v>
      </c>
      <c r="K850" s="67">
        <f t="shared" si="322"/>
        <v>0</v>
      </c>
      <c r="L850" s="67">
        <f t="shared" si="323"/>
        <v>0</v>
      </c>
      <c r="M850" s="77">
        <f t="shared" si="324"/>
        <v>0</v>
      </c>
      <c r="N850" s="76">
        <f t="shared" si="325"/>
        <v>1</v>
      </c>
      <c r="O850" s="77">
        <f t="shared" si="326"/>
        <v>0.91367614879649894</v>
      </c>
      <c r="P850" s="76">
        <f t="shared" si="327"/>
        <v>1</v>
      </c>
      <c r="Q850" s="76">
        <f t="shared" si="328"/>
        <v>0</v>
      </c>
      <c r="R850" s="76">
        <f t="shared" si="329"/>
        <v>0</v>
      </c>
      <c r="S850" s="76">
        <f t="shared" si="330"/>
        <v>0.99312624869184662</v>
      </c>
      <c r="T850" s="76">
        <f t="shared" si="331"/>
        <v>0.99312624869184662</v>
      </c>
      <c r="U850" s="76">
        <f t="shared" si="332"/>
        <v>1</v>
      </c>
    </row>
    <row r="851" spans="1:21" x14ac:dyDescent="0.25">
      <c r="A851" s="71">
        <v>17</v>
      </c>
      <c r="B851" s="72">
        <f t="shared" si="333"/>
        <v>46143</v>
      </c>
      <c r="C851" s="73">
        <f t="shared" si="314"/>
        <v>46173</v>
      </c>
      <c r="D851" s="67">
        <f t="shared" si="315"/>
        <v>31</v>
      </c>
      <c r="E851" s="67">
        <f t="shared" si="316"/>
        <v>5</v>
      </c>
      <c r="F851" s="74">
        <f t="shared" si="317"/>
        <v>46158.5</v>
      </c>
      <c r="G851" s="67">
        <f t="shared" si="318"/>
        <v>24316</v>
      </c>
      <c r="H851" s="75">
        <f t="shared" si="319"/>
        <v>1</v>
      </c>
      <c r="I851" s="76">
        <f t="shared" si="320"/>
        <v>1</v>
      </c>
      <c r="J851" s="76">
        <f t="shared" si="321"/>
        <v>1</v>
      </c>
      <c r="K851" s="67">
        <f t="shared" si="322"/>
        <v>0</v>
      </c>
      <c r="L851" s="67">
        <f t="shared" si="323"/>
        <v>0</v>
      </c>
      <c r="M851" s="77">
        <f t="shared" si="324"/>
        <v>0</v>
      </c>
      <c r="N851" s="76">
        <f t="shared" si="325"/>
        <v>1</v>
      </c>
      <c r="O851" s="77">
        <f t="shared" si="326"/>
        <v>0.91300875273522974</v>
      </c>
      <c r="P851" s="76">
        <f t="shared" si="327"/>
        <v>1</v>
      </c>
      <c r="Q851" s="76">
        <f t="shared" si="328"/>
        <v>0</v>
      </c>
      <c r="R851" s="76">
        <f t="shared" si="329"/>
        <v>0</v>
      </c>
      <c r="S851" s="76">
        <f t="shared" si="330"/>
        <v>0.9924008181904671</v>
      </c>
      <c r="T851" s="76">
        <f t="shared" si="331"/>
        <v>0.9924008181904671</v>
      </c>
      <c r="U851" s="76">
        <f t="shared" si="332"/>
        <v>1</v>
      </c>
    </row>
    <row r="852" spans="1:21" x14ac:dyDescent="0.25">
      <c r="A852" s="71">
        <v>18</v>
      </c>
      <c r="B852" s="72">
        <f t="shared" si="333"/>
        <v>46174</v>
      </c>
      <c r="C852" s="73">
        <f t="shared" si="314"/>
        <v>46203</v>
      </c>
      <c r="D852" s="67">
        <f t="shared" si="315"/>
        <v>30</v>
      </c>
      <c r="E852" s="67">
        <f t="shared" si="316"/>
        <v>6</v>
      </c>
      <c r="F852" s="74">
        <f t="shared" si="317"/>
        <v>46189</v>
      </c>
      <c r="G852" s="67">
        <f t="shared" si="318"/>
        <v>24317</v>
      </c>
      <c r="H852" s="75">
        <f t="shared" si="319"/>
        <v>1</v>
      </c>
      <c r="I852" s="76">
        <f t="shared" si="320"/>
        <v>1</v>
      </c>
      <c r="J852" s="76">
        <f t="shared" si="321"/>
        <v>1</v>
      </c>
      <c r="K852" s="67">
        <f t="shared" si="322"/>
        <v>0</v>
      </c>
      <c r="L852" s="67">
        <f t="shared" si="323"/>
        <v>0</v>
      </c>
      <c r="M852" s="77">
        <f t="shared" si="324"/>
        <v>0</v>
      </c>
      <c r="N852" s="76">
        <f t="shared" si="325"/>
        <v>1</v>
      </c>
      <c r="O852" s="77">
        <f t="shared" si="326"/>
        <v>0.91234135667396066</v>
      </c>
      <c r="P852" s="76">
        <f t="shared" si="327"/>
        <v>1</v>
      </c>
      <c r="Q852" s="76">
        <f t="shared" si="328"/>
        <v>0</v>
      </c>
      <c r="R852" s="76">
        <f t="shared" si="329"/>
        <v>0</v>
      </c>
      <c r="S852" s="76">
        <f t="shared" si="330"/>
        <v>0.99167538768908758</v>
      </c>
      <c r="T852" s="76">
        <f t="shared" si="331"/>
        <v>0.99167538768908758</v>
      </c>
      <c r="U852" s="76">
        <f t="shared" si="332"/>
        <v>1</v>
      </c>
    </row>
    <row r="853" spans="1:21" x14ac:dyDescent="0.25">
      <c r="A853" s="71">
        <v>19</v>
      </c>
      <c r="B853" s="72">
        <f t="shared" si="333"/>
        <v>46204</v>
      </c>
      <c r="C853" s="73">
        <f t="shared" si="314"/>
        <v>46234</v>
      </c>
      <c r="D853" s="67">
        <f t="shared" si="315"/>
        <v>31</v>
      </c>
      <c r="E853" s="67">
        <f t="shared" si="316"/>
        <v>7</v>
      </c>
      <c r="F853" s="74">
        <f t="shared" si="317"/>
        <v>46219.5</v>
      </c>
      <c r="G853" s="67">
        <f t="shared" si="318"/>
        <v>24318</v>
      </c>
      <c r="H853" s="75">
        <f t="shared" si="319"/>
        <v>1</v>
      </c>
      <c r="I853" s="76">
        <f t="shared" si="320"/>
        <v>1</v>
      </c>
      <c r="J853" s="76">
        <f t="shared" si="321"/>
        <v>1</v>
      </c>
      <c r="K853" s="67">
        <f t="shared" si="322"/>
        <v>0</v>
      </c>
      <c r="L853" s="67">
        <f t="shared" si="323"/>
        <v>0</v>
      </c>
      <c r="M853" s="77">
        <f t="shared" si="324"/>
        <v>0</v>
      </c>
      <c r="N853" s="76">
        <f t="shared" si="325"/>
        <v>1</v>
      </c>
      <c r="O853" s="77">
        <f t="shared" si="326"/>
        <v>0.91167396061269146</v>
      </c>
      <c r="P853" s="76">
        <f t="shared" si="327"/>
        <v>0.91666666666666663</v>
      </c>
      <c r="Q853" s="76">
        <f t="shared" si="328"/>
        <v>8.333333333333337E-2</v>
      </c>
      <c r="R853" s="76">
        <f t="shared" si="329"/>
        <v>0</v>
      </c>
      <c r="S853" s="76">
        <f t="shared" si="330"/>
        <v>0.99094995718770806</v>
      </c>
      <c r="T853" s="76">
        <f t="shared" si="331"/>
        <v>0.99094995718770806</v>
      </c>
      <c r="U853" s="76">
        <f t="shared" si="332"/>
        <v>1</v>
      </c>
    </row>
    <row r="854" spans="1:21" x14ac:dyDescent="0.25">
      <c r="A854" s="71">
        <v>20</v>
      </c>
      <c r="B854" s="72">
        <f t="shared" si="333"/>
        <v>46235</v>
      </c>
      <c r="C854" s="73">
        <f t="shared" si="314"/>
        <v>46265</v>
      </c>
      <c r="D854" s="67">
        <f t="shared" si="315"/>
        <v>31</v>
      </c>
      <c r="E854" s="67">
        <f t="shared" si="316"/>
        <v>8</v>
      </c>
      <c r="F854" s="74">
        <f t="shared" si="317"/>
        <v>46250.5</v>
      </c>
      <c r="G854" s="67">
        <f t="shared" si="318"/>
        <v>24319</v>
      </c>
      <c r="H854" s="75">
        <f t="shared" si="319"/>
        <v>1</v>
      </c>
      <c r="I854" s="76">
        <f t="shared" si="320"/>
        <v>1</v>
      </c>
      <c r="J854" s="76">
        <f t="shared" si="321"/>
        <v>1</v>
      </c>
      <c r="K854" s="67">
        <f t="shared" si="322"/>
        <v>0</v>
      </c>
      <c r="L854" s="67">
        <f t="shared" si="323"/>
        <v>0</v>
      </c>
      <c r="M854" s="77">
        <f t="shared" si="324"/>
        <v>0</v>
      </c>
      <c r="N854" s="76">
        <f t="shared" si="325"/>
        <v>1</v>
      </c>
      <c r="O854" s="77">
        <f t="shared" si="326"/>
        <v>0.91099562363238518</v>
      </c>
      <c r="P854" s="76">
        <f t="shared" si="327"/>
        <v>0.75</v>
      </c>
      <c r="Q854" s="76">
        <f t="shared" si="328"/>
        <v>0.25</v>
      </c>
      <c r="R854" s="76">
        <f t="shared" si="329"/>
        <v>0</v>
      </c>
      <c r="S854" s="76">
        <f t="shared" si="330"/>
        <v>0.99021263438302731</v>
      </c>
      <c r="T854" s="76">
        <f t="shared" si="331"/>
        <v>0.99021263438302731</v>
      </c>
      <c r="U854" s="76">
        <f t="shared" si="332"/>
        <v>1</v>
      </c>
    </row>
    <row r="855" spans="1:21" x14ac:dyDescent="0.25">
      <c r="A855" s="71">
        <v>21</v>
      </c>
      <c r="B855" s="72">
        <f t="shared" si="333"/>
        <v>46266</v>
      </c>
      <c r="C855" s="73">
        <f t="shared" si="314"/>
        <v>46295</v>
      </c>
      <c r="D855" s="67">
        <f t="shared" si="315"/>
        <v>30</v>
      </c>
      <c r="E855" s="67">
        <f t="shared" si="316"/>
        <v>9</v>
      </c>
      <c r="F855" s="74">
        <f t="shared" si="317"/>
        <v>46281</v>
      </c>
      <c r="G855" s="67">
        <f t="shared" si="318"/>
        <v>24320</v>
      </c>
      <c r="H855" s="75">
        <f t="shared" si="319"/>
        <v>1</v>
      </c>
      <c r="I855" s="76">
        <f t="shared" si="320"/>
        <v>1</v>
      </c>
      <c r="J855" s="76">
        <f t="shared" si="321"/>
        <v>1</v>
      </c>
      <c r="K855" s="67">
        <f t="shared" si="322"/>
        <v>0</v>
      </c>
      <c r="L855" s="67">
        <f t="shared" si="323"/>
        <v>0</v>
      </c>
      <c r="M855" s="77">
        <f t="shared" si="324"/>
        <v>0</v>
      </c>
      <c r="N855" s="76">
        <f t="shared" si="325"/>
        <v>1</v>
      </c>
      <c r="O855" s="77">
        <f t="shared" si="326"/>
        <v>0.91032822757111598</v>
      </c>
      <c r="P855" s="76">
        <f t="shared" si="327"/>
        <v>0.58333333333333337</v>
      </c>
      <c r="Q855" s="76">
        <f t="shared" si="328"/>
        <v>0.41666666666666663</v>
      </c>
      <c r="R855" s="76">
        <f t="shared" si="329"/>
        <v>0</v>
      </c>
      <c r="S855" s="76">
        <f t="shared" si="330"/>
        <v>0.98948720388164779</v>
      </c>
      <c r="T855" s="76">
        <f t="shared" si="331"/>
        <v>0.98948720388164779</v>
      </c>
      <c r="U855" s="76">
        <f t="shared" si="332"/>
        <v>1</v>
      </c>
    </row>
    <row r="856" spans="1:21" x14ac:dyDescent="0.25">
      <c r="A856" s="71">
        <v>22</v>
      </c>
      <c r="B856" s="72">
        <f t="shared" si="333"/>
        <v>46296</v>
      </c>
      <c r="C856" s="73">
        <f t="shared" si="314"/>
        <v>46326</v>
      </c>
      <c r="D856" s="67">
        <f t="shared" si="315"/>
        <v>31</v>
      </c>
      <c r="E856" s="67">
        <f t="shared" si="316"/>
        <v>10</v>
      </c>
      <c r="F856" s="74">
        <f t="shared" si="317"/>
        <v>46311.5</v>
      </c>
      <c r="G856" s="67">
        <f t="shared" si="318"/>
        <v>24321</v>
      </c>
      <c r="H856" s="75">
        <f t="shared" si="319"/>
        <v>1</v>
      </c>
      <c r="I856" s="76">
        <f t="shared" si="320"/>
        <v>1</v>
      </c>
      <c r="J856" s="76">
        <f t="shared" si="321"/>
        <v>1</v>
      </c>
      <c r="K856" s="67">
        <f t="shared" si="322"/>
        <v>0</v>
      </c>
      <c r="L856" s="67">
        <f t="shared" si="323"/>
        <v>0</v>
      </c>
      <c r="M856" s="77">
        <f t="shared" si="324"/>
        <v>0</v>
      </c>
      <c r="N856" s="76">
        <f t="shared" si="325"/>
        <v>1</v>
      </c>
      <c r="O856" s="77">
        <f t="shared" si="326"/>
        <v>0.90966083150984689</v>
      </c>
      <c r="P856" s="76">
        <f t="shared" si="327"/>
        <v>0.41666666666666669</v>
      </c>
      <c r="Q856" s="76">
        <f t="shared" si="328"/>
        <v>0.58333333333333326</v>
      </c>
      <c r="R856" s="76">
        <f t="shared" si="329"/>
        <v>0</v>
      </c>
      <c r="S856" s="76">
        <f t="shared" si="330"/>
        <v>0.98876177338026827</v>
      </c>
      <c r="T856" s="76">
        <f t="shared" si="331"/>
        <v>0.98876177338026827</v>
      </c>
      <c r="U856" s="76">
        <f t="shared" si="332"/>
        <v>1</v>
      </c>
    </row>
    <row r="857" spans="1:21" x14ac:dyDescent="0.25">
      <c r="A857" s="71">
        <v>23</v>
      </c>
      <c r="B857" s="72">
        <f t="shared" si="333"/>
        <v>46327</v>
      </c>
      <c r="C857" s="73">
        <f t="shared" si="314"/>
        <v>46356</v>
      </c>
      <c r="D857" s="67">
        <f t="shared" si="315"/>
        <v>30</v>
      </c>
      <c r="E857" s="67">
        <f t="shared" si="316"/>
        <v>11</v>
      </c>
      <c r="F857" s="74">
        <f t="shared" si="317"/>
        <v>46342</v>
      </c>
      <c r="G857" s="67">
        <f t="shared" si="318"/>
        <v>24322</v>
      </c>
      <c r="H857" s="75">
        <f t="shared" si="319"/>
        <v>1</v>
      </c>
      <c r="I857" s="76">
        <f t="shared" si="320"/>
        <v>1</v>
      </c>
      <c r="J857" s="76">
        <f t="shared" si="321"/>
        <v>1</v>
      </c>
      <c r="K857" s="67">
        <f t="shared" si="322"/>
        <v>0</v>
      </c>
      <c r="L857" s="67">
        <f t="shared" si="323"/>
        <v>0</v>
      </c>
      <c r="M857" s="77">
        <f t="shared" si="324"/>
        <v>0</v>
      </c>
      <c r="N857" s="76">
        <f t="shared" si="325"/>
        <v>1</v>
      </c>
      <c r="O857" s="77">
        <f t="shared" si="326"/>
        <v>0.90899343544857769</v>
      </c>
      <c r="P857" s="76">
        <f t="shared" si="327"/>
        <v>0.25</v>
      </c>
      <c r="Q857" s="76">
        <f t="shared" si="328"/>
        <v>0.75</v>
      </c>
      <c r="R857" s="76">
        <f t="shared" si="329"/>
        <v>0</v>
      </c>
      <c r="S857" s="76">
        <f t="shared" si="330"/>
        <v>0.98803634287888875</v>
      </c>
      <c r="T857" s="76">
        <f t="shared" si="331"/>
        <v>0.98803634287888875</v>
      </c>
      <c r="U857" s="76">
        <f t="shared" si="332"/>
        <v>1</v>
      </c>
    </row>
    <row r="858" spans="1:21" x14ac:dyDescent="0.25">
      <c r="A858" s="71">
        <v>24</v>
      </c>
      <c r="B858" s="72">
        <f t="shared" si="333"/>
        <v>46357</v>
      </c>
      <c r="C858" s="73">
        <f t="shared" si="314"/>
        <v>46387</v>
      </c>
      <c r="D858" s="67">
        <f t="shared" si="315"/>
        <v>31</v>
      </c>
      <c r="E858" s="67">
        <f t="shared" si="316"/>
        <v>12</v>
      </c>
      <c r="F858" s="74">
        <f t="shared" si="317"/>
        <v>46372.5</v>
      </c>
      <c r="G858" s="67">
        <f t="shared" si="318"/>
        <v>24323</v>
      </c>
      <c r="H858" s="75">
        <f t="shared" si="319"/>
        <v>1</v>
      </c>
      <c r="I858" s="76">
        <f t="shared" si="320"/>
        <v>1</v>
      </c>
      <c r="J858" s="76">
        <f t="shared" si="321"/>
        <v>1</v>
      </c>
      <c r="K858" s="67">
        <f t="shared" si="322"/>
        <v>0</v>
      </c>
      <c r="L858" s="67">
        <f t="shared" si="323"/>
        <v>0</v>
      </c>
      <c r="M858" s="77">
        <f t="shared" si="324"/>
        <v>0</v>
      </c>
      <c r="N858" s="76">
        <f t="shared" si="325"/>
        <v>1</v>
      </c>
      <c r="O858" s="77">
        <f t="shared" si="326"/>
        <v>0.9083260393873086</v>
      </c>
      <c r="P858" s="76">
        <f t="shared" si="327"/>
        <v>8.3333333333333329E-2</v>
      </c>
      <c r="Q858" s="76">
        <f t="shared" si="328"/>
        <v>0.91666666666666663</v>
      </c>
      <c r="R858" s="76">
        <f t="shared" si="329"/>
        <v>0</v>
      </c>
      <c r="S858" s="76">
        <f t="shared" si="330"/>
        <v>0.98731091237750934</v>
      </c>
      <c r="T858" s="76">
        <f t="shared" si="331"/>
        <v>0.98731091237750934</v>
      </c>
      <c r="U858" s="76">
        <f t="shared" si="332"/>
        <v>1</v>
      </c>
    </row>
    <row r="859" spans="1:21" x14ac:dyDescent="0.25">
      <c r="A859" s="71">
        <v>25</v>
      </c>
      <c r="B859" s="72">
        <f t="shared" si="333"/>
        <v>46388</v>
      </c>
      <c r="C859" s="73">
        <f t="shared" si="314"/>
        <v>46418</v>
      </c>
      <c r="D859" s="67">
        <f t="shared" si="315"/>
        <v>31</v>
      </c>
      <c r="E859" s="67">
        <f t="shared" si="316"/>
        <v>1</v>
      </c>
      <c r="F859" s="74">
        <f t="shared" si="317"/>
        <v>46403.5</v>
      </c>
      <c r="G859" s="67">
        <f t="shared" si="318"/>
        <v>24324</v>
      </c>
      <c r="H859" s="75">
        <f t="shared" si="319"/>
        <v>1</v>
      </c>
      <c r="I859" s="76">
        <f t="shared" si="320"/>
        <v>1</v>
      </c>
      <c r="J859" s="76">
        <f t="shared" si="321"/>
        <v>1</v>
      </c>
      <c r="K859" s="67">
        <f t="shared" si="322"/>
        <v>0</v>
      </c>
      <c r="L859" s="67">
        <f t="shared" si="323"/>
        <v>0</v>
      </c>
      <c r="M859" s="77">
        <f t="shared" si="324"/>
        <v>0</v>
      </c>
      <c r="N859" s="76">
        <f t="shared" si="325"/>
        <v>1</v>
      </c>
      <c r="O859" s="77">
        <f t="shared" si="326"/>
        <v>0.90764770240700221</v>
      </c>
      <c r="P859" s="76">
        <f t="shared" si="327"/>
        <v>0</v>
      </c>
      <c r="Q859" s="76">
        <f t="shared" si="328"/>
        <v>1</v>
      </c>
      <c r="R859" s="76">
        <f t="shared" si="329"/>
        <v>0</v>
      </c>
      <c r="S859" s="76">
        <f t="shared" si="330"/>
        <v>0.98657358957282848</v>
      </c>
      <c r="T859" s="76">
        <f t="shared" si="331"/>
        <v>0.99525497098277993</v>
      </c>
      <c r="U859" s="76">
        <f t="shared" si="332"/>
        <v>1</v>
      </c>
    </row>
    <row r="860" spans="1:21" x14ac:dyDescent="0.25">
      <c r="A860" s="71">
        <v>26</v>
      </c>
      <c r="B860" s="72">
        <f t="shared" si="333"/>
        <v>46419</v>
      </c>
      <c r="C860" s="73">
        <f t="shared" si="314"/>
        <v>46446</v>
      </c>
      <c r="D860" s="67">
        <f t="shared" si="315"/>
        <v>28</v>
      </c>
      <c r="E860" s="67">
        <f t="shared" si="316"/>
        <v>2</v>
      </c>
      <c r="F860" s="74">
        <f t="shared" si="317"/>
        <v>46433</v>
      </c>
      <c r="G860" s="67">
        <f t="shared" si="318"/>
        <v>24325</v>
      </c>
      <c r="H860" s="75">
        <f t="shared" si="319"/>
        <v>1</v>
      </c>
      <c r="I860" s="76">
        <f t="shared" si="320"/>
        <v>1</v>
      </c>
      <c r="J860" s="76">
        <f t="shared" si="321"/>
        <v>1</v>
      </c>
      <c r="K860" s="67">
        <f t="shared" si="322"/>
        <v>0</v>
      </c>
      <c r="L860" s="67">
        <f t="shared" si="323"/>
        <v>0</v>
      </c>
      <c r="M860" s="77">
        <f t="shared" si="324"/>
        <v>0</v>
      </c>
      <c r="N860" s="76">
        <f t="shared" si="325"/>
        <v>1</v>
      </c>
      <c r="O860" s="77">
        <f t="shared" si="326"/>
        <v>0.90700218818380751</v>
      </c>
      <c r="P860" s="76">
        <f t="shared" si="327"/>
        <v>0</v>
      </c>
      <c r="Q860" s="76">
        <f t="shared" si="328"/>
        <v>1</v>
      </c>
      <c r="R860" s="76">
        <f t="shared" si="329"/>
        <v>0</v>
      </c>
      <c r="S860" s="76">
        <f t="shared" si="330"/>
        <v>0.98587194367805164</v>
      </c>
      <c r="T860" s="76">
        <f t="shared" si="331"/>
        <v>0.99455332508800309</v>
      </c>
      <c r="U860" s="76">
        <f t="shared" si="332"/>
        <v>1</v>
      </c>
    </row>
    <row r="861" spans="1:21" x14ac:dyDescent="0.25">
      <c r="A861" s="71">
        <v>27</v>
      </c>
      <c r="B861" s="72">
        <f t="shared" si="333"/>
        <v>46447</v>
      </c>
      <c r="C861" s="73">
        <f t="shared" si="314"/>
        <v>46477</v>
      </c>
      <c r="D861" s="67">
        <f t="shared" si="315"/>
        <v>31</v>
      </c>
      <c r="E861" s="67">
        <f t="shared" si="316"/>
        <v>3</v>
      </c>
      <c r="F861" s="74">
        <f t="shared" si="317"/>
        <v>46462.5</v>
      </c>
      <c r="G861" s="67">
        <f t="shared" si="318"/>
        <v>24326</v>
      </c>
      <c r="H861" s="75">
        <f t="shared" si="319"/>
        <v>1</v>
      </c>
      <c r="I861" s="76">
        <f t="shared" si="320"/>
        <v>1</v>
      </c>
      <c r="J861" s="76">
        <f t="shared" si="321"/>
        <v>1</v>
      </c>
      <c r="K861" s="67">
        <f t="shared" si="322"/>
        <v>0</v>
      </c>
      <c r="L861" s="67">
        <f t="shared" si="323"/>
        <v>0</v>
      </c>
      <c r="M861" s="77">
        <f t="shared" si="324"/>
        <v>0</v>
      </c>
      <c r="N861" s="76">
        <f t="shared" si="325"/>
        <v>1</v>
      </c>
      <c r="O861" s="77">
        <f t="shared" si="326"/>
        <v>0.9063566739606127</v>
      </c>
      <c r="P861" s="76">
        <f t="shared" si="327"/>
        <v>0</v>
      </c>
      <c r="Q861" s="76">
        <f t="shared" si="328"/>
        <v>1</v>
      </c>
      <c r="R861" s="76">
        <f t="shared" si="329"/>
        <v>0</v>
      </c>
      <c r="S861" s="76">
        <f t="shared" si="330"/>
        <v>0.98517029778327458</v>
      </c>
      <c r="T861" s="76">
        <f t="shared" si="331"/>
        <v>0.99385167919322603</v>
      </c>
      <c r="U861" s="76">
        <f t="shared" si="332"/>
        <v>1</v>
      </c>
    </row>
    <row r="862" spans="1:21" x14ac:dyDescent="0.25">
      <c r="A862" s="71">
        <v>28</v>
      </c>
      <c r="B862" s="72">
        <f t="shared" si="333"/>
        <v>46478</v>
      </c>
      <c r="C862" s="73">
        <f t="shared" si="314"/>
        <v>46507</v>
      </c>
      <c r="D862" s="67">
        <f t="shared" si="315"/>
        <v>30</v>
      </c>
      <c r="E862" s="67">
        <f t="shared" si="316"/>
        <v>4</v>
      </c>
      <c r="F862" s="74">
        <f t="shared" si="317"/>
        <v>46493</v>
      </c>
      <c r="G862" s="67">
        <f t="shared" si="318"/>
        <v>24327</v>
      </c>
      <c r="H862" s="75">
        <f t="shared" si="319"/>
        <v>1</v>
      </c>
      <c r="I862" s="76">
        <f t="shared" si="320"/>
        <v>1</v>
      </c>
      <c r="J862" s="76">
        <f t="shared" si="321"/>
        <v>1</v>
      </c>
      <c r="K862" s="67">
        <f t="shared" si="322"/>
        <v>0</v>
      </c>
      <c r="L862" s="67">
        <f t="shared" si="323"/>
        <v>0</v>
      </c>
      <c r="M862" s="77">
        <f t="shared" si="324"/>
        <v>0</v>
      </c>
      <c r="N862" s="76">
        <f t="shared" si="325"/>
        <v>1</v>
      </c>
      <c r="O862" s="77">
        <f t="shared" si="326"/>
        <v>0.90568927789934361</v>
      </c>
      <c r="P862" s="76">
        <f t="shared" si="327"/>
        <v>0</v>
      </c>
      <c r="Q862" s="76">
        <f t="shared" si="328"/>
        <v>1</v>
      </c>
      <c r="R862" s="76">
        <f t="shared" si="329"/>
        <v>0</v>
      </c>
      <c r="S862" s="76">
        <f t="shared" si="330"/>
        <v>0.98444486728189518</v>
      </c>
      <c r="T862" s="76">
        <f t="shared" si="331"/>
        <v>0.99312624869184662</v>
      </c>
      <c r="U862" s="76">
        <f t="shared" si="332"/>
        <v>1</v>
      </c>
    </row>
    <row r="863" spans="1:21" x14ac:dyDescent="0.25">
      <c r="A863" s="71">
        <v>29</v>
      </c>
      <c r="B863" s="72">
        <f t="shared" si="333"/>
        <v>46508</v>
      </c>
      <c r="C863" s="73">
        <f t="shared" si="314"/>
        <v>46538</v>
      </c>
      <c r="D863" s="67">
        <f t="shared" si="315"/>
        <v>31</v>
      </c>
      <c r="E863" s="67">
        <f t="shared" si="316"/>
        <v>5</v>
      </c>
      <c r="F863" s="74">
        <f t="shared" si="317"/>
        <v>46523.5</v>
      </c>
      <c r="G863" s="67">
        <f t="shared" si="318"/>
        <v>24328</v>
      </c>
      <c r="H863" s="75">
        <f t="shared" si="319"/>
        <v>1</v>
      </c>
      <c r="I863" s="76">
        <f t="shared" si="320"/>
        <v>1</v>
      </c>
      <c r="J863" s="76">
        <f t="shared" si="321"/>
        <v>1</v>
      </c>
      <c r="K863" s="67">
        <f t="shared" si="322"/>
        <v>0</v>
      </c>
      <c r="L863" s="67">
        <f t="shared" si="323"/>
        <v>0</v>
      </c>
      <c r="M863" s="77">
        <f t="shared" si="324"/>
        <v>0</v>
      </c>
      <c r="N863" s="76">
        <f t="shared" si="325"/>
        <v>1</v>
      </c>
      <c r="O863" s="77">
        <f t="shared" si="326"/>
        <v>0.90502188183807442</v>
      </c>
      <c r="P863" s="76">
        <f t="shared" si="327"/>
        <v>0</v>
      </c>
      <c r="Q863" s="76">
        <f t="shared" si="328"/>
        <v>1</v>
      </c>
      <c r="R863" s="76">
        <f t="shared" si="329"/>
        <v>0</v>
      </c>
      <c r="S863" s="76">
        <f t="shared" si="330"/>
        <v>0.98371943678051565</v>
      </c>
      <c r="T863" s="76">
        <f t="shared" si="331"/>
        <v>0.9924008181904671</v>
      </c>
      <c r="U863" s="76">
        <f t="shared" si="332"/>
        <v>1</v>
      </c>
    </row>
    <row r="864" spans="1:21" x14ac:dyDescent="0.25">
      <c r="A864" s="71">
        <v>30</v>
      </c>
      <c r="B864" s="72">
        <f t="shared" si="333"/>
        <v>46539</v>
      </c>
      <c r="C864" s="73">
        <f t="shared" si="314"/>
        <v>46568</v>
      </c>
      <c r="D864" s="67">
        <f t="shared" si="315"/>
        <v>30</v>
      </c>
      <c r="E864" s="67">
        <f t="shared" si="316"/>
        <v>6</v>
      </c>
      <c r="F864" s="74">
        <f t="shared" si="317"/>
        <v>46554</v>
      </c>
      <c r="G864" s="67">
        <f t="shared" si="318"/>
        <v>24329</v>
      </c>
      <c r="H864" s="75">
        <f t="shared" si="319"/>
        <v>1</v>
      </c>
      <c r="I864" s="76">
        <f t="shared" si="320"/>
        <v>1</v>
      </c>
      <c r="J864" s="76">
        <f t="shared" si="321"/>
        <v>1</v>
      </c>
      <c r="K864" s="67">
        <f t="shared" si="322"/>
        <v>0</v>
      </c>
      <c r="L864" s="67">
        <f t="shared" si="323"/>
        <v>0</v>
      </c>
      <c r="M864" s="77">
        <f t="shared" si="324"/>
        <v>0</v>
      </c>
      <c r="N864" s="76">
        <f t="shared" si="325"/>
        <v>1</v>
      </c>
      <c r="O864" s="77">
        <f t="shared" si="326"/>
        <v>0.90435448577680533</v>
      </c>
      <c r="P864" s="76">
        <f t="shared" si="327"/>
        <v>0</v>
      </c>
      <c r="Q864" s="76">
        <f t="shared" si="328"/>
        <v>1</v>
      </c>
      <c r="R864" s="76">
        <f t="shared" si="329"/>
        <v>0</v>
      </c>
      <c r="S864" s="76">
        <f t="shared" si="330"/>
        <v>0.98299400627913613</v>
      </c>
      <c r="T864" s="76">
        <f t="shared" si="331"/>
        <v>0.99167538768908758</v>
      </c>
      <c r="U864" s="76">
        <f t="shared" si="332"/>
        <v>1</v>
      </c>
    </row>
    <row r="865" spans="1:21" x14ac:dyDescent="0.25">
      <c r="A865" s="71">
        <v>31</v>
      </c>
      <c r="B865" s="72">
        <f t="shared" si="333"/>
        <v>46569</v>
      </c>
      <c r="C865" s="73">
        <f t="shared" si="314"/>
        <v>46599</v>
      </c>
      <c r="D865" s="67">
        <f t="shared" si="315"/>
        <v>31</v>
      </c>
      <c r="E865" s="67">
        <f t="shared" si="316"/>
        <v>7</v>
      </c>
      <c r="F865" s="74">
        <f t="shared" si="317"/>
        <v>46584.5</v>
      </c>
      <c r="G865" s="67">
        <f t="shared" si="318"/>
        <v>24330</v>
      </c>
      <c r="H865" s="75">
        <f t="shared" si="319"/>
        <v>1</v>
      </c>
      <c r="I865" s="76">
        <f t="shared" si="320"/>
        <v>1</v>
      </c>
      <c r="J865" s="76">
        <f t="shared" si="321"/>
        <v>1</v>
      </c>
      <c r="K865" s="67">
        <f t="shared" si="322"/>
        <v>0</v>
      </c>
      <c r="L865" s="67">
        <f t="shared" si="323"/>
        <v>0</v>
      </c>
      <c r="M865" s="77">
        <f t="shared" si="324"/>
        <v>0</v>
      </c>
      <c r="N865" s="76">
        <f t="shared" si="325"/>
        <v>1</v>
      </c>
      <c r="O865" s="77">
        <f t="shared" si="326"/>
        <v>0.90368708971553613</v>
      </c>
      <c r="P865" s="76">
        <f t="shared" si="327"/>
        <v>0</v>
      </c>
      <c r="Q865" s="76">
        <f t="shared" si="328"/>
        <v>0.91666666666666663</v>
      </c>
      <c r="R865" s="76">
        <f t="shared" si="329"/>
        <v>8.333333333333337E-2</v>
      </c>
      <c r="S865" s="76">
        <f t="shared" si="330"/>
        <v>0.98226857577775661</v>
      </c>
      <c r="T865" s="76">
        <f t="shared" si="331"/>
        <v>0.99094995718770806</v>
      </c>
      <c r="U865" s="76">
        <f t="shared" si="332"/>
        <v>1</v>
      </c>
    </row>
    <row r="866" spans="1:21" x14ac:dyDescent="0.25">
      <c r="A866" s="71">
        <v>32</v>
      </c>
      <c r="B866" s="72">
        <f t="shared" si="333"/>
        <v>46600</v>
      </c>
      <c r="C866" s="73">
        <f t="shared" si="314"/>
        <v>46630</v>
      </c>
      <c r="D866" s="67">
        <f t="shared" si="315"/>
        <v>31</v>
      </c>
      <c r="E866" s="67">
        <f t="shared" si="316"/>
        <v>8</v>
      </c>
      <c r="F866" s="74">
        <f t="shared" si="317"/>
        <v>46615.5</v>
      </c>
      <c r="G866" s="67">
        <f t="shared" si="318"/>
        <v>24331</v>
      </c>
      <c r="H866" s="75">
        <f t="shared" si="319"/>
        <v>1</v>
      </c>
      <c r="I866" s="76">
        <f t="shared" si="320"/>
        <v>1</v>
      </c>
      <c r="J866" s="76">
        <f t="shared" si="321"/>
        <v>1</v>
      </c>
      <c r="K866" s="67">
        <f t="shared" si="322"/>
        <v>0</v>
      </c>
      <c r="L866" s="67">
        <f t="shared" si="323"/>
        <v>0</v>
      </c>
      <c r="M866" s="77">
        <f t="shared" si="324"/>
        <v>0</v>
      </c>
      <c r="N866" s="76">
        <f t="shared" si="325"/>
        <v>1</v>
      </c>
      <c r="O866" s="77">
        <f t="shared" si="326"/>
        <v>0.90300875273522974</v>
      </c>
      <c r="P866" s="76">
        <f t="shared" si="327"/>
        <v>0</v>
      </c>
      <c r="Q866" s="76">
        <f t="shared" si="328"/>
        <v>0.75</v>
      </c>
      <c r="R866" s="76">
        <f t="shared" si="329"/>
        <v>0.25</v>
      </c>
      <c r="S866" s="76">
        <f t="shared" si="330"/>
        <v>0.98153125297307575</v>
      </c>
      <c r="T866" s="76">
        <f t="shared" si="331"/>
        <v>0.99021263438302731</v>
      </c>
      <c r="U866" s="76">
        <f t="shared" si="332"/>
        <v>1</v>
      </c>
    </row>
    <row r="867" spans="1:21" x14ac:dyDescent="0.25">
      <c r="A867" s="71">
        <v>33</v>
      </c>
      <c r="B867" s="72">
        <f t="shared" si="333"/>
        <v>46631</v>
      </c>
      <c r="C867" s="73">
        <f t="shared" si="314"/>
        <v>46660</v>
      </c>
      <c r="D867" s="67">
        <f t="shared" si="315"/>
        <v>30</v>
      </c>
      <c r="E867" s="67">
        <f t="shared" si="316"/>
        <v>9</v>
      </c>
      <c r="F867" s="74">
        <f t="shared" si="317"/>
        <v>46646</v>
      </c>
      <c r="G867" s="67">
        <f t="shared" si="318"/>
        <v>24332</v>
      </c>
      <c r="H867" s="75">
        <f t="shared" si="319"/>
        <v>1</v>
      </c>
      <c r="I867" s="76">
        <f t="shared" si="320"/>
        <v>1</v>
      </c>
      <c r="J867" s="76">
        <f t="shared" si="321"/>
        <v>1</v>
      </c>
      <c r="K867" s="67">
        <f t="shared" si="322"/>
        <v>0</v>
      </c>
      <c r="L867" s="67">
        <f t="shared" si="323"/>
        <v>0</v>
      </c>
      <c r="M867" s="77">
        <f t="shared" si="324"/>
        <v>0</v>
      </c>
      <c r="N867" s="76">
        <f t="shared" si="325"/>
        <v>1</v>
      </c>
      <c r="O867" s="77">
        <f t="shared" si="326"/>
        <v>0.90234135667396065</v>
      </c>
      <c r="P867" s="76">
        <f t="shared" si="327"/>
        <v>0</v>
      </c>
      <c r="Q867" s="76">
        <f t="shared" si="328"/>
        <v>0.58333333333333337</v>
      </c>
      <c r="R867" s="76">
        <f t="shared" si="329"/>
        <v>0.41666666666666663</v>
      </c>
      <c r="S867" s="76">
        <f t="shared" si="330"/>
        <v>0.98080582247169634</v>
      </c>
      <c r="T867" s="76">
        <f t="shared" si="331"/>
        <v>0.98948720388164779</v>
      </c>
      <c r="U867" s="76">
        <f t="shared" si="332"/>
        <v>1</v>
      </c>
    </row>
    <row r="868" spans="1:21" x14ac:dyDescent="0.25">
      <c r="A868" s="71">
        <v>34</v>
      </c>
      <c r="B868" s="72">
        <f t="shared" si="333"/>
        <v>46661</v>
      </c>
      <c r="C868" s="73">
        <f t="shared" si="314"/>
        <v>46691</v>
      </c>
      <c r="D868" s="67">
        <f t="shared" si="315"/>
        <v>31</v>
      </c>
      <c r="E868" s="67">
        <f t="shared" si="316"/>
        <v>10</v>
      </c>
      <c r="F868" s="74">
        <f t="shared" si="317"/>
        <v>46676.5</v>
      </c>
      <c r="G868" s="67">
        <f t="shared" si="318"/>
        <v>24333</v>
      </c>
      <c r="H868" s="75">
        <f t="shared" si="319"/>
        <v>1</v>
      </c>
      <c r="I868" s="76">
        <f t="shared" si="320"/>
        <v>1</v>
      </c>
      <c r="J868" s="76">
        <f t="shared" si="321"/>
        <v>1</v>
      </c>
      <c r="K868" s="67">
        <f t="shared" si="322"/>
        <v>0</v>
      </c>
      <c r="L868" s="67">
        <f t="shared" si="323"/>
        <v>0</v>
      </c>
      <c r="M868" s="77">
        <f t="shared" si="324"/>
        <v>0</v>
      </c>
      <c r="N868" s="76">
        <f t="shared" si="325"/>
        <v>1</v>
      </c>
      <c r="O868" s="77">
        <f t="shared" si="326"/>
        <v>0.90167396061269145</v>
      </c>
      <c r="P868" s="76">
        <f t="shared" si="327"/>
        <v>0</v>
      </c>
      <c r="Q868" s="76">
        <f t="shared" si="328"/>
        <v>0.41666666666666669</v>
      </c>
      <c r="R868" s="76">
        <f t="shared" si="329"/>
        <v>0.58333333333333326</v>
      </c>
      <c r="S868" s="76">
        <f t="shared" si="330"/>
        <v>0.98008039197031671</v>
      </c>
      <c r="T868" s="76">
        <f t="shared" si="331"/>
        <v>0.98876177338026827</v>
      </c>
      <c r="U868" s="76">
        <f t="shared" si="332"/>
        <v>1</v>
      </c>
    </row>
    <row r="869" spans="1:21" x14ac:dyDescent="0.25">
      <c r="A869" s="71">
        <v>35</v>
      </c>
      <c r="B869" s="72">
        <f t="shared" si="333"/>
        <v>46692</v>
      </c>
      <c r="C869" s="73">
        <f t="shared" si="314"/>
        <v>46721</v>
      </c>
      <c r="D869" s="67">
        <f t="shared" si="315"/>
        <v>30</v>
      </c>
      <c r="E869" s="67">
        <f t="shared" si="316"/>
        <v>11</v>
      </c>
      <c r="F869" s="74">
        <f t="shared" si="317"/>
        <v>46707</v>
      </c>
      <c r="G869" s="67">
        <f t="shared" si="318"/>
        <v>24334</v>
      </c>
      <c r="H869" s="75">
        <f t="shared" si="319"/>
        <v>1</v>
      </c>
      <c r="I869" s="76">
        <f t="shared" si="320"/>
        <v>1</v>
      </c>
      <c r="J869" s="76">
        <f t="shared" si="321"/>
        <v>1</v>
      </c>
      <c r="K869" s="67">
        <f t="shared" si="322"/>
        <v>0</v>
      </c>
      <c r="L869" s="67">
        <f t="shared" si="323"/>
        <v>0</v>
      </c>
      <c r="M869" s="77">
        <f t="shared" si="324"/>
        <v>0</v>
      </c>
      <c r="N869" s="76">
        <f t="shared" si="325"/>
        <v>1</v>
      </c>
      <c r="O869" s="77">
        <f t="shared" si="326"/>
        <v>0.90100656455142236</v>
      </c>
      <c r="P869" s="76">
        <f t="shared" si="327"/>
        <v>0</v>
      </c>
      <c r="Q869" s="76">
        <f t="shared" si="328"/>
        <v>0.25</v>
      </c>
      <c r="R869" s="76">
        <f t="shared" si="329"/>
        <v>0.75</v>
      </c>
      <c r="S869" s="76">
        <f t="shared" si="330"/>
        <v>0.9793549614689373</v>
      </c>
      <c r="T869" s="76">
        <f t="shared" si="331"/>
        <v>0.98803634287888875</v>
      </c>
      <c r="U869" s="76">
        <f t="shared" si="332"/>
        <v>1</v>
      </c>
    </row>
    <row r="870" spans="1:21" x14ac:dyDescent="0.25">
      <c r="A870" s="71">
        <v>36</v>
      </c>
      <c r="B870" s="72">
        <f t="shared" si="333"/>
        <v>46722</v>
      </c>
      <c r="C870" s="73">
        <f t="shared" si="314"/>
        <v>46752</v>
      </c>
      <c r="D870" s="67">
        <f t="shared" si="315"/>
        <v>31</v>
      </c>
      <c r="E870" s="67">
        <f t="shared" si="316"/>
        <v>12</v>
      </c>
      <c r="F870" s="74">
        <f t="shared" si="317"/>
        <v>46737.5</v>
      </c>
      <c r="G870" s="67">
        <f t="shared" si="318"/>
        <v>24335</v>
      </c>
      <c r="H870" s="75">
        <f t="shared" si="319"/>
        <v>1</v>
      </c>
      <c r="I870" s="76">
        <f t="shared" si="320"/>
        <v>1</v>
      </c>
      <c r="J870" s="76">
        <f t="shared" si="321"/>
        <v>1</v>
      </c>
      <c r="K870" s="67">
        <f t="shared" si="322"/>
        <v>0</v>
      </c>
      <c r="L870" s="67">
        <f t="shared" si="323"/>
        <v>0</v>
      </c>
      <c r="M870" s="77">
        <f t="shared" si="324"/>
        <v>0</v>
      </c>
      <c r="N870" s="76">
        <f t="shared" si="325"/>
        <v>1</v>
      </c>
      <c r="O870" s="77">
        <f t="shared" si="326"/>
        <v>0.90033916849015316</v>
      </c>
      <c r="P870" s="76">
        <f t="shared" si="327"/>
        <v>0</v>
      </c>
      <c r="Q870" s="76">
        <f t="shared" si="328"/>
        <v>8.3333333333333329E-2</v>
      </c>
      <c r="R870" s="76">
        <f t="shared" si="329"/>
        <v>0.91666666666666663</v>
      </c>
      <c r="S870" s="76">
        <f t="shared" si="330"/>
        <v>0.97862953096755778</v>
      </c>
      <c r="T870" s="76">
        <f t="shared" si="331"/>
        <v>0.98731091237750934</v>
      </c>
      <c r="U870" s="76">
        <f t="shared" si="332"/>
        <v>1</v>
      </c>
    </row>
    <row r="871" spans="1:21" x14ac:dyDescent="0.25">
      <c r="A871" s="71">
        <v>37</v>
      </c>
      <c r="B871" s="72">
        <f t="shared" si="333"/>
        <v>46753</v>
      </c>
      <c r="C871" s="73">
        <f t="shared" si="314"/>
        <v>46783</v>
      </c>
      <c r="D871" s="67">
        <f t="shared" si="315"/>
        <v>31</v>
      </c>
      <c r="E871" s="67">
        <f t="shared" si="316"/>
        <v>1</v>
      </c>
      <c r="F871" s="74">
        <f t="shared" si="317"/>
        <v>46768.5</v>
      </c>
      <c r="G871" s="67">
        <f t="shared" si="318"/>
        <v>24336</v>
      </c>
      <c r="H871" s="75">
        <f t="shared" si="319"/>
        <v>1</v>
      </c>
      <c r="I871" s="76">
        <f t="shared" si="320"/>
        <v>1</v>
      </c>
      <c r="J871" s="76">
        <f t="shared" si="321"/>
        <v>1</v>
      </c>
      <c r="K871" s="67">
        <f t="shared" si="322"/>
        <v>0</v>
      </c>
      <c r="L871" s="67">
        <f t="shared" si="323"/>
        <v>0</v>
      </c>
      <c r="M871" s="77">
        <f t="shared" si="324"/>
        <v>0</v>
      </c>
      <c r="N871" s="76">
        <f t="shared" si="325"/>
        <v>1</v>
      </c>
      <c r="O871" s="77">
        <f t="shared" si="326"/>
        <v>0.9</v>
      </c>
      <c r="P871" s="76">
        <f t="shared" si="327"/>
        <v>0</v>
      </c>
      <c r="Q871" s="76">
        <f t="shared" si="328"/>
        <v>0</v>
      </c>
      <c r="R871" s="76">
        <f t="shared" si="329"/>
        <v>1</v>
      </c>
      <c r="S871" s="76">
        <f t="shared" si="330"/>
        <v>0.97826086956521741</v>
      </c>
      <c r="T871" s="76">
        <f t="shared" si="331"/>
        <v>0.99525497098277993</v>
      </c>
      <c r="U871" s="76">
        <f t="shared" si="332"/>
        <v>1</v>
      </c>
    </row>
    <row r="872" spans="1:21" x14ac:dyDescent="0.25">
      <c r="A872" s="71">
        <v>38</v>
      </c>
      <c r="B872" s="72">
        <f t="shared" si="333"/>
        <v>46784</v>
      </c>
      <c r="C872" s="73">
        <f t="shared" si="314"/>
        <v>46812</v>
      </c>
      <c r="D872" s="67">
        <f t="shared" si="315"/>
        <v>29</v>
      </c>
      <c r="E872" s="67">
        <f t="shared" si="316"/>
        <v>2</v>
      </c>
      <c r="F872" s="74">
        <f t="shared" si="317"/>
        <v>46798.5</v>
      </c>
      <c r="G872" s="67">
        <f t="shared" si="318"/>
        <v>24337</v>
      </c>
      <c r="H872" s="75">
        <f t="shared" si="319"/>
        <v>1</v>
      </c>
      <c r="I872" s="76">
        <f t="shared" si="320"/>
        <v>1</v>
      </c>
      <c r="J872" s="76">
        <f t="shared" si="321"/>
        <v>1</v>
      </c>
      <c r="K872" s="67">
        <f t="shared" si="322"/>
        <v>0</v>
      </c>
      <c r="L872" s="67">
        <f t="shared" si="323"/>
        <v>0</v>
      </c>
      <c r="M872" s="77">
        <f t="shared" si="324"/>
        <v>0</v>
      </c>
      <c r="N872" s="76">
        <f t="shared" si="325"/>
        <v>1</v>
      </c>
      <c r="O872" s="77">
        <f t="shared" si="326"/>
        <v>0.9</v>
      </c>
      <c r="P872" s="76">
        <f t="shared" si="327"/>
        <v>0</v>
      </c>
      <c r="Q872" s="76">
        <f t="shared" si="328"/>
        <v>0</v>
      </c>
      <c r="R872" s="76">
        <f t="shared" si="329"/>
        <v>1</v>
      </c>
      <c r="S872" s="76">
        <f t="shared" si="330"/>
        <v>0.97826086956521741</v>
      </c>
      <c r="T872" s="76">
        <f t="shared" si="331"/>
        <v>0.99455332508800309</v>
      </c>
      <c r="U872" s="76">
        <f t="shared" si="332"/>
        <v>1</v>
      </c>
    </row>
    <row r="873" spans="1:21" x14ac:dyDescent="0.25">
      <c r="A873" s="71">
        <v>39</v>
      </c>
      <c r="B873" s="72">
        <f t="shared" si="333"/>
        <v>46813</v>
      </c>
      <c r="C873" s="73">
        <f t="shared" si="314"/>
        <v>46843</v>
      </c>
      <c r="D873" s="67">
        <f t="shared" si="315"/>
        <v>31</v>
      </c>
      <c r="E873" s="67">
        <f t="shared" si="316"/>
        <v>3</v>
      </c>
      <c r="F873" s="74">
        <f t="shared" si="317"/>
        <v>46828.5</v>
      </c>
      <c r="G873" s="67">
        <f t="shared" si="318"/>
        <v>24338</v>
      </c>
      <c r="H873" s="75">
        <f t="shared" si="319"/>
        <v>1</v>
      </c>
      <c r="I873" s="76">
        <f t="shared" si="320"/>
        <v>1</v>
      </c>
      <c r="J873" s="76">
        <f t="shared" si="321"/>
        <v>1</v>
      </c>
      <c r="K873" s="67">
        <f t="shared" si="322"/>
        <v>0</v>
      </c>
      <c r="L873" s="67">
        <f t="shared" si="323"/>
        <v>0</v>
      </c>
      <c r="M873" s="77">
        <f t="shared" si="324"/>
        <v>0</v>
      </c>
      <c r="N873" s="76">
        <f t="shared" si="325"/>
        <v>1</v>
      </c>
      <c r="O873" s="77">
        <f t="shared" si="326"/>
        <v>0.9</v>
      </c>
      <c r="P873" s="76">
        <f t="shared" si="327"/>
        <v>0</v>
      </c>
      <c r="Q873" s="76">
        <f t="shared" si="328"/>
        <v>0</v>
      </c>
      <c r="R873" s="76">
        <f t="shared" si="329"/>
        <v>1</v>
      </c>
      <c r="S873" s="76">
        <f t="shared" si="330"/>
        <v>0.97826086956521741</v>
      </c>
      <c r="T873" s="76">
        <f t="shared" si="331"/>
        <v>0.99385167919322603</v>
      </c>
      <c r="U873" s="76">
        <f t="shared" si="332"/>
        <v>1</v>
      </c>
    </row>
    <row r="874" spans="1:21" x14ac:dyDescent="0.25">
      <c r="A874" s="71">
        <v>40</v>
      </c>
      <c r="B874" s="72">
        <f t="shared" si="333"/>
        <v>46844</v>
      </c>
      <c r="C874" s="73">
        <f t="shared" si="314"/>
        <v>46873</v>
      </c>
      <c r="D874" s="67">
        <f t="shared" si="315"/>
        <v>30</v>
      </c>
      <c r="E874" s="67">
        <f t="shared" si="316"/>
        <v>4</v>
      </c>
      <c r="F874" s="74">
        <f t="shared" si="317"/>
        <v>46859</v>
      </c>
      <c r="G874" s="67">
        <f t="shared" si="318"/>
        <v>24339</v>
      </c>
      <c r="H874" s="75">
        <f t="shared" si="319"/>
        <v>1</v>
      </c>
      <c r="I874" s="76">
        <f t="shared" si="320"/>
        <v>1</v>
      </c>
      <c r="J874" s="76">
        <f t="shared" si="321"/>
        <v>1</v>
      </c>
      <c r="K874" s="67">
        <f t="shared" si="322"/>
        <v>0</v>
      </c>
      <c r="L874" s="67">
        <f t="shared" si="323"/>
        <v>0</v>
      </c>
      <c r="M874" s="77">
        <f t="shared" si="324"/>
        <v>0</v>
      </c>
      <c r="N874" s="76">
        <f t="shared" si="325"/>
        <v>1</v>
      </c>
      <c r="O874" s="77">
        <f t="shared" si="326"/>
        <v>0.9</v>
      </c>
      <c r="P874" s="76">
        <f t="shared" si="327"/>
        <v>0</v>
      </c>
      <c r="Q874" s="76">
        <f t="shared" si="328"/>
        <v>0</v>
      </c>
      <c r="R874" s="76">
        <f t="shared" si="329"/>
        <v>1</v>
      </c>
      <c r="S874" s="76">
        <f t="shared" si="330"/>
        <v>0.97826086956521741</v>
      </c>
      <c r="T874" s="76">
        <f t="shared" si="331"/>
        <v>0.99312624869184662</v>
      </c>
      <c r="U874" s="76">
        <f t="shared" si="332"/>
        <v>1</v>
      </c>
    </row>
    <row r="875" spans="1:21" x14ac:dyDescent="0.25">
      <c r="A875" s="71">
        <v>41</v>
      </c>
      <c r="B875" s="72">
        <f t="shared" si="333"/>
        <v>46874</v>
      </c>
      <c r="C875" s="73">
        <f t="shared" si="314"/>
        <v>46904</v>
      </c>
      <c r="D875" s="67">
        <f t="shared" si="315"/>
        <v>31</v>
      </c>
      <c r="E875" s="67">
        <f t="shared" si="316"/>
        <v>5</v>
      </c>
      <c r="F875" s="74">
        <f t="shared" si="317"/>
        <v>46889.5</v>
      </c>
      <c r="G875" s="67">
        <f t="shared" si="318"/>
        <v>24340</v>
      </c>
      <c r="H875" s="75">
        <f t="shared" si="319"/>
        <v>1</v>
      </c>
      <c r="I875" s="76">
        <f t="shared" si="320"/>
        <v>1</v>
      </c>
      <c r="J875" s="76">
        <f t="shared" si="321"/>
        <v>1</v>
      </c>
      <c r="K875" s="67">
        <f t="shared" si="322"/>
        <v>0</v>
      </c>
      <c r="L875" s="67">
        <f t="shared" si="323"/>
        <v>0</v>
      </c>
      <c r="M875" s="77">
        <f t="shared" si="324"/>
        <v>0</v>
      </c>
      <c r="N875" s="76">
        <f t="shared" si="325"/>
        <v>1</v>
      </c>
      <c r="O875" s="77">
        <f t="shared" si="326"/>
        <v>0.9</v>
      </c>
      <c r="P875" s="76">
        <f t="shared" si="327"/>
        <v>0</v>
      </c>
      <c r="Q875" s="76">
        <f t="shared" si="328"/>
        <v>0</v>
      </c>
      <c r="R875" s="76">
        <f t="shared" si="329"/>
        <v>1</v>
      </c>
      <c r="S875" s="76">
        <f t="shared" si="330"/>
        <v>0.97826086956521741</v>
      </c>
      <c r="T875" s="76">
        <f t="shared" si="331"/>
        <v>0.9924008181904671</v>
      </c>
      <c r="U875" s="76">
        <f t="shared" si="332"/>
        <v>1</v>
      </c>
    </row>
    <row r="876" spans="1:21" x14ac:dyDescent="0.25">
      <c r="A876" s="71">
        <v>42</v>
      </c>
      <c r="B876" s="72">
        <f t="shared" si="333"/>
        <v>46905</v>
      </c>
      <c r="C876" s="73">
        <f t="shared" si="314"/>
        <v>46934</v>
      </c>
      <c r="D876" s="67">
        <f t="shared" si="315"/>
        <v>30</v>
      </c>
      <c r="E876" s="67">
        <f t="shared" si="316"/>
        <v>6</v>
      </c>
      <c r="F876" s="74">
        <f t="shared" si="317"/>
        <v>46920</v>
      </c>
      <c r="G876" s="67">
        <f t="shared" si="318"/>
        <v>24341</v>
      </c>
      <c r="H876" s="75">
        <f t="shared" si="319"/>
        <v>1</v>
      </c>
      <c r="I876" s="76">
        <f t="shared" si="320"/>
        <v>1</v>
      </c>
      <c r="J876" s="76">
        <f t="shared" si="321"/>
        <v>1</v>
      </c>
      <c r="K876" s="67">
        <f t="shared" si="322"/>
        <v>0</v>
      </c>
      <c r="L876" s="67">
        <f t="shared" si="323"/>
        <v>0</v>
      </c>
      <c r="M876" s="77">
        <f t="shared" si="324"/>
        <v>0</v>
      </c>
      <c r="N876" s="76">
        <f t="shared" si="325"/>
        <v>1</v>
      </c>
      <c r="O876" s="77">
        <f t="shared" si="326"/>
        <v>0.9</v>
      </c>
      <c r="P876" s="76">
        <f t="shared" si="327"/>
        <v>0</v>
      </c>
      <c r="Q876" s="76">
        <f t="shared" si="328"/>
        <v>0</v>
      </c>
      <c r="R876" s="76">
        <f t="shared" si="329"/>
        <v>1</v>
      </c>
      <c r="S876" s="76">
        <f t="shared" si="330"/>
        <v>0.97826086956521741</v>
      </c>
      <c r="T876" s="76">
        <f t="shared" si="331"/>
        <v>0.99167538768908758</v>
      </c>
      <c r="U876" s="76">
        <f t="shared" si="332"/>
        <v>1</v>
      </c>
    </row>
    <row r="877" spans="1:21" x14ac:dyDescent="0.25">
      <c r="A877" s="71">
        <v>43</v>
      </c>
      <c r="B877" s="72">
        <f t="shared" si="333"/>
        <v>46935</v>
      </c>
      <c r="C877" s="73">
        <f t="shared" si="314"/>
        <v>46965</v>
      </c>
      <c r="D877" s="67">
        <f t="shared" si="315"/>
        <v>31</v>
      </c>
      <c r="E877" s="67">
        <f t="shared" si="316"/>
        <v>7</v>
      </c>
      <c r="F877" s="74">
        <f t="shared" si="317"/>
        <v>46950.5</v>
      </c>
      <c r="G877" s="67">
        <f t="shared" si="318"/>
        <v>24342</v>
      </c>
      <c r="H877" s="75">
        <f t="shared" si="319"/>
        <v>1</v>
      </c>
      <c r="I877" s="76">
        <f t="shared" si="320"/>
        <v>1</v>
      </c>
      <c r="J877" s="76">
        <f t="shared" si="321"/>
        <v>1</v>
      </c>
      <c r="K877" s="67">
        <f t="shared" si="322"/>
        <v>0</v>
      </c>
      <c r="L877" s="67">
        <f t="shared" si="323"/>
        <v>0</v>
      </c>
      <c r="M877" s="77">
        <f t="shared" si="324"/>
        <v>0</v>
      </c>
      <c r="N877" s="76">
        <f t="shared" si="325"/>
        <v>1</v>
      </c>
      <c r="O877" s="77">
        <f t="shared" si="326"/>
        <v>0.9</v>
      </c>
      <c r="P877" s="76">
        <f t="shared" si="327"/>
        <v>0</v>
      </c>
      <c r="Q877" s="76">
        <f t="shared" si="328"/>
        <v>0</v>
      </c>
      <c r="R877" s="76">
        <f t="shared" si="329"/>
        <v>0.91666666666666663</v>
      </c>
      <c r="S877" s="76">
        <f t="shared" si="330"/>
        <v>0.97826086956521741</v>
      </c>
      <c r="T877" s="76">
        <f t="shared" si="331"/>
        <v>0.99094995718770806</v>
      </c>
      <c r="U877" s="76">
        <f t="shared" si="332"/>
        <v>1</v>
      </c>
    </row>
    <row r="878" spans="1:21" x14ac:dyDescent="0.25">
      <c r="A878" s="71">
        <v>44</v>
      </c>
      <c r="B878" s="72">
        <f t="shared" si="333"/>
        <v>46966</v>
      </c>
      <c r="C878" s="73">
        <f t="shared" si="314"/>
        <v>46996</v>
      </c>
      <c r="D878" s="67">
        <f t="shared" si="315"/>
        <v>31</v>
      </c>
      <c r="E878" s="67">
        <f t="shared" si="316"/>
        <v>8</v>
      </c>
      <c r="F878" s="74">
        <f t="shared" si="317"/>
        <v>46981.5</v>
      </c>
      <c r="G878" s="67">
        <f t="shared" si="318"/>
        <v>24343</v>
      </c>
      <c r="H878" s="75">
        <f t="shared" si="319"/>
        <v>1</v>
      </c>
      <c r="I878" s="76">
        <f t="shared" si="320"/>
        <v>1</v>
      </c>
      <c r="J878" s="76">
        <f t="shared" si="321"/>
        <v>1</v>
      </c>
      <c r="K878" s="67">
        <f t="shared" si="322"/>
        <v>0</v>
      </c>
      <c r="L878" s="67">
        <f t="shared" si="323"/>
        <v>0</v>
      </c>
      <c r="M878" s="77">
        <f t="shared" si="324"/>
        <v>0</v>
      </c>
      <c r="N878" s="76">
        <f t="shared" si="325"/>
        <v>1</v>
      </c>
      <c r="O878" s="77">
        <f t="shared" si="326"/>
        <v>0.9</v>
      </c>
      <c r="P878" s="76">
        <f t="shared" si="327"/>
        <v>0</v>
      </c>
      <c r="Q878" s="76">
        <f t="shared" si="328"/>
        <v>0</v>
      </c>
      <c r="R878" s="76">
        <f t="shared" si="329"/>
        <v>0.75</v>
      </c>
      <c r="S878" s="76">
        <f t="shared" si="330"/>
        <v>0.97826086956521741</v>
      </c>
      <c r="T878" s="76">
        <f t="shared" si="331"/>
        <v>0.99021263438302731</v>
      </c>
      <c r="U878" s="76">
        <f t="shared" si="332"/>
        <v>1</v>
      </c>
    </row>
    <row r="879" spans="1:21" x14ac:dyDescent="0.25">
      <c r="A879" s="71">
        <v>45</v>
      </c>
      <c r="B879" s="72">
        <f t="shared" si="333"/>
        <v>46997</v>
      </c>
      <c r="C879" s="73">
        <f t="shared" si="314"/>
        <v>47026</v>
      </c>
      <c r="D879" s="67">
        <f t="shared" si="315"/>
        <v>30</v>
      </c>
      <c r="E879" s="67">
        <f t="shared" si="316"/>
        <v>9</v>
      </c>
      <c r="F879" s="74">
        <f t="shared" si="317"/>
        <v>47012</v>
      </c>
      <c r="G879" s="67">
        <f t="shared" si="318"/>
        <v>24344</v>
      </c>
      <c r="H879" s="75">
        <f t="shared" si="319"/>
        <v>1</v>
      </c>
      <c r="I879" s="76">
        <f t="shared" si="320"/>
        <v>1</v>
      </c>
      <c r="J879" s="76">
        <f t="shared" si="321"/>
        <v>1</v>
      </c>
      <c r="K879" s="67">
        <f t="shared" si="322"/>
        <v>0</v>
      </c>
      <c r="L879" s="67">
        <f t="shared" si="323"/>
        <v>0</v>
      </c>
      <c r="M879" s="77">
        <f t="shared" si="324"/>
        <v>0</v>
      </c>
      <c r="N879" s="76">
        <f t="shared" si="325"/>
        <v>1</v>
      </c>
      <c r="O879" s="77">
        <f t="shared" si="326"/>
        <v>0.9</v>
      </c>
      <c r="P879" s="76">
        <f t="shared" si="327"/>
        <v>0</v>
      </c>
      <c r="Q879" s="76">
        <f t="shared" si="328"/>
        <v>0</v>
      </c>
      <c r="R879" s="76">
        <f t="shared" si="329"/>
        <v>0.58333333333333337</v>
      </c>
      <c r="S879" s="76">
        <f t="shared" si="330"/>
        <v>0.97826086956521741</v>
      </c>
      <c r="T879" s="76">
        <f t="shared" si="331"/>
        <v>0.98948720388164779</v>
      </c>
      <c r="U879" s="76">
        <f t="shared" si="332"/>
        <v>1</v>
      </c>
    </row>
    <row r="880" spans="1:21" x14ac:dyDescent="0.25">
      <c r="A880" s="71">
        <v>46</v>
      </c>
      <c r="B880" s="72">
        <f t="shared" si="333"/>
        <v>47027</v>
      </c>
      <c r="C880" s="73">
        <f t="shared" si="314"/>
        <v>47057</v>
      </c>
      <c r="D880" s="67">
        <f t="shared" si="315"/>
        <v>31</v>
      </c>
      <c r="E880" s="67">
        <f t="shared" si="316"/>
        <v>10</v>
      </c>
      <c r="F880" s="74">
        <f t="shared" si="317"/>
        <v>47042.5</v>
      </c>
      <c r="G880" s="67">
        <f t="shared" si="318"/>
        <v>24345</v>
      </c>
      <c r="H880" s="75">
        <f t="shared" si="319"/>
        <v>1</v>
      </c>
      <c r="I880" s="76">
        <f t="shared" si="320"/>
        <v>1</v>
      </c>
      <c r="J880" s="76">
        <f t="shared" si="321"/>
        <v>1</v>
      </c>
      <c r="K880" s="67">
        <f t="shared" si="322"/>
        <v>0</v>
      </c>
      <c r="L880" s="67">
        <f t="shared" si="323"/>
        <v>0</v>
      </c>
      <c r="M880" s="77">
        <f t="shared" si="324"/>
        <v>0</v>
      </c>
      <c r="N880" s="76">
        <f t="shared" si="325"/>
        <v>1</v>
      </c>
      <c r="O880" s="77">
        <f t="shared" si="326"/>
        <v>0.9</v>
      </c>
      <c r="P880" s="76">
        <f t="shared" si="327"/>
        <v>0</v>
      </c>
      <c r="Q880" s="76">
        <f t="shared" si="328"/>
        <v>0</v>
      </c>
      <c r="R880" s="76">
        <f t="shared" si="329"/>
        <v>0.41666666666666669</v>
      </c>
      <c r="S880" s="76">
        <f t="shared" si="330"/>
        <v>0.97826086956521741</v>
      </c>
      <c r="T880" s="76">
        <f t="shared" si="331"/>
        <v>0.98876177338026827</v>
      </c>
      <c r="U880" s="76">
        <f t="shared" si="332"/>
        <v>1</v>
      </c>
    </row>
    <row r="881" spans="1:21" x14ac:dyDescent="0.25">
      <c r="A881" s="71">
        <v>47</v>
      </c>
      <c r="B881" s="72">
        <f t="shared" si="333"/>
        <v>47058</v>
      </c>
      <c r="C881" s="73">
        <f t="shared" si="314"/>
        <v>47087</v>
      </c>
      <c r="D881" s="67">
        <f t="shared" si="315"/>
        <v>30</v>
      </c>
      <c r="E881" s="67">
        <f t="shared" si="316"/>
        <v>11</v>
      </c>
      <c r="F881" s="74">
        <f t="shared" si="317"/>
        <v>47073</v>
      </c>
      <c r="G881" s="67">
        <f t="shared" si="318"/>
        <v>24346</v>
      </c>
      <c r="H881" s="75">
        <f t="shared" si="319"/>
        <v>1</v>
      </c>
      <c r="I881" s="76">
        <f t="shared" si="320"/>
        <v>1</v>
      </c>
      <c r="J881" s="76">
        <f t="shared" si="321"/>
        <v>1</v>
      </c>
      <c r="K881" s="67">
        <f t="shared" si="322"/>
        <v>0</v>
      </c>
      <c r="L881" s="67">
        <f t="shared" si="323"/>
        <v>0</v>
      </c>
      <c r="M881" s="77">
        <f t="shared" si="324"/>
        <v>0</v>
      </c>
      <c r="N881" s="76">
        <f t="shared" si="325"/>
        <v>1</v>
      </c>
      <c r="O881" s="77">
        <f t="shared" si="326"/>
        <v>0.9</v>
      </c>
      <c r="P881" s="76">
        <f t="shared" si="327"/>
        <v>0</v>
      </c>
      <c r="Q881" s="76">
        <f t="shared" si="328"/>
        <v>0</v>
      </c>
      <c r="R881" s="76">
        <f t="shared" si="329"/>
        <v>0.25</v>
      </c>
      <c r="S881" s="76">
        <f t="shared" si="330"/>
        <v>0.97826086956521741</v>
      </c>
      <c r="T881" s="76">
        <f t="shared" si="331"/>
        <v>0.98803634287888875</v>
      </c>
      <c r="U881" s="76">
        <f t="shared" si="332"/>
        <v>1</v>
      </c>
    </row>
    <row r="882" spans="1:21" x14ac:dyDescent="0.25">
      <c r="A882" s="71">
        <v>48</v>
      </c>
      <c r="B882" s="72">
        <f t="shared" si="333"/>
        <v>47088</v>
      </c>
      <c r="C882" s="73">
        <f t="shared" si="314"/>
        <v>47118</v>
      </c>
      <c r="D882" s="67">
        <f t="shared" si="315"/>
        <v>31</v>
      </c>
      <c r="E882" s="67">
        <f t="shared" si="316"/>
        <v>12</v>
      </c>
      <c r="F882" s="74">
        <f t="shared" si="317"/>
        <v>47103.5</v>
      </c>
      <c r="G882" s="67">
        <f t="shared" si="318"/>
        <v>24347</v>
      </c>
      <c r="H882" s="75">
        <f t="shared" si="319"/>
        <v>1</v>
      </c>
      <c r="I882" s="76">
        <f t="shared" si="320"/>
        <v>1</v>
      </c>
      <c r="J882" s="76">
        <f t="shared" si="321"/>
        <v>1</v>
      </c>
      <c r="K882" s="67">
        <f t="shared" si="322"/>
        <v>0</v>
      </c>
      <c r="L882" s="67">
        <f t="shared" si="323"/>
        <v>0</v>
      </c>
      <c r="M882" s="77">
        <f t="shared" si="324"/>
        <v>0</v>
      </c>
      <c r="N882" s="76">
        <f t="shared" si="325"/>
        <v>1</v>
      </c>
      <c r="O882" s="77">
        <f t="shared" si="326"/>
        <v>0.9</v>
      </c>
      <c r="P882" s="76">
        <f t="shared" si="327"/>
        <v>0</v>
      </c>
      <c r="Q882" s="76">
        <f t="shared" si="328"/>
        <v>0</v>
      </c>
      <c r="R882" s="76">
        <f t="shared" si="329"/>
        <v>8.3333333333333329E-2</v>
      </c>
      <c r="S882" s="76">
        <f t="shared" si="330"/>
        <v>0.97826086956521741</v>
      </c>
      <c r="T882" s="76">
        <f t="shared" si="331"/>
        <v>0.98731091237750934</v>
      </c>
      <c r="U882" s="76">
        <f t="shared" si="332"/>
        <v>1</v>
      </c>
    </row>
    <row r="883" spans="1:21" x14ac:dyDescent="0.25">
      <c r="A883" s="81" t="s">
        <v>1187</v>
      </c>
      <c r="B883" s="53">
        <f>EXP(SUMPRODUCT((rl_key=$A$832)*(rl_cons="Y")*rl_ln1p))</f>
        <v>1</v>
      </c>
      <c r="C883" s="53">
        <f>SUMPRODUCT($H$835:$H$882,$P$835:$P$882,$U$835:$U$882)/SUMPRODUCT($H$835:$H$882,$P$835:$P$882)</f>
        <v>1</v>
      </c>
      <c r="D883" s="53">
        <f>SUMPRODUCT($H$835:$H$882,$Q$835:$Q$882,$U$835:$U$882)/SUMPRODUCT($H$835:$H$882,$Q$835:$Q$882)</f>
        <v>1</v>
      </c>
      <c r="E883" s="53">
        <f>SUMPRODUCT($H$835:$H$882,$R$835:$R$882,$U$835:$U$882)/SUMPRODUCT($H$835:$H$882,$R$835:$R$882)</f>
        <v>1</v>
      </c>
      <c r="F883" s="172">
        <f>SUMPRODUCT($H$835:$H$882,$Q$835:$Q$882,$O$835:$O$882)/SUMPRODUCT($H$835:$H$882,$Q$835:$Q$882)</f>
        <v>0.90600747629467537</v>
      </c>
      <c r="G883" s="172">
        <f>SUMPRODUCT($H$835:$H$882,$R$835:$R$882,$O$835:$O$882)/SUMPRODUCT($H$835:$H$882,$R$835:$R$882)</f>
        <v>0.90033977631898854</v>
      </c>
    </row>
    <row r="886" spans="1:21" x14ac:dyDescent="0.25">
      <c r="A886" s="81" t="str">
        <f>INDEX(lr_key,16)</f>
        <v>BU-A|NJ</v>
      </c>
      <c r="B886" s="81" t="str">
        <f>INDEX(lr_state,16)</f>
        <v>NJ</v>
      </c>
      <c r="C886" s="55">
        <f>nr_TermMonths</f>
        <v>6</v>
      </c>
      <c r="D886" s="55">
        <f>IF(COUNTIF(se_state,$B886)=0,0,MATCH($B886,se_state,0))</f>
        <v>0</v>
      </c>
      <c r="E886" s="57">
        <f>IF($D886=0,0,INDEX(se_sum,$D886))</f>
        <v>0</v>
      </c>
      <c r="F886" s="172">
        <f>IF(N(INDEX(lr_mind,16))=0,1,INDEX(lr_mind,16))</f>
        <v>0.92</v>
      </c>
      <c r="G886" s="172">
        <f>IF(N(INDEX(lr_m0,16))=0,1,INDEX(lr_m0,16))</f>
        <v>0.91</v>
      </c>
      <c r="H886" s="54">
        <f>IF(N(INDEX(lr_m0asof,16))=0,DATE(nr_PlanYear-1,10,1),INDEX(lr_m0asof,16))</f>
        <v>46295</v>
      </c>
      <c r="I886" s="172">
        <f>IF(N(INDEX(lr_m1,16))=0,1,INDEX(lr_m1,16))</f>
        <v>0.91500000000000004</v>
      </c>
      <c r="J886" s="172">
        <f>INDEX(lr_mprior,16)</f>
        <v>0</v>
      </c>
      <c r="K886" s="172">
        <f>INDEX(lr_m2,16)</f>
        <v>0</v>
      </c>
      <c r="L886" s="81" t="b">
        <f>NOT(ISBLANK(INDEX(lr_netp,16)))</f>
        <v>0</v>
      </c>
      <c r="M886" s="52">
        <f>N(INDEX(lr_netp,16))</f>
        <v>0</v>
      </c>
      <c r="N886" s="52">
        <f>IF(ISBLANK(INDEX(lr_netp1,16)),$M$886,N(INDEX(lr_netp1,16)))</f>
        <v>0</v>
      </c>
      <c r="O886" s="55">
        <f>IF(AND(nr_ModAdjMaster="ON",INDEX(lr_modadj,16)="ON"),1,0)</f>
        <v>1</v>
      </c>
    </row>
    <row r="887" spans="1:21" x14ac:dyDescent="0.25">
      <c r="A887" s="81">
        <f>EDATE($H$886,-12)+1</f>
        <v>45931</v>
      </c>
      <c r="B887" s="81">
        <f>$H$886+1</f>
        <v>46296</v>
      </c>
      <c r="C887" s="81">
        <f>DATE(nr_PlanYear,12,31)+1</f>
        <v>46753</v>
      </c>
      <c r="D887" s="81">
        <f>DATE(nr_PlanYear+1,12,31)+1</f>
        <v>47119</v>
      </c>
      <c r="E887" s="81">
        <f>IF(N($J$886)=0,$F$887-($G$887-$F$887)/($C$887-$B$887)*($B$887-$A$887),$J$886)</f>
        <v>0.90600656455142237</v>
      </c>
      <c r="F887" s="81">
        <f>$G$886</f>
        <v>0.91</v>
      </c>
      <c r="G887" s="81">
        <f>$I$886</f>
        <v>0.91500000000000004</v>
      </c>
      <c r="H887" s="81">
        <f>IF(N($K$886)=0,$I$886,$K$886)</f>
        <v>0.91500000000000004</v>
      </c>
      <c r="I887" s="81">
        <f>($F$887-$E$887)/($B$887-$A$887)</f>
        <v>1.0940919037199081E-5</v>
      </c>
      <c r="J887" s="81">
        <f>($G$887-$F$887)/($C$887-$B$887)</f>
        <v>1.0940919037199135E-5</v>
      </c>
      <c r="K887" s="81">
        <f>($H$887-$G$887)/($D$887-$C$887)</f>
        <v>0</v>
      </c>
    </row>
    <row r="888" spans="1:21" ht="36" x14ac:dyDescent="0.25">
      <c r="A888" s="50" t="s">
        <v>211</v>
      </c>
      <c r="B888" s="50" t="s">
        <v>212</v>
      </c>
      <c r="C888" s="50" t="s">
        <v>213</v>
      </c>
      <c r="D888" s="50" t="s">
        <v>214</v>
      </c>
      <c r="E888" s="50" t="s">
        <v>215</v>
      </c>
      <c r="F888" s="50" t="s">
        <v>216</v>
      </c>
      <c r="G888" s="50" t="s">
        <v>217</v>
      </c>
      <c r="H888" s="50" t="s">
        <v>218</v>
      </c>
      <c r="I888" s="50" t="s">
        <v>219</v>
      </c>
      <c r="J888" s="50" t="s">
        <v>220</v>
      </c>
      <c r="K888" s="50" t="s">
        <v>221</v>
      </c>
      <c r="L888" s="50" t="s">
        <v>222</v>
      </c>
      <c r="M888" s="50" t="s">
        <v>223</v>
      </c>
      <c r="N888" s="50" t="s">
        <v>224</v>
      </c>
      <c r="O888" s="50" t="s">
        <v>225</v>
      </c>
      <c r="P888" s="50" t="s">
        <v>226</v>
      </c>
      <c r="Q888" s="50" t="s">
        <v>227</v>
      </c>
      <c r="R888" s="50" t="s">
        <v>228</v>
      </c>
      <c r="S888" s="50" t="s">
        <v>229</v>
      </c>
      <c r="T888" s="50" t="s">
        <v>230</v>
      </c>
      <c r="U888" s="50" t="s">
        <v>231</v>
      </c>
    </row>
    <row r="889" spans="1:21" x14ac:dyDescent="0.25">
      <c r="A889" s="71">
        <v>1</v>
      </c>
      <c r="B889" s="72">
        <f>DATE(nr_PlanYear-2,1,1)</f>
        <v>45658</v>
      </c>
      <c r="C889" s="73">
        <f t="shared" ref="C889:C936" si="334">EOMONTH($B889,0)</f>
        <v>45688</v>
      </c>
      <c r="D889" s="67">
        <f t="shared" ref="D889:D936" si="335">$C889-$B889+1</f>
        <v>31</v>
      </c>
      <c r="E889" s="67">
        <f t="shared" ref="E889:E936" si="336">MONTH($B889)</f>
        <v>1</v>
      </c>
      <c r="F889" s="74">
        <f t="shared" ref="F889:F936" si="337">($B889+$C889+1)/2</f>
        <v>45673.5</v>
      </c>
      <c r="G889" s="67">
        <f t="shared" ref="G889:G936" si="338">YEAR($B889)*12+MONTH($B889)-1</f>
        <v>24300</v>
      </c>
      <c r="H889" s="75">
        <f t="shared" ref="H889:H936" si="339">IF(OR(nr_SeasonOn="OFF",$D$886=0,$E$886=0),1,12*INDEX(se_block,$D$886,$E889)/$E$886)</f>
        <v>1</v>
      </c>
      <c r="I889" s="76">
        <f t="shared" ref="I889:I936" si="340">EXP(SUMPRODUCT((rl_eff&lt;$B889)*(rl_key=$A$886)*rl_ln1p))</f>
        <v>1</v>
      </c>
      <c r="J889" s="76">
        <f t="shared" ref="J889:J936" si="341">EXP(SUMPRODUCT((rl_eff&lt;=$C889)*(rl_key=$A$886)*rl_ln1p))</f>
        <v>1</v>
      </c>
      <c r="K889" s="67">
        <f t="shared" ref="K889:K936" si="342">COUNTIFS(rl_key,$A$886,rl_eff,"&gt;="&amp;$B889,rl_eff,"&lt;="&amp;$C889)</f>
        <v>0</v>
      </c>
      <c r="L889" s="67">
        <f t="shared" ref="L889:L936" si="343">SUMIFS(rl_daysafter,rl_key,$A$886,rl_effmonth,$B889,rl_first,1)</f>
        <v>0</v>
      </c>
      <c r="M889" s="77">
        <f t="shared" ref="M889:M936" si="344">IF($K889=0,0,MIN(1,$L889/$D889))</f>
        <v>0</v>
      </c>
      <c r="N889" s="76">
        <f t="shared" ref="N889:N936" si="345">IF($K889=0,$J889,(1-$M889)*$I889+$M889*$J889)</f>
        <v>1</v>
      </c>
      <c r="O889" s="77">
        <f t="shared" ref="O889:O936" si="346">IF($F889&lt;$B$887,$E$887+$I$887*($F889-$A$887),IF($F889&lt;$C$887,$F$887+$J$887*($F889-$B$887),$G$887+$K$887*($F889-$C$887)))</f>
        <v>0.90318927789934356</v>
      </c>
      <c r="P889" s="76">
        <f t="shared" ref="P889:P936" si="347">MIN(1,MAX(0,(nr_MEndPm1-$G889+0.5)/$C$886))-MIN(1,MAX(0,(nr_MStartPm1-1-$G889+0.5)/$C$886))</f>
        <v>0</v>
      </c>
      <c r="Q889" s="76">
        <f t="shared" ref="Q889:Q936" si="348">MIN(1,MAX(0,(nr_MEndP-$G889+0.5)/$C$886))-MIN(1,MAX(0,(nr_MStartP-1-$G889+0.5)/$C$886))</f>
        <v>0</v>
      </c>
      <c r="R889" s="76">
        <f t="shared" ref="R889:R936" si="349">MIN(1,MAX(0,(nr_MEndP1-$G889+0.5)/$C$886))-MIN(1,MAX(0,(nr_MStartP1-1-$G889+0.5)/$C$886))</f>
        <v>0</v>
      </c>
      <c r="S889" s="76">
        <f t="shared" ref="S889:S936" si="350">$N889*IF($O$886=1,$O889/$F$886,1)</f>
        <v>0.98172747597754728</v>
      </c>
      <c r="T889" s="76">
        <f t="shared" ref="T889:T936" si="351">IF($G889&lt;nr_MStartP,$S889,$T877*(1+IF($G889&lt;nr_MStartP1,$M$886,$N$886)))</f>
        <v>0.98172747597754728</v>
      </c>
      <c r="U889" s="76">
        <f t="shared" ref="U889:U936" si="352">IF($L$886,$T889,$N889)</f>
        <v>1</v>
      </c>
    </row>
    <row r="890" spans="1:21" x14ac:dyDescent="0.25">
      <c r="A890" s="71">
        <v>2</v>
      </c>
      <c r="B890" s="72">
        <f t="shared" ref="B890:B936" si="353">EDATE($B889,1)</f>
        <v>45689</v>
      </c>
      <c r="C890" s="73">
        <f t="shared" si="334"/>
        <v>45716</v>
      </c>
      <c r="D890" s="67">
        <f t="shared" si="335"/>
        <v>28</v>
      </c>
      <c r="E890" s="67">
        <f t="shared" si="336"/>
        <v>2</v>
      </c>
      <c r="F890" s="74">
        <f t="shared" si="337"/>
        <v>45703</v>
      </c>
      <c r="G890" s="67">
        <f t="shared" si="338"/>
        <v>24301</v>
      </c>
      <c r="H890" s="75">
        <f t="shared" si="339"/>
        <v>1</v>
      </c>
      <c r="I890" s="76">
        <f t="shared" si="340"/>
        <v>1</v>
      </c>
      <c r="J890" s="76">
        <f t="shared" si="341"/>
        <v>1</v>
      </c>
      <c r="K890" s="67">
        <f t="shared" si="342"/>
        <v>0</v>
      </c>
      <c r="L890" s="67">
        <f t="shared" si="343"/>
        <v>0</v>
      </c>
      <c r="M890" s="77">
        <f t="shared" si="344"/>
        <v>0</v>
      </c>
      <c r="N890" s="76">
        <f t="shared" si="345"/>
        <v>1</v>
      </c>
      <c r="O890" s="77">
        <f t="shared" si="346"/>
        <v>0.90351203501094102</v>
      </c>
      <c r="P890" s="76">
        <f t="shared" si="347"/>
        <v>0</v>
      </c>
      <c r="Q890" s="76">
        <f t="shared" si="348"/>
        <v>0</v>
      </c>
      <c r="R890" s="76">
        <f t="shared" si="349"/>
        <v>0</v>
      </c>
      <c r="S890" s="76">
        <f t="shared" si="350"/>
        <v>0.98207829892493581</v>
      </c>
      <c r="T890" s="76">
        <f t="shared" si="351"/>
        <v>0.98207829892493581</v>
      </c>
      <c r="U890" s="76">
        <f t="shared" si="352"/>
        <v>1</v>
      </c>
    </row>
    <row r="891" spans="1:21" x14ac:dyDescent="0.25">
      <c r="A891" s="71">
        <v>3</v>
      </c>
      <c r="B891" s="72">
        <f t="shared" si="353"/>
        <v>45717</v>
      </c>
      <c r="C891" s="73">
        <f t="shared" si="334"/>
        <v>45747</v>
      </c>
      <c r="D891" s="67">
        <f t="shared" si="335"/>
        <v>31</v>
      </c>
      <c r="E891" s="67">
        <f t="shared" si="336"/>
        <v>3</v>
      </c>
      <c r="F891" s="74">
        <f t="shared" si="337"/>
        <v>45732.5</v>
      </c>
      <c r="G891" s="67">
        <f t="shared" si="338"/>
        <v>24302</v>
      </c>
      <c r="H891" s="75">
        <f t="shared" si="339"/>
        <v>1</v>
      </c>
      <c r="I891" s="76">
        <f t="shared" si="340"/>
        <v>1</v>
      </c>
      <c r="J891" s="76">
        <f t="shared" si="341"/>
        <v>1</v>
      </c>
      <c r="K891" s="67">
        <f t="shared" si="342"/>
        <v>0</v>
      </c>
      <c r="L891" s="67">
        <f t="shared" si="343"/>
        <v>0</v>
      </c>
      <c r="M891" s="77">
        <f t="shared" si="344"/>
        <v>0</v>
      </c>
      <c r="N891" s="76">
        <f t="shared" si="345"/>
        <v>1</v>
      </c>
      <c r="O891" s="77">
        <f t="shared" si="346"/>
        <v>0.90383479212253837</v>
      </c>
      <c r="P891" s="76">
        <f t="shared" si="347"/>
        <v>0</v>
      </c>
      <c r="Q891" s="76">
        <f t="shared" si="348"/>
        <v>0</v>
      </c>
      <c r="R891" s="76">
        <f t="shared" si="349"/>
        <v>0</v>
      </c>
      <c r="S891" s="76">
        <f t="shared" si="350"/>
        <v>0.98242912187232423</v>
      </c>
      <c r="T891" s="76">
        <f t="shared" si="351"/>
        <v>0.98242912187232423</v>
      </c>
      <c r="U891" s="76">
        <f t="shared" si="352"/>
        <v>1</v>
      </c>
    </row>
    <row r="892" spans="1:21" x14ac:dyDescent="0.25">
      <c r="A892" s="71">
        <v>4</v>
      </c>
      <c r="B892" s="72">
        <f t="shared" si="353"/>
        <v>45748</v>
      </c>
      <c r="C892" s="73">
        <f t="shared" si="334"/>
        <v>45777</v>
      </c>
      <c r="D892" s="67">
        <f t="shared" si="335"/>
        <v>30</v>
      </c>
      <c r="E892" s="67">
        <f t="shared" si="336"/>
        <v>4</v>
      </c>
      <c r="F892" s="74">
        <f t="shared" si="337"/>
        <v>45763</v>
      </c>
      <c r="G892" s="67">
        <f t="shared" si="338"/>
        <v>24303</v>
      </c>
      <c r="H892" s="75">
        <f t="shared" si="339"/>
        <v>1</v>
      </c>
      <c r="I892" s="76">
        <f t="shared" si="340"/>
        <v>1</v>
      </c>
      <c r="J892" s="76">
        <f t="shared" si="341"/>
        <v>1</v>
      </c>
      <c r="K892" s="67">
        <f t="shared" si="342"/>
        <v>0</v>
      </c>
      <c r="L892" s="67">
        <f t="shared" si="343"/>
        <v>0</v>
      </c>
      <c r="M892" s="77">
        <f t="shared" si="344"/>
        <v>0</v>
      </c>
      <c r="N892" s="76">
        <f t="shared" si="345"/>
        <v>1</v>
      </c>
      <c r="O892" s="77">
        <f t="shared" si="346"/>
        <v>0.90416849015317291</v>
      </c>
      <c r="P892" s="76">
        <f t="shared" si="347"/>
        <v>0</v>
      </c>
      <c r="Q892" s="76">
        <f t="shared" si="348"/>
        <v>0</v>
      </c>
      <c r="R892" s="76">
        <f t="shared" si="349"/>
        <v>0</v>
      </c>
      <c r="S892" s="76">
        <f t="shared" si="350"/>
        <v>0.98279183712301399</v>
      </c>
      <c r="T892" s="76">
        <f t="shared" si="351"/>
        <v>0.98279183712301399</v>
      </c>
      <c r="U892" s="76">
        <f t="shared" si="352"/>
        <v>1</v>
      </c>
    </row>
    <row r="893" spans="1:21" x14ac:dyDescent="0.25">
      <c r="A893" s="71">
        <v>5</v>
      </c>
      <c r="B893" s="72">
        <f t="shared" si="353"/>
        <v>45778</v>
      </c>
      <c r="C893" s="73">
        <f t="shared" si="334"/>
        <v>45808</v>
      </c>
      <c r="D893" s="67">
        <f t="shared" si="335"/>
        <v>31</v>
      </c>
      <c r="E893" s="67">
        <f t="shared" si="336"/>
        <v>5</v>
      </c>
      <c r="F893" s="74">
        <f t="shared" si="337"/>
        <v>45793.5</v>
      </c>
      <c r="G893" s="67">
        <f t="shared" si="338"/>
        <v>24304</v>
      </c>
      <c r="H893" s="75">
        <f t="shared" si="339"/>
        <v>1</v>
      </c>
      <c r="I893" s="76">
        <f t="shared" si="340"/>
        <v>1</v>
      </c>
      <c r="J893" s="76">
        <f t="shared" si="341"/>
        <v>1</v>
      </c>
      <c r="K893" s="67">
        <f t="shared" si="342"/>
        <v>0</v>
      </c>
      <c r="L893" s="67">
        <f t="shared" si="343"/>
        <v>0</v>
      </c>
      <c r="M893" s="77">
        <f t="shared" si="344"/>
        <v>0</v>
      </c>
      <c r="N893" s="76">
        <f t="shared" si="345"/>
        <v>1</v>
      </c>
      <c r="O893" s="77">
        <f t="shared" si="346"/>
        <v>0.90450218818380745</v>
      </c>
      <c r="P893" s="76">
        <f t="shared" si="347"/>
        <v>0</v>
      </c>
      <c r="Q893" s="76">
        <f t="shared" si="348"/>
        <v>0</v>
      </c>
      <c r="R893" s="76">
        <f t="shared" si="349"/>
        <v>0</v>
      </c>
      <c r="S893" s="76">
        <f t="shared" si="350"/>
        <v>0.98315455237370375</v>
      </c>
      <c r="T893" s="76">
        <f t="shared" si="351"/>
        <v>0.98315455237370375</v>
      </c>
      <c r="U893" s="76">
        <f t="shared" si="352"/>
        <v>1</v>
      </c>
    </row>
    <row r="894" spans="1:21" x14ac:dyDescent="0.25">
      <c r="A894" s="71">
        <v>6</v>
      </c>
      <c r="B894" s="72">
        <f t="shared" si="353"/>
        <v>45809</v>
      </c>
      <c r="C894" s="73">
        <f t="shared" si="334"/>
        <v>45838</v>
      </c>
      <c r="D894" s="67">
        <f t="shared" si="335"/>
        <v>30</v>
      </c>
      <c r="E894" s="67">
        <f t="shared" si="336"/>
        <v>6</v>
      </c>
      <c r="F894" s="74">
        <f t="shared" si="337"/>
        <v>45824</v>
      </c>
      <c r="G894" s="67">
        <f t="shared" si="338"/>
        <v>24305</v>
      </c>
      <c r="H894" s="75">
        <f t="shared" si="339"/>
        <v>1</v>
      </c>
      <c r="I894" s="76">
        <f t="shared" si="340"/>
        <v>1</v>
      </c>
      <c r="J894" s="76">
        <f t="shared" si="341"/>
        <v>1</v>
      </c>
      <c r="K894" s="67">
        <f t="shared" si="342"/>
        <v>0</v>
      </c>
      <c r="L894" s="67">
        <f t="shared" si="343"/>
        <v>0</v>
      </c>
      <c r="M894" s="77">
        <f t="shared" si="344"/>
        <v>0</v>
      </c>
      <c r="N894" s="76">
        <f t="shared" si="345"/>
        <v>1</v>
      </c>
      <c r="O894" s="77">
        <f t="shared" si="346"/>
        <v>0.90483588621444211</v>
      </c>
      <c r="P894" s="76">
        <f t="shared" si="347"/>
        <v>0</v>
      </c>
      <c r="Q894" s="76">
        <f t="shared" si="348"/>
        <v>0</v>
      </c>
      <c r="R894" s="76">
        <f t="shared" si="349"/>
        <v>0</v>
      </c>
      <c r="S894" s="76">
        <f t="shared" si="350"/>
        <v>0.98351726762439351</v>
      </c>
      <c r="T894" s="76">
        <f t="shared" si="351"/>
        <v>0.98351726762439351</v>
      </c>
      <c r="U894" s="76">
        <f t="shared" si="352"/>
        <v>1</v>
      </c>
    </row>
    <row r="895" spans="1:21" x14ac:dyDescent="0.25">
      <c r="A895" s="71">
        <v>7</v>
      </c>
      <c r="B895" s="72">
        <f t="shared" si="353"/>
        <v>45839</v>
      </c>
      <c r="C895" s="73">
        <f t="shared" si="334"/>
        <v>45869</v>
      </c>
      <c r="D895" s="67">
        <f t="shared" si="335"/>
        <v>31</v>
      </c>
      <c r="E895" s="67">
        <f t="shared" si="336"/>
        <v>7</v>
      </c>
      <c r="F895" s="74">
        <f t="shared" si="337"/>
        <v>45854.5</v>
      </c>
      <c r="G895" s="67">
        <f t="shared" si="338"/>
        <v>24306</v>
      </c>
      <c r="H895" s="75">
        <f t="shared" si="339"/>
        <v>1</v>
      </c>
      <c r="I895" s="76">
        <f t="shared" si="340"/>
        <v>1</v>
      </c>
      <c r="J895" s="76">
        <f t="shared" si="341"/>
        <v>1</v>
      </c>
      <c r="K895" s="67">
        <f t="shared" si="342"/>
        <v>0</v>
      </c>
      <c r="L895" s="67">
        <f t="shared" si="343"/>
        <v>0</v>
      </c>
      <c r="M895" s="77">
        <f t="shared" si="344"/>
        <v>0</v>
      </c>
      <c r="N895" s="76">
        <f t="shared" si="345"/>
        <v>1</v>
      </c>
      <c r="O895" s="77">
        <f t="shared" si="346"/>
        <v>0.90516958424507665</v>
      </c>
      <c r="P895" s="76">
        <f t="shared" si="347"/>
        <v>8.333333333333337E-2</v>
      </c>
      <c r="Q895" s="76">
        <f t="shared" si="348"/>
        <v>0</v>
      </c>
      <c r="R895" s="76">
        <f t="shared" si="349"/>
        <v>0</v>
      </c>
      <c r="S895" s="76">
        <f t="shared" si="350"/>
        <v>0.98387998287508327</v>
      </c>
      <c r="T895" s="76">
        <f t="shared" si="351"/>
        <v>0.98387998287508327</v>
      </c>
      <c r="U895" s="76">
        <f t="shared" si="352"/>
        <v>1</v>
      </c>
    </row>
    <row r="896" spans="1:21" x14ac:dyDescent="0.25">
      <c r="A896" s="71">
        <v>8</v>
      </c>
      <c r="B896" s="72">
        <f t="shared" si="353"/>
        <v>45870</v>
      </c>
      <c r="C896" s="73">
        <f t="shared" si="334"/>
        <v>45900</v>
      </c>
      <c r="D896" s="67">
        <f t="shared" si="335"/>
        <v>31</v>
      </c>
      <c r="E896" s="67">
        <f t="shared" si="336"/>
        <v>8</v>
      </c>
      <c r="F896" s="74">
        <f t="shared" si="337"/>
        <v>45885.5</v>
      </c>
      <c r="G896" s="67">
        <f t="shared" si="338"/>
        <v>24307</v>
      </c>
      <c r="H896" s="75">
        <f t="shared" si="339"/>
        <v>1</v>
      </c>
      <c r="I896" s="76">
        <f t="shared" si="340"/>
        <v>1</v>
      </c>
      <c r="J896" s="76">
        <f t="shared" si="341"/>
        <v>1</v>
      </c>
      <c r="K896" s="67">
        <f t="shared" si="342"/>
        <v>0</v>
      </c>
      <c r="L896" s="67">
        <f t="shared" si="343"/>
        <v>0</v>
      </c>
      <c r="M896" s="77">
        <f t="shared" si="344"/>
        <v>0</v>
      </c>
      <c r="N896" s="76">
        <f t="shared" si="345"/>
        <v>1</v>
      </c>
      <c r="O896" s="77">
        <f t="shared" si="346"/>
        <v>0.90550875273522979</v>
      </c>
      <c r="P896" s="76">
        <f t="shared" si="347"/>
        <v>0.25</v>
      </c>
      <c r="Q896" s="76">
        <f t="shared" si="348"/>
        <v>0</v>
      </c>
      <c r="R896" s="76">
        <f t="shared" si="349"/>
        <v>0</v>
      </c>
      <c r="S896" s="76">
        <f t="shared" si="350"/>
        <v>0.98424864427742365</v>
      </c>
      <c r="T896" s="76">
        <f t="shared" si="351"/>
        <v>0.98424864427742365</v>
      </c>
      <c r="U896" s="76">
        <f t="shared" si="352"/>
        <v>1</v>
      </c>
    </row>
    <row r="897" spans="1:21" x14ac:dyDescent="0.25">
      <c r="A897" s="71">
        <v>9</v>
      </c>
      <c r="B897" s="72">
        <f t="shared" si="353"/>
        <v>45901</v>
      </c>
      <c r="C897" s="73">
        <f t="shared" si="334"/>
        <v>45930</v>
      </c>
      <c r="D897" s="67">
        <f t="shared" si="335"/>
        <v>30</v>
      </c>
      <c r="E897" s="67">
        <f t="shared" si="336"/>
        <v>9</v>
      </c>
      <c r="F897" s="74">
        <f t="shared" si="337"/>
        <v>45916</v>
      </c>
      <c r="G897" s="67">
        <f t="shared" si="338"/>
        <v>24308</v>
      </c>
      <c r="H897" s="75">
        <f t="shared" si="339"/>
        <v>1</v>
      </c>
      <c r="I897" s="76">
        <f t="shared" si="340"/>
        <v>1</v>
      </c>
      <c r="J897" s="76">
        <f t="shared" si="341"/>
        <v>1</v>
      </c>
      <c r="K897" s="67">
        <f t="shared" si="342"/>
        <v>0</v>
      </c>
      <c r="L897" s="67">
        <f t="shared" si="343"/>
        <v>0</v>
      </c>
      <c r="M897" s="77">
        <f t="shared" si="344"/>
        <v>0</v>
      </c>
      <c r="N897" s="76">
        <f t="shared" si="345"/>
        <v>1</v>
      </c>
      <c r="O897" s="77">
        <f t="shared" si="346"/>
        <v>0.90584245076586434</v>
      </c>
      <c r="P897" s="76">
        <f t="shared" si="347"/>
        <v>0.41666666666666663</v>
      </c>
      <c r="Q897" s="76">
        <f t="shared" si="348"/>
        <v>0</v>
      </c>
      <c r="R897" s="76">
        <f t="shared" si="349"/>
        <v>0</v>
      </c>
      <c r="S897" s="76">
        <f t="shared" si="350"/>
        <v>0.98461135952811341</v>
      </c>
      <c r="T897" s="76">
        <f t="shared" si="351"/>
        <v>0.98461135952811341</v>
      </c>
      <c r="U897" s="76">
        <f t="shared" si="352"/>
        <v>1</v>
      </c>
    </row>
    <row r="898" spans="1:21" x14ac:dyDescent="0.25">
      <c r="A898" s="71">
        <v>10</v>
      </c>
      <c r="B898" s="72">
        <f t="shared" si="353"/>
        <v>45931</v>
      </c>
      <c r="C898" s="73">
        <f t="shared" si="334"/>
        <v>45961</v>
      </c>
      <c r="D898" s="67">
        <f t="shared" si="335"/>
        <v>31</v>
      </c>
      <c r="E898" s="67">
        <f t="shared" si="336"/>
        <v>10</v>
      </c>
      <c r="F898" s="74">
        <f t="shared" si="337"/>
        <v>45946.5</v>
      </c>
      <c r="G898" s="67">
        <f t="shared" si="338"/>
        <v>24309</v>
      </c>
      <c r="H898" s="75">
        <f t="shared" si="339"/>
        <v>1</v>
      </c>
      <c r="I898" s="76">
        <f t="shared" si="340"/>
        <v>1</v>
      </c>
      <c r="J898" s="76">
        <f t="shared" si="341"/>
        <v>1</v>
      </c>
      <c r="K898" s="67">
        <f t="shared" si="342"/>
        <v>0</v>
      </c>
      <c r="L898" s="67">
        <f t="shared" si="343"/>
        <v>0</v>
      </c>
      <c r="M898" s="77">
        <f t="shared" si="344"/>
        <v>0</v>
      </c>
      <c r="N898" s="76">
        <f t="shared" si="345"/>
        <v>1</v>
      </c>
      <c r="O898" s="77">
        <f t="shared" si="346"/>
        <v>0.90617614879649899</v>
      </c>
      <c r="P898" s="76">
        <f t="shared" si="347"/>
        <v>0.58333333333333326</v>
      </c>
      <c r="Q898" s="76">
        <f t="shared" si="348"/>
        <v>0</v>
      </c>
      <c r="R898" s="76">
        <f t="shared" si="349"/>
        <v>0</v>
      </c>
      <c r="S898" s="76">
        <f t="shared" si="350"/>
        <v>0.98497407477880317</v>
      </c>
      <c r="T898" s="76">
        <f t="shared" si="351"/>
        <v>0.98497407477880317</v>
      </c>
      <c r="U898" s="76">
        <f t="shared" si="352"/>
        <v>1</v>
      </c>
    </row>
    <row r="899" spans="1:21" x14ac:dyDescent="0.25">
      <c r="A899" s="71">
        <v>11</v>
      </c>
      <c r="B899" s="72">
        <f t="shared" si="353"/>
        <v>45962</v>
      </c>
      <c r="C899" s="73">
        <f t="shared" si="334"/>
        <v>45991</v>
      </c>
      <c r="D899" s="67">
        <f t="shared" si="335"/>
        <v>30</v>
      </c>
      <c r="E899" s="67">
        <f t="shared" si="336"/>
        <v>11</v>
      </c>
      <c r="F899" s="74">
        <f t="shared" si="337"/>
        <v>45977</v>
      </c>
      <c r="G899" s="67">
        <f t="shared" si="338"/>
        <v>24310</v>
      </c>
      <c r="H899" s="75">
        <f t="shared" si="339"/>
        <v>1</v>
      </c>
      <c r="I899" s="76">
        <f t="shared" si="340"/>
        <v>1</v>
      </c>
      <c r="J899" s="76">
        <f t="shared" si="341"/>
        <v>1</v>
      </c>
      <c r="K899" s="67">
        <f t="shared" si="342"/>
        <v>0</v>
      </c>
      <c r="L899" s="67">
        <f t="shared" si="343"/>
        <v>0</v>
      </c>
      <c r="M899" s="77">
        <f t="shared" si="344"/>
        <v>0</v>
      </c>
      <c r="N899" s="76">
        <f t="shared" si="345"/>
        <v>1</v>
      </c>
      <c r="O899" s="77">
        <f t="shared" si="346"/>
        <v>0.90650984682713354</v>
      </c>
      <c r="P899" s="76">
        <f t="shared" si="347"/>
        <v>0.75</v>
      </c>
      <c r="Q899" s="76">
        <f t="shared" si="348"/>
        <v>0</v>
      </c>
      <c r="R899" s="76">
        <f t="shared" si="349"/>
        <v>0</v>
      </c>
      <c r="S899" s="76">
        <f t="shared" si="350"/>
        <v>0.98533679002949293</v>
      </c>
      <c r="T899" s="76">
        <f t="shared" si="351"/>
        <v>0.98533679002949293</v>
      </c>
      <c r="U899" s="76">
        <f t="shared" si="352"/>
        <v>1</v>
      </c>
    </row>
    <row r="900" spans="1:21" x14ac:dyDescent="0.25">
      <c r="A900" s="71">
        <v>12</v>
      </c>
      <c r="B900" s="72">
        <f t="shared" si="353"/>
        <v>45992</v>
      </c>
      <c r="C900" s="73">
        <f t="shared" si="334"/>
        <v>46022</v>
      </c>
      <c r="D900" s="67">
        <f t="shared" si="335"/>
        <v>31</v>
      </c>
      <c r="E900" s="67">
        <f t="shared" si="336"/>
        <v>12</v>
      </c>
      <c r="F900" s="74">
        <f t="shared" si="337"/>
        <v>46007.5</v>
      </c>
      <c r="G900" s="67">
        <f t="shared" si="338"/>
        <v>24311</v>
      </c>
      <c r="H900" s="75">
        <f t="shared" si="339"/>
        <v>1</v>
      </c>
      <c r="I900" s="76">
        <f t="shared" si="340"/>
        <v>1</v>
      </c>
      <c r="J900" s="76">
        <f t="shared" si="341"/>
        <v>1</v>
      </c>
      <c r="K900" s="67">
        <f t="shared" si="342"/>
        <v>0</v>
      </c>
      <c r="L900" s="67">
        <f t="shared" si="343"/>
        <v>0</v>
      </c>
      <c r="M900" s="77">
        <f t="shared" si="344"/>
        <v>0</v>
      </c>
      <c r="N900" s="76">
        <f t="shared" si="345"/>
        <v>1</v>
      </c>
      <c r="O900" s="77">
        <f t="shared" si="346"/>
        <v>0.90684354485776808</v>
      </c>
      <c r="P900" s="76">
        <f t="shared" si="347"/>
        <v>0.91666666666666663</v>
      </c>
      <c r="Q900" s="76">
        <f t="shared" si="348"/>
        <v>0</v>
      </c>
      <c r="R900" s="76">
        <f t="shared" si="349"/>
        <v>0</v>
      </c>
      <c r="S900" s="76">
        <f t="shared" si="350"/>
        <v>0.98569950528018269</v>
      </c>
      <c r="T900" s="76">
        <f t="shared" si="351"/>
        <v>0.98569950528018269</v>
      </c>
      <c r="U900" s="76">
        <f t="shared" si="352"/>
        <v>1</v>
      </c>
    </row>
    <row r="901" spans="1:21" x14ac:dyDescent="0.25">
      <c r="A901" s="71">
        <v>13</v>
      </c>
      <c r="B901" s="72">
        <f t="shared" si="353"/>
        <v>46023</v>
      </c>
      <c r="C901" s="73">
        <f t="shared" si="334"/>
        <v>46053</v>
      </c>
      <c r="D901" s="67">
        <f t="shared" si="335"/>
        <v>31</v>
      </c>
      <c r="E901" s="67">
        <f t="shared" si="336"/>
        <v>1</v>
      </c>
      <c r="F901" s="74">
        <f t="shared" si="337"/>
        <v>46038.5</v>
      </c>
      <c r="G901" s="67">
        <f t="shared" si="338"/>
        <v>24312</v>
      </c>
      <c r="H901" s="75">
        <f t="shared" si="339"/>
        <v>1</v>
      </c>
      <c r="I901" s="76">
        <f t="shared" si="340"/>
        <v>1</v>
      </c>
      <c r="J901" s="76">
        <f t="shared" si="341"/>
        <v>1</v>
      </c>
      <c r="K901" s="67">
        <f t="shared" si="342"/>
        <v>0</v>
      </c>
      <c r="L901" s="67">
        <f t="shared" si="343"/>
        <v>0</v>
      </c>
      <c r="M901" s="77">
        <f t="shared" si="344"/>
        <v>0</v>
      </c>
      <c r="N901" s="76">
        <f t="shared" si="345"/>
        <v>1</v>
      </c>
      <c r="O901" s="77">
        <f t="shared" si="346"/>
        <v>0.90718271334792122</v>
      </c>
      <c r="P901" s="76">
        <f t="shared" si="347"/>
        <v>1</v>
      </c>
      <c r="Q901" s="76">
        <f t="shared" si="348"/>
        <v>0</v>
      </c>
      <c r="R901" s="76">
        <f t="shared" si="349"/>
        <v>0</v>
      </c>
      <c r="S901" s="76">
        <f t="shared" si="350"/>
        <v>0.98606816668252306</v>
      </c>
      <c r="T901" s="76">
        <f t="shared" si="351"/>
        <v>0.98606816668252306</v>
      </c>
      <c r="U901" s="76">
        <f t="shared" si="352"/>
        <v>1</v>
      </c>
    </row>
    <row r="902" spans="1:21" x14ac:dyDescent="0.25">
      <c r="A902" s="71">
        <v>14</v>
      </c>
      <c r="B902" s="72">
        <f t="shared" si="353"/>
        <v>46054</v>
      </c>
      <c r="C902" s="73">
        <f t="shared" si="334"/>
        <v>46081</v>
      </c>
      <c r="D902" s="67">
        <f t="shared" si="335"/>
        <v>28</v>
      </c>
      <c r="E902" s="67">
        <f t="shared" si="336"/>
        <v>2</v>
      </c>
      <c r="F902" s="74">
        <f t="shared" si="337"/>
        <v>46068</v>
      </c>
      <c r="G902" s="67">
        <f t="shared" si="338"/>
        <v>24313</v>
      </c>
      <c r="H902" s="75">
        <f t="shared" si="339"/>
        <v>1</v>
      </c>
      <c r="I902" s="76">
        <f t="shared" si="340"/>
        <v>1</v>
      </c>
      <c r="J902" s="76">
        <f t="shared" si="341"/>
        <v>1</v>
      </c>
      <c r="K902" s="67">
        <f t="shared" si="342"/>
        <v>0</v>
      </c>
      <c r="L902" s="67">
        <f t="shared" si="343"/>
        <v>0</v>
      </c>
      <c r="M902" s="77">
        <f t="shared" si="344"/>
        <v>0</v>
      </c>
      <c r="N902" s="76">
        <f t="shared" si="345"/>
        <v>1</v>
      </c>
      <c r="O902" s="77">
        <f t="shared" si="346"/>
        <v>0.90750547045951868</v>
      </c>
      <c r="P902" s="76">
        <f t="shared" si="347"/>
        <v>1</v>
      </c>
      <c r="Q902" s="76">
        <f t="shared" si="348"/>
        <v>0</v>
      </c>
      <c r="R902" s="76">
        <f t="shared" si="349"/>
        <v>0</v>
      </c>
      <c r="S902" s="76">
        <f t="shared" si="350"/>
        <v>0.98641898962991159</v>
      </c>
      <c r="T902" s="76">
        <f t="shared" si="351"/>
        <v>0.98641898962991159</v>
      </c>
      <c r="U902" s="76">
        <f t="shared" si="352"/>
        <v>1</v>
      </c>
    </row>
    <row r="903" spans="1:21" x14ac:dyDescent="0.25">
      <c r="A903" s="71">
        <v>15</v>
      </c>
      <c r="B903" s="72">
        <f t="shared" si="353"/>
        <v>46082</v>
      </c>
      <c r="C903" s="73">
        <f t="shared" si="334"/>
        <v>46112</v>
      </c>
      <c r="D903" s="67">
        <f t="shared" si="335"/>
        <v>31</v>
      </c>
      <c r="E903" s="67">
        <f t="shared" si="336"/>
        <v>3</v>
      </c>
      <c r="F903" s="74">
        <f t="shared" si="337"/>
        <v>46097.5</v>
      </c>
      <c r="G903" s="67">
        <f t="shared" si="338"/>
        <v>24314</v>
      </c>
      <c r="H903" s="75">
        <f t="shared" si="339"/>
        <v>1</v>
      </c>
      <c r="I903" s="76">
        <f t="shared" si="340"/>
        <v>1</v>
      </c>
      <c r="J903" s="76">
        <f t="shared" si="341"/>
        <v>1</v>
      </c>
      <c r="K903" s="67">
        <f t="shared" si="342"/>
        <v>0</v>
      </c>
      <c r="L903" s="67">
        <f t="shared" si="343"/>
        <v>0</v>
      </c>
      <c r="M903" s="77">
        <f t="shared" si="344"/>
        <v>0</v>
      </c>
      <c r="N903" s="76">
        <f t="shared" si="345"/>
        <v>1</v>
      </c>
      <c r="O903" s="77">
        <f t="shared" si="346"/>
        <v>0.90782822757111603</v>
      </c>
      <c r="P903" s="76">
        <f t="shared" si="347"/>
        <v>1</v>
      </c>
      <c r="Q903" s="76">
        <f t="shared" si="348"/>
        <v>0</v>
      </c>
      <c r="R903" s="76">
        <f t="shared" si="349"/>
        <v>0</v>
      </c>
      <c r="S903" s="76">
        <f t="shared" si="350"/>
        <v>0.98676981257730001</v>
      </c>
      <c r="T903" s="76">
        <f t="shared" si="351"/>
        <v>0.98676981257730001</v>
      </c>
      <c r="U903" s="76">
        <f t="shared" si="352"/>
        <v>1</v>
      </c>
    </row>
    <row r="904" spans="1:21" x14ac:dyDescent="0.25">
      <c r="A904" s="71">
        <v>16</v>
      </c>
      <c r="B904" s="72">
        <f t="shared" si="353"/>
        <v>46113</v>
      </c>
      <c r="C904" s="73">
        <f t="shared" si="334"/>
        <v>46142</v>
      </c>
      <c r="D904" s="67">
        <f t="shared" si="335"/>
        <v>30</v>
      </c>
      <c r="E904" s="67">
        <f t="shared" si="336"/>
        <v>4</v>
      </c>
      <c r="F904" s="74">
        <f t="shared" si="337"/>
        <v>46128</v>
      </c>
      <c r="G904" s="67">
        <f t="shared" si="338"/>
        <v>24315</v>
      </c>
      <c r="H904" s="75">
        <f t="shared" si="339"/>
        <v>1</v>
      </c>
      <c r="I904" s="76">
        <f t="shared" si="340"/>
        <v>1</v>
      </c>
      <c r="J904" s="76">
        <f t="shared" si="341"/>
        <v>1.02</v>
      </c>
      <c r="K904" s="67">
        <f t="shared" si="342"/>
        <v>1</v>
      </c>
      <c r="L904" s="67">
        <f t="shared" si="343"/>
        <v>30</v>
      </c>
      <c r="M904" s="77">
        <f t="shared" si="344"/>
        <v>1</v>
      </c>
      <c r="N904" s="76">
        <f t="shared" si="345"/>
        <v>1.02</v>
      </c>
      <c r="O904" s="77">
        <f t="shared" si="346"/>
        <v>0.90816192560175057</v>
      </c>
      <c r="P904" s="76">
        <f t="shared" si="347"/>
        <v>1</v>
      </c>
      <c r="Q904" s="76">
        <f t="shared" si="348"/>
        <v>0</v>
      </c>
      <c r="R904" s="76">
        <f t="shared" si="349"/>
        <v>0</v>
      </c>
      <c r="S904" s="76">
        <f t="shared" si="350"/>
        <v>1.0068751783845495</v>
      </c>
      <c r="T904" s="76">
        <f t="shared" si="351"/>
        <v>1.0068751783845495</v>
      </c>
      <c r="U904" s="76">
        <f t="shared" si="352"/>
        <v>1.02</v>
      </c>
    </row>
    <row r="905" spans="1:21" x14ac:dyDescent="0.25">
      <c r="A905" s="71">
        <v>17</v>
      </c>
      <c r="B905" s="72">
        <f t="shared" si="353"/>
        <v>46143</v>
      </c>
      <c r="C905" s="73">
        <f t="shared" si="334"/>
        <v>46173</v>
      </c>
      <c r="D905" s="67">
        <f t="shared" si="335"/>
        <v>31</v>
      </c>
      <c r="E905" s="67">
        <f t="shared" si="336"/>
        <v>5</v>
      </c>
      <c r="F905" s="74">
        <f t="shared" si="337"/>
        <v>46158.5</v>
      </c>
      <c r="G905" s="67">
        <f t="shared" si="338"/>
        <v>24316</v>
      </c>
      <c r="H905" s="75">
        <f t="shared" si="339"/>
        <v>1</v>
      </c>
      <c r="I905" s="76">
        <f t="shared" si="340"/>
        <v>1.02</v>
      </c>
      <c r="J905" s="76">
        <f t="shared" si="341"/>
        <v>1.02</v>
      </c>
      <c r="K905" s="67">
        <f t="shared" si="342"/>
        <v>0</v>
      </c>
      <c r="L905" s="67">
        <f t="shared" si="343"/>
        <v>0</v>
      </c>
      <c r="M905" s="77">
        <f t="shared" si="344"/>
        <v>0</v>
      </c>
      <c r="N905" s="76">
        <f t="shared" si="345"/>
        <v>1.02</v>
      </c>
      <c r="O905" s="77">
        <f t="shared" si="346"/>
        <v>0.90849562363238512</v>
      </c>
      <c r="P905" s="76">
        <f t="shared" si="347"/>
        <v>1</v>
      </c>
      <c r="Q905" s="76">
        <f t="shared" si="348"/>
        <v>0</v>
      </c>
      <c r="R905" s="76">
        <f t="shared" si="349"/>
        <v>0</v>
      </c>
      <c r="S905" s="76">
        <f t="shared" si="350"/>
        <v>1.0072451479402531</v>
      </c>
      <c r="T905" s="76">
        <f t="shared" si="351"/>
        <v>1.0072451479402531</v>
      </c>
      <c r="U905" s="76">
        <f t="shared" si="352"/>
        <v>1.02</v>
      </c>
    </row>
    <row r="906" spans="1:21" x14ac:dyDescent="0.25">
      <c r="A906" s="71">
        <v>18</v>
      </c>
      <c r="B906" s="72">
        <f t="shared" si="353"/>
        <v>46174</v>
      </c>
      <c r="C906" s="73">
        <f t="shared" si="334"/>
        <v>46203</v>
      </c>
      <c r="D906" s="67">
        <f t="shared" si="335"/>
        <v>30</v>
      </c>
      <c r="E906" s="67">
        <f t="shared" si="336"/>
        <v>6</v>
      </c>
      <c r="F906" s="74">
        <f t="shared" si="337"/>
        <v>46189</v>
      </c>
      <c r="G906" s="67">
        <f t="shared" si="338"/>
        <v>24317</v>
      </c>
      <c r="H906" s="75">
        <f t="shared" si="339"/>
        <v>1</v>
      </c>
      <c r="I906" s="76">
        <f t="shared" si="340"/>
        <v>1.02</v>
      </c>
      <c r="J906" s="76">
        <f t="shared" si="341"/>
        <v>1.02</v>
      </c>
      <c r="K906" s="67">
        <f t="shared" si="342"/>
        <v>0</v>
      </c>
      <c r="L906" s="67">
        <f t="shared" si="343"/>
        <v>0</v>
      </c>
      <c r="M906" s="77">
        <f t="shared" si="344"/>
        <v>0</v>
      </c>
      <c r="N906" s="76">
        <f t="shared" si="345"/>
        <v>1.02</v>
      </c>
      <c r="O906" s="77">
        <f t="shared" si="346"/>
        <v>0.90882932166301977</v>
      </c>
      <c r="P906" s="76">
        <f t="shared" si="347"/>
        <v>1</v>
      </c>
      <c r="Q906" s="76">
        <f t="shared" si="348"/>
        <v>0</v>
      </c>
      <c r="R906" s="76">
        <f t="shared" si="349"/>
        <v>0</v>
      </c>
      <c r="S906" s="76">
        <f t="shared" si="350"/>
        <v>1.0076151174959567</v>
      </c>
      <c r="T906" s="76">
        <f t="shared" si="351"/>
        <v>1.0076151174959567</v>
      </c>
      <c r="U906" s="76">
        <f t="shared" si="352"/>
        <v>1.02</v>
      </c>
    </row>
    <row r="907" spans="1:21" x14ac:dyDescent="0.25">
      <c r="A907" s="71">
        <v>19</v>
      </c>
      <c r="B907" s="72">
        <f t="shared" si="353"/>
        <v>46204</v>
      </c>
      <c r="C907" s="73">
        <f t="shared" si="334"/>
        <v>46234</v>
      </c>
      <c r="D907" s="67">
        <f t="shared" si="335"/>
        <v>31</v>
      </c>
      <c r="E907" s="67">
        <f t="shared" si="336"/>
        <v>7</v>
      </c>
      <c r="F907" s="74">
        <f t="shared" si="337"/>
        <v>46219.5</v>
      </c>
      <c r="G907" s="67">
        <f t="shared" si="338"/>
        <v>24318</v>
      </c>
      <c r="H907" s="75">
        <f t="shared" si="339"/>
        <v>1</v>
      </c>
      <c r="I907" s="76">
        <f t="shared" si="340"/>
        <v>1.02</v>
      </c>
      <c r="J907" s="76">
        <f t="shared" si="341"/>
        <v>1.02</v>
      </c>
      <c r="K907" s="67">
        <f t="shared" si="342"/>
        <v>0</v>
      </c>
      <c r="L907" s="67">
        <f t="shared" si="343"/>
        <v>0</v>
      </c>
      <c r="M907" s="77">
        <f t="shared" si="344"/>
        <v>0</v>
      </c>
      <c r="N907" s="76">
        <f t="shared" si="345"/>
        <v>1.02</v>
      </c>
      <c r="O907" s="77">
        <f t="shared" si="346"/>
        <v>0.90916301969365432</v>
      </c>
      <c r="P907" s="76">
        <f t="shared" si="347"/>
        <v>0.91666666666666663</v>
      </c>
      <c r="Q907" s="76">
        <f t="shared" si="348"/>
        <v>8.333333333333337E-2</v>
      </c>
      <c r="R907" s="76">
        <f t="shared" si="349"/>
        <v>0</v>
      </c>
      <c r="S907" s="76">
        <f t="shared" si="350"/>
        <v>1.0079850870516602</v>
      </c>
      <c r="T907" s="76">
        <f t="shared" si="351"/>
        <v>1.0079850870516602</v>
      </c>
      <c r="U907" s="76">
        <f t="shared" si="352"/>
        <v>1.02</v>
      </c>
    </row>
    <row r="908" spans="1:21" x14ac:dyDescent="0.25">
      <c r="A908" s="71">
        <v>20</v>
      </c>
      <c r="B908" s="72">
        <f t="shared" si="353"/>
        <v>46235</v>
      </c>
      <c r="C908" s="73">
        <f t="shared" si="334"/>
        <v>46265</v>
      </c>
      <c r="D908" s="67">
        <f t="shared" si="335"/>
        <v>31</v>
      </c>
      <c r="E908" s="67">
        <f t="shared" si="336"/>
        <v>8</v>
      </c>
      <c r="F908" s="74">
        <f t="shared" si="337"/>
        <v>46250.5</v>
      </c>
      <c r="G908" s="67">
        <f t="shared" si="338"/>
        <v>24319</v>
      </c>
      <c r="H908" s="75">
        <f t="shared" si="339"/>
        <v>1</v>
      </c>
      <c r="I908" s="76">
        <f t="shared" si="340"/>
        <v>1.02</v>
      </c>
      <c r="J908" s="76">
        <f t="shared" si="341"/>
        <v>1.02</v>
      </c>
      <c r="K908" s="67">
        <f t="shared" si="342"/>
        <v>0</v>
      </c>
      <c r="L908" s="67">
        <f t="shared" si="343"/>
        <v>0</v>
      </c>
      <c r="M908" s="77">
        <f t="shared" si="344"/>
        <v>0</v>
      </c>
      <c r="N908" s="76">
        <f t="shared" si="345"/>
        <v>1.02</v>
      </c>
      <c r="O908" s="77">
        <f t="shared" si="346"/>
        <v>0.90950218818380746</v>
      </c>
      <c r="P908" s="76">
        <f t="shared" si="347"/>
        <v>0.75</v>
      </c>
      <c r="Q908" s="76">
        <f t="shared" si="348"/>
        <v>0.25</v>
      </c>
      <c r="R908" s="76">
        <f t="shared" si="349"/>
        <v>0</v>
      </c>
      <c r="S908" s="76">
        <f t="shared" si="350"/>
        <v>1.0083611216820474</v>
      </c>
      <c r="T908" s="76">
        <f t="shared" si="351"/>
        <v>1.0083611216820474</v>
      </c>
      <c r="U908" s="76">
        <f t="shared" si="352"/>
        <v>1.02</v>
      </c>
    </row>
    <row r="909" spans="1:21" x14ac:dyDescent="0.25">
      <c r="A909" s="71">
        <v>21</v>
      </c>
      <c r="B909" s="72">
        <f t="shared" si="353"/>
        <v>46266</v>
      </c>
      <c r="C909" s="73">
        <f t="shared" si="334"/>
        <v>46295</v>
      </c>
      <c r="D909" s="67">
        <f t="shared" si="335"/>
        <v>30</v>
      </c>
      <c r="E909" s="67">
        <f t="shared" si="336"/>
        <v>9</v>
      </c>
      <c r="F909" s="74">
        <f t="shared" si="337"/>
        <v>46281</v>
      </c>
      <c r="G909" s="67">
        <f t="shared" si="338"/>
        <v>24320</v>
      </c>
      <c r="H909" s="75">
        <f t="shared" si="339"/>
        <v>1</v>
      </c>
      <c r="I909" s="76">
        <f t="shared" si="340"/>
        <v>1.02</v>
      </c>
      <c r="J909" s="76">
        <f t="shared" si="341"/>
        <v>1.02</v>
      </c>
      <c r="K909" s="67">
        <f t="shared" si="342"/>
        <v>0</v>
      </c>
      <c r="L909" s="67">
        <f t="shared" si="343"/>
        <v>0</v>
      </c>
      <c r="M909" s="77">
        <f t="shared" si="344"/>
        <v>0</v>
      </c>
      <c r="N909" s="76">
        <f t="shared" si="345"/>
        <v>1.02</v>
      </c>
      <c r="O909" s="77">
        <f t="shared" si="346"/>
        <v>0.909835886214442</v>
      </c>
      <c r="P909" s="76">
        <f t="shared" si="347"/>
        <v>0.58333333333333337</v>
      </c>
      <c r="Q909" s="76">
        <f t="shared" si="348"/>
        <v>0.41666666666666663</v>
      </c>
      <c r="R909" s="76">
        <f t="shared" si="349"/>
        <v>0</v>
      </c>
      <c r="S909" s="76">
        <f t="shared" si="350"/>
        <v>1.008731091237751</v>
      </c>
      <c r="T909" s="76">
        <f t="shared" si="351"/>
        <v>1.008731091237751</v>
      </c>
      <c r="U909" s="76">
        <f t="shared" si="352"/>
        <v>1.02</v>
      </c>
    </row>
    <row r="910" spans="1:21" x14ac:dyDescent="0.25">
      <c r="A910" s="71">
        <v>22</v>
      </c>
      <c r="B910" s="72">
        <f t="shared" si="353"/>
        <v>46296</v>
      </c>
      <c r="C910" s="73">
        <f t="shared" si="334"/>
        <v>46326</v>
      </c>
      <c r="D910" s="67">
        <f t="shared" si="335"/>
        <v>31</v>
      </c>
      <c r="E910" s="67">
        <f t="shared" si="336"/>
        <v>10</v>
      </c>
      <c r="F910" s="74">
        <f t="shared" si="337"/>
        <v>46311.5</v>
      </c>
      <c r="G910" s="67">
        <f t="shared" si="338"/>
        <v>24321</v>
      </c>
      <c r="H910" s="75">
        <f t="shared" si="339"/>
        <v>1</v>
      </c>
      <c r="I910" s="76">
        <f t="shared" si="340"/>
        <v>1.02</v>
      </c>
      <c r="J910" s="76">
        <f t="shared" si="341"/>
        <v>1.02</v>
      </c>
      <c r="K910" s="67">
        <f t="shared" si="342"/>
        <v>0</v>
      </c>
      <c r="L910" s="67">
        <f t="shared" si="343"/>
        <v>0</v>
      </c>
      <c r="M910" s="77">
        <f t="shared" si="344"/>
        <v>0</v>
      </c>
      <c r="N910" s="76">
        <f t="shared" si="345"/>
        <v>1.02</v>
      </c>
      <c r="O910" s="77">
        <f t="shared" si="346"/>
        <v>0.91016958424507666</v>
      </c>
      <c r="P910" s="76">
        <f t="shared" si="347"/>
        <v>0.41666666666666669</v>
      </c>
      <c r="Q910" s="76">
        <f t="shared" si="348"/>
        <v>0.58333333333333326</v>
      </c>
      <c r="R910" s="76">
        <f t="shared" si="349"/>
        <v>0</v>
      </c>
      <c r="S910" s="76">
        <f t="shared" si="350"/>
        <v>1.0091010607934545</v>
      </c>
      <c r="T910" s="76">
        <f t="shared" si="351"/>
        <v>1.0091010607934545</v>
      </c>
      <c r="U910" s="76">
        <f t="shared" si="352"/>
        <v>1.02</v>
      </c>
    </row>
    <row r="911" spans="1:21" x14ac:dyDescent="0.25">
      <c r="A911" s="71">
        <v>23</v>
      </c>
      <c r="B911" s="72">
        <f t="shared" si="353"/>
        <v>46327</v>
      </c>
      <c r="C911" s="73">
        <f t="shared" si="334"/>
        <v>46356</v>
      </c>
      <c r="D911" s="67">
        <f t="shared" si="335"/>
        <v>30</v>
      </c>
      <c r="E911" s="67">
        <f t="shared" si="336"/>
        <v>11</v>
      </c>
      <c r="F911" s="74">
        <f t="shared" si="337"/>
        <v>46342</v>
      </c>
      <c r="G911" s="67">
        <f t="shared" si="338"/>
        <v>24322</v>
      </c>
      <c r="H911" s="75">
        <f t="shared" si="339"/>
        <v>1</v>
      </c>
      <c r="I911" s="76">
        <f t="shared" si="340"/>
        <v>1.02</v>
      </c>
      <c r="J911" s="76">
        <f t="shared" si="341"/>
        <v>1.02</v>
      </c>
      <c r="K911" s="67">
        <f t="shared" si="342"/>
        <v>0</v>
      </c>
      <c r="L911" s="67">
        <f t="shared" si="343"/>
        <v>0</v>
      </c>
      <c r="M911" s="77">
        <f t="shared" si="344"/>
        <v>0</v>
      </c>
      <c r="N911" s="76">
        <f t="shared" si="345"/>
        <v>1.02</v>
      </c>
      <c r="O911" s="77">
        <f t="shared" si="346"/>
        <v>0.9105032822757112</v>
      </c>
      <c r="P911" s="76">
        <f t="shared" si="347"/>
        <v>0.25</v>
      </c>
      <c r="Q911" s="76">
        <f t="shared" si="348"/>
        <v>0.75</v>
      </c>
      <c r="R911" s="76">
        <f t="shared" si="349"/>
        <v>0</v>
      </c>
      <c r="S911" s="76">
        <f t="shared" si="350"/>
        <v>1.0094710303491581</v>
      </c>
      <c r="T911" s="76">
        <f t="shared" si="351"/>
        <v>1.0094710303491581</v>
      </c>
      <c r="U911" s="76">
        <f t="shared" si="352"/>
        <v>1.02</v>
      </c>
    </row>
    <row r="912" spans="1:21" x14ac:dyDescent="0.25">
      <c r="A912" s="71">
        <v>24</v>
      </c>
      <c r="B912" s="72">
        <f t="shared" si="353"/>
        <v>46357</v>
      </c>
      <c r="C912" s="73">
        <f t="shared" si="334"/>
        <v>46387</v>
      </c>
      <c r="D912" s="67">
        <f t="shared" si="335"/>
        <v>31</v>
      </c>
      <c r="E912" s="67">
        <f t="shared" si="336"/>
        <v>12</v>
      </c>
      <c r="F912" s="74">
        <f t="shared" si="337"/>
        <v>46372.5</v>
      </c>
      <c r="G912" s="67">
        <f t="shared" si="338"/>
        <v>24323</v>
      </c>
      <c r="H912" s="75">
        <f t="shared" si="339"/>
        <v>1</v>
      </c>
      <c r="I912" s="76">
        <f t="shared" si="340"/>
        <v>1.02</v>
      </c>
      <c r="J912" s="76">
        <f t="shared" si="341"/>
        <v>1.02</v>
      </c>
      <c r="K912" s="67">
        <f t="shared" si="342"/>
        <v>0</v>
      </c>
      <c r="L912" s="67">
        <f t="shared" si="343"/>
        <v>0</v>
      </c>
      <c r="M912" s="77">
        <f t="shared" si="344"/>
        <v>0</v>
      </c>
      <c r="N912" s="76">
        <f t="shared" si="345"/>
        <v>1.02</v>
      </c>
      <c r="O912" s="77">
        <f t="shared" si="346"/>
        <v>0.91083698030634574</v>
      </c>
      <c r="P912" s="76">
        <f t="shared" si="347"/>
        <v>8.3333333333333329E-2</v>
      </c>
      <c r="Q912" s="76">
        <f t="shared" si="348"/>
        <v>0.91666666666666663</v>
      </c>
      <c r="R912" s="76">
        <f t="shared" si="349"/>
        <v>0</v>
      </c>
      <c r="S912" s="76">
        <f t="shared" si="350"/>
        <v>1.0098409999048616</v>
      </c>
      <c r="T912" s="76">
        <f t="shared" si="351"/>
        <v>1.0098409999048616</v>
      </c>
      <c r="U912" s="76">
        <f t="shared" si="352"/>
        <v>1.02</v>
      </c>
    </row>
    <row r="913" spans="1:21" x14ac:dyDescent="0.25">
      <c r="A913" s="71">
        <v>25</v>
      </c>
      <c r="B913" s="72">
        <f t="shared" si="353"/>
        <v>46388</v>
      </c>
      <c r="C913" s="73">
        <f t="shared" si="334"/>
        <v>46418</v>
      </c>
      <c r="D913" s="67">
        <f t="shared" si="335"/>
        <v>31</v>
      </c>
      <c r="E913" s="67">
        <f t="shared" si="336"/>
        <v>1</v>
      </c>
      <c r="F913" s="74">
        <f t="shared" si="337"/>
        <v>46403.5</v>
      </c>
      <c r="G913" s="67">
        <f t="shared" si="338"/>
        <v>24324</v>
      </c>
      <c r="H913" s="75">
        <f t="shared" si="339"/>
        <v>1</v>
      </c>
      <c r="I913" s="76">
        <f t="shared" si="340"/>
        <v>1.02</v>
      </c>
      <c r="J913" s="76">
        <f t="shared" si="341"/>
        <v>1.02</v>
      </c>
      <c r="K913" s="67">
        <f t="shared" si="342"/>
        <v>0</v>
      </c>
      <c r="L913" s="67">
        <f t="shared" si="343"/>
        <v>0</v>
      </c>
      <c r="M913" s="77">
        <f t="shared" si="344"/>
        <v>0</v>
      </c>
      <c r="N913" s="76">
        <f t="shared" si="345"/>
        <v>1.02</v>
      </c>
      <c r="O913" s="77">
        <f t="shared" si="346"/>
        <v>0.91117614879649889</v>
      </c>
      <c r="P913" s="76">
        <f t="shared" si="347"/>
        <v>0</v>
      </c>
      <c r="Q913" s="76">
        <f t="shared" si="348"/>
        <v>1</v>
      </c>
      <c r="R913" s="76">
        <f t="shared" si="349"/>
        <v>0</v>
      </c>
      <c r="S913" s="76">
        <f t="shared" si="350"/>
        <v>1.0102170345352488</v>
      </c>
      <c r="T913" s="76">
        <f t="shared" si="351"/>
        <v>0.98606816668252306</v>
      </c>
      <c r="U913" s="76">
        <f t="shared" si="352"/>
        <v>1.02</v>
      </c>
    </row>
    <row r="914" spans="1:21" x14ac:dyDescent="0.25">
      <c r="A914" s="71">
        <v>26</v>
      </c>
      <c r="B914" s="72">
        <f t="shared" si="353"/>
        <v>46419</v>
      </c>
      <c r="C914" s="73">
        <f t="shared" si="334"/>
        <v>46446</v>
      </c>
      <c r="D914" s="67">
        <f t="shared" si="335"/>
        <v>28</v>
      </c>
      <c r="E914" s="67">
        <f t="shared" si="336"/>
        <v>2</v>
      </c>
      <c r="F914" s="74">
        <f t="shared" si="337"/>
        <v>46433</v>
      </c>
      <c r="G914" s="67">
        <f t="shared" si="338"/>
        <v>24325</v>
      </c>
      <c r="H914" s="75">
        <f t="shared" si="339"/>
        <v>1</v>
      </c>
      <c r="I914" s="76">
        <f t="shared" si="340"/>
        <v>1.02</v>
      </c>
      <c r="J914" s="76">
        <f t="shared" si="341"/>
        <v>1.02</v>
      </c>
      <c r="K914" s="67">
        <f t="shared" si="342"/>
        <v>0</v>
      </c>
      <c r="L914" s="67">
        <f t="shared" si="343"/>
        <v>0</v>
      </c>
      <c r="M914" s="77">
        <f t="shared" si="344"/>
        <v>0</v>
      </c>
      <c r="N914" s="76">
        <f t="shared" si="345"/>
        <v>1.02</v>
      </c>
      <c r="O914" s="77">
        <f t="shared" si="346"/>
        <v>0.91149890590809635</v>
      </c>
      <c r="P914" s="76">
        <f t="shared" si="347"/>
        <v>0</v>
      </c>
      <c r="Q914" s="76">
        <f t="shared" si="348"/>
        <v>1</v>
      </c>
      <c r="R914" s="76">
        <f t="shared" si="349"/>
        <v>0</v>
      </c>
      <c r="S914" s="76">
        <f t="shared" si="350"/>
        <v>1.010574873941585</v>
      </c>
      <c r="T914" s="76">
        <f t="shared" si="351"/>
        <v>0.98641898962991159</v>
      </c>
      <c r="U914" s="76">
        <f t="shared" si="352"/>
        <v>1.02</v>
      </c>
    </row>
    <row r="915" spans="1:21" x14ac:dyDescent="0.25">
      <c r="A915" s="71">
        <v>27</v>
      </c>
      <c r="B915" s="72">
        <f t="shared" si="353"/>
        <v>46447</v>
      </c>
      <c r="C915" s="73">
        <f t="shared" si="334"/>
        <v>46477</v>
      </c>
      <c r="D915" s="67">
        <f t="shared" si="335"/>
        <v>31</v>
      </c>
      <c r="E915" s="67">
        <f t="shared" si="336"/>
        <v>3</v>
      </c>
      <c r="F915" s="74">
        <f t="shared" si="337"/>
        <v>46462.5</v>
      </c>
      <c r="G915" s="67">
        <f t="shared" si="338"/>
        <v>24326</v>
      </c>
      <c r="H915" s="75">
        <f t="shared" si="339"/>
        <v>1</v>
      </c>
      <c r="I915" s="76">
        <f t="shared" si="340"/>
        <v>1.02</v>
      </c>
      <c r="J915" s="76">
        <f t="shared" si="341"/>
        <v>1.02</v>
      </c>
      <c r="K915" s="67">
        <f t="shared" si="342"/>
        <v>0</v>
      </c>
      <c r="L915" s="67">
        <f t="shared" si="343"/>
        <v>0</v>
      </c>
      <c r="M915" s="77">
        <f t="shared" si="344"/>
        <v>0</v>
      </c>
      <c r="N915" s="76">
        <f t="shared" si="345"/>
        <v>1.02</v>
      </c>
      <c r="O915" s="77">
        <f t="shared" si="346"/>
        <v>0.9118216630196937</v>
      </c>
      <c r="P915" s="76">
        <f t="shared" si="347"/>
        <v>0</v>
      </c>
      <c r="Q915" s="76">
        <f t="shared" si="348"/>
        <v>1</v>
      </c>
      <c r="R915" s="76">
        <f t="shared" si="349"/>
        <v>0</v>
      </c>
      <c r="S915" s="76">
        <f t="shared" si="350"/>
        <v>1.0109327133479211</v>
      </c>
      <c r="T915" s="76">
        <f t="shared" si="351"/>
        <v>0.98676981257730001</v>
      </c>
      <c r="U915" s="76">
        <f t="shared" si="352"/>
        <v>1.02</v>
      </c>
    </row>
    <row r="916" spans="1:21" x14ac:dyDescent="0.25">
      <c r="A916" s="71">
        <v>28</v>
      </c>
      <c r="B916" s="72">
        <f t="shared" si="353"/>
        <v>46478</v>
      </c>
      <c r="C916" s="73">
        <f t="shared" si="334"/>
        <v>46507</v>
      </c>
      <c r="D916" s="67">
        <f t="shared" si="335"/>
        <v>30</v>
      </c>
      <c r="E916" s="67">
        <f t="shared" si="336"/>
        <v>4</v>
      </c>
      <c r="F916" s="74">
        <f t="shared" si="337"/>
        <v>46493</v>
      </c>
      <c r="G916" s="67">
        <f t="shared" si="338"/>
        <v>24327</v>
      </c>
      <c r="H916" s="75">
        <f t="shared" si="339"/>
        <v>1</v>
      </c>
      <c r="I916" s="76">
        <f t="shared" si="340"/>
        <v>1.02</v>
      </c>
      <c r="J916" s="76">
        <f t="shared" si="341"/>
        <v>1.02</v>
      </c>
      <c r="K916" s="67">
        <f t="shared" si="342"/>
        <v>0</v>
      </c>
      <c r="L916" s="67">
        <f t="shared" si="343"/>
        <v>0</v>
      </c>
      <c r="M916" s="77">
        <f t="shared" si="344"/>
        <v>0</v>
      </c>
      <c r="N916" s="76">
        <f t="shared" si="345"/>
        <v>1.02</v>
      </c>
      <c r="O916" s="77">
        <f t="shared" si="346"/>
        <v>0.91215536105032824</v>
      </c>
      <c r="P916" s="76">
        <f t="shared" si="347"/>
        <v>0</v>
      </c>
      <c r="Q916" s="76">
        <f t="shared" si="348"/>
        <v>1</v>
      </c>
      <c r="R916" s="76">
        <f t="shared" si="349"/>
        <v>0</v>
      </c>
      <c r="S916" s="76">
        <f t="shared" si="350"/>
        <v>1.0113026829036247</v>
      </c>
      <c r="T916" s="76">
        <f t="shared" si="351"/>
        <v>1.0068751783845495</v>
      </c>
      <c r="U916" s="76">
        <f t="shared" si="352"/>
        <v>1.02</v>
      </c>
    </row>
    <row r="917" spans="1:21" x14ac:dyDescent="0.25">
      <c r="A917" s="71">
        <v>29</v>
      </c>
      <c r="B917" s="72">
        <f t="shared" si="353"/>
        <v>46508</v>
      </c>
      <c r="C917" s="73">
        <f t="shared" si="334"/>
        <v>46538</v>
      </c>
      <c r="D917" s="67">
        <f t="shared" si="335"/>
        <v>31</v>
      </c>
      <c r="E917" s="67">
        <f t="shared" si="336"/>
        <v>5</v>
      </c>
      <c r="F917" s="74">
        <f t="shared" si="337"/>
        <v>46523.5</v>
      </c>
      <c r="G917" s="67">
        <f t="shared" si="338"/>
        <v>24328</v>
      </c>
      <c r="H917" s="75">
        <f t="shared" si="339"/>
        <v>1</v>
      </c>
      <c r="I917" s="76">
        <f t="shared" si="340"/>
        <v>1.02</v>
      </c>
      <c r="J917" s="76">
        <f t="shared" si="341"/>
        <v>1.02</v>
      </c>
      <c r="K917" s="67">
        <f t="shared" si="342"/>
        <v>0</v>
      </c>
      <c r="L917" s="67">
        <f t="shared" si="343"/>
        <v>0</v>
      </c>
      <c r="M917" s="77">
        <f t="shared" si="344"/>
        <v>0</v>
      </c>
      <c r="N917" s="76">
        <f t="shared" si="345"/>
        <v>1.02</v>
      </c>
      <c r="O917" s="77">
        <f t="shared" si="346"/>
        <v>0.91248905908096278</v>
      </c>
      <c r="P917" s="76">
        <f t="shared" si="347"/>
        <v>0</v>
      </c>
      <c r="Q917" s="76">
        <f t="shared" si="348"/>
        <v>1</v>
      </c>
      <c r="R917" s="76">
        <f t="shared" si="349"/>
        <v>0</v>
      </c>
      <c r="S917" s="76">
        <f t="shared" si="350"/>
        <v>1.0116726524593282</v>
      </c>
      <c r="T917" s="76">
        <f t="shared" si="351"/>
        <v>1.0072451479402531</v>
      </c>
      <c r="U917" s="76">
        <f t="shared" si="352"/>
        <v>1.02</v>
      </c>
    </row>
    <row r="918" spans="1:21" x14ac:dyDescent="0.25">
      <c r="A918" s="71">
        <v>30</v>
      </c>
      <c r="B918" s="72">
        <f t="shared" si="353"/>
        <v>46539</v>
      </c>
      <c r="C918" s="73">
        <f t="shared" si="334"/>
        <v>46568</v>
      </c>
      <c r="D918" s="67">
        <f t="shared" si="335"/>
        <v>30</v>
      </c>
      <c r="E918" s="67">
        <f t="shared" si="336"/>
        <v>6</v>
      </c>
      <c r="F918" s="74">
        <f t="shared" si="337"/>
        <v>46554</v>
      </c>
      <c r="G918" s="67">
        <f t="shared" si="338"/>
        <v>24329</v>
      </c>
      <c r="H918" s="75">
        <f t="shared" si="339"/>
        <v>1</v>
      </c>
      <c r="I918" s="76">
        <f t="shared" si="340"/>
        <v>1.02</v>
      </c>
      <c r="J918" s="76">
        <f t="shared" si="341"/>
        <v>1.02</v>
      </c>
      <c r="K918" s="67">
        <f t="shared" si="342"/>
        <v>0</v>
      </c>
      <c r="L918" s="67">
        <f t="shared" si="343"/>
        <v>0</v>
      </c>
      <c r="M918" s="77">
        <f t="shared" si="344"/>
        <v>0</v>
      </c>
      <c r="N918" s="76">
        <f t="shared" si="345"/>
        <v>1.02</v>
      </c>
      <c r="O918" s="77">
        <f t="shared" si="346"/>
        <v>0.91282275711159744</v>
      </c>
      <c r="P918" s="76">
        <f t="shared" si="347"/>
        <v>0</v>
      </c>
      <c r="Q918" s="76">
        <f t="shared" si="348"/>
        <v>1</v>
      </c>
      <c r="R918" s="76">
        <f t="shared" si="349"/>
        <v>0</v>
      </c>
      <c r="S918" s="76">
        <f t="shared" si="350"/>
        <v>1.0120426220150318</v>
      </c>
      <c r="T918" s="76">
        <f t="shared" si="351"/>
        <v>1.0076151174959567</v>
      </c>
      <c r="U918" s="76">
        <f t="shared" si="352"/>
        <v>1.02</v>
      </c>
    </row>
    <row r="919" spans="1:21" x14ac:dyDescent="0.25">
      <c r="A919" s="71">
        <v>31</v>
      </c>
      <c r="B919" s="72">
        <f t="shared" si="353"/>
        <v>46569</v>
      </c>
      <c r="C919" s="73">
        <f t="shared" si="334"/>
        <v>46599</v>
      </c>
      <c r="D919" s="67">
        <f t="shared" si="335"/>
        <v>31</v>
      </c>
      <c r="E919" s="67">
        <f t="shared" si="336"/>
        <v>7</v>
      </c>
      <c r="F919" s="74">
        <f t="shared" si="337"/>
        <v>46584.5</v>
      </c>
      <c r="G919" s="67">
        <f t="shared" si="338"/>
        <v>24330</v>
      </c>
      <c r="H919" s="75">
        <f t="shared" si="339"/>
        <v>1</v>
      </c>
      <c r="I919" s="76">
        <f t="shared" si="340"/>
        <v>1.02</v>
      </c>
      <c r="J919" s="76">
        <f t="shared" si="341"/>
        <v>1.02</v>
      </c>
      <c r="K919" s="67">
        <f t="shared" si="342"/>
        <v>0</v>
      </c>
      <c r="L919" s="67">
        <f t="shared" si="343"/>
        <v>0</v>
      </c>
      <c r="M919" s="77">
        <f t="shared" si="344"/>
        <v>0</v>
      </c>
      <c r="N919" s="76">
        <f t="shared" si="345"/>
        <v>1.02</v>
      </c>
      <c r="O919" s="77">
        <f t="shared" si="346"/>
        <v>0.91315645514223198</v>
      </c>
      <c r="P919" s="76">
        <f t="shared" si="347"/>
        <v>0</v>
      </c>
      <c r="Q919" s="76">
        <f t="shared" si="348"/>
        <v>0.91666666666666663</v>
      </c>
      <c r="R919" s="76">
        <f t="shared" si="349"/>
        <v>8.333333333333337E-2</v>
      </c>
      <c r="S919" s="76">
        <f t="shared" si="350"/>
        <v>1.0124125915707354</v>
      </c>
      <c r="T919" s="76">
        <f t="shared" si="351"/>
        <v>1.0079850870516602</v>
      </c>
      <c r="U919" s="76">
        <f t="shared" si="352"/>
        <v>1.02</v>
      </c>
    </row>
    <row r="920" spans="1:21" x14ac:dyDescent="0.25">
      <c r="A920" s="71">
        <v>32</v>
      </c>
      <c r="B920" s="72">
        <f t="shared" si="353"/>
        <v>46600</v>
      </c>
      <c r="C920" s="73">
        <f t="shared" si="334"/>
        <v>46630</v>
      </c>
      <c r="D920" s="67">
        <f t="shared" si="335"/>
        <v>31</v>
      </c>
      <c r="E920" s="67">
        <f t="shared" si="336"/>
        <v>8</v>
      </c>
      <c r="F920" s="74">
        <f t="shared" si="337"/>
        <v>46615.5</v>
      </c>
      <c r="G920" s="67">
        <f t="shared" si="338"/>
        <v>24331</v>
      </c>
      <c r="H920" s="75">
        <f t="shared" si="339"/>
        <v>1</v>
      </c>
      <c r="I920" s="76">
        <f t="shared" si="340"/>
        <v>1.02</v>
      </c>
      <c r="J920" s="76">
        <f t="shared" si="341"/>
        <v>1.02</v>
      </c>
      <c r="K920" s="67">
        <f t="shared" si="342"/>
        <v>0</v>
      </c>
      <c r="L920" s="67">
        <f t="shared" si="343"/>
        <v>0</v>
      </c>
      <c r="M920" s="77">
        <f t="shared" si="344"/>
        <v>0</v>
      </c>
      <c r="N920" s="76">
        <f t="shared" si="345"/>
        <v>1.02</v>
      </c>
      <c r="O920" s="77">
        <f t="shared" si="346"/>
        <v>0.91349562363238512</v>
      </c>
      <c r="P920" s="76">
        <f t="shared" si="347"/>
        <v>0</v>
      </c>
      <c r="Q920" s="76">
        <f t="shared" si="348"/>
        <v>0.75</v>
      </c>
      <c r="R920" s="76">
        <f t="shared" si="349"/>
        <v>0.25</v>
      </c>
      <c r="S920" s="76">
        <f t="shared" si="350"/>
        <v>1.0127886262011225</v>
      </c>
      <c r="T920" s="76">
        <f t="shared" si="351"/>
        <v>1.0083611216820474</v>
      </c>
      <c r="U920" s="76">
        <f t="shared" si="352"/>
        <v>1.02</v>
      </c>
    </row>
    <row r="921" spans="1:21" x14ac:dyDescent="0.25">
      <c r="A921" s="71">
        <v>33</v>
      </c>
      <c r="B921" s="72">
        <f t="shared" si="353"/>
        <v>46631</v>
      </c>
      <c r="C921" s="73">
        <f t="shared" si="334"/>
        <v>46660</v>
      </c>
      <c r="D921" s="67">
        <f t="shared" si="335"/>
        <v>30</v>
      </c>
      <c r="E921" s="67">
        <f t="shared" si="336"/>
        <v>9</v>
      </c>
      <c r="F921" s="74">
        <f t="shared" si="337"/>
        <v>46646</v>
      </c>
      <c r="G921" s="67">
        <f t="shared" si="338"/>
        <v>24332</v>
      </c>
      <c r="H921" s="75">
        <f t="shared" si="339"/>
        <v>1</v>
      </c>
      <c r="I921" s="76">
        <f t="shared" si="340"/>
        <v>1.02</v>
      </c>
      <c r="J921" s="76">
        <f t="shared" si="341"/>
        <v>1.02</v>
      </c>
      <c r="K921" s="67">
        <f t="shared" si="342"/>
        <v>0</v>
      </c>
      <c r="L921" s="67">
        <f t="shared" si="343"/>
        <v>0</v>
      </c>
      <c r="M921" s="77">
        <f t="shared" si="344"/>
        <v>0</v>
      </c>
      <c r="N921" s="76">
        <f t="shared" si="345"/>
        <v>1.02</v>
      </c>
      <c r="O921" s="77">
        <f t="shared" si="346"/>
        <v>0.91382932166301978</v>
      </c>
      <c r="P921" s="76">
        <f t="shared" si="347"/>
        <v>0</v>
      </c>
      <c r="Q921" s="76">
        <f t="shared" si="348"/>
        <v>0.58333333333333337</v>
      </c>
      <c r="R921" s="76">
        <f t="shared" si="349"/>
        <v>0.41666666666666663</v>
      </c>
      <c r="S921" s="76">
        <f t="shared" si="350"/>
        <v>1.0131585957568263</v>
      </c>
      <c r="T921" s="76">
        <f t="shared" si="351"/>
        <v>1.008731091237751</v>
      </c>
      <c r="U921" s="76">
        <f t="shared" si="352"/>
        <v>1.02</v>
      </c>
    </row>
    <row r="922" spans="1:21" x14ac:dyDescent="0.25">
      <c r="A922" s="71">
        <v>34</v>
      </c>
      <c r="B922" s="72">
        <f t="shared" si="353"/>
        <v>46661</v>
      </c>
      <c r="C922" s="73">
        <f t="shared" si="334"/>
        <v>46691</v>
      </c>
      <c r="D922" s="67">
        <f t="shared" si="335"/>
        <v>31</v>
      </c>
      <c r="E922" s="67">
        <f t="shared" si="336"/>
        <v>10</v>
      </c>
      <c r="F922" s="74">
        <f t="shared" si="337"/>
        <v>46676.5</v>
      </c>
      <c r="G922" s="67">
        <f t="shared" si="338"/>
        <v>24333</v>
      </c>
      <c r="H922" s="75">
        <f t="shared" si="339"/>
        <v>1</v>
      </c>
      <c r="I922" s="76">
        <f t="shared" si="340"/>
        <v>1.02</v>
      </c>
      <c r="J922" s="76">
        <f t="shared" si="341"/>
        <v>1.02</v>
      </c>
      <c r="K922" s="67">
        <f t="shared" si="342"/>
        <v>0</v>
      </c>
      <c r="L922" s="67">
        <f t="shared" si="343"/>
        <v>0</v>
      </c>
      <c r="M922" s="77">
        <f t="shared" si="344"/>
        <v>0</v>
      </c>
      <c r="N922" s="76">
        <f t="shared" si="345"/>
        <v>1.02</v>
      </c>
      <c r="O922" s="77">
        <f t="shared" si="346"/>
        <v>0.91416301969365432</v>
      </c>
      <c r="P922" s="76">
        <f t="shared" si="347"/>
        <v>0</v>
      </c>
      <c r="Q922" s="76">
        <f t="shared" si="348"/>
        <v>0.41666666666666669</v>
      </c>
      <c r="R922" s="76">
        <f t="shared" si="349"/>
        <v>0.58333333333333326</v>
      </c>
      <c r="S922" s="76">
        <f t="shared" si="350"/>
        <v>1.0135285653125297</v>
      </c>
      <c r="T922" s="76">
        <f t="shared" si="351"/>
        <v>1.0091010607934545</v>
      </c>
      <c r="U922" s="76">
        <f t="shared" si="352"/>
        <v>1.02</v>
      </c>
    </row>
    <row r="923" spans="1:21" x14ac:dyDescent="0.25">
      <c r="A923" s="71">
        <v>35</v>
      </c>
      <c r="B923" s="72">
        <f t="shared" si="353"/>
        <v>46692</v>
      </c>
      <c r="C923" s="73">
        <f t="shared" si="334"/>
        <v>46721</v>
      </c>
      <c r="D923" s="67">
        <f t="shared" si="335"/>
        <v>30</v>
      </c>
      <c r="E923" s="67">
        <f t="shared" si="336"/>
        <v>11</v>
      </c>
      <c r="F923" s="74">
        <f t="shared" si="337"/>
        <v>46707</v>
      </c>
      <c r="G923" s="67">
        <f t="shared" si="338"/>
        <v>24334</v>
      </c>
      <c r="H923" s="75">
        <f t="shared" si="339"/>
        <v>1</v>
      </c>
      <c r="I923" s="76">
        <f t="shared" si="340"/>
        <v>1.02</v>
      </c>
      <c r="J923" s="76">
        <f t="shared" si="341"/>
        <v>1.02</v>
      </c>
      <c r="K923" s="67">
        <f t="shared" si="342"/>
        <v>0</v>
      </c>
      <c r="L923" s="67">
        <f t="shared" si="343"/>
        <v>0</v>
      </c>
      <c r="M923" s="77">
        <f t="shared" si="344"/>
        <v>0</v>
      </c>
      <c r="N923" s="76">
        <f t="shared" si="345"/>
        <v>1.02</v>
      </c>
      <c r="O923" s="77">
        <f t="shared" si="346"/>
        <v>0.91449671772428887</v>
      </c>
      <c r="P923" s="76">
        <f t="shared" si="347"/>
        <v>0</v>
      </c>
      <c r="Q923" s="76">
        <f t="shared" si="348"/>
        <v>0.25</v>
      </c>
      <c r="R923" s="76">
        <f t="shared" si="349"/>
        <v>0.75</v>
      </c>
      <c r="S923" s="76">
        <f t="shared" si="350"/>
        <v>1.0138985348682332</v>
      </c>
      <c r="T923" s="76">
        <f t="shared" si="351"/>
        <v>1.0094710303491581</v>
      </c>
      <c r="U923" s="76">
        <f t="shared" si="352"/>
        <v>1.02</v>
      </c>
    </row>
    <row r="924" spans="1:21" x14ac:dyDescent="0.25">
      <c r="A924" s="71">
        <v>36</v>
      </c>
      <c r="B924" s="72">
        <f t="shared" si="353"/>
        <v>46722</v>
      </c>
      <c r="C924" s="73">
        <f t="shared" si="334"/>
        <v>46752</v>
      </c>
      <c r="D924" s="67">
        <f t="shared" si="335"/>
        <v>31</v>
      </c>
      <c r="E924" s="67">
        <f t="shared" si="336"/>
        <v>12</v>
      </c>
      <c r="F924" s="74">
        <f t="shared" si="337"/>
        <v>46737.5</v>
      </c>
      <c r="G924" s="67">
        <f t="shared" si="338"/>
        <v>24335</v>
      </c>
      <c r="H924" s="75">
        <f t="shared" si="339"/>
        <v>1</v>
      </c>
      <c r="I924" s="76">
        <f t="shared" si="340"/>
        <v>1.02</v>
      </c>
      <c r="J924" s="76">
        <f t="shared" si="341"/>
        <v>1.02</v>
      </c>
      <c r="K924" s="67">
        <f t="shared" si="342"/>
        <v>0</v>
      </c>
      <c r="L924" s="67">
        <f t="shared" si="343"/>
        <v>0</v>
      </c>
      <c r="M924" s="77">
        <f t="shared" si="344"/>
        <v>0</v>
      </c>
      <c r="N924" s="76">
        <f t="shared" si="345"/>
        <v>1.02</v>
      </c>
      <c r="O924" s="77">
        <f t="shared" si="346"/>
        <v>0.91483041575492341</v>
      </c>
      <c r="P924" s="76">
        <f t="shared" si="347"/>
        <v>0</v>
      </c>
      <c r="Q924" s="76">
        <f t="shared" si="348"/>
        <v>8.3333333333333329E-2</v>
      </c>
      <c r="R924" s="76">
        <f t="shared" si="349"/>
        <v>0.91666666666666663</v>
      </c>
      <c r="S924" s="76">
        <f t="shared" si="350"/>
        <v>1.0142685044239368</v>
      </c>
      <c r="T924" s="76">
        <f t="shared" si="351"/>
        <v>1.0098409999048616</v>
      </c>
      <c r="U924" s="76">
        <f t="shared" si="352"/>
        <v>1.02</v>
      </c>
    </row>
    <row r="925" spans="1:21" x14ac:dyDescent="0.25">
      <c r="A925" s="71">
        <v>37</v>
      </c>
      <c r="B925" s="72">
        <f t="shared" si="353"/>
        <v>46753</v>
      </c>
      <c r="C925" s="73">
        <f t="shared" si="334"/>
        <v>46783</v>
      </c>
      <c r="D925" s="67">
        <f t="shared" si="335"/>
        <v>31</v>
      </c>
      <c r="E925" s="67">
        <f t="shared" si="336"/>
        <v>1</v>
      </c>
      <c r="F925" s="74">
        <f t="shared" si="337"/>
        <v>46768.5</v>
      </c>
      <c r="G925" s="67">
        <f t="shared" si="338"/>
        <v>24336</v>
      </c>
      <c r="H925" s="75">
        <f t="shared" si="339"/>
        <v>1</v>
      </c>
      <c r="I925" s="76">
        <f t="shared" si="340"/>
        <v>1.02</v>
      </c>
      <c r="J925" s="76">
        <f t="shared" si="341"/>
        <v>1.02</v>
      </c>
      <c r="K925" s="67">
        <f t="shared" si="342"/>
        <v>0</v>
      </c>
      <c r="L925" s="67">
        <f t="shared" si="343"/>
        <v>0</v>
      </c>
      <c r="M925" s="77">
        <f t="shared" si="344"/>
        <v>0</v>
      </c>
      <c r="N925" s="76">
        <f t="shared" si="345"/>
        <v>1.02</v>
      </c>
      <c r="O925" s="77">
        <f t="shared" si="346"/>
        <v>0.91500000000000004</v>
      </c>
      <c r="P925" s="76">
        <f t="shared" si="347"/>
        <v>0</v>
      </c>
      <c r="Q925" s="76">
        <f t="shared" si="348"/>
        <v>0</v>
      </c>
      <c r="R925" s="76">
        <f t="shared" si="349"/>
        <v>1</v>
      </c>
      <c r="S925" s="76">
        <f t="shared" si="350"/>
        <v>1.0144565217391304</v>
      </c>
      <c r="T925" s="76">
        <f t="shared" si="351"/>
        <v>0.98606816668252306</v>
      </c>
      <c r="U925" s="76">
        <f t="shared" si="352"/>
        <v>1.02</v>
      </c>
    </row>
    <row r="926" spans="1:21" x14ac:dyDescent="0.25">
      <c r="A926" s="71">
        <v>38</v>
      </c>
      <c r="B926" s="72">
        <f t="shared" si="353"/>
        <v>46784</v>
      </c>
      <c r="C926" s="73">
        <f t="shared" si="334"/>
        <v>46812</v>
      </c>
      <c r="D926" s="67">
        <f t="shared" si="335"/>
        <v>29</v>
      </c>
      <c r="E926" s="67">
        <f t="shared" si="336"/>
        <v>2</v>
      </c>
      <c r="F926" s="74">
        <f t="shared" si="337"/>
        <v>46798.5</v>
      </c>
      <c r="G926" s="67">
        <f t="shared" si="338"/>
        <v>24337</v>
      </c>
      <c r="H926" s="75">
        <f t="shared" si="339"/>
        <v>1</v>
      </c>
      <c r="I926" s="76">
        <f t="shared" si="340"/>
        <v>1.02</v>
      </c>
      <c r="J926" s="76">
        <f t="shared" si="341"/>
        <v>1.02</v>
      </c>
      <c r="K926" s="67">
        <f t="shared" si="342"/>
        <v>0</v>
      </c>
      <c r="L926" s="67">
        <f t="shared" si="343"/>
        <v>0</v>
      </c>
      <c r="M926" s="77">
        <f t="shared" si="344"/>
        <v>0</v>
      </c>
      <c r="N926" s="76">
        <f t="shared" si="345"/>
        <v>1.02</v>
      </c>
      <c r="O926" s="77">
        <f t="shared" si="346"/>
        <v>0.91500000000000004</v>
      </c>
      <c r="P926" s="76">
        <f t="shared" si="347"/>
        <v>0</v>
      </c>
      <c r="Q926" s="76">
        <f t="shared" si="348"/>
        <v>0</v>
      </c>
      <c r="R926" s="76">
        <f t="shared" si="349"/>
        <v>1</v>
      </c>
      <c r="S926" s="76">
        <f t="shared" si="350"/>
        <v>1.0144565217391304</v>
      </c>
      <c r="T926" s="76">
        <f t="shared" si="351"/>
        <v>0.98641898962991159</v>
      </c>
      <c r="U926" s="76">
        <f t="shared" si="352"/>
        <v>1.02</v>
      </c>
    </row>
    <row r="927" spans="1:21" x14ac:dyDescent="0.25">
      <c r="A927" s="71">
        <v>39</v>
      </c>
      <c r="B927" s="72">
        <f t="shared" si="353"/>
        <v>46813</v>
      </c>
      <c r="C927" s="73">
        <f t="shared" si="334"/>
        <v>46843</v>
      </c>
      <c r="D927" s="67">
        <f t="shared" si="335"/>
        <v>31</v>
      </c>
      <c r="E927" s="67">
        <f t="shared" si="336"/>
        <v>3</v>
      </c>
      <c r="F927" s="74">
        <f t="shared" si="337"/>
        <v>46828.5</v>
      </c>
      <c r="G927" s="67">
        <f t="shared" si="338"/>
        <v>24338</v>
      </c>
      <c r="H927" s="75">
        <f t="shared" si="339"/>
        <v>1</v>
      </c>
      <c r="I927" s="76">
        <f t="shared" si="340"/>
        <v>1.02</v>
      </c>
      <c r="J927" s="76">
        <f t="shared" si="341"/>
        <v>1.02</v>
      </c>
      <c r="K927" s="67">
        <f t="shared" si="342"/>
        <v>0</v>
      </c>
      <c r="L927" s="67">
        <f t="shared" si="343"/>
        <v>0</v>
      </c>
      <c r="M927" s="77">
        <f t="shared" si="344"/>
        <v>0</v>
      </c>
      <c r="N927" s="76">
        <f t="shared" si="345"/>
        <v>1.02</v>
      </c>
      <c r="O927" s="77">
        <f t="shared" si="346"/>
        <v>0.91500000000000004</v>
      </c>
      <c r="P927" s="76">
        <f t="shared" si="347"/>
        <v>0</v>
      </c>
      <c r="Q927" s="76">
        <f t="shared" si="348"/>
        <v>0</v>
      </c>
      <c r="R927" s="76">
        <f t="shared" si="349"/>
        <v>1</v>
      </c>
      <c r="S927" s="76">
        <f t="shared" si="350"/>
        <v>1.0144565217391304</v>
      </c>
      <c r="T927" s="76">
        <f t="shared" si="351"/>
        <v>0.98676981257730001</v>
      </c>
      <c r="U927" s="76">
        <f t="shared" si="352"/>
        <v>1.02</v>
      </c>
    </row>
    <row r="928" spans="1:21" x14ac:dyDescent="0.25">
      <c r="A928" s="71">
        <v>40</v>
      </c>
      <c r="B928" s="72">
        <f t="shared" si="353"/>
        <v>46844</v>
      </c>
      <c r="C928" s="73">
        <f t="shared" si="334"/>
        <v>46873</v>
      </c>
      <c r="D928" s="67">
        <f t="shared" si="335"/>
        <v>30</v>
      </c>
      <c r="E928" s="67">
        <f t="shared" si="336"/>
        <v>4</v>
      </c>
      <c r="F928" s="74">
        <f t="shared" si="337"/>
        <v>46859</v>
      </c>
      <c r="G928" s="67">
        <f t="shared" si="338"/>
        <v>24339</v>
      </c>
      <c r="H928" s="75">
        <f t="shared" si="339"/>
        <v>1</v>
      </c>
      <c r="I928" s="76">
        <f t="shared" si="340"/>
        <v>1.02</v>
      </c>
      <c r="J928" s="76">
        <f t="shared" si="341"/>
        <v>1.02</v>
      </c>
      <c r="K928" s="67">
        <f t="shared" si="342"/>
        <v>0</v>
      </c>
      <c r="L928" s="67">
        <f t="shared" si="343"/>
        <v>0</v>
      </c>
      <c r="M928" s="77">
        <f t="shared" si="344"/>
        <v>0</v>
      </c>
      <c r="N928" s="76">
        <f t="shared" si="345"/>
        <v>1.02</v>
      </c>
      <c r="O928" s="77">
        <f t="shared" si="346"/>
        <v>0.91500000000000004</v>
      </c>
      <c r="P928" s="76">
        <f t="shared" si="347"/>
        <v>0</v>
      </c>
      <c r="Q928" s="76">
        <f t="shared" si="348"/>
        <v>0</v>
      </c>
      <c r="R928" s="76">
        <f t="shared" si="349"/>
        <v>1</v>
      </c>
      <c r="S928" s="76">
        <f t="shared" si="350"/>
        <v>1.0144565217391304</v>
      </c>
      <c r="T928" s="76">
        <f t="shared" si="351"/>
        <v>1.0068751783845495</v>
      </c>
      <c r="U928" s="76">
        <f t="shared" si="352"/>
        <v>1.02</v>
      </c>
    </row>
    <row r="929" spans="1:21" x14ac:dyDescent="0.25">
      <c r="A929" s="71">
        <v>41</v>
      </c>
      <c r="B929" s="72">
        <f t="shared" si="353"/>
        <v>46874</v>
      </c>
      <c r="C929" s="73">
        <f t="shared" si="334"/>
        <v>46904</v>
      </c>
      <c r="D929" s="67">
        <f t="shared" si="335"/>
        <v>31</v>
      </c>
      <c r="E929" s="67">
        <f t="shared" si="336"/>
        <v>5</v>
      </c>
      <c r="F929" s="74">
        <f t="shared" si="337"/>
        <v>46889.5</v>
      </c>
      <c r="G929" s="67">
        <f t="shared" si="338"/>
        <v>24340</v>
      </c>
      <c r="H929" s="75">
        <f t="shared" si="339"/>
        <v>1</v>
      </c>
      <c r="I929" s="76">
        <f t="shared" si="340"/>
        <v>1.02</v>
      </c>
      <c r="J929" s="76">
        <f t="shared" si="341"/>
        <v>1.02</v>
      </c>
      <c r="K929" s="67">
        <f t="shared" si="342"/>
        <v>0</v>
      </c>
      <c r="L929" s="67">
        <f t="shared" si="343"/>
        <v>0</v>
      </c>
      <c r="M929" s="77">
        <f t="shared" si="344"/>
        <v>0</v>
      </c>
      <c r="N929" s="76">
        <f t="shared" si="345"/>
        <v>1.02</v>
      </c>
      <c r="O929" s="77">
        <f t="shared" si="346"/>
        <v>0.91500000000000004</v>
      </c>
      <c r="P929" s="76">
        <f t="shared" si="347"/>
        <v>0</v>
      </c>
      <c r="Q929" s="76">
        <f t="shared" si="348"/>
        <v>0</v>
      </c>
      <c r="R929" s="76">
        <f t="shared" si="349"/>
        <v>1</v>
      </c>
      <c r="S929" s="76">
        <f t="shared" si="350"/>
        <v>1.0144565217391304</v>
      </c>
      <c r="T929" s="76">
        <f t="shared" si="351"/>
        <v>1.0072451479402531</v>
      </c>
      <c r="U929" s="76">
        <f t="shared" si="352"/>
        <v>1.02</v>
      </c>
    </row>
    <row r="930" spans="1:21" x14ac:dyDescent="0.25">
      <c r="A930" s="71">
        <v>42</v>
      </c>
      <c r="B930" s="72">
        <f t="shared" si="353"/>
        <v>46905</v>
      </c>
      <c r="C930" s="73">
        <f t="shared" si="334"/>
        <v>46934</v>
      </c>
      <c r="D930" s="67">
        <f t="shared" si="335"/>
        <v>30</v>
      </c>
      <c r="E930" s="67">
        <f t="shared" si="336"/>
        <v>6</v>
      </c>
      <c r="F930" s="74">
        <f t="shared" si="337"/>
        <v>46920</v>
      </c>
      <c r="G930" s="67">
        <f t="shared" si="338"/>
        <v>24341</v>
      </c>
      <c r="H930" s="75">
        <f t="shared" si="339"/>
        <v>1</v>
      </c>
      <c r="I930" s="76">
        <f t="shared" si="340"/>
        <v>1.02</v>
      </c>
      <c r="J930" s="76">
        <f t="shared" si="341"/>
        <v>1.02</v>
      </c>
      <c r="K930" s="67">
        <f t="shared" si="342"/>
        <v>0</v>
      </c>
      <c r="L930" s="67">
        <f t="shared" si="343"/>
        <v>0</v>
      </c>
      <c r="M930" s="77">
        <f t="shared" si="344"/>
        <v>0</v>
      </c>
      <c r="N930" s="76">
        <f t="shared" si="345"/>
        <v>1.02</v>
      </c>
      <c r="O930" s="77">
        <f t="shared" si="346"/>
        <v>0.91500000000000004</v>
      </c>
      <c r="P930" s="76">
        <f t="shared" si="347"/>
        <v>0</v>
      </c>
      <c r="Q930" s="76">
        <f t="shared" si="348"/>
        <v>0</v>
      </c>
      <c r="R930" s="76">
        <f t="shared" si="349"/>
        <v>1</v>
      </c>
      <c r="S930" s="76">
        <f t="shared" si="350"/>
        <v>1.0144565217391304</v>
      </c>
      <c r="T930" s="76">
        <f t="shared" si="351"/>
        <v>1.0076151174959567</v>
      </c>
      <c r="U930" s="76">
        <f t="shared" si="352"/>
        <v>1.02</v>
      </c>
    </row>
    <row r="931" spans="1:21" x14ac:dyDescent="0.25">
      <c r="A931" s="71">
        <v>43</v>
      </c>
      <c r="B931" s="72">
        <f t="shared" si="353"/>
        <v>46935</v>
      </c>
      <c r="C931" s="73">
        <f t="shared" si="334"/>
        <v>46965</v>
      </c>
      <c r="D931" s="67">
        <f t="shared" si="335"/>
        <v>31</v>
      </c>
      <c r="E931" s="67">
        <f t="shared" si="336"/>
        <v>7</v>
      </c>
      <c r="F931" s="74">
        <f t="shared" si="337"/>
        <v>46950.5</v>
      </c>
      <c r="G931" s="67">
        <f t="shared" si="338"/>
        <v>24342</v>
      </c>
      <c r="H931" s="75">
        <f t="shared" si="339"/>
        <v>1</v>
      </c>
      <c r="I931" s="76">
        <f t="shared" si="340"/>
        <v>1.02</v>
      </c>
      <c r="J931" s="76">
        <f t="shared" si="341"/>
        <v>1.02</v>
      </c>
      <c r="K931" s="67">
        <f t="shared" si="342"/>
        <v>0</v>
      </c>
      <c r="L931" s="67">
        <f t="shared" si="343"/>
        <v>0</v>
      </c>
      <c r="M931" s="77">
        <f t="shared" si="344"/>
        <v>0</v>
      </c>
      <c r="N931" s="76">
        <f t="shared" si="345"/>
        <v>1.02</v>
      </c>
      <c r="O931" s="77">
        <f t="shared" si="346"/>
        <v>0.91500000000000004</v>
      </c>
      <c r="P931" s="76">
        <f t="shared" si="347"/>
        <v>0</v>
      </c>
      <c r="Q931" s="76">
        <f t="shared" si="348"/>
        <v>0</v>
      </c>
      <c r="R931" s="76">
        <f t="shared" si="349"/>
        <v>0.91666666666666663</v>
      </c>
      <c r="S931" s="76">
        <f t="shared" si="350"/>
        <v>1.0144565217391304</v>
      </c>
      <c r="T931" s="76">
        <f t="shared" si="351"/>
        <v>1.0079850870516602</v>
      </c>
      <c r="U931" s="76">
        <f t="shared" si="352"/>
        <v>1.02</v>
      </c>
    </row>
    <row r="932" spans="1:21" x14ac:dyDescent="0.25">
      <c r="A932" s="71">
        <v>44</v>
      </c>
      <c r="B932" s="72">
        <f t="shared" si="353"/>
        <v>46966</v>
      </c>
      <c r="C932" s="73">
        <f t="shared" si="334"/>
        <v>46996</v>
      </c>
      <c r="D932" s="67">
        <f t="shared" si="335"/>
        <v>31</v>
      </c>
      <c r="E932" s="67">
        <f t="shared" si="336"/>
        <v>8</v>
      </c>
      <c r="F932" s="74">
        <f t="shared" si="337"/>
        <v>46981.5</v>
      </c>
      <c r="G932" s="67">
        <f t="shared" si="338"/>
        <v>24343</v>
      </c>
      <c r="H932" s="75">
        <f t="shared" si="339"/>
        <v>1</v>
      </c>
      <c r="I932" s="76">
        <f t="shared" si="340"/>
        <v>1.02</v>
      </c>
      <c r="J932" s="76">
        <f t="shared" si="341"/>
        <v>1.02</v>
      </c>
      <c r="K932" s="67">
        <f t="shared" si="342"/>
        <v>0</v>
      </c>
      <c r="L932" s="67">
        <f t="shared" si="343"/>
        <v>0</v>
      </c>
      <c r="M932" s="77">
        <f t="shared" si="344"/>
        <v>0</v>
      </c>
      <c r="N932" s="76">
        <f t="shared" si="345"/>
        <v>1.02</v>
      </c>
      <c r="O932" s="77">
        <f t="shared" si="346"/>
        <v>0.91500000000000004</v>
      </c>
      <c r="P932" s="76">
        <f t="shared" si="347"/>
        <v>0</v>
      </c>
      <c r="Q932" s="76">
        <f t="shared" si="348"/>
        <v>0</v>
      </c>
      <c r="R932" s="76">
        <f t="shared" si="349"/>
        <v>0.75</v>
      </c>
      <c r="S932" s="76">
        <f t="shared" si="350"/>
        <v>1.0144565217391304</v>
      </c>
      <c r="T932" s="76">
        <f t="shared" si="351"/>
        <v>1.0083611216820474</v>
      </c>
      <c r="U932" s="76">
        <f t="shared" si="352"/>
        <v>1.02</v>
      </c>
    </row>
    <row r="933" spans="1:21" x14ac:dyDescent="0.25">
      <c r="A933" s="71">
        <v>45</v>
      </c>
      <c r="B933" s="72">
        <f t="shared" si="353"/>
        <v>46997</v>
      </c>
      <c r="C933" s="73">
        <f t="shared" si="334"/>
        <v>47026</v>
      </c>
      <c r="D933" s="67">
        <f t="shared" si="335"/>
        <v>30</v>
      </c>
      <c r="E933" s="67">
        <f t="shared" si="336"/>
        <v>9</v>
      </c>
      <c r="F933" s="74">
        <f t="shared" si="337"/>
        <v>47012</v>
      </c>
      <c r="G933" s="67">
        <f t="shared" si="338"/>
        <v>24344</v>
      </c>
      <c r="H933" s="75">
        <f t="shared" si="339"/>
        <v>1</v>
      </c>
      <c r="I933" s="76">
        <f t="shared" si="340"/>
        <v>1.02</v>
      </c>
      <c r="J933" s="76">
        <f t="shared" si="341"/>
        <v>1.02</v>
      </c>
      <c r="K933" s="67">
        <f t="shared" si="342"/>
        <v>0</v>
      </c>
      <c r="L933" s="67">
        <f t="shared" si="343"/>
        <v>0</v>
      </c>
      <c r="M933" s="77">
        <f t="shared" si="344"/>
        <v>0</v>
      </c>
      <c r="N933" s="76">
        <f t="shared" si="345"/>
        <v>1.02</v>
      </c>
      <c r="O933" s="77">
        <f t="shared" si="346"/>
        <v>0.91500000000000004</v>
      </c>
      <c r="P933" s="76">
        <f t="shared" si="347"/>
        <v>0</v>
      </c>
      <c r="Q933" s="76">
        <f t="shared" si="348"/>
        <v>0</v>
      </c>
      <c r="R933" s="76">
        <f t="shared" si="349"/>
        <v>0.58333333333333337</v>
      </c>
      <c r="S933" s="76">
        <f t="shared" si="350"/>
        <v>1.0144565217391304</v>
      </c>
      <c r="T933" s="76">
        <f t="shared" si="351"/>
        <v>1.008731091237751</v>
      </c>
      <c r="U933" s="76">
        <f t="shared" si="352"/>
        <v>1.02</v>
      </c>
    </row>
    <row r="934" spans="1:21" x14ac:dyDescent="0.25">
      <c r="A934" s="71">
        <v>46</v>
      </c>
      <c r="B934" s="72">
        <f t="shared" si="353"/>
        <v>47027</v>
      </c>
      <c r="C934" s="73">
        <f t="shared" si="334"/>
        <v>47057</v>
      </c>
      <c r="D934" s="67">
        <f t="shared" si="335"/>
        <v>31</v>
      </c>
      <c r="E934" s="67">
        <f t="shared" si="336"/>
        <v>10</v>
      </c>
      <c r="F934" s="74">
        <f t="shared" si="337"/>
        <v>47042.5</v>
      </c>
      <c r="G934" s="67">
        <f t="shared" si="338"/>
        <v>24345</v>
      </c>
      <c r="H934" s="75">
        <f t="shared" si="339"/>
        <v>1</v>
      </c>
      <c r="I934" s="76">
        <f t="shared" si="340"/>
        <v>1.02</v>
      </c>
      <c r="J934" s="76">
        <f t="shared" si="341"/>
        <v>1.02</v>
      </c>
      <c r="K934" s="67">
        <f t="shared" si="342"/>
        <v>0</v>
      </c>
      <c r="L934" s="67">
        <f t="shared" si="343"/>
        <v>0</v>
      </c>
      <c r="M934" s="77">
        <f t="shared" si="344"/>
        <v>0</v>
      </c>
      <c r="N934" s="76">
        <f t="shared" si="345"/>
        <v>1.02</v>
      </c>
      <c r="O934" s="77">
        <f t="shared" si="346"/>
        <v>0.91500000000000004</v>
      </c>
      <c r="P934" s="76">
        <f t="shared" si="347"/>
        <v>0</v>
      </c>
      <c r="Q934" s="76">
        <f t="shared" si="348"/>
        <v>0</v>
      </c>
      <c r="R934" s="76">
        <f t="shared" si="349"/>
        <v>0.41666666666666669</v>
      </c>
      <c r="S934" s="76">
        <f t="shared" si="350"/>
        <v>1.0144565217391304</v>
      </c>
      <c r="T934" s="76">
        <f t="shared" si="351"/>
        <v>1.0091010607934545</v>
      </c>
      <c r="U934" s="76">
        <f t="shared" si="352"/>
        <v>1.02</v>
      </c>
    </row>
    <row r="935" spans="1:21" x14ac:dyDescent="0.25">
      <c r="A935" s="71">
        <v>47</v>
      </c>
      <c r="B935" s="72">
        <f t="shared" si="353"/>
        <v>47058</v>
      </c>
      <c r="C935" s="73">
        <f t="shared" si="334"/>
        <v>47087</v>
      </c>
      <c r="D935" s="67">
        <f t="shared" si="335"/>
        <v>30</v>
      </c>
      <c r="E935" s="67">
        <f t="shared" si="336"/>
        <v>11</v>
      </c>
      <c r="F935" s="74">
        <f t="shared" si="337"/>
        <v>47073</v>
      </c>
      <c r="G935" s="67">
        <f t="shared" si="338"/>
        <v>24346</v>
      </c>
      <c r="H935" s="75">
        <f t="shared" si="339"/>
        <v>1</v>
      </c>
      <c r="I935" s="76">
        <f t="shared" si="340"/>
        <v>1.02</v>
      </c>
      <c r="J935" s="76">
        <f t="shared" si="341"/>
        <v>1.02</v>
      </c>
      <c r="K935" s="67">
        <f t="shared" si="342"/>
        <v>0</v>
      </c>
      <c r="L935" s="67">
        <f t="shared" si="343"/>
        <v>0</v>
      </c>
      <c r="M935" s="77">
        <f t="shared" si="344"/>
        <v>0</v>
      </c>
      <c r="N935" s="76">
        <f t="shared" si="345"/>
        <v>1.02</v>
      </c>
      <c r="O935" s="77">
        <f t="shared" si="346"/>
        <v>0.91500000000000004</v>
      </c>
      <c r="P935" s="76">
        <f t="shared" si="347"/>
        <v>0</v>
      </c>
      <c r="Q935" s="76">
        <f t="shared" si="348"/>
        <v>0</v>
      </c>
      <c r="R935" s="76">
        <f t="shared" si="349"/>
        <v>0.25</v>
      </c>
      <c r="S935" s="76">
        <f t="shared" si="350"/>
        <v>1.0144565217391304</v>
      </c>
      <c r="T935" s="76">
        <f t="shared" si="351"/>
        <v>1.0094710303491581</v>
      </c>
      <c r="U935" s="76">
        <f t="shared" si="352"/>
        <v>1.02</v>
      </c>
    </row>
    <row r="936" spans="1:21" x14ac:dyDescent="0.25">
      <c r="A936" s="71">
        <v>48</v>
      </c>
      <c r="B936" s="72">
        <f t="shared" si="353"/>
        <v>47088</v>
      </c>
      <c r="C936" s="73">
        <f t="shared" si="334"/>
        <v>47118</v>
      </c>
      <c r="D936" s="67">
        <f t="shared" si="335"/>
        <v>31</v>
      </c>
      <c r="E936" s="67">
        <f t="shared" si="336"/>
        <v>12</v>
      </c>
      <c r="F936" s="74">
        <f t="shared" si="337"/>
        <v>47103.5</v>
      </c>
      <c r="G936" s="67">
        <f t="shared" si="338"/>
        <v>24347</v>
      </c>
      <c r="H936" s="75">
        <f t="shared" si="339"/>
        <v>1</v>
      </c>
      <c r="I936" s="76">
        <f t="shared" si="340"/>
        <v>1.02</v>
      </c>
      <c r="J936" s="76">
        <f t="shared" si="341"/>
        <v>1.02</v>
      </c>
      <c r="K936" s="67">
        <f t="shared" si="342"/>
        <v>0</v>
      </c>
      <c r="L936" s="67">
        <f t="shared" si="343"/>
        <v>0</v>
      </c>
      <c r="M936" s="77">
        <f t="shared" si="344"/>
        <v>0</v>
      </c>
      <c r="N936" s="76">
        <f t="shared" si="345"/>
        <v>1.02</v>
      </c>
      <c r="O936" s="77">
        <f t="shared" si="346"/>
        <v>0.91500000000000004</v>
      </c>
      <c r="P936" s="76">
        <f t="shared" si="347"/>
        <v>0</v>
      </c>
      <c r="Q936" s="76">
        <f t="shared" si="348"/>
        <v>0</v>
      </c>
      <c r="R936" s="76">
        <f t="shared" si="349"/>
        <v>8.3333333333333329E-2</v>
      </c>
      <c r="S936" s="76">
        <f t="shared" si="350"/>
        <v>1.0144565217391304</v>
      </c>
      <c r="T936" s="76">
        <f t="shared" si="351"/>
        <v>1.0098409999048616</v>
      </c>
      <c r="U936" s="76">
        <f t="shared" si="352"/>
        <v>1.02</v>
      </c>
    </row>
    <row r="937" spans="1:21" x14ac:dyDescent="0.25">
      <c r="A937" s="81" t="s">
        <v>1187</v>
      </c>
      <c r="B937" s="53">
        <f>EXP(SUMPRODUCT((rl_key=$A$886)*(rl_cons="Y")*rl_ln1p))</f>
        <v>1.02</v>
      </c>
      <c r="C937" s="53">
        <f>SUMPRODUCT($H$889:$H$936,$P$889:$P$936,$U$889:$U$936)/SUMPRODUCT($H$889:$H$936,$P$889:$P$936)</f>
        <v>1.0100000000000002</v>
      </c>
      <c r="D937" s="53">
        <f>SUMPRODUCT($H$889:$H$936,$Q$889:$Q$936,$U$889:$U$936)/SUMPRODUCT($H$889:$H$936,$Q$889:$Q$936)</f>
        <v>1.0200000000000002</v>
      </c>
      <c r="E937" s="53">
        <f>SUMPRODUCT($H$889:$H$936,$R$889:$R$936,$U$889:$U$936)/SUMPRODUCT($H$889:$H$936,$R$889:$R$936)</f>
        <v>1.0200000000000002</v>
      </c>
      <c r="F937" s="172">
        <f>SUMPRODUCT($H$889:$H$936,$Q$889:$Q$936,$O$889:$O$936)/SUMPRODUCT($H$889:$H$936,$Q$889:$Q$936)</f>
        <v>0.91199626185266247</v>
      </c>
      <c r="G937" s="172">
        <f>SUMPRODUCT($H$889:$H$936,$R$889:$R$936,$O$889:$O$936)/SUMPRODUCT($H$889:$H$936,$R$889:$R$936)</f>
        <v>0.91483011184050556</v>
      </c>
    </row>
    <row r="940" spans="1:21" x14ac:dyDescent="0.25">
      <c r="A940" s="81" t="str">
        <f>INDEX(lr_key,17)</f>
        <v>BU-A|NY</v>
      </c>
      <c r="B940" s="81" t="str">
        <f>INDEX(lr_state,17)</f>
        <v>NY</v>
      </c>
      <c r="C940" s="55">
        <f>nr_TermMonths</f>
        <v>6</v>
      </c>
      <c r="D940" s="55">
        <f>IF(COUNTIF(se_state,$B940)=0,0,MATCH($B940,se_state,0))</f>
        <v>0</v>
      </c>
      <c r="E940" s="57">
        <f>IF($D940=0,0,INDEX(se_sum,$D940))</f>
        <v>0</v>
      </c>
      <c r="F940" s="172">
        <f>IF(N(INDEX(lr_mind,17))=0,1,INDEX(lr_mind,17))</f>
        <v>0.92</v>
      </c>
      <c r="G940" s="172">
        <f>IF(N(INDEX(lr_m0,17))=0,1,INDEX(lr_m0,17))</f>
        <v>0.91</v>
      </c>
      <c r="H940" s="54">
        <f>IF(N(INDEX(lr_m0asof,17))=0,DATE(nr_PlanYear-1,10,1),INDEX(lr_m0asof,17))</f>
        <v>46295</v>
      </c>
      <c r="I940" s="172">
        <f>IF(N(INDEX(lr_m1,17))=0,1,INDEX(lr_m1,17))</f>
        <v>0.93</v>
      </c>
      <c r="J940" s="172">
        <f>INDEX(lr_mprior,17)</f>
        <v>0</v>
      </c>
      <c r="K940" s="172">
        <f>INDEX(lr_m2,17)</f>
        <v>0</v>
      </c>
      <c r="L940" s="81" t="b">
        <f>NOT(ISBLANK(INDEX(lr_netp,17)))</f>
        <v>0</v>
      </c>
      <c r="M940" s="52">
        <f>N(INDEX(lr_netp,17))</f>
        <v>0</v>
      </c>
      <c r="N940" s="52">
        <f>IF(ISBLANK(INDEX(lr_netp1,17)),$M$940,N(INDEX(lr_netp1,17)))</f>
        <v>0</v>
      </c>
      <c r="O940" s="55">
        <f>IF(AND(nr_ModAdjMaster="ON",INDEX(lr_modadj,17)="ON"),1,0)</f>
        <v>1</v>
      </c>
    </row>
    <row r="941" spans="1:21" x14ac:dyDescent="0.25">
      <c r="A941" s="81">
        <f>EDATE($H$940,-12)+1</f>
        <v>45931</v>
      </c>
      <c r="B941" s="81">
        <f>$H$940+1</f>
        <v>46296</v>
      </c>
      <c r="C941" s="81">
        <f>DATE(nr_PlanYear,12,31)+1</f>
        <v>46753</v>
      </c>
      <c r="D941" s="81">
        <f>DATE(nr_PlanYear+1,12,31)+1</f>
        <v>47119</v>
      </c>
      <c r="E941" s="81">
        <f>IF(N($J$940)=0,$F$941-($G$941-$F$941)/($C$941-$B$941)*($B$941-$A$941),$J$940)</f>
        <v>0.89402625820568926</v>
      </c>
      <c r="F941" s="81">
        <f>$G$940</f>
        <v>0.91</v>
      </c>
      <c r="G941" s="81">
        <f>$I$940</f>
        <v>0.93</v>
      </c>
      <c r="H941" s="81">
        <f>IF(N($K$940)=0,$I$940,$K$940)</f>
        <v>0.93</v>
      </c>
      <c r="I941" s="81">
        <f>($F$941-$E$941)/($B$941-$A$941)</f>
        <v>4.3763676148796628E-5</v>
      </c>
      <c r="J941" s="81">
        <f>($G$941-$F$941)/($C$941-$B$941)</f>
        <v>4.376367614879654E-5</v>
      </c>
      <c r="K941" s="81">
        <f>($H$941-$G$941)/($D$941-$C$941)</f>
        <v>0</v>
      </c>
    </row>
    <row r="942" spans="1:21" ht="36" x14ac:dyDescent="0.25">
      <c r="A942" s="50" t="s">
        <v>211</v>
      </c>
      <c r="B942" s="50" t="s">
        <v>212</v>
      </c>
      <c r="C942" s="50" t="s">
        <v>213</v>
      </c>
      <c r="D942" s="50" t="s">
        <v>214</v>
      </c>
      <c r="E942" s="50" t="s">
        <v>215</v>
      </c>
      <c r="F942" s="50" t="s">
        <v>216</v>
      </c>
      <c r="G942" s="50" t="s">
        <v>217</v>
      </c>
      <c r="H942" s="50" t="s">
        <v>218</v>
      </c>
      <c r="I942" s="50" t="s">
        <v>219</v>
      </c>
      <c r="J942" s="50" t="s">
        <v>220</v>
      </c>
      <c r="K942" s="50" t="s">
        <v>221</v>
      </c>
      <c r="L942" s="50" t="s">
        <v>222</v>
      </c>
      <c r="M942" s="50" t="s">
        <v>223</v>
      </c>
      <c r="N942" s="50" t="s">
        <v>224</v>
      </c>
      <c r="O942" s="50" t="s">
        <v>225</v>
      </c>
      <c r="P942" s="50" t="s">
        <v>226</v>
      </c>
      <c r="Q942" s="50" t="s">
        <v>227</v>
      </c>
      <c r="R942" s="50" t="s">
        <v>228</v>
      </c>
      <c r="S942" s="50" t="s">
        <v>229</v>
      </c>
      <c r="T942" s="50" t="s">
        <v>230</v>
      </c>
      <c r="U942" s="50" t="s">
        <v>231</v>
      </c>
    </row>
    <row r="943" spans="1:21" x14ac:dyDescent="0.25">
      <c r="A943" s="71">
        <v>1</v>
      </c>
      <c r="B943" s="72">
        <f>DATE(nr_PlanYear-2,1,1)</f>
        <v>45658</v>
      </c>
      <c r="C943" s="73">
        <f t="shared" ref="C943:C990" si="354">EOMONTH($B943,0)</f>
        <v>45688</v>
      </c>
      <c r="D943" s="67">
        <f t="shared" ref="D943:D990" si="355">$C943-$B943+1</f>
        <v>31</v>
      </c>
      <c r="E943" s="67">
        <f t="shared" ref="E943:E990" si="356">MONTH($B943)</f>
        <v>1</v>
      </c>
      <c r="F943" s="74">
        <f t="shared" ref="F943:F990" si="357">($B943+$C943+1)/2</f>
        <v>45673.5</v>
      </c>
      <c r="G943" s="67">
        <f t="shared" ref="G943:G990" si="358">YEAR($B943)*12+MONTH($B943)-1</f>
        <v>24300</v>
      </c>
      <c r="H943" s="75">
        <f t="shared" ref="H943:H990" si="359">IF(OR(nr_SeasonOn="OFF",$D$940=0,$E$940=0),1,12*INDEX(se_block,$D$940,$E943)/$E$940)</f>
        <v>1</v>
      </c>
      <c r="I943" s="76">
        <f t="shared" ref="I943:I990" si="360">EXP(SUMPRODUCT((rl_eff&lt;$B943)*(rl_key=$A$940)*rl_ln1p))</f>
        <v>1</v>
      </c>
      <c r="J943" s="76">
        <f t="shared" ref="J943:J990" si="361">EXP(SUMPRODUCT((rl_eff&lt;=$C943)*(rl_key=$A$940)*rl_ln1p))</f>
        <v>1</v>
      </c>
      <c r="K943" s="67">
        <f t="shared" ref="K943:K990" si="362">COUNTIFS(rl_key,$A$940,rl_eff,"&gt;="&amp;$B943,rl_eff,"&lt;="&amp;$C943)</f>
        <v>0</v>
      </c>
      <c r="L943" s="67">
        <f t="shared" ref="L943:L990" si="363">SUMIFS(rl_daysafter,rl_key,$A$940,rl_effmonth,$B943,rl_first,1)</f>
        <v>0</v>
      </c>
      <c r="M943" s="77">
        <f t="shared" ref="M943:M990" si="364">IF($K943=0,0,MIN(1,$L943/$D943))</f>
        <v>0</v>
      </c>
      <c r="N943" s="76">
        <f t="shared" ref="N943:N990" si="365">IF($K943=0,$J943,(1-$M943)*$I943+$M943*$J943)</f>
        <v>1</v>
      </c>
      <c r="O943" s="77">
        <f t="shared" ref="O943:O990" si="366">IF($F943&lt;$B$941,$E$941+$I$941*($F943-$A$941),IF($F943&lt;$C$941,$F$941+$J$941*($F943-$B$941),$G$941+$K$941*($F943-$C$941)))</f>
        <v>0.88275711159737413</v>
      </c>
      <c r="P943" s="76">
        <f t="shared" ref="P943:P990" si="367">MIN(1,MAX(0,(nr_MEndPm1-$G943+0.5)/$C$940))-MIN(1,MAX(0,(nr_MStartPm1-1-$G943+0.5)/$C$940))</f>
        <v>0</v>
      </c>
      <c r="Q943" s="76">
        <f t="shared" ref="Q943:Q990" si="368">MIN(1,MAX(0,(nr_MEndP-$G943+0.5)/$C$940))-MIN(1,MAX(0,(nr_MStartP-1-$G943+0.5)/$C$940))</f>
        <v>0</v>
      </c>
      <c r="R943" s="76">
        <f t="shared" ref="R943:R990" si="369">MIN(1,MAX(0,(nr_MEndP1-$G943+0.5)/$C$940))-MIN(1,MAX(0,(nr_MStartP1-1-$G943+0.5)/$C$940))</f>
        <v>0</v>
      </c>
      <c r="S943" s="76">
        <f t="shared" ref="S943:S990" si="370">$N943*IF($O$940=1,$O943/$F$940,1)</f>
        <v>0.95951859956236318</v>
      </c>
      <c r="T943" s="76">
        <f t="shared" ref="T943:T990" si="371">IF($G943&lt;nr_MStartP,$S943,$T931*(1+IF($G943&lt;nr_MStartP1,$M$940,$N$940)))</f>
        <v>0.95951859956236318</v>
      </c>
      <c r="U943" s="76">
        <f t="shared" ref="U943:U990" si="372">IF($L$940,$T943,$N943)</f>
        <v>1</v>
      </c>
    </row>
    <row r="944" spans="1:21" x14ac:dyDescent="0.25">
      <c r="A944" s="71">
        <v>2</v>
      </c>
      <c r="B944" s="72">
        <f t="shared" ref="B944:B990" si="373">EDATE($B943,1)</f>
        <v>45689</v>
      </c>
      <c r="C944" s="73">
        <f t="shared" si="354"/>
        <v>45716</v>
      </c>
      <c r="D944" s="67">
        <f t="shared" si="355"/>
        <v>28</v>
      </c>
      <c r="E944" s="67">
        <f t="shared" si="356"/>
        <v>2</v>
      </c>
      <c r="F944" s="74">
        <f t="shared" si="357"/>
        <v>45703</v>
      </c>
      <c r="G944" s="67">
        <f t="shared" si="358"/>
        <v>24301</v>
      </c>
      <c r="H944" s="75">
        <f t="shared" si="359"/>
        <v>1</v>
      </c>
      <c r="I944" s="76">
        <f t="shared" si="360"/>
        <v>1</v>
      </c>
      <c r="J944" s="76">
        <f t="shared" si="361"/>
        <v>1</v>
      </c>
      <c r="K944" s="67">
        <f t="shared" si="362"/>
        <v>0</v>
      </c>
      <c r="L944" s="67">
        <f t="shared" si="363"/>
        <v>0</v>
      </c>
      <c r="M944" s="77">
        <f t="shared" si="364"/>
        <v>0</v>
      </c>
      <c r="N944" s="76">
        <f t="shared" si="365"/>
        <v>1</v>
      </c>
      <c r="O944" s="77">
        <f t="shared" si="366"/>
        <v>0.88404814004376364</v>
      </c>
      <c r="P944" s="76">
        <f t="shared" si="367"/>
        <v>0</v>
      </c>
      <c r="Q944" s="76">
        <f t="shared" si="368"/>
        <v>0</v>
      </c>
      <c r="R944" s="76">
        <f t="shared" si="369"/>
        <v>0</v>
      </c>
      <c r="S944" s="76">
        <f t="shared" si="370"/>
        <v>0.96092189135191697</v>
      </c>
      <c r="T944" s="76">
        <f t="shared" si="371"/>
        <v>0.96092189135191697</v>
      </c>
      <c r="U944" s="76">
        <f t="shared" si="372"/>
        <v>1</v>
      </c>
    </row>
    <row r="945" spans="1:21" x14ac:dyDescent="0.25">
      <c r="A945" s="71">
        <v>3</v>
      </c>
      <c r="B945" s="72">
        <f t="shared" si="373"/>
        <v>45717</v>
      </c>
      <c r="C945" s="73">
        <f t="shared" si="354"/>
        <v>45747</v>
      </c>
      <c r="D945" s="67">
        <f t="shared" si="355"/>
        <v>31</v>
      </c>
      <c r="E945" s="67">
        <f t="shared" si="356"/>
        <v>3</v>
      </c>
      <c r="F945" s="74">
        <f t="shared" si="357"/>
        <v>45732.5</v>
      </c>
      <c r="G945" s="67">
        <f t="shared" si="358"/>
        <v>24302</v>
      </c>
      <c r="H945" s="75">
        <f t="shared" si="359"/>
        <v>1</v>
      </c>
      <c r="I945" s="76">
        <f t="shared" si="360"/>
        <v>1</v>
      </c>
      <c r="J945" s="76">
        <f t="shared" si="361"/>
        <v>1</v>
      </c>
      <c r="K945" s="67">
        <f t="shared" si="362"/>
        <v>0</v>
      </c>
      <c r="L945" s="67">
        <f t="shared" si="363"/>
        <v>0</v>
      </c>
      <c r="M945" s="77">
        <f t="shared" si="364"/>
        <v>0</v>
      </c>
      <c r="N945" s="76">
        <f t="shared" si="365"/>
        <v>1</v>
      </c>
      <c r="O945" s="77">
        <f t="shared" si="366"/>
        <v>0.88533916849015315</v>
      </c>
      <c r="P945" s="76">
        <f t="shared" si="367"/>
        <v>0</v>
      </c>
      <c r="Q945" s="76">
        <f t="shared" si="368"/>
        <v>0</v>
      </c>
      <c r="R945" s="76">
        <f t="shared" si="369"/>
        <v>0</v>
      </c>
      <c r="S945" s="76">
        <f t="shared" si="370"/>
        <v>0.96232518314147075</v>
      </c>
      <c r="T945" s="76">
        <f t="shared" si="371"/>
        <v>0.96232518314147075</v>
      </c>
      <c r="U945" s="76">
        <f t="shared" si="372"/>
        <v>1</v>
      </c>
    </row>
    <row r="946" spans="1:21" x14ac:dyDescent="0.25">
      <c r="A946" s="71">
        <v>4</v>
      </c>
      <c r="B946" s="72">
        <f t="shared" si="373"/>
        <v>45748</v>
      </c>
      <c r="C946" s="73">
        <f t="shared" si="354"/>
        <v>45777</v>
      </c>
      <c r="D946" s="67">
        <f t="shared" si="355"/>
        <v>30</v>
      </c>
      <c r="E946" s="67">
        <f t="shared" si="356"/>
        <v>4</v>
      </c>
      <c r="F946" s="74">
        <f t="shared" si="357"/>
        <v>45763</v>
      </c>
      <c r="G946" s="67">
        <f t="shared" si="358"/>
        <v>24303</v>
      </c>
      <c r="H946" s="75">
        <f t="shared" si="359"/>
        <v>1</v>
      </c>
      <c r="I946" s="76">
        <f t="shared" si="360"/>
        <v>1</v>
      </c>
      <c r="J946" s="76">
        <f t="shared" si="361"/>
        <v>1</v>
      </c>
      <c r="K946" s="67">
        <f t="shared" si="362"/>
        <v>0</v>
      </c>
      <c r="L946" s="67">
        <f t="shared" si="363"/>
        <v>0</v>
      </c>
      <c r="M946" s="77">
        <f t="shared" si="364"/>
        <v>0</v>
      </c>
      <c r="N946" s="76">
        <f t="shared" si="365"/>
        <v>1</v>
      </c>
      <c r="O946" s="77">
        <f t="shared" si="366"/>
        <v>0.88667396061269144</v>
      </c>
      <c r="P946" s="76">
        <f t="shared" si="367"/>
        <v>0</v>
      </c>
      <c r="Q946" s="76">
        <f t="shared" si="368"/>
        <v>0</v>
      </c>
      <c r="R946" s="76">
        <f t="shared" si="369"/>
        <v>0</v>
      </c>
      <c r="S946" s="76">
        <f t="shared" si="370"/>
        <v>0.96377604414422979</v>
      </c>
      <c r="T946" s="76">
        <f t="shared" si="371"/>
        <v>0.96377604414422979</v>
      </c>
      <c r="U946" s="76">
        <f t="shared" si="372"/>
        <v>1</v>
      </c>
    </row>
    <row r="947" spans="1:21" x14ac:dyDescent="0.25">
      <c r="A947" s="71">
        <v>5</v>
      </c>
      <c r="B947" s="72">
        <f t="shared" si="373"/>
        <v>45778</v>
      </c>
      <c r="C947" s="73">
        <f t="shared" si="354"/>
        <v>45808</v>
      </c>
      <c r="D947" s="67">
        <f t="shared" si="355"/>
        <v>31</v>
      </c>
      <c r="E947" s="67">
        <f t="shared" si="356"/>
        <v>5</v>
      </c>
      <c r="F947" s="74">
        <f t="shared" si="357"/>
        <v>45793.5</v>
      </c>
      <c r="G947" s="67">
        <f t="shared" si="358"/>
        <v>24304</v>
      </c>
      <c r="H947" s="75">
        <f t="shared" si="359"/>
        <v>1</v>
      </c>
      <c r="I947" s="76">
        <f t="shared" si="360"/>
        <v>1</v>
      </c>
      <c r="J947" s="76">
        <f t="shared" si="361"/>
        <v>1</v>
      </c>
      <c r="K947" s="67">
        <f t="shared" si="362"/>
        <v>0</v>
      </c>
      <c r="L947" s="67">
        <f t="shared" si="363"/>
        <v>0</v>
      </c>
      <c r="M947" s="77">
        <f t="shared" si="364"/>
        <v>0</v>
      </c>
      <c r="N947" s="76">
        <f t="shared" si="365"/>
        <v>1</v>
      </c>
      <c r="O947" s="77">
        <f t="shared" si="366"/>
        <v>0.88800875273522972</v>
      </c>
      <c r="P947" s="76">
        <f t="shared" si="367"/>
        <v>0</v>
      </c>
      <c r="Q947" s="76">
        <f t="shared" si="368"/>
        <v>0</v>
      </c>
      <c r="R947" s="76">
        <f t="shared" si="369"/>
        <v>0</v>
      </c>
      <c r="S947" s="76">
        <f t="shared" si="370"/>
        <v>0.96522690514698883</v>
      </c>
      <c r="T947" s="76">
        <f t="shared" si="371"/>
        <v>0.96522690514698883</v>
      </c>
      <c r="U947" s="76">
        <f t="shared" si="372"/>
        <v>1</v>
      </c>
    </row>
    <row r="948" spans="1:21" x14ac:dyDescent="0.25">
      <c r="A948" s="71">
        <v>6</v>
      </c>
      <c r="B948" s="72">
        <f t="shared" si="373"/>
        <v>45809</v>
      </c>
      <c r="C948" s="73">
        <f t="shared" si="354"/>
        <v>45838</v>
      </c>
      <c r="D948" s="67">
        <f t="shared" si="355"/>
        <v>30</v>
      </c>
      <c r="E948" s="67">
        <f t="shared" si="356"/>
        <v>6</v>
      </c>
      <c r="F948" s="74">
        <f t="shared" si="357"/>
        <v>45824</v>
      </c>
      <c r="G948" s="67">
        <f t="shared" si="358"/>
        <v>24305</v>
      </c>
      <c r="H948" s="75">
        <f t="shared" si="359"/>
        <v>1</v>
      </c>
      <c r="I948" s="76">
        <f t="shared" si="360"/>
        <v>1</v>
      </c>
      <c r="J948" s="76">
        <f t="shared" si="361"/>
        <v>1</v>
      </c>
      <c r="K948" s="67">
        <f t="shared" si="362"/>
        <v>0</v>
      </c>
      <c r="L948" s="67">
        <f t="shared" si="363"/>
        <v>0</v>
      </c>
      <c r="M948" s="77">
        <f t="shared" si="364"/>
        <v>0</v>
      </c>
      <c r="N948" s="76">
        <f t="shared" si="365"/>
        <v>1</v>
      </c>
      <c r="O948" s="77">
        <f t="shared" si="366"/>
        <v>0.88934354485776801</v>
      </c>
      <c r="P948" s="76">
        <f t="shared" si="367"/>
        <v>0</v>
      </c>
      <c r="Q948" s="76">
        <f t="shared" si="368"/>
        <v>0</v>
      </c>
      <c r="R948" s="76">
        <f t="shared" si="369"/>
        <v>0</v>
      </c>
      <c r="S948" s="76">
        <f t="shared" si="370"/>
        <v>0.96667776614974776</v>
      </c>
      <c r="T948" s="76">
        <f t="shared" si="371"/>
        <v>0.96667776614974776</v>
      </c>
      <c r="U948" s="76">
        <f t="shared" si="372"/>
        <v>1</v>
      </c>
    </row>
    <row r="949" spans="1:21" x14ac:dyDescent="0.25">
      <c r="A949" s="71">
        <v>7</v>
      </c>
      <c r="B949" s="72">
        <f t="shared" si="373"/>
        <v>45839</v>
      </c>
      <c r="C949" s="73">
        <f t="shared" si="354"/>
        <v>45869</v>
      </c>
      <c r="D949" s="67">
        <f t="shared" si="355"/>
        <v>31</v>
      </c>
      <c r="E949" s="67">
        <f t="shared" si="356"/>
        <v>7</v>
      </c>
      <c r="F949" s="74">
        <f t="shared" si="357"/>
        <v>45854.5</v>
      </c>
      <c r="G949" s="67">
        <f t="shared" si="358"/>
        <v>24306</v>
      </c>
      <c r="H949" s="75">
        <f t="shared" si="359"/>
        <v>1</v>
      </c>
      <c r="I949" s="76">
        <f t="shared" si="360"/>
        <v>1</v>
      </c>
      <c r="J949" s="76">
        <f t="shared" si="361"/>
        <v>1</v>
      </c>
      <c r="K949" s="67">
        <f t="shared" si="362"/>
        <v>0</v>
      </c>
      <c r="L949" s="67">
        <f t="shared" si="363"/>
        <v>0</v>
      </c>
      <c r="M949" s="77">
        <f t="shared" si="364"/>
        <v>0</v>
      </c>
      <c r="N949" s="76">
        <f t="shared" si="365"/>
        <v>1</v>
      </c>
      <c r="O949" s="77">
        <f t="shared" si="366"/>
        <v>0.8906783369803063</v>
      </c>
      <c r="P949" s="76">
        <f t="shared" si="367"/>
        <v>8.333333333333337E-2</v>
      </c>
      <c r="Q949" s="76">
        <f t="shared" si="368"/>
        <v>0</v>
      </c>
      <c r="R949" s="76">
        <f t="shared" si="369"/>
        <v>0</v>
      </c>
      <c r="S949" s="76">
        <f t="shared" si="370"/>
        <v>0.9681286271525068</v>
      </c>
      <c r="T949" s="76">
        <f t="shared" si="371"/>
        <v>0.9681286271525068</v>
      </c>
      <c r="U949" s="76">
        <f t="shared" si="372"/>
        <v>1</v>
      </c>
    </row>
    <row r="950" spans="1:21" x14ac:dyDescent="0.25">
      <c r="A950" s="71">
        <v>8</v>
      </c>
      <c r="B950" s="72">
        <f t="shared" si="373"/>
        <v>45870</v>
      </c>
      <c r="C950" s="73">
        <f t="shared" si="354"/>
        <v>45900</v>
      </c>
      <c r="D950" s="67">
        <f t="shared" si="355"/>
        <v>31</v>
      </c>
      <c r="E950" s="67">
        <f t="shared" si="356"/>
        <v>8</v>
      </c>
      <c r="F950" s="74">
        <f t="shared" si="357"/>
        <v>45885.5</v>
      </c>
      <c r="G950" s="67">
        <f t="shared" si="358"/>
        <v>24307</v>
      </c>
      <c r="H950" s="75">
        <f t="shared" si="359"/>
        <v>1</v>
      </c>
      <c r="I950" s="76">
        <f t="shared" si="360"/>
        <v>1</v>
      </c>
      <c r="J950" s="76">
        <f t="shared" si="361"/>
        <v>1</v>
      </c>
      <c r="K950" s="67">
        <f t="shared" si="362"/>
        <v>0</v>
      </c>
      <c r="L950" s="67">
        <f t="shared" si="363"/>
        <v>0</v>
      </c>
      <c r="M950" s="77">
        <f t="shared" si="364"/>
        <v>0</v>
      </c>
      <c r="N950" s="76">
        <f t="shared" si="365"/>
        <v>1</v>
      </c>
      <c r="O950" s="77">
        <f t="shared" si="366"/>
        <v>0.89203501094091897</v>
      </c>
      <c r="P950" s="76">
        <f t="shared" si="367"/>
        <v>0.25</v>
      </c>
      <c r="Q950" s="76">
        <f t="shared" si="368"/>
        <v>0</v>
      </c>
      <c r="R950" s="76">
        <f t="shared" si="369"/>
        <v>0</v>
      </c>
      <c r="S950" s="76">
        <f t="shared" si="370"/>
        <v>0.96960327276186842</v>
      </c>
      <c r="T950" s="76">
        <f t="shared" si="371"/>
        <v>0.96960327276186842</v>
      </c>
      <c r="U950" s="76">
        <f t="shared" si="372"/>
        <v>1</v>
      </c>
    </row>
    <row r="951" spans="1:21" x14ac:dyDescent="0.25">
      <c r="A951" s="71">
        <v>9</v>
      </c>
      <c r="B951" s="72">
        <f t="shared" si="373"/>
        <v>45901</v>
      </c>
      <c r="C951" s="73">
        <f t="shared" si="354"/>
        <v>45930</v>
      </c>
      <c r="D951" s="67">
        <f t="shared" si="355"/>
        <v>30</v>
      </c>
      <c r="E951" s="67">
        <f t="shared" si="356"/>
        <v>9</v>
      </c>
      <c r="F951" s="74">
        <f t="shared" si="357"/>
        <v>45916</v>
      </c>
      <c r="G951" s="67">
        <f t="shared" si="358"/>
        <v>24308</v>
      </c>
      <c r="H951" s="75">
        <f t="shared" si="359"/>
        <v>1</v>
      </c>
      <c r="I951" s="76">
        <f t="shared" si="360"/>
        <v>1</v>
      </c>
      <c r="J951" s="76">
        <f t="shared" si="361"/>
        <v>1</v>
      </c>
      <c r="K951" s="67">
        <f t="shared" si="362"/>
        <v>0</v>
      </c>
      <c r="L951" s="67">
        <f t="shared" si="363"/>
        <v>0</v>
      </c>
      <c r="M951" s="77">
        <f t="shared" si="364"/>
        <v>0</v>
      </c>
      <c r="N951" s="76">
        <f t="shared" si="365"/>
        <v>1</v>
      </c>
      <c r="O951" s="77">
        <f t="shared" si="366"/>
        <v>0.89336980306345726</v>
      </c>
      <c r="P951" s="76">
        <f t="shared" si="367"/>
        <v>0.41666666666666663</v>
      </c>
      <c r="Q951" s="76">
        <f t="shared" si="368"/>
        <v>0</v>
      </c>
      <c r="R951" s="76">
        <f t="shared" si="369"/>
        <v>0</v>
      </c>
      <c r="S951" s="76">
        <f t="shared" si="370"/>
        <v>0.97105413376462746</v>
      </c>
      <c r="T951" s="76">
        <f t="shared" si="371"/>
        <v>0.97105413376462746</v>
      </c>
      <c r="U951" s="76">
        <f t="shared" si="372"/>
        <v>1</v>
      </c>
    </row>
    <row r="952" spans="1:21" x14ac:dyDescent="0.25">
      <c r="A952" s="71">
        <v>10</v>
      </c>
      <c r="B952" s="72">
        <f t="shared" si="373"/>
        <v>45931</v>
      </c>
      <c r="C952" s="73">
        <f t="shared" si="354"/>
        <v>45961</v>
      </c>
      <c r="D952" s="67">
        <f t="shared" si="355"/>
        <v>31</v>
      </c>
      <c r="E952" s="67">
        <f t="shared" si="356"/>
        <v>10</v>
      </c>
      <c r="F952" s="74">
        <f t="shared" si="357"/>
        <v>45946.5</v>
      </c>
      <c r="G952" s="67">
        <f t="shared" si="358"/>
        <v>24309</v>
      </c>
      <c r="H952" s="75">
        <f t="shared" si="359"/>
        <v>1</v>
      </c>
      <c r="I952" s="76">
        <f t="shared" si="360"/>
        <v>1</v>
      </c>
      <c r="J952" s="76">
        <f t="shared" si="361"/>
        <v>1</v>
      </c>
      <c r="K952" s="67">
        <f t="shared" si="362"/>
        <v>0</v>
      </c>
      <c r="L952" s="67">
        <f t="shared" si="363"/>
        <v>0</v>
      </c>
      <c r="M952" s="77">
        <f t="shared" si="364"/>
        <v>0</v>
      </c>
      <c r="N952" s="76">
        <f t="shared" si="365"/>
        <v>1</v>
      </c>
      <c r="O952" s="77">
        <f t="shared" si="366"/>
        <v>0.89470459518599565</v>
      </c>
      <c r="P952" s="76">
        <f t="shared" si="367"/>
        <v>0.58333333333333326</v>
      </c>
      <c r="Q952" s="76">
        <f t="shared" si="368"/>
        <v>0</v>
      </c>
      <c r="R952" s="76">
        <f t="shared" si="369"/>
        <v>0</v>
      </c>
      <c r="S952" s="76">
        <f t="shared" si="370"/>
        <v>0.9725049947673865</v>
      </c>
      <c r="T952" s="76">
        <f t="shared" si="371"/>
        <v>0.9725049947673865</v>
      </c>
      <c r="U952" s="76">
        <f t="shared" si="372"/>
        <v>1</v>
      </c>
    </row>
    <row r="953" spans="1:21" x14ac:dyDescent="0.25">
      <c r="A953" s="71">
        <v>11</v>
      </c>
      <c r="B953" s="72">
        <f t="shared" si="373"/>
        <v>45962</v>
      </c>
      <c r="C953" s="73">
        <f t="shared" si="354"/>
        <v>45991</v>
      </c>
      <c r="D953" s="67">
        <f t="shared" si="355"/>
        <v>30</v>
      </c>
      <c r="E953" s="67">
        <f t="shared" si="356"/>
        <v>11</v>
      </c>
      <c r="F953" s="74">
        <f t="shared" si="357"/>
        <v>45977</v>
      </c>
      <c r="G953" s="67">
        <f t="shared" si="358"/>
        <v>24310</v>
      </c>
      <c r="H953" s="75">
        <f t="shared" si="359"/>
        <v>1</v>
      </c>
      <c r="I953" s="76">
        <f t="shared" si="360"/>
        <v>1</v>
      </c>
      <c r="J953" s="76">
        <f t="shared" si="361"/>
        <v>1</v>
      </c>
      <c r="K953" s="67">
        <f t="shared" si="362"/>
        <v>0</v>
      </c>
      <c r="L953" s="67">
        <f t="shared" si="363"/>
        <v>0</v>
      </c>
      <c r="M953" s="77">
        <f t="shared" si="364"/>
        <v>0</v>
      </c>
      <c r="N953" s="76">
        <f t="shared" si="365"/>
        <v>1</v>
      </c>
      <c r="O953" s="77">
        <f t="shared" si="366"/>
        <v>0.89603938730853394</v>
      </c>
      <c r="P953" s="76">
        <f t="shared" si="367"/>
        <v>0.75</v>
      </c>
      <c r="Q953" s="76">
        <f t="shared" si="368"/>
        <v>0</v>
      </c>
      <c r="R953" s="76">
        <f t="shared" si="369"/>
        <v>0</v>
      </c>
      <c r="S953" s="76">
        <f t="shared" si="370"/>
        <v>0.97395585577014554</v>
      </c>
      <c r="T953" s="76">
        <f t="shared" si="371"/>
        <v>0.97395585577014554</v>
      </c>
      <c r="U953" s="76">
        <f t="shared" si="372"/>
        <v>1</v>
      </c>
    </row>
    <row r="954" spans="1:21" x14ac:dyDescent="0.25">
      <c r="A954" s="71">
        <v>12</v>
      </c>
      <c r="B954" s="72">
        <f t="shared" si="373"/>
        <v>45992</v>
      </c>
      <c r="C954" s="73">
        <f t="shared" si="354"/>
        <v>46022</v>
      </c>
      <c r="D954" s="67">
        <f t="shared" si="355"/>
        <v>31</v>
      </c>
      <c r="E954" s="67">
        <f t="shared" si="356"/>
        <v>12</v>
      </c>
      <c r="F954" s="74">
        <f t="shared" si="357"/>
        <v>46007.5</v>
      </c>
      <c r="G954" s="67">
        <f t="shared" si="358"/>
        <v>24311</v>
      </c>
      <c r="H954" s="75">
        <f t="shared" si="359"/>
        <v>1</v>
      </c>
      <c r="I954" s="76">
        <f t="shared" si="360"/>
        <v>1</v>
      </c>
      <c r="J954" s="76">
        <f t="shared" si="361"/>
        <v>1</v>
      </c>
      <c r="K954" s="67">
        <f t="shared" si="362"/>
        <v>0</v>
      </c>
      <c r="L954" s="67">
        <f t="shared" si="363"/>
        <v>0</v>
      </c>
      <c r="M954" s="77">
        <f t="shared" si="364"/>
        <v>0</v>
      </c>
      <c r="N954" s="76">
        <f t="shared" si="365"/>
        <v>1</v>
      </c>
      <c r="O954" s="77">
        <f t="shared" si="366"/>
        <v>0.89737417943107223</v>
      </c>
      <c r="P954" s="76">
        <f t="shared" si="367"/>
        <v>0.91666666666666663</v>
      </c>
      <c r="Q954" s="76">
        <f t="shared" si="368"/>
        <v>0</v>
      </c>
      <c r="R954" s="76">
        <f t="shared" si="369"/>
        <v>0</v>
      </c>
      <c r="S954" s="76">
        <f t="shared" si="370"/>
        <v>0.97540671677290458</v>
      </c>
      <c r="T954" s="76">
        <f t="shared" si="371"/>
        <v>0.97540671677290458</v>
      </c>
      <c r="U954" s="76">
        <f t="shared" si="372"/>
        <v>1</v>
      </c>
    </row>
    <row r="955" spans="1:21" x14ac:dyDescent="0.25">
      <c r="A955" s="71">
        <v>13</v>
      </c>
      <c r="B955" s="72">
        <f t="shared" si="373"/>
        <v>46023</v>
      </c>
      <c r="C955" s="73">
        <f t="shared" si="354"/>
        <v>46053</v>
      </c>
      <c r="D955" s="67">
        <f t="shared" si="355"/>
        <v>31</v>
      </c>
      <c r="E955" s="67">
        <f t="shared" si="356"/>
        <v>1</v>
      </c>
      <c r="F955" s="74">
        <f t="shared" si="357"/>
        <v>46038.5</v>
      </c>
      <c r="G955" s="67">
        <f t="shared" si="358"/>
        <v>24312</v>
      </c>
      <c r="H955" s="75">
        <f t="shared" si="359"/>
        <v>1</v>
      </c>
      <c r="I955" s="76">
        <f t="shared" si="360"/>
        <v>1</v>
      </c>
      <c r="J955" s="76">
        <f t="shared" si="361"/>
        <v>1</v>
      </c>
      <c r="K955" s="67">
        <f t="shared" si="362"/>
        <v>0</v>
      </c>
      <c r="L955" s="67">
        <f t="shared" si="363"/>
        <v>0</v>
      </c>
      <c r="M955" s="77">
        <f t="shared" si="364"/>
        <v>0</v>
      </c>
      <c r="N955" s="76">
        <f t="shared" si="365"/>
        <v>1</v>
      </c>
      <c r="O955" s="77">
        <f t="shared" si="366"/>
        <v>0.8987308533916849</v>
      </c>
      <c r="P955" s="76">
        <f t="shared" si="367"/>
        <v>1</v>
      </c>
      <c r="Q955" s="76">
        <f t="shared" si="368"/>
        <v>0</v>
      </c>
      <c r="R955" s="76">
        <f t="shared" si="369"/>
        <v>0</v>
      </c>
      <c r="S955" s="76">
        <f t="shared" si="370"/>
        <v>0.97688136238226619</v>
      </c>
      <c r="T955" s="76">
        <f t="shared" si="371"/>
        <v>0.97688136238226619</v>
      </c>
      <c r="U955" s="76">
        <f t="shared" si="372"/>
        <v>1</v>
      </c>
    </row>
    <row r="956" spans="1:21" x14ac:dyDescent="0.25">
      <c r="A956" s="71">
        <v>14</v>
      </c>
      <c r="B956" s="72">
        <f t="shared" si="373"/>
        <v>46054</v>
      </c>
      <c r="C956" s="73">
        <f t="shared" si="354"/>
        <v>46081</v>
      </c>
      <c r="D956" s="67">
        <f t="shared" si="355"/>
        <v>28</v>
      </c>
      <c r="E956" s="67">
        <f t="shared" si="356"/>
        <v>2</v>
      </c>
      <c r="F956" s="74">
        <f t="shared" si="357"/>
        <v>46068</v>
      </c>
      <c r="G956" s="67">
        <f t="shared" si="358"/>
        <v>24313</v>
      </c>
      <c r="H956" s="75">
        <f t="shared" si="359"/>
        <v>1</v>
      </c>
      <c r="I956" s="76">
        <f t="shared" si="360"/>
        <v>1</v>
      </c>
      <c r="J956" s="76">
        <f t="shared" si="361"/>
        <v>1</v>
      </c>
      <c r="K956" s="67">
        <f t="shared" si="362"/>
        <v>0</v>
      </c>
      <c r="L956" s="67">
        <f t="shared" si="363"/>
        <v>0</v>
      </c>
      <c r="M956" s="77">
        <f t="shared" si="364"/>
        <v>0</v>
      </c>
      <c r="N956" s="76">
        <f t="shared" si="365"/>
        <v>1</v>
      </c>
      <c r="O956" s="77">
        <f t="shared" si="366"/>
        <v>0.90002188183807441</v>
      </c>
      <c r="P956" s="76">
        <f t="shared" si="367"/>
        <v>1</v>
      </c>
      <c r="Q956" s="76">
        <f t="shared" si="368"/>
        <v>0</v>
      </c>
      <c r="R956" s="76">
        <f t="shared" si="369"/>
        <v>0</v>
      </c>
      <c r="S956" s="76">
        <f t="shared" si="370"/>
        <v>0.97828465417181998</v>
      </c>
      <c r="T956" s="76">
        <f t="shared" si="371"/>
        <v>0.97828465417181998</v>
      </c>
      <c r="U956" s="76">
        <f t="shared" si="372"/>
        <v>1</v>
      </c>
    </row>
    <row r="957" spans="1:21" x14ac:dyDescent="0.25">
      <c r="A957" s="71">
        <v>15</v>
      </c>
      <c r="B957" s="72">
        <f t="shared" si="373"/>
        <v>46082</v>
      </c>
      <c r="C957" s="73">
        <f t="shared" si="354"/>
        <v>46112</v>
      </c>
      <c r="D957" s="67">
        <f t="shared" si="355"/>
        <v>31</v>
      </c>
      <c r="E957" s="67">
        <f t="shared" si="356"/>
        <v>3</v>
      </c>
      <c r="F957" s="74">
        <f t="shared" si="357"/>
        <v>46097.5</v>
      </c>
      <c r="G957" s="67">
        <f t="shared" si="358"/>
        <v>24314</v>
      </c>
      <c r="H957" s="75">
        <f t="shared" si="359"/>
        <v>1</v>
      </c>
      <c r="I957" s="76">
        <f t="shared" si="360"/>
        <v>1</v>
      </c>
      <c r="J957" s="76">
        <f t="shared" si="361"/>
        <v>1</v>
      </c>
      <c r="K957" s="67">
        <f t="shared" si="362"/>
        <v>0</v>
      </c>
      <c r="L957" s="67">
        <f t="shared" si="363"/>
        <v>0</v>
      </c>
      <c r="M957" s="77">
        <f t="shared" si="364"/>
        <v>0</v>
      </c>
      <c r="N957" s="76">
        <f t="shared" si="365"/>
        <v>1</v>
      </c>
      <c r="O957" s="77">
        <f t="shared" si="366"/>
        <v>0.90131291028446392</v>
      </c>
      <c r="P957" s="76">
        <f t="shared" si="367"/>
        <v>1</v>
      </c>
      <c r="Q957" s="76">
        <f t="shared" si="368"/>
        <v>0</v>
      </c>
      <c r="R957" s="76">
        <f t="shared" si="369"/>
        <v>0</v>
      </c>
      <c r="S957" s="76">
        <f t="shared" si="370"/>
        <v>0.97968794596137376</v>
      </c>
      <c r="T957" s="76">
        <f t="shared" si="371"/>
        <v>0.97968794596137376</v>
      </c>
      <c r="U957" s="76">
        <f t="shared" si="372"/>
        <v>1</v>
      </c>
    </row>
    <row r="958" spans="1:21" x14ac:dyDescent="0.25">
      <c r="A958" s="71">
        <v>16</v>
      </c>
      <c r="B958" s="72">
        <f t="shared" si="373"/>
        <v>46113</v>
      </c>
      <c r="C958" s="73">
        <f t="shared" si="354"/>
        <v>46142</v>
      </c>
      <c r="D958" s="67">
        <f t="shared" si="355"/>
        <v>30</v>
      </c>
      <c r="E958" s="67">
        <f t="shared" si="356"/>
        <v>4</v>
      </c>
      <c r="F958" s="74">
        <f t="shared" si="357"/>
        <v>46128</v>
      </c>
      <c r="G958" s="67">
        <f t="shared" si="358"/>
        <v>24315</v>
      </c>
      <c r="H958" s="75">
        <f t="shared" si="359"/>
        <v>1</v>
      </c>
      <c r="I958" s="76">
        <f t="shared" si="360"/>
        <v>1</v>
      </c>
      <c r="J958" s="76">
        <f t="shared" si="361"/>
        <v>1</v>
      </c>
      <c r="K958" s="67">
        <f t="shared" si="362"/>
        <v>0</v>
      </c>
      <c r="L958" s="67">
        <f t="shared" si="363"/>
        <v>0</v>
      </c>
      <c r="M958" s="77">
        <f t="shared" si="364"/>
        <v>0</v>
      </c>
      <c r="N958" s="76">
        <f t="shared" si="365"/>
        <v>1</v>
      </c>
      <c r="O958" s="77">
        <f t="shared" si="366"/>
        <v>0.90264770240700221</v>
      </c>
      <c r="P958" s="76">
        <f t="shared" si="367"/>
        <v>1</v>
      </c>
      <c r="Q958" s="76">
        <f t="shared" si="368"/>
        <v>0</v>
      </c>
      <c r="R958" s="76">
        <f t="shared" si="369"/>
        <v>0</v>
      </c>
      <c r="S958" s="76">
        <f t="shared" si="370"/>
        <v>0.9811388069641328</v>
      </c>
      <c r="T958" s="76">
        <f t="shared" si="371"/>
        <v>0.9811388069641328</v>
      </c>
      <c r="U958" s="76">
        <f t="shared" si="372"/>
        <v>1</v>
      </c>
    </row>
    <row r="959" spans="1:21" x14ac:dyDescent="0.25">
      <c r="A959" s="71">
        <v>17</v>
      </c>
      <c r="B959" s="72">
        <f t="shared" si="373"/>
        <v>46143</v>
      </c>
      <c r="C959" s="73">
        <f t="shared" si="354"/>
        <v>46173</v>
      </c>
      <c r="D959" s="67">
        <f t="shared" si="355"/>
        <v>31</v>
      </c>
      <c r="E959" s="67">
        <f t="shared" si="356"/>
        <v>5</v>
      </c>
      <c r="F959" s="74">
        <f t="shared" si="357"/>
        <v>46158.5</v>
      </c>
      <c r="G959" s="67">
        <f t="shared" si="358"/>
        <v>24316</v>
      </c>
      <c r="H959" s="75">
        <f t="shared" si="359"/>
        <v>1</v>
      </c>
      <c r="I959" s="76">
        <f t="shared" si="360"/>
        <v>1</v>
      </c>
      <c r="J959" s="76">
        <f t="shared" si="361"/>
        <v>1.03</v>
      </c>
      <c r="K959" s="67">
        <f t="shared" si="362"/>
        <v>1</v>
      </c>
      <c r="L959" s="67">
        <f t="shared" si="363"/>
        <v>31</v>
      </c>
      <c r="M959" s="77">
        <f t="shared" si="364"/>
        <v>1</v>
      </c>
      <c r="N959" s="76">
        <f t="shared" si="365"/>
        <v>1.03</v>
      </c>
      <c r="O959" s="77">
        <f t="shared" si="366"/>
        <v>0.90398249452954049</v>
      </c>
      <c r="P959" s="76">
        <f t="shared" si="367"/>
        <v>1</v>
      </c>
      <c r="Q959" s="76">
        <f t="shared" si="368"/>
        <v>0</v>
      </c>
      <c r="R959" s="76">
        <f t="shared" si="369"/>
        <v>0</v>
      </c>
      <c r="S959" s="76">
        <f t="shared" si="370"/>
        <v>1.0120673580058985</v>
      </c>
      <c r="T959" s="76">
        <f t="shared" si="371"/>
        <v>1.0120673580058985</v>
      </c>
      <c r="U959" s="76">
        <f t="shared" si="372"/>
        <v>1.03</v>
      </c>
    </row>
    <row r="960" spans="1:21" x14ac:dyDescent="0.25">
      <c r="A960" s="71">
        <v>18</v>
      </c>
      <c r="B960" s="72">
        <f t="shared" si="373"/>
        <v>46174</v>
      </c>
      <c r="C960" s="73">
        <f t="shared" si="354"/>
        <v>46203</v>
      </c>
      <c r="D960" s="67">
        <f t="shared" si="355"/>
        <v>30</v>
      </c>
      <c r="E960" s="67">
        <f t="shared" si="356"/>
        <v>6</v>
      </c>
      <c r="F960" s="74">
        <f t="shared" si="357"/>
        <v>46189</v>
      </c>
      <c r="G960" s="67">
        <f t="shared" si="358"/>
        <v>24317</v>
      </c>
      <c r="H960" s="75">
        <f t="shared" si="359"/>
        <v>1</v>
      </c>
      <c r="I960" s="76">
        <f t="shared" si="360"/>
        <v>1.03</v>
      </c>
      <c r="J960" s="76">
        <f t="shared" si="361"/>
        <v>1.03</v>
      </c>
      <c r="K960" s="67">
        <f t="shared" si="362"/>
        <v>0</v>
      </c>
      <c r="L960" s="67">
        <f t="shared" si="363"/>
        <v>0</v>
      </c>
      <c r="M960" s="77">
        <f t="shared" si="364"/>
        <v>0</v>
      </c>
      <c r="N960" s="76">
        <f t="shared" si="365"/>
        <v>1.03</v>
      </c>
      <c r="O960" s="77">
        <f t="shared" si="366"/>
        <v>0.90531728665207878</v>
      </c>
      <c r="P960" s="76">
        <f t="shared" si="367"/>
        <v>1</v>
      </c>
      <c r="Q960" s="76">
        <f t="shared" si="368"/>
        <v>0</v>
      </c>
      <c r="R960" s="76">
        <f t="shared" si="369"/>
        <v>0</v>
      </c>
      <c r="S960" s="76">
        <f t="shared" si="370"/>
        <v>1.0135617448387404</v>
      </c>
      <c r="T960" s="76">
        <f t="shared" si="371"/>
        <v>1.0135617448387404</v>
      </c>
      <c r="U960" s="76">
        <f t="shared" si="372"/>
        <v>1.03</v>
      </c>
    </row>
    <row r="961" spans="1:21" x14ac:dyDescent="0.25">
      <c r="A961" s="71">
        <v>19</v>
      </c>
      <c r="B961" s="72">
        <f t="shared" si="373"/>
        <v>46204</v>
      </c>
      <c r="C961" s="73">
        <f t="shared" si="354"/>
        <v>46234</v>
      </c>
      <c r="D961" s="67">
        <f t="shared" si="355"/>
        <v>31</v>
      </c>
      <c r="E961" s="67">
        <f t="shared" si="356"/>
        <v>7</v>
      </c>
      <c r="F961" s="74">
        <f t="shared" si="357"/>
        <v>46219.5</v>
      </c>
      <c r="G961" s="67">
        <f t="shared" si="358"/>
        <v>24318</v>
      </c>
      <c r="H961" s="75">
        <f t="shared" si="359"/>
        <v>1</v>
      </c>
      <c r="I961" s="76">
        <f t="shared" si="360"/>
        <v>1.03</v>
      </c>
      <c r="J961" s="76">
        <f t="shared" si="361"/>
        <v>1.03</v>
      </c>
      <c r="K961" s="67">
        <f t="shared" si="362"/>
        <v>0</v>
      </c>
      <c r="L961" s="67">
        <f t="shared" si="363"/>
        <v>0</v>
      </c>
      <c r="M961" s="77">
        <f t="shared" si="364"/>
        <v>0</v>
      </c>
      <c r="N961" s="76">
        <f t="shared" si="365"/>
        <v>1.03</v>
      </c>
      <c r="O961" s="77">
        <f t="shared" si="366"/>
        <v>0.90665207877461707</v>
      </c>
      <c r="P961" s="76">
        <f t="shared" si="367"/>
        <v>0.91666666666666663</v>
      </c>
      <c r="Q961" s="76">
        <f t="shared" si="368"/>
        <v>8.333333333333337E-2</v>
      </c>
      <c r="R961" s="76">
        <f t="shared" si="369"/>
        <v>0</v>
      </c>
      <c r="S961" s="76">
        <f t="shared" si="370"/>
        <v>1.015056131671582</v>
      </c>
      <c r="T961" s="76">
        <f t="shared" si="371"/>
        <v>1.015056131671582</v>
      </c>
      <c r="U961" s="76">
        <f t="shared" si="372"/>
        <v>1.03</v>
      </c>
    </row>
    <row r="962" spans="1:21" x14ac:dyDescent="0.25">
      <c r="A962" s="71">
        <v>20</v>
      </c>
      <c r="B962" s="72">
        <f t="shared" si="373"/>
        <v>46235</v>
      </c>
      <c r="C962" s="73">
        <f t="shared" si="354"/>
        <v>46265</v>
      </c>
      <c r="D962" s="67">
        <f t="shared" si="355"/>
        <v>31</v>
      </c>
      <c r="E962" s="67">
        <f t="shared" si="356"/>
        <v>8</v>
      </c>
      <c r="F962" s="74">
        <f t="shared" si="357"/>
        <v>46250.5</v>
      </c>
      <c r="G962" s="67">
        <f t="shared" si="358"/>
        <v>24319</v>
      </c>
      <c r="H962" s="75">
        <f t="shared" si="359"/>
        <v>1</v>
      </c>
      <c r="I962" s="76">
        <f t="shared" si="360"/>
        <v>1.03</v>
      </c>
      <c r="J962" s="76">
        <f t="shared" si="361"/>
        <v>1.03</v>
      </c>
      <c r="K962" s="67">
        <f t="shared" si="362"/>
        <v>0</v>
      </c>
      <c r="L962" s="67">
        <f t="shared" si="363"/>
        <v>0</v>
      </c>
      <c r="M962" s="77">
        <f t="shared" si="364"/>
        <v>0</v>
      </c>
      <c r="N962" s="76">
        <f t="shared" si="365"/>
        <v>1.03</v>
      </c>
      <c r="O962" s="77">
        <f t="shared" si="366"/>
        <v>0.90800875273522974</v>
      </c>
      <c r="P962" s="76">
        <f t="shared" si="367"/>
        <v>0.75</v>
      </c>
      <c r="Q962" s="76">
        <f t="shared" si="368"/>
        <v>0.25</v>
      </c>
      <c r="R962" s="76">
        <f t="shared" si="369"/>
        <v>0</v>
      </c>
      <c r="S962" s="76">
        <f t="shared" si="370"/>
        <v>1.0165750166492247</v>
      </c>
      <c r="T962" s="76">
        <f t="shared" si="371"/>
        <v>1.0165750166492247</v>
      </c>
      <c r="U962" s="76">
        <f t="shared" si="372"/>
        <v>1.03</v>
      </c>
    </row>
    <row r="963" spans="1:21" x14ac:dyDescent="0.25">
      <c r="A963" s="71">
        <v>21</v>
      </c>
      <c r="B963" s="72">
        <f t="shared" si="373"/>
        <v>46266</v>
      </c>
      <c r="C963" s="73">
        <f t="shared" si="354"/>
        <v>46295</v>
      </c>
      <c r="D963" s="67">
        <f t="shared" si="355"/>
        <v>30</v>
      </c>
      <c r="E963" s="67">
        <f t="shared" si="356"/>
        <v>9</v>
      </c>
      <c r="F963" s="74">
        <f t="shared" si="357"/>
        <v>46281</v>
      </c>
      <c r="G963" s="67">
        <f t="shared" si="358"/>
        <v>24320</v>
      </c>
      <c r="H963" s="75">
        <f t="shared" si="359"/>
        <v>1</v>
      </c>
      <c r="I963" s="76">
        <f t="shared" si="360"/>
        <v>1.03</v>
      </c>
      <c r="J963" s="76">
        <f t="shared" si="361"/>
        <v>1.03</v>
      </c>
      <c r="K963" s="67">
        <f t="shared" si="362"/>
        <v>0</v>
      </c>
      <c r="L963" s="67">
        <f t="shared" si="363"/>
        <v>0</v>
      </c>
      <c r="M963" s="77">
        <f t="shared" si="364"/>
        <v>0</v>
      </c>
      <c r="N963" s="76">
        <f t="shared" si="365"/>
        <v>1.03</v>
      </c>
      <c r="O963" s="77">
        <f t="shared" si="366"/>
        <v>0.90934354485776803</v>
      </c>
      <c r="P963" s="76">
        <f t="shared" si="367"/>
        <v>0.58333333333333337</v>
      </c>
      <c r="Q963" s="76">
        <f t="shared" si="368"/>
        <v>0.41666666666666663</v>
      </c>
      <c r="R963" s="76">
        <f t="shared" si="369"/>
        <v>0</v>
      </c>
      <c r="S963" s="76">
        <f t="shared" si="370"/>
        <v>1.0180694034820663</v>
      </c>
      <c r="T963" s="76">
        <f t="shared" si="371"/>
        <v>1.0180694034820663</v>
      </c>
      <c r="U963" s="76">
        <f t="shared" si="372"/>
        <v>1.03</v>
      </c>
    </row>
    <row r="964" spans="1:21" x14ac:dyDescent="0.25">
      <c r="A964" s="71">
        <v>22</v>
      </c>
      <c r="B964" s="72">
        <f t="shared" si="373"/>
        <v>46296</v>
      </c>
      <c r="C964" s="73">
        <f t="shared" si="354"/>
        <v>46326</v>
      </c>
      <c r="D964" s="67">
        <f t="shared" si="355"/>
        <v>31</v>
      </c>
      <c r="E964" s="67">
        <f t="shared" si="356"/>
        <v>10</v>
      </c>
      <c r="F964" s="74">
        <f t="shared" si="357"/>
        <v>46311.5</v>
      </c>
      <c r="G964" s="67">
        <f t="shared" si="358"/>
        <v>24321</v>
      </c>
      <c r="H964" s="75">
        <f t="shared" si="359"/>
        <v>1</v>
      </c>
      <c r="I964" s="76">
        <f t="shared" si="360"/>
        <v>1.03</v>
      </c>
      <c r="J964" s="76">
        <f t="shared" si="361"/>
        <v>1.03</v>
      </c>
      <c r="K964" s="67">
        <f t="shared" si="362"/>
        <v>0</v>
      </c>
      <c r="L964" s="67">
        <f t="shared" si="363"/>
        <v>0</v>
      </c>
      <c r="M964" s="77">
        <f t="shared" si="364"/>
        <v>0</v>
      </c>
      <c r="N964" s="76">
        <f t="shared" si="365"/>
        <v>1.03</v>
      </c>
      <c r="O964" s="77">
        <f t="shared" si="366"/>
        <v>0.91067833698030642</v>
      </c>
      <c r="P964" s="76">
        <f t="shared" si="367"/>
        <v>0.41666666666666669</v>
      </c>
      <c r="Q964" s="76">
        <f t="shared" si="368"/>
        <v>0.58333333333333326</v>
      </c>
      <c r="R964" s="76">
        <f t="shared" si="369"/>
        <v>0</v>
      </c>
      <c r="S964" s="76">
        <f t="shared" si="370"/>
        <v>1.0195637903149082</v>
      </c>
      <c r="T964" s="76">
        <f t="shared" si="371"/>
        <v>1.0195637903149082</v>
      </c>
      <c r="U964" s="76">
        <f t="shared" si="372"/>
        <v>1.03</v>
      </c>
    </row>
    <row r="965" spans="1:21" x14ac:dyDescent="0.25">
      <c r="A965" s="71">
        <v>23</v>
      </c>
      <c r="B965" s="72">
        <f t="shared" si="373"/>
        <v>46327</v>
      </c>
      <c r="C965" s="73">
        <f t="shared" si="354"/>
        <v>46356</v>
      </c>
      <c r="D965" s="67">
        <f t="shared" si="355"/>
        <v>30</v>
      </c>
      <c r="E965" s="67">
        <f t="shared" si="356"/>
        <v>11</v>
      </c>
      <c r="F965" s="74">
        <f t="shared" si="357"/>
        <v>46342</v>
      </c>
      <c r="G965" s="67">
        <f t="shared" si="358"/>
        <v>24322</v>
      </c>
      <c r="H965" s="75">
        <f t="shared" si="359"/>
        <v>1</v>
      </c>
      <c r="I965" s="76">
        <f t="shared" si="360"/>
        <v>1.03</v>
      </c>
      <c r="J965" s="76">
        <f t="shared" si="361"/>
        <v>1.03</v>
      </c>
      <c r="K965" s="67">
        <f t="shared" si="362"/>
        <v>0</v>
      </c>
      <c r="L965" s="67">
        <f t="shared" si="363"/>
        <v>0</v>
      </c>
      <c r="M965" s="77">
        <f t="shared" si="364"/>
        <v>0</v>
      </c>
      <c r="N965" s="76">
        <f t="shared" si="365"/>
        <v>1.03</v>
      </c>
      <c r="O965" s="77">
        <f t="shared" si="366"/>
        <v>0.91201312910284471</v>
      </c>
      <c r="P965" s="76">
        <f t="shared" si="367"/>
        <v>0.25</v>
      </c>
      <c r="Q965" s="76">
        <f t="shared" si="368"/>
        <v>0.75</v>
      </c>
      <c r="R965" s="76">
        <f t="shared" si="369"/>
        <v>0</v>
      </c>
      <c r="S965" s="76">
        <f t="shared" si="370"/>
        <v>1.02105817714775</v>
      </c>
      <c r="T965" s="76">
        <f t="shared" si="371"/>
        <v>1.02105817714775</v>
      </c>
      <c r="U965" s="76">
        <f t="shared" si="372"/>
        <v>1.03</v>
      </c>
    </row>
    <row r="966" spans="1:21" x14ac:dyDescent="0.25">
      <c r="A966" s="71">
        <v>24</v>
      </c>
      <c r="B966" s="72">
        <f t="shared" si="373"/>
        <v>46357</v>
      </c>
      <c r="C966" s="73">
        <f t="shared" si="354"/>
        <v>46387</v>
      </c>
      <c r="D966" s="67">
        <f t="shared" si="355"/>
        <v>31</v>
      </c>
      <c r="E966" s="67">
        <f t="shared" si="356"/>
        <v>12</v>
      </c>
      <c r="F966" s="74">
        <f t="shared" si="357"/>
        <v>46372.5</v>
      </c>
      <c r="G966" s="67">
        <f t="shared" si="358"/>
        <v>24323</v>
      </c>
      <c r="H966" s="75">
        <f t="shared" si="359"/>
        <v>1</v>
      </c>
      <c r="I966" s="76">
        <f t="shared" si="360"/>
        <v>1.03</v>
      </c>
      <c r="J966" s="76">
        <f t="shared" si="361"/>
        <v>1.03</v>
      </c>
      <c r="K966" s="67">
        <f t="shared" si="362"/>
        <v>0</v>
      </c>
      <c r="L966" s="67">
        <f t="shared" si="363"/>
        <v>0</v>
      </c>
      <c r="M966" s="77">
        <f t="shared" si="364"/>
        <v>0</v>
      </c>
      <c r="N966" s="76">
        <f t="shared" si="365"/>
        <v>1.03</v>
      </c>
      <c r="O966" s="77">
        <f t="shared" si="366"/>
        <v>0.913347921225383</v>
      </c>
      <c r="P966" s="76">
        <f t="shared" si="367"/>
        <v>8.3333333333333329E-2</v>
      </c>
      <c r="Q966" s="76">
        <f t="shared" si="368"/>
        <v>0.91666666666666663</v>
      </c>
      <c r="R966" s="76">
        <f t="shared" si="369"/>
        <v>0</v>
      </c>
      <c r="S966" s="76">
        <f t="shared" si="370"/>
        <v>1.0225525639805919</v>
      </c>
      <c r="T966" s="76">
        <f t="shared" si="371"/>
        <v>1.0225525639805919</v>
      </c>
      <c r="U966" s="76">
        <f t="shared" si="372"/>
        <v>1.03</v>
      </c>
    </row>
    <row r="967" spans="1:21" x14ac:dyDescent="0.25">
      <c r="A967" s="71">
        <v>25</v>
      </c>
      <c r="B967" s="72">
        <f t="shared" si="373"/>
        <v>46388</v>
      </c>
      <c r="C967" s="73">
        <f t="shared" si="354"/>
        <v>46418</v>
      </c>
      <c r="D967" s="67">
        <f t="shared" si="355"/>
        <v>31</v>
      </c>
      <c r="E967" s="67">
        <f t="shared" si="356"/>
        <v>1</v>
      </c>
      <c r="F967" s="74">
        <f t="shared" si="357"/>
        <v>46403.5</v>
      </c>
      <c r="G967" s="67">
        <f t="shared" si="358"/>
        <v>24324</v>
      </c>
      <c r="H967" s="75">
        <f t="shared" si="359"/>
        <v>1</v>
      </c>
      <c r="I967" s="76">
        <f t="shared" si="360"/>
        <v>1.03</v>
      </c>
      <c r="J967" s="76">
        <f t="shared" si="361"/>
        <v>1.03</v>
      </c>
      <c r="K967" s="67">
        <f t="shared" si="362"/>
        <v>0</v>
      </c>
      <c r="L967" s="67">
        <f t="shared" si="363"/>
        <v>0</v>
      </c>
      <c r="M967" s="77">
        <f t="shared" si="364"/>
        <v>0</v>
      </c>
      <c r="N967" s="76">
        <f t="shared" si="365"/>
        <v>1.03</v>
      </c>
      <c r="O967" s="77">
        <f t="shared" si="366"/>
        <v>0.91470459518599567</v>
      </c>
      <c r="P967" s="76">
        <f t="shared" si="367"/>
        <v>0</v>
      </c>
      <c r="Q967" s="76">
        <f t="shared" si="368"/>
        <v>1</v>
      </c>
      <c r="R967" s="76">
        <f t="shared" si="369"/>
        <v>0</v>
      </c>
      <c r="S967" s="76">
        <f t="shared" si="370"/>
        <v>1.0240714489582343</v>
      </c>
      <c r="T967" s="76">
        <f t="shared" si="371"/>
        <v>0.97688136238226619</v>
      </c>
      <c r="U967" s="76">
        <f t="shared" si="372"/>
        <v>1.03</v>
      </c>
    </row>
    <row r="968" spans="1:21" x14ac:dyDescent="0.25">
      <c r="A968" s="71">
        <v>26</v>
      </c>
      <c r="B968" s="72">
        <f t="shared" si="373"/>
        <v>46419</v>
      </c>
      <c r="C968" s="73">
        <f t="shared" si="354"/>
        <v>46446</v>
      </c>
      <c r="D968" s="67">
        <f t="shared" si="355"/>
        <v>28</v>
      </c>
      <c r="E968" s="67">
        <f t="shared" si="356"/>
        <v>2</v>
      </c>
      <c r="F968" s="74">
        <f t="shared" si="357"/>
        <v>46433</v>
      </c>
      <c r="G968" s="67">
        <f t="shared" si="358"/>
        <v>24325</v>
      </c>
      <c r="H968" s="75">
        <f t="shared" si="359"/>
        <v>1</v>
      </c>
      <c r="I968" s="76">
        <f t="shared" si="360"/>
        <v>1.03</v>
      </c>
      <c r="J968" s="76">
        <f t="shared" si="361"/>
        <v>1.03</v>
      </c>
      <c r="K968" s="67">
        <f t="shared" si="362"/>
        <v>0</v>
      </c>
      <c r="L968" s="67">
        <f t="shared" si="363"/>
        <v>0</v>
      </c>
      <c r="M968" s="77">
        <f t="shared" si="364"/>
        <v>0</v>
      </c>
      <c r="N968" s="76">
        <f t="shared" si="365"/>
        <v>1.03</v>
      </c>
      <c r="O968" s="77">
        <f t="shared" si="366"/>
        <v>0.91599562363238518</v>
      </c>
      <c r="P968" s="76">
        <f t="shared" si="367"/>
        <v>0</v>
      </c>
      <c r="Q968" s="76">
        <f t="shared" si="368"/>
        <v>1</v>
      </c>
      <c r="R968" s="76">
        <f t="shared" si="369"/>
        <v>0</v>
      </c>
      <c r="S968" s="76">
        <f t="shared" si="370"/>
        <v>1.0255168395014747</v>
      </c>
      <c r="T968" s="76">
        <f t="shared" si="371"/>
        <v>0.97828465417181998</v>
      </c>
      <c r="U968" s="76">
        <f t="shared" si="372"/>
        <v>1.03</v>
      </c>
    </row>
    <row r="969" spans="1:21" x14ac:dyDescent="0.25">
      <c r="A969" s="71">
        <v>27</v>
      </c>
      <c r="B969" s="72">
        <f t="shared" si="373"/>
        <v>46447</v>
      </c>
      <c r="C969" s="73">
        <f t="shared" si="354"/>
        <v>46477</v>
      </c>
      <c r="D969" s="67">
        <f t="shared" si="355"/>
        <v>31</v>
      </c>
      <c r="E969" s="67">
        <f t="shared" si="356"/>
        <v>3</v>
      </c>
      <c r="F969" s="74">
        <f t="shared" si="357"/>
        <v>46462.5</v>
      </c>
      <c r="G969" s="67">
        <f t="shared" si="358"/>
        <v>24326</v>
      </c>
      <c r="H969" s="75">
        <f t="shared" si="359"/>
        <v>1</v>
      </c>
      <c r="I969" s="76">
        <f t="shared" si="360"/>
        <v>1.03</v>
      </c>
      <c r="J969" s="76">
        <f t="shared" si="361"/>
        <v>1.03</v>
      </c>
      <c r="K969" s="67">
        <f t="shared" si="362"/>
        <v>0</v>
      </c>
      <c r="L969" s="67">
        <f t="shared" si="363"/>
        <v>0</v>
      </c>
      <c r="M969" s="77">
        <f t="shared" si="364"/>
        <v>0</v>
      </c>
      <c r="N969" s="76">
        <f t="shared" si="365"/>
        <v>1.03</v>
      </c>
      <c r="O969" s="77">
        <f t="shared" si="366"/>
        <v>0.91728665207877469</v>
      </c>
      <c r="P969" s="76">
        <f t="shared" si="367"/>
        <v>0</v>
      </c>
      <c r="Q969" s="76">
        <f t="shared" si="368"/>
        <v>1</v>
      </c>
      <c r="R969" s="76">
        <f t="shared" si="369"/>
        <v>0</v>
      </c>
      <c r="S969" s="76">
        <f t="shared" si="370"/>
        <v>1.0269622300447152</v>
      </c>
      <c r="T969" s="76">
        <f t="shared" si="371"/>
        <v>0.97968794596137376</v>
      </c>
      <c r="U969" s="76">
        <f t="shared" si="372"/>
        <v>1.03</v>
      </c>
    </row>
    <row r="970" spans="1:21" x14ac:dyDescent="0.25">
      <c r="A970" s="71">
        <v>28</v>
      </c>
      <c r="B970" s="72">
        <f t="shared" si="373"/>
        <v>46478</v>
      </c>
      <c r="C970" s="73">
        <f t="shared" si="354"/>
        <v>46507</v>
      </c>
      <c r="D970" s="67">
        <f t="shared" si="355"/>
        <v>30</v>
      </c>
      <c r="E970" s="67">
        <f t="shared" si="356"/>
        <v>4</v>
      </c>
      <c r="F970" s="74">
        <f t="shared" si="357"/>
        <v>46493</v>
      </c>
      <c r="G970" s="67">
        <f t="shared" si="358"/>
        <v>24327</v>
      </c>
      <c r="H970" s="75">
        <f t="shared" si="359"/>
        <v>1</v>
      </c>
      <c r="I970" s="76">
        <f t="shared" si="360"/>
        <v>1.03</v>
      </c>
      <c r="J970" s="76">
        <f t="shared" si="361"/>
        <v>1.03</v>
      </c>
      <c r="K970" s="67">
        <f t="shared" si="362"/>
        <v>0</v>
      </c>
      <c r="L970" s="67">
        <f t="shared" si="363"/>
        <v>0</v>
      </c>
      <c r="M970" s="77">
        <f t="shared" si="364"/>
        <v>0</v>
      </c>
      <c r="N970" s="76">
        <f t="shared" si="365"/>
        <v>1.03</v>
      </c>
      <c r="O970" s="77">
        <f t="shared" si="366"/>
        <v>0.91862144420131298</v>
      </c>
      <c r="P970" s="76">
        <f t="shared" si="367"/>
        <v>0</v>
      </c>
      <c r="Q970" s="76">
        <f t="shared" si="368"/>
        <v>1</v>
      </c>
      <c r="R970" s="76">
        <f t="shared" si="369"/>
        <v>0</v>
      </c>
      <c r="S970" s="76">
        <f t="shared" si="370"/>
        <v>1.0284566168775569</v>
      </c>
      <c r="T970" s="76">
        <f t="shared" si="371"/>
        <v>0.9811388069641328</v>
      </c>
      <c r="U970" s="76">
        <f t="shared" si="372"/>
        <v>1.03</v>
      </c>
    </row>
    <row r="971" spans="1:21" x14ac:dyDescent="0.25">
      <c r="A971" s="71">
        <v>29</v>
      </c>
      <c r="B971" s="72">
        <f t="shared" si="373"/>
        <v>46508</v>
      </c>
      <c r="C971" s="73">
        <f t="shared" si="354"/>
        <v>46538</v>
      </c>
      <c r="D971" s="67">
        <f t="shared" si="355"/>
        <v>31</v>
      </c>
      <c r="E971" s="67">
        <f t="shared" si="356"/>
        <v>5</v>
      </c>
      <c r="F971" s="74">
        <f t="shared" si="357"/>
        <v>46523.5</v>
      </c>
      <c r="G971" s="67">
        <f t="shared" si="358"/>
        <v>24328</v>
      </c>
      <c r="H971" s="75">
        <f t="shared" si="359"/>
        <v>1</v>
      </c>
      <c r="I971" s="76">
        <f t="shared" si="360"/>
        <v>1.03</v>
      </c>
      <c r="J971" s="76">
        <f t="shared" si="361"/>
        <v>1.03</v>
      </c>
      <c r="K971" s="67">
        <f t="shared" si="362"/>
        <v>0</v>
      </c>
      <c r="L971" s="67">
        <f t="shared" si="363"/>
        <v>0</v>
      </c>
      <c r="M971" s="77">
        <f t="shared" si="364"/>
        <v>0</v>
      </c>
      <c r="N971" s="76">
        <f t="shared" si="365"/>
        <v>1.03</v>
      </c>
      <c r="O971" s="77">
        <f t="shared" si="366"/>
        <v>0.91995623632385126</v>
      </c>
      <c r="P971" s="76">
        <f t="shared" si="367"/>
        <v>0</v>
      </c>
      <c r="Q971" s="76">
        <f t="shared" si="368"/>
        <v>1</v>
      </c>
      <c r="R971" s="76">
        <f t="shared" si="369"/>
        <v>0</v>
      </c>
      <c r="S971" s="76">
        <f t="shared" si="370"/>
        <v>1.0299510037103987</v>
      </c>
      <c r="T971" s="76">
        <f t="shared" si="371"/>
        <v>1.0120673580058985</v>
      </c>
      <c r="U971" s="76">
        <f t="shared" si="372"/>
        <v>1.03</v>
      </c>
    </row>
    <row r="972" spans="1:21" x14ac:dyDescent="0.25">
      <c r="A972" s="71">
        <v>30</v>
      </c>
      <c r="B972" s="72">
        <f t="shared" si="373"/>
        <v>46539</v>
      </c>
      <c r="C972" s="73">
        <f t="shared" si="354"/>
        <v>46568</v>
      </c>
      <c r="D972" s="67">
        <f t="shared" si="355"/>
        <v>30</v>
      </c>
      <c r="E972" s="67">
        <f t="shared" si="356"/>
        <v>6</v>
      </c>
      <c r="F972" s="74">
        <f t="shared" si="357"/>
        <v>46554</v>
      </c>
      <c r="G972" s="67">
        <f t="shared" si="358"/>
        <v>24329</v>
      </c>
      <c r="H972" s="75">
        <f t="shared" si="359"/>
        <v>1</v>
      </c>
      <c r="I972" s="76">
        <f t="shared" si="360"/>
        <v>1.03</v>
      </c>
      <c r="J972" s="76">
        <f t="shared" si="361"/>
        <v>1.03</v>
      </c>
      <c r="K972" s="67">
        <f t="shared" si="362"/>
        <v>0</v>
      </c>
      <c r="L972" s="67">
        <f t="shared" si="363"/>
        <v>0</v>
      </c>
      <c r="M972" s="77">
        <f t="shared" si="364"/>
        <v>0</v>
      </c>
      <c r="N972" s="76">
        <f t="shared" si="365"/>
        <v>1.03</v>
      </c>
      <c r="O972" s="77">
        <f t="shared" si="366"/>
        <v>0.92129102844638955</v>
      </c>
      <c r="P972" s="76">
        <f t="shared" si="367"/>
        <v>0</v>
      </c>
      <c r="Q972" s="76">
        <f t="shared" si="368"/>
        <v>1</v>
      </c>
      <c r="R972" s="76">
        <f t="shared" si="369"/>
        <v>0</v>
      </c>
      <c r="S972" s="76">
        <f t="shared" si="370"/>
        <v>1.0314453905432406</v>
      </c>
      <c r="T972" s="76">
        <f t="shared" si="371"/>
        <v>1.0135617448387404</v>
      </c>
      <c r="U972" s="76">
        <f t="shared" si="372"/>
        <v>1.03</v>
      </c>
    </row>
    <row r="973" spans="1:21" x14ac:dyDescent="0.25">
      <c r="A973" s="71">
        <v>31</v>
      </c>
      <c r="B973" s="72">
        <f t="shared" si="373"/>
        <v>46569</v>
      </c>
      <c r="C973" s="73">
        <f t="shared" si="354"/>
        <v>46599</v>
      </c>
      <c r="D973" s="67">
        <f t="shared" si="355"/>
        <v>31</v>
      </c>
      <c r="E973" s="67">
        <f t="shared" si="356"/>
        <v>7</v>
      </c>
      <c r="F973" s="74">
        <f t="shared" si="357"/>
        <v>46584.5</v>
      </c>
      <c r="G973" s="67">
        <f t="shared" si="358"/>
        <v>24330</v>
      </c>
      <c r="H973" s="75">
        <f t="shared" si="359"/>
        <v>1</v>
      </c>
      <c r="I973" s="76">
        <f t="shared" si="360"/>
        <v>1.03</v>
      </c>
      <c r="J973" s="76">
        <f t="shared" si="361"/>
        <v>1.03</v>
      </c>
      <c r="K973" s="67">
        <f t="shared" si="362"/>
        <v>0</v>
      </c>
      <c r="L973" s="67">
        <f t="shared" si="363"/>
        <v>0</v>
      </c>
      <c r="M973" s="77">
        <f t="shared" si="364"/>
        <v>0</v>
      </c>
      <c r="N973" s="76">
        <f t="shared" si="365"/>
        <v>1.03</v>
      </c>
      <c r="O973" s="77">
        <f t="shared" si="366"/>
        <v>0.92262582056892783</v>
      </c>
      <c r="P973" s="76">
        <f t="shared" si="367"/>
        <v>0</v>
      </c>
      <c r="Q973" s="76">
        <f t="shared" si="368"/>
        <v>0.91666666666666663</v>
      </c>
      <c r="R973" s="76">
        <f t="shared" si="369"/>
        <v>8.333333333333337E-2</v>
      </c>
      <c r="S973" s="76">
        <f t="shared" si="370"/>
        <v>1.0329397773760822</v>
      </c>
      <c r="T973" s="76">
        <f t="shared" si="371"/>
        <v>1.015056131671582</v>
      </c>
      <c r="U973" s="76">
        <f t="shared" si="372"/>
        <v>1.03</v>
      </c>
    </row>
    <row r="974" spans="1:21" x14ac:dyDescent="0.25">
      <c r="A974" s="71">
        <v>32</v>
      </c>
      <c r="B974" s="72">
        <f t="shared" si="373"/>
        <v>46600</v>
      </c>
      <c r="C974" s="73">
        <f t="shared" si="354"/>
        <v>46630</v>
      </c>
      <c r="D974" s="67">
        <f t="shared" si="355"/>
        <v>31</v>
      </c>
      <c r="E974" s="67">
        <f t="shared" si="356"/>
        <v>8</v>
      </c>
      <c r="F974" s="74">
        <f t="shared" si="357"/>
        <v>46615.5</v>
      </c>
      <c r="G974" s="67">
        <f t="shared" si="358"/>
        <v>24331</v>
      </c>
      <c r="H974" s="75">
        <f t="shared" si="359"/>
        <v>1</v>
      </c>
      <c r="I974" s="76">
        <f t="shared" si="360"/>
        <v>1.03</v>
      </c>
      <c r="J974" s="76">
        <f t="shared" si="361"/>
        <v>1.03</v>
      </c>
      <c r="K974" s="67">
        <f t="shared" si="362"/>
        <v>0</v>
      </c>
      <c r="L974" s="67">
        <f t="shared" si="363"/>
        <v>0</v>
      </c>
      <c r="M974" s="77">
        <f t="shared" si="364"/>
        <v>0</v>
      </c>
      <c r="N974" s="76">
        <f t="shared" si="365"/>
        <v>1.03</v>
      </c>
      <c r="O974" s="77">
        <f t="shared" si="366"/>
        <v>0.92398249452954051</v>
      </c>
      <c r="P974" s="76">
        <f t="shared" si="367"/>
        <v>0</v>
      </c>
      <c r="Q974" s="76">
        <f t="shared" si="368"/>
        <v>0.75</v>
      </c>
      <c r="R974" s="76">
        <f t="shared" si="369"/>
        <v>0.25</v>
      </c>
      <c r="S974" s="76">
        <f t="shared" si="370"/>
        <v>1.0344586623537246</v>
      </c>
      <c r="T974" s="76">
        <f t="shared" si="371"/>
        <v>1.0165750166492247</v>
      </c>
      <c r="U974" s="76">
        <f t="shared" si="372"/>
        <v>1.03</v>
      </c>
    </row>
    <row r="975" spans="1:21" x14ac:dyDescent="0.25">
      <c r="A975" s="71">
        <v>33</v>
      </c>
      <c r="B975" s="72">
        <f t="shared" si="373"/>
        <v>46631</v>
      </c>
      <c r="C975" s="73">
        <f t="shared" si="354"/>
        <v>46660</v>
      </c>
      <c r="D975" s="67">
        <f t="shared" si="355"/>
        <v>30</v>
      </c>
      <c r="E975" s="67">
        <f t="shared" si="356"/>
        <v>9</v>
      </c>
      <c r="F975" s="74">
        <f t="shared" si="357"/>
        <v>46646</v>
      </c>
      <c r="G975" s="67">
        <f t="shared" si="358"/>
        <v>24332</v>
      </c>
      <c r="H975" s="75">
        <f t="shared" si="359"/>
        <v>1</v>
      </c>
      <c r="I975" s="76">
        <f t="shared" si="360"/>
        <v>1.03</v>
      </c>
      <c r="J975" s="76">
        <f t="shared" si="361"/>
        <v>1.03</v>
      </c>
      <c r="K975" s="67">
        <f t="shared" si="362"/>
        <v>0</v>
      </c>
      <c r="L975" s="67">
        <f t="shared" si="363"/>
        <v>0</v>
      </c>
      <c r="M975" s="77">
        <f t="shared" si="364"/>
        <v>0</v>
      </c>
      <c r="N975" s="76">
        <f t="shared" si="365"/>
        <v>1.03</v>
      </c>
      <c r="O975" s="77">
        <f t="shared" si="366"/>
        <v>0.9253172866520788</v>
      </c>
      <c r="P975" s="76">
        <f t="shared" si="367"/>
        <v>0</v>
      </c>
      <c r="Q975" s="76">
        <f t="shared" si="368"/>
        <v>0.58333333333333337</v>
      </c>
      <c r="R975" s="76">
        <f t="shared" si="369"/>
        <v>0.41666666666666663</v>
      </c>
      <c r="S975" s="76">
        <f t="shared" si="370"/>
        <v>1.0359530491865665</v>
      </c>
      <c r="T975" s="76">
        <f t="shared" si="371"/>
        <v>1.0180694034820663</v>
      </c>
      <c r="U975" s="76">
        <f t="shared" si="372"/>
        <v>1.03</v>
      </c>
    </row>
    <row r="976" spans="1:21" x14ac:dyDescent="0.25">
      <c r="A976" s="71">
        <v>34</v>
      </c>
      <c r="B976" s="72">
        <f t="shared" si="373"/>
        <v>46661</v>
      </c>
      <c r="C976" s="73">
        <f t="shared" si="354"/>
        <v>46691</v>
      </c>
      <c r="D976" s="67">
        <f t="shared" si="355"/>
        <v>31</v>
      </c>
      <c r="E976" s="67">
        <f t="shared" si="356"/>
        <v>10</v>
      </c>
      <c r="F976" s="74">
        <f t="shared" si="357"/>
        <v>46676.5</v>
      </c>
      <c r="G976" s="67">
        <f t="shared" si="358"/>
        <v>24333</v>
      </c>
      <c r="H976" s="75">
        <f t="shared" si="359"/>
        <v>1</v>
      </c>
      <c r="I976" s="76">
        <f t="shared" si="360"/>
        <v>1.03</v>
      </c>
      <c r="J976" s="76">
        <f t="shared" si="361"/>
        <v>1.03</v>
      </c>
      <c r="K976" s="67">
        <f t="shared" si="362"/>
        <v>0</v>
      </c>
      <c r="L976" s="67">
        <f t="shared" si="363"/>
        <v>0</v>
      </c>
      <c r="M976" s="77">
        <f t="shared" si="364"/>
        <v>0</v>
      </c>
      <c r="N976" s="76">
        <f t="shared" si="365"/>
        <v>1.03</v>
      </c>
      <c r="O976" s="77">
        <f t="shared" si="366"/>
        <v>0.92665207877461708</v>
      </c>
      <c r="P976" s="76">
        <f t="shared" si="367"/>
        <v>0</v>
      </c>
      <c r="Q976" s="76">
        <f t="shared" si="368"/>
        <v>0.41666666666666669</v>
      </c>
      <c r="R976" s="76">
        <f t="shared" si="369"/>
        <v>0.58333333333333326</v>
      </c>
      <c r="S976" s="76">
        <f t="shared" si="370"/>
        <v>1.0374474360194084</v>
      </c>
      <c r="T976" s="76">
        <f t="shared" si="371"/>
        <v>1.0195637903149082</v>
      </c>
      <c r="U976" s="76">
        <f t="shared" si="372"/>
        <v>1.03</v>
      </c>
    </row>
    <row r="977" spans="1:21" x14ac:dyDescent="0.25">
      <c r="A977" s="71">
        <v>35</v>
      </c>
      <c r="B977" s="72">
        <f t="shared" si="373"/>
        <v>46692</v>
      </c>
      <c r="C977" s="73">
        <f t="shared" si="354"/>
        <v>46721</v>
      </c>
      <c r="D977" s="67">
        <f t="shared" si="355"/>
        <v>30</v>
      </c>
      <c r="E977" s="67">
        <f t="shared" si="356"/>
        <v>11</v>
      </c>
      <c r="F977" s="74">
        <f t="shared" si="357"/>
        <v>46707</v>
      </c>
      <c r="G977" s="67">
        <f t="shared" si="358"/>
        <v>24334</v>
      </c>
      <c r="H977" s="75">
        <f t="shared" si="359"/>
        <v>1</v>
      </c>
      <c r="I977" s="76">
        <f t="shared" si="360"/>
        <v>1.03</v>
      </c>
      <c r="J977" s="76">
        <f t="shared" si="361"/>
        <v>1.03</v>
      </c>
      <c r="K977" s="67">
        <f t="shared" si="362"/>
        <v>0</v>
      </c>
      <c r="L977" s="67">
        <f t="shared" si="363"/>
        <v>0</v>
      </c>
      <c r="M977" s="77">
        <f t="shared" si="364"/>
        <v>0</v>
      </c>
      <c r="N977" s="76">
        <f t="shared" si="365"/>
        <v>1.03</v>
      </c>
      <c r="O977" s="77">
        <f t="shared" si="366"/>
        <v>0.92798687089715537</v>
      </c>
      <c r="P977" s="76">
        <f t="shared" si="367"/>
        <v>0</v>
      </c>
      <c r="Q977" s="76">
        <f t="shared" si="368"/>
        <v>0.25</v>
      </c>
      <c r="R977" s="76">
        <f t="shared" si="369"/>
        <v>0.75</v>
      </c>
      <c r="S977" s="76">
        <f t="shared" si="370"/>
        <v>1.03894182285225</v>
      </c>
      <c r="T977" s="76">
        <f t="shared" si="371"/>
        <v>1.02105817714775</v>
      </c>
      <c r="U977" s="76">
        <f t="shared" si="372"/>
        <v>1.03</v>
      </c>
    </row>
    <row r="978" spans="1:21" x14ac:dyDescent="0.25">
      <c r="A978" s="71">
        <v>36</v>
      </c>
      <c r="B978" s="72">
        <f t="shared" si="373"/>
        <v>46722</v>
      </c>
      <c r="C978" s="73">
        <f t="shared" si="354"/>
        <v>46752</v>
      </c>
      <c r="D978" s="67">
        <f t="shared" si="355"/>
        <v>31</v>
      </c>
      <c r="E978" s="67">
        <f t="shared" si="356"/>
        <v>12</v>
      </c>
      <c r="F978" s="74">
        <f t="shared" si="357"/>
        <v>46737.5</v>
      </c>
      <c r="G978" s="67">
        <f t="shared" si="358"/>
        <v>24335</v>
      </c>
      <c r="H978" s="75">
        <f t="shared" si="359"/>
        <v>1</v>
      </c>
      <c r="I978" s="76">
        <f t="shared" si="360"/>
        <v>1.03</v>
      </c>
      <c r="J978" s="76">
        <f t="shared" si="361"/>
        <v>1.03</v>
      </c>
      <c r="K978" s="67">
        <f t="shared" si="362"/>
        <v>0</v>
      </c>
      <c r="L978" s="67">
        <f t="shared" si="363"/>
        <v>0</v>
      </c>
      <c r="M978" s="77">
        <f t="shared" si="364"/>
        <v>0</v>
      </c>
      <c r="N978" s="76">
        <f t="shared" si="365"/>
        <v>1.03</v>
      </c>
      <c r="O978" s="77">
        <f t="shared" si="366"/>
        <v>0.92932166301969366</v>
      </c>
      <c r="P978" s="76">
        <f t="shared" si="367"/>
        <v>0</v>
      </c>
      <c r="Q978" s="76">
        <f t="shared" si="368"/>
        <v>8.3333333333333329E-2</v>
      </c>
      <c r="R978" s="76">
        <f t="shared" si="369"/>
        <v>0.91666666666666663</v>
      </c>
      <c r="S978" s="76">
        <f t="shared" si="370"/>
        <v>1.0404362096850917</v>
      </c>
      <c r="T978" s="76">
        <f t="shared" si="371"/>
        <v>1.0225525639805919</v>
      </c>
      <c r="U978" s="76">
        <f t="shared" si="372"/>
        <v>1.03</v>
      </c>
    </row>
    <row r="979" spans="1:21" x14ac:dyDescent="0.25">
      <c r="A979" s="71">
        <v>37</v>
      </c>
      <c r="B979" s="72">
        <f t="shared" si="373"/>
        <v>46753</v>
      </c>
      <c r="C979" s="73">
        <f t="shared" si="354"/>
        <v>46783</v>
      </c>
      <c r="D979" s="67">
        <f t="shared" si="355"/>
        <v>31</v>
      </c>
      <c r="E979" s="67">
        <f t="shared" si="356"/>
        <v>1</v>
      </c>
      <c r="F979" s="74">
        <f t="shared" si="357"/>
        <v>46768.5</v>
      </c>
      <c r="G979" s="67">
        <f t="shared" si="358"/>
        <v>24336</v>
      </c>
      <c r="H979" s="75">
        <f t="shared" si="359"/>
        <v>1</v>
      </c>
      <c r="I979" s="76">
        <f t="shared" si="360"/>
        <v>1.03</v>
      </c>
      <c r="J979" s="76">
        <f t="shared" si="361"/>
        <v>1.03</v>
      </c>
      <c r="K979" s="67">
        <f t="shared" si="362"/>
        <v>0</v>
      </c>
      <c r="L979" s="67">
        <f t="shared" si="363"/>
        <v>0</v>
      </c>
      <c r="M979" s="77">
        <f t="shared" si="364"/>
        <v>0</v>
      </c>
      <c r="N979" s="76">
        <f t="shared" si="365"/>
        <v>1.03</v>
      </c>
      <c r="O979" s="77">
        <f t="shared" si="366"/>
        <v>0.93</v>
      </c>
      <c r="P979" s="76">
        <f t="shared" si="367"/>
        <v>0</v>
      </c>
      <c r="Q979" s="76">
        <f t="shared" si="368"/>
        <v>0</v>
      </c>
      <c r="R979" s="76">
        <f t="shared" si="369"/>
        <v>1</v>
      </c>
      <c r="S979" s="76">
        <f t="shared" si="370"/>
        <v>1.0411956521739132</v>
      </c>
      <c r="T979" s="76">
        <f t="shared" si="371"/>
        <v>0.97688136238226619</v>
      </c>
      <c r="U979" s="76">
        <f t="shared" si="372"/>
        <v>1.03</v>
      </c>
    </row>
    <row r="980" spans="1:21" x14ac:dyDescent="0.25">
      <c r="A980" s="71">
        <v>38</v>
      </c>
      <c r="B980" s="72">
        <f t="shared" si="373"/>
        <v>46784</v>
      </c>
      <c r="C980" s="73">
        <f t="shared" si="354"/>
        <v>46812</v>
      </c>
      <c r="D980" s="67">
        <f t="shared" si="355"/>
        <v>29</v>
      </c>
      <c r="E980" s="67">
        <f t="shared" si="356"/>
        <v>2</v>
      </c>
      <c r="F980" s="74">
        <f t="shared" si="357"/>
        <v>46798.5</v>
      </c>
      <c r="G980" s="67">
        <f t="shared" si="358"/>
        <v>24337</v>
      </c>
      <c r="H980" s="75">
        <f t="shared" si="359"/>
        <v>1</v>
      </c>
      <c r="I980" s="76">
        <f t="shared" si="360"/>
        <v>1.03</v>
      </c>
      <c r="J980" s="76">
        <f t="shared" si="361"/>
        <v>1.03</v>
      </c>
      <c r="K980" s="67">
        <f t="shared" si="362"/>
        <v>0</v>
      </c>
      <c r="L980" s="67">
        <f t="shared" si="363"/>
        <v>0</v>
      </c>
      <c r="M980" s="77">
        <f t="shared" si="364"/>
        <v>0</v>
      </c>
      <c r="N980" s="76">
        <f t="shared" si="365"/>
        <v>1.03</v>
      </c>
      <c r="O980" s="77">
        <f t="shared" si="366"/>
        <v>0.93</v>
      </c>
      <c r="P980" s="76">
        <f t="shared" si="367"/>
        <v>0</v>
      </c>
      <c r="Q980" s="76">
        <f t="shared" si="368"/>
        <v>0</v>
      </c>
      <c r="R980" s="76">
        <f t="shared" si="369"/>
        <v>1</v>
      </c>
      <c r="S980" s="76">
        <f t="shared" si="370"/>
        <v>1.0411956521739132</v>
      </c>
      <c r="T980" s="76">
        <f t="shared" si="371"/>
        <v>0.97828465417181998</v>
      </c>
      <c r="U980" s="76">
        <f t="shared" si="372"/>
        <v>1.03</v>
      </c>
    </row>
    <row r="981" spans="1:21" x14ac:dyDescent="0.25">
      <c r="A981" s="71">
        <v>39</v>
      </c>
      <c r="B981" s="72">
        <f t="shared" si="373"/>
        <v>46813</v>
      </c>
      <c r="C981" s="73">
        <f t="shared" si="354"/>
        <v>46843</v>
      </c>
      <c r="D981" s="67">
        <f t="shared" si="355"/>
        <v>31</v>
      </c>
      <c r="E981" s="67">
        <f t="shared" si="356"/>
        <v>3</v>
      </c>
      <c r="F981" s="74">
        <f t="shared" si="357"/>
        <v>46828.5</v>
      </c>
      <c r="G981" s="67">
        <f t="shared" si="358"/>
        <v>24338</v>
      </c>
      <c r="H981" s="75">
        <f t="shared" si="359"/>
        <v>1</v>
      </c>
      <c r="I981" s="76">
        <f t="shared" si="360"/>
        <v>1.03</v>
      </c>
      <c r="J981" s="76">
        <f t="shared" si="361"/>
        <v>1.03</v>
      </c>
      <c r="K981" s="67">
        <f t="shared" si="362"/>
        <v>0</v>
      </c>
      <c r="L981" s="67">
        <f t="shared" si="363"/>
        <v>0</v>
      </c>
      <c r="M981" s="77">
        <f t="shared" si="364"/>
        <v>0</v>
      </c>
      <c r="N981" s="76">
        <f t="shared" si="365"/>
        <v>1.03</v>
      </c>
      <c r="O981" s="77">
        <f t="shared" si="366"/>
        <v>0.93</v>
      </c>
      <c r="P981" s="76">
        <f t="shared" si="367"/>
        <v>0</v>
      </c>
      <c r="Q981" s="76">
        <f t="shared" si="368"/>
        <v>0</v>
      </c>
      <c r="R981" s="76">
        <f t="shared" si="369"/>
        <v>1</v>
      </c>
      <c r="S981" s="76">
        <f t="shared" si="370"/>
        <v>1.0411956521739132</v>
      </c>
      <c r="T981" s="76">
        <f t="shared" si="371"/>
        <v>0.97968794596137376</v>
      </c>
      <c r="U981" s="76">
        <f t="shared" si="372"/>
        <v>1.03</v>
      </c>
    </row>
    <row r="982" spans="1:21" x14ac:dyDescent="0.25">
      <c r="A982" s="71">
        <v>40</v>
      </c>
      <c r="B982" s="72">
        <f t="shared" si="373"/>
        <v>46844</v>
      </c>
      <c r="C982" s="73">
        <f t="shared" si="354"/>
        <v>46873</v>
      </c>
      <c r="D982" s="67">
        <f t="shared" si="355"/>
        <v>30</v>
      </c>
      <c r="E982" s="67">
        <f t="shared" si="356"/>
        <v>4</v>
      </c>
      <c r="F982" s="74">
        <f t="shared" si="357"/>
        <v>46859</v>
      </c>
      <c r="G982" s="67">
        <f t="shared" si="358"/>
        <v>24339</v>
      </c>
      <c r="H982" s="75">
        <f t="shared" si="359"/>
        <v>1</v>
      </c>
      <c r="I982" s="76">
        <f t="shared" si="360"/>
        <v>1.03</v>
      </c>
      <c r="J982" s="76">
        <f t="shared" si="361"/>
        <v>1.03</v>
      </c>
      <c r="K982" s="67">
        <f t="shared" si="362"/>
        <v>0</v>
      </c>
      <c r="L982" s="67">
        <f t="shared" si="363"/>
        <v>0</v>
      </c>
      <c r="M982" s="77">
        <f t="shared" si="364"/>
        <v>0</v>
      </c>
      <c r="N982" s="76">
        <f t="shared" si="365"/>
        <v>1.03</v>
      </c>
      <c r="O982" s="77">
        <f t="shared" si="366"/>
        <v>0.93</v>
      </c>
      <c r="P982" s="76">
        <f t="shared" si="367"/>
        <v>0</v>
      </c>
      <c r="Q982" s="76">
        <f t="shared" si="368"/>
        <v>0</v>
      </c>
      <c r="R982" s="76">
        <f t="shared" si="369"/>
        <v>1</v>
      </c>
      <c r="S982" s="76">
        <f t="shared" si="370"/>
        <v>1.0411956521739132</v>
      </c>
      <c r="T982" s="76">
        <f t="shared" si="371"/>
        <v>0.9811388069641328</v>
      </c>
      <c r="U982" s="76">
        <f t="shared" si="372"/>
        <v>1.03</v>
      </c>
    </row>
    <row r="983" spans="1:21" x14ac:dyDescent="0.25">
      <c r="A983" s="71">
        <v>41</v>
      </c>
      <c r="B983" s="72">
        <f t="shared" si="373"/>
        <v>46874</v>
      </c>
      <c r="C983" s="73">
        <f t="shared" si="354"/>
        <v>46904</v>
      </c>
      <c r="D983" s="67">
        <f t="shared" si="355"/>
        <v>31</v>
      </c>
      <c r="E983" s="67">
        <f t="shared" si="356"/>
        <v>5</v>
      </c>
      <c r="F983" s="74">
        <f t="shared" si="357"/>
        <v>46889.5</v>
      </c>
      <c r="G983" s="67">
        <f t="shared" si="358"/>
        <v>24340</v>
      </c>
      <c r="H983" s="75">
        <f t="shared" si="359"/>
        <v>1</v>
      </c>
      <c r="I983" s="76">
        <f t="shared" si="360"/>
        <v>1.03</v>
      </c>
      <c r="J983" s="76">
        <f t="shared" si="361"/>
        <v>1.03</v>
      </c>
      <c r="K983" s="67">
        <f t="shared" si="362"/>
        <v>0</v>
      </c>
      <c r="L983" s="67">
        <f t="shared" si="363"/>
        <v>0</v>
      </c>
      <c r="M983" s="77">
        <f t="shared" si="364"/>
        <v>0</v>
      </c>
      <c r="N983" s="76">
        <f t="shared" si="365"/>
        <v>1.03</v>
      </c>
      <c r="O983" s="77">
        <f t="shared" si="366"/>
        <v>0.93</v>
      </c>
      <c r="P983" s="76">
        <f t="shared" si="367"/>
        <v>0</v>
      </c>
      <c r="Q983" s="76">
        <f t="shared" si="368"/>
        <v>0</v>
      </c>
      <c r="R983" s="76">
        <f t="shared" si="369"/>
        <v>1</v>
      </c>
      <c r="S983" s="76">
        <f t="shared" si="370"/>
        <v>1.0411956521739132</v>
      </c>
      <c r="T983" s="76">
        <f t="shared" si="371"/>
        <v>1.0120673580058985</v>
      </c>
      <c r="U983" s="76">
        <f t="shared" si="372"/>
        <v>1.03</v>
      </c>
    </row>
    <row r="984" spans="1:21" x14ac:dyDescent="0.25">
      <c r="A984" s="71">
        <v>42</v>
      </c>
      <c r="B984" s="72">
        <f t="shared" si="373"/>
        <v>46905</v>
      </c>
      <c r="C984" s="73">
        <f t="shared" si="354"/>
        <v>46934</v>
      </c>
      <c r="D984" s="67">
        <f t="shared" si="355"/>
        <v>30</v>
      </c>
      <c r="E984" s="67">
        <f t="shared" si="356"/>
        <v>6</v>
      </c>
      <c r="F984" s="74">
        <f t="shared" si="357"/>
        <v>46920</v>
      </c>
      <c r="G984" s="67">
        <f t="shared" si="358"/>
        <v>24341</v>
      </c>
      <c r="H984" s="75">
        <f t="shared" si="359"/>
        <v>1</v>
      </c>
      <c r="I984" s="76">
        <f t="shared" si="360"/>
        <v>1.03</v>
      </c>
      <c r="J984" s="76">
        <f t="shared" si="361"/>
        <v>1.03</v>
      </c>
      <c r="K984" s="67">
        <f t="shared" si="362"/>
        <v>0</v>
      </c>
      <c r="L984" s="67">
        <f t="shared" si="363"/>
        <v>0</v>
      </c>
      <c r="M984" s="77">
        <f t="shared" si="364"/>
        <v>0</v>
      </c>
      <c r="N984" s="76">
        <f t="shared" si="365"/>
        <v>1.03</v>
      </c>
      <c r="O984" s="77">
        <f t="shared" si="366"/>
        <v>0.93</v>
      </c>
      <c r="P984" s="76">
        <f t="shared" si="367"/>
        <v>0</v>
      </c>
      <c r="Q984" s="76">
        <f t="shared" si="368"/>
        <v>0</v>
      </c>
      <c r="R984" s="76">
        <f t="shared" si="369"/>
        <v>1</v>
      </c>
      <c r="S984" s="76">
        <f t="shared" si="370"/>
        <v>1.0411956521739132</v>
      </c>
      <c r="T984" s="76">
        <f t="shared" si="371"/>
        <v>1.0135617448387404</v>
      </c>
      <c r="U984" s="76">
        <f t="shared" si="372"/>
        <v>1.03</v>
      </c>
    </row>
    <row r="985" spans="1:21" x14ac:dyDescent="0.25">
      <c r="A985" s="71">
        <v>43</v>
      </c>
      <c r="B985" s="72">
        <f t="shared" si="373"/>
        <v>46935</v>
      </c>
      <c r="C985" s="73">
        <f t="shared" si="354"/>
        <v>46965</v>
      </c>
      <c r="D985" s="67">
        <f t="shared" si="355"/>
        <v>31</v>
      </c>
      <c r="E985" s="67">
        <f t="shared" si="356"/>
        <v>7</v>
      </c>
      <c r="F985" s="74">
        <f t="shared" si="357"/>
        <v>46950.5</v>
      </c>
      <c r="G985" s="67">
        <f t="shared" si="358"/>
        <v>24342</v>
      </c>
      <c r="H985" s="75">
        <f t="shared" si="359"/>
        <v>1</v>
      </c>
      <c r="I985" s="76">
        <f t="shared" si="360"/>
        <v>1.03</v>
      </c>
      <c r="J985" s="76">
        <f t="shared" si="361"/>
        <v>1.03</v>
      </c>
      <c r="K985" s="67">
        <f t="shared" si="362"/>
        <v>0</v>
      </c>
      <c r="L985" s="67">
        <f t="shared" si="363"/>
        <v>0</v>
      </c>
      <c r="M985" s="77">
        <f t="shared" si="364"/>
        <v>0</v>
      </c>
      <c r="N985" s="76">
        <f t="shared" si="365"/>
        <v>1.03</v>
      </c>
      <c r="O985" s="77">
        <f t="shared" si="366"/>
        <v>0.93</v>
      </c>
      <c r="P985" s="76">
        <f t="shared" si="367"/>
        <v>0</v>
      </c>
      <c r="Q985" s="76">
        <f t="shared" si="368"/>
        <v>0</v>
      </c>
      <c r="R985" s="76">
        <f t="shared" si="369"/>
        <v>0.91666666666666663</v>
      </c>
      <c r="S985" s="76">
        <f t="shared" si="370"/>
        <v>1.0411956521739132</v>
      </c>
      <c r="T985" s="76">
        <f t="shared" si="371"/>
        <v>1.015056131671582</v>
      </c>
      <c r="U985" s="76">
        <f t="shared" si="372"/>
        <v>1.03</v>
      </c>
    </row>
    <row r="986" spans="1:21" x14ac:dyDescent="0.25">
      <c r="A986" s="71">
        <v>44</v>
      </c>
      <c r="B986" s="72">
        <f t="shared" si="373"/>
        <v>46966</v>
      </c>
      <c r="C986" s="73">
        <f t="shared" si="354"/>
        <v>46996</v>
      </c>
      <c r="D986" s="67">
        <f t="shared" si="355"/>
        <v>31</v>
      </c>
      <c r="E986" s="67">
        <f t="shared" si="356"/>
        <v>8</v>
      </c>
      <c r="F986" s="74">
        <f t="shared" si="357"/>
        <v>46981.5</v>
      </c>
      <c r="G986" s="67">
        <f t="shared" si="358"/>
        <v>24343</v>
      </c>
      <c r="H986" s="75">
        <f t="shared" si="359"/>
        <v>1</v>
      </c>
      <c r="I986" s="76">
        <f t="shared" si="360"/>
        <v>1.03</v>
      </c>
      <c r="J986" s="76">
        <f t="shared" si="361"/>
        <v>1.03</v>
      </c>
      <c r="K986" s="67">
        <f t="shared" si="362"/>
        <v>0</v>
      </c>
      <c r="L986" s="67">
        <f t="shared" si="363"/>
        <v>0</v>
      </c>
      <c r="M986" s="77">
        <f t="shared" si="364"/>
        <v>0</v>
      </c>
      <c r="N986" s="76">
        <f t="shared" si="365"/>
        <v>1.03</v>
      </c>
      <c r="O986" s="77">
        <f t="shared" si="366"/>
        <v>0.93</v>
      </c>
      <c r="P986" s="76">
        <f t="shared" si="367"/>
        <v>0</v>
      </c>
      <c r="Q986" s="76">
        <f t="shared" si="368"/>
        <v>0</v>
      </c>
      <c r="R986" s="76">
        <f t="shared" si="369"/>
        <v>0.75</v>
      </c>
      <c r="S986" s="76">
        <f t="shared" si="370"/>
        <v>1.0411956521739132</v>
      </c>
      <c r="T986" s="76">
        <f t="shared" si="371"/>
        <v>1.0165750166492247</v>
      </c>
      <c r="U986" s="76">
        <f t="shared" si="372"/>
        <v>1.03</v>
      </c>
    </row>
    <row r="987" spans="1:21" x14ac:dyDescent="0.25">
      <c r="A987" s="71">
        <v>45</v>
      </c>
      <c r="B987" s="72">
        <f t="shared" si="373"/>
        <v>46997</v>
      </c>
      <c r="C987" s="73">
        <f t="shared" si="354"/>
        <v>47026</v>
      </c>
      <c r="D987" s="67">
        <f t="shared" si="355"/>
        <v>30</v>
      </c>
      <c r="E987" s="67">
        <f t="shared" si="356"/>
        <v>9</v>
      </c>
      <c r="F987" s="74">
        <f t="shared" si="357"/>
        <v>47012</v>
      </c>
      <c r="G987" s="67">
        <f t="shared" si="358"/>
        <v>24344</v>
      </c>
      <c r="H987" s="75">
        <f t="shared" si="359"/>
        <v>1</v>
      </c>
      <c r="I987" s="76">
        <f t="shared" si="360"/>
        <v>1.03</v>
      </c>
      <c r="J987" s="76">
        <f t="shared" si="361"/>
        <v>1.03</v>
      </c>
      <c r="K987" s="67">
        <f t="shared" si="362"/>
        <v>0</v>
      </c>
      <c r="L987" s="67">
        <f t="shared" si="363"/>
        <v>0</v>
      </c>
      <c r="M987" s="77">
        <f t="shared" si="364"/>
        <v>0</v>
      </c>
      <c r="N987" s="76">
        <f t="shared" si="365"/>
        <v>1.03</v>
      </c>
      <c r="O987" s="77">
        <f t="shared" si="366"/>
        <v>0.93</v>
      </c>
      <c r="P987" s="76">
        <f t="shared" si="367"/>
        <v>0</v>
      </c>
      <c r="Q987" s="76">
        <f t="shared" si="368"/>
        <v>0</v>
      </c>
      <c r="R987" s="76">
        <f t="shared" si="369"/>
        <v>0.58333333333333337</v>
      </c>
      <c r="S987" s="76">
        <f t="shared" si="370"/>
        <v>1.0411956521739132</v>
      </c>
      <c r="T987" s="76">
        <f t="shared" si="371"/>
        <v>1.0180694034820663</v>
      </c>
      <c r="U987" s="76">
        <f t="shared" si="372"/>
        <v>1.03</v>
      </c>
    </row>
    <row r="988" spans="1:21" x14ac:dyDescent="0.25">
      <c r="A988" s="71">
        <v>46</v>
      </c>
      <c r="B988" s="72">
        <f t="shared" si="373"/>
        <v>47027</v>
      </c>
      <c r="C988" s="73">
        <f t="shared" si="354"/>
        <v>47057</v>
      </c>
      <c r="D988" s="67">
        <f t="shared" si="355"/>
        <v>31</v>
      </c>
      <c r="E988" s="67">
        <f t="shared" si="356"/>
        <v>10</v>
      </c>
      <c r="F988" s="74">
        <f t="shared" si="357"/>
        <v>47042.5</v>
      </c>
      <c r="G988" s="67">
        <f t="shared" si="358"/>
        <v>24345</v>
      </c>
      <c r="H988" s="75">
        <f t="shared" si="359"/>
        <v>1</v>
      </c>
      <c r="I988" s="76">
        <f t="shared" si="360"/>
        <v>1.03</v>
      </c>
      <c r="J988" s="76">
        <f t="shared" si="361"/>
        <v>1.03</v>
      </c>
      <c r="K988" s="67">
        <f t="shared" si="362"/>
        <v>0</v>
      </c>
      <c r="L988" s="67">
        <f t="shared" si="363"/>
        <v>0</v>
      </c>
      <c r="M988" s="77">
        <f t="shared" si="364"/>
        <v>0</v>
      </c>
      <c r="N988" s="76">
        <f t="shared" si="365"/>
        <v>1.03</v>
      </c>
      <c r="O988" s="77">
        <f t="shared" si="366"/>
        <v>0.93</v>
      </c>
      <c r="P988" s="76">
        <f t="shared" si="367"/>
        <v>0</v>
      </c>
      <c r="Q988" s="76">
        <f t="shared" si="368"/>
        <v>0</v>
      </c>
      <c r="R988" s="76">
        <f t="shared" si="369"/>
        <v>0.41666666666666669</v>
      </c>
      <c r="S988" s="76">
        <f t="shared" si="370"/>
        <v>1.0411956521739132</v>
      </c>
      <c r="T988" s="76">
        <f t="shared" si="371"/>
        <v>1.0195637903149082</v>
      </c>
      <c r="U988" s="76">
        <f t="shared" si="372"/>
        <v>1.03</v>
      </c>
    </row>
    <row r="989" spans="1:21" x14ac:dyDescent="0.25">
      <c r="A989" s="71">
        <v>47</v>
      </c>
      <c r="B989" s="72">
        <f t="shared" si="373"/>
        <v>47058</v>
      </c>
      <c r="C989" s="73">
        <f t="shared" si="354"/>
        <v>47087</v>
      </c>
      <c r="D989" s="67">
        <f t="shared" si="355"/>
        <v>30</v>
      </c>
      <c r="E989" s="67">
        <f t="shared" si="356"/>
        <v>11</v>
      </c>
      <c r="F989" s="74">
        <f t="shared" si="357"/>
        <v>47073</v>
      </c>
      <c r="G989" s="67">
        <f t="shared" si="358"/>
        <v>24346</v>
      </c>
      <c r="H989" s="75">
        <f t="shared" si="359"/>
        <v>1</v>
      </c>
      <c r="I989" s="76">
        <f t="shared" si="360"/>
        <v>1.03</v>
      </c>
      <c r="J989" s="76">
        <f t="shared" si="361"/>
        <v>1.03</v>
      </c>
      <c r="K989" s="67">
        <f t="shared" si="362"/>
        <v>0</v>
      </c>
      <c r="L989" s="67">
        <f t="shared" si="363"/>
        <v>0</v>
      </c>
      <c r="M989" s="77">
        <f t="shared" si="364"/>
        <v>0</v>
      </c>
      <c r="N989" s="76">
        <f t="shared" si="365"/>
        <v>1.03</v>
      </c>
      <c r="O989" s="77">
        <f t="shared" si="366"/>
        <v>0.93</v>
      </c>
      <c r="P989" s="76">
        <f t="shared" si="367"/>
        <v>0</v>
      </c>
      <c r="Q989" s="76">
        <f t="shared" si="368"/>
        <v>0</v>
      </c>
      <c r="R989" s="76">
        <f t="shared" si="369"/>
        <v>0.25</v>
      </c>
      <c r="S989" s="76">
        <f t="shared" si="370"/>
        <v>1.0411956521739132</v>
      </c>
      <c r="T989" s="76">
        <f t="shared" si="371"/>
        <v>1.02105817714775</v>
      </c>
      <c r="U989" s="76">
        <f t="shared" si="372"/>
        <v>1.03</v>
      </c>
    </row>
    <row r="990" spans="1:21" x14ac:dyDescent="0.25">
      <c r="A990" s="71">
        <v>48</v>
      </c>
      <c r="B990" s="72">
        <f t="shared" si="373"/>
        <v>47088</v>
      </c>
      <c r="C990" s="73">
        <f t="shared" si="354"/>
        <v>47118</v>
      </c>
      <c r="D990" s="67">
        <f t="shared" si="355"/>
        <v>31</v>
      </c>
      <c r="E990" s="67">
        <f t="shared" si="356"/>
        <v>12</v>
      </c>
      <c r="F990" s="74">
        <f t="shared" si="357"/>
        <v>47103.5</v>
      </c>
      <c r="G990" s="67">
        <f t="shared" si="358"/>
        <v>24347</v>
      </c>
      <c r="H990" s="75">
        <f t="shared" si="359"/>
        <v>1</v>
      </c>
      <c r="I990" s="76">
        <f t="shared" si="360"/>
        <v>1.03</v>
      </c>
      <c r="J990" s="76">
        <f t="shared" si="361"/>
        <v>1.03</v>
      </c>
      <c r="K990" s="67">
        <f t="shared" si="362"/>
        <v>0</v>
      </c>
      <c r="L990" s="67">
        <f t="shared" si="363"/>
        <v>0</v>
      </c>
      <c r="M990" s="77">
        <f t="shared" si="364"/>
        <v>0</v>
      </c>
      <c r="N990" s="76">
        <f t="shared" si="365"/>
        <v>1.03</v>
      </c>
      <c r="O990" s="77">
        <f t="shared" si="366"/>
        <v>0.93</v>
      </c>
      <c r="P990" s="76">
        <f t="shared" si="367"/>
        <v>0</v>
      </c>
      <c r="Q990" s="76">
        <f t="shared" si="368"/>
        <v>0</v>
      </c>
      <c r="R990" s="76">
        <f t="shared" si="369"/>
        <v>8.3333333333333329E-2</v>
      </c>
      <c r="S990" s="76">
        <f t="shared" si="370"/>
        <v>1.0411956521739132</v>
      </c>
      <c r="T990" s="76">
        <f t="shared" si="371"/>
        <v>1.0225525639805919</v>
      </c>
      <c r="U990" s="76">
        <f t="shared" si="372"/>
        <v>1.03</v>
      </c>
    </row>
    <row r="991" spans="1:21" x14ac:dyDescent="0.25">
      <c r="A991" s="81" t="s">
        <v>1187</v>
      </c>
      <c r="B991" s="53">
        <f>EXP(SUMPRODUCT((rl_key=$A$940)*(rl_cons="Y")*rl_ln1p))</f>
        <v>1.03</v>
      </c>
      <c r="C991" s="53">
        <f>SUMPRODUCT($H$943:$H$990,$P$943:$P$990,$U$943:$U$990)/SUMPRODUCT($H$943:$H$990,$P$943:$P$990)</f>
        <v>1.0125</v>
      </c>
      <c r="D991" s="53">
        <f>SUMPRODUCT($H$943:$H$990,$Q$943:$Q$990,$U$943:$U$990)/SUMPRODUCT($H$943:$H$990,$Q$943:$Q$990)</f>
        <v>1.03</v>
      </c>
      <c r="E991" s="53">
        <f>SUMPRODUCT($H$943:$H$990,$R$943:$R$990,$U$943:$U$990)/SUMPRODUCT($H$943:$H$990,$R$943:$R$990)</f>
        <v>1.03</v>
      </c>
      <c r="F991" s="172">
        <f>SUMPRODUCT($H$943:$H$990,$Q$943:$Q$990,$O$943:$O$990)/SUMPRODUCT($H$943:$H$990,$Q$943:$Q$990)</f>
        <v>0.91798504741064912</v>
      </c>
      <c r="G991" s="172">
        <f>SUMPRODUCT($H$943:$H$990,$R$943:$R$990,$O$943:$O$990)/SUMPRODUCT($H$943:$H$990,$R$943:$R$990)</f>
        <v>0.92932044736202268</v>
      </c>
    </row>
    <row r="994" spans="1:21" x14ac:dyDescent="0.25">
      <c r="A994" s="81" t="str">
        <f>INDEX(lr_key,18)</f>
        <v>BU-A|OH</v>
      </c>
      <c r="B994" s="81" t="str">
        <f>INDEX(lr_state,18)</f>
        <v>OH</v>
      </c>
      <c r="C994" s="55">
        <f>nr_TermMonths</f>
        <v>6</v>
      </c>
      <c r="D994" s="55">
        <f>IF(COUNTIF(se_state,$B994)=0,0,MATCH($B994,se_state,0))</f>
        <v>0</v>
      </c>
      <c r="E994" s="57">
        <f>IF($D994=0,0,INDEX(se_sum,$D994))</f>
        <v>0</v>
      </c>
      <c r="F994" s="172">
        <f>IF(N(INDEX(lr_mind,18))=0,1,INDEX(lr_mind,18))</f>
        <v>0.92</v>
      </c>
      <c r="G994" s="172">
        <f>IF(N(INDEX(lr_m0,18))=0,1,INDEX(lr_m0,18))</f>
        <v>0.91</v>
      </c>
      <c r="H994" s="54">
        <f>IF(N(INDEX(lr_m0asof,18))=0,DATE(nr_PlanYear-1,10,1),INDEX(lr_m0asof,18))</f>
        <v>46295</v>
      </c>
      <c r="I994" s="172">
        <f>IF(N(INDEX(lr_m1,18))=0,1,INDEX(lr_m1,18))</f>
        <v>0.91</v>
      </c>
      <c r="J994" s="172">
        <f>INDEX(lr_mprior,18)</f>
        <v>0</v>
      </c>
      <c r="K994" s="172">
        <f>INDEX(lr_m2,18)</f>
        <v>0</v>
      </c>
      <c r="L994" s="81" t="b">
        <f>NOT(ISBLANK(INDEX(lr_netp,18)))</f>
        <v>0</v>
      </c>
      <c r="M994" s="52">
        <f>N(INDEX(lr_netp,18))</f>
        <v>0</v>
      </c>
      <c r="N994" s="52">
        <f>IF(ISBLANK(INDEX(lr_netp1,18)),$M$994,N(INDEX(lr_netp1,18)))</f>
        <v>0</v>
      </c>
      <c r="O994" s="55">
        <f>IF(AND(nr_ModAdjMaster="ON",INDEX(lr_modadj,18)="ON"),1,0)</f>
        <v>1</v>
      </c>
    </row>
    <row r="995" spans="1:21" x14ac:dyDescent="0.25">
      <c r="A995" s="81">
        <f>EDATE($H$994,-12)+1</f>
        <v>45931</v>
      </c>
      <c r="B995" s="81">
        <f>$H$994+1</f>
        <v>46296</v>
      </c>
      <c r="C995" s="81">
        <f>DATE(nr_PlanYear,12,31)+1</f>
        <v>46753</v>
      </c>
      <c r="D995" s="81">
        <f>DATE(nr_PlanYear+1,12,31)+1</f>
        <v>47119</v>
      </c>
      <c r="E995" s="81">
        <f>IF(N($J$994)=0,$F$995-($G$995-$F$995)/($C$995-$B$995)*($B$995-$A$995),$J$994)</f>
        <v>0.91</v>
      </c>
      <c r="F995" s="81">
        <f>$G$994</f>
        <v>0.91</v>
      </c>
      <c r="G995" s="81">
        <f>$I$994</f>
        <v>0.91</v>
      </c>
      <c r="H995" s="81">
        <f>IF(N($K$994)=0,$I$994,$K$994)</f>
        <v>0.91</v>
      </c>
      <c r="I995" s="81">
        <f>($F$995-$E$995)/($B$995-$A$995)</f>
        <v>0</v>
      </c>
      <c r="J995" s="81">
        <f>($G$995-$F$995)/($C$995-$B$995)</f>
        <v>0</v>
      </c>
      <c r="K995" s="81">
        <f>($H$995-$G$995)/($D$995-$C$995)</f>
        <v>0</v>
      </c>
    </row>
    <row r="996" spans="1:21" ht="36" x14ac:dyDescent="0.25">
      <c r="A996" s="50" t="s">
        <v>211</v>
      </c>
      <c r="B996" s="50" t="s">
        <v>212</v>
      </c>
      <c r="C996" s="50" t="s">
        <v>213</v>
      </c>
      <c r="D996" s="50" t="s">
        <v>214</v>
      </c>
      <c r="E996" s="50" t="s">
        <v>215</v>
      </c>
      <c r="F996" s="50" t="s">
        <v>216</v>
      </c>
      <c r="G996" s="50" t="s">
        <v>217</v>
      </c>
      <c r="H996" s="50" t="s">
        <v>218</v>
      </c>
      <c r="I996" s="50" t="s">
        <v>219</v>
      </c>
      <c r="J996" s="50" t="s">
        <v>220</v>
      </c>
      <c r="K996" s="50" t="s">
        <v>221</v>
      </c>
      <c r="L996" s="50" t="s">
        <v>222</v>
      </c>
      <c r="M996" s="50" t="s">
        <v>223</v>
      </c>
      <c r="N996" s="50" t="s">
        <v>224</v>
      </c>
      <c r="O996" s="50" t="s">
        <v>225</v>
      </c>
      <c r="P996" s="50" t="s">
        <v>226</v>
      </c>
      <c r="Q996" s="50" t="s">
        <v>227</v>
      </c>
      <c r="R996" s="50" t="s">
        <v>228</v>
      </c>
      <c r="S996" s="50" t="s">
        <v>229</v>
      </c>
      <c r="T996" s="50" t="s">
        <v>230</v>
      </c>
      <c r="U996" s="50" t="s">
        <v>231</v>
      </c>
    </row>
    <row r="997" spans="1:21" x14ac:dyDescent="0.25">
      <c r="A997" s="71">
        <v>1</v>
      </c>
      <c r="B997" s="72">
        <f>DATE(nr_PlanYear-2,1,1)</f>
        <v>45658</v>
      </c>
      <c r="C997" s="73">
        <f t="shared" ref="C997:C1044" si="374">EOMONTH($B997,0)</f>
        <v>45688</v>
      </c>
      <c r="D997" s="67">
        <f t="shared" ref="D997:D1044" si="375">$C997-$B997+1</f>
        <v>31</v>
      </c>
      <c r="E997" s="67">
        <f t="shared" ref="E997:E1044" si="376">MONTH($B997)</f>
        <v>1</v>
      </c>
      <c r="F997" s="74">
        <f t="shared" ref="F997:F1044" si="377">($B997+$C997+1)/2</f>
        <v>45673.5</v>
      </c>
      <c r="G997" s="67">
        <f t="shared" ref="G997:G1044" si="378">YEAR($B997)*12+MONTH($B997)-1</f>
        <v>24300</v>
      </c>
      <c r="H997" s="75">
        <f t="shared" ref="H997:H1044" si="379">IF(OR(nr_SeasonOn="OFF",$D$994=0,$E$994=0),1,12*INDEX(se_block,$D$994,$E997)/$E$994)</f>
        <v>1</v>
      </c>
      <c r="I997" s="76">
        <f t="shared" ref="I997:I1044" si="380">EXP(SUMPRODUCT((rl_eff&lt;$B997)*(rl_key=$A$994)*rl_ln1p))</f>
        <v>1</v>
      </c>
      <c r="J997" s="76">
        <f t="shared" ref="J997:J1044" si="381">EXP(SUMPRODUCT((rl_eff&lt;=$C997)*(rl_key=$A$994)*rl_ln1p))</f>
        <v>1</v>
      </c>
      <c r="K997" s="67">
        <f t="shared" ref="K997:K1044" si="382">COUNTIFS(rl_key,$A$994,rl_eff,"&gt;="&amp;$B997,rl_eff,"&lt;="&amp;$C997)</f>
        <v>0</v>
      </c>
      <c r="L997" s="67">
        <f t="shared" ref="L997:L1044" si="383">SUMIFS(rl_daysafter,rl_key,$A$994,rl_effmonth,$B997,rl_first,1)</f>
        <v>0</v>
      </c>
      <c r="M997" s="77">
        <f t="shared" ref="M997:M1044" si="384">IF($K997=0,0,MIN(1,$L997/$D997))</f>
        <v>0</v>
      </c>
      <c r="N997" s="76">
        <f t="shared" ref="N997:N1044" si="385">IF($K997=0,$J997,(1-$M997)*$I997+$M997*$J997)</f>
        <v>1</v>
      </c>
      <c r="O997" s="77">
        <f t="shared" ref="O997:O1044" si="386">IF($F997&lt;$B$995,$E$995+$I$995*($F997-$A$995),IF($F997&lt;$C$995,$F$995+$J$995*($F997-$B$995),$G$995+$K$995*($F997-$C$995)))</f>
        <v>0.91</v>
      </c>
      <c r="P997" s="76">
        <f t="shared" ref="P997:P1044" si="387">MIN(1,MAX(0,(nr_MEndPm1-$G997+0.5)/$C$994))-MIN(1,MAX(0,(nr_MStartPm1-1-$G997+0.5)/$C$994))</f>
        <v>0</v>
      </c>
      <c r="Q997" s="76">
        <f t="shared" ref="Q997:Q1044" si="388">MIN(1,MAX(0,(nr_MEndP-$G997+0.5)/$C$994))-MIN(1,MAX(0,(nr_MStartP-1-$G997+0.5)/$C$994))</f>
        <v>0</v>
      </c>
      <c r="R997" s="76">
        <f t="shared" ref="R997:R1044" si="389">MIN(1,MAX(0,(nr_MEndP1-$G997+0.5)/$C$994))-MIN(1,MAX(0,(nr_MStartP1-1-$G997+0.5)/$C$994))</f>
        <v>0</v>
      </c>
      <c r="S997" s="76">
        <f t="shared" ref="S997:S1044" si="390">$N997*IF($O$994=1,$O997/$F$994,1)</f>
        <v>0.98913043478260865</v>
      </c>
      <c r="T997" s="76">
        <f t="shared" ref="T997:T1044" si="391">IF($G997&lt;nr_MStartP,$S997,$T985*(1+IF($G997&lt;nr_MStartP1,$M$994,$N$994)))</f>
        <v>0.98913043478260865</v>
      </c>
      <c r="U997" s="76">
        <f t="shared" ref="U997:U1044" si="392">IF($L$994,$T997,$N997)</f>
        <v>1</v>
      </c>
    </row>
    <row r="998" spans="1:21" x14ac:dyDescent="0.25">
      <c r="A998" s="71">
        <v>2</v>
      </c>
      <c r="B998" s="72">
        <f t="shared" ref="B998:B1044" si="393">EDATE($B997,1)</f>
        <v>45689</v>
      </c>
      <c r="C998" s="73">
        <f t="shared" si="374"/>
        <v>45716</v>
      </c>
      <c r="D998" s="67">
        <f t="shared" si="375"/>
        <v>28</v>
      </c>
      <c r="E998" s="67">
        <f t="shared" si="376"/>
        <v>2</v>
      </c>
      <c r="F998" s="74">
        <f t="shared" si="377"/>
        <v>45703</v>
      </c>
      <c r="G998" s="67">
        <f t="shared" si="378"/>
        <v>24301</v>
      </c>
      <c r="H998" s="75">
        <f t="shared" si="379"/>
        <v>1</v>
      </c>
      <c r="I998" s="76">
        <f t="shared" si="380"/>
        <v>1</v>
      </c>
      <c r="J998" s="76">
        <f t="shared" si="381"/>
        <v>1</v>
      </c>
      <c r="K998" s="67">
        <f t="shared" si="382"/>
        <v>0</v>
      </c>
      <c r="L998" s="67">
        <f t="shared" si="383"/>
        <v>0</v>
      </c>
      <c r="M998" s="77">
        <f t="shared" si="384"/>
        <v>0</v>
      </c>
      <c r="N998" s="76">
        <f t="shared" si="385"/>
        <v>1</v>
      </c>
      <c r="O998" s="77">
        <f t="shared" si="386"/>
        <v>0.91</v>
      </c>
      <c r="P998" s="76">
        <f t="shared" si="387"/>
        <v>0</v>
      </c>
      <c r="Q998" s="76">
        <f t="shared" si="388"/>
        <v>0</v>
      </c>
      <c r="R998" s="76">
        <f t="shared" si="389"/>
        <v>0</v>
      </c>
      <c r="S998" s="76">
        <f t="shared" si="390"/>
        <v>0.98913043478260865</v>
      </c>
      <c r="T998" s="76">
        <f t="shared" si="391"/>
        <v>0.98913043478260865</v>
      </c>
      <c r="U998" s="76">
        <f t="shared" si="392"/>
        <v>1</v>
      </c>
    </row>
    <row r="999" spans="1:21" x14ac:dyDescent="0.25">
      <c r="A999" s="71">
        <v>3</v>
      </c>
      <c r="B999" s="72">
        <f t="shared" si="393"/>
        <v>45717</v>
      </c>
      <c r="C999" s="73">
        <f t="shared" si="374"/>
        <v>45747</v>
      </c>
      <c r="D999" s="67">
        <f t="shared" si="375"/>
        <v>31</v>
      </c>
      <c r="E999" s="67">
        <f t="shared" si="376"/>
        <v>3</v>
      </c>
      <c r="F999" s="74">
        <f t="shared" si="377"/>
        <v>45732.5</v>
      </c>
      <c r="G999" s="67">
        <f t="shared" si="378"/>
        <v>24302</v>
      </c>
      <c r="H999" s="75">
        <f t="shared" si="379"/>
        <v>1</v>
      </c>
      <c r="I999" s="76">
        <f t="shared" si="380"/>
        <v>1</v>
      </c>
      <c r="J999" s="76">
        <f t="shared" si="381"/>
        <v>1</v>
      </c>
      <c r="K999" s="67">
        <f t="shared" si="382"/>
        <v>0</v>
      </c>
      <c r="L999" s="67">
        <f t="shared" si="383"/>
        <v>0</v>
      </c>
      <c r="M999" s="77">
        <f t="shared" si="384"/>
        <v>0</v>
      </c>
      <c r="N999" s="76">
        <f t="shared" si="385"/>
        <v>1</v>
      </c>
      <c r="O999" s="77">
        <f t="shared" si="386"/>
        <v>0.91</v>
      </c>
      <c r="P999" s="76">
        <f t="shared" si="387"/>
        <v>0</v>
      </c>
      <c r="Q999" s="76">
        <f t="shared" si="388"/>
        <v>0</v>
      </c>
      <c r="R999" s="76">
        <f t="shared" si="389"/>
        <v>0</v>
      </c>
      <c r="S999" s="76">
        <f t="shared" si="390"/>
        <v>0.98913043478260865</v>
      </c>
      <c r="T999" s="76">
        <f t="shared" si="391"/>
        <v>0.98913043478260865</v>
      </c>
      <c r="U999" s="76">
        <f t="shared" si="392"/>
        <v>1</v>
      </c>
    </row>
    <row r="1000" spans="1:21" x14ac:dyDescent="0.25">
      <c r="A1000" s="71">
        <v>4</v>
      </c>
      <c r="B1000" s="72">
        <f t="shared" si="393"/>
        <v>45748</v>
      </c>
      <c r="C1000" s="73">
        <f t="shared" si="374"/>
        <v>45777</v>
      </c>
      <c r="D1000" s="67">
        <f t="shared" si="375"/>
        <v>30</v>
      </c>
      <c r="E1000" s="67">
        <f t="shared" si="376"/>
        <v>4</v>
      </c>
      <c r="F1000" s="74">
        <f t="shared" si="377"/>
        <v>45763</v>
      </c>
      <c r="G1000" s="67">
        <f t="shared" si="378"/>
        <v>24303</v>
      </c>
      <c r="H1000" s="75">
        <f t="shared" si="379"/>
        <v>1</v>
      </c>
      <c r="I1000" s="76">
        <f t="shared" si="380"/>
        <v>1</v>
      </c>
      <c r="J1000" s="76">
        <f t="shared" si="381"/>
        <v>1</v>
      </c>
      <c r="K1000" s="67">
        <f t="shared" si="382"/>
        <v>0</v>
      </c>
      <c r="L1000" s="67">
        <f t="shared" si="383"/>
        <v>0</v>
      </c>
      <c r="M1000" s="77">
        <f t="shared" si="384"/>
        <v>0</v>
      </c>
      <c r="N1000" s="76">
        <f t="shared" si="385"/>
        <v>1</v>
      </c>
      <c r="O1000" s="77">
        <f t="shared" si="386"/>
        <v>0.91</v>
      </c>
      <c r="P1000" s="76">
        <f t="shared" si="387"/>
        <v>0</v>
      </c>
      <c r="Q1000" s="76">
        <f t="shared" si="388"/>
        <v>0</v>
      </c>
      <c r="R1000" s="76">
        <f t="shared" si="389"/>
        <v>0</v>
      </c>
      <c r="S1000" s="76">
        <f t="shared" si="390"/>
        <v>0.98913043478260865</v>
      </c>
      <c r="T1000" s="76">
        <f t="shared" si="391"/>
        <v>0.98913043478260865</v>
      </c>
      <c r="U1000" s="76">
        <f t="shared" si="392"/>
        <v>1</v>
      </c>
    </row>
    <row r="1001" spans="1:21" x14ac:dyDescent="0.25">
      <c r="A1001" s="71">
        <v>5</v>
      </c>
      <c r="B1001" s="72">
        <f t="shared" si="393"/>
        <v>45778</v>
      </c>
      <c r="C1001" s="73">
        <f t="shared" si="374"/>
        <v>45808</v>
      </c>
      <c r="D1001" s="67">
        <f t="shared" si="375"/>
        <v>31</v>
      </c>
      <c r="E1001" s="67">
        <f t="shared" si="376"/>
        <v>5</v>
      </c>
      <c r="F1001" s="74">
        <f t="shared" si="377"/>
        <v>45793.5</v>
      </c>
      <c r="G1001" s="67">
        <f t="shared" si="378"/>
        <v>24304</v>
      </c>
      <c r="H1001" s="75">
        <f t="shared" si="379"/>
        <v>1</v>
      </c>
      <c r="I1001" s="76">
        <f t="shared" si="380"/>
        <v>1</v>
      </c>
      <c r="J1001" s="76">
        <f t="shared" si="381"/>
        <v>1</v>
      </c>
      <c r="K1001" s="67">
        <f t="shared" si="382"/>
        <v>0</v>
      </c>
      <c r="L1001" s="67">
        <f t="shared" si="383"/>
        <v>0</v>
      </c>
      <c r="M1001" s="77">
        <f t="shared" si="384"/>
        <v>0</v>
      </c>
      <c r="N1001" s="76">
        <f t="shared" si="385"/>
        <v>1</v>
      </c>
      <c r="O1001" s="77">
        <f t="shared" si="386"/>
        <v>0.91</v>
      </c>
      <c r="P1001" s="76">
        <f t="shared" si="387"/>
        <v>0</v>
      </c>
      <c r="Q1001" s="76">
        <f t="shared" si="388"/>
        <v>0</v>
      </c>
      <c r="R1001" s="76">
        <f t="shared" si="389"/>
        <v>0</v>
      </c>
      <c r="S1001" s="76">
        <f t="shared" si="390"/>
        <v>0.98913043478260865</v>
      </c>
      <c r="T1001" s="76">
        <f t="shared" si="391"/>
        <v>0.98913043478260865</v>
      </c>
      <c r="U1001" s="76">
        <f t="shared" si="392"/>
        <v>1</v>
      </c>
    </row>
    <row r="1002" spans="1:21" x14ac:dyDescent="0.25">
      <c r="A1002" s="71">
        <v>6</v>
      </c>
      <c r="B1002" s="72">
        <f t="shared" si="393"/>
        <v>45809</v>
      </c>
      <c r="C1002" s="73">
        <f t="shared" si="374"/>
        <v>45838</v>
      </c>
      <c r="D1002" s="67">
        <f t="shared" si="375"/>
        <v>30</v>
      </c>
      <c r="E1002" s="67">
        <f t="shared" si="376"/>
        <v>6</v>
      </c>
      <c r="F1002" s="74">
        <f t="shared" si="377"/>
        <v>45824</v>
      </c>
      <c r="G1002" s="67">
        <f t="shared" si="378"/>
        <v>24305</v>
      </c>
      <c r="H1002" s="75">
        <f t="shared" si="379"/>
        <v>1</v>
      </c>
      <c r="I1002" s="76">
        <f t="shared" si="380"/>
        <v>1</v>
      </c>
      <c r="J1002" s="76">
        <f t="shared" si="381"/>
        <v>1</v>
      </c>
      <c r="K1002" s="67">
        <f t="shared" si="382"/>
        <v>0</v>
      </c>
      <c r="L1002" s="67">
        <f t="shared" si="383"/>
        <v>0</v>
      </c>
      <c r="M1002" s="77">
        <f t="shared" si="384"/>
        <v>0</v>
      </c>
      <c r="N1002" s="76">
        <f t="shared" si="385"/>
        <v>1</v>
      </c>
      <c r="O1002" s="77">
        <f t="shared" si="386"/>
        <v>0.91</v>
      </c>
      <c r="P1002" s="76">
        <f t="shared" si="387"/>
        <v>0</v>
      </c>
      <c r="Q1002" s="76">
        <f t="shared" si="388"/>
        <v>0</v>
      </c>
      <c r="R1002" s="76">
        <f t="shared" si="389"/>
        <v>0</v>
      </c>
      <c r="S1002" s="76">
        <f t="shared" si="390"/>
        <v>0.98913043478260865</v>
      </c>
      <c r="T1002" s="76">
        <f t="shared" si="391"/>
        <v>0.98913043478260865</v>
      </c>
      <c r="U1002" s="76">
        <f t="shared" si="392"/>
        <v>1</v>
      </c>
    </row>
    <row r="1003" spans="1:21" x14ac:dyDescent="0.25">
      <c r="A1003" s="71">
        <v>7</v>
      </c>
      <c r="B1003" s="72">
        <f t="shared" si="393"/>
        <v>45839</v>
      </c>
      <c r="C1003" s="73">
        <f t="shared" si="374"/>
        <v>45869</v>
      </c>
      <c r="D1003" s="67">
        <f t="shared" si="375"/>
        <v>31</v>
      </c>
      <c r="E1003" s="67">
        <f t="shared" si="376"/>
        <v>7</v>
      </c>
      <c r="F1003" s="74">
        <f t="shared" si="377"/>
        <v>45854.5</v>
      </c>
      <c r="G1003" s="67">
        <f t="shared" si="378"/>
        <v>24306</v>
      </c>
      <c r="H1003" s="75">
        <f t="shared" si="379"/>
        <v>1</v>
      </c>
      <c r="I1003" s="76">
        <f t="shared" si="380"/>
        <v>1</v>
      </c>
      <c r="J1003" s="76">
        <f t="shared" si="381"/>
        <v>1</v>
      </c>
      <c r="K1003" s="67">
        <f t="shared" si="382"/>
        <v>0</v>
      </c>
      <c r="L1003" s="67">
        <f t="shared" si="383"/>
        <v>0</v>
      </c>
      <c r="M1003" s="77">
        <f t="shared" si="384"/>
        <v>0</v>
      </c>
      <c r="N1003" s="76">
        <f t="shared" si="385"/>
        <v>1</v>
      </c>
      <c r="O1003" s="77">
        <f t="shared" si="386"/>
        <v>0.91</v>
      </c>
      <c r="P1003" s="76">
        <f t="shared" si="387"/>
        <v>8.333333333333337E-2</v>
      </c>
      <c r="Q1003" s="76">
        <f t="shared" si="388"/>
        <v>0</v>
      </c>
      <c r="R1003" s="76">
        <f t="shared" si="389"/>
        <v>0</v>
      </c>
      <c r="S1003" s="76">
        <f t="shared" si="390"/>
        <v>0.98913043478260865</v>
      </c>
      <c r="T1003" s="76">
        <f t="shared" si="391"/>
        <v>0.98913043478260865</v>
      </c>
      <c r="U1003" s="76">
        <f t="shared" si="392"/>
        <v>1</v>
      </c>
    </row>
    <row r="1004" spans="1:21" x14ac:dyDescent="0.25">
      <c r="A1004" s="71">
        <v>8</v>
      </c>
      <c r="B1004" s="72">
        <f t="shared" si="393"/>
        <v>45870</v>
      </c>
      <c r="C1004" s="73">
        <f t="shared" si="374"/>
        <v>45900</v>
      </c>
      <c r="D1004" s="67">
        <f t="shared" si="375"/>
        <v>31</v>
      </c>
      <c r="E1004" s="67">
        <f t="shared" si="376"/>
        <v>8</v>
      </c>
      <c r="F1004" s="74">
        <f t="shared" si="377"/>
        <v>45885.5</v>
      </c>
      <c r="G1004" s="67">
        <f t="shared" si="378"/>
        <v>24307</v>
      </c>
      <c r="H1004" s="75">
        <f t="shared" si="379"/>
        <v>1</v>
      </c>
      <c r="I1004" s="76">
        <f t="shared" si="380"/>
        <v>1</v>
      </c>
      <c r="J1004" s="76">
        <f t="shared" si="381"/>
        <v>1</v>
      </c>
      <c r="K1004" s="67">
        <f t="shared" si="382"/>
        <v>0</v>
      </c>
      <c r="L1004" s="67">
        <f t="shared" si="383"/>
        <v>0</v>
      </c>
      <c r="M1004" s="77">
        <f t="shared" si="384"/>
        <v>0</v>
      </c>
      <c r="N1004" s="76">
        <f t="shared" si="385"/>
        <v>1</v>
      </c>
      <c r="O1004" s="77">
        <f t="shared" si="386"/>
        <v>0.91</v>
      </c>
      <c r="P1004" s="76">
        <f t="shared" si="387"/>
        <v>0.25</v>
      </c>
      <c r="Q1004" s="76">
        <f t="shared" si="388"/>
        <v>0</v>
      </c>
      <c r="R1004" s="76">
        <f t="shared" si="389"/>
        <v>0</v>
      </c>
      <c r="S1004" s="76">
        <f t="shared" si="390"/>
        <v>0.98913043478260865</v>
      </c>
      <c r="T1004" s="76">
        <f t="shared" si="391"/>
        <v>0.98913043478260865</v>
      </c>
      <c r="U1004" s="76">
        <f t="shared" si="392"/>
        <v>1</v>
      </c>
    </row>
    <row r="1005" spans="1:21" x14ac:dyDescent="0.25">
      <c r="A1005" s="71">
        <v>9</v>
      </c>
      <c r="B1005" s="72">
        <f t="shared" si="393"/>
        <v>45901</v>
      </c>
      <c r="C1005" s="73">
        <f t="shared" si="374"/>
        <v>45930</v>
      </c>
      <c r="D1005" s="67">
        <f t="shared" si="375"/>
        <v>30</v>
      </c>
      <c r="E1005" s="67">
        <f t="shared" si="376"/>
        <v>9</v>
      </c>
      <c r="F1005" s="74">
        <f t="shared" si="377"/>
        <v>45916</v>
      </c>
      <c r="G1005" s="67">
        <f t="shared" si="378"/>
        <v>24308</v>
      </c>
      <c r="H1005" s="75">
        <f t="shared" si="379"/>
        <v>1</v>
      </c>
      <c r="I1005" s="76">
        <f t="shared" si="380"/>
        <v>1</v>
      </c>
      <c r="J1005" s="76">
        <f t="shared" si="381"/>
        <v>1</v>
      </c>
      <c r="K1005" s="67">
        <f t="shared" si="382"/>
        <v>0</v>
      </c>
      <c r="L1005" s="67">
        <f t="shared" si="383"/>
        <v>0</v>
      </c>
      <c r="M1005" s="77">
        <f t="shared" si="384"/>
        <v>0</v>
      </c>
      <c r="N1005" s="76">
        <f t="shared" si="385"/>
        <v>1</v>
      </c>
      <c r="O1005" s="77">
        <f t="shared" si="386"/>
        <v>0.91</v>
      </c>
      <c r="P1005" s="76">
        <f t="shared" si="387"/>
        <v>0.41666666666666663</v>
      </c>
      <c r="Q1005" s="76">
        <f t="shared" si="388"/>
        <v>0</v>
      </c>
      <c r="R1005" s="76">
        <f t="shared" si="389"/>
        <v>0</v>
      </c>
      <c r="S1005" s="76">
        <f t="shared" si="390"/>
        <v>0.98913043478260865</v>
      </c>
      <c r="T1005" s="76">
        <f t="shared" si="391"/>
        <v>0.98913043478260865</v>
      </c>
      <c r="U1005" s="76">
        <f t="shared" si="392"/>
        <v>1</v>
      </c>
    </row>
    <row r="1006" spans="1:21" x14ac:dyDescent="0.25">
      <c r="A1006" s="71">
        <v>10</v>
      </c>
      <c r="B1006" s="72">
        <f t="shared" si="393"/>
        <v>45931</v>
      </c>
      <c r="C1006" s="73">
        <f t="shared" si="374"/>
        <v>45961</v>
      </c>
      <c r="D1006" s="67">
        <f t="shared" si="375"/>
        <v>31</v>
      </c>
      <c r="E1006" s="67">
        <f t="shared" si="376"/>
        <v>10</v>
      </c>
      <c r="F1006" s="74">
        <f t="shared" si="377"/>
        <v>45946.5</v>
      </c>
      <c r="G1006" s="67">
        <f t="shared" si="378"/>
        <v>24309</v>
      </c>
      <c r="H1006" s="75">
        <f t="shared" si="379"/>
        <v>1</v>
      </c>
      <c r="I1006" s="76">
        <f t="shared" si="380"/>
        <v>1</v>
      </c>
      <c r="J1006" s="76">
        <f t="shared" si="381"/>
        <v>1</v>
      </c>
      <c r="K1006" s="67">
        <f t="shared" si="382"/>
        <v>0</v>
      </c>
      <c r="L1006" s="67">
        <f t="shared" si="383"/>
        <v>0</v>
      </c>
      <c r="M1006" s="77">
        <f t="shared" si="384"/>
        <v>0</v>
      </c>
      <c r="N1006" s="76">
        <f t="shared" si="385"/>
        <v>1</v>
      </c>
      <c r="O1006" s="77">
        <f t="shared" si="386"/>
        <v>0.91</v>
      </c>
      <c r="P1006" s="76">
        <f t="shared" si="387"/>
        <v>0.58333333333333326</v>
      </c>
      <c r="Q1006" s="76">
        <f t="shared" si="388"/>
        <v>0</v>
      </c>
      <c r="R1006" s="76">
        <f t="shared" si="389"/>
        <v>0</v>
      </c>
      <c r="S1006" s="76">
        <f t="shared" si="390"/>
        <v>0.98913043478260865</v>
      </c>
      <c r="T1006" s="76">
        <f t="shared" si="391"/>
        <v>0.98913043478260865</v>
      </c>
      <c r="U1006" s="76">
        <f t="shared" si="392"/>
        <v>1</v>
      </c>
    </row>
    <row r="1007" spans="1:21" x14ac:dyDescent="0.25">
      <c r="A1007" s="71">
        <v>11</v>
      </c>
      <c r="B1007" s="72">
        <f t="shared" si="393"/>
        <v>45962</v>
      </c>
      <c r="C1007" s="73">
        <f t="shared" si="374"/>
        <v>45991</v>
      </c>
      <c r="D1007" s="67">
        <f t="shared" si="375"/>
        <v>30</v>
      </c>
      <c r="E1007" s="67">
        <f t="shared" si="376"/>
        <v>11</v>
      </c>
      <c r="F1007" s="74">
        <f t="shared" si="377"/>
        <v>45977</v>
      </c>
      <c r="G1007" s="67">
        <f t="shared" si="378"/>
        <v>24310</v>
      </c>
      <c r="H1007" s="75">
        <f t="shared" si="379"/>
        <v>1</v>
      </c>
      <c r="I1007" s="76">
        <f t="shared" si="380"/>
        <v>1</v>
      </c>
      <c r="J1007" s="76">
        <f t="shared" si="381"/>
        <v>1</v>
      </c>
      <c r="K1007" s="67">
        <f t="shared" si="382"/>
        <v>0</v>
      </c>
      <c r="L1007" s="67">
        <f t="shared" si="383"/>
        <v>0</v>
      </c>
      <c r="M1007" s="77">
        <f t="shared" si="384"/>
        <v>0</v>
      </c>
      <c r="N1007" s="76">
        <f t="shared" si="385"/>
        <v>1</v>
      </c>
      <c r="O1007" s="77">
        <f t="shared" si="386"/>
        <v>0.91</v>
      </c>
      <c r="P1007" s="76">
        <f t="shared" si="387"/>
        <v>0.75</v>
      </c>
      <c r="Q1007" s="76">
        <f t="shared" si="388"/>
        <v>0</v>
      </c>
      <c r="R1007" s="76">
        <f t="shared" si="389"/>
        <v>0</v>
      </c>
      <c r="S1007" s="76">
        <f t="shared" si="390"/>
        <v>0.98913043478260865</v>
      </c>
      <c r="T1007" s="76">
        <f t="shared" si="391"/>
        <v>0.98913043478260865</v>
      </c>
      <c r="U1007" s="76">
        <f t="shared" si="392"/>
        <v>1</v>
      </c>
    </row>
    <row r="1008" spans="1:21" x14ac:dyDescent="0.25">
      <c r="A1008" s="71">
        <v>12</v>
      </c>
      <c r="B1008" s="72">
        <f t="shared" si="393"/>
        <v>45992</v>
      </c>
      <c r="C1008" s="73">
        <f t="shared" si="374"/>
        <v>46022</v>
      </c>
      <c r="D1008" s="67">
        <f t="shared" si="375"/>
        <v>31</v>
      </c>
      <c r="E1008" s="67">
        <f t="shared" si="376"/>
        <v>12</v>
      </c>
      <c r="F1008" s="74">
        <f t="shared" si="377"/>
        <v>46007.5</v>
      </c>
      <c r="G1008" s="67">
        <f t="shared" si="378"/>
        <v>24311</v>
      </c>
      <c r="H1008" s="75">
        <f t="shared" si="379"/>
        <v>1</v>
      </c>
      <c r="I1008" s="76">
        <f t="shared" si="380"/>
        <v>1</v>
      </c>
      <c r="J1008" s="76">
        <f t="shared" si="381"/>
        <v>1</v>
      </c>
      <c r="K1008" s="67">
        <f t="shared" si="382"/>
        <v>0</v>
      </c>
      <c r="L1008" s="67">
        <f t="shared" si="383"/>
        <v>0</v>
      </c>
      <c r="M1008" s="77">
        <f t="shared" si="384"/>
        <v>0</v>
      </c>
      <c r="N1008" s="76">
        <f t="shared" si="385"/>
        <v>1</v>
      </c>
      <c r="O1008" s="77">
        <f t="shared" si="386"/>
        <v>0.91</v>
      </c>
      <c r="P1008" s="76">
        <f t="shared" si="387"/>
        <v>0.91666666666666663</v>
      </c>
      <c r="Q1008" s="76">
        <f t="shared" si="388"/>
        <v>0</v>
      </c>
      <c r="R1008" s="76">
        <f t="shared" si="389"/>
        <v>0</v>
      </c>
      <c r="S1008" s="76">
        <f t="shared" si="390"/>
        <v>0.98913043478260865</v>
      </c>
      <c r="T1008" s="76">
        <f t="shared" si="391"/>
        <v>0.98913043478260865</v>
      </c>
      <c r="U1008" s="76">
        <f t="shared" si="392"/>
        <v>1</v>
      </c>
    </row>
    <row r="1009" spans="1:21" x14ac:dyDescent="0.25">
      <c r="A1009" s="71">
        <v>13</v>
      </c>
      <c r="B1009" s="72">
        <f t="shared" si="393"/>
        <v>46023</v>
      </c>
      <c r="C1009" s="73">
        <f t="shared" si="374"/>
        <v>46053</v>
      </c>
      <c r="D1009" s="67">
        <f t="shared" si="375"/>
        <v>31</v>
      </c>
      <c r="E1009" s="67">
        <f t="shared" si="376"/>
        <v>1</v>
      </c>
      <c r="F1009" s="74">
        <f t="shared" si="377"/>
        <v>46038.5</v>
      </c>
      <c r="G1009" s="67">
        <f t="shared" si="378"/>
        <v>24312</v>
      </c>
      <c r="H1009" s="75">
        <f t="shared" si="379"/>
        <v>1</v>
      </c>
      <c r="I1009" s="76">
        <f t="shared" si="380"/>
        <v>1</v>
      </c>
      <c r="J1009" s="76">
        <f t="shared" si="381"/>
        <v>1</v>
      </c>
      <c r="K1009" s="67">
        <f t="shared" si="382"/>
        <v>0</v>
      </c>
      <c r="L1009" s="67">
        <f t="shared" si="383"/>
        <v>0</v>
      </c>
      <c r="M1009" s="77">
        <f t="shared" si="384"/>
        <v>0</v>
      </c>
      <c r="N1009" s="76">
        <f t="shared" si="385"/>
        <v>1</v>
      </c>
      <c r="O1009" s="77">
        <f t="shared" si="386"/>
        <v>0.91</v>
      </c>
      <c r="P1009" s="76">
        <f t="shared" si="387"/>
        <v>1</v>
      </c>
      <c r="Q1009" s="76">
        <f t="shared" si="388"/>
        <v>0</v>
      </c>
      <c r="R1009" s="76">
        <f t="shared" si="389"/>
        <v>0</v>
      </c>
      <c r="S1009" s="76">
        <f t="shared" si="390"/>
        <v>0.98913043478260865</v>
      </c>
      <c r="T1009" s="76">
        <f t="shared" si="391"/>
        <v>0.98913043478260865</v>
      </c>
      <c r="U1009" s="76">
        <f t="shared" si="392"/>
        <v>1</v>
      </c>
    </row>
    <row r="1010" spans="1:21" x14ac:dyDescent="0.25">
      <c r="A1010" s="71">
        <v>14</v>
      </c>
      <c r="B1010" s="72">
        <f t="shared" si="393"/>
        <v>46054</v>
      </c>
      <c r="C1010" s="73">
        <f t="shared" si="374"/>
        <v>46081</v>
      </c>
      <c r="D1010" s="67">
        <f t="shared" si="375"/>
        <v>28</v>
      </c>
      <c r="E1010" s="67">
        <f t="shared" si="376"/>
        <v>2</v>
      </c>
      <c r="F1010" s="74">
        <f t="shared" si="377"/>
        <v>46068</v>
      </c>
      <c r="G1010" s="67">
        <f t="shared" si="378"/>
        <v>24313</v>
      </c>
      <c r="H1010" s="75">
        <f t="shared" si="379"/>
        <v>1</v>
      </c>
      <c r="I1010" s="76">
        <f t="shared" si="380"/>
        <v>1</v>
      </c>
      <c r="J1010" s="76">
        <f t="shared" si="381"/>
        <v>1</v>
      </c>
      <c r="K1010" s="67">
        <f t="shared" si="382"/>
        <v>0</v>
      </c>
      <c r="L1010" s="67">
        <f t="shared" si="383"/>
        <v>0</v>
      </c>
      <c r="M1010" s="77">
        <f t="shared" si="384"/>
        <v>0</v>
      </c>
      <c r="N1010" s="76">
        <f t="shared" si="385"/>
        <v>1</v>
      </c>
      <c r="O1010" s="77">
        <f t="shared" si="386"/>
        <v>0.91</v>
      </c>
      <c r="P1010" s="76">
        <f t="shared" si="387"/>
        <v>1</v>
      </c>
      <c r="Q1010" s="76">
        <f t="shared" si="388"/>
        <v>0</v>
      </c>
      <c r="R1010" s="76">
        <f t="shared" si="389"/>
        <v>0</v>
      </c>
      <c r="S1010" s="76">
        <f t="shared" si="390"/>
        <v>0.98913043478260865</v>
      </c>
      <c r="T1010" s="76">
        <f t="shared" si="391"/>
        <v>0.98913043478260865</v>
      </c>
      <c r="U1010" s="76">
        <f t="shared" si="392"/>
        <v>1</v>
      </c>
    </row>
    <row r="1011" spans="1:21" x14ac:dyDescent="0.25">
      <c r="A1011" s="71">
        <v>15</v>
      </c>
      <c r="B1011" s="72">
        <f t="shared" si="393"/>
        <v>46082</v>
      </c>
      <c r="C1011" s="73">
        <f t="shared" si="374"/>
        <v>46112</v>
      </c>
      <c r="D1011" s="67">
        <f t="shared" si="375"/>
        <v>31</v>
      </c>
      <c r="E1011" s="67">
        <f t="shared" si="376"/>
        <v>3</v>
      </c>
      <c r="F1011" s="74">
        <f t="shared" si="377"/>
        <v>46097.5</v>
      </c>
      <c r="G1011" s="67">
        <f t="shared" si="378"/>
        <v>24314</v>
      </c>
      <c r="H1011" s="75">
        <f t="shared" si="379"/>
        <v>1</v>
      </c>
      <c r="I1011" s="76">
        <f t="shared" si="380"/>
        <v>1</v>
      </c>
      <c r="J1011" s="76">
        <f t="shared" si="381"/>
        <v>1</v>
      </c>
      <c r="K1011" s="67">
        <f t="shared" si="382"/>
        <v>0</v>
      </c>
      <c r="L1011" s="67">
        <f t="shared" si="383"/>
        <v>0</v>
      </c>
      <c r="M1011" s="77">
        <f t="shared" si="384"/>
        <v>0</v>
      </c>
      <c r="N1011" s="76">
        <f t="shared" si="385"/>
        <v>1</v>
      </c>
      <c r="O1011" s="77">
        <f t="shared" si="386"/>
        <v>0.91</v>
      </c>
      <c r="P1011" s="76">
        <f t="shared" si="387"/>
        <v>1</v>
      </c>
      <c r="Q1011" s="76">
        <f t="shared" si="388"/>
        <v>0</v>
      </c>
      <c r="R1011" s="76">
        <f t="shared" si="389"/>
        <v>0</v>
      </c>
      <c r="S1011" s="76">
        <f t="shared" si="390"/>
        <v>0.98913043478260865</v>
      </c>
      <c r="T1011" s="76">
        <f t="shared" si="391"/>
        <v>0.98913043478260865</v>
      </c>
      <c r="U1011" s="76">
        <f t="shared" si="392"/>
        <v>1</v>
      </c>
    </row>
    <row r="1012" spans="1:21" x14ac:dyDescent="0.25">
      <c r="A1012" s="71">
        <v>16</v>
      </c>
      <c r="B1012" s="72">
        <f t="shared" si="393"/>
        <v>46113</v>
      </c>
      <c r="C1012" s="73">
        <f t="shared" si="374"/>
        <v>46142</v>
      </c>
      <c r="D1012" s="67">
        <f t="shared" si="375"/>
        <v>30</v>
      </c>
      <c r="E1012" s="67">
        <f t="shared" si="376"/>
        <v>4</v>
      </c>
      <c r="F1012" s="74">
        <f t="shared" si="377"/>
        <v>46128</v>
      </c>
      <c r="G1012" s="67">
        <f t="shared" si="378"/>
        <v>24315</v>
      </c>
      <c r="H1012" s="75">
        <f t="shared" si="379"/>
        <v>1</v>
      </c>
      <c r="I1012" s="76">
        <f t="shared" si="380"/>
        <v>1</v>
      </c>
      <c r="J1012" s="76">
        <f t="shared" si="381"/>
        <v>1</v>
      </c>
      <c r="K1012" s="67">
        <f t="shared" si="382"/>
        <v>0</v>
      </c>
      <c r="L1012" s="67">
        <f t="shared" si="383"/>
        <v>0</v>
      </c>
      <c r="M1012" s="77">
        <f t="shared" si="384"/>
        <v>0</v>
      </c>
      <c r="N1012" s="76">
        <f t="shared" si="385"/>
        <v>1</v>
      </c>
      <c r="O1012" s="77">
        <f t="shared" si="386"/>
        <v>0.91</v>
      </c>
      <c r="P1012" s="76">
        <f t="shared" si="387"/>
        <v>1</v>
      </c>
      <c r="Q1012" s="76">
        <f t="shared" si="388"/>
        <v>0</v>
      </c>
      <c r="R1012" s="76">
        <f t="shared" si="389"/>
        <v>0</v>
      </c>
      <c r="S1012" s="76">
        <f t="shared" si="390"/>
        <v>0.98913043478260865</v>
      </c>
      <c r="T1012" s="76">
        <f t="shared" si="391"/>
        <v>0.98913043478260865</v>
      </c>
      <c r="U1012" s="76">
        <f t="shared" si="392"/>
        <v>1</v>
      </c>
    </row>
    <row r="1013" spans="1:21" x14ac:dyDescent="0.25">
      <c r="A1013" s="71">
        <v>17</v>
      </c>
      <c r="B1013" s="72">
        <f t="shared" si="393"/>
        <v>46143</v>
      </c>
      <c r="C1013" s="73">
        <f t="shared" si="374"/>
        <v>46173</v>
      </c>
      <c r="D1013" s="67">
        <f t="shared" si="375"/>
        <v>31</v>
      </c>
      <c r="E1013" s="67">
        <f t="shared" si="376"/>
        <v>5</v>
      </c>
      <c r="F1013" s="74">
        <f t="shared" si="377"/>
        <v>46158.5</v>
      </c>
      <c r="G1013" s="67">
        <f t="shared" si="378"/>
        <v>24316</v>
      </c>
      <c r="H1013" s="75">
        <f t="shared" si="379"/>
        <v>1</v>
      </c>
      <c r="I1013" s="76">
        <f t="shared" si="380"/>
        <v>1</v>
      </c>
      <c r="J1013" s="76">
        <f t="shared" si="381"/>
        <v>1</v>
      </c>
      <c r="K1013" s="67">
        <f t="shared" si="382"/>
        <v>0</v>
      </c>
      <c r="L1013" s="67">
        <f t="shared" si="383"/>
        <v>0</v>
      </c>
      <c r="M1013" s="77">
        <f t="shared" si="384"/>
        <v>0</v>
      </c>
      <c r="N1013" s="76">
        <f t="shared" si="385"/>
        <v>1</v>
      </c>
      <c r="O1013" s="77">
        <f t="shared" si="386"/>
        <v>0.91</v>
      </c>
      <c r="P1013" s="76">
        <f t="shared" si="387"/>
        <v>1</v>
      </c>
      <c r="Q1013" s="76">
        <f t="shared" si="388"/>
        <v>0</v>
      </c>
      <c r="R1013" s="76">
        <f t="shared" si="389"/>
        <v>0</v>
      </c>
      <c r="S1013" s="76">
        <f t="shared" si="390"/>
        <v>0.98913043478260865</v>
      </c>
      <c r="T1013" s="76">
        <f t="shared" si="391"/>
        <v>0.98913043478260865</v>
      </c>
      <c r="U1013" s="76">
        <f t="shared" si="392"/>
        <v>1</v>
      </c>
    </row>
    <row r="1014" spans="1:21" x14ac:dyDescent="0.25">
      <c r="A1014" s="71">
        <v>18</v>
      </c>
      <c r="B1014" s="72">
        <f t="shared" si="393"/>
        <v>46174</v>
      </c>
      <c r="C1014" s="73">
        <f t="shared" si="374"/>
        <v>46203</v>
      </c>
      <c r="D1014" s="67">
        <f t="shared" si="375"/>
        <v>30</v>
      </c>
      <c r="E1014" s="67">
        <f t="shared" si="376"/>
        <v>6</v>
      </c>
      <c r="F1014" s="74">
        <f t="shared" si="377"/>
        <v>46189</v>
      </c>
      <c r="G1014" s="67">
        <f t="shared" si="378"/>
        <v>24317</v>
      </c>
      <c r="H1014" s="75">
        <f t="shared" si="379"/>
        <v>1</v>
      </c>
      <c r="I1014" s="76">
        <f t="shared" si="380"/>
        <v>1</v>
      </c>
      <c r="J1014" s="76">
        <f t="shared" si="381"/>
        <v>1</v>
      </c>
      <c r="K1014" s="67">
        <f t="shared" si="382"/>
        <v>0</v>
      </c>
      <c r="L1014" s="67">
        <f t="shared" si="383"/>
        <v>0</v>
      </c>
      <c r="M1014" s="77">
        <f t="shared" si="384"/>
        <v>0</v>
      </c>
      <c r="N1014" s="76">
        <f t="shared" si="385"/>
        <v>1</v>
      </c>
      <c r="O1014" s="77">
        <f t="shared" si="386"/>
        <v>0.91</v>
      </c>
      <c r="P1014" s="76">
        <f t="shared" si="387"/>
        <v>1</v>
      </c>
      <c r="Q1014" s="76">
        <f t="shared" si="388"/>
        <v>0</v>
      </c>
      <c r="R1014" s="76">
        <f t="shared" si="389"/>
        <v>0</v>
      </c>
      <c r="S1014" s="76">
        <f t="shared" si="390"/>
        <v>0.98913043478260865</v>
      </c>
      <c r="T1014" s="76">
        <f t="shared" si="391"/>
        <v>0.98913043478260865</v>
      </c>
      <c r="U1014" s="76">
        <f t="shared" si="392"/>
        <v>1</v>
      </c>
    </row>
    <row r="1015" spans="1:21" x14ac:dyDescent="0.25">
      <c r="A1015" s="71">
        <v>19</v>
      </c>
      <c r="B1015" s="72">
        <f t="shared" si="393"/>
        <v>46204</v>
      </c>
      <c r="C1015" s="73">
        <f t="shared" si="374"/>
        <v>46234</v>
      </c>
      <c r="D1015" s="67">
        <f t="shared" si="375"/>
        <v>31</v>
      </c>
      <c r="E1015" s="67">
        <f t="shared" si="376"/>
        <v>7</v>
      </c>
      <c r="F1015" s="74">
        <f t="shared" si="377"/>
        <v>46219.5</v>
      </c>
      <c r="G1015" s="67">
        <f t="shared" si="378"/>
        <v>24318</v>
      </c>
      <c r="H1015" s="75">
        <f t="shared" si="379"/>
        <v>1</v>
      </c>
      <c r="I1015" s="76">
        <f t="shared" si="380"/>
        <v>1</v>
      </c>
      <c r="J1015" s="76">
        <f t="shared" si="381"/>
        <v>1</v>
      </c>
      <c r="K1015" s="67">
        <f t="shared" si="382"/>
        <v>0</v>
      </c>
      <c r="L1015" s="67">
        <f t="shared" si="383"/>
        <v>0</v>
      </c>
      <c r="M1015" s="77">
        <f t="shared" si="384"/>
        <v>0</v>
      </c>
      <c r="N1015" s="76">
        <f t="shared" si="385"/>
        <v>1</v>
      </c>
      <c r="O1015" s="77">
        <f t="shared" si="386"/>
        <v>0.91</v>
      </c>
      <c r="P1015" s="76">
        <f t="shared" si="387"/>
        <v>0.91666666666666663</v>
      </c>
      <c r="Q1015" s="76">
        <f t="shared" si="388"/>
        <v>8.333333333333337E-2</v>
      </c>
      <c r="R1015" s="76">
        <f t="shared" si="389"/>
        <v>0</v>
      </c>
      <c r="S1015" s="76">
        <f t="shared" si="390"/>
        <v>0.98913043478260865</v>
      </c>
      <c r="T1015" s="76">
        <f t="shared" si="391"/>
        <v>0.98913043478260865</v>
      </c>
      <c r="U1015" s="76">
        <f t="shared" si="392"/>
        <v>1</v>
      </c>
    </row>
    <row r="1016" spans="1:21" x14ac:dyDescent="0.25">
      <c r="A1016" s="71">
        <v>20</v>
      </c>
      <c r="B1016" s="72">
        <f t="shared" si="393"/>
        <v>46235</v>
      </c>
      <c r="C1016" s="73">
        <f t="shared" si="374"/>
        <v>46265</v>
      </c>
      <c r="D1016" s="67">
        <f t="shared" si="375"/>
        <v>31</v>
      </c>
      <c r="E1016" s="67">
        <f t="shared" si="376"/>
        <v>8</v>
      </c>
      <c r="F1016" s="74">
        <f t="shared" si="377"/>
        <v>46250.5</v>
      </c>
      <c r="G1016" s="67">
        <f t="shared" si="378"/>
        <v>24319</v>
      </c>
      <c r="H1016" s="75">
        <f t="shared" si="379"/>
        <v>1</v>
      </c>
      <c r="I1016" s="76">
        <f t="shared" si="380"/>
        <v>1</v>
      </c>
      <c r="J1016" s="76">
        <f t="shared" si="381"/>
        <v>1</v>
      </c>
      <c r="K1016" s="67">
        <f t="shared" si="382"/>
        <v>0</v>
      </c>
      <c r="L1016" s="67">
        <f t="shared" si="383"/>
        <v>0</v>
      </c>
      <c r="M1016" s="77">
        <f t="shared" si="384"/>
        <v>0</v>
      </c>
      <c r="N1016" s="76">
        <f t="shared" si="385"/>
        <v>1</v>
      </c>
      <c r="O1016" s="77">
        <f t="shared" si="386"/>
        <v>0.91</v>
      </c>
      <c r="P1016" s="76">
        <f t="shared" si="387"/>
        <v>0.75</v>
      </c>
      <c r="Q1016" s="76">
        <f t="shared" si="388"/>
        <v>0.25</v>
      </c>
      <c r="R1016" s="76">
        <f t="shared" si="389"/>
        <v>0</v>
      </c>
      <c r="S1016" s="76">
        <f t="shared" si="390"/>
        <v>0.98913043478260865</v>
      </c>
      <c r="T1016" s="76">
        <f t="shared" si="391"/>
        <v>0.98913043478260865</v>
      </c>
      <c r="U1016" s="76">
        <f t="shared" si="392"/>
        <v>1</v>
      </c>
    </row>
    <row r="1017" spans="1:21" x14ac:dyDescent="0.25">
      <c r="A1017" s="71">
        <v>21</v>
      </c>
      <c r="B1017" s="72">
        <f t="shared" si="393"/>
        <v>46266</v>
      </c>
      <c r="C1017" s="73">
        <f t="shared" si="374"/>
        <v>46295</v>
      </c>
      <c r="D1017" s="67">
        <f t="shared" si="375"/>
        <v>30</v>
      </c>
      <c r="E1017" s="67">
        <f t="shared" si="376"/>
        <v>9</v>
      </c>
      <c r="F1017" s="74">
        <f t="shared" si="377"/>
        <v>46281</v>
      </c>
      <c r="G1017" s="67">
        <f t="shared" si="378"/>
        <v>24320</v>
      </c>
      <c r="H1017" s="75">
        <f t="shared" si="379"/>
        <v>1</v>
      </c>
      <c r="I1017" s="76">
        <f t="shared" si="380"/>
        <v>1</v>
      </c>
      <c r="J1017" s="76">
        <f t="shared" si="381"/>
        <v>1</v>
      </c>
      <c r="K1017" s="67">
        <f t="shared" si="382"/>
        <v>0</v>
      </c>
      <c r="L1017" s="67">
        <f t="shared" si="383"/>
        <v>0</v>
      </c>
      <c r="M1017" s="77">
        <f t="shared" si="384"/>
        <v>0</v>
      </c>
      <c r="N1017" s="76">
        <f t="shared" si="385"/>
        <v>1</v>
      </c>
      <c r="O1017" s="77">
        <f t="shared" si="386"/>
        <v>0.91</v>
      </c>
      <c r="P1017" s="76">
        <f t="shared" si="387"/>
        <v>0.58333333333333337</v>
      </c>
      <c r="Q1017" s="76">
        <f t="shared" si="388"/>
        <v>0.41666666666666663</v>
      </c>
      <c r="R1017" s="76">
        <f t="shared" si="389"/>
        <v>0</v>
      </c>
      <c r="S1017" s="76">
        <f t="shared" si="390"/>
        <v>0.98913043478260865</v>
      </c>
      <c r="T1017" s="76">
        <f t="shared" si="391"/>
        <v>0.98913043478260865</v>
      </c>
      <c r="U1017" s="76">
        <f t="shared" si="392"/>
        <v>1</v>
      </c>
    </row>
    <row r="1018" spans="1:21" x14ac:dyDescent="0.25">
      <c r="A1018" s="71">
        <v>22</v>
      </c>
      <c r="B1018" s="72">
        <f t="shared" si="393"/>
        <v>46296</v>
      </c>
      <c r="C1018" s="73">
        <f t="shared" si="374"/>
        <v>46326</v>
      </c>
      <c r="D1018" s="67">
        <f t="shared" si="375"/>
        <v>31</v>
      </c>
      <c r="E1018" s="67">
        <f t="shared" si="376"/>
        <v>10</v>
      </c>
      <c r="F1018" s="74">
        <f t="shared" si="377"/>
        <v>46311.5</v>
      </c>
      <c r="G1018" s="67">
        <f t="shared" si="378"/>
        <v>24321</v>
      </c>
      <c r="H1018" s="75">
        <f t="shared" si="379"/>
        <v>1</v>
      </c>
      <c r="I1018" s="76">
        <f t="shared" si="380"/>
        <v>1</v>
      </c>
      <c r="J1018" s="76">
        <f t="shared" si="381"/>
        <v>1</v>
      </c>
      <c r="K1018" s="67">
        <f t="shared" si="382"/>
        <v>0</v>
      </c>
      <c r="L1018" s="67">
        <f t="shared" si="383"/>
        <v>0</v>
      </c>
      <c r="M1018" s="77">
        <f t="shared" si="384"/>
        <v>0</v>
      </c>
      <c r="N1018" s="76">
        <f t="shared" si="385"/>
        <v>1</v>
      </c>
      <c r="O1018" s="77">
        <f t="shared" si="386"/>
        <v>0.91</v>
      </c>
      <c r="P1018" s="76">
        <f t="shared" si="387"/>
        <v>0.41666666666666669</v>
      </c>
      <c r="Q1018" s="76">
        <f t="shared" si="388"/>
        <v>0.58333333333333326</v>
      </c>
      <c r="R1018" s="76">
        <f t="shared" si="389"/>
        <v>0</v>
      </c>
      <c r="S1018" s="76">
        <f t="shared" si="390"/>
        <v>0.98913043478260865</v>
      </c>
      <c r="T1018" s="76">
        <f t="shared" si="391"/>
        <v>0.98913043478260865</v>
      </c>
      <c r="U1018" s="76">
        <f t="shared" si="392"/>
        <v>1</v>
      </c>
    </row>
    <row r="1019" spans="1:21" x14ac:dyDescent="0.25">
      <c r="A1019" s="71">
        <v>23</v>
      </c>
      <c r="B1019" s="72">
        <f t="shared" si="393"/>
        <v>46327</v>
      </c>
      <c r="C1019" s="73">
        <f t="shared" si="374"/>
        <v>46356</v>
      </c>
      <c r="D1019" s="67">
        <f t="shared" si="375"/>
        <v>30</v>
      </c>
      <c r="E1019" s="67">
        <f t="shared" si="376"/>
        <v>11</v>
      </c>
      <c r="F1019" s="74">
        <f t="shared" si="377"/>
        <v>46342</v>
      </c>
      <c r="G1019" s="67">
        <f t="shared" si="378"/>
        <v>24322</v>
      </c>
      <c r="H1019" s="75">
        <f t="shared" si="379"/>
        <v>1</v>
      </c>
      <c r="I1019" s="76">
        <f t="shared" si="380"/>
        <v>1</v>
      </c>
      <c r="J1019" s="76">
        <f t="shared" si="381"/>
        <v>1</v>
      </c>
      <c r="K1019" s="67">
        <f t="shared" si="382"/>
        <v>0</v>
      </c>
      <c r="L1019" s="67">
        <f t="shared" si="383"/>
        <v>0</v>
      </c>
      <c r="M1019" s="77">
        <f t="shared" si="384"/>
        <v>0</v>
      </c>
      <c r="N1019" s="76">
        <f t="shared" si="385"/>
        <v>1</v>
      </c>
      <c r="O1019" s="77">
        <f t="shared" si="386"/>
        <v>0.91</v>
      </c>
      <c r="P1019" s="76">
        <f t="shared" si="387"/>
        <v>0.25</v>
      </c>
      <c r="Q1019" s="76">
        <f t="shared" si="388"/>
        <v>0.75</v>
      </c>
      <c r="R1019" s="76">
        <f t="shared" si="389"/>
        <v>0</v>
      </c>
      <c r="S1019" s="76">
        <f t="shared" si="390"/>
        <v>0.98913043478260865</v>
      </c>
      <c r="T1019" s="76">
        <f t="shared" si="391"/>
        <v>0.98913043478260865</v>
      </c>
      <c r="U1019" s="76">
        <f t="shared" si="392"/>
        <v>1</v>
      </c>
    </row>
    <row r="1020" spans="1:21" x14ac:dyDescent="0.25">
      <c r="A1020" s="71">
        <v>24</v>
      </c>
      <c r="B1020" s="72">
        <f t="shared" si="393"/>
        <v>46357</v>
      </c>
      <c r="C1020" s="73">
        <f t="shared" si="374"/>
        <v>46387</v>
      </c>
      <c r="D1020" s="67">
        <f t="shared" si="375"/>
        <v>31</v>
      </c>
      <c r="E1020" s="67">
        <f t="shared" si="376"/>
        <v>12</v>
      </c>
      <c r="F1020" s="74">
        <f t="shared" si="377"/>
        <v>46372.5</v>
      </c>
      <c r="G1020" s="67">
        <f t="shared" si="378"/>
        <v>24323</v>
      </c>
      <c r="H1020" s="75">
        <f t="shared" si="379"/>
        <v>1</v>
      </c>
      <c r="I1020" s="76">
        <f t="shared" si="380"/>
        <v>1</v>
      </c>
      <c r="J1020" s="76">
        <f t="shared" si="381"/>
        <v>1</v>
      </c>
      <c r="K1020" s="67">
        <f t="shared" si="382"/>
        <v>0</v>
      </c>
      <c r="L1020" s="67">
        <f t="shared" si="383"/>
        <v>0</v>
      </c>
      <c r="M1020" s="77">
        <f t="shared" si="384"/>
        <v>0</v>
      </c>
      <c r="N1020" s="76">
        <f t="shared" si="385"/>
        <v>1</v>
      </c>
      <c r="O1020" s="77">
        <f t="shared" si="386"/>
        <v>0.91</v>
      </c>
      <c r="P1020" s="76">
        <f t="shared" si="387"/>
        <v>8.3333333333333329E-2</v>
      </c>
      <c r="Q1020" s="76">
        <f t="shared" si="388"/>
        <v>0.91666666666666663</v>
      </c>
      <c r="R1020" s="76">
        <f t="shared" si="389"/>
        <v>0</v>
      </c>
      <c r="S1020" s="76">
        <f t="shared" si="390"/>
        <v>0.98913043478260865</v>
      </c>
      <c r="T1020" s="76">
        <f t="shared" si="391"/>
        <v>0.98913043478260865</v>
      </c>
      <c r="U1020" s="76">
        <f t="shared" si="392"/>
        <v>1</v>
      </c>
    </row>
    <row r="1021" spans="1:21" x14ac:dyDescent="0.25">
      <c r="A1021" s="71">
        <v>25</v>
      </c>
      <c r="B1021" s="72">
        <f t="shared" si="393"/>
        <v>46388</v>
      </c>
      <c r="C1021" s="73">
        <f t="shared" si="374"/>
        <v>46418</v>
      </c>
      <c r="D1021" s="67">
        <f t="shared" si="375"/>
        <v>31</v>
      </c>
      <c r="E1021" s="67">
        <f t="shared" si="376"/>
        <v>1</v>
      </c>
      <c r="F1021" s="74">
        <f t="shared" si="377"/>
        <v>46403.5</v>
      </c>
      <c r="G1021" s="67">
        <f t="shared" si="378"/>
        <v>24324</v>
      </c>
      <c r="H1021" s="75">
        <f t="shared" si="379"/>
        <v>1</v>
      </c>
      <c r="I1021" s="76">
        <f t="shared" si="380"/>
        <v>1</v>
      </c>
      <c r="J1021" s="76">
        <f t="shared" si="381"/>
        <v>1</v>
      </c>
      <c r="K1021" s="67">
        <f t="shared" si="382"/>
        <v>0</v>
      </c>
      <c r="L1021" s="67">
        <f t="shared" si="383"/>
        <v>0</v>
      </c>
      <c r="M1021" s="77">
        <f t="shared" si="384"/>
        <v>0</v>
      </c>
      <c r="N1021" s="76">
        <f t="shared" si="385"/>
        <v>1</v>
      </c>
      <c r="O1021" s="77">
        <f t="shared" si="386"/>
        <v>0.91</v>
      </c>
      <c r="P1021" s="76">
        <f t="shared" si="387"/>
        <v>0</v>
      </c>
      <c r="Q1021" s="76">
        <f t="shared" si="388"/>
        <v>1</v>
      </c>
      <c r="R1021" s="76">
        <f t="shared" si="389"/>
        <v>0</v>
      </c>
      <c r="S1021" s="76">
        <f t="shared" si="390"/>
        <v>0.98913043478260865</v>
      </c>
      <c r="T1021" s="76">
        <f t="shared" si="391"/>
        <v>0.98913043478260865</v>
      </c>
      <c r="U1021" s="76">
        <f t="shared" si="392"/>
        <v>1</v>
      </c>
    </row>
    <row r="1022" spans="1:21" x14ac:dyDescent="0.25">
      <c r="A1022" s="71">
        <v>26</v>
      </c>
      <c r="B1022" s="72">
        <f t="shared" si="393"/>
        <v>46419</v>
      </c>
      <c r="C1022" s="73">
        <f t="shared" si="374"/>
        <v>46446</v>
      </c>
      <c r="D1022" s="67">
        <f t="shared" si="375"/>
        <v>28</v>
      </c>
      <c r="E1022" s="67">
        <f t="shared" si="376"/>
        <v>2</v>
      </c>
      <c r="F1022" s="74">
        <f t="shared" si="377"/>
        <v>46433</v>
      </c>
      <c r="G1022" s="67">
        <f t="shared" si="378"/>
        <v>24325</v>
      </c>
      <c r="H1022" s="75">
        <f t="shared" si="379"/>
        <v>1</v>
      </c>
      <c r="I1022" s="76">
        <f t="shared" si="380"/>
        <v>1</v>
      </c>
      <c r="J1022" s="76">
        <f t="shared" si="381"/>
        <v>1</v>
      </c>
      <c r="K1022" s="67">
        <f t="shared" si="382"/>
        <v>0</v>
      </c>
      <c r="L1022" s="67">
        <f t="shared" si="383"/>
        <v>0</v>
      </c>
      <c r="M1022" s="77">
        <f t="shared" si="384"/>
        <v>0</v>
      </c>
      <c r="N1022" s="76">
        <f t="shared" si="385"/>
        <v>1</v>
      </c>
      <c r="O1022" s="77">
        <f t="shared" si="386"/>
        <v>0.91</v>
      </c>
      <c r="P1022" s="76">
        <f t="shared" si="387"/>
        <v>0</v>
      </c>
      <c r="Q1022" s="76">
        <f t="shared" si="388"/>
        <v>1</v>
      </c>
      <c r="R1022" s="76">
        <f t="shared" si="389"/>
        <v>0</v>
      </c>
      <c r="S1022" s="76">
        <f t="shared" si="390"/>
        <v>0.98913043478260865</v>
      </c>
      <c r="T1022" s="76">
        <f t="shared" si="391"/>
        <v>0.98913043478260865</v>
      </c>
      <c r="U1022" s="76">
        <f t="shared" si="392"/>
        <v>1</v>
      </c>
    </row>
    <row r="1023" spans="1:21" x14ac:dyDescent="0.25">
      <c r="A1023" s="71">
        <v>27</v>
      </c>
      <c r="B1023" s="72">
        <f t="shared" si="393"/>
        <v>46447</v>
      </c>
      <c r="C1023" s="73">
        <f t="shared" si="374"/>
        <v>46477</v>
      </c>
      <c r="D1023" s="67">
        <f t="shared" si="375"/>
        <v>31</v>
      </c>
      <c r="E1023" s="67">
        <f t="shared" si="376"/>
        <v>3</v>
      </c>
      <c r="F1023" s="74">
        <f t="shared" si="377"/>
        <v>46462.5</v>
      </c>
      <c r="G1023" s="67">
        <f t="shared" si="378"/>
        <v>24326</v>
      </c>
      <c r="H1023" s="75">
        <f t="shared" si="379"/>
        <v>1</v>
      </c>
      <c r="I1023" s="76">
        <f t="shared" si="380"/>
        <v>1</v>
      </c>
      <c r="J1023" s="76">
        <f t="shared" si="381"/>
        <v>1</v>
      </c>
      <c r="K1023" s="67">
        <f t="shared" si="382"/>
        <v>0</v>
      </c>
      <c r="L1023" s="67">
        <f t="shared" si="383"/>
        <v>0</v>
      </c>
      <c r="M1023" s="77">
        <f t="shared" si="384"/>
        <v>0</v>
      </c>
      <c r="N1023" s="76">
        <f t="shared" si="385"/>
        <v>1</v>
      </c>
      <c r="O1023" s="77">
        <f t="shared" si="386"/>
        <v>0.91</v>
      </c>
      <c r="P1023" s="76">
        <f t="shared" si="387"/>
        <v>0</v>
      </c>
      <c r="Q1023" s="76">
        <f t="shared" si="388"/>
        <v>1</v>
      </c>
      <c r="R1023" s="76">
        <f t="shared" si="389"/>
        <v>0</v>
      </c>
      <c r="S1023" s="76">
        <f t="shared" si="390"/>
        <v>0.98913043478260865</v>
      </c>
      <c r="T1023" s="76">
        <f t="shared" si="391"/>
        <v>0.98913043478260865</v>
      </c>
      <c r="U1023" s="76">
        <f t="shared" si="392"/>
        <v>1</v>
      </c>
    </row>
    <row r="1024" spans="1:21" x14ac:dyDescent="0.25">
      <c r="A1024" s="71">
        <v>28</v>
      </c>
      <c r="B1024" s="72">
        <f t="shared" si="393"/>
        <v>46478</v>
      </c>
      <c r="C1024" s="73">
        <f t="shared" si="374"/>
        <v>46507</v>
      </c>
      <c r="D1024" s="67">
        <f t="shared" si="375"/>
        <v>30</v>
      </c>
      <c r="E1024" s="67">
        <f t="shared" si="376"/>
        <v>4</v>
      </c>
      <c r="F1024" s="74">
        <f t="shared" si="377"/>
        <v>46493</v>
      </c>
      <c r="G1024" s="67">
        <f t="shared" si="378"/>
        <v>24327</v>
      </c>
      <c r="H1024" s="75">
        <f t="shared" si="379"/>
        <v>1</v>
      </c>
      <c r="I1024" s="76">
        <f t="shared" si="380"/>
        <v>1</v>
      </c>
      <c r="J1024" s="76">
        <f t="shared" si="381"/>
        <v>1</v>
      </c>
      <c r="K1024" s="67">
        <f t="shared" si="382"/>
        <v>0</v>
      </c>
      <c r="L1024" s="67">
        <f t="shared" si="383"/>
        <v>0</v>
      </c>
      <c r="M1024" s="77">
        <f t="shared" si="384"/>
        <v>0</v>
      </c>
      <c r="N1024" s="76">
        <f t="shared" si="385"/>
        <v>1</v>
      </c>
      <c r="O1024" s="77">
        <f t="shared" si="386"/>
        <v>0.91</v>
      </c>
      <c r="P1024" s="76">
        <f t="shared" si="387"/>
        <v>0</v>
      </c>
      <c r="Q1024" s="76">
        <f t="shared" si="388"/>
        <v>1</v>
      </c>
      <c r="R1024" s="76">
        <f t="shared" si="389"/>
        <v>0</v>
      </c>
      <c r="S1024" s="76">
        <f t="shared" si="390"/>
        <v>0.98913043478260865</v>
      </c>
      <c r="T1024" s="76">
        <f t="shared" si="391"/>
        <v>0.98913043478260865</v>
      </c>
      <c r="U1024" s="76">
        <f t="shared" si="392"/>
        <v>1</v>
      </c>
    </row>
    <row r="1025" spans="1:21" x14ac:dyDescent="0.25">
      <c r="A1025" s="71">
        <v>29</v>
      </c>
      <c r="B1025" s="72">
        <f t="shared" si="393"/>
        <v>46508</v>
      </c>
      <c r="C1025" s="73">
        <f t="shared" si="374"/>
        <v>46538</v>
      </c>
      <c r="D1025" s="67">
        <f t="shared" si="375"/>
        <v>31</v>
      </c>
      <c r="E1025" s="67">
        <f t="shared" si="376"/>
        <v>5</v>
      </c>
      <c r="F1025" s="74">
        <f t="shared" si="377"/>
        <v>46523.5</v>
      </c>
      <c r="G1025" s="67">
        <f t="shared" si="378"/>
        <v>24328</v>
      </c>
      <c r="H1025" s="75">
        <f t="shared" si="379"/>
        <v>1</v>
      </c>
      <c r="I1025" s="76">
        <f t="shared" si="380"/>
        <v>1</v>
      </c>
      <c r="J1025" s="76">
        <f t="shared" si="381"/>
        <v>1</v>
      </c>
      <c r="K1025" s="67">
        <f t="shared" si="382"/>
        <v>0</v>
      </c>
      <c r="L1025" s="67">
        <f t="shared" si="383"/>
        <v>0</v>
      </c>
      <c r="M1025" s="77">
        <f t="shared" si="384"/>
        <v>0</v>
      </c>
      <c r="N1025" s="76">
        <f t="shared" si="385"/>
        <v>1</v>
      </c>
      <c r="O1025" s="77">
        <f t="shared" si="386"/>
        <v>0.91</v>
      </c>
      <c r="P1025" s="76">
        <f t="shared" si="387"/>
        <v>0</v>
      </c>
      <c r="Q1025" s="76">
        <f t="shared" si="388"/>
        <v>1</v>
      </c>
      <c r="R1025" s="76">
        <f t="shared" si="389"/>
        <v>0</v>
      </c>
      <c r="S1025" s="76">
        <f t="shared" si="390"/>
        <v>0.98913043478260865</v>
      </c>
      <c r="T1025" s="76">
        <f t="shared" si="391"/>
        <v>0.98913043478260865</v>
      </c>
      <c r="U1025" s="76">
        <f t="shared" si="392"/>
        <v>1</v>
      </c>
    </row>
    <row r="1026" spans="1:21" x14ac:dyDescent="0.25">
      <c r="A1026" s="71">
        <v>30</v>
      </c>
      <c r="B1026" s="72">
        <f t="shared" si="393"/>
        <v>46539</v>
      </c>
      <c r="C1026" s="73">
        <f t="shared" si="374"/>
        <v>46568</v>
      </c>
      <c r="D1026" s="67">
        <f t="shared" si="375"/>
        <v>30</v>
      </c>
      <c r="E1026" s="67">
        <f t="shared" si="376"/>
        <v>6</v>
      </c>
      <c r="F1026" s="74">
        <f t="shared" si="377"/>
        <v>46554</v>
      </c>
      <c r="G1026" s="67">
        <f t="shared" si="378"/>
        <v>24329</v>
      </c>
      <c r="H1026" s="75">
        <f t="shared" si="379"/>
        <v>1</v>
      </c>
      <c r="I1026" s="76">
        <f t="shared" si="380"/>
        <v>1</v>
      </c>
      <c r="J1026" s="76">
        <f t="shared" si="381"/>
        <v>1</v>
      </c>
      <c r="K1026" s="67">
        <f t="shared" si="382"/>
        <v>0</v>
      </c>
      <c r="L1026" s="67">
        <f t="shared" si="383"/>
        <v>0</v>
      </c>
      <c r="M1026" s="77">
        <f t="shared" si="384"/>
        <v>0</v>
      </c>
      <c r="N1026" s="76">
        <f t="shared" si="385"/>
        <v>1</v>
      </c>
      <c r="O1026" s="77">
        <f t="shared" si="386"/>
        <v>0.91</v>
      </c>
      <c r="P1026" s="76">
        <f t="shared" si="387"/>
        <v>0</v>
      </c>
      <c r="Q1026" s="76">
        <f t="shared" si="388"/>
        <v>1</v>
      </c>
      <c r="R1026" s="76">
        <f t="shared" si="389"/>
        <v>0</v>
      </c>
      <c r="S1026" s="76">
        <f t="shared" si="390"/>
        <v>0.98913043478260865</v>
      </c>
      <c r="T1026" s="76">
        <f t="shared" si="391"/>
        <v>0.98913043478260865</v>
      </c>
      <c r="U1026" s="76">
        <f t="shared" si="392"/>
        <v>1</v>
      </c>
    </row>
    <row r="1027" spans="1:21" x14ac:dyDescent="0.25">
      <c r="A1027" s="71">
        <v>31</v>
      </c>
      <c r="B1027" s="72">
        <f t="shared" si="393"/>
        <v>46569</v>
      </c>
      <c r="C1027" s="73">
        <f t="shared" si="374"/>
        <v>46599</v>
      </c>
      <c r="D1027" s="67">
        <f t="shared" si="375"/>
        <v>31</v>
      </c>
      <c r="E1027" s="67">
        <f t="shared" si="376"/>
        <v>7</v>
      </c>
      <c r="F1027" s="74">
        <f t="shared" si="377"/>
        <v>46584.5</v>
      </c>
      <c r="G1027" s="67">
        <f t="shared" si="378"/>
        <v>24330</v>
      </c>
      <c r="H1027" s="75">
        <f t="shared" si="379"/>
        <v>1</v>
      </c>
      <c r="I1027" s="76">
        <f t="shared" si="380"/>
        <v>1</v>
      </c>
      <c r="J1027" s="76">
        <f t="shared" si="381"/>
        <v>1</v>
      </c>
      <c r="K1027" s="67">
        <f t="shared" si="382"/>
        <v>0</v>
      </c>
      <c r="L1027" s="67">
        <f t="shared" si="383"/>
        <v>0</v>
      </c>
      <c r="M1027" s="77">
        <f t="shared" si="384"/>
        <v>0</v>
      </c>
      <c r="N1027" s="76">
        <f t="shared" si="385"/>
        <v>1</v>
      </c>
      <c r="O1027" s="77">
        <f t="shared" si="386"/>
        <v>0.91</v>
      </c>
      <c r="P1027" s="76">
        <f t="shared" si="387"/>
        <v>0</v>
      </c>
      <c r="Q1027" s="76">
        <f t="shared" si="388"/>
        <v>0.91666666666666663</v>
      </c>
      <c r="R1027" s="76">
        <f t="shared" si="389"/>
        <v>8.333333333333337E-2</v>
      </c>
      <c r="S1027" s="76">
        <f t="shared" si="390"/>
        <v>0.98913043478260865</v>
      </c>
      <c r="T1027" s="76">
        <f t="shared" si="391"/>
        <v>0.98913043478260865</v>
      </c>
      <c r="U1027" s="76">
        <f t="shared" si="392"/>
        <v>1</v>
      </c>
    </row>
    <row r="1028" spans="1:21" x14ac:dyDescent="0.25">
      <c r="A1028" s="71">
        <v>32</v>
      </c>
      <c r="B1028" s="72">
        <f t="shared" si="393"/>
        <v>46600</v>
      </c>
      <c r="C1028" s="73">
        <f t="shared" si="374"/>
        <v>46630</v>
      </c>
      <c r="D1028" s="67">
        <f t="shared" si="375"/>
        <v>31</v>
      </c>
      <c r="E1028" s="67">
        <f t="shared" si="376"/>
        <v>8</v>
      </c>
      <c r="F1028" s="74">
        <f t="shared" si="377"/>
        <v>46615.5</v>
      </c>
      <c r="G1028" s="67">
        <f t="shared" si="378"/>
        <v>24331</v>
      </c>
      <c r="H1028" s="75">
        <f t="shared" si="379"/>
        <v>1</v>
      </c>
      <c r="I1028" s="76">
        <f t="shared" si="380"/>
        <v>1</v>
      </c>
      <c r="J1028" s="76">
        <f t="shared" si="381"/>
        <v>1.04</v>
      </c>
      <c r="K1028" s="67">
        <f t="shared" si="382"/>
        <v>1</v>
      </c>
      <c r="L1028" s="67">
        <f t="shared" si="383"/>
        <v>31</v>
      </c>
      <c r="M1028" s="77">
        <f t="shared" si="384"/>
        <v>1</v>
      </c>
      <c r="N1028" s="76">
        <f t="shared" si="385"/>
        <v>1.04</v>
      </c>
      <c r="O1028" s="77">
        <f t="shared" si="386"/>
        <v>0.91</v>
      </c>
      <c r="P1028" s="76">
        <f t="shared" si="387"/>
        <v>0</v>
      </c>
      <c r="Q1028" s="76">
        <f t="shared" si="388"/>
        <v>0.75</v>
      </c>
      <c r="R1028" s="76">
        <f t="shared" si="389"/>
        <v>0.25</v>
      </c>
      <c r="S1028" s="76">
        <f t="shared" si="390"/>
        <v>1.028695652173913</v>
      </c>
      <c r="T1028" s="76">
        <f t="shared" si="391"/>
        <v>0.98913043478260865</v>
      </c>
      <c r="U1028" s="76">
        <f t="shared" si="392"/>
        <v>1.04</v>
      </c>
    </row>
    <row r="1029" spans="1:21" x14ac:dyDescent="0.25">
      <c r="A1029" s="71">
        <v>33</v>
      </c>
      <c r="B1029" s="72">
        <f t="shared" si="393"/>
        <v>46631</v>
      </c>
      <c r="C1029" s="73">
        <f t="shared" si="374"/>
        <v>46660</v>
      </c>
      <c r="D1029" s="67">
        <f t="shared" si="375"/>
        <v>30</v>
      </c>
      <c r="E1029" s="67">
        <f t="shared" si="376"/>
        <v>9</v>
      </c>
      <c r="F1029" s="74">
        <f t="shared" si="377"/>
        <v>46646</v>
      </c>
      <c r="G1029" s="67">
        <f t="shared" si="378"/>
        <v>24332</v>
      </c>
      <c r="H1029" s="75">
        <f t="shared" si="379"/>
        <v>1</v>
      </c>
      <c r="I1029" s="76">
        <f t="shared" si="380"/>
        <v>1.04</v>
      </c>
      <c r="J1029" s="76">
        <f t="shared" si="381"/>
        <v>1.04</v>
      </c>
      <c r="K1029" s="67">
        <f t="shared" si="382"/>
        <v>0</v>
      </c>
      <c r="L1029" s="67">
        <f t="shared" si="383"/>
        <v>0</v>
      </c>
      <c r="M1029" s="77">
        <f t="shared" si="384"/>
        <v>0</v>
      </c>
      <c r="N1029" s="76">
        <f t="shared" si="385"/>
        <v>1.04</v>
      </c>
      <c r="O1029" s="77">
        <f t="shared" si="386"/>
        <v>0.91</v>
      </c>
      <c r="P1029" s="76">
        <f t="shared" si="387"/>
        <v>0</v>
      </c>
      <c r="Q1029" s="76">
        <f t="shared" si="388"/>
        <v>0.58333333333333337</v>
      </c>
      <c r="R1029" s="76">
        <f t="shared" si="389"/>
        <v>0.41666666666666663</v>
      </c>
      <c r="S1029" s="76">
        <f t="shared" si="390"/>
        <v>1.028695652173913</v>
      </c>
      <c r="T1029" s="76">
        <f t="shared" si="391"/>
        <v>0.98913043478260865</v>
      </c>
      <c r="U1029" s="76">
        <f t="shared" si="392"/>
        <v>1.04</v>
      </c>
    </row>
    <row r="1030" spans="1:21" x14ac:dyDescent="0.25">
      <c r="A1030" s="71">
        <v>34</v>
      </c>
      <c r="B1030" s="72">
        <f t="shared" si="393"/>
        <v>46661</v>
      </c>
      <c r="C1030" s="73">
        <f t="shared" si="374"/>
        <v>46691</v>
      </c>
      <c r="D1030" s="67">
        <f t="shared" si="375"/>
        <v>31</v>
      </c>
      <c r="E1030" s="67">
        <f t="shared" si="376"/>
        <v>10</v>
      </c>
      <c r="F1030" s="74">
        <f t="shared" si="377"/>
        <v>46676.5</v>
      </c>
      <c r="G1030" s="67">
        <f t="shared" si="378"/>
        <v>24333</v>
      </c>
      <c r="H1030" s="75">
        <f t="shared" si="379"/>
        <v>1</v>
      </c>
      <c r="I1030" s="76">
        <f t="shared" si="380"/>
        <v>1.04</v>
      </c>
      <c r="J1030" s="76">
        <f t="shared" si="381"/>
        <v>1.04</v>
      </c>
      <c r="K1030" s="67">
        <f t="shared" si="382"/>
        <v>0</v>
      </c>
      <c r="L1030" s="67">
        <f t="shared" si="383"/>
        <v>0</v>
      </c>
      <c r="M1030" s="77">
        <f t="shared" si="384"/>
        <v>0</v>
      </c>
      <c r="N1030" s="76">
        <f t="shared" si="385"/>
        <v>1.04</v>
      </c>
      <c r="O1030" s="77">
        <f t="shared" si="386"/>
        <v>0.91</v>
      </c>
      <c r="P1030" s="76">
        <f t="shared" si="387"/>
        <v>0</v>
      </c>
      <c r="Q1030" s="76">
        <f t="shared" si="388"/>
        <v>0.41666666666666669</v>
      </c>
      <c r="R1030" s="76">
        <f t="shared" si="389"/>
        <v>0.58333333333333326</v>
      </c>
      <c r="S1030" s="76">
        <f t="shared" si="390"/>
        <v>1.028695652173913</v>
      </c>
      <c r="T1030" s="76">
        <f t="shared" si="391"/>
        <v>0.98913043478260865</v>
      </c>
      <c r="U1030" s="76">
        <f t="shared" si="392"/>
        <v>1.04</v>
      </c>
    </row>
    <row r="1031" spans="1:21" x14ac:dyDescent="0.25">
      <c r="A1031" s="71">
        <v>35</v>
      </c>
      <c r="B1031" s="72">
        <f t="shared" si="393"/>
        <v>46692</v>
      </c>
      <c r="C1031" s="73">
        <f t="shared" si="374"/>
        <v>46721</v>
      </c>
      <c r="D1031" s="67">
        <f t="shared" si="375"/>
        <v>30</v>
      </c>
      <c r="E1031" s="67">
        <f t="shared" si="376"/>
        <v>11</v>
      </c>
      <c r="F1031" s="74">
        <f t="shared" si="377"/>
        <v>46707</v>
      </c>
      <c r="G1031" s="67">
        <f t="shared" si="378"/>
        <v>24334</v>
      </c>
      <c r="H1031" s="75">
        <f t="shared" si="379"/>
        <v>1</v>
      </c>
      <c r="I1031" s="76">
        <f t="shared" si="380"/>
        <v>1.04</v>
      </c>
      <c r="J1031" s="76">
        <f t="shared" si="381"/>
        <v>1.04</v>
      </c>
      <c r="K1031" s="67">
        <f t="shared" si="382"/>
        <v>0</v>
      </c>
      <c r="L1031" s="67">
        <f t="shared" si="383"/>
        <v>0</v>
      </c>
      <c r="M1031" s="77">
        <f t="shared" si="384"/>
        <v>0</v>
      </c>
      <c r="N1031" s="76">
        <f t="shared" si="385"/>
        <v>1.04</v>
      </c>
      <c r="O1031" s="77">
        <f t="shared" si="386"/>
        <v>0.91</v>
      </c>
      <c r="P1031" s="76">
        <f t="shared" si="387"/>
        <v>0</v>
      </c>
      <c r="Q1031" s="76">
        <f t="shared" si="388"/>
        <v>0.25</v>
      </c>
      <c r="R1031" s="76">
        <f t="shared" si="389"/>
        <v>0.75</v>
      </c>
      <c r="S1031" s="76">
        <f t="shared" si="390"/>
        <v>1.028695652173913</v>
      </c>
      <c r="T1031" s="76">
        <f t="shared" si="391"/>
        <v>0.98913043478260865</v>
      </c>
      <c r="U1031" s="76">
        <f t="shared" si="392"/>
        <v>1.04</v>
      </c>
    </row>
    <row r="1032" spans="1:21" x14ac:dyDescent="0.25">
      <c r="A1032" s="71">
        <v>36</v>
      </c>
      <c r="B1032" s="72">
        <f t="shared" si="393"/>
        <v>46722</v>
      </c>
      <c r="C1032" s="73">
        <f t="shared" si="374"/>
        <v>46752</v>
      </c>
      <c r="D1032" s="67">
        <f t="shared" si="375"/>
        <v>31</v>
      </c>
      <c r="E1032" s="67">
        <f t="shared" si="376"/>
        <v>12</v>
      </c>
      <c r="F1032" s="74">
        <f t="shared" si="377"/>
        <v>46737.5</v>
      </c>
      <c r="G1032" s="67">
        <f t="shared" si="378"/>
        <v>24335</v>
      </c>
      <c r="H1032" s="75">
        <f t="shared" si="379"/>
        <v>1</v>
      </c>
      <c r="I1032" s="76">
        <f t="shared" si="380"/>
        <v>1.04</v>
      </c>
      <c r="J1032" s="76">
        <f t="shared" si="381"/>
        <v>1.04</v>
      </c>
      <c r="K1032" s="67">
        <f t="shared" si="382"/>
        <v>0</v>
      </c>
      <c r="L1032" s="67">
        <f t="shared" si="383"/>
        <v>0</v>
      </c>
      <c r="M1032" s="77">
        <f t="shared" si="384"/>
        <v>0</v>
      </c>
      <c r="N1032" s="76">
        <f t="shared" si="385"/>
        <v>1.04</v>
      </c>
      <c r="O1032" s="77">
        <f t="shared" si="386"/>
        <v>0.91</v>
      </c>
      <c r="P1032" s="76">
        <f t="shared" si="387"/>
        <v>0</v>
      </c>
      <c r="Q1032" s="76">
        <f t="shared" si="388"/>
        <v>8.3333333333333329E-2</v>
      </c>
      <c r="R1032" s="76">
        <f t="shared" si="389"/>
        <v>0.91666666666666663</v>
      </c>
      <c r="S1032" s="76">
        <f t="shared" si="390"/>
        <v>1.028695652173913</v>
      </c>
      <c r="T1032" s="76">
        <f t="shared" si="391"/>
        <v>0.98913043478260865</v>
      </c>
      <c r="U1032" s="76">
        <f t="shared" si="392"/>
        <v>1.04</v>
      </c>
    </row>
    <row r="1033" spans="1:21" x14ac:dyDescent="0.25">
      <c r="A1033" s="71">
        <v>37</v>
      </c>
      <c r="B1033" s="72">
        <f t="shared" si="393"/>
        <v>46753</v>
      </c>
      <c r="C1033" s="73">
        <f t="shared" si="374"/>
        <v>46783</v>
      </c>
      <c r="D1033" s="67">
        <f t="shared" si="375"/>
        <v>31</v>
      </c>
      <c r="E1033" s="67">
        <f t="shared" si="376"/>
        <v>1</v>
      </c>
      <c r="F1033" s="74">
        <f t="shared" si="377"/>
        <v>46768.5</v>
      </c>
      <c r="G1033" s="67">
        <f t="shared" si="378"/>
        <v>24336</v>
      </c>
      <c r="H1033" s="75">
        <f t="shared" si="379"/>
        <v>1</v>
      </c>
      <c r="I1033" s="76">
        <f t="shared" si="380"/>
        <v>1.04</v>
      </c>
      <c r="J1033" s="76">
        <f t="shared" si="381"/>
        <v>1.04</v>
      </c>
      <c r="K1033" s="67">
        <f t="shared" si="382"/>
        <v>0</v>
      </c>
      <c r="L1033" s="67">
        <f t="shared" si="383"/>
        <v>0</v>
      </c>
      <c r="M1033" s="77">
        <f t="shared" si="384"/>
        <v>0</v>
      </c>
      <c r="N1033" s="76">
        <f t="shared" si="385"/>
        <v>1.04</v>
      </c>
      <c r="O1033" s="77">
        <f t="shared" si="386"/>
        <v>0.91</v>
      </c>
      <c r="P1033" s="76">
        <f t="shared" si="387"/>
        <v>0</v>
      </c>
      <c r="Q1033" s="76">
        <f t="shared" si="388"/>
        <v>0</v>
      </c>
      <c r="R1033" s="76">
        <f t="shared" si="389"/>
        <v>1</v>
      </c>
      <c r="S1033" s="76">
        <f t="shared" si="390"/>
        <v>1.028695652173913</v>
      </c>
      <c r="T1033" s="76">
        <f t="shared" si="391"/>
        <v>0.98913043478260865</v>
      </c>
      <c r="U1033" s="76">
        <f t="shared" si="392"/>
        <v>1.04</v>
      </c>
    </row>
    <row r="1034" spans="1:21" x14ac:dyDescent="0.25">
      <c r="A1034" s="71">
        <v>38</v>
      </c>
      <c r="B1034" s="72">
        <f t="shared" si="393"/>
        <v>46784</v>
      </c>
      <c r="C1034" s="73">
        <f t="shared" si="374"/>
        <v>46812</v>
      </c>
      <c r="D1034" s="67">
        <f t="shared" si="375"/>
        <v>29</v>
      </c>
      <c r="E1034" s="67">
        <f t="shared" si="376"/>
        <v>2</v>
      </c>
      <c r="F1034" s="74">
        <f t="shared" si="377"/>
        <v>46798.5</v>
      </c>
      <c r="G1034" s="67">
        <f t="shared" si="378"/>
        <v>24337</v>
      </c>
      <c r="H1034" s="75">
        <f t="shared" si="379"/>
        <v>1</v>
      </c>
      <c r="I1034" s="76">
        <f t="shared" si="380"/>
        <v>1.04</v>
      </c>
      <c r="J1034" s="76">
        <f t="shared" si="381"/>
        <v>1.04</v>
      </c>
      <c r="K1034" s="67">
        <f t="shared" si="382"/>
        <v>0</v>
      </c>
      <c r="L1034" s="67">
        <f t="shared" si="383"/>
        <v>0</v>
      </c>
      <c r="M1034" s="77">
        <f t="shared" si="384"/>
        <v>0</v>
      </c>
      <c r="N1034" s="76">
        <f t="shared" si="385"/>
        <v>1.04</v>
      </c>
      <c r="O1034" s="77">
        <f t="shared" si="386"/>
        <v>0.91</v>
      </c>
      <c r="P1034" s="76">
        <f t="shared" si="387"/>
        <v>0</v>
      </c>
      <c r="Q1034" s="76">
        <f t="shared" si="388"/>
        <v>0</v>
      </c>
      <c r="R1034" s="76">
        <f t="shared" si="389"/>
        <v>1</v>
      </c>
      <c r="S1034" s="76">
        <f t="shared" si="390"/>
        <v>1.028695652173913</v>
      </c>
      <c r="T1034" s="76">
        <f t="shared" si="391"/>
        <v>0.98913043478260865</v>
      </c>
      <c r="U1034" s="76">
        <f t="shared" si="392"/>
        <v>1.04</v>
      </c>
    </row>
    <row r="1035" spans="1:21" x14ac:dyDescent="0.25">
      <c r="A1035" s="71">
        <v>39</v>
      </c>
      <c r="B1035" s="72">
        <f t="shared" si="393"/>
        <v>46813</v>
      </c>
      <c r="C1035" s="73">
        <f t="shared" si="374"/>
        <v>46843</v>
      </c>
      <c r="D1035" s="67">
        <f t="shared" si="375"/>
        <v>31</v>
      </c>
      <c r="E1035" s="67">
        <f t="shared" si="376"/>
        <v>3</v>
      </c>
      <c r="F1035" s="74">
        <f t="shared" si="377"/>
        <v>46828.5</v>
      </c>
      <c r="G1035" s="67">
        <f t="shared" si="378"/>
        <v>24338</v>
      </c>
      <c r="H1035" s="75">
        <f t="shared" si="379"/>
        <v>1</v>
      </c>
      <c r="I1035" s="76">
        <f t="shared" si="380"/>
        <v>1.04</v>
      </c>
      <c r="J1035" s="76">
        <f t="shared" si="381"/>
        <v>1.04</v>
      </c>
      <c r="K1035" s="67">
        <f t="shared" si="382"/>
        <v>0</v>
      </c>
      <c r="L1035" s="67">
        <f t="shared" si="383"/>
        <v>0</v>
      </c>
      <c r="M1035" s="77">
        <f t="shared" si="384"/>
        <v>0</v>
      </c>
      <c r="N1035" s="76">
        <f t="shared" si="385"/>
        <v>1.04</v>
      </c>
      <c r="O1035" s="77">
        <f t="shared" si="386"/>
        <v>0.91</v>
      </c>
      <c r="P1035" s="76">
        <f t="shared" si="387"/>
        <v>0</v>
      </c>
      <c r="Q1035" s="76">
        <f t="shared" si="388"/>
        <v>0</v>
      </c>
      <c r="R1035" s="76">
        <f t="shared" si="389"/>
        <v>1</v>
      </c>
      <c r="S1035" s="76">
        <f t="shared" si="390"/>
        <v>1.028695652173913</v>
      </c>
      <c r="T1035" s="76">
        <f t="shared" si="391"/>
        <v>0.98913043478260865</v>
      </c>
      <c r="U1035" s="76">
        <f t="shared" si="392"/>
        <v>1.04</v>
      </c>
    </row>
    <row r="1036" spans="1:21" x14ac:dyDescent="0.25">
      <c r="A1036" s="71">
        <v>40</v>
      </c>
      <c r="B1036" s="72">
        <f t="shared" si="393"/>
        <v>46844</v>
      </c>
      <c r="C1036" s="73">
        <f t="shared" si="374"/>
        <v>46873</v>
      </c>
      <c r="D1036" s="67">
        <f t="shared" si="375"/>
        <v>30</v>
      </c>
      <c r="E1036" s="67">
        <f t="shared" si="376"/>
        <v>4</v>
      </c>
      <c r="F1036" s="74">
        <f t="shared" si="377"/>
        <v>46859</v>
      </c>
      <c r="G1036" s="67">
        <f t="shared" si="378"/>
        <v>24339</v>
      </c>
      <c r="H1036" s="75">
        <f t="shared" si="379"/>
        <v>1</v>
      </c>
      <c r="I1036" s="76">
        <f t="shared" si="380"/>
        <v>1.04</v>
      </c>
      <c r="J1036" s="76">
        <f t="shared" si="381"/>
        <v>1.04</v>
      </c>
      <c r="K1036" s="67">
        <f t="shared" si="382"/>
        <v>0</v>
      </c>
      <c r="L1036" s="67">
        <f t="shared" si="383"/>
        <v>0</v>
      </c>
      <c r="M1036" s="77">
        <f t="shared" si="384"/>
        <v>0</v>
      </c>
      <c r="N1036" s="76">
        <f t="shared" si="385"/>
        <v>1.04</v>
      </c>
      <c r="O1036" s="77">
        <f t="shared" si="386"/>
        <v>0.91</v>
      </c>
      <c r="P1036" s="76">
        <f t="shared" si="387"/>
        <v>0</v>
      </c>
      <c r="Q1036" s="76">
        <f t="shared" si="388"/>
        <v>0</v>
      </c>
      <c r="R1036" s="76">
        <f t="shared" si="389"/>
        <v>1</v>
      </c>
      <c r="S1036" s="76">
        <f t="shared" si="390"/>
        <v>1.028695652173913</v>
      </c>
      <c r="T1036" s="76">
        <f t="shared" si="391"/>
        <v>0.98913043478260865</v>
      </c>
      <c r="U1036" s="76">
        <f t="shared" si="392"/>
        <v>1.04</v>
      </c>
    </row>
    <row r="1037" spans="1:21" x14ac:dyDescent="0.25">
      <c r="A1037" s="71">
        <v>41</v>
      </c>
      <c r="B1037" s="72">
        <f t="shared" si="393"/>
        <v>46874</v>
      </c>
      <c r="C1037" s="73">
        <f t="shared" si="374"/>
        <v>46904</v>
      </c>
      <c r="D1037" s="67">
        <f t="shared" si="375"/>
        <v>31</v>
      </c>
      <c r="E1037" s="67">
        <f t="shared" si="376"/>
        <v>5</v>
      </c>
      <c r="F1037" s="74">
        <f t="shared" si="377"/>
        <v>46889.5</v>
      </c>
      <c r="G1037" s="67">
        <f t="shared" si="378"/>
        <v>24340</v>
      </c>
      <c r="H1037" s="75">
        <f t="shared" si="379"/>
        <v>1</v>
      </c>
      <c r="I1037" s="76">
        <f t="shared" si="380"/>
        <v>1.04</v>
      </c>
      <c r="J1037" s="76">
        <f t="shared" si="381"/>
        <v>1.04</v>
      </c>
      <c r="K1037" s="67">
        <f t="shared" si="382"/>
        <v>0</v>
      </c>
      <c r="L1037" s="67">
        <f t="shared" si="383"/>
        <v>0</v>
      </c>
      <c r="M1037" s="77">
        <f t="shared" si="384"/>
        <v>0</v>
      </c>
      <c r="N1037" s="76">
        <f t="shared" si="385"/>
        <v>1.04</v>
      </c>
      <c r="O1037" s="77">
        <f t="shared" si="386"/>
        <v>0.91</v>
      </c>
      <c r="P1037" s="76">
        <f t="shared" si="387"/>
        <v>0</v>
      </c>
      <c r="Q1037" s="76">
        <f t="shared" si="388"/>
        <v>0</v>
      </c>
      <c r="R1037" s="76">
        <f t="shared" si="389"/>
        <v>1</v>
      </c>
      <c r="S1037" s="76">
        <f t="shared" si="390"/>
        <v>1.028695652173913</v>
      </c>
      <c r="T1037" s="76">
        <f t="shared" si="391"/>
        <v>0.98913043478260865</v>
      </c>
      <c r="U1037" s="76">
        <f t="shared" si="392"/>
        <v>1.04</v>
      </c>
    </row>
    <row r="1038" spans="1:21" x14ac:dyDescent="0.25">
      <c r="A1038" s="71">
        <v>42</v>
      </c>
      <c r="B1038" s="72">
        <f t="shared" si="393"/>
        <v>46905</v>
      </c>
      <c r="C1038" s="73">
        <f t="shared" si="374"/>
        <v>46934</v>
      </c>
      <c r="D1038" s="67">
        <f t="shared" si="375"/>
        <v>30</v>
      </c>
      <c r="E1038" s="67">
        <f t="shared" si="376"/>
        <v>6</v>
      </c>
      <c r="F1038" s="74">
        <f t="shared" si="377"/>
        <v>46920</v>
      </c>
      <c r="G1038" s="67">
        <f t="shared" si="378"/>
        <v>24341</v>
      </c>
      <c r="H1038" s="75">
        <f t="shared" si="379"/>
        <v>1</v>
      </c>
      <c r="I1038" s="76">
        <f t="shared" si="380"/>
        <v>1.04</v>
      </c>
      <c r="J1038" s="76">
        <f t="shared" si="381"/>
        <v>1.04</v>
      </c>
      <c r="K1038" s="67">
        <f t="shared" si="382"/>
        <v>0</v>
      </c>
      <c r="L1038" s="67">
        <f t="shared" si="383"/>
        <v>0</v>
      </c>
      <c r="M1038" s="77">
        <f t="shared" si="384"/>
        <v>0</v>
      </c>
      <c r="N1038" s="76">
        <f t="shared" si="385"/>
        <v>1.04</v>
      </c>
      <c r="O1038" s="77">
        <f t="shared" si="386"/>
        <v>0.91</v>
      </c>
      <c r="P1038" s="76">
        <f t="shared" si="387"/>
        <v>0</v>
      </c>
      <c r="Q1038" s="76">
        <f t="shared" si="388"/>
        <v>0</v>
      </c>
      <c r="R1038" s="76">
        <f t="shared" si="389"/>
        <v>1</v>
      </c>
      <c r="S1038" s="76">
        <f t="shared" si="390"/>
        <v>1.028695652173913</v>
      </c>
      <c r="T1038" s="76">
        <f t="shared" si="391"/>
        <v>0.98913043478260865</v>
      </c>
      <c r="U1038" s="76">
        <f t="shared" si="392"/>
        <v>1.04</v>
      </c>
    </row>
    <row r="1039" spans="1:21" x14ac:dyDescent="0.25">
      <c r="A1039" s="71">
        <v>43</v>
      </c>
      <c r="B1039" s="72">
        <f t="shared" si="393"/>
        <v>46935</v>
      </c>
      <c r="C1039" s="73">
        <f t="shared" si="374"/>
        <v>46965</v>
      </c>
      <c r="D1039" s="67">
        <f t="shared" si="375"/>
        <v>31</v>
      </c>
      <c r="E1039" s="67">
        <f t="shared" si="376"/>
        <v>7</v>
      </c>
      <c r="F1039" s="74">
        <f t="shared" si="377"/>
        <v>46950.5</v>
      </c>
      <c r="G1039" s="67">
        <f t="shared" si="378"/>
        <v>24342</v>
      </c>
      <c r="H1039" s="75">
        <f t="shared" si="379"/>
        <v>1</v>
      </c>
      <c r="I1039" s="76">
        <f t="shared" si="380"/>
        <v>1.04</v>
      </c>
      <c r="J1039" s="76">
        <f t="shared" si="381"/>
        <v>1.04</v>
      </c>
      <c r="K1039" s="67">
        <f t="shared" si="382"/>
        <v>0</v>
      </c>
      <c r="L1039" s="67">
        <f t="shared" si="383"/>
        <v>0</v>
      </c>
      <c r="M1039" s="77">
        <f t="shared" si="384"/>
        <v>0</v>
      </c>
      <c r="N1039" s="76">
        <f t="shared" si="385"/>
        <v>1.04</v>
      </c>
      <c r="O1039" s="77">
        <f t="shared" si="386"/>
        <v>0.91</v>
      </c>
      <c r="P1039" s="76">
        <f t="shared" si="387"/>
        <v>0</v>
      </c>
      <c r="Q1039" s="76">
        <f t="shared" si="388"/>
        <v>0</v>
      </c>
      <c r="R1039" s="76">
        <f t="shared" si="389"/>
        <v>0.91666666666666663</v>
      </c>
      <c r="S1039" s="76">
        <f t="shared" si="390"/>
        <v>1.028695652173913</v>
      </c>
      <c r="T1039" s="76">
        <f t="shared" si="391"/>
        <v>0.98913043478260865</v>
      </c>
      <c r="U1039" s="76">
        <f t="shared" si="392"/>
        <v>1.04</v>
      </c>
    </row>
    <row r="1040" spans="1:21" x14ac:dyDescent="0.25">
      <c r="A1040" s="71">
        <v>44</v>
      </c>
      <c r="B1040" s="72">
        <f t="shared" si="393"/>
        <v>46966</v>
      </c>
      <c r="C1040" s="73">
        <f t="shared" si="374"/>
        <v>46996</v>
      </c>
      <c r="D1040" s="67">
        <f t="shared" si="375"/>
        <v>31</v>
      </c>
      <c r="E1040" s="67">
        <f t="shared" si="376"/>
        <v>8</v>
      </c>
      <c r="F1040" s="74">
        <f t="shared" si="377"/>
        <v>46981.5</v>
      </c>
      <c r="G1040" s="67">
        <f t="shared" si="378"/>
        <v>24343</v>
      </c>
      <c r="H1040" s="75">
        <f t="shared" si="379"/>
        <v>1</v>
      </c>
      <c r="I1040" s="76">
        <f t="shared" si="380"/>
        <v>1.04</v>
      </c>
      <c r="J1040" s="76">
        <f t="shared" si="381"/>
        <v>1.04</v>
      </c>
      <c r="K1040" s="67">
        <f t="shared" si="382"/>
        <v>0</v>
      </c>
      <c r="L1040" s="67">
        <f t="shared" si="383"/>
        <v>0</v>
      </c>
      <c r="M1040" s="77">
        <f t="shared" si="384"/>
        <v>0</v>
      </c>
      <c r="N1040" s="76">
        <f t="shared" si="385"/>
        <v>1.04</v>
      </c>
      <c r="O1040" s="77">
        <f t="shared" si="386"/>
        <v>0.91</v>
      </c>
      <c r="P1040" s="76">
        <f t="shared" si="387"/>
        <v>0</v>
      </c>
      <c r="Q1040" s="76">
        <f t="shared" si="388"/>
        <v>0</v>
      </c>
      <c r="R1040" s="76">
        <f t="shared" si="389"/>
        <v>0.75</v>
      </c>
      <c r="S1040" s="76">
        <f t="shared" si="390"/>
        <v>1.028695652173913</v>
      </c>
      <c r="T1040" s="76">
        <f t="shared" si="391"/>
        <v>0.98913043478260865</v>
      </c>
      <c r="U1040" s="76">
        <f t="shared" si="392"/>
        <v>1.04</v>
      </c>
    </row>
    <row r="1041" spans="1:21" x14ac:dyDescent="0.25">
      <c r="A1041" s="71">
        <v>45</v>
      </c>
      <c r="B1041" s="72">
        <f t="shared" si="393"/>
        <v>46997</v>
      </c>
      <c r="C1041" s="73">
        <f t="shared" si="374"/>
        <v>47026</v>
      </c>
      <c r="D1041" s="67">
        <f t="shared" si="375"/>
        <v>30</v>
      </c>
      <c r="E1041" s="67">
        <f t="shared" si="376"/>
        <v>9</v>
      </c>
      <c r="F1041" s="74">
        <f t="shared" si="377"/>
        <v>47012</v>
      </c>
      <c r="G1041" s="67">
        <f t="shared" si="378"/>
        <v>24344</v>
      </c>
      <c r="H1041" s="75">
        <f t="shared" si="379"/>
        <v>1</v>
      </c>
      <c r="I1041" s="76">
        <f t="shared" si="380"/>
        <v>1.04</v>
      </c>
      <c r="J1041" s="76">
        <f t="shared" si="381"/>
        <v>1.04</v>
      </c>
      <c r="K1041" s="67">
        <f t="shared" si="382"/>
        <v>0</v>
      </c>
      <c r="L1041" s="67">
        <f t="shared" si="383"/>
        <v>0</v>
      </c>
      <c r="M1041" s="77">
        <f t="shared" si="384"/>
        <v>0</v>
      </c>
      <c r="N1041" s="76">
        <f t="shared" si="385"/>
        <v>1.04</v>
      </c>
      <c r="O1041" s="77">
        <f t="shared" si="386"/>
        <v>0.91</v>
      </c>
      <c r="P1041" s="76">
        <f t="shared" si="387"/>
        <v>0</v>
      </c>
      <c r="Q1041" s="76">
        <f t="shared" si="388"/>
        <v>0</v>
      </c>
      <c r="R1041" s="76">
        <f t="shared" si="389"/>
        <v>0.58333333333333337</v>
      </c>
      <c r="S1041" s="76">
        <f t="shared" si="390"/>
        <v>1.028695652173913</v>
      </c>
      <c r="T1041" s="76">
        <f t="shared" si="391"/>
        <v>0.98913043478260865</v>
      </c>
      <c r="U1041" s="76">
        <f t="shared" si="392"/>
        <v>1.04</v>
      </c>
    </row>
    <row r="1042" spans="1:21" x14ac:dyDescent="0.25">
      <c r="A1042" s="71">
        <v>46</v>
      </c>
      <c r="B1042" s="72">
        <f t="shared" si="393"/>
        <v>47027</v>
      </c>
      <c r="C1042" s="73">
        <f t="shared" si="374"/>
        <v>47057</v>
      </c>
      <c r="D1042" s="67">
        <f t="shared" si="375"/>
        <v>31</v>
      </c>
      <c r="E1042" s="67">
        <f t="shared" si="376"/>
        <v>10</v>
      </c>
      <c r="F1042" s="74">
        <f t="shared" si="377"/>
        <v>47042.5</v>
      </c>
      <c r="G1042" s="67">
        <f t="shared" si="378"/>
        <v>24345</v>
      </c>
      <c r="H1042" s="75">
        <f t="shared" si="379"/>
        <v>1</v>
      </c>
      <c r="I1042" s="76">
        <f t="shared" si="380"/>
        <v>1.04</v>
      </c>
      <c r="J1042" s="76">
        <f t="shared" si="381"/>
        <v>1.04</v>
      </c>
      <c r="K1042" s="67">
        <f t="shared" si="382"/>
        <v>0</v>
      </c>
      <c r="L1042" s="67">
        <f t="shared" si="383"/>
        <v>0</v>
      </c>
      <c r="M1042" s="77">
        <f t="shared" si="384"/>
        <v>0</v>
      </c>
      <c r="N1042" s="76">
        <f t="shared" si="385"/>
        <v>1.04</v>
      </c>
      <c r="O1042" s="77">
        <f t="shared" si="386"/>
        <v>0.91</v>
      </c>
      <c r="P1042" s="76">
        <f t="shared" si="387"/>
        <v>0</v>
      </c>
      <c r="Q1042" s="76">
        <f t="shared" si="388"/>
        <v>0</v>
      </c>
      <c r="R1042" s="76">
        <f t="shared" si="389"/>
        <v>0.41666666666666669</v>
      </c>
      <c r="S1042" s="76">
        <f t="shared" si="390"/>
        <v>1.028695652173913</v>
      </c>
      <c r="T1042" s="76">
        <f t="shared" si="391"/>
        <v>0.98913043478260865</v>
      </c>
      <c r="U1042" s="76">
        <f t="shared" si="392"/>
        <v>1.04</v>
      </c>
    </row>
    <row r="1043" spans="1:21" x14ac:dyDescent="0.25">
      <c r="A1043" s="71">
        <v>47</v>
      </c>
      <c r="B1043" s="72">
        <f t="shared" si="393"/>
        <v>47058</v>
      </c>
      <c r="C1043" s="73">
        <f t="shared" si="374"/>
        <v>47087</v>
      </c>
      <c r="D1043" s="67">
        <f t="shared" si="375"/>
        <v>30</v>
      </c>
      <c r="E1043" s="67">
        <f t="shared" si="376"/>
        <v>11</v>
      </c>
      <c r="F1043" s="74">
        <f t="shared" si="377"/>
        <v>47073</v>
      </c>
      <c r="G1043" s="67">
        <f t="shared" si="378"/>
        <v>24346</v>
      </c>
      <c r="H1043" s="75">
        <f t="shared" si="379"/>
        <v>1</v>
      </c>
      <c r="I1043" s="76">
        <f t="shared" si="380"/>
        <v>1.04</v>
      </c>
      <c r="J1043" s="76">
        <f t="shared" si="381"/>
        <v>1.04</v>
      </c>
      <c r="K1043" s="67">
        <f t="shared" si="382"/>
        <v>0</v>
      </c>
      <c r="L1043" s="67">
        <f t="shared" si="383"/>
        <v>0</v>
      </c>
      <c r="M1043" s="77">
        <f t="shared" si="384"/>
        <v>0</v>
      </c>
      <c r="N1043" s="76">
        <f t="shared" si="385"/>
        <v>1.04</v>
      </c>
      <c r="O1043" s="77">
        <f t="shared" si="386"/>
        <v>0.91</v>
      </c>
      <c r="P1043" s="76">
        <f t="shared" si="387"/>
        <v>0</v>
      </c>
      <c r="Q1043" s="76">
        <f t="shared" si="388"/>
        <v>0</v>
      </c>
      <c r="R1043" s="76">
        <f t="shared" si="389"/>
        <v>0.25</v>
      </c>
      <c r="S1043" s="76">
        <f t="shared" si="390"/>
        <v>1.028695652173913</v>
      </c>
      <c r="T1043" s="76">
        <f t="shared" si="391"/>
        <v>0.98913043478260865</v>
      </c>
      <c r="U1043" s="76">
        <f t="shared" si="392"/>
        <v>1.04</v>
      </c>
    </row>
    <row r="1044" spans="1:21" x14ac:dyDescent="0.25">
      <c r="A1044" s="71">
        <v>48</v>
      </c>
      <c r="B1044" s="72">
        <f t="shared" si="393"/>
        <v>47088</v>
      </c>
      <c r="C1044" s="73">
        <f t="shared" si="374"/>
        <v>47118</v>
      </c>
      <c r="D1044" s="67">
        <f t="shared" si="375"/>
        <v>31</v>
      </c>
      <c r="E1044" s="67">
        <f t="shared" si="376"/>
        <v>12</v>
      </c>
      <c r="F1044" s="74">
        <f t="shared" si="377"/>
        <v>47103.5</v>
      </c>
      <c r="G1044" s="67">
        <f t="shared" si="378"/>
        <v>24347</v>
      </c>
      <c r="H1044" s="75">
        <f t="shared" si="379"/>
        <v>1</v>
      </c>
      <c r="I1044" s="76">
        <f t="shared" si="380"/>
        <v>1.04</v>
      </c>
      <c r="J1044" s="76">
        <f t="shared" si="381"/>
        <v>1.04</v>
      </c>
      <c r="K1044" s="67">
        <f t="shared" si="382"/>
        <v>0</v>
      </c>
      <c r="L1044" s="67">
        <f t="shared" si="383"/>
        <v>0</v>
      </c>
      <c r="M1044" s="77">
        <f t="shared" si="384"/>
        <v>0</v>
      </c>
      <c r="N1044" s="76">
        <f t="shared" si="385"/>
        <v>1.04</v>
      </c>
      <c r="O1044" s="77">
        <f t="shared" si="386"/>
        <v>0.91</v>
      </c>
      <c r="P1044" s="76">
        <f t="shared" si="387"/>
        <v>0</v>
      </c>
      <c r="Q1044" s="76">
        <f t="shared" si="388"/>
        <v>0</v>
      </c>
      <c r="R1044" s="76">
        <f t="shared" si="389"/>
        <v>8.3333333333333329E-2</v>
      </c>
      <c r="S1044" s="76">
        <f t="shared" si="390"/>
        <v>1.028695652173913</v>
      </c>
      <c r="T1044" s="76">
        <f t="shared" si="391"/>
        <v>0.98913043478260865</v>
      </c>
      <c r="U1044" s="76">
        <f t="shared" si="392"/>
        <v>1.04</v>
      </c>
    </row>
    <row r="1045" spans="1:21" x14ac:dyDescent="0.25">
      <c r="A1045" s="81" t="s">
        <v>1187</v>
      </c>
      <c r="B1045" s="53">
        <f>EXP(SUMPRODUCT((rl_key=$A$994)*(rl_cons="Y")*rl_ln1p))</f>
        <v>1</v>
      </c>
      <c r="C1045" s="53">
        <f>SUMPRODUCT($H$997:$H$1044,$P$997:$P$1044,$U$997:$U$1044)/SUMPRODUCT($H$997:$H$1044,$P$997:$P$1044)</f>
        <v>1</v>
      </c>
      <c r="D1045" s="53">
        <f>SUMPRODUCT($H$997:$H$1044,$Q$997:$Q$1044,$U$997:$U$1044)/SUMPRODUCT($H$997:$H$1044,$Q$997:$Q$1044)</f>
        <v>1.0069444444444444</v>
      </c>
      <c r="E1045" s="53">
        <f>SUMPRODUCT($H$997:$H$1044,$R$997:$R$1044,$U$997:$U$1044)/SUMPRODUCT($H$997:$H$1044,$R$997:$R$1044)</f>
        <v>1.039722222222222</v>
      </c>
      <c r="F1045" s="172">
        <f>SUMPRODUCT($H$997:$H$1044,$Q$997:$Q$1044,$O$997:$O$1044)/SUMPRODUCT($H$997:$H$1044,$Q$997:$Q$1044)</f>
        <v>0.90999999999999981</v>
      </c>
      <c r="G1045" s="172">
        <f>SUMPRODUCT($H$997:$H$1044,$R$997:$R$1044,$O$997:$O$1044)/SUMPRODUCT($H$997:$H$1044,$R$997:$R$1044)</f>
        <v>0.90999999999999981</v>
      </c>
    </row>
    <row r="1048" spans="1:21" x14ac:dyDescent="0.25">
      <c r="A1048" s="81" t="str">
        <f>INDEX(lr_key,19)</f>
        <v>BU-A|PA</v>
      </c>
      <c r="B1048" s="81" t="str">
        <f>INDEX(lr_state,19)</f>
        <v>PA</v>
      </c>
      <c r="C1048" s="55">
        <f>nr_TermMonths</f>
        <v>6</v>
      </c>
      <c r="D1048" s="55">
        <f>IF(COUNTIF(se_state,$B1048)=0,0,MATCH($B1048,se_state,0))</f>
        <v>0</v>
      </c>
      <c r="E1048" s="57">
        <f>IF($D1048=0,0,INDEX(se_sum,$D1048))</f>
        <v>0</v>
      </c>
      <c r="F1048" s="172">
        <f>IF(N(INDEX(lr_mind,19))=0,1,INDEX(lr_mind,19))</f>
        <v>0.92</v>
      </c>
      <c r="G1048" s="172">
        <f>IF(N(INDEX(lr_m0,19))=0,1,INDEX(lr_m0,19))</f>
        <v>0.91</v>
      </c>
      <c r="H1048" s="54">
        <f>IF(N(INDEX(lr_m0asof,19))=0,DATE(nr_PlanYear-1,10,1),INDEX(lr_m0asof,19))</f>
        <v>46295</v>
      </c>
      <c r="I1048" s="172">
        <f>IF(N(INDEX(lr_m1,19))=0,1,INDEX(lr_m1,19))</f>
        <v>0.92500000000000004</v>
      </c>
      <c r="J1048" s="172">
        <f>INDEX(lr_mprior,19)</f>
        <v>0</v>
      </c>
      <c r="K1048" s="172">
        <f>INDEX(lr_m2,19)</f>
        <v>0</v>
      </c>
      <c r="L1048" s="81" t="b">
        <f>NOT(ISBLANK(INDEX(lr_netp,19)))</f>
        <v>0</v>
      </c>
      <c r="M1048" s="52">
        <f>N(INDEX(lr_netp,19))</f>
        <v>0</v>
      </c>
      <c r="N1048" s="52">
        <f>IF(ISBLANK(INDEX(lr_netp1,19)),$M$1048,N(INDEX(lr_netp1,19)))</f>
        <v>0</v>
      </c>
      <c r="O1048" s="55">
        <f>IF(AND(nr_ModAdjMaster="ON",INDEX(lr_modadj,19)="ON"),1,0)</f>
        <v>1</v>
      </c>
    </row>
    <row r="1049" spans="1:21" x14ac:dyDescent="0.25">
      <c r="A1049" s="81">
        <f>EDATE($H$1048,-12)+1</f>
        <v>45931</v>
      </c>
      <c r="B1049" s="81">
        <f>$H$1048+1</f>
        <v>46296</v>
      </c>
      <c r="C1049" s="81">
        <f>DATE(nr_PlanYear,12,31)+1</f>
        <v>46753</v>
      </c>
      <c r="D1049" s="81">
        <f>DATE(nr_PlanYear+1,12,31)+1</f>
        <v>47119</v>
      </c>
      <c r="E1049" s="81">
        <f>IF(N($J$1048)=0,$F$1049-($G$1049-$F$1049)/($C$1049-$B$1049)*($B$1049-$A$1049),$J$1048)</f>
        <v>0.89801969365426693</v>
      </c>
      <c r="F1049" s="81">
        <f>$G$1048</f>
        <v>0.91</v>
      </c>
      <c r="G1049" s="81">
        <f>$I$1048</f>
        <v>0.92500000000000004</v>
      </c>
      <c r="H1049" s="81">
        <f>IF(N($K$1048)=0,$I$1048,$K$1048)</f>
        <v>0.92500000000000004</v>
      </c>
      <c r="I1049" s="81">
        <f>($F$1049-$E$1049)/($B$1049-$A$1049)</f>
        <v>3.2822757111597549E-5</v>
      </c>
      <c r="J1049" s="81">
        <f>($G$1049-$F$1049)/($C$1049-$B$1049)</f>
        <v>3.2822757111597407E-5</v>
      </c>
      <c r="K1049" s="81">
        <f>($H$1049-$G$1049)/($D$1049-$C$1049)</f>
        <v>0</v>
      </c>
    </row>
    <row r="1050" spans="1:21" ht="36" x14ac:dyDescent="0.25">
      <c r="A1050" s="50" t="s">
        <v>211</v>
      </c>
      <c r="B1050" s="50" t="s">
        <v>212</v>
      </c>
      <c r="C1050" s="50" t="s">
        <v>213</v>
      </c>
      <c r="D1050" s="50" t="s">
        <v>214</v>
      </c>
      <c r="E1050" s="50" t="s">
        <v>215</v>
      </c>
      <c r="F1050" s="50" t="s">
        <v>216</v>
      </c>
      <c r="G1050" s="50" t="s">
        <v>217</v>
      </c>
      <c r="H1050" s="50" t="s">
        <v>218</v>
      </c>
      <c r="I1050" s="50" t="s">
        <v>219</v>
      </c>
      <c r="J1050" s="50" t="s">
        <v>220</v>
      </c>
      <c r="K1050" s="50" t="s">
        <v>221</v>
      </c>
      <c r="L1050" s="50" t="s">
        <v>222</v>
      </c>
      <c r="M1050" s="50" t="s">
        <v>223</v>
      </c>
      <c r="N1050" s="50" t="s">
        <v>224</v>
      </c>
      <c r="O1050" s="50" t="s">
        <v>225</v>
      </c>
      <c r="P1050" s="50" t="s">
        <v>226</v>
      </c>
      <c r="Q1050" s="50" t="s">
        <v>227</v>
      </c>
      <c r="R1050" s="50" t="s">
        <v>228</v>
      </c>
      <c r="S1050" s="50" t="s">
        <v>229</v>
      </c>
      <c r="T1050" s="50" t="s">
        <v>230</v>
      </c>
      <c r="U1050" s="50" t="s">
        <v>231</v>
      </c>
    </row>
    <row r="1051" spans="1:21" x14ac:dyDescent="0.25">
      <c r="A1051" s="71">
        <v>1</v>
      </c>
      <c r="B1051" s="72">
        <f>DATE(nr_PlanYear-2,1,1)</f>
        <v>45658</v>
      </c>
      <c r="C1051" s="73">
        <f t="shared" ref="C1051:C1098" si="394">EOMONTH($B1051,0)</f>
        <v>45688</v>
      </c>
      <c r="D1051" s="67">
        <f t="shared" ref="D1051:D1098" si="395">$C1051-$B1051+1</f>
        <v>31</v>
      </c>
      <c r="E1051" s="67">
        <f t="shared" ref="E1051:E1098" si="396">MONTH($B1051)</f>
        <v>1</v>
      </c>
      <c r="F1051" s="74">
        <f t="shared" ref="F1051:F1098" si="397">($B1051+$C1051+1)/2</f>
        <v>45673.5</v>
      </c>
      <c r="G1051" s="67">
        <f t="shared" ref="G1051:G1098" si="398">YEAR($B1051)*12+MONTH($B1051)-1</f>
        <v>24300</v>
      </c>
      <c r="H1051" s="75">
        <f t="shared" ref="H1051:H1098" si="399">IF(OR(nr_SeasonOn="OFF",$D$1048=0,$E$1048=0),1,12*INDEX(se_block,$D$1048,$E1051)/$E$1048)</f>
        <v>1</v>
      </c>
      <c r="I1051" s="76">
        <f t="shared" ref="I1051:I1098" si="400">EXP(SUMPRODUCT((rl_eff&lt;$B1051)*(rl_key=$A$1048)*rl_ln1p))</f>
        <v>1</v>
      </c>
      <c r="J1051" s="76">
        <f t="shared" ref="J1051:J1098" si="401">EXP(SUMPRODUCT((rl_eff&lt;=$C1051)*(rl_key=$A$1048)*rl_ln1p))</f>
        <v>1</v>
      </c>
      <c r="K1051" s="67">
        <f t="shared" ref="K1051:K1098" si="402">COUNTIFS(rl_key,$A$1048,rl_eff,"&gt;="&amp;$B1051,rl_eff,"&lt;="&amp;$C1051)</f>
        <v>0</v>
      </c>
      <c r="L1051" s="67">
        <f t="shared" ref="L1051:L1098" si="403">SUMIFS(rl_daysafter,rl_key,$A$1048,rl_effmonth,$B1051,rl_first,1)</f>
        <v>0</v>
      </c>
      <c r="M1051" s="77">
        <f t="shared" ref="M1051:M1098" si="404">IF($K1051=0,0,MIN(1,$L1051/$D1051))</f>
        <v>0</v>
      </c>
      <c r="N1051" s="76">
        <f t="shared" ref="N1051:N1098" si="405">IF($K1051=0,$J1051,(1-$M1051)*$I1051+$M1051*$J1051)</f>
        <v>1</v>
      </c>
      <c r="O1051" s="77">
        <f t="shared" ref="O1051:O1098" si="406">IF($F1051&lt;$B$1049,$E$1049+$I$1049*($F1051-$A$1049),IF($F1051&lt;$C$1049,$F$1049+$J$1049*($F1051-$B$1049),$G$1049+$K$1049*($F1051-$C$1049)))</f>
        <v>0.88956783369803061</v>
      </c>
      <c r="P1051" s="76">
        <f t="shared" ref="P1051:P1098" si="407">MIN(1,MAX(0,(nr_MEndPm1-$G1051+0.5)/$C$1048))-MIN(1,MAX(0,(nr_MStartPm1-1-$G1051+0.5)/$C$1048))</f>
        <v>0</v>
      </c>
      <c r="Q1051" s="76">
        <f t="shared" ref="Q1051:Q1098" si="408">MIN(1,MAX(0,(nr_MEndP-$G1051+0.5)/$C$1048))-MIN(1,MAX(0,(nr_MStartP-1-$G1051+0.5)/$C$1048))</f>
        <v>0</v>
      </c>
      <c r="R1051" s="76">
        <f t="shared" ref="R1051:R1098" si="409">MIN(1,MAX(0,(nr_MEndP1-$G1051+0.5)/$C$1048))-MIN(1,MAX(0,(nr_MStartP1-1-$G1051+0.5)/$C$1048))</f>
        <v>0</v>
      </c>
      <c r="S1051" s="76">
        <f t="shared" ref="S1051:S1098" si="410">$N1051*IF($O$1048=1,$O1051/$F$1048,1)</f>
        <v>0.96692155836742455</v>
      </c>
      <c r="T1051" s="76">
        <f t="shared" ref="T1051:T1098" si="411">IF($G1051&lt;nr_MStartP,$S1051,$T1039*(1+IF($G1051&lt;nr_MStartP1,$M$1048,$N$1048)))</f>
        <v>0.96692155836742455</v>
      </c>
      <c r="U1051" s="76">
        <f t="shared" ref="U1051:U1098" si="412">IF($L$1048,$T1051,$N1051)</f>
        <v>1</v>
      </c>
    </row>
    <row r="1052" spans="1:21" x14ac:dyDescent="0.25">
      <c r="A1052" s="71">
        <v>2</v>
      </c>
      <c r="B1052" s="72">
        <f t="shared" ref="B1052:B1098" si="413">EDATE($B1051,1)</f>
        <v>45689</v>
      </c>
      <c r="C1052" s="73">
        <f t="shared" si="394"/>
        <v>45716</v>
      </c>
      <c r="D1052" s="67">
        <f t="shared" si="395"/>
        <v>28</v>
      </c>
      <c r="E1052" s="67">
        <f t="shared" si="396"/>
        <v>2</v>
      </c>
      <c r="F1052" s="74">
        <f t="shared" si="397"/>
        <v>45703</v>
      </c>
      <c r="G1052" s="67">
        <f t="shared" si="398"/>
        <v>24301</v>
      </c>
      <c r="H1052" s="75">
        <f t="shared" si="399"/>
        <v>1</v>
      </c>
      <c r="I1052" s="76">
        <f t="shared" si="400"/>
        <v>1</v>
      </c>
      <c r="J1052" s="76">
        <f t="shared" si="401"/>
        <v>1</v>
      </c>
      <c r="K1052" s="67">
        <f t="shared" si="402"/>
        <v>0</v>
      </c>
      <c r="L1052" s="67">
        <f t="shared" si="403"/>
        <v>0</v>
      </c>
      <c r="M1052" s="77">
        <f t="shared" si="404"/>
        <v>0</v>
      </c>
      <c r="N1052" s="76">
        <f t="shared" si="405"/>
        <v>1</v>
      </c>
      <c r="O1052" s="77">
        <f t="shared" si="406"/>
        <v>0.89053610503282266</v>
      </c>
      <c r="P1052" s="76">
        <f t="shared" si="407"/>
        <v>0</v>
      </c>
      <c r="Q1052" s="76">
        <f t="shared" si="408"/>
        <v>0</v>
      </c>
      <c r="R1052" s="76">
        <f t="shared" si="409"/>
        <v>0</v>
      </c>
      <c r="S1052" s="76">
        <f t="shared" si="410"/>
        <v>0.9679740272095898</v>
      </c>
      <c r="T1052" s="76">
        <f t="shared" si="411"/>
        <v>0.9679740272095898</v>
      </c>
      <c r="U1052" s="76">
        <f t="shared" si="412"/>
        <v>1</v>
      </c>
    </row>
    <row r="1053" spans="1:21" x14ac:dyDescent="0.25">
      <c r="A1053" s="71">
        <v>3</v>
      </c>
      <c r="B1053" s="72">
        <f t="shared" si="413"/>
        <v>45717</v>
      </c>
      <c r="C1053" s="73">
        <f t="shared" si="394"/>
        <v>45747</v>
      </c>
      <c r="D1053" s="67">
        <f t="shared" si="395"/>
        <v>31</v>
      </c>
      <c r="E1053" s="67">
        <f t="shared" si="396"/>
        <v>3</v>
      </c>
      <c r="F1053" s="74">
        <f t="shared" si="397"/>
        <v>45732.5</v>
      </c>
      <c r="G1053" s="67">
        <f t="shared" si="398"/>
        <v>24302</v>
      </c>
      <c r="H1053" s="75">
        <f t="shared" si="399"/>
        <v>1</v>
      </c>
      <c r="I1053" s="76">
        <f t="shared" si="400"/>
        <v>1</v>
      </c>
      <c r="J1053" s="76">
        <f t="shared" si="401"/>
        <v>1</v>
      </c>
      <c r="K1053" s="67">
        <f t="shared" si="402"/>
        <v>0</v>
      </c>
      <c r="L1053" s="67">
        <f t="shared" si="403"/>
        <v>0</v>
      </c>
      <c r="M1053" s="77">
        <f t="shared" si="404"/>
        <v>0</v>
      </c>
      <c r="N1053" s="76">
        <f t="shared" si="405"/>
        <v>1</v>
      </c>
      <c r="O1053" s="77">
        <f t="shared" si="406"/>
        <v>0.89150437636761481</v>
      </c>
      <c r="P1053" s="76">
        <f t="shared" si="407"/>
        <v>0</v>
      </c>
      <c r="Q1053" s="76">
        <f t="shared" si="408"/>
        <v>0</v>
      </c>
      <c r="R1053" s="76">
        <f t="shared" si="409"/>
        <v>0</v>
      </c>
      <c r="S1053" s="76">
        <f t="shared" si="410"/>
        <v>0.96902649605175517</v>
      </c>
      <c r="T1053" s="76">
        <f t="shared" si="411"/>
        <v>0.96902649605175517</v>
      </c>
      <c r="U1053" s="76">
        <f t="shared" si="412"/>
        <v>1</v>
      </c>
    </row>
    <row r="1054" spans="1:21" x14ac:dyDescent="0.25">
      <c r="A1054" s="71">
        <v>4</v>
      </c>
      <c r="B1054" s="72">
        <f t="shared" si="413"/>
        <v>45748</v>
      </c>
      <c r="C1054" s="73">
        <f t="shared" si="394"/>
        <v>45777</v>
      </c>
      <c r="D1054" s="67">
        <f t="shared" si="395"/>
        <v>30</v>
      </c>
      <c r="E1054" s="67">
        <f t="shared" si="396"/>
        <v>4</v>
      </c>
      <c r="F1054" s="74">
        <f t="shared" si="397"/>
        <v>45763</v>
      </c>
      <c r="G1054" s="67">
        <f t="shared" si="398"/>
        <v>24303</v>
      </c>
      <c r="H1054" s="75">
        <f t="shared" si="399"/>
        <v>1</v>
      </c>
      <c r="I1054" s="76">
        <f t="shared" si="400"/>
        <v>1</v>
      </c>
      <c r="J1054" s="76">
        <f t="shared" si="401"/>
        <v>1</v>
      </c>
      <c r="K1054" s="67">
        <f t="shared" si="402"/>
        <v>0</v>
      </c>
      <c r="L1054" s="67">
        <f t="shared" si="403"/>
        <v>0</v>
      </c>
      <c r="M1054" s="77">
        <f t="shared" si="404"/>
        <v>0</v>
      </c>
      <c r="N1054" s="76">
        <f t="shared" si="405"/>
        <v>1</v>
      </c>
      <c r="O1054" s="77">
        <f t="shared" si="406"/>
        <v>0.89250547045951856</v>
      </c>
      <c r="P1054" s="76">
        <f t="shared" si="407"/>
        <v>0</v>
      </c>
      <c r="Q1054" s="76">
        <f t="shared" si="408"/>
        <v>0</v>
      </c>
      <c r="R1054" s="76">
        <f t="shared" si="409"/>
        <v>0</v>
      </c>
      <c r="S1054" s="76">
        <f t="shared" si="410"/>
        <v>0.97011464180382445</v>
      </c>
      <c r="T1054" s="76">
        <f t="shared" si="411"/>
        <v>0.97011464180382445</v>
      </c>
      <c r="U1054" s="76">
        <f t="shared" si="412"/>
        <v>1</v>
      </c>
    </row>
    <row r="1055" spans="1:21" x14ac:dyDescent="0.25">
      <c r="A1055" s="71">
        <v>5</v>
      </c>
      <c r="B1055" s="72">
        <f t="shared" si="413"/>
        <v>45778</v>
      </c>
      <c r="C1055" s="73">
        <f t="shared" si="394"/>
        <v>45808</v>
      </c>
      <c r="D1055" s="67">
        <f t="shared" si="395"/>
        <v>31</v>
      </c>
      <c r="E1055" s="67">
        <f t="shared" si="396"/>
        <v>5</v>
      </c>
      <c r="F1055" s="74">
        <f t="shared" si="397"/>
        <v>45793.5</v>
      </c>
      <c r="G1055" s="67">
        <f t="shared" si="398"/>
        <v>24304</v>
      </c>
      <c r="H1055" s="75">
        <f t="shared" si="399"/>
        <v>1</v>
      </c>
      <c r="I1055" s="76">
        <f t="shared" si="400"/>
        <v>1</v>
      </c>
      <c r="J1055" s="76">
        <f t="shared" si="401"/>
        <v>1</v>
      </c>
      <c r="K1055" s="67">
        <f t="shared" si="402"/>
        <v>0</v>
      </c>
      <c r="L1055" s="67">
        <f t="shared" si="403"/>
        <v>0</v>
      </c>
      <c r="M1055" s="77">
        <f t="shared" si="404"/>
        <v>0</v>
      </c>
      <c r="N1055" s="76">
        <f t="shared" si="405"/>
        <v>1</v>
      </c>
      <c r="O1055" s="77">
        <f t="shared" si="406"/>
        <v>0.8935065645514223</v>
      </c>
      <c r="P1055" s="76">
        <f t="shared" si="407"/>
        <v>0</v>
      </c>
      <c r="Q1055" s="76">
        <f t="shared" si="408"/>
        <v>0</v>
      </c>
      <c r="R1055" s="76">
        <f t="shared" si="409"/>
        <v>0</v>
      </c>
      <c r="S1055" s="76">
        <f t="shared" si="410"/>
        <v>0.97120278755589373</v>
      </c>
      <c r="T1055" s="76">
        <f t="shared" si="411"/>
        <v>0.97120278755589373</v>
      </c>
      <c r="U1055" s="76">
        <f t="shared" si="412"/>
        <v>1</v>
      </c>
    </row>
    <row r="1056" spans="1:21" x14ac:dyDescent="0.25">
      <c r="A1056" s="71">
        <v>6</v>
      </c>
      <c r="B1056" s="72">
        <f t="shared" si="413"/>
        <v>45809</v>
      </c>
      <c r="C1056" s="73">
        <f t="shared" si="394"/>
        <v>45838</v>
      </c>
      <c r="D1056" s="67">
        <f t="shared" si="395"/>
        <v>30</v>
      </c>
      <c r="E1056" s="67">
        <f t="shared" si="396"/>
        <v>6</v>
      </c>
      <c r="F1056" s="74">
        <f t="shared" si="397"/>
        <v>45824</v>
      </c>
      <c r="G1056" s="67">
        <f t="shared" si="398"/>
        <v>24305</v>
      </c>
      <c r="H1056" s="75">
        <f t="shared" si="399"/>
        <v>1</v>
      </c>
      <c r="I1056" s="76">
        <f t="shared" si="400"/>
        <v>1</v>
      </c>
      <c r="J1056" s="76">
        <f t="shared" si="401"/>
        <v>1</v>
      </c>
      <c r="K1056" s="67">
        <f t="shared" si="402"/>
        <v>0</v>
      </c>
      <c r="L1056" s="67">
        <f t="shared" si="403"/>
        <v>0</v>
      </c>
      <c r="M1056" s="77">
        <f t="shared" si="404"/>
        <v>0</v>
      </c>
      <c r="N1056" s="76">
        <f t="shared" si="405"/>
        <v>1</v>
      </c>
      <c r="O1056" s="77">
        <f t="shared" si="406"/>
        <v>0.89450765864332604</v>
      </c>
      <c r="P1056" s="76">
        <f t="shared" si="407"/>
        <v>0</v>
      </c>
      <c r="Q1056" s="76">
        <f t="shared" si="408"/>
        <v>0</v>
      </c>
      <c r="R1056" s="76">
        <f t="shared" si="409"/>
        <v>0</v>
      </c>
      <c r="S1056" s="76">
        <f t="shared" si="410"/>
        <v>0.97229093330796301</v>
      </c>
      <c r="T1056" s="76">
        <f t="shared" si="411"/>
        <v>0.97229093330796301</v>
      </c>
      <c r="U1056" s="76">
        <f t="shared" si="412"/>
        <v>1</v>
      </c>
    </row>
    <row r="1057" spans="1:21" x14ac:dyDescent="0.25">
      <c r="A1057" s="71">
        <v>7</v>
      </c>
      <c r="B1057" s="72">
        <f t="shared" si="413"/>
        <v>45839</v>
      </c>
      <c r="C1057" s="73">
        <f t="shared" si="394"/>
        <v>45869</v>
      </c>
      <c r="D1057" s="67">
        <f t="shared" si="395"/>
        <v>31</v>
      </c>
      <c r="E1057" s="67">
        <f t="shared" si="396"/>
        <v>7</v>
      </c>
      <c r="F1057" s="74">
        <f t="shared" si="397"/>
        <v>45854.5</v>
      </c>
      <c r="G1057" s="67">
        <f t="shared" si="398"/>
        <v>24306</v>
      </c>
      <c r="H1057" s="75">
        <f t="shared" si="399"/>
        <v>1</v>
      </c>
      <c r="I1057" s="76">
        <f t="shared" si="400"/>
        <v>1</v>
      </c>
      <c r="J1057" s="76">
        <f t="shared" si="401"/>
        <v>1</v>
      </c>
      <c r="K1057" s="67">
        <f t="shared" si="402"/>
        <v>0</v>
      </c>
      <c r="L1057" s="67">
        <f t="shared" si="403"/>
        <v>0</v>
      </c>
      <c r="M1057" s="77">
        <f t="shared" si="404"/>
        <v>0</v>
      </c>
      <c r="N1057" s="76">
        <f t="shared" si="405"/>
        <v>1</v>
      </c>
      <c r="O1057" s="77">
        <f t="shared" si="406"/>
        <v>0.89550875273522967</v>
      </c>
      <c r="P1057" s="76">
        <f t="shared" si="407"/>
        <v>8.333333333333337E-2</v>
      </c>
      <c r="Q1057" s="76">
        <f t="shared" si="408"/>
        <v>0</v>
      </c>
      <c r="R1057" s="76">
        <f t="shared" si="409"/>
        <v>0</v>
      </c>
      <c r="S1057" s="76">
        <f t="shared" si="410"/>
        <v>0.97337907906003218</v>
      </c>
      <c r="T1057" s="76">
        <f t="shared" si="411"/>
        <v>0.97337907906003218</v>
      </c>
      <c r="U1057" s="76">
        <f t="shared" si="412"/>
        <v>1</v>
      </c>
    </row>
    <row r="1058" spans="1:21" x14ac:dyDescent="0.25">
      <c r="A1058" s="71">
        <v>8</v>
      </c>
      <c r="B1058" s="72">
        <f t="shared" si="413"/>
        <v>45870</v>
      </c>
      <c r="C1058" s="73">
        <f t="shared" si="394"/>
        <v>45900</v>
      </c>
      <c r="D1058" s="67">
        <f t="shared" si="395"/>
        <v>31</v>
      </c>
      <c r="E1058" s="67">
        <f t="shared" si="396"/>
        <v>8</v>
      </c>
      <c r="F1058" s="74">
        <f t="shared" si="397"/>
        <v>45885.5</v>
      </c>
      <c r="G1058" s="67">
        <f t="shared" si="398"/>
        <v>24307</v>
      </c>
      <c r="H1058" s="75">
        <f t="shared" si="399"/>
        <v>1</v>
      </c>
      <c r="I1058" s="76">
        <f t="shared" si="400"/>
        <v>1</v>
      </c>
      <c r="J1058" s="76">
        <f t="shared" si="401"/>
        <v>1</v>
      </c>
      <c r="K1058" s="67">
        <f t="shared" si="402"/>
        <v>0</v>
      </c>
      <c r="L1058" s="67">
        <f t="shared" si="403"/>
        <v>0</v>
      </c>
      <c r="M1058" s="77">
        <f t="shared" si="404"/>
        <v>0</v>
      </c>
      <c r="N1058" s="76">
        <f t="shared" si="405"/>
        <v>1</v>
      </c>
      <c r="O1058" s="77">
        <f t="shared" si="406"/>
        <v>0.89652625820568921</v>
      </c>
      <c r="P1058" s="76">
        <f t="shared" si="407"/>
        <v>0.25</v>
      </c>
      <c r="Q1058" s="76">
        <f t="shared" si="408"/>
        <v>0</v>
      </c>
      <c r="R1058" s="76">
        <f t="shared" si="409"/>
        <v>0</v>
      </c>
      <c r="S1058" s="76">
        <f t="shared" si="410"/>
        <v>0.97448506326705342</v>
      </c>
      <c r="T1058" s="76">
        <f t="shared" si="411"/>
        <v>0.97448506326705342</v>
      </c>
      <c r="U1058" s="76">
        <f t="shared" si="412"/>
        <v>1</v>
      </c>
    </row>
    <row r="1059" spans="1:21" x14ac:dyDescent="0.25">
      <c r="A1059" s="71">
        <v>9</v>
      </c>
      <c r="B1059" s="72">
        <f t="shared" si="413"/>
        <v>45901</v>
      </c>
      <c r="C1059" s="73">
        <f t="shared" si="394"/>
        <v>45930</v>
      </c>
      <c r="D1059" s="67">
        <f t="shared" si="395"/>
        <v>30</v>
      </c>
      <c r="E1059" s="67">
        <f t="shared" si="396"/>
        <v>9</v>
      </c>
      <c r="F1059" s="74">
        <f t="shared" si="397"/>
        <v>45916</v>
      </c>
      <c r="G1059" s="67">
        <f t="shared" si="398"/>
        <v>24308</v>
      </c>
      <c r="H1059" s="75">
        <f t="shared" si="399"/>
        <v>1</v>
      </c>
      <c r="I1059" s="76">
        <f t="shared" si="400"/>
        <v>1</v>
      </c>
      <c r="J1059" s="76">
        <f t="shared" si="401"/>
        <v>1</v>
      </c>
      <c r="K1059" s="67">
        <f t="shared" si="402"/>
        <v>0</v>
      </c>
      <c r="L1059" s="67">
        <f t="shared" si="403"/>
        <v>0</v>
      </c>
      <c r="M1059" s="77">
        <f t="shared" si="404"/>
        <v>0</v>
      </c>
      <c r="N1059" s="76">
        <f t="shared" si="405"/>
        <v>1</v>
      </c>
      <c r="O1059" s="77">
        <f t="shared" si="406"/>
        <v>0.89752735229759295</v>
      </c>
      <c r="P1059" s="76">
        <f t="shared" si="407"/>
        <v>0.41666666666666663</v>
      </c>
      <c r="Q1059" s="76">
        <f t="shared" si="408"/>
        <v>0</v>
      </c>
      <c r="R1059" s="76">
        <f t="shared" si="409"/>
        <v>0</v>
      </c>
      <c r="S1059" s="76">
        <f t="shared" si="410"/>
        <v>0.9755732090191227</v>
      </c>
      <c r="T1059" s="76">
        <f t="shared" si="411"/>
        <v>0.9755732090191227</v>
      </c>
      <c r="U1059" s="76">
        <f t="shared" si="412"/>
        <v>1</v>
      </c>
    </row>
    <row r="1060" spans="1:21" x14ac:dyDescent="0.25">
      <c r="A1060" s="71">
        <v>10</v>
      </c>
      <c r="B1060" s="72">
        <f t="shared" si="413"/>
        <v>45931</v>
      </c>
      <c r="C1060" s="73">
        <f t="shared" si="394"/>
        <v>45961</v>
      </c>
      <c r="D1060" s="67">
        <f t="shared" si="395"/>
        <v>31</v>
      </c>
      <c r="E1060" s="67">
        <f t="shared" si="396"/>
        <v>10</v>
      </c>
      <c r="F1060" s="74">
        <f t="shared" si="397"/>
        <v>45946.5</v>
      </c>
      <c r="G1060" s="67">
        <f t="shared" si="398"/>
        <v>24309</v>
      </c>
      <c r="H1060" s="75">
        <f t="shared" si="399"/>
        <v>1</v>
      </c>
      <c r="I1060" s="76">
        <f t="shared" si="400"/>
        <v>1</v>
      </c>
      <c r="J1060" s="76">
        <f t="shared" si="401"/>
        <v>1</v>
      </c>
      <c r="K1060" s="67">
        <f t="shared" si="402"/>
        <v>0</v>
      </c>
      <c r="L1060" s="67">
        <f t="shared" si="403"/>
        <v>0</v>
      </c>
      <c r="M1060" s="77">
        <f t="shared" si="404"/>
        <v>0</v>
      </c>
      <c r="N1060" s="76">
        <f t="shared" si="405"/>
        <v>1</v>
      </c>
      <c r="O1060" s="77">
        <f t="shared" si="406"/>
        <v>0.89852844638949669</v>
      </c>
      <c r="P1060" s="76">
        <f t="shared" si="407"/>
        <v>0.58333333333333326</v>
      </c>
      <c r="Q1060" s="76">
        <f t="shared" si="408"/>
        <v>0</v>
      </c>
      <c r="R1060" s="76">
        <f t="shared" si="409"/>
        <v>0</v>
      </c>
      <c r="S1060" s="76">
        <f t="shared" si="410"/>
        <v>0.97666135477119198</v>
      </c>
      <c r="T1060" s="76">
        <f t="shared" si="411"/>
        <v>0.97666135477119198</v>
      </c>
      <c r="U1060" s="76">
        <f t="shared" si="412"/>
        <v>1</v>
      </c>
    </row>
    <row r="1061" spans="1:21" x14ac:dyDescent="0.25">
      <c r="A1061" s="71">
        <v>11</v>
      </c>
      <c r="B1061" s="72">
        <f t="shared" si="413"/>
        <v>45962</v>
      </c>
      <c r="C1061" s="73">
        <f t="shared" si="394"/>
        <v>45991</v>
      </c>
      <c r="D1061" s="67">
        <f t="shared" si="395"/>
        <v>30</v>
      </c>
      <c r="E1061" s="67">
        <f t="shared" si="396"/>
        <v>11</v>
      </c>
      <c r="F1061" s="74">
        <f t="shared" si="397"/>
        <v>45977</v>
      </c>
      <c r="G1061" s="67">
        <f t="shared" si="398"/>
        <v>24310</v>
      </c>
      <c r="H1061" s="75">
        <f t="shared" si="399"/>
        <v>1</v>
      </c>
      <c r="I1061" s="76">
        <f t="shared" si="400"/>
        <v>1</v>
      </c>
      <c r="J1061" s="76">
        <f t="shared" si="401"/>
        <v>1</v>
      </c>
      <c r="K1061" s="67">
        <f t="shared" si="402"/>
        <v>0</v>
      </c>
      <c r="L1061" s="67">
        <f t="shared" si="403"/>
        <v>0</v>
      </c>
      <c r="M1061" s="77">
        <f t="shared" si="404"/>
        <v>0</v>
      </c>
      <c r="N1061" s="76">
        <f t="shared" si="405"/>
        <v>1</v>
      </c>
      <c r="O1061" s="77">
        <f t="shared" si="406"/>
        <v>0.89952954048140044</v>
      </c>
      <c r="P1061" s="76">
        <f t="shared" si="407"/>
        <v>0.75</v>
      </c>
      <c r="Q1061" s="76">
        <f t="shared" si="408"/>
        <v>0</v>
      </c>
      <c r="R1061" s="76">
        <f t="shared" si="409"/>
        <v>0</v>
      </c>
      <c r="S1061" s="76">
        <f t="shared" si="410"/>
        <v>0.97774950052326126</v>
      </c>
      <c r="T1061" s="76">
        <f t="shared" si="411"/>
        <v>0.97774950052326126</v>
      </c>
      <c r="U1061" s="76">
        <f t="shared" si="412"/>
        <v>1</v>
      </c>
    </row>
    <row r="1062" spans="1:21" x14ac:dyDescent="0.25">
      <c r="A1062" s="71">
        <v>12</v>
      </c>
      <c r="B1062" s="72">
        <f t="shared" si="413"/>
        <v>45992</v>
      </c>
      <c r="C1062" s="73">
        <f t="shared" si="394"/>
        <v>46022</v>
      </c>
      <c r="D1062" s="67">
        <f t="shared" si="395"/>
        <v>31</v>
      </c>
      <c r="E1062" s="67">
        <f t="shared" si="396"/>
        <v>12</v>
      </c>
      <c r="F1062" s="74">
        <f t="shared" si="397"/>
        <v>46007.5</v>
      </c>
      <c r="G1062" s="67">
        <f t="shared" si="398"/>
        <v>24311</v>
      </c>
      <c r="H1062" s="75">
        <f t="shared" si="399"/>
        <v>1</v>
      </c>
      <c r="I1062" s="76">
        <f t="shared" si="400"/>
        <v>1</v>
      </c>
      <c r="J1062" s="76">
        <f t="shared" si="401"/>
        <v>1</v>
      </c>
      <c r="K1062" s="67">
        <f t="shared" si="402"/>
        <v>0</v>
      </c>
      <c r="L1062" s="67">
        <f t="shared" si="403"/>
        <v>0</v>
      </c>
      <c r="M1062" s="77">
        <f t="shared" si="404"/>
        <v>0</v>
      </c>
      <c r="N1062" s="76">
        <f t="shared" si="405"/>
        <v>1</v>
      </c>
      <c r="O1062" s="77">
        <f t="shared" si="406"/>
        <v>0.90053063457330418</v>
      </c>
      <c r="P1062" s="76">
        <f t="shared" si="407"/>
        <v>0.91666666666666663</v>
      </c>
      <c r="Q1062" s="76">
        <f t="shared" si="408"/>
        <v>0</v>
      </c>
      <c r="R1062" s="76">
        <f t="shared" si="409"/>
        <v>0</v>
      </c>
      <c r="S1062" s="76">
        <f t="shared" si="410"/>
        <v>0.97883764627533054</v>
      </c>
      <c r="T1062" s="76">
        <f t="shared" si="411"/>
        <v>0.97883764627533054</v>
      </c>
      <c r="U1062" s="76">
        <f t="shared" si="412"/>
        <v>1</v>
      </c>
    </row>
    <row r="1063" spans="1:21" x14ac:dyDescent="0.25">
      <c r="A1063" s="71">
        <v>13</v>
      </c>
      <c r="B1063" s="72">
        <f t="shared" si="413"/>
        <v>46023</v>
      </c>
      <c r="C1063" s="73">
        <f t="shared" si="394"/>
        <v>46053</v>
      </c>
      <c r="D1063" s="67">
        <f t="shared" si="395"/>
        <v>31</v>
      </c>
      <c r="E1063" s="67">
        <f t="shared" si="396"/>
        <v>1</v>
      </c>
      <c r="F1063" s="74">
        <f t="shared" si="397"/>
        <v>46038.5</v>
      </c>
      <c r="G1063" s="67">
        <f t="shared" si="398"/>
        <v>24312</v>
      </c>
      <c r="H1063" s="75">
        <f t="shared" si="399"/>
        <v>1</v>
      </c>
      <c r="I1063" s="76">
        <f t="shared" si="400"/>
        <v>1</v>
      </c>
      <c r="J1063" s="76">
        <f t="shared" si="401"/>
        <v>1</v>
      </c>
      <c r="K1063" s="67">
        <f t="shared" si="402"/>
        <v>0</v>
      </c>
      <c r="L1063" s="67">
        <f t="shared" si="403"/>
        <v>0</v>
      </c>
      <c r="M1063" s="77">
        <f t="shared" si="404"/>
        <v>0</v>
      </c>
      <c r="N1063" s="76">
        <f t="shared" si="405"/>
        <v>1</v>
      </c>
      <c r="O1063" s="77">
        <f t="shared" si="406"/>
        <v>0.90154814004376371</v>
      </c>
      <c r="P1063" s="76">
        <f t="shared" si="407"/>
        <v>1</v>
      </c>
      <c r="Q1063" s="76">
        <f t="shared" si="408"/>
        <v>0</v>
      </c>
      <c r="R1063" s="76">
        <f t="shared" si="409"/>
        <v>0</v>
      </c>
      <c r="S1063" s="76">
        <f t="shared" si="410"/>
        <v>0.97994363048235178</v>
      </c>
      <c r="T1063" s="76">
        <f t="shared" si="411"/>
        <v>0.97994363048235178</v>
      </c>
      <c r="U1063" s="76">
        <f t="shared" si="412"/>
        <v>1</v>
      </c>
    </row>
    <row r="1064" spans="1:21" x14ac:dyDescent="0.25">
      <c r="A1064" s="71">
        <v>14</v>
      </c>
      <c r="B1064" s="72">
        <f t="shared" si="413"/>
        <v>46054</v>
      </c>
      <c r="C1064" s="73">
        <f t="shared" si="394"/>
        <v>46081</v>
      </c>
      <c r="D1064" s="67">
        <f t="shared" si="395"/>
        <v>28</v>
      </c>
      <c r="E1064" s="67">
        <f t="shared" si="396"/>
        <v>2</v>
      </c>
      <c r="F1064" s="74">
        <f t="shared" si="397"/>
        <v>46068</v>
      </c>
      <c r="G1064" s="67">
        <f t="shared" si="398"/>
        <v>24313</v>
      </c>
      <c r="H1064" s="75">
        <f t="shared" si="399"/>
        <v>1</v>
      </c>
      <c r="I1064" s="76">
        <f t="shared" si="400"/>
        <v>1</v>
      </c>
      <c r="J1064" s="76">
        <f t="shared" si="401"/>
        <v>1</v>
      </c>
      <c r="K1064" s="67">
        <f t="shared" si="402"/>
        <v>0</v>
      </c>
      <c r="L1064" s="67">
        <f t="shared" si="403"/>
        <v>0</v>
      </c>
      <c r="M1064" s="77">
        <f t="shared" si="404"/>
        <v>0</v>
      </c>
      <c r="N1064" s="76">
        <f t="shared" si="405"/>
        <v>1</v>
      </c>
      <c r="O1064" s="77">
        <f t="shared" si="406"/>
        <v>0.90251641137855576</v>
      </c>
      <c r="P1064" s="76">
        <f t="shared" si="407"/>
        <v>1</v>
      </c>
      <c r="Q1064" s="76">
        <f t="shared" si="408"/>
        <v>0</v>
      </c>
      <c r="R1064" s="76">
        <f t="shared" si="409"/>
        <v>0</v>
      </c>
      <c r="S1064" s="76">
        <f t="shared" si="410"/>
        <v>0.98099609932451703</v>
      </c>
      <c r="T1064" s="76">
        <f t="shared" si="411"/>
        <v>0.98099609932451703</v>
      </c>
      <c r="U1064" s="76">
        <f t="shared" si="412"/>
        <v>1</v>
      </c>
    </row>
    <row r="1065" spans="1:21" x14ac:dyDescent="0.25">
      <c r="A1065" s="71">
        <v>15</v>
      </c>
      <c r="B1065" s="72">
        <f t="shared" si="413"/>
        <v>46082</v>
      </c>
      <c r="C1065" s="73">
        <f t="shared" si="394"/>
        <v>46112</v>
      </c>
      <c r="D1065" s="67">
        <f t="shared" si="395"/>
        <v>31</v>
      </c>
      <c r="E1065" s="67">
        <f t="shared" si="396"/>
        <v>3</v>
      </c>
      <c r="F1065" s="74">
        <f t="shared" si="397"/>
        <v>46097.5</v>
      </c>
      <c r="G1065" s="67">
        <f t="shared" si="398"/>
        <v>24314</v>
      </c>
      <c r="H1065" s="75">
        <f t="shared" si="399"/>
        <v>1</v>
      </c>
      <c r="I1065" s="76">
        <f t="shared" si="400"/>
        <v>1</v>
      </c>
      <c r="J1065" s="76">
        <f t="shared" si="401"/>
        <v>1</v>
      </c>
      <c r="K1065" s="67">
        <f t="shared" si="402"/>
        <v>0</v>
      </c>
      <c r="L1065" s="67">
        <f t="shared" si="403"/>
        <v>0</v>
      </c>
      <c r="M1065" s="77">
        <f t="shared" si="404"/>
        <v>0</v>
      </c>
      <c r="N1065" s="76">
        <f t="shared" si="405"/>
        <v>1</v>
      </c>
      <c r="O1065" s="77">
        <f t="shared" si="406"/>
        <v>0.90348468271334792</v>
      </c>
      <c r="P1065" s="76">
        <f t="shared" si="407"/>
        <v>1</v>
      </c>
      <c r="Q1065" s="76">
        <f t="shared" si="408"/>
        <v>0</v>
      </c>
      <c r="R1065" s="76">
        <f t="shared" si="409"/>
        <v>0</v>
      </c>
      <c r="S1065" s="76">
        <f t="shared" si="410"/>
        <v>0.98204856816668251</v>
      </c>
      <c r="T1065" s="76">
        <f t="shared" si="411"/>
        <v>0.98204856816668251</v>
      </c>
      <c r="U1065" s="76">
        <f t="shared" si="412"/>
        <v>1</v>
      </c>
    </row>
    <row r="1066" spans="1:21" x14ac:dyDescent="0.25">
      <c r="A1066" s="71">
        <v>16</v>
      </c>
      <c r="B1066" s="72">
        <f t="shared" si="413"/>
        <v>46113</v>
      </c>
      <c r="C1066" s="73">
        <f t="shared" si="394"/>
        <v>46142</v>
      </c>
      <c r="D1066" s="67">
        <f t="shared" si="395"/>
        <v>30</v>
      </c>
      <c r="E1066" s="67">
        <f t="shared" si="396"/>
        <v>4</v>
      </c>
      <c r="F1066" s="74">
        <f t="shared" si="397"/>
        <v>46128</v>
      </c>
      <c r="G1066" s="67">
        <f t="shared" si="398"/>
        <v>24315</v>
      </c>
      <c r="H1066" s="75">
        <f t="shared" si="399"/>
        <v>1</v>
      </c>
      <c r="I1066" s="76">
        <f t="shared" si="400"/>
        <v>1</v>
      </c>
      <c r="J1066" s="76">
        <f t="shared" si="401"/>
        <v>1</v>
      </c>
      <c r="K1066" s="67">
        <f t="shared" si="402"/>
        <v>0</v>
      </c>
      <c r="L1066" s="67">
        <f t="shared" si="403"/>
        <v>0</v>
      </c>
      <c r="M1066" s="77">
        <f t="shared" si="404"/>
        <v>0</v>
      </c>
      <c r="N1066" s="76">
        <f t="shared" si="405"/>
        <v>1</v>
      </c>
      <c r="O1066" s="77">
        <f t="shared" si="406"/>
        <v>0.90448577680525166</v>
      </c>
      <c r="P1066" s="76">
        <f t="shared" si="407"/>
        <v>1</v>
      </c>
      <c r="Q1066" s="76">
        <f t="shared" si="408"/>
        <v>0</v>
      </c>
      <c r="R1066" s="76">
        <f t="shared" si="409"/>
        <v>0</v>
      </c>
      <c r="S1066" s="76">
        <f t="shared" si="410"/>
        <v>0.98313671391875179</v>
      </c>
      <c r="T1066" s="76">
        <f t="shared" si="411"/>
        <v>0.98313671391875179</v>
      </c>
      <c r="U1066" s="76">
        <f t="shared" si="412"/>
        <v>1</v>
      </c>
    </row>
    <row r="1067" spans="1:21" x14ac:dyDescent="0.25">
      <c r="A1067" s="71">
        <v>17</v>
      </c>
      <c r="B1067" s="72">
        <f t="shared" si="413"/>
        <v>46143</v>
      </c>
      <c r="C1067" s="73">
        <f t="shared" si="394"/>
        <v>46173</v>
      </c>
      <c r="D1067" s="67">
        <f t="shared" si="395"/>
        <v>31</v>
      </c>
      <c r="E1067" s="67">
        <f t="shared" si="396"/>
        <v>5</v>
      </c>
      <c r="F1067" s="74">
        <f t="shared" si="397"/>
        <v>46158.5</v>
      </c>
      <c r="G1067" s="67">
        <f t="shared" si="398"/>
        <v>24316</v>
      </c>
      <c r="H1067" s="75">
        <f t="shared" si="399"/>
        <v>1</v>
      </c>
      <c r="I1067" s="76">
        <f t="shared" si="400"/>
        <v>1</v>
      </c>
      <c r="J1067" s="76">
        <f t="shared" si="401"/>
        <v>1</v>
      </c>
      <c r="K1067" s="67">
        <f t="shared" si="402"/>
        <v>0</v>
      </c>
      <c r="L1067" s="67">
        <f t="shared" si="403"/>
        <v>0</v>
      </c>
      <c r="M1067" s="77">
        <f t="shared" si="404"/>
        <v>0</v>
      </c>
      <c r="N1067" s="76">
        <f t="shared" si="405"/>
        <v>1</v>
      </c>
      <c r="O1067" s="77">
        <f t="shared" si="406"/>
        <v>0.9054868708971554</v>
      </c>
      <c r="P1067" s="76">
        <f t="shared" si="407"/>
        <v>1</v>
      </c>
      <c r="Q1067" s="76">
        <f t="shared" si="408"/>
        <v>0</v>
      </c>
      <c r="R1067" s="76">
        <f t="shared" si="409"/>
        <v>0</v>
      </c>
      <c r="S1067" s="76">
        <f t="shared" si="410"/>
        <v>0.98422485967082107</v>
      </c>
      <c r="T1067" s="76">
        <f t="shared" si="411"/>
        <v>0.98422485967082107</v>
      </c>
      <c r="U1067" s="76">
        <f t="shared" si="412"/>
        <v>1</v>
      </c>
    </row>
    <row r="1068" spans="1:21" x14ac:dyDescent="0.25">
      <c r="A1068" s="71">
        <v>18</v>
      </c>
      <c r="B1068" s="72">
        <f t="shared" si="413"/>
        <v>46174</v>
      </c>
      <c r="C1068" s="73">
        <f t="shared" si="394"/>
        <v>46203</v>
      </c>
      <c r="D1068" s="67">
        <f t="shared" si="395"/>
        <v>30</v>
      </c>
      <c r="E1068" s="67">
        <f t="shared" si="396"/>
        <v>6</v>
      </c>
      <c r="F1068" s="74">
        <f t="shared" si="397"/>
        <v>46189</v>
      </c>
      <c r="G1068" s="67">
        <f t="shared" si="398"/>
        <v>24317</v>
      </c>
      <c r="H1068" s="75">
        <f t="shared" si="399"/>
        <v>1</v>
      </c>
      <c r="I1068" s="76">
        <f t="shared" si="400"/>
        <v>1</v>
      </c>
      <c r="J1068" s="76">
        <f t="shared" si="401"/>
        <v>1</v>
      </c>
      <c r="K1068" s="67">
        <f t="shared" si="402"/>
        <v>0</v>
      </c>
      <c r="L1068" s="67">
        <f t="shared" si="403"/>
        <v>0</v>
      </c>
      <c r="M1068" s="77">
        <f t="shared" si="404"/>
        <v>0</v>
      </c>
      <c r="N1068" s="76">
        <f t="shared" si="405"/>
        <v>1</v>
      </c>
      <c r="O1068" s="77">
        <f t="shared" si="406"/>
        <v>0.90648796498905915</v>
      </c>
      <c r="P1068" s="76">
        <f t="shared" si="407"/>
        <v>1</v>
      </c>
      <c r="Q1068" s="76">
        <f t="shared" si="408"/>
        <v>0</v>
      </c>
      <c r="R1068" s="76">
        <f t="shared" si="409"/>
        <v>0</v>
      </c>
      <c r="S1068" s="76">
        <f t="shared" si="410"/>
        <v>0.98531300542289035</v>
      </c>
      <c r="T1068" s="76">
        <f t="shared" si="411"/>
        <v>0.98531300542289035</v>
      </c>
      <c r="U1068" s="76">
        <f t="shared" si="412"/>
        <v>1</v>
      </c>
    </row>
    <row r="1069" spans="1:21" x14ac:dyDescent="0.25">
      <c r="A1069" s="71">
        <v>19</v>
      </c>
      <c r="B1069" s="72">
        <f t="shared" si="413"/>
        <v>46204</v>
      </c>
      <c r="C1069" s="73">
        <f t="shared" si="394"/>
        <v>46234</v>
      </c>
      <c r="D1069" s="67">
        <f t="shared" si="395"/>
        <v>31</v>
      </c>
      <c r="E1069" s="67">
        <f t="shared" si="396"/>
        <v>7</v>
      </c>
      <c r="F1069" s="74">
        <f t="shared" si="397"/>
        <v>46219.5</v>
      </c>
      <c r="G1069" s="67">
        <f t="shared" si="398"/>
        <v>24318</v>
      </c>
      <c r="H1069" s="75">
        <f t="shared" si="399"/>
        <v>1</v>
      </c>
      <c r="I1069" s="76">
        <f t="shared" si="400"/>
        <v>1</v>
      </c>
      <c r="J1069" s="76">
        <f t="shared" si="401"/>
        <v>1.05</v>
      </c>
      <c r="K1069" s="67">
        <f t="shared" si="402"/>
        <v>1</v>
      </c>
      <c r="L1069" s="67">
        <f t="shared" si="403"/>
        <v>31</v>
      </c>
      <c r="M1069" s="77">
        <f t="shared" si="404"/>
        <v>1</v>
      </c>
      <c r="N1069" s="76">
        <f t="shared" si="405"/>
        <v>1.05</v>
      </c>
      <c r="O1069" s="77">
        <f t="shared" si="406"/>
        <v>0.90748905908096278</v>
      </c>
      <c r="P1069" s="76">
        <f t="shared" si="407"/>
        <v>0.91666666666666663</v>
      </c>
      <c r="Q1069" s="76">
        <f t="shared" si="408"/>
        <v>8.333333333333337E-2</v>
      </c>
      <c r="R1069" s="76">
        <f t="shared" si="409"/>
        <v>0</v>
      </c>
      <c r="S1069" s="76">
        <f t="shared" si="410"/>
        <v>1.0357212087337075</v>
      </c>
      <c r="T1069" s="76">
        <f t="shared" si="411"/>
        <v>1.0357212087337075</v>
      </c>
      <c r="U1069" s="76">
        <f t="shared" si="412"/>
        <v>1.05</v>
      </c>
    </row>
    <row r="1070" spans="1:21" x14ac:dyDescent="0.25">
      <c r="A1070" s="71">
        <v>20</v>
      </c>
      <c r="B1070" s="72">
        <f t="shared" si="413"/>
        <v>46235</v>
      </c>
      <c r="C1070" s="73">
        <f t="shared" si="394"/>
        <v>46265</v>
      </c>
      <c r="D1070" s="67">
        <f t="shared" si="395"/>
        <v>31</v>
      </c>
      <c r="E1070" s="67">
        <f t="shared" si="396"/>
        <v>8</v>
      </c>
      <c r="F1070" s="74">
        <f t="shared" si="397"/>
        <v>46250.5</v>
      </c>
      <c r="G1070" s="67">
        <f t="shared" si="398"/>
        <v>24319</v>
      </c>
      <c r="H1070" s="75">
        <f t="shared" si="399"/>
        <v>1</v>
      </c>
      <c r="I1070" s="76">
        <f t="shared" si="400"/>
        <v>1.05</v>
      </c>
      <c r="J1070" s="76">
        <f t="shared" si="401"/>
        <v>1.05</v>
      </c>
      <c r="K1070" s="67">
        <f t="shared" si="402"/>
        <v>0</v>
      </c>
      <c r="L1070" s="67">
        <f t="shared" si="403"/>
        <v>0</v>
      </c>
      <c r="M1070" s="77">
        <f t="shared" si="404"/>
        <v>0</v>
      </c>
      <c r="N1070" s="76">
        <f t="shared" si="405"/>
        <v>1.05</v>
      </c>
      <c r="O1070" s="77">
        <f t="shared" si="406"/>
        <v>0.90850656455142231</v>
      </c>
      <c r="P1070" s="76">
        <f t="shared" si="407"/>
        <v>0.75</v>
      </c>
      <c r="Q1070" s="76">
        <f t="shared" si="408"/>
        <v>0.25</v>
      </c>
      <c r="R1070" s="76">
        <f t="shared" si="409"/>
        <v>0</v>
      </c>
      <c r="S1070" s="76">
        <f t="shared" si="410"/>
        <v>1.0368824921510797</v>
      </c>
      <c r="T1070" s="76">
        <f t="shared" si="411"/>
        <v>1.0368824921510797</v>
      </c>
      <c r="U1070" s="76">
        <f t="shared" si="412"/>
        <v>1.05</v>
      </c>
    </row>
    <row r="1071" spans="1:21" x14ac:dyDescent="0.25">
      <c r="A1071" s="71">
        <v>21</v>
      </c>
      <c r="B1071" s="72">
        <f t="shared" si="413"/>
        <v>46266</v>
      </c>
      <c r="C1071" s="73">
        <f t="shared" si="394"/>
        <v>46295</v>
      </c>
      <c r="D1071" s="67">
        <f t="shared" si="395"/>
        <v>30</v>
      </c>
      <c r="E1071" s="67">
        <f t="shared" si="396"/>
        <v>9</v>
      </c>
      <c r="F1071" s="74">
        <f t="shared" si="397"/>
        <v>46281</v>
      </c>
      <c r="G1071" s="67">
        <f t="shared" si="398"/>
        <v>24320</v>
      </c>
      <c r="H1071" s="75">
        <f t="shared" si="399"/>
        <v>1</v>
      </c>
      <c r="I1071" s="76">
        <f t="shared" si="400"/>
        <v>1.05</v>
      </c>
      <c r="J1071" s="76">
        <f t="shared" si="401"/>
        <v>1.05</v>
      </c>
      <c r="K1071" s="67">
        <f t="shared" si="402"/>
        <v>0</v>
      </c>
      <c r="L1071" s="67">
        <f t="shared" si="403"/>
        <v>0</v>
      </c>
      <c r="M1071" s="77">
        <f t="shared" si="404"/>
        <v>0</v>
      </c>
      <c r="N1071" s="76">
        <f t="shared" si="405"/>
        <v>1.05</v>
      </c>
      <c r="O1071" s="77">
        <f t="shared" si="406"/>
        <v>0.90950765864332606</v>
      </c>
      <c r="P1071" s="76">
        <f t="shared" si="407"/>
        <v>0.58333333333333337</v>
      </c>
      <c r="Q1071" s="76">
        <f t="shared" si="408"/>
        <v>0.41666666666666663</v>
      </c>
      <c r="R1071" s="76">
        <f t="shared" si="409"/>
        <v>0</v>
      </c>
      <c r="S1071" s="76">
        <f t="shared" si="410"/>
        <v>1.0380250451907527</v>
      </c>
      <c r="T1071" s="76">
        <f t="shared" si="411"/>
        <v>1.0380250451907527</v>
      </c>
      <c r="U1071" s="76">
        <f t="shared" si="412"/>
        <v>1.05</v>
      </c>
    </row>
    <row r="1072" spans="1:21" x14ac:dyDescent="0.25">
      <c r="A1072" s="71">
        <v>22</v>
      </c>
      <c r="B1072" s="72">
        <f t="shared" si="413"/>
        <v>46296</v>
      </c>
      <c r="C1072" s="73">
        <f t="shared" si="394"/>
        <v>46326</v>
      </c>
      <c r="D1072" s="67">
        <f t="shared" si="395"/>
        <v>31</v>
      </c>
      <c r="E1072" s="67">
        <f t="shared" si="396"/>
        <v>10</v>
      </c>
      <c r="F1072" s="74">
        <f t="shared" si="397"/>
        <v>46311.5</v>
      </c>
      <c r="G1072" s="67">
        <f t="shared" si="398"/>
        <v>24321</v>
      </c>
      <c r="H1072" s="75">
        <f t="shared" si="399"/>
        <v>1</v>
      </c>
      <c r="I1072" s="76">
        <f t="shared" si="400"/>
        <v>1.05</v>
      </c>
      <c r="J1072" s="76">
        <f t="shared" si="401"/>
        <v>1.05</v>
      </c>
      <c r="K1072" s="67">
        <f t="shared" si="402"/>
        <v>0</v>
      </c>
      <c r="L1072" s="67">
        <f t="shared" si="403"/>
        <v>0</v>
      </c>
      <c r="M1072" s="77">
        <f t="shared" si="404"/>
        <v>0</v>
      </c>
      <c r="N1072" s="76">
        <f t="shared" si="405"/>
        <v>1.05</v>
      </c>
      <c r="O1072" s="77">
        <f t="shared" si="406"/>
        <v>0.9105087527352298</v>
      </c>
      <c r="P1072" s="76">
        <f t="shared" si="407"/>
        <v>0.41666666666666669</v>
      </c>
      <c r="Q1072" s="76">
        <f t="shared" si="408"/>
        <v>0.58333333333333326</v>
      </c>
      <c r="R1072" s="76">
        <f t="shared" si="409"/>
        <v>0</v>
      </c>
      <c r="S1072" s="76">
        <f t="shared" si="410"/>
        <v>1.0391675982304254</v>
      </c>
      <c r="T1072" s="76">
        <f t="shared" si="411"/>
        <v>1.0391675982304254</v>
      </c>
      <c r="U1072" s="76">
        <f t="shared" si="412"/>
        <v>1.05</v>
      </c>
    </row>
    <row r="1073" spans="1:21" x14ac:dyDescent="0.25">
      <c r="A1073" s="71">
        <v>23</v>
      </c>
      <c r="B1073" s="72">
        <f t="shared" si="413"/>
        <v>46327</v>
      </c>
      <c r="C1073" s="73">
        <f t="shared" si="394"/>
        <v>46356</v>
      </c>
      <c r="D1073" s="67">
        <f t="shared" si="395"/>
        <v>30</v>
      </c>
      <c r="E1073" s="67">
        <f t="shared" si="396"/>
        <v>11</v>
      </c>
      <c r="F1073" s="74">
        <f t="shared" si="397"/>
        <v>46342</v>
      </c>
      <c r="G1073" s="67">
        <f t="shared" si="398"/>
        <v>24322</v>
      </c>
      <c r="H1073" s="75">
        <f t="shared" si="399"/>
        <v>1</v>
      </c>
      <c r="I1073" s="76">
        <f t="shared" si="400"/>
        <v>1.05</v>
      </c>
      <c r="J1073" s="76">
        <f t="shared" si="401"/>
        <v>1.05</v>
      </c>
      <c r="K1073" s="67">
        <f t="shared" si="402"/>
        <v>0</v>
      </c>
      <c r="L1073" s="67">
        <f t="shared" si="403"/>
        <v>0</v>
      </c>
      <c r="M1073" s="77">
        <f t="shared" si="404"/>
        <v>0</v>
      </c>
      <c r="N1073" s="76">
        <f t="shared" si="405"/>
        <v>1.05</v>
      </c>
      <c r="O1073" s="77">
        <f t="shared" si="406"/>
        <v>0.91150984682713354</v>
      </c>
      <c r="P1073" s="76">
        <f t="shared" si="407"/>
        <v>0.25</v>
      </c>
      <c r="Q1073" s="76">
        <f t="shared" si="408"/>
        <v>0.75</v>
      </c>
      <c r="R1073" s="76">
        <f t="shared" si="409"/>
        <v>0</v>
      </c>
      <c r="S1073" s="76">
        <f t="shared" si="410"/>
        <v>1.0403101512700981</v>
      </c>
      <c r="T1073" s="76">
        <f t="shared" si="411"/>
        <v>1.0403101512700981</v>
      </c>
      <c r="U1073" s="76">
        <f t="shared" si="412"/>
        <v>1.05</v>
      </c>
    </row>
    <row r="1074" spans="1:21" x14ac:dyDescent="0.25">
      <c r="A1074" s="71">
        <v>24</v>
      </c>
      <c r="B1074" s="72">
        <f t="shared" si="413"/>
        <v>46357</v>
      </c>
      <c r="C1074" s="73">
        <f t="shared" si="394"/>
        <v>46387</v>
      </c>
      <c r="D1074" s="67">
        <f t="shared" si="395"/>
        <v>31</v>
      </c>
      <c r="E1074" s="67">
        <f t="shared" si="396"/>
        <v>12</v>
      </c>
      <c r="F1074" s="74">
        <f t="shared" si="397"/>
        <v>46372.5</v>
      </c>
      <c r="G1074" s="67">
        <f t="shared" si="398"/>
        <v>24323</v>
      </c>
      <c r="H1074" s="75">
        <f t="shared" si="399"/>
        <v>1</v>
      </c>
      <c r="I1074" s="76">
        <f t="shared" si="400"/>
        <v>1.05</v>
      </c>
      <c r="J1074" s="76">
        <f t="shared" si="401"/>
        <v>1.05</v>
      </c>
      <c r="K1074" s="67">
        <f t="shared" si="402"/>
        <v>0</v>
      </c>
      <c r="L1074" s="67">
        <f t="shared" si="403"/>
        <v>0</v>
      </c>
      <c r="M1074" s="77">
        <f t="shared" si="404"/>
        <v>0</v>
      </c>
      <c r="N1074" s="76">
        <f t="shared" si="405"/>
        <v>1.05</v>
      </c>
      <c r="O1074" s="77">
        <f t="shared" si="406"/>
        <v>0.91251094091903728</v>
      </c>
      <c r="P1074" s="76">
        <f t="shared" si="407"/>
        <v>8.3333333333333329E-2</v>
      </c>
      <c r="Q1074" s="76">
        <f t="shared" si="408"/>
        <v>0.91666666666666663</v>
      </c>
      <c r="R1074" s="76">
        <f t="shared" si="409"/>
        <v>0</v>
      </c>
      <c r="S1074" s="76">
        <f t="shared" si="410"/>
        <v>1.0414527043097708</v>
      </c>
      <c r="T1074" s="76">
        <f t="shared" si="411"/>
        <v>1.0414527043097708</v>
      </c>
      <c r="U1074" s="76">
        <f t="shared" si="412"/>
        <v>1.05</v>
      </c>
    </row>
    <row r="1075" spans="1:21" x14ac:dyDescent="0.25">
      <c r="A1075" s="71">
        <v>25</v>
      </c>
      <c r="B1075" s="72">
        <f t="shared" si="413"/>
        <v>46388</v>
      </c>
      <c r="C1075" s="73">
        <f t="shared" si="394"/>
        <v>46418</v>
      </c>
      <c r="D1075" s="67">
        <f t="shared" si="395"/>
        <v>31</v>
      </c>
      <c r="E1075" s="67">
        <f t="shared" si="396"/>
        <v>1</v>
      </c>
      <c r="F1075" s="74">
        <f t="shared" si="397"/>
        <v>46403.5</v>
      </c>
      <c r="G1075" s="67">
        <f t="shared" si="398"/>
        <v>24324</v>
      </c>
      <c r="H1075" s="75">
        <f t="shared" si="399"/>
        <v>1</v>
      </c>
      <c r="I1075" s="76">
        <f t="shared" si="400"/>
        <v>1.05</v>
      </c>
      <c r="J1075" s="76">
        <f t="shared" si="401"/>
        <v>1.05</v>
      </c>
      <c r="K1075" s="67">
        <f t="shared" si="402"/>
        <v>0</v>
      </c>
      <c r="L1075" s="67">
        <f t="shared" si="403"/>
        <v>0</v>
      </c>
      <c r="M1075" s="77">
        <f t="shared" si="404"/>
        <v>0</v>
      </c>
      <c r="N1075" s="76">
        <f t="shared" si="405"/>
        <v>1.05</v>
      </c>
      <c r="O1075" s="77">
        <f t="shared" si="406"/>
        <v>0.91352844638949671</v>
      </c>
      <c r="P1075" s="76">
        <f t="shared" si="407"/>
        <v>0</v>
      </c>
      <c r="Q1075" s="76">
        <f t="shared" si="408"/>
        <v>1</v>
      </c>
      <c r="R1075" s="76">
        <f t="shared" si="409"/>
        <v>0</v>
      </c>
      <c r="S1075" s="76">
        <f t="shared" si="410"/>
        <v>1.042613987727143</v>
      </c>
      <c r="T1075" s="76">
        <f t="shared" si="411"/>
        <v>0.97994363048235178</v>
      </c>
      <c r="U1075" s="76">
        <f t="shared" si="412"/>
        <v>1.05</v>
      </c>
    </row>
    <row r="1076" spans="1:21" x14ac:dyDescent="0.25">
      <c r="A1076" s="71">
        <v>26</v>
      </c>
      <c r="B1076" s="72">
        <f t="shared" si="413"/>
        <v>46419</v>
      </c>
      <c r="C1076" s="73">
        <f t="shared" si="394"/>
        <v>46446</v>
      </c>
      <c r="D1076" s="67">
        <f t="shared" si="395"/>
        <v>28</v>
      </c>
      <c r="E1076" s="67">
        <f t="shared" si="396"/>
        <v>2</v>
      </c>
      <c r="F1076" s="74">
        <f t="shared" si="397"/>
        <v>46433</v>
      </c>
      <c r="G1076" s="67">
        <f t="shared" si="398"/>
        <v>24325</v>
      </c>
      <c r="H1076" s="75">
        <f t="shared" si="399"/>
        <v>1</v>
      </c>
      <c r="I1076" s="76">
        <f t="shared" si="400"/>
        <v>1.05</v>
      </c>
      <c r="J1076" s="76">
        <f t="shared" si="401"/>
        <v>1.05</v>
      </c>
      <c r="K1076" s="67">
        <f t="shared" si="402"/>
        <v>0</v>
      </c>
      <c r="L1076" s="67">
        <f t="shared" si="403"/>
        <v>0</v>
      </c>
      <c r="M1076" s="77">
        <f t="shared" si="404"/>
        <v>0</v>
      </c>
      <c r="N1076" s="76">
        <f t="shared" si="405"/>
        <v>1.05</v>
      </c>
      <c r="O1076" s="77">
        <f t="shared" si="406"/>
        <v>0.91449671772428887</v>
      </c>
      <c r="P1076" s="76">
        <f t="shared" si="407"/>
        <v>0</v>
      </c>
      <c r="Q1076" s="76">
        <f t="shared" si="408"/>
        <v>1</v>
      </c>
      <c r="R1076" s="76">
        <f t="shared" si="409"/>
        <v>0</v>
      </c>
      <c r="S1076" s="76">
        <f t="shared" si="410"/>
        <v>1.0437190800114167</v>
      </c>
      <c r="T1076" s="76">
        <f t="shared" si="411"/>
        <v>0.98099609932451703</v>
      </c>
      <c r="U1076" s="76">
        <f t="shared" si="412"/>
        <v>1.05</v>
      </c>
    </row>
    <row r="1077" spans="1:21" x14ac:dyDescent="0.25">
      <c r="A1077" s="71">
        <v>27</v>
      </c>
      <c r="B1077" s="72">
        <f t="shared" si="413"/>
        <v>46447</v>
      </c>
      <c r="C1077" s="73">
        <f t="shared" si="394"/>
        <v>46477</v>
      </c>
      <c r="D1077" s="67">
        <f t="shared" si="395"/>
        <v>31</v>
      </c>
      <c r="E1077" s="67">
        <f t="shared" si="396"/>
        <v>3</v>
      </c>
      <c r="F1077" s="74">
        <f t="shared" si="397"/>
        <v>46462.5</v>
      </c>
      <c r="G1077" s="67">
        <f t="shared" si="398"/>
        <v>24326</v>
      </c>
      <c r="H1077" s="75">
        <f t="shared" si="399"/>
        <v>1</v>
      </c>
      <c r="I1077" s="76">
        <f t="shared" si="400"/>
        <v>1.05</v>
      </c>
      <c r="J1077" s="76">
        <f t="shared" si="401"/>
        <v>1.05</v>
      </c>
      <c r="K1077" s="67">
        <f t="shared" si="402"/>
        <v>0</v>
      </c>
      <c r="L1077" s="67">
        <f t="shared" si="403"/>
        <v>0</v>
      </c>
      <c r="M1077" s="77">
        <f t="shared" si="404"/>
        <v>0</v>
      </c>
      <c r="N1077" s="76">
        <f t="shared" si="405"/>
        <v>1.05</v>
      </c>
      <c r="O1077" s="77">
        <f t="shared" si="406"/>
        <v>0.91546498905908102</v>
      </c>
      <c r="P1077" s="76">
        <f t="shared" si="407"/>
        <v>0</v>
      </c>
      <c r="Q1077" s="76">
        <f t="shared" si="408"/>
        <v>1</v>
      </c>
      <c r="R1077" s="76">
        <f t="shared" si="409"/>
        <v>0</v>
      </c>
      <c r="S1077" s="76">
        <f t="shared" si="410"/>
        <v>1.0448241722956904</v>
      </c>
      <c r="T1077" s="76">
        <f t="shared" si="411"/>
        <v>0.98204856816668251</v>
      </c>
      <c r="U1077" s="76">
        <f t="shared" si="412"/>
        <v>1.05</v>
      </c>
    </row>
    <row r="1078" spans="1:21" x14ac:dyDescent="0.25">
      <c r="A1078" s="71">
        <v>28</v>
      </c>
      <c r="B1078" s="72">
        <f t="shared" si="413"/>
        <v>46478</v>
      </c>
      <c r="C1078" s="73">
        <f t="shared" si="394"/>
        <v>46507</v>
      </c>
      <c r="D1078" s="67">
        <f t="shared" si="395"/>
        <v>30</v>
      </c>
      <c r="E1078" s="67">
        <f t="shared" si="396"/>
        <v>4</v>
      </c>
      <c r="F1078" s="74">
        <f t="shared" si="397"/>
        <v>46493</v>
      </c>
      <c r="G1078" s="67">
        <f t="shared" si="398"/>
        <v>24327</v>
      </c>
      <c r="H1078" s="75">
        <f t="shared" si="399"/>
        <v>1</v>
      </c>
      <c r="I1078" s="76">
        <f t="shared" si="400"/>
        <v>1.05</v>
      </c>
      <c r="J1078" s="76">
        <f t="shared" si="401"/>
        <v>1.05</v>
      </c>
      <c r="K1078" s="67">
        <f t="shared" si="402"/>
        <v>0</v>
      </c>
      <c r="L1078" s="67">
        <f t="shared" si="403"/>
        <v>0</v>
      </c>
      <c r="M1078" s="77">
        <f t="shared" si="404"/>
        <v>0</v>
      </c>
      <c r="N1078" s="76">
        <f t="shared" si="405"/>
        <v>1.05</v>
      </c>
      <c r="O1078" s="77">
        <f t="shared" si="406"/>
        <v>0.91646608315098477</v>
      </c>
      <c r="P1078" s="76">
        <f t="shared" si="407"/>
        <v>0</v>
      </c>
      <c r="Q1078" s="76">
        <f t="shared" si="408"/>
        <v>1</v>
      </c>
      <c r="R1078" s="76">
        <f t="shared" si="409"/>
        <v>0</v>
      </c>
      <c r="S1078" s="76">
        <f t="shared" si="410"/>
        <v>1.0459667253353631</v>
      </c>
      <c r="T1078" s="76">
        <f t="shared" si="411"/>
        <v>0.98313671391875179</v>
      </c>
      <c r="U1078" s="76">
        <f t="shared" si="412"/>
        <v>1.05</v>
      </c>
    </row>
    <row r="1079" spans="1:21" x14ac:dyDescent="0.25">
      <c r="A1079" s="71">
        <v>29</v>
      </c>
      <c r="B1079" s="72">
        <f t="shared" si="413"/>
        <v>46508</v>
      </c>
      <c r="C1079" s="73">
        <f t="shared" si="394"/>
        <v>46538</v>
      </c>
      <c r="D1079" s="67">
        <f t="shared" si="395"/>
        <v>31</v>
      </c>
      <c r="E1079" s="67">
        <f t="shared" si="396"/>
        <v>5</v>
      </c>
      <c r="F1079" s="74">
        <f t="shared" si="397"/>
        <v>46523.5</v>
      </c>
      <c r="G1079" s="67">
        <f t="shared" si="398"/>
        <v>24328</v>
      </c>
      <c r="H1079" s="75">
        <f t="shared" si="399"/>
        <v>1</v>
      </c>
      <c r="I1079" s="76">
        <f t="shared" si="400"/>
        <v>1.05</v>
      </c>
      <c r="J1079" s="76">
        <f t="shared" si="401"/>
        <v>1.05</v>
      </c>
      <c r="K1079" s="67">
        <f t="shared" si="402"/>
        <v>0</v>
      </c>
      <c r="L1079" s="67">
        <f t="shared" si="403"/>
        <v>0</v>
      </c>
      <c r="M1079" s="77">
        <f t="shared" si="404"/>
        <v>0</v>
      </c>
      <c r="N1079" s="76">
        <f t="shared" si="405"/>
        <v>1.05</v>
      </c>
      <c r="O1079" s="77">
        <f t="shared" si="406"/>
        <v>0.9174671772428884</v>
      </c>
      <c r="P1079" s="76">
        <f t="shared" si="407"/>
        <v>0</v>
      </c>
      <c r="Q1079" s="76">
        <f t="shared" si="408"/>
        <v>1</v>
      </c>
      <c r="R1079" s="76">
        <f t="shared" si="409"/>
        <v>0</v>
      </c>
      <c r="S1079" s="76">
        <f t="shared" si="410"/>
        <v>1.0471092783750355</v>
      </c>
      <c r="T1079" s="76">
        <f t="shared" si="411"/>
        <v>0.98422485967082107</v>
      </c>
      <c r="U1079" s="76">
        <f t="shared" si="412"/>
        <v>1.05</v>
      </c>
    </row>
    <row r="1080" spans="1:21" x14ac:dyDescent="0.25">
      <c r="A1080" s="71">
        <v>30</v>
      </c>
      <c r="B1080" s="72">
        <f t="shared" si="413"/>
        <v>46539</v>
      </c>
      <c r="C1080" s="73">
        <f t="shared" si="394"/>
        <v>46568</v>
      </c>
      <c r="D1080" s="67">
        <f t="shared" si="395"/>
        <v>30</v>
      </c>
      <c r="E1080" s="67">
        <f t="shared" si="396"/>
        <v>6</v>
      </c>
      <c r="F1080" s="74">
        <f t="shared" si="397"/>
        <v>46554</v>
      </c>
      <c r="G1080" s="67">
        <f t="shared" si="398"/>
        <v>24329</v>
      </c>
      <c r="H1080" s="75">
        <f t="shared" si="399"/>
        <v>1</v>
      </c>
      <c r="I1080" s="76">
        <f t="shared" si="400"/>
        <v>1.05</v>
      </c>
      <c r="J1080" s="76">
        <f t="shared" si="401"/>
        <v>1.05</v>
      </c>
      <c r="K1080" s="67">
        <f t="shared" si="402"/>
        <v>0</v>
      </c>
      <c r="L1080" s="67">
        <f t="shared" si="403"/>
        <v>0</v>
      </c>
      <c r="M1080" s="77">
        <f t="shared" si="404"/>
        <v>0</v>
      </c>
      <c r="N1080" s="76">
        <f t="shared" si="405"/>
        <v>1.05</v>
      </c>
      <c r="O1080" s="77">
        <f t="shared" si="406"/>
        <v>0.91846827133479214</v>
      </c>
      <c r="P1080" s="76">
        <f t="shared" si="407"/>
        <v>0</v>
      </c>
      <c r="Q1080" s="76">
        <f t="shared" si="408"/>
        <v>1</v>
      </c>
      <c r="R1080" s="76">
        <f t="shared" si="409"/>
        <v>0</v>
      </c>
      <c r="S1080" s="76">
        <f t="shared" si="410"/>
        <v>1.0482518314147085</v>
      </c>
      <c r="T1080" s="76">
        <f t="shared" si="411"/>
        <v>0.98531300542289035</v>
      </c>
      <c r="U1080" s="76">
        <f t="shared" si="412"/>
        <v>1.05</v>
      </c>
    </row>
    <row r="1081" spans="1:21" x14ac:dyDescent="0.25">
      <c r="A1081" s="71">
        <v>31</v>
      </c>
      <c r="B1081" s="72">
        <f t="shared" si="413"/>
        <v>46569</v>
      </c>
      <c r="C1081" s="73">
        <f t="shared" si="394"/>
        <v>46599</v>
      </c>
      <c r="D1081" s="67">
        <f t="shared" si="395"/>
        <v>31</v>
      </c>
      <c r="E1081" s="67">
        <f t="shared" si="396"/>
        <v>7</v>
      </c>
      <c r="F1081" s="74">
        <f t="shared" si="397"/>
        <v>46584.5</v>
      </c>
      <c r="G1081" s="67">
        <f t="shared" si="398"/>
        <v>24330</v>
      </c>
      <c r="H1081" s="75">
        <f t="shared" si="399"/>
        <v>1</v>
      </c>
      <c r="I1081" s="76">
        <f t="shared" si="400"/>
        <v>1.05</v>
      </c>
      <c r="J1081" s="76">
        <f t="shared" si="401"/>
        <v>1.05</v>
      </c>
      <c r="K1081" s="67">
        <f t="shared" si="402"/>
        <v>0</v>
      </c>
      <c r="L1081" s="67">
        <f t="shared" si="403"/>
        <v>0</v>
      </c>
      <c r="M1081" s="77">
        <f t="shared" si="404"/>
        <v>0</v>
      </c>
      <c r="N1081" s="76">
        <f t="shared" si="405"/>
        <v>1.05</v>
      </c>
      <c r="O1081" s="77">
        <f t="shared" si="406"/>
        <v>0.91946936542669588</v>
      </c>
      <c r="P1081" s="76">
        <f t="shared" si="407"/>
        <v>0</v>
      </c>
      <c r="Q1081" s="76">
        <f t="shared" si="408"/>
        <v>0.91666666666666663</v>
      </c>
      <c r="R1081" s="76">
        <f t="shared" si="409"/>
        <v>8.333333333333337E-2</v>
      </c>
      <c r="S1081" s="76">
        <f t="shared" si="410"/>
        <v>1.0493943844543812</v>
      </c>
      <c r="T1081" s="76">
        <f t="shared" si="411"/>
        <v>1.0357212087337075</v>
      </c>
      <c r="U1081" s="76">
        <f t="shared" si="412"/>
        <v>1.05</v>
      </c>
    </row>
    <row r="1082" spans="1:21" x14ac:dyDescent="0.25">
      <c r="A1082" s="71">
        <v>32</v>
      </c>
      <c r="B1082" s="72">
        <f t="shared" si="413"/>
        <v>46600</v>
      </c>
      <c r="C1082" s="73">
        <f t="shared" si="394"/>
        <v>46630</v>
      </c>
      <c r="D1082" s="67">
        <f t="shared" si="395"/>
        <v>31</v>
      </c>
      <c r="E1082" s="67">
        <f t="shared" si="396"/>
        <v>8</v>
      </c>
      <c r="F1082" s="74">
        <f t="shared" si="397"/>
        <v>46615.5</v>
      </c>
      <c r="G1082" s="67">
        <f t="shared" si="398"/>
        <v>24331</v>
      </c>
      <c r="H1082" s="75">
        <f t="shared" si="399"/>
        <v>1</v>
      </c>
      <c r="I1082" s="76">
        <f t="shared" si="400"/>
        <v>1.05</v>
      </c>
      <c r="J1082" s="76">
        <f t="shared" si="401"/>
        <v>1.05</v>
      </c>
      <c r="K1082" s="67">
        <f t="shared" si="402"/>
        <v>0</v>
      </c>
      <c r="L1082" s="67">
        <f t="shared" si="403"/>
        <v>0</v>
      </c>
      <c r="M1082" s="77">
        <f t="shared" si="404"/>
        <v>0</v>
      </c>
      <c r="N1082" s="76">
        <f t="shared" si="405"/>
        <v>1.05</v>
      </c>
      <c r="O1082" s="77">
        <f t="shared" si="406"/>
        <v>0.92048687089715542</v>
      </c>
      <c r="P1082" s="76">
        <f t="shared" si="407"/>
        <v>0</v>
      </c>
      <c r="Q1082" s="76">
        <f t="shared" si="408"/>
        <v>0.75</v>
      </c>
      <c r="R1082" s="76">
        <f t="shared" si="409"/>
        <v>0.25</v>
      </c>
      <c r="S1082" s="76">
        <f t="shared" si="410"/>
        <v>1.0505556678717536</v>
      </c>
      <c r="T1082" s="76">
        <f t="shared" si="411"/>
        <v>1.0368824921510797</v>
      </c>
      <c r="U1082" s="76">
        <f t="shared" si="412"/>
        <v>1.05</v>
      </c>
    </row>
    <row r="1083" spans="1:21" x14ac:dyDescent="0.25">
      <c r="A1083" s="71">
        <v>33</v>
      </c>
      <c r="B1083" s="72">
        <f t="shared" si="413"/>
        <v>46631</v>
      </c>
      <c r="C1083" s="73">
        <f t="shared" si="394"/>
        <v>46660</v>
      </c>
      <c r="D1083" s="67">
        <f t="shared" si="395"/>
        <v>30</v>
      </c>
      <c r="E1083" s="67">
        <f t="shared" si="396"/>
        <v>9</v>
      </c>
      <c r="F1083" s="74">
        <f t="shared" si="397"/>
        <v>46646</v>
      </c>
      <c r="G1083" s="67">
        <f t="shared" si="398"/>
        <v>24332</v>
      </c>
      <c r="H1083" s="75">
        <f t="shared" si="399"/>
        <v>1</v>
      </c>
      <c r="I1083" s="76">
        <f t="shared" si="400"/>
        <v>1.05</v>
      </c>
      <c r="J1083" s="76">
        <f t="shared" si="401"/>
        <v>1.05</v>
      </c>
      <c r="K1083" s="67">
        <f t="shared" si="402"/>
        <v>0</v>
      </c>
      <c r="L1083" s="67">
        <f t="shared" si="403"/>
        <v>0</v>
      </c>
      <c r="M1083" s="77">
        <f t="shared" si="404"/>
        <v>0</v>
      </c>
      <c r="N1083" s="76">
        <f t="shared" si="405"/>
        <v>1.05</v>
      </c>
      <c r="O1083" s="77">
        <f t="shared" si="406"/>
        <v>0.92148796498905916</v>
      </c>
      <c r="P1083" s="76">
        <f t="shared" si="407"/>
        <v>0</v>
      </c>
      <c r="Q1083" s="76">
        <f t="shared" si="408"/>
        <v>0.58333333333333337</v>
      </c>
      <c r="R1083" s="76">
        <f t="shared" si="409"/>
        <v>0.41666666666666663</v>
      </c>
      <c r="S1083" s="76">
        <f t="shared" si="410"/>
        <v>1.0516982209114263</v>
      </c>
      <c r="T1083" s="76">
        <f t="shared" si="411"/>
        <v>1.0380250451907527</v>
      </c>
      <c r="U1083" s="76">
        <f t="shared" si="412"/>
        <v>1.05</v>
      </c>
    </row>
    <row r="1084" spans="1:21" x14ac:dyDescent="0.25">
      <c r="A1084" s="71">
        <v>34</v>
      </c>
      <c r="B1084" s="72">
        <f t="shared" si="413"/>
        <v>46661</v>
      </c>
      <c r="C1084" s="73">
        <f t="shared" si="394"/>
        <v>46691</v>
      </c>
      <c r="D1084" s="67">
        <f t="shared" si="395"/>
        <v>31</v>
      </c>
      <c r="E1084" s="67">
        <f t="shared" si="396"/>
        <v>10</v>
      </c>
      <c r="F1084" s="74">
        <f t="shared" si="397"/>
        <v>46676.5</v>
      </c>
      <c r="G1084" s="67">
        <f t="shared" si="398"/>
        <v>24333</v>
      </c>
      <c r="H1084" s="75">
        <f t="shared" si="399"/>
        <v>1</v>
      </c>
      <c r="I1084" s="76">
        <f t="shared" si="400"/>
        <v>1.05</v>
      </c>
      <c r="J1084" s="76">
        <f t="shared" si="401"/>
        <v>1.05</v>
      </c>
      <c r="K1084" s="67">
        <f t="shared" si="402"/>
        <v>0</v>
      </c>
      <c r="L1084" s="67">
        <f t="shared" si="403"/>
        <v>0</v>
      </c>
      <c r="M1084" s="77">
        <f t="shared" si="404"/>
        <v>0</v>
      </c>
      <c r="N1084" s="76">
        <f t="shared" si="405"/>
        <v>1.05</v>
      </c>
      <c r="O1084" s="77">
        <f t="shared" si="406"/>
        <v>0.92248905908096279</v>
      </c>
      <c r="P1084" s="76">
        <f t="shared" si="407"/>
        <v>0</v>
      </c>
      <c r="Q1084" s="76">
        <f t="shared" si="408"/>
        <v>0.41666666666666669</v>
      </c>
      <c r="R1084" s="76">
        <f t="shared" si="409"/>
        <v>0.58333333333333326</v>
      </c>
      <c r="S1084" s="76">
        <f t="shared" si="410"/>
        <v>1.0528407739510988</v>
      </c>
      <c r="T1084" s="76">
        <f t="shared" si="411"/>
        <v>1.0391675982304254</v>
      </c>
      <c r="U1084" s="76">
        <f t="shared" si="412"/>
        <v>1.05</v>
      </c>
    </row>
    <row r="1085" spans="1:21" x14ac:dyDescent="0.25">
      <c r="A1085" s="71">
        <v>35</v>
      </c>
      <c r="B1085" s="72">
        <f t="shared" si="413"/>
        <v>46692</v>
      </c>
      <c r="C1085" s="73">
        <f t="shared" si="394"/>
        <v>46721</v>
      </c>
      <c r="D1085" s="67">
        <f t="shared" si="395"/>
        <v>30</v>
      </c>
      <c r="E1085" s="67">
        <f t="shared" si="396"/>
        <v>11</v>
      </c>
      <c r="F1085" s="74">
        <f t="shared" si="397"/>
        <v>46707</v>
      </c>
      <c r="G1085" s="67">
        <f t="shared" si="398"/>
        <v>24334</v>
      </c>
      <c r="H1085" s="75">
        <f t="shared" si="399"/>
        <v>1</v>
      </c>
      <c r="I1085" s="76">
        <f t="shared" si="400"/>
        <v>1.05</v>
      </c>
      <c r="J1085" s="76">
        <f t="shared" si="401"/>
        <v>1.05</v>
      </c>
      <c r="K1085" s="67">
        <f t="shared" si="402"/>
        <v>0</v>
      </c>
      <c r="L1085" s="67">
        <f t="shared" si="403"/>
        <v>0</v>
      </c>
      <c r="M1085" s="77">
        <f t="shared" si="404"/>
        <v>0</v>
      </c>
      <c r="N1085" s="76">
        <f t="shared" si="405"/>
        <v>1.05</v>
      </c>
      <c r="O1085" s="77">
        <f t="shared" si="406"/>
        <v>0.92349015317286653</v>
      </c>
      <c r="P1085" s="76">
        <f t="shared" si="407"/>
        <v>0</v>
      </c>
      <c r="Q1085" s="76">
        <f t="shared" si="408"/>
        <v>0.25</v>
      </c>
      <c r="R1085" s="76">
        <f t="shared" si="409"/>
        <v>0.75</v>
      </c>
      <c r="S1085" s="76">
        <f t="shared" si="410"/>
        <v>1.0539833269907715</v>
      </c>
      <c r="T1085" s="76">
        <f t="shared" si="411"/>
        <v>1.0403101512700981</v>
      </c>
      <c r="U1085" s="76">
        <f t="shared" si="412"/>
        <v>1.05</v>
      </c>
    </row>
    <row r="1086" spans="1:21" x14ac:dyDescent="0.25">
      <c r="A1086" s="71">
        <v>36</v>
      </c>
      <c r="B1086" s="72">
        <f t="shared" si="413"/>
        <v>46722</v>
      </c>
      <c r="C1086" s="73">
        <f t="shared" si="394"/>
        <v>46752</v>
      </c>
      <c r="D1086" s="67">
        <f t="shared" si="395"/>
        <v>31</v>
      </c>
      <c r="E1086" s="67">
        <f t="shared" si="396"/>
        <v>12</v>
      </c>
      <c r="F1086" s="74">
        <f t="shared" si="397"/>
        <v>46737.5</v>
      </c>
      <c r="G1086" s="67">
        <f t="shared" si="398"/>
        <v>24335</v>
      </c>
      <c r="H1086" s="75">
        <f t="shared" si="399"/>
        <v>1</v>
      </c>
      <c r="I1086" s="76">
        <f t="shared" si="400"/>
        <v>1.05</v>
      </c>
      <c r="J1086" s="76">
        <f t="shared" si="401"/>
        <v>1.05</v>
      </c>
      <c r="K1086" s="67">
        <f t="shared" si="402"/>
        <v>0</v>
      </c>
      <c r="L1086" s="67">
        <f t="shared" si="403"/>
        <v>0</v>
      </c>
      <c r="M1086" s="77">
        <f t="shared" si="404"/>
        <v>0</v>
      </c>
      <c r="N1086" s="76">
        <f t="shared" si="405"/>
        <v>1.05</v>
      </c>
      <c r="O1086" s="77">
        <f t="shared" si="406"/>
        <v>0.92449124726477028</v>
      </c>
      <c r="P1086" s="76">
        <f t="shared" si="407"/>
        <v>0</v>
      </c>
      <c r="Q1086" s="76">
        <f t="shared" si="408"/>
        <v>8.3333333333333329E-2</v>
      </c>
      <c r="R1086" s="76">
        <f t="shared" si="409"/>
        <v>0.91666666666666663</v>
      </c>
      <c r="S1086" s="76">
        <f t="shared" si="410"/>
        <v>1.0551258800304444</v>
      </c>
      <c r="T1086" s="76">
        <f t="shared" si="411"/>
        <v>1.0414527043097708</v>
      </c>
      <c r="U1086" s="76">
        <f t="shared" si="412"/>
        <v>1.05</v>
      </c>
    </row>
    <row r="1087" spans="1:21" x14ac:dyDescent="0.25">
      <c r="A1087" s="71">
        <v>37</v>
      </c>
      <c r="B1087" s="72">
        <f t="shared" si="413"/>
        <v>46753</v>
      </c>
      <c r="C1087" s="73">
        <f t="shared" si="394"/>
        <v>46783</v>
      </c>
      <c r="D1087" s="67">
        <f t="shared" si="395"/>
        <v>31</v>
      </c>
      <c r="E1087" s="67">
        <f t="shared" si="396"/>
        <v>1</v>
      </c>
      <c r="F1087" s="74">
        <f t="shared" si="397"/>
        <v>46768.5</v>
      </c>
      <c r="G1087" s="67">
        <f t="shared" si="398"/>
        <v>24336</v>
      </c>
      <c r="H1087" s="75">
        <f t="shared" si="399"/>
        <v>1</v>
      </c>
      <c r="I1087" s="76">
        <f t="shared" si="400"/>
        <v>1.05</v>
      </c>
      <c r="J1087" s="76">
        <f t="shared" si="401"/>
        <v>1.05</v>
      </c>
      <c r="K1087" s="67">
        <f t="shared" si="402"/>
        <v>0</v>
      </c>
      <c r="L1087" s="67">
        <f t="shared" si="403"/>
        <v>0</v>
      </c>
      <c r="M1087" s="77">
        <f t="shared" si="404"/>
        <v>0</v>
      </c>
      <c r="N1087" s="76">
        <f t="shared" si="405"/>
        <v>1.05</v>
      </c>
      <c r="O1087" s="77">
        <f t="shared" si="406"/>
        <v>0.92500000000000004</v>
      </c>
      <c r="P1087" s="76">
        <f t="shared" si="407"/>
        <v>0</v>
      </c>
      <c r="Q1087" s="76">
        <f t="shared" si="408"/>
        <v>0</v>
      </c>
      <c r="R1087" s="76">
        <f t="shared" si="409"/>
        <v>1</v>
      </c>
      <c r="S1087" s="76">
        <f t="shared" si="410"/>
        <v>1.0557065217391304</v>
      </c>
      <c r="T1087" s="76">
        <f t="shared" si="411"/>
        <v>0.97994363048235178</v>
      </c>
      <c r="U1087" s="76">
        <f t="shared" si="412"/>
        <v>1.05</v>
      </c>
    </row>
    <row r="1088" spans="1:21" x14ac:dyDescent="0.25">
      <c r="A1088" s="71">
        <v>38</v>
      </c>
      <c r="B1088" s="72">
        <f t="shared" si="413"/>
        <v>46784</v>
      </c>
      <c r="C1088" s="73">
        <f t="shared" si="394"/>
        <v>46812</v>
      </c>
      <c r="D1088" s="67">
        <f t="shared" si="395"/>
        <v>29</v>
      </c>
      <c r="E1088" s="67">
        <f t="shared" si="396"/>
        <v>2</v>
      </c>
      <c r="F1088" s="74">
        <f t="shared" si="397"/>
        <v>46798.5</v>
      </c>
      <c r="G1088" s="67">
        <f t="shared" si="398"/>
        <v>24337</v>
      </c>
      <c r="H1088" s="75">
        <f t="shared" si="399"/>
        <v>1</v>
      </c>
      <c r="I1088" s="76">
        <f t="shared" si="400"/>
        <v>1.05</v>
      </c>
      <c r="J1088" s="76">
        <f t="shared" si="401"/>
        <v>1.05</v>
      </c>
      <c r="K1088" s="67">
        <f t="shared" si="402"/>
        <v>0</v>
      </c>
      <c r="L1088" s="67">
        <f t="shared" si="403"/>
        <v>0</v>
      </c>
      <c r="M1088" s="77">
        <f t="shared" si="404"/>
        <v>0</v>
      </c>
      <c r="N1088" s="76">
        <f t="shared" si="405"/>
        <v>1.05</v>
      </c>
      <c r="O1088" s="77">
        <f t="shared" si="406"/>
        <v>0.92500000000000004</v>
      </c>
      <c r="P1088" s="76">
        <f t="shared" si="407"/>
        <v>0</v>
      </c>
      <c r="Q1088" s="76">
        <f t="shared" si="408"/>
        <v>0</v>
      </c>
      <c r="R1088" s="76">
        <f t="shared" si="409"/>
        <v>1</v>
      </c>
      <c r="S1088" s="76">
        <f t="shared" si="410"/>
        <v>1.0557065217391304</v>
      </c>
      <c r="T1088" s="76">
        <f t="shared" si="411"/>
        <v>0.98099609932451703</v>
      </c>
      <c r="U1088" s="76">
        <f t="shared" si="412"/>
        <v>1.05</v>
      </c>
    </row>
    <row r="1089" spans="1:21" x14ac:dyDescent="0.25">
      <c r="A1089" s="71">
        <v>39</v>
      </c>
      <c r="B1089" s="72">
        <f t="shared" si="413"/>
        <v>46813</v>
      </c>
      <c r="C1089" s="73">
        <f t="shared" si="394"/>
        <v>46843</v>
      </c>
      <c r="D1089" s="67">
        <f t="shared" si="395"/>
        <v>31</v>
      </c>
      <c r="E1089" s="67">
        <f t="shared" si="396"/>
        <v>3</v>
      </c>
      <c r="F1089" s="74">
        <f t="shared" si="397"/>
        <v>46828.5</v>
      </c>
      <c r="G1089" s="67">
        <f t="shared" si="398"/>
        <v>24338</v>
      </c>
      <c r="H1089" s="75">
        <f t="shared" si="399"/>
        <v>1</v>
      </c>
      <c r="I1089" s="76">
        <f t="shared" si="400"/>
        <v>1.05</v>
      </c>
      <c r="J1089" s="76">
        <f t="shared" si="401"/>
        <v>1.05</v>
      </c>
      <c r="K1089" s="67">
        <f t="shared" si="402"/>
        <v>0</v>
      </c>
      <c r="L1089" s="67">
        <f t="shared" si="403"/>
        <v>0</v>
      </c>
      <c r="M1089" s="77">
        <f t="shared" si="404"/>
        <v>0</v>
      </c>
      <c r="N1089" s="76">
        <f t="shared" si="405"/>
        <v>1.05</v>
      </c>
      <c r="O1089" s="77">
        <f t="shared" si="406"/>
        <v>0.92500000000000004</v>
      </c>
      <c r="P1089" s="76">
        <f t="shared" si="407"/>
        <v>0</v>
      </c>
      <c r="Q1089" s="76">
        <f t="shared" si="408"/>
        <v>0</v>
      </c>
      <c r="R1089" s="76">
        <f t="shared" si="409"/>
        <v>1</v>
      </c>
      <c r="S1089" s="76">
        <f t="shared" si="410"/>
        <v>1.0557065217391304</v>
      </c>
      <c r="T1089" s="76">
        <f t="shared" si="411"/>
        <v>0.98204856816668251</v>
      </c>
      <c r="U1089" s="76">
        <f t="shared" si="412"/>
        <v>1.05</v>
      </c>
    </row>
    <row r="1090" spans="1:21" x14ac:dyDescent="0.25">
      <c r="A1090" s="71">
        <v>40</v>
      </c>
      <c r="B1090" s="72">
        <f t="shared" si="413"/>
        <v>46844</v>
      </c>
      <c r="C1090" s="73">
        <f t="shared" si="394"/>
        <v>46873</v>
      </c>
      <c r="D1090" s="67">
        <f t="shared" si="395"/>
        <v>30</v>
      </c>
      <c r="E1090" s="67">
        <f t="shared" si="396"/>
        <v>4</v>
      </c>
      <c r="F1090" s="74">
        <f t="shared" si="397"/>
        <v>46859</v>
      </c>
      <c r="G1090" s="67">
        <f t="shared" si="398"/>
        <v>24339</v>
      </c>
      <c r="H1090" s="75">
        <f t="shared" si="399"/>
        <v>1</v>
      </c>
      <c r="I1090" s="76">
        <f t="shared" si="400"/>
        <v>1.05</v>
      </c>
      <c r="J1090" s="76">
        <f t="shared" si="401"/>
        <v>1.05</v>
      </c>
      <c r="K1090" s="67">
        <f t="shared" si="402"/>
        <v>0</v>
      </c>
      <c r="L1090" s="67">
        <f t="shared" si="403"/>
        <v>0</v>
      </c>
      <c r="M1090" s="77">
        <f t="shared" si="404"/>
        <v>0</v>
      </c>
      <c r="N1090" s="76">
        <f t="shared" si="405"/>
        <v>1.05</v>
      </c>
      <c r="O1090" s="77">
        <f t="shared" si="406"/>
        <v>0.92500000000000004</v>
      </c>
      <c r="P1090" s="76">
        <f t="shared" si="407"/>
        <v>0</v>
      </c>
      <c r="Q1090" s="76">
        <f t="shared" si="408"/>
        <v>0</v>
      </c>
      <c r="R1090" s="76">
        <f t="shared" si="409"/>
        <v>1</v>
      </c>
      <c r="S1090" s="76">
        <f t="shared" si="410"/>
        <v>1.0557065217391304</v>
      </c>
      <c r="T1090" s="76">
        <f t="shared" si="411"/>
        <v>0.98313671391875179</v>
      </c>
      <c r="U1090" s="76">
        <f t="shared" si="412"/>
        <v>1.05</v>
      </c>
    </row>
    <row r="1091" spans="1:21" x14ac:dyDescent="0.25">
      <c r="A1091" s="71">
        <v>41</v>
      </c>
      <c r="B1091" s="72">
        <f t="shared" si="413"/>
        <v>46874</v>
      </c>
      <c r="C1091" s="73">
        <f t="shared" si="394"/>
        <v>46904</v>
      </c>
      <c r="D1091" s="67">
        <f t="shared" si="395"/>
        <v>31</v>
      </c>
      <c r="E1091" s="67">
        <f t="shared" si="396"/>
        <v>5</v>
      </c>
      <c r="F1091" s="74">
        <f t="shared" si="397"/>
        <v>46889.5</v>
      </c>
      <c r="G1091" s="67">
        <f t="shared" si="398"/>
        <v>24340</v>
      </c>
      <c r="H1091" s="75">
        <f t="shared" si="399"/>
        <v>1</v>
      </c>
      <c r="I1091" s="76">
        <f t="shared" si="400"/>
        <v>1.05</v>
      </c>
      <c r="J1091" s="76">
        <f t="shared" si="401"/>
        <v>1.05</v>
      </c>
      <c r="K1091" s="67">
        <f t="shared" si="402"/>
        <v>0</v>
      </c>
      <c r="L1091" s="67">
        <f t="shared" si="403"/>
        <v>0</v>
      </c>
      <c r="M1091" s="77">
        <f t="shared" si="404"/>
        <v>0</v>
      </c>
      <c r="N1091" s="76">
        <f t="shared" si="405"/>
        <v>1.05</v>
      </c>
      <c r="O1091" s="77">
        <f t="shared" si="406"/>
        <v>0.92500000000000004</v>
      </c>
      <c r="P1091" s="76">
        <f t="shared" si="407"/>
        <v>0</v>
      </c>
      <c r="Q1091" s="76">
        <f t="shared" si="408"/>
        <v>0</v>
      </c>
      <c r="R1091" s="76">
        <f t="shared" si="409"/>
        <v>1</v>
      </c>
      <c r="S1091" s="76">
        <f t="shared" si="410"/>
        <v>1.0557065217391304</v>
      </c>
      <c r="T1091" s="76">
        <f t="shared" si="411"/>
        <v>0.98422485967082107</v>
      </c>
      <c r="U1091" s="76">
        <f t="shared" si="412"/>
        <v>1.05</v>
      </c>
    </row>
    <row r="1092" spans="1:21" x14ac:dyDescent="0.25">
      <c r="A1092" s="71">
        <v>42</v>
      </c>
      <c r="B1092" s="72">
        <f t="shared" si="413"/>
        <v>46905</v>
      </c>
      <c r="C1092" s="73">
        <f t="shared" si="394"/>
        <v>46934</v>
      </c>
      <c r="D1092" s="67">
        <f t="shared" si="395"/>
        <v>30</v>
      </c>
      <c r="E1092" s="67">
        <f t="shared" si="396"/>
        <v>6</v>
      </c>
      <c r="F1092" s="74">
        <f t="shared" si="397"/>
        <v>46920</v>
      </c>
      <c r="G1092" s="67">
        <f t="shared" si="398"/>
        <v>24341</v>
      </c>
      <c r="H1092" s="75">
        <f t="shared" si="399"/>
        <v>1</v>
      </c>
      <c r="I1092" s="76">
        <f t="shared" si="400"/>
        <v>1.05</v>
      </c>
      <c r="J1092" s="76">
        <f t="shared" si="401"/>
        <v>1.05</v>
      </c>
      <c r="K1092" s="67">
        <f t="shared" si="402"/>
        <v>0</v>
      </c>
      <c r="L1092" s="67">
        <f t="shared" si="403"/>
        <v>0</v>
      </c>
      <c r="M1092" s="77">
        <f t="shared" si="404"/>
        <v>0</v>
      </c>
      <c r="N1092" s="76">
        <f t="shared" si="405"/>
        <v>1.05</v>
      </c>
      <c r="O1092" s="77">
        <f t="shared" si="406"/>
        <v>0.92500000000000004</v>
      </c>
      <c r="P1092" s="76">
        <f t="shared" si="407"/>
        <v>0</v>
      </c>
      <c r="Q1092" s="76">
        <f t="shared" si="408"/>
        <v>0</v>
      </c>
      <c r="R1092" s="76">
        <f t="shared" si="409"/>
        <v>1</v>
      </c>
      <c r="S1092" s="76">
        <f t="shared" si="410"/>
        <v>1.0557065217391304</v>
      </c>
      <c r="T1092" s="76">
        <f t="shared" si="411"/>
        <v>0.98531300542289035</v>
      </c>
      <c r="U1092" s="76">
        <f t="shared" si="412"/>
        <v>1.05</v>
      </c>
    </row>
    <row r="1093" spans="1:21" x14ac:dyDescent="0.25">
      <c r="A1093" s="71">
        <v>43</v>
      </c>
      <c r="B1093" s="72">
        <f t="shared" si="413"/>
        <v>46935</v>
      </c>
      <c r="C1093" s="73">
        <f t="shared" si="394"/>
        <v>46965</v>
      </c>
      <c r="D1093" s="67">
        <f t="shared" si="395"/>
        <v>31</v>
      </c>
      <c r="E1093" s="67">
        <f t="shared" si="396"/>
        <v>7</v>
      </c>
      <c r="F1093" s="74">
        <f t="shared" si="397"/>
        <v>46950.5</v>
      </c>
      <c r="G1093" s="67">
        <f t="shared" si="398"/>
        <v>24342</v>
      </c>
      <c r="H1093" s="75">
        <f t="shared" si="399"/>
        <v>1</v>
      </c>
      <c r="I1093" s="76">
        <f t="shared" si="400"/>
        <v>1.05</v>
      </c>
      <c r="J1093" s="76">
        <f t="shared" si="401"/>
        <v>1.05</v>
      </c>
      <c r="K1093" s="67">
        <f t="shared" si="402"/>
        <v>0</v>
      </c>
      <c r="L1093" s="67">
        <f t="shared" si="403"/>
        <v>0</v>
      </c>
      <c r="M1093" s="77">
        <f t="shared" si="404"/>
        <v>0</v>
      </c>
      <c r="N1093" s="76">
        <f t="shared" si="405"/>
        <v>1.05</v>
      </c>
      <c r="O1093" s="77">
        <f t="shared" si="406"/>
        <v>0.92500000000000004</v>
      </c>
      <c r="P1093" s="76">
        <f t="shared" si="407"/>
        <v>0</v>
      </c>
      <c r="Q1093" s="76">
        <f t="shared" si="408"/>
        <v>0</v>
      </c>
      <c r="R1093" s="76">
        <f t="shared" si="409"/>
        <v>0.91666666666666663</v>
      </c>
      <c r="S1093" s="76">
        <f t="shared" si="410"/>
        <v>1.0557065217391304</v>
      </c>
      <c r="T1093" s="76">
        <f t="shared" si="411"/>
        <v>1.0357212087337075</v>
      </c>
      <c r="U1093" s="76">
        <f t="shared" si="412"/>
        <v>1.05</v>
      </c>
    </row>
    <row r="1094" spans="1:21" x14ac:dyDescent="0.25">
      <c r="A1094" s="71">
        <v>44</v>
      </c>
      <c r="B1094" s="72">
        <f t="shared" si="413"/>
        <v>46966</v>
      </c>
      <c r="C1094" s="73">
        <f t="shared" si="394"/>
        <v>46996</v>
      </c>
      <c r="D1094" s="67">
        <f t="shared" si="395"/>
        <v>31</v>
      </c>
      <c r="E1094" s="67">
        <f t="shared" si="396"/>
        <v>8</v>
      </c>
      <c r="F1094" s="74">
        <f t="shared" si="397"/>
        <v>46981.5</v>
      </c>
      <c r="G1094" s="67">
        <f t="shared" si="398"/>
        <v>24343</v>
      </c>
      <c r="H1094" s="75">
        <f t="shared" si="399"/>
        <v>1</v>
      </c>
      <c r="I1094" s="76">
        <f t="shared" si="400"/>
        <v>1.05</v>
      </c>
      <c r="J1094" s="76">
        <f t="shared" si="401"/>
        <v>1.05</v>
      </c>
      <c r="K1094" s="67">
        <f t="shared" si="402"/>
        <v>0</v>
      </c>
      <c r="L1094" s="67">
        <f t="shared" si="403"/>
        <v>0</v>
      </c>
      <c r="M1094" s="77">
        <f t="shared" si="404"/>
        <v>0</v>
      </c>
      <c r="N1094" s="76">
        <f t="shared" si="405"/>
        <v>1.05</v>
      </c>
      <c r="O1094" s="77">
        <f t="shared" si="406"/>
        <v>0.92500000000000004</v>
      </c>
      <c r="P1094" s="76">
        <f t="shared" si="407"/>
        <v>0</v>
      </c>
      <c r="Q1094" s="76">
        <f t="shared" si="408"/>
        <v>0</v>
      </c>
      <c r="R1094" s="76">
        <f t="shared" si="409"/>
        <v>0.75</v>
      </c>
      <c r="S1094" s="76">
        <f t="shared" si="410"/>
        <v>1.0557065217391304</v>
      </c>
      <c r="T1094" s="76">
        <f t="shared" si="411"/>
        <v>1.0368824921510797</v>
      </c>
      <c r="U1094" s="76">
        <f t="shared" si="412"/>
        <v>1.05</v>
      </c>
    </row>
    <row r="1095" spans="1:21" x14ac:dyDescent="0.25">
      <c r="A1095" s="71">
        <v>45</v>
      </c>
      <c r="B1095" s="72">
        <f t="shared" si="413"/>
        <v>46997</v>
      </c>
      <c r="C1095" s="73">
        <f t="shared" si="394"/>
        <v>47026</v>
      </c>
      <c r="D1095" s="67">
        <f t="shared" si="395"/>
        <v>30</v>
      </c>
      <c r="E1095" s="67">
        <f t="shared" si="396"/>
        <v>9</v>
      </c>
      <c r="F1095" s="74">
        <f t="shared" si="397"/>
        <v>47012</v>
      </c>
      <c r="G1095" s="67">
        <f t="shared" si="398"/>
        <v>24344</v>
      </c>
      <c r="H1095" s="75">
        <f t="shared" si="399"/>
        <v>1</v>
      </c>
      <c r="I1095" s="76">
        <f t="shared" si="400"/>
        <v>1.05</v>
      </c>
      <c r="J1095" s="76">
        <f t="shared" si="401"/>
        <v>1.05</v>
      </c>
      <c r="K1095" s="67">
        <f t="shared" si="402"/>
        <v>0</v>
      </c>
      <c r="L1095" s="67">
        <f t="shared" si="403"/>
        <v>0</v>
      </c>
      <c r="M1095" s="77">
        <f t="shared" si="404"/>
        <v>0</v>
      </c>
      <c r="N1095" s="76">
        <f t="shared" si="405"/>
        <v>1.05</v>
      </c>
      <c r="O1095" s="77">
        <f t="shared" si="406"/>
        <v>0.92500000000000004</v>
      </c>
      <c r="P1095" s="76">
        <f t="shared" si="407"/>
        <v>0</v>
      </c>
      <c r="Q1095" s="76">
        <f t="shared" si="408"/>
        <v>0</v>
      </c>
      <c r="R1095" s="76">
        <f t="shared" si="409"/>
        <v>0.58333333333333337</v>
      </c>
      <c r="S1095" s="76">
        <f t="shared" si="410"/>
        <v>1.0557065217391304</v>
      </c>
      <c r="T1095" s="76">
        <f t="shared" si="411"/>
        <v>1.0380250451907527</v>
      </c>
      <c r="U1095" s="76">
        <f t="shared" si="412"/>
        <v>1.05</v>
      </c>
    </row>
    <row r="1096" spans="1:21" x14ac:dyDescent="0.25">
      <c r="A1096" s="71">
        <v>46</v>
      </c>
      <c r="B1096" s="72">
        <f t="shared" si="413"/>
        <v>47027</v>
      </c>
      <c r="C1096" s="73">
        <f t="shared" si="394"/>
        <v>47057</v>
      </c>
      <c r="D1096" s="67">
        <f t="shared" si="395"/>
        <v>31</v>
      </c>
      <c r="E1096" s="67">
        <f t="shared" si="396"/>
        <v>10</v>
      </c>
      <c r="F1096" s="74">
        <f t="shared" si="397"/>
        <v>47042.5</v>
      </c>
      <c r="G1096" s="67">
        <f t="shared" si="398"/>
        <v>24345</v>
      </c>
      <c r="H1096" s="75">
        <f t="shared" si="399"/>
        <v>1</v>
      </c>
      <c r="I1096" s="76">
        <f t="shared" si="400"/>
        <v>1.05</v>
      </c>
      <c r="J1096" s="76">
        <f t="shared" si="401"/>
        <v>1.05</v>
      </c>
      <c r="K1096" s="67">
        <f t="shared" si="402"/>
        <v>0</v>
      </c>
      <c r="L1096" s="67">
        <f t="shared" si="403"/>
        <v>0</v>
      </c>
      <c r="M1096" s="77">
        <f t="shared" si="404"/>
        <v>0</v>
      </c>
      <c r="N1096" s="76">
        <f t="shared" si="405"/>
        <v>1.05</v>
      </c>
      <c r="O1096" s="77">
        <f t="shared" si="406"/>
        <v>0.92500000000000004</v>
      </c>
      <c r="P1096" s="76">
        <f t="shared" si="407"/>
        <v>0</v>
      </c>
      <c r="Q1096" s="76">
        <f t="shared" si="408"/>
        <v>0</v>
      </c>
      <c r="R1096" s="76">
        <f t="shared" si="409"/>
        <v>0.41666666666666669</v>
      </c>
      <c r="S1096" s="76">
        <f t="shared" si="410"/>
        <v>1.0557065217391304</v>
      </c>
      <c r="T1096" s="76">
        <f t="shared" si="411"/>
        <v>1.0391675982304254</v>
      </c>
      <c r="U1096" s="76">
        <f t="shared" si="412"/>
        <v>1.05</v>
      </c>
    </row>
    <row r="1097" spans="1:21" x14ac:dyDescent="0.25">
      <c r="A1097" s="71">
        <v>47</v>
      </c>
      <c r="B1097" s="72">
        <f t="shared" si="413"/>
        <v>47058</v>
      </c>
      <c r="C1097" s="73">
        <f t="shared" si="394"/>
        <v>47087</v>
      </c>
      <c r="D1097" s="67">
        <f t="shared" si="395"/>
        <v>30</v>
      </c>
      <c r="E1097" s="67">
        <f t="shared" si="396"/>
        <v>11</v>
      </c>
      <c r="F1097" s="74">
        <f t="shared" si="397"/>
        <v>47073</v>
      </c>
      <c r="G1097" s="67">
        <f t="shared" si="398"/>
        <v>24346</v>
      </c>
      <c r="H1097" s="75">
        <f t="shared" si="399"/>
        <v>1</v>
      </c>
      <c r="I1097" s="76">
        <f t="shared" si="400"/>
        <v>1.05</v>
      </c>
      <c r="J1097" s="76">
        <f t="shared" si="401"/>
        <v>1.05</v>
      </c>
      <c r="K1097" s="67">
        <f t="shared" si="402"/>
        <v>0</v>
      </c>
      <c r="L1097" s="67">
        <f t="shared" si="403"/>
        <v>0</v>
      </c>
      <c r="M1097" s="77">
        <f t="shared" si="404"/>
        <v>0</v>
      </c>
      <c r="N1097" s="76">
        <f t="shared" si="405"/>
        <v>1.05</v>
      </c>
      <c r="O1097" s="77">
        <f t="shared" si="406"/>
        <v>0.92500000000000004</v>
      </c>
      <c r="P1097" s="76">
        <f t="shared" si="407"/>
        <v>0</v>
      </c>
      <c r="Q1097" s="76">
        <f t="shared" si="408"/>
        <v>0</v>
      </c>
      <c r="R1097" s="76">
        <f t="shared" si="409"/>
        <v>0.25</v>
      </c>
      <c r="S1097" s="76">
        <f t="shared" si="410"/>
        <v>1.0557065217391304</v>
      </c>
      <c r="T1097" s="76">
        <f t="shared" si="411"/>
        <v>1.0403101512700981</v>
      </c>
      <c r="U1097" s="76">
        <f t="shared" si="412"/>
        <v>1.05</v>
      </c>
    </row>
    <row r="1098" spans="1:21" x14ac:dyDescent="0.25">
      <c r="A1098" s="71">
        <v>48</v>
      </c>
      <c r="B1098" s="72">
        <f t="shared" si="413"/>
        <v>47088</v>
      </c>
      <c r="C1098" s="73">
        <f t="shared" si="394"/>
        <v>47118</v>
      </c>
      <c r="D1098" s="67">
        <f t="shared" si="395"/>
        <v>31</v>
      </c>
      <c r="E1098" s="67">
        <f t="shared" si="396"/>
        <v>12</v>
      </c>
      <c r="F1098" s="74">
        <f t="shared" si="397"/>
        <v>47103.5</v>
      </c>
      <c r="G1098" s="67">
        <f t="shared" si="398"/>
        <v>24347</v>
      </c>
      <c r="H1098" s="75">
        <f t="shared" si="399"/>
        <v>1</v>
      </c>
      <c r="I1098" s="76">
        <f t="shared" si="400"/>
        <v>1.05</v>
      </c>
      <c r="J1098" s="76">
        <f t="shared" si="401"/>
        <v>1.05</v>
      </c>
      <c r="K1098" s="67">
        <f t="shared" si="402"/>
        <v>0</v>
      </c>
      <c r="L1098" s="67">
        <f t="shared" si="403"/>
        <v>0</v>
      </c>
      <c r="M1098" s="77">
        <f t="shared" si="404"/>
        <v>0</v>
      </c>
      <c r="N1098" s="76">
        <f t="shared" si="405"/>
        <v>1.05</v>
      </c>
      <c r="O1098" s="77">
        <f t="shared" si="406"/>
        <v>0.92500000000000004</v>
      </c>
      <c r="P1098" s="76">
        <f t="shared" si="407"/>
        <v>0</v>
      </c>
      <c r="Q1098" s="76">
        <f t="shared" si="408"/>
        <v>0</v>
      </c>
      <c r="R1098" s="76">
        <f t="shared" si="409"/>
        <v>8.3333333333333329E-2</v>
      </c>
      <c r="S1098" s="76">
        <f t="shared" si="410"/>
        <v>1.0557065217391304</v>
      </c>
      <c r="T1098" s="76">
        <f t="shared" si="411"/>
        <v>1.0414527043097708</v>
      </c>
      <c r="U1098" s="76">
        <f t="shared" si="412"/>
        <v>1.05</v>
      </c>
    </row>
    <row r="1099" spans="1:21" x14ac:dyDescent="0.25">
      <c r="A1099" s="81" t="s">
        <v>1187</v>
      </c>
      <c r="B1099" s="53">
        <f>EXP(SUMPRODUCT((rl_key=$A$1048)*(rl_cons="Y")*rl_ln1p))</f>
        <v>1.05</v>
      </c>
      <c r="C1099" s="53">
        <f>SUMPRODUCT($H$1051:$H$1098,$P$1051:$P$1098,$U$1051:$U$1098)/SUMPRODUCT($H$1051:$H$1098,$P$1051:$P$1098)</f>
        <v>1.0125</v>
      </c>
      <c r="D1099" s="53">
        <f>SUMPRODUCT($H$1051:$H$1098,$Q$1051:$Q$1098,$U$1051:$U$1098)/SUMPRODUCT($H$1051:$H$1098,$Q$1051:$Q$1098)</f>
        <v>1.05</v>
      </c>
      <c r="E1099" s="53">
        <f>SUMPRODUCT($H$1051:$H$1098,$R$1051:$R$1098,$U$1051:$U$1098)/SUMPRODUCT($H$1051:$H$1098,$R$1051:$R$1098)</f>
        <v>1.05</v>
      </c>
      <c r="F1099" s="172">
        <f>SUMPRODUCT($H$1051:$H$1098,$Q$1051:$Q$1098,$O$1051:$O$1098)/SUMPRODUCT($H$1051:$H$1098,$Q$1051:$Q$1098)</f>
        <v>0.91598878555798668</v>
      </c>
      <c r="G1099" s="172">
        <f>SUMPRODUCT($H$1051:$H$1098,$R$1051:$R$1098,$O$1051:$O$1098)/SUMPRODUCT($H$1051:$H$1098,$R$1051:$R$1098)</f>
        <v>0.92449033552151683</v>
      </c>
    </row>
    <row r="1102" spans="1:21" x14ac:dyDescent="0.25">
      <c r="A1102" s="81" t="str">
        <f>INDEX(lr_key,20)</f>
        <v>BU-A|TN</v>
      </c>
      <c r="B1102" s="81" t="str">
        <f>INDEX(lr_state,20)</f>
        <v>TN</v>
      </c>
      <c r="C1102" s="55">
        <f>nr_TermMonths</f>
        <v>6</v>
      </c>
      <c r="D1102" s="55">
        <f>IF(COUNTIF(se_state,$B1102)=0,0,MATCH($B1102,se_state,0))</f>
        <v>0</v>
      </c>
      <c r="E1102" s="57">
        <f>IF($D1102=0,0,INDEX(se_sum,$D1102))</f>
        <v>0</v>
      </c>
      <c r="F1102" s="172">
        <f>IF(N(INDEX(lr_mind,20))=0,1,INDEX(lr_mind,20))</f>
        <v>0.92</v>
      </c>
      <c r="G1102" s="172">
        <f>IF(N(INDEX(lr_m0,20))=0,1,INDEX(lr_m0,20))</f>
        <v>0.91</v>
      </c>
      <c r="H1102" s="54">
        <f>IF(N(INDEX(lr_m0asof,20))=0,DATE(nr_PlanYear-1,10,1),INDEX(lr_m0asof,20))</f>
        <v>46295</v>
      </c>
      <c r="I1102" s="172">
        <f>IF(N(INDEX(lr_m1,20))=0,1,INDEX(lr_m1,20))</f>
        <v>0.90500000000000003</v>
      </c>
      <c r="J1102" s="172">
        <f>INDEX(lr_mprior,20)</f>
        <v>0</v>
      </c>
      <c r="K1102" s="172">
        <f>INDEX(lr_m2,20)</f>
        <v>0</v>
      </c>
      <c r="L1102" s="81" t="b">
        <f>NOT(ISBLANK(INDEX(lr_netp,20)))</f>
        <v>0</v>
      </c>
      <c r="M1102" s="52">
        <f>N(INDEX(lr_netp,20))</f>
        <v>0</v>
      </c>
      <c r="N1102" s="52">
        <f>IF(ISBLANK(INDEX(lr_netp1,20)),$M$1102,N(INDEX(lr_netp1,20)))</f>
        <v>0</v>
      </c>
      <c r="O1102" s="55">
        <f>IF(AND(nr_ModAdjMaster="ON",INDEX(lr_modadj,20)="ON"),1,0)</f>
        <v>1</v>
      </c>
    </row>
    <row r="1103" spans="1:21" x14ac:dyDescent="0.25">
      <c r="A1103" s="81">
        <f>EDATE($H$1102,-12)+1</f>
        <v>45931</v>
      </c>
      <c r="B1103" s="81">
        <f>$H$1102+1</f>
        <v>46296</v>
      </c>
      <c r="C1103" s="81">
        <f>DATE(nr_PlanYear,12,31)+1</f>
        <v>46753</v>
      </c>
      <c r="D1103" s="81">
        <f>DATE(nr_PlanYear+1,12,31)+1</f>
        <v>47119</v>
      </c>
      <c r="E1103" s="81">
        <f>IF(N($J$1102)=0,$F$1103-($G$1103-$F$1103)/($C$1103-$B$1103)*($B$1103-$A$1103),$J$1102)</f>
        <v>0.9139934354485777</v>
      </c>
      <c r="F1103" s="81">
        <f>$G$1102</f>
        <v>0.91</v>
      </c>
      <c r="G1103" s="81">
        <f>$I$1102</f>
        <v>0.90500000000000003</v>
      </c>
      <c r="H1103" s="81">
        <f>IF(N($K$1102)=0,$I$1102,$K$1102)</f>
        <v>0.90500000000000003</v>
      </c>
      <c r="I1103" s="81">
        <f>($F$1103-$E$1103)/($B$1103-$A$1103)</f>
        <v>-1.0940919037199081E-5</v>
      </c>
      <c r="J1103" s="81">
        <f>($G$1103-$F$1103)/($C$1103-$B$1103)</f>
        <v>-1.0940919037199135E-5</v>
      </c>
      <c r="K1103" s="81">
        <f>($H$1103-$G$1103)/($D$1103-$C$1103)</f>
        <v>0</v>
      </c>
    </row>
    <row r="1104" spans="1:21" ht="36" x14ac:dyDescent="0.25">
      <c r="A1104" s="50" t="s">
        <v>211</v>
      </c>
      <c r="B1104" s="50" t="s">
        <v>212</v>
      </c>
      <c r="C1104" s="50" t="s">
        <v>213</v>
      </c>
      <c r="D1104" s="50" t="s">
        <v>214</v>
      </c>
      <c r="E1104" s="50" t="s">
        <v>215</v>
      </c>
      <c r="F1104" s="50" t="s">
        <v>216</v>
      </c>
      <c r="G1104" s="50" t="s">
        <v>217</v>
      </c>
      <c r="H1104" s="50" t="s">
        <v>218</v>
      </c>
      <c r="I1104" s="50" t="s">
        <v>219</v>
      </c>
      <c r="J1104" s="50" t="s">
        <v>220</v>
      </c>
      <c r="K1104" s="50" t="s">
        <v>221</v>
      </c>
      <c r="L1104" s="50" t="s">
        <v>222</v>
      </c>
      <c r="M1104" s="50" t="s">
        <v>223</v>
      </c>
      <c r="N1104" s="50" t="s">
        <v>224</v>
      </c>
      <c r="O1104" s="50" t="s">
        <v>225</v>
      </c>
      <c r="P1104" s="50" t="s">
        <v>226</v>
      </c>
      <c r="Q1104" s="50" t="s">
        <v>227</v>
      </c>
      <c r="R1104" s="50" t="s">
        <v>228</v>
      </c>
      <c r="S1104" s="50" t="s">
        <v>229</v>
      </c>
      <c r="T1104" s="50" t="s">
        <v>230</v>
      </c>
      <c r="U1104" s="50" t="s">
        <v>231</v>
      </c>
    </row>
    <row r="1105" spans="1:21" x14ac:dyDescent="0.25">
      <c r="A1105" s="71">
        <v>1</v>
      </c>
      <c r="B1105" s="72">
        <f>DATE(nr_PlanYear-2,1,1)</f>
        <v>45658</v>
      </c>
      <c r="C1105" s="73">
        <f t="shared" ref="C1105:C1152" si="414">EOMONTH($B1105,0)</f>
        <v>45688</v>
      </c>
      <c r="D1105" s="67">
        <f t="shared" ref="D1105:D1152" si="415">$C1105-$B1105+1</f>
        <v>31</v>
      </c>
      <c r="E1105" s="67">
        <f t="shared" ref="E1105:E1152" si="416">MONTH($B1105)</f>
        <v>1</v>
      </c>
      <c r="F1105" s="74">
        <f t="shared" ref="F1105:F1152" si="417">($B1105+$C1105+1)/2</f>
        <v>45673.5</v>
      </c>
      <c r="G1105" s="67">
        <f t="shared" ref="G1105:G1152" si="418">YEAR($B1105)*12+MONTH($B1105)-1</f>
        <v>24300</v>
      </c>
      <c r="H1105" s="75">
        <f t="shared" ref="H1105:H1152" si="419">IF(OR(nr_SeasonOn="OFF",$D$1102=0,$E$1102=0),1,12*INDEX(se_block,$D$1102,$E1105)/$E$1102)</f>
        <v>1</v>
      </c>
      <c r="I1105" s="76">
        <f t="shared" ref="I1105:I1152" si="420">EXP(SUMPRODUCT((rl_eff&lt;$B1105)*(rl_key=$A$1102)*rl_ln1p))</f>
        <v>1</v>
      </c>
      <c r="J1105" s="76">
        <f t="shared" ref="J1105:J1152" si="421">EXP(SUMPRODUCT((rl_eff&lt;=$C1105)*(rl_key=$A$1102)*rl_ln1p))</f>
        <v>1</v>
      </c>
      <c r="K1105" s="67">
        <f t="shared" ref="K1105:K1152" si="422">COUNTIFS(rl_key,$A$1102,rl_eff,"&gt;="&amp;$B1105,rl_eff,"&lt;="&amp;$C1105)</f>
        <v>0</v>
      </c>
      <c r="L1105" s="67">
        <f t="shared" ref="L1105:L1152" si="423">SUMIFS(rl_daysafter,rl_key,$A$1102,rl_effmonth,$B1105,rl_first,1)</f>
        <v>0</v>
      </c>
      <c r="M1105" s="77">
        <f t="shared" ref="M1105:M1152" si="424">IF($K1105=0,0,MIN(1,$L1105/$D1105))</f>
        <v>0</v>
      </c>
      <c r="N1105" s="76">
        <f t="shared" ref="N1105:N1152" si="425">IF($K1105=0,$J1105,(1-$M1105)*$I1105+$M1105*$J1105)</f>
        <v>1</v>
      </c>
      <c r="O1105" s="77">
        <f t="shared" ref="O1105:O1152" si="426">IF($F1105&lt;$B$1103,$E$1103+$I$1103*($F1105-$A$1103),IF($F1105&lt;$C$1103,$F$1103+$J$1103*($F1105-$B$1103),$G$1103+$K$1103*($F1105-$C$1103)))</f>
        <v>0.91681072210065651</v>
      </c>
      <c r="P1105" s="76">
        <f t="shared" ref="P1105:P1152" si="427">MIN(1,MAX(0,(nr_MEndPm1-$G1105+0.5)/$C$1102))-MIN(1,MAX(0,(nr_MStartPm1-1-$G1105+0.5)/$C$1102))</f>
        <v>0</v>
      </c>
      <c r="Q1105" s="76">
        <f t="shared" ref="Q1105:Q1152" si="428">MIN(1,MAX(0,(nr_MEndP-$G1105+0.5)/$C$1102))-MIN(1,MAX(0,(nr_MStartP-1-$G1105+0.5)/$C$1102))</f>
        <v>0</v>
      </c>
      <c r="R1105" s="76">
        <f t="shared" ref="R1105:R1152" si="429">MIN(1,MAX(0,(nr_MEndP1-$G1105+0.5)/$C$1102))-MIN(1,MAX(0,(nr_MStartP1-1-$G1105+0.5)/$C$1102))</f>
        <v>0</v>
      </c>
      <c r="S1105" s="76">
        <f t="shared" ref="S1105:S1152" si="430">$N1105*IF($O$1102=1,$O1105/$F$1102,1)</f>
        <v>0.99653339358767012</v>
      </c>
      <c r="T1105" s="76">
        <f t="shared" ref="T1105:T1152" si="431">IF($G1105&lt;nr_MStartP,$S1105,$T1093*(1+IF($G1105&lt;nr_MStartP1,$M$1102,$N$1102)))</f>
        <v>0.99653339358767012</v>
      </c>
      <c r="U1105" s="76">
        <f t="shared" ref="U1105:U1152" si="432">IF($L$1102,$T1105,$N1105)</f>
        <v>1</v>
      </c>
    </row>
    <row r="1106" spans="1:21" x14ac:dyDescent="0.25">
      <c r="A1106" s="71">
        <v>2</v>
      </c>
      <c r="B1106" s="72">
        <f t="shared" ref="B1106:B1152" si="433">EDATE($B1105,1)</f>
        <v>45689</v>
      </c>
      <c r="C1106" s="73">
        <f t="shared" si="414"/>
        <v>45716</v>
      </c>
      <c r="D1106" s="67">
        <f t="shared" si="415"/>
        <v>28</v>
      </c>
      <c r="E1106" s="67">
        <f t="shared" si="416"/>
        <v>2</v>
      </c>
      <c r="F1106" s="74">
        <f t="shared" si="417"/>
        <v>45703</v>
      </c>
      <c r="G1106" s="67">
        <f t="shared" si="418"/>
        <v>24301</v>
      </c>
      <c r="H1106" s="75">
        <f t="shared" si="419"/>
        <v>1</v>
      </c>
      <c r="I1106" s="76">
        <f t="shared" si="420"/>
        <v>1</v>
      </c>
      <c r="J1106" s="76">
        <f t="shared" si="421"/>
        <v>1</v>
      </c>
      <c r="K1106" s="67">
        <f t="shared" si="422"/>
        <v>0</v>
      </c>
      <c r="L1106" s="67">
        <f t="shared" si="423"/>
        <v>0</v>
      </c>
      <c r="M1106" s="77">
        <f t="shared" si="424"/>
        <v>0</v>
      </c>
      <c r="N1106" s="76">
        <f t="shared" si="425"/>
        <v>1</v>
      </c>
      <c r="O1106" s="77">
        <f t="shared" si="426"/>
        <v>0.91648796498905905</v>
      </c>
      <c r="P1106" s="76">
        <f t="shared" si="427"/>
        <v>0</v>
      </c>
      <c r="Q1106" s="76">
        <f t="shared" si="428"/>
        <v>0</v>
      </c>
      <c r="R1106" s="76">
        <f t="shared" si="429"/>
        <v>0</v>
      </c>
      <c r="S1106" s="76">
        <f t="shared" si="430"/>
        <v>0.99618257064028148</v>
      </c>
      <c r="T1106" s="76">
        <f t="shared" si="431"/>
        <v>0.99618257064028148</v>
      </c>
      <c r="U1106" s="76">
        <f t="shared" si="432"/>
        <v>1</v>
      </c>
    </row>
    <row r="1107" spans="1:21" x14ac:dyDescent="0.25">
      <c r="A1107" s="71">
        <v>3</v>
      </c>
      <c r="B1107" s="72">
        <f t="shared" si="433"/>
        <v>45717</v>
      </c>
      <c r="C1107" s="73">
        <f t="shared" si="414"/>
        <v>45747</v>
      </c>
      <c r="D1107" s="67">
        <f t="shared" si="415"/>
        <v>31</v>
      </c>
      <c r="E1107" s="67">
        <f t="shared" si="416"/>
        <v>3</v>
      </c>
      <c r="F1107" s="74">
        <f t="shared" si="417"/>
        <v>45732.5</v>
      </c>
      <c r="G1107" s="67">
        <f t="shared" si="418"/>
        <v>24302</v>
      </c>
      <c r="H1107" s="75">
        <f t="shared" si="419"/>
        <v>1</v>
      </c>
      <c r="I1107" s="76">
        <f t="shared" si="420"/>
        <v>1</v>
      </c>
      <c r="J1107" s="76">
        <f t="shared" si="421"/>
        <v>1</v>
      </c>
      <c r="K1107" s="67">
        <f t="shared" si="422"/>
        <v>0</v>
      </c>
      <c r="L1107" s="67">
        <f t="shared" si="423"/>
        <v>0</v>
      </c>
      <c r="M1107" s="77">
        <f t="shared" si="424"/>
        <v>0</v>
      </c>
      <c r="N1107" s="76">
        <f t="shared" si="425"/>
        <v>1</v>
      </c>
      <c r="O1107" s="77">
        <f t="shared" si="426"/>
        <v>0.9161652078774617</v>
      </c>
      <c r="P1107" s="76">
        <f t="shared" si="427"/>
        <v>0</v>
      </c>
      <c r="Q1107" s="76">
        <f t="shared" si="428"/>
        <v>0</v>
      </c>
      <c r="R1107" s="76">
        <f t="shared" si="429"/>
        <v>0</v>
      </c>
      <c r="S1107" s="76">
        <f t="shared" si="430"/>
        <v>0.99583174769289307</v>
      </c>
      <c r="T1107" s="76">
        <f t="shared" si="431"/>
        <v>0.99583174769289307</v>
      </c>
      <c r="U1107" s="76">
        <f t="shared" si="432"/>
        <v>1</v>
      </c>
    </row>
    <row r="1108" spans="1:21" x14ac:dyDescent="0.25">
      <c r="A1108" s="71">
        <v>4</v>
      </c>
      <c r="B1108" s="72">
        <f t="shared" si="433"/>
        <v>45748</v>
      </c>
      <c r="C1108" s="73">
        <f t="shared" si="414"/>
        <v>45777</v>
      </c>
      <c r="D1108" s="67">
        <f t="shared" si="415"/>
        <v>30</v>
      </c>
      <c r="E1108" s="67">
        <f t="shared" si="416"/>
        <v>4</v>
      </c>
      <c r="F1108" s="74">
        <f t="shared" si="417"/>
        <v>45763</v>
      </c>
      <c r="G1108" s="67">
        <f t="shared" si="418"/>
        <v>24303</v>
      </c>
      <c r="H1108" s="75">
        <f t="shared" si="419"/>
        <v>1</v>
      </c>
      <c r="I1108" s="76">
        <f t="shared" si="420"/>
        <v>1</v>
      </c>
      <c r="J1108" s="76">
        <f t="shared" si="421"/>
        <v>1</v>
      </c>
      <c r="K1108" s="67">
        <f t="shared" si="422"/>
        <v>0</v>
      </c>
      <c r="L1108" s="67">
        <f t="shared" si="423"/>
        <v>0</v>
      </c>
      <c r="M1108" s="77">
        <f t="shared" si="424"/>
        <v>0</v>
      </c>
      <c r="N1108" s="76">
        <f t="shared" si="425"/>
        <v>1</v>
      </c>
      <c r="O1108" s="77">
        <f t="shared" si="426"/>
        <v>0.91583150984682715</v>
      </c>
      <c r="P1108" s="76">
        <f t="shared" si="427"/>
        <v>0</v>
      </c>
      <c r="Q1108" s="76">
        <f t="shared" si="428"/>
        <v>0</v>
      </c>
      <c r="R1108" s="76">
        <f t="shared" si="429"/>
        <v>0</v>
      </c>
      <c r="S1108" s="76">
        <f t="shared" si="430"/>
        <v>0.99546903244220342</v>
      </c>
      <c r="T1108" s="76">
        <f t="shared" si="431"/>
        <v>0.99546903244220342</v>
      </c>
      <c r="U1108" s="76">
        <f t="shared" si="432"/>
        <v>1</v>
      </c>
    </row>
    <row r="1109" spans="1:21" x14ac:dyDescent="0.25">
      <c r="A1109" s="71">
        <v>5</v>
      </c>
      <c r="B1109" s="72">
        <f t="shared" si="433"/>
        <v>45778</v>
      </c>
      <c r="C1109" s="73">
        <f t="shared" si="414"/>
        <v>45808</v>
      </c>
      <c r="D1109" s="67">
        <f t="shared" si="415"/>
        <v>31</v>
      </c>
      <c r="E1109" s="67">
        <f t="shared" si="416"/>
        <v>5</v>
      </c>
      <c r="F1109" s="74">
        <f t="shared" si="417"/>
        <v>45793.5</v>
      </c>
      <c r="G1109" s="67">
        <f t="shared" si="418"/>
        <v>24304</v>
      </c>
      <c r="H1109" s="75">
        <f t="shared" si="419"/>
        <v>1</v>
      </c>
      <c r="I1109" s="76">
        <f t="shared" si="420"/>
        <v>1</v>
      </c>
      <c r="J1109" s="76">
        <f t="shared" si="421"/>
        <v>1</v>
      </c>
      <c r="K1109" s="67">
        <f t="shared" si="422"/>
        <v>0</v>
      </c>
      <c r="L1109" s="67">
        <f t="shared" si="423"/>
        <v>0</v>
      </c>
      <c r="M1109" s="77">
        <f t="shared" si="424"/>
        <v>0</v>
      </c>
      <c r="N1109" s="76">
        <f t="shared" si="425"/>
        <v>1</v>
      </c>
      <c r="O1109" s="77">
        <f t="shared" si="426"/>
        <v>0.91549781181619261</v>
      </c>
      <c r="P1109" s="76">
        <f t="shared" si="427"/>
        <v>0</v>
      </c>
      <c r="Q1109" s="76">
        <f t="shared" si="428"/>
        <v>0</v>
      </c>
      <c r="R1109" s="76">
        <f t="shared" si="429"/>
        <v>0</v>
      </c>
      <c r="S1109" s="76">
        <f t="shared" si="430"/>
        <v>0.99510631719151366</v>
      </c>
      <c r="T1109" s="76">
        <f t="shared" si="431"/>
        <v>0.99510631719151366</v>
      </c>
      <c r="U1109" s="76">
        <f t="shared" si="432"/>
        <v>1</v>
      </c>
    </row>
    <row r="1110" spans="1:21" x14ac:dyDescent="0.25">
      <c r="A1110" s="71">
        <v>6</v>
      </c>
      <c r="B1110" s="72">
        <f t="shared" si="433"/>
        <v>45809</v>
      </c>
      <c r="C1110" s="73">
        <f t="shared" si="414"/>
        <v>45838</v>
      </c>
      <c r="D1110" s="67">
        <f t="shared" si="415"/>
        <v>30</v>
      </c>
      <c r="E1110" s="67">
        <f t="shared" si="416"/>
        <v>6</v>
      </c>
      <c r="F1110" s="74">
        <f t="shared" si="417"/>
        <v>45824</v>
      </c>
      <c r="G1110" s="67">
        <f t="shared" si="418"/>
        <v>24305</v>
      </c>
      <c r="H1110" s="75">
        <f t="shared" si="419"/>
        <v>1</v>
      </c>
      <c r="I1110" s="76">
        <f t="shared" si="420"/>
        <v>1</v>
      </c>
      <c r="J1110" s="76">
        <f t="shared" si="421"/>
        <v>1</v>
      </c>
      <c r="K1110" s="67">
        <f t="shared" si="422"/>
        <v>0</v>
      </c>
      <c r="L1110" s="67">
        <f t="shared" si="423"/>
        <v>0</v>
      </c>
      <c r="M1110" s="77">
        <f t="shared" si="424"/>
        <v>0</v>
      </c>
      <c r="N1110" s="76">
        <f t="shared" si="425"/>
        <v>1</v>
      </c>
      <c r="O1110" s="77">
        <f t="shared" si="426"/>
        <v>0.91516411378555795</v>
      </c>
      <c r="P1110" s="76">
        <f t="shared" si="427"/>
        <v>0</v>
      </c>
      <c r="Q1110" s="76">
        <f t="shared" si="428"/>
        <v>0</v>
      </c>
      <c r="R1110" s="76">
        <f t="shared" si="429"/>
        <v>0</v>
      </c>
      <c r="S1110" s="76">
        <f t="shared" si="430"/>
        <v>0.99474360194082379</v>
      </c>
      <c r="T1110" s="76">
        <f t="shared" si="431"/>
        <v>0.99474360194082379</v>
      </c>
      <c r="U1110" s="76">
        <f t="shared" si="432"/>
        <v>1</v>
      </c>
    </row>
    <row r="1111" spans="1:21" x14ac:dyDescent="0.25">
      <c r="A1111" s="71">
        <v>7</v>
      </c>
      <c r="B1111" s="72">
        <f t="shared" si="433"/>
        <v>45839</v>
      </c>
      <c r="C1111" s="73">
        <f t="shared" si="414"/>
        <v>45869</v>
      </c>
      <c r="D1111" s="67">
        <f t="shared" si="415"/>
        <v>31</v>
      </c>
      <c r="E1111" s="67">
        <f t="shared" si="416"/>
        <v>7</v>
      </c>
      <c r="F1111" s="74">
        <f t="shared" si="417"/>
        <v>45854.5</v>
      </c>
      <c r="G1111" s="67">
        <f t="shared" si="418"/>
        <v>24306</v>
      </c>
      <c r="H1111" s="75">
        <f t="shared" si="419"/>
        <v>1</v>
      </c>
      <c r="I1111" s="76">
        <f t="shared" si="420"/>
        <v>1</v>
      </c>
      <c r="J1111" s="76">
        <f t="shared" si="421"/>
        <v>1</v>
      </c>
      <c r="K1111" s="67">
        <f t="shared" si="422"/>
        <v>0</v>
      </c>
      <c r="L1111" s="67">
        <f t="shared" si="423"/>
        <v>0</v>
      </c>
      <c r="M1111" s="77">
        <f t="shared" si="424"/>
        <v>0</v>
      </c>
      <c r="N1111" s="76">
        <f t="shared" si="425"/>
        <v>1</v>
      </c>
      <c r="O1111" s="77">
        <f t="shared" si="426"/>
        <v>0.91483041575492341</v>
      </c>
      <c r="P1111" s="76">
        <f t="shared" si="427"/>
        <v>8.333333333333337E-2</v>
      </c>
      <c r="Q1111" s="76">
        <f t="shared" si="428"/>
        <v>0</v>
      </c>
      <c r="R1111" s="76">
        <f t="shared" si="429"/>
        <v>0</v>
      </c>
      <c r="S1111" s="76">
        <f t="shared" si="430"/>
        <v>0.99438088669013414</v>
      </c>
      <c r="T1111" s="76">
        <f t="shared" si="431"/>
        <v>0.99438088669013414</v>
      </c>
      <c r="U1111" s="76">
        <f t="shared" si="432"/>
        <v>1</v>
      </c>
    </row>
    <row r="1112" spans="1:21" x14ac:dyDescent="0.25">
      <c r="A1112" s="71">
        <v>8</v>
      </c>
      <c r="B1112" s="72">
        <f t="shared" si="433"/>
        <v>45870</v>
      </c>
      <c r="C1112" s="73">
        <f t="shared" si="414"/>
        <v>45900</v>
      </c>
      <c r="D1112" s="67">
        <f t="shared" si="415"/>
        <v>31</v>
      </c>
      <c r="E1112" s="67">
        <f t="shared" si="416"/>
        <v>8</v>
      </c>
      <c r="F1112" s="74">
        <f t="shared" si="417"/>
        <v>45885.5</v>
      </c>
      <c r="G1112" s="67">
        <f t="shared" si="418"/>
        <v>24307</v>
      </c>
      <c r="H1112" s="75">
        <f t="shared" si="419"/>
        <v>1</v>
      </c>
      <c r="I1112" s="76">
        <f t="shared" si="420"/>
        <v>1</v>
      </c>
      <c r="J1112" s="76">
        <f t="shared" si="421"/>
        <v>1</v>
      </c>
      <c r="K1112" s="67">
        <f t="shared" si="422"/>
        <v>0</v>
      </c>
      <c r="L1112" s="67">
        <f t="shared" si="423"/>
        <v>0</v>
      </c>
      <c r="M1112" s="77">
        <f t="shared" si="424"/>
        <v>0</v>
      </c>
      <c r="N1112" s="76">
        <f t="shared" si="425"/>
        <v>1</v>
      </c>
      <c r="O1112" s="77">
        <f t="shared" si="426"/>
        <v>0.91449124726477027</v>
      </c>
      <c r="P1112" s="76">
        <f t="shared" si="427"/>
        <v>0.25</v>
      </c>
      <c r="Q1112" s="76">
        <f t="shared" si="428"/>
        <v>0</v>
      </c>
      <c r="R1112" s="76">
        <f t="shared" si="429"/>
        <v>0</v>
      </c>
      <c r="S1112" s="76">
        <f t="shared" si="430"/>
        <v>0.99401222528779376</v>
      </c>
      <c r="T1112" s="76">
        <f t="shared" si="431"/>
        <v>0.99401222528779376</v>
      </c>
      <c r="U1112" s="76">
        <f t="shared" si="432"/>
        <v>1</v>
      </c>
    </row>
    <row r="1113" spans="1:21" x14ac:dyDescent="0.25">
      <c r="A1113" s="71">
        <v>9</v>
      </c>
      <c r="B1113" s="72">
        <f t="shared" si="433"/>
        <v>45901</v>
      </c>
      <c r="C1113" s="73">
        <f t="shared" si="414"/>
        <v>45930</v>
      </c>
      <c r="D1113" s="67">
        <f t="shared" si="415"/>
        <v>30</v>
      </c>
      <c r="E1113" s="67">
        <f t="shared" si="416"/>
        <v>9</v>
      </c>
      <c r="F1113" s="74">
        <f t="shared" si="417"/>
        <v>45916</v>
      </c>
      <c r="G1113" s="67">
        <f t="shared" si="418"/>
        <v>24308</v>
      </c>
      <c r="H1113" s="75">
        <f t="shared" si="419"/>
        <v>1</v>
      </c>
      <c r="I1113" s="76">
        <f t="shared" si="420"/>
        <v>1</v>
      </c>
      <c r="J1113" s="76">
        <f t="shared" si="421"/>
        <v>1</v>
      </c>
      <c r="K1113" s="67">
        <f t="shared" si="422"/>
        <v>0</v>
      </c>
      <c r="L1113" s="67">
        <f t="shared" si="423"/>
        <v>0</v>
      </c>
      <c r="M1113" s="77">
        <f t="shared" si="424"/>
        <v>0</v>
      </c>
      <c r="N1113" s="76">
        <f t="shared" si="425"/>
        <v>1</v>
      </c>
      <c r="O1113" s="77">
        <f t="shared" si="426"/>
        <v>0.91415754923413572</v>
      </c>
      <c r="P1113" s="76">
        <f t="shared" si="427"/>
        <v>0.41666666666666663</v>
      </c>
      <c r="Q1113" s="76">
        <f t="shared" si="428"/>
        <v>0</v>
      </c>
      <c r="R1113" s="76">
        <f t="shared" si="429"/>
        <v>0</v>
      </c>
      <c r="S1113" s="76">
        <f t="shared" si="430"/>
        <v>0.993649510037104</v>
      </c>
      <c r="T1113" s="76">
        <f t="shared" si="431"/>
        <v>0.993649510037104</v>
      </c>
      <c r="U1113" s="76">
        <f t="shared" si="432"/>
        <v>1</v>
      </c>
    </row>
    <row r="1114" spans="1:21" x14ac:dyDescent="0.25">
      <c r="A1114" s="71">
        <v>10</v>
      </c>
      <c r="B1114" s="72">
        <f t="shared" si="433"/>
        <v>45931</v>
      </c>
      <c r="C1114" s="73">
        <f t="shared" si="414"/>
        <v>45961</v>
      </c>
      <c r="D1114" s="67">
        <f t="shared" si="415"/>
        <v>31</v>
      </c>
      <c r="E1114" s="67">
        <f t="shared" si="416"/>
        <v>10</v>
      </c>
      <c r="F1114" s="74">
        <f t="shared" si="417"/>
        <v>45946.5</v>
      </c>
      <c r="G1114" s="67">
        <f t="shared" si="418"/>
        <v>24309</v>
      </c>
      <c r="H1114" s="75">
        <f t="shared" si="419"/>
        <v>1</v>
      </c>
      <c r="I1114" s="76">
        <f t="shared" si="420"/>
        <v>1</v>
      </c>
      <c r="J1114" s="76">
        <f t="shared" si="421"/>
        <v>1</v>
      </c>
      <c r="K1114" s="67">
        <f t="shared" si="422"/>
        <v>0</v>
      </c>
      <c r="L1114" s="67">
        <f t="shared" si="423"/>
        <v>0</v>
      </c>
      <c r="M1114" s="77">
        <f t="shared" si="424"/>
        <v>0</v>
      </c>
      <c r="N1114" s="76">
        <f t="shared" si="425"/>
        <v>1</v>
      </c>
      <c r="O1114" s="77">
        <f t="shared" si="426"/>
        <v>0.91382385120350107</v>
      </c>
      <c r="P1114" s="76">
        <f t="shared" si="427"/>
        <v>0.58333333333333326</v>
      </c>
      <c r="Q1114" s="76">
        <f t="shared" si="428"/>
        <v>0</v>
      </c>
      <c r="R1114" s="76">
        <f t="shared" si="429"/>
        <v>0</v>
      </c>
      <c r="S1114" s="76">
        <f t="shared" si="430"/>
        <v>0.99328679478641413</v>
      </c>
      <c r="T1114" s="76">
        <f t="shared" si="431"/>
        <v>0.99328679478641413</v>
      </c>
      <c r="U1114" s="76">
        <f t="shared" si="432"/>
        <v>1</v>
      </c>
    </row>
    <row r="1115" spans="1:21" x14ac:dyDescent="0.25">
      <c r="A1115" s="71">
        <v>11</v>
      </c>
      <c r="B1115" s="72">
        <f t="shared" si="433"/>
        <v>45962</v>
      </c>
      <c r="C1115" s="73">
        <f t="shared" si="414"/>
        <v>45991</v>
      </c>
      <c r="D1115" s="67">
        <f t="shared" si="415"/>
        <v>30</v>
      </c>
      <c r="E1115" s="67">
        <f t="shared" si="416"/>
        <v>11</v>
      </c>
      <c r="F1115" s="74">
        <f t="shared" si="417"/>
        <v>45977</v>
      </c>
      <c r="G1115" s="67">
        <f t="shared" si="418"/>
        <v>24310</v>
      </c>
      <c r="H1115" s="75">
        <f t="shared" si="419"/>
        <v>1</v>
      </c>
      <c r="I1115" s="76">
        <f t="shared" si="420"/>
        <v>1</v>
      </c>
      <c r="J1115" s="76">
        <f t="shared" si="421"/>
        <v>1</v>
      </c>
      <c r="K1115" s="67">
        <f t="shared" si="422"/>
        <v>0</v>
      </c>
      <c r="L1115" s="67">
        <f t="shared" si="423"/>
        <v>0</v>
      </c>
      <c r="M1115" s="77">
        <f t="shared" si="424"/>
        <v>0</v>
      </c>
      <c r="N1115" s="76">
        <f t="shared" si="425"/>
        <v>1</v>
      </c>
      <c r="O1115" s="77">
        <f t="shared" si="426"/>
        <v>0.91349015317286653</v>
      </c>
      <c r="P1115" s="76">
        <f t="shared" si="427"/>
        <v>0.75</v>
      </c>
      <c r="Q1115" s="76">
        <f t="shared" si="428"/>
        <v>0</v>
      </c>
      <c r="R1115" s="76">
        <f t="shared" si="429"/>
        <v>0</v>
      </c>
      <c r="S1115" s="76">
        <f t="shared" si="430"/>
        <v>0.99292407953572448</v>
      </c>
      <c r="T1115" s="76">
        <f t="shared" si="431"/>
        <v>0.99292407953572448</v>
      </c>
      <c r="U1115" s="76">
        <f t="shared" si="432"/>
        <v>1</v>
      </c>
    </row>
    <row r="1116" spans="1:21" x14ac:dyDescent="0.25">
      <c r="A1116" s="71">
        <v>12</v>
      </c>
      <c r="B1116" s="72">
        <f t="shared" si="433"/>
        <v>45992</v>
      </c>
      <c r="C1116" s="73">
        <f t="shared" si="414"/>
        <v>46022</v>
      </c>
      <c r="D1116" s="67">
        <f t="shared" si="415"/>
        <v>31</v>
      </c>
      <c r="E1116" s="67">
        <f t="shared" si="416"/>
        <v>12</v>
      </c>
      <c r="F1116" s="74">
        <f t="shared" si="417"/>
        <v>46007.5</v>
      </c>
      <c r="G1116" s="67">
        <f t="shared" si="418"/>
        <v>24311</v>
      </c>
      <c r="H1116" s="75">
        <f t="shared" si="419"/>
        <v>1</v>
      </c>
      <c r="I1116" s="76">
        <f t="shared" si="420"/>
        <v>1</v>
      </c>
      <c r="J1116" s="76">
        <f t="shared" si="421"/>
        <v>1</v>
      </c>
      <c r="K1116" s="67">
        <f t="shared" si="422"/>
        <v>0</v>
      </c>
      <c r="L1116" s="67">
        <f t="shared" si="423"/>
        <v>0</v>
      </c>
      <c r="M1116" s="77">
        <f t="shared" si="424"/>
        <v>0</v>
      </c>
      <c r="N1116" s="76">
        <f t="shared" si="425"/>
        <v>1</v>
      </c>
      <c r="O1116" s="77">
        <f t="shared" si="426"/>
        <v>0.91315645514223198</v>
      </c>
      <c r="P1116" s="76">
        <f t="shared" si="427"/>
        <v>0.91666666666666663</v>
      </c>
      <c r="Q1116" s="76">
        <f t="shared" si="428"/>
        <v>0</v>
      </c>
      <c r="R1116" s="76">
        <f t="shared" si="429"/>
        <v>0</v>
      </c>
      <c r="S1116" s="76">
        <f t="shared" si="430"/>
        <v>0.99256136428503472</v>
      </c>
      <c r="T1116" s="76">
        <f t="shared" si="431"/>
        <v>0.99256136428503472</v>
      </c>
      <c r="U1116" s="76">
        <f t="shared" si="432"/>
        <v>1</v>
      </c>
    </row>
    <row r="1117" spans="1:21" x14ac:dyDescent="0.25">
      <c r="A1117" s="71">
        <v>13</v>
      </c>
      <c r="B1117" s="72">
        <f t="shared" si="433"/>
        <v>46023</v>
      </c>
      <c r="C1117" s="73">
        <f t="shared" si="414"/>
        <v>46053</v>
      </c>
      <c r="D1117" s="67">
        <f t="shared" si="415"/>
        <v>31</v>
      </c>
      <c r="E1117" s="67">
        <f t="shared" si="416"/>
        <v>1</v>
      </c>
      <c r="F1117" s="74">
        <f t="shared" si="417"/>
        <v>46038.5</v>
      </c>
      <c r="G1117" s="67">
        <f t="shared" si="418"/>
        <v>24312</v>
      </c>
      <c r="H1117" s="75">
        <f t="shared" si="419"/>
        <v>1</v>
      </c>
      <c r="I1117" s="76">
        <f t="shared" si="420"/>
        <v>1</v>
      </c>
      <c r="J1117" s="76">
        <f t="shared" si="421"/>
        <v>1</v>
      </c>
      <c r="K1117" s="67">
        <f t="shared" si="422"/>
        <v>0</v>
      </c>
      <c r="L1117" s="67">
        <f t="shared" si="423"/>
        <v>0</v>
      </c>
      <c r="M1117" s="77">
        <f t="shared" si="424"/>
        <v>0</v>
      </c>
      <c r="N1117" s="76">
        <f t="shared" si="425"/>
        <v>1</v>
      </c>
      <c r="O1117" s="77">
        <f t="shared" si="426"/>
        <v>0.91281728665207884</v>
      </c>
      <c r="P1117" s="76">
        <f t="shared" si="427"/>
        <v>1</v>
      </c>
      <c r="Q1117" s="76">
        <f t="shared" si="428"/>
        <v>0</v>
      </c>
      <c r="R1117" s="76">
        <f t="shared" si="429"/>
        <v>0</v>
      </c>
      <c r="S1117" s="76">
        <f t="shared" si="430"/>
        <v>0.99219270288269434</v>
      </c>
      <c r="T1117" s="76">
        <f t="shared" si="431"/>
        <v>0.99219270288269434</v>
      </c>
      <c r="U1117" s="76">
        <f t="shared" si="432"/>
        <v>1</v>
      </c>
    </row>
    <row r="1118" spans="1:21" x14ac:dyDescent="0.25">
      <c r="A1118" s="71">
        <v>14</v>
      </c>
      <c r="B1118" s="72">
        <f t="shared" si="433"/>
        <v>46054</v>
      </c>
      <c r="C1118" s="73">
        <f t="shared" si="414"/>
        <v>46081</v>
      </c>
      <c r="D1118" s="67">
        <f t="shared" si="415"/>
        <v>28</v>
      </c>
      <c r="E1118" s="67">
        <f t="shared" si="416"/>
        <v>2</v>
      </c>
      <c r="F1118" s="74">
        <f t="shared" si="417"/>
        <v>46068</v>
      </c>
      <c r="G1118" s="67">
        <f t="shared" si="418"/>
        <v>24313</v>
      </c>
      <c r="H1118" s="75">
        <f t="shared" si="419"/>
        <v>1</v>
      </c>
      <c r="I1118" s="76">
        <f t="shared" si="420"/>
        <v>1</v>
      </c>
      <c r="J1118" s="76">
        <f t="shared" si="421"/>
        <v>1</v>
      </c>
      <c r="K1118" s="67">
        <f t="shared" si="422"/>
        <v>0</v>
      </c>
      <c r="L1118" s="67">
        <f t="shared" si="423"/>
        <v>0</v>
      </c>
      <c r="M1118" s="77">
        <f t="shared" si="424"/>
        <v>0</v>
      </c>
      <c r="N1118" s="76">
        <f t="shared" si="425"/>
        <v>1</v>
      </c>
      <c r="O1118" s="77">
        <f t="shared" si="426"/>
        <v>0.91249452954048138</v>
      </c>
      <c r="P1118" s="76">
        <f t="shared" si="427"/>
        <v>1</v>
      </c>
      <c r="Q1118" s="76">
        <f t="shared" si="428"/>
        <v>0</v>
      </c>
      <c r="R1118" s="76">
        <f t="shared" si="429"/>
        <v>0</v>
      </c>
      <c r="S1118" s="76">
        <f t="shared" si="430"/>
        <v>0.99184187993530581</v>
      </c>
      <c r="T1118" s="76">
        <f t="shared" si="431"/>
        <v>0.99184187993530581</v>
      </c>
      <c r="U1118" s="76">
        <f t="shared" si="432"/>
        <v>1</v>
      </c>
    </row>
    <row r="1119" spans="1:21" x14ac:dyDescent="0.25">
      <c r="A1119" s="71">
        <v>15</v>
      </c>
      <c r="B1119" s="72">
        <f t="shared" si="433"/>
        <v>46082</v>
      </c>
      <c r="C1119" s="73">
        <f t="shared" si="414"/>
        <v>46112</v>
      </c>
      <c r="D1119" s="67">
        <f t="shared" si="415"/>
        <v>31</v>
      </c>
      <c r="E1119" s="67">
        <f t="shared" si="416"/>
        <v>3</v>
      </c>
      <c r="F1119" s="74">
        <f t="shared" si="417"/>
        <v>46097.5</v>
      </c>
      <c r="G1119" s="67">
        <f t="shared" si="418"/>
        <v>24314</v>
      </c>
      <c r="H1119" s="75">
        <f t="shared" si="419"/>
        <v>1</v>
      </c>
      <c r="I1119" s="76">
        <f t="shared" si="420"/>
        <v>1</v>
      </c>
      <c r="J1119" s="76">
        <f t="shared" si="421"/>
        <v>1</v>
      </c>
      <c r="K1119" s="67">
        <f t="shared" si="422"/>
        <v>0</v>
      </c>
      <c r="L1119" s="67">
        <f t="shared" si="423"/>
        <v>0</v>
      </c>
      <c r="M1119" s="77">
        <f t="shared" si="424"/>
        <v>0</v>
      </c>
      <c r="N1119" s="76">
        <f t="shared" si="425"/>
        <v>1</v>
      </c>
      <c r="O1119" s="77">
        <f t="shared" si="426"/>
        <v>0.91217177242888403</v>
      </c>
      <c r="P1119" s="76">
        <f t="shared" si="427"/>
        <v>1</v>
      </c>
      <c r="Q1119" s="76">
        <f t="shared" si="428"/>
        <v>0</v>
      </c>
      <c r="R1119" s="76">
        <f t="shared" si="429"/>
        <v>0</v>
      </c>
      <c r="S1119" s="76">
        <f t="shared" si="430"/>
        <v>0.9914910569879174</v>
      </c>
      <c r="T1119" s="76">
        <f t="shared" si="431"/>
        <v>0.9914910569879174</v>
      </c>
      <c r="U1119" s="76">
        <f t="shared" si="432"/>
        <v>1</v>
      </c>
    </row>
    <row r="1120" spans="1:21" x14ac:dyDescent="0.25">
      <c r="A1120" s="71">
        <v>16</v>
      </c>
      <c r="B1120" s="72">
        <f t="shared" si="433"/>
        <v>46113</v>
      </c>
      <c r="C1120" s="73">
        <f t="shared" si="414"/>
        <v>46142</v>
      </c>
      <c r="D1120" s="67">
        <f t="shared" si="415"/>
        <v>30</v>
      </c>
      <c r="E1120" s="67">
        <f t="shared" si="416"/>
        <v>4</v>
      </c>
      <c r="F1120" s="74">
        <f t="shared" si="417"/>
        <v>46128</v>
      </c>
      <c r="G1120" s="67">
        <f t="shared" si="418"/>
        <v>24315</v>
      </c>
      <c r="H1120" s="75">
        <f t="shared" si="419"/>
        <v>1</v>
      </c>
      <c r="I1120" s="76">
        <f t="shared" si="420"/>
        <v>1</v>
      </c>
      <c r="J1120" s="76">
        <f t="shared" si="421"/>
        <v>1</v>
      </c>
      <c r="K1120" s="67">
        <f t="shared" si="422"/>
        <v>0</v>
      </c>
      <c r="L1120" s="67">
        <f t="shared" si="423"/>
        <v>0</v>
      </c>
      <c r="M1120" s="77">
        <f t="shared" si="424"/>
        <v>0</v>
      </c>
      <c r="N1120" s="76">
        <f t="shared" si="425"/>
        <v>1</v>
      </c>
      <c r="O1120" s="77">
        <f t="shared" si="426"/>
        <v>0.91183807439824949</v>
      </c>
      <c r="P1120" s="76">
        <f t="shared" si="427"/>
        <v>1</v>
      </c>
      <c r="Q1120" s="76">
        <f t="shared" si="428"/>
        <v>0</v>
      </c>
      <c r="R1120" s="76">
        <f t="shared" si="429"/>
        <v>0</v>
      </c>
      <c r="S1120" s="76">
        <f t="shared" si="430"/>
        <v>0.99112834173722764</v>
      </c>
      <c r="T1120" s="76">
        <f t="shared" si="431"/>
        <v>0.99112834173722764</v>
      </c>
      <c r="U1120" s="76">
        <f t="shared" si="432"/>
        <v>1</v>
      </c>
    </row>
    <row r="1121" spans="1:21" x14ac:dyDescent="0.25">
      <c r="A1121" s="71">
        <v>17</v>
      </c>
      <c r="B1121" s="72">
        <f t="shared" si="433"/>
        <v>46143</v>
      </c>
      <c r="C1121" s="73">
        <f t="shared" si="414"/>
        <v>46173</v>
      </c>
      <c r="D1121" s="67">
        <f t="shared" si="415"/>
        <v>31</v>
      </c>
      <c r="E1121" s="67">
        <f t="shared" si="416"/>
        <v>5</v>
      </c>
      <c r="F1121" s="74">
        <f t="shared" si="417"/>
        <v>46158.5</v>
      </c>
      <c r="G1121" s="67">
        <f t="shared" si="418"/>
        <v>24316</v>
      </c>
      <c r="H1121" s="75">
        <f t="shared" si="419"/>
        <v>1</v>
      </c>
      <c r="I1121" s="76">
        <f t="shared" si="420"/>
        <v>1</v>
      </c>
      <c r="J1121" s="76">
        <f t="shared" si="421"/>
        <v>1</v>
      </c>
      <c r="K1121" s="67">
        <f t="shared" si="422"/>
        <v>0</v>
      </c>
      <c r="L1121" s="67">
        <f t="shared" si="423"/>
        <v>0</v>
      </c>
      <c r="M1121" s="77">
        <f t="shared" si="424"/>
        <v>0</v>
      </c>
      <c r="N1121" s="76">
        <f t="shared" si="425"/>
        <v>1</v>
      </c>
      <c r="O1121" s="77">
        <f t="shared" si="426"/>
        <v>0.91150437636761494</v>
      </c>
      <c r="P1121" s="76">
        <f t="shared" si="427"/>
        <v>1</v>
      </c>
      <c r="Q1121" s="76">
        <f t="shared" si="428"/>
        <v>0</v>
      </c>
      <c r="R1121" s="76">
        <f t="shared" si="429"/>
        <v>0</v>
      </c>
      <c r="S1121" s="76">
        <f t="shared" si="430"/>
        <v>0.99076562648653799</v>
      </c>
      <c r="T1121" s="76">
        <f t="shared" si="431"/>
        <v>0.99076562648653799</v>
      </c>
      <c r="U1121" s="76">
        <f t="shared" si="432"/>
        <v>1</v>
      </c>
    </row>
    <row r="1122" spans="1:21" x14ac:dyDescent="0.25">
      <c r="A1122" s="71">
        <v>18</v>
      </c>
      <c r="B1122" s="72">
        <f t="shared" si="433"/>
        <v>46174</v>
      </c>
      <c r="C1122" s="73">
        <f t="shared" si="414"/>
        <v>46203</v>
      </c>
      <c r="D1122" s="67">
        <f t="shared" si="415"/>
        <v>30</v>
      </c>
      <c r="E1122" s="67">
        <f t="shared" si="416"/>
        <v>6</v>
      </c>
      <c r="F1122" s="74">
        <f t="shared" si="417"/>
        <v>46189</v>
      </c>
      <c r="G1122" s="67">
        <f t="shared" si="418"/>
        <v>24317</v>
      </c>
      <c r="H1122" s="75">
        <f t="shared" si="419"/>
        <v>1</v>
      </c>
      <c r="I1122" s="76">
        <f t="shared" si="420"/>
        <v>1</v>
      </c>
      <c r="J1122" s="76">
        <f t="shared" si="421"/>
        <v>1</v>
      </c>
      <c r="K1122" s="67">
        <f t="shared" si="422"/>
        <v>0</v>
      </c>
      <c r="L1122" s="67">
        <f t="shared" si="423"/>
        <v>0</v>
      </c>
      <c r="M1122" s="77">
        <f t="shared" si="424"/>
        <v>0</v>
      </c>
      <c r="N1122" s="76">
        <f t="shared" si="425"/>
        <v>1</v>
      </c>
      <c r="O1122" s="77">
        <f t="shared" si="426"/>
        <v>0.91117067833698029</v>
      </c>
      <c r="P1122" s="76">
        <f t="shared" si="427"/>
        <v>1</v>
      </c>
      <c r="Q1122" s="76">
        <f t="shared" si="428"/>
        <v>0</v>
      </c>
      <c r="R1122" s="76">
        <f t="shared" si="429"/>
        <v>0</v>
      </c>
      <c r="S1122" s="76">
        <f t="shared" si="430"/>
        <v>0.99040291123584812</v>
      </c>
      <c r="T1122" s="76">
        <f t="shared" si="431"/>
        <v>0.99040291123584812</v>
      </c>
      <c r="U1122" s="76">
        <f t="shared" si="432"/>
        <v>1</v>
      </c>
    </row>
    <row r="1123" spans="1:21" x14ac:dyDescent="0.25">
      <c r="A1123" s="71">
        <v>19</v>
      </c>
      <c r="B1123" s="72">
        <f t="shared" si="433"/>
        <v>46204</v>
      </c>
      <c r="C1123" s="73">
        <f t="shared" si="414"/>
        <v>46234</v>
      </c>
      <c r="D1123" s="67">
        <f t="shared" si="415"/>
        <v>31</v>
      </c>
      <c r="E1123" s="67">
        <f t="shared" si="416"/>
        <v>7</v>
      </c>
      <c r="F1123" s="74">
        <f t="shared" si="417"/>
        <v>46219.5</v>
      </c>
      <c r="G1123" s="67">
        <f t="shared" si="418"/>
        <v>24318</v>
      </c>
      <c r="H1123" s="75">
        <f t="shared" si="419"/>
        <v>1</v>
      </c>
      <c r="I1123" s="76">
        <f t="shared" si="420"/>
        <v>1</v>
      </c>
      <c r="J1123" s="76">
        <f t="shared" si="421"/>
        <v>1</v>
      </c>
      <c r="K1123" s="67">
        <f t="shared" si="422"/>
        <v>0</v>
      </c>
      <c r="L1123" s="67">
        <f t="shared" si="423"/>
        <v>0</v>
      </c>
      <c r="M1123" s="77">
        <f t="shared" si="424"/>
        <v>0</v>
      </c>
      <c r="N1123" s="76">
        <f t="shared" si="425"/>
        <v>1</v>
      </c>
      <c r="O1123" s="77">
        <f t="shared" si="426"/>
        <v>0.91083698030634574</v>
      </c>
      <c r="P1123" s="76">
        <f t="shared" si="427"/>
        <v>0.91666666666666663</v>
      </c>
      <c r="Q1123" s="76">
        <f t="shared" si="428"/>
        <v>8.333333333333337E-2</v>
      </c>
      <c r="R1123" s="76">
        <f t="shared" si="429"/>
        <v>0</v>
      </c>
      <c r="S1123" s="76">
        <f t="shared" si="430"/>
        <v>0.99004019598515836</v>
      </c>
      <c r="T1123" s="76">
        <f t="shared" si="431"/>
        <v>0.99004019598515836</v>
      </c>
      <c r="U1123" s="76">
        <f t="shared" si="432"/>
        <v>1</v>
      </c>
    </row>
    <row r="1124" spans="1:21" x14ac:dyDescent="0.25">
      <c r="A1124" s="71">
        <v>20</v>
      </c>
      <c r="B1124" s="72">
        <f t="shared" si="433"/>
        <v>46235</v>
      </c>
      <c r="C1124" s="73">
        <f t="shared" si="414"/>
        <v>46265</v>
      </c>
      <c r="D1124" s="67">
        <f t="shared" si="415"/>
        <v>31</v>
      </c>
      <c r="E1124" s="67">
        <f t="shared" si="416"/>
        <v>8</v>
      </c>
      <c r="F1124" s="74">
        <f t="shared" si="417"/>
        <v>46250.5</v>
      </c>
      <c r="G1124" s="67">
        <f t="shared" si="418"/>
        <v>24319</v>
      </c>
      <c r="H1124" s="75">
        <f t="shared" si="419"/>
        <v>1</v>
      </c>
      <c r="I1124" s="76">
        <f t="shared" si="420"/>
        <v>1</v>
      </c>
      <c r="J1124" s="76">
        <f t="shared" si="421"/>
        <v>1.06</v>
      </c>
      <c r="K1124" s="67">
        <f t="shared" si="422"/>
        <v>1</v>
      </c>
      <c r="L1124" s="67">
        <f t="shared" si="423"/>
        <v>31</v>
      </c>
      <c r="M1124" s="77">
        <f t="shared" si="424"/>
        <v>1</v>
      </c>
      <c r="N1124" s="76">
        <f t="shared" si="425"/>
        <v>1.06</v>
      </c>
      <c r="O1124" s="77">
        <f t="shared" si="426"/>
        <v>0.9104978118161926</v>
      </c>
      <c r="P1124" s="76">
        <f t="shared" si="427"/>
        <v>0.75</v>
      </c>
      <c r="Q1124" s="76">
        <f t="shared" si="428"/>
        <v>0.25</v>
      </c>
      <c r="R1124" s="76">
        <f t="shared" si="429"/>
        <v>0</v>
      </c>
      <c r="S1124" s="76">
        <f t="shared" si="430"/>
        <v>1.0490518266577871</v>
      </c>
      <c r="T1124" s="76">
        <f t="shared" si="431"/>
        <v>1.0490518266577871</v>
      </c>
      <c r="U1124" s="76">
        <f t="shared" si="432"/>
        <v>1.06</v>
      </c>
    </row>
    <row r="1125" spans="1:21" x14ac:dyDescent="0.25">
      <c r="A1125" s="71">
        <v>21</v>
      </c>
      <c r="B1125" s="72">
        <f t="shared" si="433"/>
        <v>46266</v>
      </c>
      <c r="C1125" s="73">
        <f t="shared" si="414"/>
        <v>46295</v>
      </c>
      <c r="D1125" s="67">
        <f t="shared" si="415"/>
        <v>30</v>
      </c>
      <c r="E1125" s="67">
        <f t="shared" si="416"/>
        <v>9</v>
      </c>
      <c r="F1125" s="74">
        <f t="shared" si="417"/>
        <v>46281</v>
      </c>
      <c r="G1125" s="67">
        <f t="shared" si="418"/>
        <v>24320</v>
      </c>
      <c r="H1125" s="75">
        <f t="shared" si="419"/>
        <v>1</v>
      </c>
      <c r="I1125" s="76">
        <f t="shared" si="420"/>
        <v>1.06</v>
      </c>
      <c r="J1125" s="76">
        <f t="shared" si="421"/>
        <v>1.06</v>
      </c>
      <c r="K1125" s="67">
        <f t="shared" si="422"/>
        <v>0</v>
      </c>
      <c r="L1125" s="67">
        <f t="shared" si="423"/>
        <v>0</v>
      </c>
      <c r="M1125" s="77">
        <f t="shared" si="424"/>
        <v>0</v>
      </c>
      <c r="N1125" s="76">
        <f t="shared" si="425"/>
        <v>1.06</v>
      </c>
      <c r="O1125" s="77">
        <f t="shared" si="426"/>
        <v>0.91016411378555806</v>
      </c>
      <c r="P1125" s="76">
        <f t="shared" si="427"/>
        <v>0.58333333333333337</v>
      </c>
      <c r="Q1125" s="76">
        <f t="shared" si="428"/>
        <v>0.41666666666666663</v>
      </c>
      <c r="R1125" s="76">
        <f t="shared" si="429"/>
        <v>0</v>
      </c>
      <c r="S1125" s="76">
        <f t="shared" si="430"/>
        <v>1.0486673484920561</v>
      </c>
      <c r="T1125" s="76">
        <f t="shared" si="431"/>
        <v>1.0486673484920561</v>
      </c>
      <c r="U1125" s="76">
        <f t="shared" si="432"/>
        <v>1.06</v>
      </c>
    </row>
    <row r="1126" spans="1:21" x14ac:dyDescent="0.25">
      <c r="A1126" s="71">
        <v>22</v>
      </c>
      <c r="B1126" s="72">
        <f t="shared" si="433"/>
        <v>46296</v>
      </c>
      <c r="C1126" s="73">
        <f t="shared" si="414"/>
        <v>46326</v>
      </c>
      <c r="D1126" s="67">
        <f t="shared" si="415"/>
        <v>31</v>
      </c>
      <c r="E1126" s="67">
        <f t="shared" si="416"/>
        <v>10</v>
      </c>
      <c r="F1126" s="74">
        <f t="shared" si="417"/>
        <v>46311.5</v>
      </c>
      <c r="G1126" s="67">
        <f t="shared" si="418"/>
        <v>24321</v>
      </c>
      <c r="H1126" s="75">
        <f t="shared" si="419"/>
        <v>1</v>
      </c>
      <c r="I1126" s="76">
        <f t="shared" si="420"/>
        <v>1.06</v>
      </c>
      <c r="J1126" s="76">
        <f t="shared" si="421"/>
        <v>1.06</v>
      </c>
      <c r="K1126" s="67">
        <f t="shared" si="422"/>
        <v>0</v>
      </c>
      <c r="L1126" s="67">
        <f t="shared" si="423"/>
        <v>0</v>
      </c>
      <c r="M1126" s="77">
        <f t="shared" si="424"/>
        <v>0</v>
      </c>
      <c r="N1126" s="76">
        <f t="shared" si="425"/>
        <v>1.06</v>
      </c>
      <c r="O1126" s="77">
        <f t="shared" si="426"/>
        <v>0.90983041575492341</v>
      </c>
      <c r="P1126" s="76">
        <f t="shared" si="427"/>
        <v>0.41666666666666669</v>
      </c>
      <c r="Q1126" s="76">
        <f t="shared" si="428"/>
        <v>0.58333333333333326</v>
      </c>
      <c r="R1126" s="76">
        <f t="shared" si="429"/>
        <v>0</v>
      </c>
      <c r="S1126" s="76">
        <f t="shared" si="430"/>
        <v>1.0482828703263247</v>
      </c>
      <c r="T1126" s="76">
        <f t="shared" si="431"/>
        <v>1.0482828703263247</v>
      </c>
      <c r="U1126" s="76">
        <f t="shared" si="432"/>
        <v>1.06</v>
      </c>
    </row>
    <row r="1127" spans="1:21" x14ac:dyDescent="0.25">
      <c r="A1127" s="71">
        <v>23</v>
      </c>
      <c r="B1127" s="72">
        <f t="shared" si="433"/>
        <v>46327</v>
      </c>
      <c r="C1127" s="73">
        <f t="shared" si="414"/>
        <v>46356</v>
      </c>
      <c r="D1127" s="67">
        <f t="shared" si="415"/>
        <v>30</v>
      </c>
      <c r="E1127" s="67">
        <f t="shared" si="416"/>
        <v>11</v>
      </c>
      <c r="F1127" s="74">
        <f t="shared" si="417"/>
        <v>46342</v>
      </c>
      <c r="G1127" s="67">
        <f t="shared" si="418"/>
        <v>24322</v>
      </c>
      <c r="H1127" s="75">
        <f t="shared" si="419"/>
        <v>1</v>
      </c>
      <c r="I1127" s="76">
        <f t="shared" si="420"/>
        <v>1.06</v>
      </c>
      <c r="J1127" s="76">
        <f t="shared" si="421"/>
        <v>1.06</v>
      </c>
      <c r="K1127" s="67">
        <f t="shared" si="422"/>
        <v>0</v>
      </c>
      <c r="L1127" s="67">
        <f t="shared" si="423"/>
        <v>0</v>
      </c>
      <c r="M1127" s="77">
        <f t="shared" si="424"/>
        <v>0</v>
      </c>
      <c r="N1127" s="76">
        <f t="shared" si="425"/>
        <v>1.06</v>
      </c>
      <c r="O1127" s="77">
        <f t="shared" si="426"/>
        <v>0.90949671772428886</v>
      </c>
      <c r="P1127" s="76">
        <f t="shared" si="427"/>
        <v>0.25</v>
      </c>
      <c r="Q1127" s="76">
        <f t="shared" si="428"/>
        <v>0.75</v>
      </c>
      <c r="R1127" s="76">
        <f t="shared" si="429"/>
        <v>0</v>
      </c>
      <c r="S1127" s="76">
        <f t="shared" si="430"/>
        <v>1.0478983921605938</v>
      </c>
      <c r="T1127" s="76">
        <f t="shared" si="431"/>
        <v>1.0478983921605938</v>
      </c>
      <c r="U1127" s="76">
        <f t="shared" si="432"/>
        <v>1.06</v>
      </c>
    </row>
    <row r="1128" spans="1:21" x14ac:dyDescent="0.25">
      <c r="A1128" s="71">
        <v>24</v>
      </c>
      <c r="B1128" s="72">
        <f t="shared" si="433"/>
        <v>46357</v>
      </c>
      <c r="C1128" s="73">
        <f t="shared" si="414"/>
        <v>46387</v>
      </c>
      <c r="D1128" s="67">
        <f t="shared" si="415"/>
        <v>31</v>
      </c>
      <c r="E1128" s="67">
        <f t="shared" si="416"/>
        <v>12</v>
      </c>
      <c r="F1128" s="74">
        <f t="shared" si="417"/>
        <v>46372.5</v>
      </c>
      <c r="G1128" s="67">
        <f t="shared" si="418"/>
        <v>24323</v>
      </c>
      <c r="H1128" s="75">
        <f t="shared" si="419"/>
        <v>1</v>
      </c>
      <c r="I1128" s="76">
        <f t="shared" si="420"/>
        <v>1.06</v>
      </c>
      <c r="J1128" s="76">
        <f t="shared" si="421"/>
        <v>1.06</v>
      </c>
      <c r="K1128" s="67">
        <f t="shared" si="422"/>
        <v>0</v>
      </c>
      <c r="L1128" s="67">
        <f t="shared" si="423"/>
        <v>0</v>
      </c>
      <c r="M1128" s="77">
        <f t="shared" si="424"/>
        <v>0</v>
      </c>
      <c r="N1128" s="76">
        <f t="shared" si="425"/>
        <v>1.06</v>
      </c>
      <c r="O1128" s="77">
        <f t="shared" si="426"/>
        <v>0.90916301969365432</v>
      </c>
      <c r="P1128" s="76">
        <f t="shared" si="427"/>
        <v>8.3333333333333329E-2</v>
      </c>
      <c r="Q1128" s="76">
        <f t="shared" si="428"/>
        <v>0.91666666666666663</v>
      </c>
      <c r="R1128" s="76">
        <f t="shared" si="429"/>
        <v>0</v>
      </c>
      <c r="S1128" s="76">
        <f t="shared" si="430"/>
        <v>1.0475139139948626</v>
      </c>
      <c r="T1128" s="76">
        <f t="shared" si="431"/>
        <v>1.0475139139948626</v>
      </c>
      <c r="U1128" s="76">
        <f t="shared" si="432"/>
        <v>1.06</v>
      </c>
    </row>
    <row r="1129" spans="1:21" x14ac:dyDescent="0.25">
      <c r="A1129" s="71">
        <v>25</v>
      </c>
      <c r="B1129" s="72">
        <f t="shared" si="433"/>
        <v>46388</v>
      </c>
      <c r="C1129" s="73">
        <f t="shared" si="414"/>
        <v>46418</v>
      </c>
      <c r="D1129" s="67">
        <f t="shared" si="415"/>
        <v>31</v>
      </c>
      <c r="E1129" s="67">
        <f t="shared" si="416"/>
        <v>1</v>
      </c>
      <c r="F1129" s="74">
        <f t="shared" si="417"/>
        <v>46403.5</v>
      </c>
      <c r="G1129" s="67">
        <f t="shared" si="418"/>
        <v>24324</v>
      </c>
      <c r="H1129" s="75">
        <f t="shared" si="419"/>
        <v>1</v>
      </c>
      <c r="I1129" s="76">
        <f t="shared" si="420"/>
        <v>1.06</v>
      </c>
      <c r="J1129" s="76">
        <f t="shared" si="421"/>
        <v>1.06</v>
      </c>
      <c r="K1129" s="67">
        <f t="shared" si="422"/>
        <v>0</v>
      </c>
      <c r="L1129" s="67">
        <f t="shared" si="423"/>
        <v>0</v>
      </c>
      <c r="M1129" s="77">
        <f t="shared" si="424"/>
        <v>0</v>
      </c>
      <c r="N1129" s="76">
        <f t="shared" si="425"/>
        <v>1.06</v>
      </c>
      <c r="O1129" s="77">
        <f t="shared" si="426"/>
        <v>0.90882385120350118</v>
      </c>
      <c r="P1129" s="76">
        <f t="shared" si="427"/>
        <v>0</v>
      </c>
      <c r="Q1129" s="76">
        <f t="shared" si="428"/>
        <v>1</v>
      </c>
      <c r="R1129" s="76">
        <f t="shared" si="429"/>
        <v>0</v>
      </c>
      <c r="S1129" s="76">
        <f t="shared" si="430"/>
        <v>1.0471231329083819</v>
      </c>
      <c r="T1129" s="76">
        <f t="shared" si="431"/>
        <v>0.99219270288269434</v>
      </c>
      <c r="U1129" s="76">
        <f t="shared" si="432"/>
        <v>1.06</v>
      </c>
    </row>
    <row r="1130" spans="1:21" x14ac:dyDescent="0.25">
      <c r="A1130" s="71">
        <v>26</v>
      </c>
      <c r="B1130" s="72">
        <f t="shared" si="433"/>
        <v>46419</v>
      </c>
      <c r="C1130" s="73">
        <f t="shared" si="414"/>
        <v>46446</v>
      </c>
      <c r="D1130" s="67">
        <f t="shared" si="415"/>
        <v>28</v>
      </c>
      <c r="E1130" s="67">
        <f t="shared" si="416"/>
        <v>2</v>
      </c>
      <c r="F1130" s="74">
        <f t="shared" si="417"/>
        <v>46433</v>
      </c>
      <c r="G1130" s="67">
        <f t="shared" si="418"/>
        <v>24325</v>
      </c>
      <c r="H1130" s="75">
        <f t="shared" si="419"/>
        <v>1</v>
      </c>
      <c r="I1130" s="76">
        <f t="shared" si="420"/>
        <v>1.06</v>
      </c>
      <c r="J1130" s="76">
        <f t="shared" si="421"/>
        <v>1.06</v>
      </c>
      <c r="K1130" s="67">
        <f t="shared" si="422"/>
        <v>0</v>
      </c>
      <c r="L1130" s="67">
        <f t="shared" si="423"/>
        <v>0</v>
      </c>
      <c r="M1130" s="77">
        <f t="shared" si="424"/>
        <v>0</v>
      </c>
      <c r="N1130" s="76">
        <f t="shared" si="425"/>
        <v>1.06</v>
      </c>
      <c r="O1130" s="77">
        <f t="shared" si="426"/>
        <v>0.90850109409190372</v>
      </c>
      <c r="P1130" s="76">
        <f t="shared" si="427"/>
        <v>0</v>
      </c>
      <c r="Q1130" s="76">
        <f t="shared" si="428"/>
        <v>1</v>
      </c>
      <c r="R1130" s="76">
        <f t="shared" si="429"/>
        <v>0</v>
      </c>
      <c r="S1130" s="76">
        <f t="shared" si="430"/>
        <v>1.0467512605841498</v>
      </c>
      <c r="T1130" s="76">
        <f t="shared" si="431"/>
        <v>0.99184187993530581</v>
      </c>
      <c r="U1130" s="76">
        <f t="shared" si="432"/>
        <v>1.06</v>
      </c>
    </row>
    <row r="1131" spans="1:21" x14ac:dyDescent="0.25">
      <c r="A1131" s="71">
        <v>27</v>
      </c>
      <c r="B1131" s="72">
        <f t="shared" si="433"/>
        <v>46447</v>
      </c>
      <c r="C1131" s="73">
        <f t="shared" si="414"/>
        <v>46477</v>
      </c>
      <c r="D1131" s="67">
        <f t="shared" si="415"/>
        <v>31</v>
      </c>
      <c r="E1131" s="67">
        <f t="shared" si="416"/>
        <v>3</v>
      </c>
      <c r="F1131" s="74">
        <f t="shared" si="417"/>
        <v>46462.5</v>
      </c>
      <c r="G1131" s="67">
        <f t="shared" si="418"/>
        <v>24326</v>
      </c>
      <c r="H1131" s="75">
        <f t="shared" si="419"/>
        <v>1</v>
      </c>
      <c r="I1131" s="76">
        <f t="shared" si="420"/>
        <v>1.06</v>
      </c>
      <c r="J1131" s="76">
        <f t="shared" si="421"/>
        <v>1.06</v>
      </c>
      <c r="K1131" s="67">
        <f t="shared" si="422"/>
        <v>0</v>
      </c>
      <c r="L1131" s="67">
        <f t="shared" si="423"/>
        <v>0</v>
      </c>
      <c r="M1131" s="77">
        <f t="shared" si="424"/>
        <v>0</v>
      </c>
      <c r="N1131" s="76">
        <f t="shared" si="425"/>
        <v>1.06</v>
      </c>
      <c r="O1131" s="77">
        <f t="shared" si="426"/>
        <v>0.90817833698030637</v>
      </c>
      <c r="P1131" s="76">
        <f t="shared" si="427"/>
        <v>0</v>
      </c>
      <c r="Q1131" s="76">
        <f t="shared" si="428"/>
        <v>1</v>
      </c>
      <c r="R1131" s="76">
        <f t="shared" si="429"/>
        <v>0</v>
      </c>
      <c r="S1131" s="76">
        <f t="shared" si="430"/>
        <v>1.0463793882599182</v>
      </c>
      <c r="T1131" s="76">
        <f t="shared" si="431"/>
        <v>0.9914910569879174</v>
      </c>
      <c r="U1131" s="76">
        <f t="shared" si="432"/>
        <v>1.06</v>
      </c>
    </row>
    <row r="1132" spans="1:21" x14ac:dyDescent="0.25">
      <c r="A1132" s="71">
        <v>28</v>
      </c>
      <c r="B1132" s="72">
        <f t="shared" si="433"/>
        <v>46478</v>
      </c>
      <c r="C1132" s="73">
        <f t="shared" si="414"/>
        <v>46507</v>
      </c>
      <c r="D1132" s="67">
        <f t="shared" si="415"/>
        <v>30</v>
      </c>
      <c r="E1132" s="67">
        <f t="shared" si="416"/>
        <v>4</v>
      </c>
      <c r="F1132" s="74">
        <f t="shared" si="417"/>
        <v>46493</v>
      </c>
      <c r="G1132" s="67">
        <f t="shared" si="418"/>
        <v>24327</v>
      </c>
      <c r="H1132" s="75">
        <f t="shared" si="419"/>
        <v>1</v>
      </c>
      <c r="I1132" s="76">
        <f t="shared" si="420"/>
        <v>1.06</v>
      </c>
      <c r="J1132" s="76">
        <f t="shared" si="421"/>
        <v>1.06</v>
      </c>
      <c r="K1132" s="67">
        <f t="shared" si="422"/>
        <v>0</v>
      </c>
      <c r="L1132" s="67">
        <f t="shared" si="423"/>
        <v>0</v>
      </c>
      <c r="M1132" s="77">
        <f t="shared" si="424"/>
        <v>0</v>
      </c>
      <c r="N1132" s="76">
        <f t="shared" si="425"/>
        <v>1.06</v>
      </c>
      <c r="O1132" s="77">
        <f t="shared" si="426"/>
        <v>0.90784463894967182</v>
      </c>
      <c r="P1132" s="76">
        <f t="shared" si="427"/>
        <v>0</v>
      </c>
      <c r="Q1132" s="76">
        <f t="shared" si="428"/>
        <v>1</v>
      </c>
      <c r="R1132" s="76">
        <f t="shared" si="429"/>
        <v>0</v>
      </c>
      <c r="S1132" s="76">
        <f t="shared" si="430"/>
        <v>1.0459949100941872</v>
      </c>
      <c r="T1132" s="76">
        <f t="shared" si="431"/>
        <v>0.99112834173722764</v>
      </c>
      <c r="U1132" s="76">
        <f t="shared" si="432"/>
        <v>1.06</v>
      </c>
    </row>
    <row r="1133" spans="1:21" x14ac:dyDescent="0.25">
      <c r="A1133" s="71">
        <v>29</v>
      </c>
      <c r="B1133" s="72">
        <f t="shared" si="433"/>
        <v>46508</v>
      </c>
      <c r="C1133" s="73">
        <f t="shared" si="414"/>
        <v>46538</v>
      </c>
      <c r="D1133" s="67">
        <f t="shared" si="415"/>
        <v>31</v>
      </c>
      <c r="E1133" s="67">
        <f t="shared" si="416"/>
        <v>5</v>
      </c>
      <c r="F1133" s="74">
        <f t="shared" si="417"/>
        <v>46523.5</v>
      </c>
      <c r="G1133" s="67">
        <f t="shared" si="418"/>
        <v>24328</v>
      </c>
      <c r="H1133" s="75">
        <f t="shared" si="419"/>
        <v>1</v>
      </c>
      <c r="I1133" s="76">
        <f t="shared" si="420"/>
        <v>1.06</v>
      </c>
      <c r="J1133" s="76">
        <f t="shared" si="421"/>
        <v>1.06</v>
      </c>
      <c r="K1133" s="67">
        <f t="shared" si="422"/>
        <v>0</v>
      </c>
      <c r="L1133" s="67">
        <f t="shared" si="423"/>
        <v>0</v>
      </c>
      <c r="M1133" s="77">
        <f t="shared" si="424"/>
        <v>0</v>
      </c>
      <c r="N1133" s="76">
        <f t="shared" si="425"/>
        <v>1.06</v>
      </c>
      <c r="O1133" s="77">
        <f t="shared" si="426"/>
        <v>0.90751094091903728</v>
      </c>
      <c r="P1133" s="76">
        <f t="shared" si="427"/>
        <v>0</v>
      </c>
      <c r="Q1133" s="76">
        <f t="shared" si="428"/>
        <v>1</v>
      </c>
      <c r="R1133" s="76">
        <f t="shared" si="429"/>
        <v>0</v>
      </c>
      <c r="S1133" s="76">
        <f t="shared" si="430"/>
        <v>1.045610431928456</v>
      </c>
      <c r="T1133" s="76">
        <f t="shared" si="431"/>
        <v>0.99076562648653799</v>
      </c>
      <c r="U1133" s="76">
        <f t="shared" si="432"/>
        <v>1.06</v>
      </c>
    </row>
    <row r="1134" spans="1:21" x14ac:dyDescent="0.25">
      <c r="A1134" s="71">
        <v>30</v>
      </c>
      <c r="B1134" s="72">
        <f t="shared" si="433"/>
        <v>46539</v>
      </c>
      <c r="C1134" s="73">
        <f t="shared" si="414"/>
        <v>46568</v>
      </c>
      <c r="D1134" s="67">
        <f t="shared" si="415"/>
        <v>30</v>
      </c>
      <c r="E1134" s="67">
        <f t="shared" si="416"/>
        <v>6</v>
      </c>
      <c r="F1134" s="74">
        <f t="shared" si="417"/>
        <v>46554</v>
      </c>
      <c r="G1134" s="67">
        <f t="shared" si="418"/>
        <v>24329</v>
      </c>
      <c r="H1134" s="75">
        <f t="shared" si="419"/>
        <v>1</v>
      </c>
      <c r="I1134" s="76">
        <f t="shared" si="420"/>
        <v>1.06</v>
      </c>
      <c r="J1134" s="76">
        <f t="shared" si="421"/>
        <v>1.06</v>
      </c>
      <c r="K1134" s="67">
        <f t="shared" si="422"/>
        <v>0</v>
      </c>
      <c r="L1134" s="67">
        <f t="shared" si="423"/>
        <v>0</v>
      </c>
      <c r="M1134" s="77">
        <f t="shared" si="424"/>
        <v>0</v>
      </c>
      <c r="N1134" s="76">
        <f t="shared" si="425"/>
        <v>1.06</v>
      </c>
      <c r="O1134" s="77">
        <f t="shared" si="426"/>
        <v>0.90717724288840262</v>
      </c>
      <c r="P1134" s="76">
        <f t="shared" si="427"/>
        <v>0</v>
      </c>
      <c r="Q1134" s="76">
        <f t="shared" si="428"/>
        <v>1</v>
      </c>
      <c r="R1134" s="76">
        <f t="shared" si="429"/>
        <v>0</v>
      </c>
      <c r="S1134" s="76">
        <f t="shared" si="430"/>
        <v>1.0452259537627246</v>
      </c>
      <c r="T1134" s="76">
        <f t="shared" si="431"/>
        <v>0.99040291123584812</v>
      </c>
      <c r="U1134" s="76">
        <f t="shared" si="432"/>
        <v>1.06</v>
      </c>
    </row>
    <row r="1135" spans="1:21" x14ac:dyDescent="0.25">
      <c r="A1135" s="71">
        <v>31</v>
      </c>
      <c r="B1135" s="72">
        <f t="shared" si="433"/>
        <v>46569</v>
      </c>
      <c r="C1135" s="73">
        <f t="shared" si="414"/>
        <v>46599</v>
      </c>
      <c r="D1135" s="67">
        <f t="shared" si="415"/>
        <v>31</v>
      </c>
      <c r="E1135" s="67">
        <f t="shared" si="416"/>
        <v>7</v>
      </c>
      <c r="F1135" s="74">
        <f t="shared" si="417"/>
        <v>46584.5</v>
      </c>
      <c r="G1135" s="67">
        <f t="shared" si="418"/>
        <v>24330</v>
      </c>
      <c r="H1135" s="75">
        <f t="shared" si="419"/>
        <v>1</v>
      </c>
      <c r="I1135" s="76">
        <f t="shared" si="420"/>
        <v>1.06</v>
      </c>
      <c r="J1135" s="76">
        <f t="shared" si="421"/>
        <v>1.06</v>
      </c>
      <c r="K1135" s="67">
        <f t="shared" si="422"/>
        <v>0</v>
      </c>
      <c r="L1135" s="67">
        <f t="shared" si="423"/>
        <v>0</v>
      </c>
      <c r="M1135" s="77">
        <f t="shared" si="424"/>
        <v>0</v>
      </c>
      <c r="N1135" s="76">
        <f t="shared" si="425"/>
        <v>1.06</v>
      </c>
      <c r="O1135" s="77">
        <f t="shared" si="426"/>
        <v>0.90684354485776808</v>
      </c>
      <c r="P1135" s="76">
        <f t="shared" si="427"/>
        <v>0</v>
      </c>
      <c r="Q1135" s="76">
        <f t="shared" si="428"/>
        <v>0.91666666666666663</v>
      </c>
      <c r="R1135" s="76">
        <f t="shared" si="429"/>
        <v>8.333333333333337E-2</v>
      </c>
      <c r="S1135" s="76">
        <f t="shared" si="430"/>
        <v>1.0448414755969937</v>
      </c>
      <c r="T1135" s="76">
        <f t="shared" si="431"/>
        <v>0.99004019598515836</v>
      </c>
      <c r="U1135" s="76">
        <f t="shared" si="432"/>
        <v>1.06</v>
      </c>
    </row>
    <row r="1136" spans="1:21" x14ac:dyDescent="0.25">
      <c r="A1136" s="71">
        <v>32</v>
      </c>
      <c r="B1136" s="72">
        <f t="shared" si="433"/>
        <v>46600</v>
      </c>
      <c r="C1136" s="73">
        <f t="shared" si="414"/>
        <v>46630</v>
      </c>
      <c r="D1136" s="67">
        <f t="shared" si="415"/>
        <v>31</v>
      </c>
      <c r="E1136" s="67">
        <f t="shared" si="416"/>
        <v>8</v>
      </c>
      <c r="F1136" s="74">
        <f t="shared" si="417"/>
        <v>46615.5</v>
      </c>
      <c r="G1136" s="67">
        <f t="shared" si="418"/>
        <v>24331</v>
      </c>
      <c r="H1136" s="75">
        <f t="shared" si="419"/>
        <v>1</v>
      </c>
      <c r="I1136" s="76">
        <f t="shared" si="420"/>
        <v>1.06</v>
      </c>
      <c r="J1136" s="76">
        <f t="shared" si="421"/>
        <v>1.06</v>
      </c>
      <c r="K1136" s="67">
        <f t="shared" si="422"/>
        <v>0</v>
      </c>
      <c r="L1136" s="67">
        <f t="shared" si="423"/>
        <v>0</v>
      </c>
      <c r="M1136" s="77">
        <f t="shared" si="424"/>
        <v>0</v>
      </c>
      <c r="N1136" s="76">
        <f t="shared" si="425"/>
        <v>1.06</v>
      </c>
      <c r="O1136" s="77">
        <f t="shared" si="426"/>
        <v>0.90650437636761494</v>
      </c>
      <c r="P1136" s="76">
        <f t="shared" si="427"/>
        <v>0</v>
      </c>
      <c r="Q1136" s="76">
        <f t="shared" si="428"/>
        <v>0.75</v>
      </c>
      <c r="R1136" s="76">
        <f t="shared" si="429"/>
        <v>0.25</v>
      </c>
      <c r="S1136" s="76">
        <f t="shared" si="430"/>
        <v>1.044450694510513</v>
      </c>
      <c r="T1136" s="76">
        <f t="shared" si="431"/>
        <v>1.0490518266577871</v>
      </c>
      <c r="U1136" s="76">
        <f t="shared" si="432"/>
        <v>1.06</v>
      </c>
    </row>
    <row r="1137" spans="1:21" x14ac:dyDescent="0.25">
      <c r="A1137" s="71">
        <v>33</v>
      </c>
      <c r="B1137" s="72">
        <f t="shared" si="433"/>
        <v>46631</v>
      </c>
      <c r="C1137" s="73">
        <f t="shared" si="414"/>
        <v>46660</v>
      </c>
      <c r="D1137" s="67">
        <f t="shared" si="415"/>
        <v>30</v>
      </c>
      <c r="E1137" s="67">
        <f t="shared" si="416"/>
        <v>9</v>
      </c>
      <c r="F1137" s="74">
        <f t="shared" si="417"/>
        <v>46646</v>
      </c>
      <c r="G1137" s="67">
        <f t="shared" si="418"/>
        <v>24332</v>
      </c>
      <c r="H1137" s="75">
        <f t="shared" si="419"/>
        <v>1</v>
      </c>
      <c r="I1137" s="76">
        <f t="shared" si="420"/>
        <v>1.06</v>
      </c>
      <c r="J1137" s="76">
        <f t="shared" si="421"/>
        <v>1.06</v>
      </c>
      <c r="K1137" s="67">
        <f t="shared" si="422"/>
        <v>0</v>
      </c>
      <c r="L1137" s="67">
        <f t="shared" si="423"/>
        <v>0</v>
      </c>
      <c r="M1137" s="77">
        <f t="shared" si="424"/>
        <v>0</v>
      </c>
      <c r="N1137" s="76">
        <f t="shared" si="425"/>
        <v>1.06</v>
      </c>
      <c r="O1137" s="77">
        <f t="shared" si="426"/>
        <v>0.90617067833698028</v>
      </c>
      <c r="P1137" s="76">
        <f t="shared" si="427"/>
        <v>0</v>
      </c>
      <c r="Q1137" s="76">
        <f t="shared" si="428"/>
        <v>0.58333333333333337</v>
      </c>
      <c r="R1137" s="76">
        <f t="shared" si="429"/>
        <v>0.41666666666666663</v>
      </c>
      <c r="S1137" s="76">
        <f t="shared" si="430"/>
        <v>1.0440662163447816</v>
      </c>
      <c r="T1137" s="76">
        <f t="shared" si="431"/>
        <v>1.0486673484920561</v>
      </c>
      <c r="U1137" s="76">
        <f t="shared" si="432"/>
        <v>1.06</v>
      </c>
    </row>
    <row r="1138" spans="1:21" x14ac:dyDescent="0.25">
      <c r="A1138" s="71">
        <v>34</v>
      </c>
      <c r="B1138" s="72">
        <f t="shared" si="433"/>
        <v>46661</v>
      </c>
      <c r="C1138" s="73">
        <f t="shared" si="414"/>
        <v>46691</v>
      </c>
      <c r="D1138" s="67">
        <f t="shared" si="415"/>
        <v>31</v>
      </c>
      <c r="E1138" s="67">
        <f t="shared" si="416"/>
        <v>10</v>
      </c>
      <c r="F1138" s="74">
        <f t="shared" si="417"/>
        <v>46676.5</v>
      </c>
      <c r="G1138" s="67">
        <f t="shared" si="418"/>
        <v>24333</v>
      </c>
      <c r="H1138" s="75">
        <f t="shared" si="419"/>
        <v>1</v>
      </c>
      <c r="I1138" s="76">
        <f t="shared" si="420"/>
        <v>1.06</v>
      </c>
      <c r="J1138" s="76">
        <f t="shared" si="421"/>
        <v>1.06</v>
      </c>
      <c r="K1138" s="67">
        <f t="shared" si="422"/>
        <v>0</v>
      </c>
      <c r="L1138" s="67">
        <f t="shared" si="423"/>
        <v>0</v>
      </c>
      <c r="M1138" s="77">
        <f t="shared" si="424"/>
        <v>0</v>
      </c>
      <c r="N1138" s="76">
        <f t="shared" si="425"/>
        <v>1.06</v>
      </c>
      <c r="O1138" s="77">
        <f t="shared" si="426"/>
        <v>0.90583698030634574</v>
      </c>
      <c r="P1138" s="76">
        <f t="shared" si="427"/>
        <v>0</v>
      </c>
      <c r="Q1138" s="76">
        <f t="shared" si="428"/>
        <v>0.41666666666666669</v>
      </c>
      <c r="R1138" s="76">
        <f t="shared" si="429"/>
        <v>0.58333333333333326</v>
      </c>
      <c r="S1138" s="76">
        <f t="shared" si="430"/>
        <v>1.0436817381790504</v>
      </c>
      <c r="T1138" s="76">
        <f t="shared" si="431"/>
        <v>1.0482828703263247</v>
      </c>
      <c r="U1138" s="76">
        <f t="shared" si="432"/>
        <v>1.06</v>
      </c>
    </row>
    <row r="1139" spans="1:21" x14ac:dyDescent="0.25">
      <c r="A1139" s="71">
        <v>35</v>
      </c>
      <c r="B1139" s="72">
        <f t="shared" si="433"/>
        <v>46692</v>
      </c>
      <c r="C1139" s="73">
        <f t="shared" si="414"/>
        <v>46721</v>
      </c>
      <c r="D1139" s="67">
        <f t="shared" si="415"/>
        <v>30</v>
      </c>
      <c r="E1139" s="67">
        <f t="shared" si="416"/>
        <v>11</v>
      </c>
      <c r="F1139" s="74">
        <f t="shared" si="417"/>
        <v>46707</v>
      </c>
      <c r="G1139" s="67">
        <f t="shared" si="418"/>
        <v>24334</v>
      </c>
      <c r="H1139" s="75">
        <f t="shared" si="419"/>
        <v>1</v>
      </c>
      <c r="I1139" s="76">
        <f t="shared" si="420"/>
        <v>1.06</v>
      </c>
      <c r="J1139" s="76">
        <f t="shared" si="421"/>
        <v>1.06</v>
      </c>
      <c r="K1139" s="67">
        <f t="shared" si="422"/>
        <v>0</v>
      </c>
      <c r="L1139" s="67">
        <f t="shared" si="423"/>
        <v>0</v>
      </c>
      <c r="M1139" s="77">
        <f t="shared" si="424"/>
        <v>0</v>
      </c>
      <c r="N1139" s="76">
        <f t="shared" si="425"/>
        <v>1.06</v>
      </c>
      <c r="O1139" s="77">
        <f t="shared" si="426"/>
        <v>0.9055032822757112</v>
      </c>
      <c r="P1139" s="76">
        <f t="shared" si="427"/>
        <v>0</v>
      </c>
      <c r="Q1139" s="76">
        <f t="shared" si="428"/>
        <v>0.25</v>
      </c>
      <c r="R1139" s="76">
        <f t="shared" si="429"/>
        <v>0.75</v>
      </c>
      <c r="S1139" s="76">
        <f t="shared" si="430"/>
        <v>1.0432972600133195</v>
      </c>
      <c r="T1139" s="76">
        <f t="shared" si="431"/>
        <v>1.0478983921605938</v>
      </c>
      <c r="U1139" s="76">
        <f t="shared" si="432"/>
        <v>1.06</v>
      </c>
    </row>
    <row r="1140" spans="1:21" x14ac:dyDescent="0.25">
      <c r="A1140" s="71">
        <v>36</v>
      </c>
      <c r="B1140" s="72">
        <f t="shared" si="433"/>
        <v>46722</v>
      </c>
      <c r="C1140" s="73">
        <f t="shared" si="414"/>
        <v>46752</v>
      </c>
      <c r="D1140" s="67">
        <f t="shared" si="415"/>
        <v>31</v>
      </c>
      <c r="E1140" s="67">
        <f t="shared" si="416"/>
        <v>12</v>
      </c>
      <c r="F1140" s="74">
        <f t="shared" si="417"/>
        <v>46737.5</v>
      </c>
      <c r="G1140" s="67">
        <f t="shared" si="418"/>
        <v>24335</v>
      </c>
      <c r="H1140" s="75">
        <f t="shared" si="419"/>
        <v>1</v>
      </c>
      <c r="I1140" s="76">
        <f t="shared" si="420"/>
        <v>1.06</v>
      </c>
      <c r="J1140" s="76">
        <f t="shared" si="421"/>
        <v>1.06</v>
      </c>
      <c r="K1140" s="67">
        <f t="shared" si="422"/>
        <v>0</v>
      </c>
      <c r="L1140" s="67">
        <f t="shared" si="423"/>
        <v>0</v>
      </c>
      <c r="M1140" s="77">
        <f t="shared" si="424"/>
        <v>0</v>
      </c>
      <c r="N1140" s="76">
        <f t="shared" si="425"/>
        <v>1.06</v>
      </c>
      <c r="O1140" s="77">
        <f t="shared" si="426"/>
        <v>0.90516958424507665</v>
      </c>
      <c r="P1140" s="76">
        <f t="shared" si="427"/>
        <v>0</v>
      </c>
      <c r="Q1140" s="76">
        <f t="shared" si="428"/>
        <v>8.3333333333333329E-2</v>
      </c>
      <c r="R1140" s="76">
        <f t="shared" si="429"/>
        <v>0.91666666666666663</v>
      </c>
      <c r="S1140" s="76">
        <f t="shared" si="430"/>
        <v>1.0429127818475883</v>
      </c>
      <c r="T1140" s="76">
        <f t="shared" si="431"/>
        <v>1.0475139139948626</v>
      </c>
      <c r="U1140" s="76">
        <f t="shared" si="432"/>
        <v>1.06</v>
      </c>
    </row>
    <row r="1141" spans="1:21" x14ac:dyDescent="0.25">
      <c r="A1141" s="71">
        <v>37</v>
      </c>
      <c r="B1141" s="72">
        <f t="shared" si="433"/>
        <v>46753</v>
      </c>
      <c r="C1141" s="73">
        <f t="shared" si="414"/>
        <v>46783</v>
      </c>
      <c r="D1141" s="67">
        <f t="shared" si="415"/>
        <v>31</v>
      </c>
      <c r="E1141" s="67">
        <f t="shared" si="416"/>
        <v>1</v>
      </c>
      <c r="F1141" s="74">
        <f t="shared" si="417"/>
        <v>46768.5</v>
      </c>
      <c r="G1141" s="67">
        <f t="shared" si="418"/>
        <v>24336</v>
      </c>
      <c r="H1141" s="75">
        <f t="shared" si="419"/>
        <v>1</v>
      </c>
      <c r="I1141" s="76">
        <f t="shared" si="420"/>
        <v>1.06</v>
      </c>
      <c r="J1141" s="76">
        <f t="shared" si="421"/>
        <v>1.06</v>
      </c>
      <c r="K1141" s="67">
        <f t="shared" si="422"/>
        <v>0</v>
      </c>
      <c r="L1141" s="67">
        <f t="shared" si="423"/>
        <v>0</v>
      </c>
      <c r="M1141" s="77">
        <f t="shared" si="424"/>
        <v>0</v>
      </c>
      <c r="N1141" s="76">
        <f t="shared" si="425"/>
        <v>1.06</v>
      </c>
      <c r="O1141" s="77">
        <f t="shared" si="426"/>
        <v>0.90500000000000003</v>
      </c>
      <c r="P1141" s="76">
        <f t="shared" si="427"/>
        <v>0</v>
      </c>
      <c r="Q1141" s="76">
        <f t="shared" si="428"/>
        <v>0</v>
      </c>
      <c r="R1141" s="76">
        <f t="shared" si="429"/>
        <v>1</v>
      </c>
      <c r="S1141" s="76">
        <f t="shared" si="430"/>
        <v>1.0427173913043479</v>
      </c>
      <c r="T1141" s="76">
        <f t="shared" si="431"/>
        <v>0.99219270288269434</v>
      </c>
      <c r="U1141" s="76">
        <f t="shared" si="432"/>
        <v>1.06</v>
      </c>
    </row>
    <row r="1142" spans="1:21" x14ac:dyDescent="0.25">
      <c r="A1142" s="71">
        <v>38</v>
      </c>
      <c r="B1142" s="72">
        <f t="shared" si="433"/>
        <v>46784</v>
      </c>
      <c r="C1142" s="73">
        <f t="shared" si="414"/>
        <v>46812</v>
      </c>
      <c r="D1142" s="67">
        <f t="shared" si="415"/>
        <v>29</v>
      </c>
      <c r="E1142" s="67">
        <f t="shared" si="416"/>
        <v>2</v>
      </c>
      <c r="F1142" s="74">
        <f t="shared" si="417"/>
        <v>46798.5</v>
      </c>
      <c r="G1142" s="67">
        <f t="shared" si="418"/>
        <v>24337</v>
      </c>
      <c r="H1142" s="75">
        <f t="shared" si="419"/>
        <v>1</v>
      </c>
      <c r="I1142" s="76">
        <f t="shared" si="420"/>
        <v>1.06</v>
      </c>
      <c r="J1142" s="76">
        <f t="shared" si="421"/>
        <v>1.06</v>
      </c>
      <c r="K1142" s="67">
        <f t="shared" si="422"/>
        <v>0</v>
      </c>
      <c r="L1142" s="67">
        <f t="shared" si="423"/>
        <v>0</v>
      </c>
      <c r="M1142" s="77">
        <f t="shared" si="424"/>
        <v>0</v>
      </c>
      <c r="N1142" s="76">
        <f t="shared" si="425"/>
        <v>1.06</v>
      </c>
      <c r="O1142" s="77">
        <f t="shared" si="426"/>
        <v>0.90500000000000003</v>
      </c>
      <c r="P1142" s="76">
        <f t="shared" si="427"/>
        <v>0</v>
      </c>
      <c r="Q1142" s="76">
        <f t="shared" si="428"/>
        <v>0</v>
      </c>
      <c r="R1142" s="76">
        <f t="shared" si="429"/>
        <v>1</v>
      </c>
      <c r="S1142" s="76">
        <f t="shared" si="430"/>
        <v>1.0427173913043479</v>
      </c>
      <c r="T1142" s="76">
        <f t="shared" si="431"/>
        <v>0.99184187993530581</v>
      </c>
      <c r="U1142" s="76">
        <f t="shared" si="432"/>
        <v>1.06</v>
      </c>
    </row>
    <row r="1143" spans="1:21" x14ac:dyDescent="0.25">
      <c r="A1143" s="71">
        <v>39</v>
      </c>
      <c r="B1143" s="72">
        <f t="shared" si="433"/>
        <v>46813</v>
      </c>
      <c r="C1143" s="73">
        <f t="shared" si="414"/>
        <v>46843</v>
      </c>
      <c r="D1143" s="67">
        <f t="shared" si="415"/>
        <v>31</v>
      </c>
      <c r="E1143" s="67">
        <f t="shared" si="416"/>
        <v>3</v>
      </c>
      <c r="F1143" s="74">
        <f t="shared" si="417"/>
        <v>46828.5</v>
      </c>
      <c r="G1143" s="67">
        <f t="shared" si="418"/>
        <v>24338</v>
      </c>
      <c r="H1143" s="75">
        <f t="shared" si="419"/>
        <v>1</v>
      </c>
      <c r="I1143" s="76">
        <f t="shared" si="420"/>
        <v>1.06</v>
      </c>
      <c r="J1143" s="76">
        <f t="shared" si="421"/>
        <v>1.06</v>
      </c>
      <c r="K1143" s="67">
        <f t="shared" si="422"/>
        <v>0</v>
      </c>
      <c r="L1143" s="67">
        <f t="shared" si="423"/>
        <v>0</v>
      </c>
      <c r="M1143" s="77">
        <f t="shared" si="424"/>
        <v>0</v>
      </c>
      <c r="N1143" s="76">
        <f t="shared" si="425"/>
        <v>1.06</v>
      </c>
      <c r="O1143" s="77">
        <f t="shared" si="426"/>
        <v>0.90500000000000003</v>
      </c>
      <c r="P1143" s="76">
        <f t="shared" si="427"/>
        <v>0</v>
      </c>
      <c r="Q1143" s="76">
        <f t="shared" si="428"/>
        <v>0</v>
      </c>
      <c r="R1143" s="76">
        <f t="shared" si="429"/>
        <v>1</v>
      </c>
      <c r="S1143" s="76">
        <f t="shared" si="430"/>
        <v>1.0427173913043479</v>
      </c>
      <c r="T1143" s="76">
        <f t="shared" si="431"/>
        <v>0.9914910569879174</v>
      </c>
      <c r="U1143" s="76">
        <f t="shared" si="432"/>
        <v>1.06</v>
      </c>
    </row>
    <row r="1144" spans="1:21" x14ac:dyDescent="0.25">
      <c r="A1144" s="71">
        <v>40</v>
      </c>
      <c r="B1144" s="72">
        <f t="shared" si="433"/>
        <v>46844</v>
      </c>
      <c r="C1144" s="73">
        <f t="shared" si="414"/>
        <v>46873</v>
      </c>
      <c r="D1144" s="67">
        <f t="shared" si="415"/>
        <v>30</v>
      </c>
      <c r="E1144" s="67">
        <f t="shared" si="416"/>
        <v>4</v>
      </c>
      <c r="F1144" s="74">
        <f t="shared" si="417"/>
        <v>46859</v>
      </c>
      <c r="G1144" s="67">
        <f t="shared" si="418"/>
        <v>24339</v>
      </c>
      <c r="H1144" s="75">
        <f t="shared" si="419"/>
        <v>1</v>
      </c>
      <c r="I1144" s="76">
        <f t="shared" si="420"/>
        <v>1.06</v>
      </c>
      <c r="J1144" s="76">
        <f t="shared" si="421"/>
        <v>1.06</v>
      </c>
      <c r="K1144" s="67">
        <f t="shared" si="422"/>
        <v>0</v>
      </c>
      <c r="L1144" s="67">
        <f t="shared" si="423"/>
        <v>0</v>
      </c>
      <c r="M1144" s="77">
        <f t="shared" si="424"/>
        <v>0</v>
      </c>
      <c r="N1144" s="76">
        <f t="shared" si="425"/>
        <v>1.06</v>
      </c>
      <c r="O1144" s="77">
        <f t="shared" si="426"/>
        <v>0.90500000000000003</v>
      </c>
      <c r="P1144" s="76">
        <f t="shared" si="427"/>
        <v>0</v>
      </c>
      <c r="Q1144" s="76">
        <f t="shared" si="428"/>
        <v>0</v>
      </c>
      <c r="R1144" s="76">
        <f t="shared" si="429"/>
        <v>1</v>
      </c>
      <c r="S1144" s="76">
        <f t="shared" si="430"/>
        <v>1.0427173913043479</v>
      </c>
      <c r="T1144" s="76">
        <f t="shared" si="431"/>
        <v>0.99112834173722764</v>
      </c>
      <c r="U1144" s="76">
        <f t="shared" si="432"/>
        <v>1.06</v>
      </c>
    </row>
    <row r="1145" spans="1:21" x14ac:dyDescent="0.25">
      <c r="A1145" s="71">
        <v>41</v>
      </c>
      <c r="B1145" s="72">
        <f t="shared" si="433"/>
        <v>46874</v>
      </c>
      <c r="C1145" s="73">
        <f t="shared" si="414"/>
        <v>46904</v>
      </c>
      <c r="D1145" s="67">
        <f t="shared" si="415"/>
        <v>31</v>
      </c>
      <c r="E1145" s="67">
        <f t="shared" si="416"/>
        <v>5</v>
      </c>
      <c r="F1145" s="74">
        <f t="shared" si="417"/>
        <v>46889.5</v>
      </c>
      <c r="G1145" s="67">
        <f t="shared" si="418"/>
        <v>24340</v>
      </c>
      <c r="H1145" s="75">
        <f t="shared" si="419"/>
        <v>1</v>
      </c>
      <c r="I1145" s="76">
        <f t="shared" si="420"/>
        <v>1.06</v>
      </c>
      <c r="J1145" s="76">
        <f t="shared" si="421"/>
        <v>1.06</v>
      </c>
      <c r="K1145" s="67">
        <f t="shared" si="422"/>
        <v>0</v>
      </c>
      <c r="L1145" s="67">
        <f t="shared" si="423"/>
        <v>0</v>
      </c>
      <c r="M1145" s="77">
        <f t="shared" si="424"/>
        <v>0</v>
      </c>
      <c r="N1145" s="76">
        <f t="shared" si="425"/>
        <v>1.06</v>
      </c>
      <c r="O1145" s="77">
        <f t="shared" si="426"/>
        <v>0.90500000000000003</v>
      </c>
      <c r="P1145" s="76">
        <f t="shared" si="427"/>
        <v>0</v>
      </c>
      <c r="Q1145" s="76">
        <f t="shared" si="428"/>
        <v>0</v>
      </c>
      <c r="R1145" s="76">
        <f t="shared" si="429"/>
        <v>1</v>
      </c>
      <c r="S1145" s="76">
        <f t="shared" si="430"/>
        <v>1.0427173913043479</v>
      </c>
      <c r="T1145" s="76">
        <f t="shared" si="431"/>
        <v>0.99076562648653799</v>
      </c>
      <c r="U1145" s="76">
        <f t="shared" si="432"/>
        <v>1.06</v>
      </c>
    </row>
    <row r="1146" spans="1:21" x14ac:dyDescent="0.25">
      <c r="A1146" s="71">
        <v>42</v>
      </c>
      <c r="B1146" s="72">
        <f t="shared" si="433"/>
        <v>46905</v>
      </c>
      <c r="C1146" s="73">
        <f t="shared" si="414"/>
        <v>46934</v>
      </c>
      <c r="D1146" s="67">
        <f t="shared" si="415"/>
        <v>30</v>
      </c>
      <c r="E1146" s="67">
        <f t="shared" si="416"/>
        <v>6</v>
      </c>
      <c r="F1146" s="74">
        <f t="shared" si="417"/>
        <v>46920</v>
      </c>
      <c r="G1146" s="67">
        <f t="shared" si="418"/>
        <v>24341</v>
      </c>
      <c r="H1146" s="75">
        <f t="shared" si="419"/>
        <v>1</v>
      </c>
      <c r="I1146" s="76">
        <f t="shared" si="420"/>
        <v>1.06</v>
      </c>
      <c r="J1146" s="76">
        <f t="shared" si="421"/>
        <v>1.06</v>
      </c>
      <c r="K1146" s="67">
        <f t="shared" si="422"/>
        <v>0</v>
      </c>
      <c r="L1146" s="67">
        <f t="shared" si="423"/>
        <v>0</v>
      </c>
      <c r="M1146" s="77">
        <f t="shared" si="424"/>
        <v>0</v>
      </c>
      <c r="N1146" s="76">
        <f t="shared" si="425"/>
        <v>1.06</v>
      </c>
      <c r="O1146" s="77">
        <f t="shared" si="426"/>
        <v>0.90500000000000003</v>
      </c>
      <c r="P1146" s="76">
        <f t="shared" si="427"/>
        <v>0</v>
      </c>
      <c r="Q1146" s="76">
        <f t="shared" si="428"/>
        <v>0</v>
      </c>
      <c r="R1146" s="76">
        <f t="shared" si="429"/>
        <v>1</v>
      </c>
      <c r="S1146" s="76">
        <f t="shared" si="430"/>
        <v>1.0427173913043479</v>
      </c>
      <c r="T1146" s="76">
        <f t="shared" si="431"/>
        <v>0.99040291123584812</v>
      </c>
      <c r="U1146" s="76">
        <f t="shared" si="432"/>
        <v>1.06</v>
      </c>
    </row>
    <row r="1147" spans="1:21" x14ac:dyDescent="0.25">
      <c r="A1147" s="71">
        <v>43</v>
      </c>
      <c r="B1147" s="72">
        <f t="shared" si="433"/>
        <v>46935</v>
      </c>
      <c r="C1147" s="73">
        <f t="shared" si="414"/>
        <v>46965</v>
      </c>
      <c r="D1147" s="67">
        <f t="shared" si="415"/>
        <v>31</v>
      </c>
      <c r="E1147" s="67">
        <f t="shared" si="416"/>
        <v>7</v>
      </c>
      <c r="F1147" s="74">
        <f t="shared" si="417"/>
        <v>46950.5</v>
      </c>
      <c r="G1147" s="67">
        <f t="shared" si="418"/>
        <v>24342</v>
      </c>
      <c r="H1147" s="75">
        <f t="shared" si="419"/>
        <v>1</v>
      </c>
      <c r="I1147" s="76">
        <f t="shared" si="420"/>
        <v>1.06</v>
      </c>
      <c r="J1147" s="76">
        <f t="shared" si="421"/>
        <v>1.06</v>
      </c>
      <c r="K1147" s="67">
        <f t="shared" si="422"/>
        <v>0</v>
      </c>
      <c r="L1147" s="67">
        <f t="shared" si="423"/>
        <v>0</v>
      </c>
      <c r="M1147" s="77">
        <f t="shared" si="424"/>
        <v>0</v>
      </c>
      <c r="N1147" s="76">
        <f t="shared" si="425"/>
        <v>1.06</v>
      </c>
      <c r="O1147" s="77">
        <f t="shared" si="426"/>
        <v>0.90500000000000003</v>
      </c>
      <c r="P1147" s="76">
        <f t="shared" si="427"/>
        <v>0</v>
      </c>
      <c r="Q1147" s="76">
        <f t="shared" si="428"/>
        <v>0</v>
      </c>
      <c r="R1147" s="76">
        <f t="shared" si="429"/>
        <v>0.91666666666666663</v>
      </c>
      <c r="S1147" s="76">
        <f t="shared" si="430"/>
        <v>1.0427173913043479</v>
      </c>
      <c r="T1147" s="76">
        <f t="shared" si="431"/>
        <v>0.99004019598515836</v>
      </c>
      <c r="U1147" s="76">
        <f t="shared" si="432"/>
        <v>1.06</v>
      </c>
    </row>
    <row r="1148" spans="1:21" x14ac:dyDescent="0.25">
      <c r="A1148" s="71">
        <v>44</v>
      </c>
      <c r="B1148" s="72">
        <f t="shared" si="433"/>
        <v>46966</v>
      </c>
      <c r="C1148" s="73">
        <f t="shared" si="414"/>
        <v>46996</v>
      </c>
      <c r="D1148" s="67">
        <f t="shared" si="415"/>
        <v>31</v>
      </c>
      <c r="E1148" s="67">
        <f t="shared" si="416"/>
        <v>8</v>
      </c>
      <c r="F1148" s="74">
        <f t="shared" si="417"/>
        <v>46981.5</v>
      </c>
      <c r="G1148" s="67">
        <f t="shared" si="418"/>
        <v>24343</v>
      </c>
      <c r="H1148" s="75">
        <f t="shared" si="419"/>
        <v>1</v>
      </c>
      <c r="I1148" s="76">
        <f t="shared" si="420"/>
        <v>1.06</v>
      </c>
      <c r="J1148" s="76">
        <f t="shared" si="421"/>
        <v>1.06</v>
      </c>
      <c r="K1148" s="67">
        <f t="shared" si="422"/>
        <v>0</v>
      </c>
      <c r="L1148" s="67">
        <f t="shared" si="423"/>
        <v>0</v>
      </c>
      <c r="M1148" s="77">
        <f t="shared" si="424"/>
        <v>0</v>
      </c>
      <c r="N1148" s="76">
        <f t="shared" si="425"/>
        <v>1.06</v>
      </c>
      <c r="O1148" s="77">
        <f t="shared" si="426"/>
        <v>0.90500000000000003</v>
      </c>
      <c r="P1148" s="76">
        <f t="shared" si="427"/>
        <v>0</v>
      </c>
      <c r="Q1148" s="76">
        <f t="shared" si="428"/>
        <v>0</v>
      </c>
      <c r="R1148" s="76">
        <f t="shared" si="429"/>
        <v>0.75</v>
      </c>
      <c r="S1148" s="76">
        <f t="shared" si="430"/>
        <v>1.0427173913043479</v>
      </c>
      <c r="T1148" s="76">
        <f t="shared" si="431"/>
        <v>1.0490518266577871</v>
      </c>
      <c r="U1148" s="76">
        <f t="shared" si="432"/>
        <v>1.06</v>
      </c>
    </row>
    <row r="1149" spans="1:21" x14ac:dyDescent="0.25">
      <c r="A1149" s="71">
        <v>45</v>
      </c>
      <c r="B1149" s="72">
        <f t="shared" si="433"/>
        <v>46997</v>
      </c>
      <c r="C1149" s="73">
        <f t="shared" si="414"/>
        <v>47026</v>
      </c>
      <c r="D1149" s="67">
        <f t="shared" si="415"/>
        <v>30</v>
      </c>
      <c r="E1149" s="67">
        <f t="shared" si="416"/>
        <v>9</v>
      </c>
      <c r="F1149" s="74">
        <f t="shared" si="417"/>
        <v>47012</v>
      </c>
      <c r="G1149" s="67">
        <f t="shared" si="418"/>
        <v>24344</v>
      </c>
      <c r="H1149" s="75">
        <f t="shared" si="419"/>
        <v>1</v>
      </c>
      <c r="I1149" s="76">
        <f t="shared" si="420"/>
        <v>1.06</v>
      </c>
      <c r="J1149" s="76">
        <f t="shared" si="421"/>
        <v>1.06</v>
      </c>
      <c r="K1149" s="67">
        <f t="shared" si="422"/>
        <v>0</v>
      </c>
      <c r="L1149" s="67">
        <f t="shared" si="423"/>
        <v>0</v>
      </c>
      <c r="M1149" s="77">
        <f t="shared" si="424"/>
        <v>0</v>
      </c>
      <c r="N1149" s="76">
        <f t="shared" si="425"/>
        <v>1.06</v>
      </c>
      <c r="O1149" s="77">
        <f t="shared" si="426"/>
        <v>0.90500000000000003</v>
      </c>
      <c r="P1149" s="76">
        <f t="shared" si="427"/>
        <v>0</v>
      </c>
      <c r="Q1149" s="76">
        <f t="shared" si="428"/>
        <v>0</v>
      </c>
      <c r="R1149" s="76">
        <f t="shared" si="429"/>
        <v>0.58333333333333337</v>
      </c>
      <c r="S1149" s="76">
        <f t="shared" si="430"/>
        <v>1.0427173913043479</v>
      </c>
      <c r="T1149" s="76">
        <f t="shared" si="431"/>
        <v>1.0486673484920561</v>
      </c>
      <c r="U1149" s="76">
        <f t="shared" si="432"/>
        <v>1.06</v>
      </c>
    </row>
    <row r="1150" spans="1:21" x14ac:dyDescent="0.25">
      <c r="A1150" s="71">
        <v>46</v>
      </c>
      <c r="B1150" s="72">
        <f t="shared" si="433"/>
        <v>47027</v>
      </c>
      <c r="C1150" s="73">
        <f t="shared" si="414"/>
        <v>47057</v>
      </c>
      <c r="D1150" s="67">
        <f t="shared" si="415"/>
        <v>31</v>
      </c>
      <c r="E1150" s="67">
        <f t="shared" si="416"/>
        <v>10</v>
      </c>
      <c r="F1150" s="74">
        <f t="shared" si="417"/>
        <v>47042.5</v>
      </c>
      <c r="G1150" s="67">
        <f t="shared" si="418"/>
        <v>24345</v>
      </c>
      <c r="H1150" s="75">
        <f t="shared" si="419"/>
        <v>1</v>
      </c>
      <c r="I1150" s="76">
        <f t="shared" si="420"/>
        <v>1.06</v>
      </c>
      <c r="J1150" s="76">
        <f t="shared" si="421"/>
        <v>1.06</v>
      </c>
      <c r="K1150" s="67">
        <f t="shared" si="422"/>
        <v>0</v>
      </c>
      <c r="L1150" s="67">
        <f t="shared" si="423"/>
        <v>0</v>
      </c>
      <c r="M1150" s="77">
        <f t="shared" si="424"/>
        <v>0</v>
      </c>
      <c r="N1150" s="76">
        <f t="shared" si="425"/>
        <v>1.06</v>
      </c>
      <c r="O1150" s="77">
        <f t="shared" si="426"/>
        <v>0.90500000000000003</v>
      </c>
      <c r="P1150" s="76">
        <f t="shared" si="427"/>
        <v>0</v>
      </c>
      <c r="Q1150" s="76">
        <f t="shared" si="428"/>
        <v>0</v>
      </c>
      <c r="R1150" s="76">
        <f t="shared" si="429"/>
        <v>0.41666666666666669</v>
      </c>
      <c r="S1150" s="76">
        <f t="shared" si="430"/>
        <v>1.0427173913043479</v>
      </c>
      <c r="T1150" s="76">
        <f t="shared" si="431"/>
        <v>1.0482828703263247</v>
      </c>
      <c r="U1150" s="76">
        <f t="shared" si="432"/>
        <v>1.06</v>
      </c>
    </row>
    <row r="1151" spans="1:21" x14ac:dyDescent="0.25">
      <c r="A1151" s="71">
        <v>47</v>
      </c>
      <c r="B1151" s="72">
        <f t="shared" si="433"/>
        <v>47058</v>
      </c>
      <c r="C1151" s="73">
        <f t="shared" si="414"/>
        <v>47087</v>
      </c>
      <c r="D1151" s="67">
        <f t="shared" si="415"/>
        <v>30</v>
      </c>
      <c r="E1151" s="67">
        <f t="shared" si="416"/>
        <v>11</v>
      </c>
      <c r="F1151" s="74">
        <f t="shared" si="417"/>
        <v>47073</v>
      </c>
      <c r="G1151" s="67">
        <f t="shared" si="418"/>
        <v>24346</v>
      </c>
      <c r="H1151" s="75">
        <f t="shared" si="419"/>
        <v>1</v>
      </c>
      <c r="I1151" s="76">
        <f t="shared" si="420"/>
        <v>1.06</v>
      </c>
      <c r="J1151" s="76">
        <f t="shared" si="421"/>
        <v>1.06</v>
      </c>
      <c r="K1151" s="67">
        <f t="shared" si="422"/>
        <v>0</v>
      </c>
      <c r="L1151" s="67">
        <f t="shared" si="423"/>
        <v>0</v>
      </c>
      <c r="M1151" s="77">
        <f t="shared" si="424"/>
        <v>0</v>
      </c>
      <c r="N1151" s="76">
        <f t="shared" si="425"/>
        <v>1.06</v>
      </c>
      <c r="O1151" s="77">
        <f t="shared" si="426"/>
        <v>0.90500000000000003</v>
      </c>
      <c r="P1151" s="76">
        <f t="shared" si="427"/>
        <v>0</v>
      </c>
      <c r="Q1151" s="76">
        <f t="shared" si="428"/>
        <v>0</v>
      </c>
      <c r="R1151" s="76">
        <f t="shared" si="429"/>
        <v>0.25</v>
      </c>
      <c r="S1151" s="76">
        <f t="shared" si="430"/>
        <v>1.0427173913043479</v>
      </c>
      <c r="T1151" s="76">
        <f t="shared" si="431"/>
        <v>1.0478983921605938</v>
      </c>
      <c r="U1151" s="76">
        <f t="shared" si="432"/>
        <v>1.06</v>
      </c>
    </row>
    <row r="1152" spans="1:21" x14ac:dyDescent="0.25">
      <c r="A1152" s="71">
        <v>48</v>
      </c>
      <c r="B1152" s="72">
        <f t="shared" si="433"/>
        <v>47088</v>
      </c>
      <c r="C1152" s="73">
        <f t="shared" si="414"/>
        <v>47118</v>
      </c>
      <c r="D1152" s="67">
        <f t="shared" si="415"/>
        <v>31</v>
      </c>
      <c r="E1152" s="67">
        <f t="shared" si="416"/>
        <v>12</v>
      </c>
      <c r="F1152" s="74">
        <f t="shared" si="417"/>
        <v>47103.5</v>
      </c>
      <c r="G1152" s="67">
        <f t="shared" si="418"/>
        <v>24347</v>
      </c>
      <c r="H1152" s="75">
        <f t="shared" si="419"/>
        <v>1</v>
      </c>
      <c r="I1152" s="76">
        <f t="shared" si="420"/>
        <v>1.06</v>
      </c>
      <c r="J1152" s="76">
        <f t="shared" si="421"/>
        <v>1.06</v>
      </c>
      <c r="K1152" s="67">
        <f t="shared" si="422"/>
        <v>0</v>
      </c>
      <c r="L1152" s="67">
        <f t="shared" si="423"/>
        <v>0</v>
      </c>
      <c r="M1152" s="77">
        <f t="shared" si="424"/>
        <v>0</v>
      </c>
      <c r="N1152" s="76">
        <f t="shared" si="425"/>
        <v>1.06</v>
      </c>
      <c r="O1152" s="77">
        <f t="shared" si="426"/>
        <v>0.90500000000000003</v>
      </c>
      <c r="P1152" s="76">
        <f t="shared" si="427"/>
        <v>0</v>
      </c>
      <c r="Q1152" s="76">
        <f t="shared" si="428"/>
        <v>0</v>
      </c>
      <c r="R1152" s="76">
        <f t="shared" si="429"/>
        <v>8.3333333333333329E-2</v>
      </c>
      <c r="S1152" s="76">
        <f t="shared" si="430"/>
        <v>1.0427173913043479</v>
      </c>
      <c r="T1152" s="76">
        <f t="shared" si="431"/>
        <v>1.0475139139948626</v>
      </c>
      <c r="U1152" s="76">
        <f t="shared" si="432"/>
        <v>1.06</v>
      </c>
    </row>
    <row r="1153" spans="1:21" x14ac:dyDescent="0.25">
      <c r="A1153" s="81" t="s">
        <v>1187</v>
      </c>
      <c r="B1153" s="53">
        <f>EXP(SUMPRODUCT((rl_key=$A$1102)*(rl_cons="Y")*rl_ln1p))</f>
        <v>1.06</v>
      </c>
      <c r="C1153" s="53">
        <f>SUMPRODUCT($H$1105:$H$1152,$P$1105:$P$1152,$U$1105:$U$1152)/SUMPRODUCT($H$1105:$H$1152,$P$1105:$P$1152)</f>
        <v>1.0104166666666667</v>
      </c>
      <c r="D1153" s="53">
        <f>SUMPRODUCT($H$1105:$H$1152,$Q$1105:$Q$1152,$U$1105:$U$1152)/SUMPRODUCT($H$1105:$H$1152,$Q$1105:$Q$1152)</f>
        <v>1.0595833333333335</v>
      </c>
      <c r="E1153" s="53">
        <f>SUMPRODUCT($H$1105:$H$1152,$R$1105:$R$1152,$U$1105:$U$1152)/SUMPRODUCT($H$1105:$H$1152,$R$1105:$R$1152)</f>
        <v>1.0600000000000003</v>
      </c>
      <c r="F1153" s="172">
        <f>SUMPRODUCT($H$1105:$H$1152,$Q$1105:$Q$1152,$O$1105:$O$1152)/SUMPRODUCT($H$1105:$H$1152,$Q$1105:$Q$1152)</f>
        <v>0.9080037381473377</v>
      </c>
      <c r="G1153" s="172">
        <f>SUMPRODUCT($H$1105:$H$1152,$R$1105:$R$1152,$O$1105:$O$1152)/SUMPRODUCT($H$1105:$H$1152,$R$1105:$R$1152)</f>
        <v>0.90516988815949428</v>
      </c>
    </row>
    <row r="1156" spans="1:21" x14ac:dyDescent="0.25">
      <c r="A1156" s="81" t="str">
        <f>INDEX(lr_key,21)</f>
        <v>BU-A|TX</v>
      </c>
      <c r="B1156" s="81" t="str">
        <f>INDEX(lr_state,21)</f>
        <v>TX</v>
      </c>
      <c r="C1156" s="55">
        <f>nr_TermMonths</f>
        <v>6</v>
      </c>
      <c r="D1156" s="55">
        <f>IF(COUNTIF(se_state,$B1156)=0,0,MATCH($B1156,se_state,0))</f>
        <v>0</v>
      </c>
      <c r="E1156" s="57">
        <f>IF($D1156=0,0,INDEX(se_sum,$D1156))</f>
        <v>0</v>
      </c>
      <c r="F1156" s="172">
        <f>IF(N(INDEX(lr_mind,21))=0,1,INDEX(lr_mind,21))</f>
        <v>0.92</v>
      </c>
      <c r="G1156" s="172">
        <f>IF(N(INDEX(lr_m0,21))=0,1,INDEX(lr_m0,21))</f>
        <v>0.91</v>
      </c>
      <c r="H1156" s="54">
        <f>IF(N(INDEX(lr_m0asof,21))=0,DATE(nr_PlanYear-1,10,1),INDEX(lr_m0asof,21))</f>
        <v>46295</v>
      </c>
      <c r="I1156" s="172">
        <f>IF(N(INDEX(lr_m1,21))=0,1,INDEX(lr_m1,21))</f>
        <v>0.92</v>
      </c>
      <c r="J1156" s="172">
        <f>INDEX(lr_mprior,21)</f>
        <v>0</v>
      </c>
      <c r="K1156" s="172">
        <f>INDEX(lr_m2,21)</f>
        <v>0</v>
      </c>
      <c r="L1156" s="81" t="b">
        <f>NOT(ISBLANK(INDEX(lr_netp,21)))</f>
        <v>0</v>
      </c>
      <c r="M1156" s="52">
        <f>N(INDEX(lr_netp,21))</f>
        <v>0</v>
      </c>
      <c r="N1156" s="52">
        <f>IF(ISBLANK(INDEX(lr_netp1,21)),$M$1156,N(INDEX(lr_netp1,21)))</f>
        <v>0</v>
      </c>
      <c r="O1156" s="55">
        <f>IF(AND(nr_ModAdjMaster="ON",INDEX(lr_modadj,21)="ON"),1,0)</f>
        <v>1</v>
      </c>
    </row>
    <row r="1157" spans="1:21" x14ac:dyDescent="0.25">
      <c r="A1157" s="81">
        <f>EDATE($H$1156,-12)+1</f>
        <v>45931</v>
      </c>
      <c r="B1157" s="81">
        <f>$H$1156+1</f>
        <v>46296</v>
      </c>
      <c r="C1157" s="81">
        <f>DATE(nr_PlanYear,12,31)+1</f>
        <v>46753</v>
      </c>
      <c r="D1157" s="81">
        <f>DATE(nr_PlanYear+1,12,31)+1</f>
        <v>47119</v>
      </c>
      <c r="E1157" s="81">
        <f>IF(N($J$1156)=0,$F$1157-($G$1157-$F$1157)/($C$1157-$B$1157)*($B$1157-$A$1157),$J$1156)</f>
        <v>0.9020131291028447</v>
      </c>
      <c r="F1157" s="81">
        <f>$G$1156</f>
        <v>0.91</v>
      </c>
      <c r="G1157" s="81">
        <f>$I$1156</f>
        <v>0.92</v>
      </c>
      <c r="H1157" s="81">
        <f>IF(N($K$1156)=0,$I$1156,$K$1156)</f>
        <v>0.92</v>
      </c>
      <c r="I1157" s="81">
        <f>($F$1157-$E$1157)/($B$1157-$A$1157)</f>
        <v>2.1881838074398162E-5</v>
      </c>
      <c r="J1157" s="81">
        <f>($G$1157-$F$1157)/($C$1157-$B$1157)</f>
        <v>2.188183807439827E-5</v>
      </c>
      <c r="K1157" s="81">
        <f>($H$1157-$G$1157)/($D$1157-$C$1157)</f>
        <v>0</v>
      </c>
    </row>
    <row r="1158" spans="1:21" ht="36" x14ac:dyDescent="0.25">
      <c r="A1158" s="50" t="s">
        <v>211</v>
      </c>
      <c r="B1158" s="50" t="s">
        <v>212</v>
      </c>
      <c r="C1158" s="50" t="s">
        <v>213</v>
      </c>
      <c r="D1158" s="50" t="s">
        <v>214</v>
      </c>
      <c r="E1158" s="50" t="s">
        <v>215</v>
      </c>
      <c r="F1158" s="50" t="s">
        <v>216</v>
      </c>
      <c r="G1158" s="50" t="s">
        <v>217</v>
      </c>
      <c r="H1158" s="50" t="s">
        <v>218</v>
      </c>
      <c r="I1158" s="50" t="s">
        <v>219</v>
      </c>
      <c r="J1158" s="50" t="s">
        <v>220</v>
      </c>
      <c r="K1158" s="50" t="s">
        <v>221</v>
      </c>
      <c r="L1158" s="50" t="s">
        <v>222</v>
      </c>
      <c r="M1158" s="50" t="s">
        <v>223</v>
      </c>
      <c r="N1158" s="50" t="s">
        <v>224</v>
      </c>
      <c r="O1158" s="50" t="s">
        <v>225</v>
      </c>
      <c r="P1158" s="50" t="s">
        <v>226</v>
      </c>
      <c r="Q1158" s="50" t="s">
        <v>227</v>
      </c>
      <c r="R1158" s="50" t="s">
        <v>228</v>
      </c>
      <c r="S1158" s="50" t="s">
        <v>229</v>
      </c>
      <c r="T1158" s="50" t="s">
        <v>230</v>
      </c>
      <c r="U1158" s="50" t="s">
        <v>231</v>
      </c>
    </row>
    <row r="1159" spans="1:21" x14ac:dyDescent="0.25">
      <c r="A1159" s="71">
        <v>1</v>
      </c>
      <c r="B1159" s="72">
        <f>DATE(nr_PlanYear-2,1,1)</f>
        <v>45658</v>
      </c>
      <c r="C1159" s="73">
        <f t="shared" ref="C1159:C1206" si="434">EOMONTH($B1159,0)</f>
        <v>45688</v>
      </c>
      <c r="D1159" s="67">
        <f t="shared" ref="D1159:D1206" si="435">$C1159-$B1159+1</f>
        <v>31</v>
      </c>
      <c r="E1159" s="67">
        <f t="shared" ref="E1159:E1206" si="436">MONTH($B1159)</f>
        <v>1</v>
      </c>
      <c r="F1159" s="74">
        <f t="shared" ref="F1159:F1206" si="437">($B1159+$C1159+1)/2</f>
        <v>45673.5</v>
      </c>
      <c r="G1159" s="67">
        <f t="shared" ref="G1159:G1206" si="438">YEAR($B1159)*12+MONTH($B1159)-1</f>
        <v>24300</v>
      </c>
      <c r="H1159" s="75">
        <f t="shared" ref="H1159:H1206" si="439">IF(OR(nr_SeasonOn="OFF",$D$1156=0,$E$1156=0),1,12*INDEX(se_block,$D$1156,$E1159)/$E$1156)</f>
        <v>1</v>
      </c>
      <c r="I1159" s="76">
        <f t="shared" ref="I1159:I1206" si="440">EXP(SUMPRODUCT((rl_eff&lt;$B1159)*(rl_key=$A$1156)*rl_ln1p))</f>
        <v>1</v>
      </c>
      <c r="J1159" s="76">
        <f t="shared" ref="J1159:J1206" si="441">EXP(SUMPRODUCT((rl_eff&lt;=$C1159)*(rl_key=$A$1156)*rl_ln1p))</f>
        <v>1</v>
      </c>
      <c r="K1159" s="67">
        <f t="shared" ref="K1159:K1206" si="442">COUNTIFS(rl_key,$A$1156,rl_eff,"&gt;="&amp;$B1159,rl_eff,"&lt;="&amp;$C1159)</f>
        <v>0</v>
      </c>
      <c r="L1159" s="67">
        <f t="shared" ref="L1159:L1206" si="443">SUMIFS(rl_daysafter,rl_key,$A$1156,rl_effmonth,$B1159,rl_first,1)</f>
        <v>0</v>
      </c>
      <c r="M1159" s="77">
        <f t="shared" ref="M1159:M1206" si="444">IF($K1159=0,0,MIN(1,$L1159/$D1159))</f>
        <v>0</v>
      </c>
      <c r="N1159" s="76">
        <f t="shared" ref="N1159:N1206" si="445">IF($K1159=0,$J1159,(1-$M1159)*$I1159+$M1159*$J1159)</f>
        <v>1</v>
      </c>
      <c r="O1159" s="77">
        <f t="shared" ref="O1159:O1206" si="446">IF($F1159&lt;$B$1157,$E$1157+$I$1157*($F1159-$A$1157),IF($F1159&lt;$C$1157,$F$1157+$J$1157*($F1159-$B$1157),$G$1157+$K$1157*($F1159-$C$1157)))</f>
        <v>0.89637855579868719</v>
      </c>
      <c r="P1159" s="76">
        <f t="shared" ref="P1159:P1206" si="447">MIN(1,MAX(0,(nr_MEndPm1-$G1159+0.5)/$C$1156))-MIN(1,MAX(0,(nr_MStartPm1-1-$G1159+0.5)/$C$1156))</f>
        <v>0</v>
      </c>
      <c r="Q1159" s="76">
        <f t="shared" ref="Q1159:Q1206" si="448">MIN(1,MAX(0,(nr_MEndP-$G1159+0.5)/$C$1156))-MIN(1,MAX(0,(nr_MStartP-1-$G1159+0.5)/$C$1156))</f>
        <v>0</v>
      </c>
      <c r="R1159" s="76">
        <f t="shared" ref="R1159:R1206" si="449">MIN(1,MAX(0,(nr_MEndP1-$G1159+0.5)/$C$1156))-MIN(1,MAX(0,(nr_MStartP1-1-$G1159+0.5)/$C$1156))</f>
        <v>0</v>
      </c>
      <c r="S1159" s="76">
        <f t="shared" ref="S1159:S1206" si="450">$N1159*IF($O$1156=1,$O1159/$F$1156,1)</f>
        <v>0.97432451717248603</v>
      </c>
      <c r="T1159" s="76">
        <f t="shared" ref="T1159:T1206" si="451">IF($G1159&lt;nr_MStartP,$S1159,$T1147*(1+IF($G1159&lt;nr_MStartP1,$M$1156,$N$1156)))</f>
        <v>0.97432451717248603</v>
      </c>
      <c r="U1159" s="76">
        <f t="shared" ref="U1159:U1206" si="452">IF($L$1156,$T1159,$N1159)</f>
        <v>1</v>
      </c>
    </row>
    <row r="1160" spans="1:21" x14ac:dyDescent="0.25">
      <c r="A1160" s="71">
        <v>2</v>
      </c>
      <c r="B1160" s="72">
        <f t="shared" ref="B1160:B1206" si="453">EDATE($B1159,1)</f>
        <v>45689</v>
      </c>
      <c r="C1160" s="73">
        <f t="shared" si="434"/>
        <v>45716</v>
      </c>
      <c r="D1160" s="67">
        <f t="shared" si="435"/>
        <v>28</v>
      </c>
      <c r="E1160" s="67">
        <f t="shared" si="436"/>
        <v>2</v>
      </c>
      <c r="F1160" s="74">
        <f t="shared" si="437"/>
        <v>45703</v>
      </c>
      <c r="G1160" s="67">
        <f t="shared" si="438"/>
        <v>24301</v>
      </c>
      <c r="H1160" s="75">
        <f t="shared" si="439"/>
        <v>1</v>
      </c>
      <c r="I1160" s="76">
        <f t="shared" si="440"/>
        <v>1</v>
      </c>
      <c r="J1160" s="76">
        <f t="shared" si="441"/>
        <v>1</v>
      </c>
      <c r="K1160" s="67">
        <f t="shared" si="442"/>
        <v>0</v>
      </c>
      <c r="L1160" s="67">
        <f t="shared" si="443"/>
        <v>0</v>
      </c>
      <c r="M1160" s="77">
        <f t="shared" si="444"/>
        <v>0</v>
      </c>
      <c r="N1160" s="76">
        <f t="shared" si="445"/>
        <v>1</v>
      </c>
      <c r="O1160" s="77">
        <f t="shared" si="446"/>
        <v>0.89702407002188189</v>
      </c>
      <c r="P1160" s="76">
        <f t="shared" si="447"/>
        <v>0</v>
      </c>
      <c r="Q1160" s="76">
        <f t="shared" si="448"/>
        <v>0</v>
      </c>
      <c r="R1160" s="76">
        <f t="shared" si="449"/>
        <v>0</v>
      </c>
      <c r="S1160" s="76">
        <f t="shared" si="450"/>
        <v>0.97502616306726286</v>
      </c>
      <c r="T1160" s="76">
        <f t="shared" si="451"/>
        <v>0.97502616306726286</v>
      </c>
      <c r="U1160" s="76">
        <f t="shared" si="452"/>
        <v>1</v>
      </c>
    </row>
    <row r="1161" spans="1:21" x14ac:dyDescent="0.25">
      <c r="A1161" s="71">
        <v>3</v>
      </c>
      <c r="B1161" s="72">
        <f t="shared" si="453"/>
        <v>45717</v>
      </c>
      <c r="C1161" s="73">
        <f t="shared" si="434"/>
        <v>45747</v>
      </c>
      <c r="D1161" s="67">
        <f t="shared" si="435"/>
        <v>31</v>
      </c>
      <c r="E1161" s="67">
        <f t="shared" si="436"/>
        <v>3</v>
      </c>
      <c r="F1161" s="74">
        <f t="shared" si="437"/>
        <v>45732.5</v>
      </c>
      <c r="G1161" s="67">
        <f t="shared" si="438"/>
        <v>24302</v>
      </c>
      <c r="H1161" s="75">
        <f t="shared" si="439"/>
        <v>1</v>
      </c>
      <c r="I1161" s="76">
        <f t="shared" si="440"/>
        <v>1</v>
      </c>
      <c r="J1161" s="76">
        <f t="shared" si="441"/>
        <v>1</v>
      </c>
      <c r="K1161" s="67">
        <f t="shared" si="442"/>
        <v>0</v>
      </c>
      <c r="L1161" s="67">
        <f t="shared" si="443"/>
        <v>0</v>
      </c>
      <c r="M1161" s="77">
        <f t="shared" si="444"/>
        <v>0</v>
      </c>
      <c r="N1161" s="76">
        <f t="shared" si="445"/>
        <v>1</v>
      </c>
      <c r="O1161" s="77">
        <f t="shared" si="446"/>
        <v>0.8976695842450767</v>
      </c>
      <c r="P1161" s="76">
        <f t="shared" si="447"/>
        <v>0</v>
      </c>
      <c r="Q1161" s="76">
        <f t="shared" si="448"/>
        <v>0</v>
      </c>
      <c r="R1161" s="76">
        <f t="shared" si="449"/>
        <v>0</v>
      </c>
      <c r="S1161" s="76">
        <f t="shared" si="450"/>
        <v>0.97572780896203981</v>
      </c>
      <c r="T1161" s="76">
        <f t="shared" si="451"/>
        <v>0.97572780896203981</v>
      </c>
      <c r="U1161" s="76">
        <f t="shared" si="452"/>
        <v>1</v>
      </c>
    </row>
    <row r="1162" spans="1:21" x14ac:dyDescent="0.25">
      <c r="A1162" s="71">
        <v>4</v>
      </c>
      <c r="B1162" s="72">
        <f t="shared" si="453"/>
        <v>45748</v>
      </c>
      <c r="C1162" s="73">
        <f t="shared" si="434"/>
        <v>45777</v>
      </c>
      <c r="D1162" s="67">
        <f t="shared" si="435"/>
        <v>30</v>
      </c>
      <c r="E1162" s="67">
        <f t="shared" si="436"/>
        <v>4</v>
      </c>
      <c r="F1162" s="74">
        <f t="shared" si="437"/>
        <v>45763</v>
      </c>
      <c r="G1162" s="67">
        <f t="shared" si="438"/>
        <v>24303</v>
      </c>
      <c r="H1162" s="75">
        <f t="shared" si="439"/>
        <v>1</v>
      </c>
      <c r="I1162" s="76">
        <f t="shared" si="440"/>
        <v>1</v>
      </c>
      <c r="J1162" s="76">
        <f t="shared" si="441"/>
        <v>1</v>
      </c>
      <c r="K1162" s="67">
        <f t="shared" si="442"/>
        <v>0</v>
      </c>
      <c r="L1162" s="67">
        <f t="shared" si="443"/>
        <v>0</v>
      </c>
      <c r="M1162" s="77">
        <f t="shared" si="444"/>
        <v>0</v>
      </c>
      <c r="N1162" s="76">
        <f t="shared" si="445"/>
        <v>1</v>
      </c>
      <c r="O1162" s="77">
        <f t="shared" si="446"/>
        <v>0.89833698030634579</v>
      </c>
      <c r="P1162" s="76">
        <f t="shared" si="447"/>
        <v>0</v>
      </c>
      <c r="Q1162" s="76">
        <f t="shared" si="448"/>
        <v>0</v>
      </c>
      <c r="R1162" s="76">
        <f t="shared" si="449"/>
        <v>0</v>
      </c>
      <c r="S1162" s="76">
        <f t="shared" si="450"/>
        <v>0.97645323946341933</v>
      </c>
      <c r="T1162" s="76">
        <f t="shared" si="451"/>
        <v>0.97645323946341933</v>
      </c>
      <c r="U1162" s="76">
        <f t="shared" si="452"/>
        <v>1</v>
      </c>
    </row>
    <row r="1163" spans="1:21" x14ac:dyDescent="0.25">
      <c r="A1163" s="71">
        <v>5</v>
      </c>
      <c r="B1163" s="72">
        <f t="shared" si="453"/>
        <v>45778</v>
      </c>
      <c r="C1163" s="73">
        <f t="shared" si="434"/>
        <v>45808</v>
      </c>
      <c r="D1163" s="67">
        <f t="shared" si="435"/>
        <v>31</v>
      </c>
      <c r="E1163" s="67">
        <f t="shared" si="436"/>
        <v>5</v>
      </c>
      <c r="F1163" s="74">
        <f t="shared" si="437"/>
        <v>45793.5</v>
      </c>
      <c r="G1163" s="67">
        <f t="shared" si="438"/>
        <v>24304</v>
      </c>
      <c r="H1163" s="75">
        <f t="shared" si="439"/>
        <v>1</v>
      </c>
      <c r="I1163" s="76">
        <f t="shared" si="440"/>
        <v>1</v>
      </c>
      <c r="J1163" s="76">
        <f t="shared" si="441"/>
        <v>1</v>
      </c>
      <c r="K1163" s="67">
        <f t="shared" si="442"/>
        <v>0</v>
      </c>
      <c r="L1163" s="67">
        <f t="shared" si="443"/>
        <v>0</v>
      </c>
      <c r="M1163" s="77">
        <f t="shared" si="444"/>
        <v>0</v>
      </c>
      <c r="N1163" s="76">
        <f t="shared" si="445"/>
        <v>1</v>
      </c>
      <c r="O1163" s="77">
        <f t="shared" si="446"/>
        <v>0.89900437636761499</v>
      </c>
      <c r="P1163" s="76">
        <f t="shared" si="447"/>
        <v>0</v>
      </c>
      <c r="Q1163" s="76">
        <f t="shared" si="448"/>
        <v>0</v>
      </c>
      <c r="R1163" s="76">
        <f t="shared" si="449"/>
        <v>0</v>
      </c>
      <c r="S1163" s="76">
        <f t="shared" si="450"/>
        <v>0.97717866996479885</v>
      </c>
      <c r="T1163" s="76">
        <f t="shared" si="451"/>
        <v>0.97717866996479885</v>
      </c>
      <c r="U1163" s="76">
        <f t="shared" si="452"/>
        <v>1</v>
      </c>
    </row>
    <row r="1164" spans="1:21" x14ac:dyDescent="0.25">
      <c r="A1164" s="71">
        <v>6</v>
      </c>
      <c r="B1164" s="72">
        <f t="shared" si="453"/>
        <v>45809</v>
      </c>
      <c r="C1164" s="73">
        <f t="shared" si="434"/>
        <v>45838</v>
      </c>
      <c r="D1164" s="67">
        <f t="shared" si="435"/>
        <v>30</v>
      </c>
      <c r="E1164" s="67">
        <f t="shared" si="436"/>
        <v>6</v>
      </c>
      <c r="F1164" s="74">
        <f t="shared" si="437"/>
        <v>45824</v>
      </c>
      <c r="G1164" s="67">
        <f t="shared" si="438"/>
        <v>24305</v>
      </c>
      <c r="H1164" s="75">
        <f t="shared" si="439"/>
        <v>1</v>
      </c>
      <c r="I1164" s="76">
        <f t="shared" si="440"/>
        <v>1</v>
      </c>
      <c r="J1164" s="76">
        <f t="shared" si="441"/>
        <v>1</v>
      </c>
      <c r="K1164" s="67">
        <f t="shared" si="442"/>
        <v>0</v>
      </c>
      <c r="L1164" s="67">
        <f t="shared" si="443"/>
        <v>0</v>
      </c>
      <c r="M1164" s="77">
        <f t="shared" si="444"/>
        <v>0</v>
      </c>
      <c r="N1164" s="76">
        <f t="shared" si="445"/>
        <v>1</v>
      </c>
      <c r="O1164" s="77">
        <f t="shared" si="446"/>
        <v>0.89967177242888408</v>
      </c>
      <c r="P1164" s="76">
        <f t="shared" si="447"/>
        <v>0</v>
      </c>
      <c r="Q1164" s="76">
        <f t="shared" si="448"/>
        <v>0</v>
      </c>
      <c r="R1164" s="76">
        <f t="shared" si="449"/>
        <v>0</v>
      </c>
      <c r="S1164" s="76">
        <f t="shared" si="450"/>
        <v>0.97790410046617826</v>
      </c>
      <c r="T1164" s="76">
        <f t="shared" si="451"/>
        <v>0.97790410046617826</v>
      </c>
      <c r="U1164" s="76">
        <f t="shared" si="452"/>
        <v>1</v>
      </c>
    </row>
    <row r="1165" spans="1:21" x14ac:dyDescent="0.25">
      <c r="A1165" s="71">
        <v>7</v>
      </c>
      <c r="B1165" s="72">
        <f t="shared" si="453"/>
        <v>45839</v>
      </c>
      <c r="C1165" s="73">
        <f t="shared" si="434"/>
        <v>45869</v>
      </c>
      <c r="D1165" s="67">
        <f t="shared" si="435"/>
        <v>31</v>
      </c>
      <c r="E1165" s="67">
        <f t="shared" si="436"/>
        <v>7</v>
      </c>
      <c r="F1165" s="74">
        <f t="shared" si="437"/>
        <v>45854.5</v>
      </c>
      <c r="G1165" s="67">
        <f t="shared" si="438"/>
        <v>24306</v>
      </c>
      <c r="H1165" s="75">
        <f t="shared" si="439"/>
        <v>1</v>
      </c>
      <c r="I1165" s="76">
        <f t="shared" si="440"/>
        <v>1</v>
      </c>
      <c r="J1165" s="76">
        <f t="shared" si="441"/>
        <v>1</v>
      </c>
      <c r="K1165" s="67">
        <f t="shared" si="442"/>
        <v>0</v>
      </c>
      <c r="L1165" s="67">
        <f t="shared" si="443"/>
        <v>0</v>
      </c>
      <c r="M1165" s="77">
        <f t="shared" si="444"/>
        <v>0</v>
      </c>
      <c r="N1165" s="76">
        <f t="shared" si="445"/>
        <v>1</v>
      </c>
      <c r="O1165" s="77">
        <f t="shared" si="446"/>
        <v>0.90033916849015327</v>
      </c>
      <c r="P1165" s="76">
        <f t="shared" si="447"/>
        <v>8.333333333333337E-2</v>
      </c>
      <c r="Q1165" s="76">
        <f t="shared" si="448"/>
        <v>0</v>
      </c>
      <c r="R1165" s="76">
        <f t="shared" si="449"/>
        <v>0</v>
      </c>
      <c r="S1165" s="76">
        <f t="shared" si="450"/>
        <v>0.97862953096755789</v>
      </c>
      <c r="T1165" s="76">
        <f t="shared" si="451"/>
        <v>0.97862953096755789</v>
      </c>
      <c r="U1165" s="76">
        <f t="shared" si="452"/>
        <v>1</v>
      </c>
    </row>
    <row r="1166" spans="1:21" x14ac:dyDescent="0.25">
      <c r="A1166" s="71">
        <v>8</v>
      </c>
      <c r="B1166" s="72">
        <f t="shared" si="453"/>
        <v>45870</v>
      </c>
      <c r="C1166" s="73">
        <f t="shared" si="434"/>
        <v>45900</v>
      </c>
      <c r="D1166" s="67">
        <f t="shared" si="435"/>
        <v>31</v>
      </c>
      <c r="E1166" s="67">
        <f t="shared" si="436"/>
        <v>8</v>
      </c>
      <c r="F1166" s="74">
        <f t="shared" si="437"/>
        <v>45885.5</v>
      </c>
      <c r="G1166" s="67">
        <f t="shared" si="438"/>
        <v>24307</v>
      </c>
      <c r="H1166" s="75">
        <f t="shared" si="439"/>
        <v>1</v>
      </c>
      <c r="I1166" s="76">
        <f t="shared" si="440"/>
        <v>1</v>
      </c>
      <c r="J1166" s="76">
        <f t="shared" si="441"/>
        <v>1</v>
      </c>
      <c r="K1166" s="67">
        <f t="shared" si="442"/>
        <v>0</v>
      </c>
      <c r="L1166" s="67">
        <f t="shared" si="443"/>
        <v>0</v>
      </c>
      <c r="M1166" s="77">
        <f t="shared" si="444"/>
        <v>0</v>
      </c>
      <c r="N1166" s="76">
        <f t="shared" si="445"/>
        <v>1</v>
      </c>
      <c r="O1166" s="77">
        <f t="shared" si="446"/>
        <v>0.90101750547045956</v>
      </c>
      <c r="P1166" s="76">
        <f t="shared" si="447"/>
        <v>0.25</v>
      </c>
      <c r="Q1166" s="76">
        <f t="shared" si="448"/>
        <v>0</v>
      </c>
      <c r="R1166" s="76">
        <f t="shared" si="449"/>
        <v>0</v>
      </c>
      <c r="S1166" s="76">
        <f t="shared" si="450"/>
        <v>0.97936685377223864</v>
      </c>
      <c r="T1166" s="76">
        <f t="shared" si="451"/>
        <v>0.97936685377223864</v>
      </c>
      <c r="U1166" s="76">
        <f t="shared" si="452"/>
        <v>1</v>
      </c>
    </row>
    <row r="1167" spans="1:21" x14ac:dyDescent="0.25">
      <c r="A1167" s="71">
        <v>9</v>
      </c>
      <c r="B1167" s="72">
        <f t="shared" si="453"/>
        <v>45901</v>
      </c>
      <c r="C1167" s="73">
        <f t="shared" si="434"/>
        <v>45930</v>
      </c>
      <c r="D1167" s="67">
        <f t="shared" si="435"/>
        <v>30</v>
      </c>
      <c r="E1167" s="67">
        <f t="shared" si="436"/>
        <v>9</v>
      </c>
      <c r="F1167" s="74">
        <f t="shared" si="437"/>
        <v>45916</v>
      </c>
      <c r="G1167" s="67">
        <f t="shared" si="438"/>
        <v>24308</v>
      </c>
      <c r="H1167" s="75">
        <f t="shared" si="439"/>
        <v>1</v>
      </c>
      <c r="I1167" s="76">
        <f t="shared" si="440"/>
        <v>1</v>
      </c>
      <c r="J1167" s="76">
        <f t="shared" si="441"/>
        <v>1</v>
      </c>
      <c r="K1167" s="67">
        <f t="shared" si="442"/>
        <v>0</v>
      </c>
      <c r="L1167" s="67">
        <f t="shared" si="443"/>
        <v>0</v>
      </c>
      <c r="M1167" s="77">
        <f t="shared" si="444"/>
        <v>0</v>
      </c>
      <c r="N1167" s="76">
        <f t="shared" si="445"/>
        <v>1</v>
      </c>
      <c r="O1167" s="77">
        <f t="shared" si="446"/>
        <v>0.90168490153172876</v>
      </c>
      <c r="P1167" s="76">
        <f t="shared" si="447"/>
        <v>0.41666666666666663</v>
      </c>
      <c r="Q1167" s="76">
        <f t="shared" si="448"/>
        <v>0</v>
      </c>
      <c r="R1167" s="76">
        <f t="shared" si="449"/>
        <v>0</v>
      </c>
      <c r="S1167" s="76">
        <f t="shared" si="450"/>
        <v>0.98009228427361816</v>
      </c>
      <c r="T1167" s="76">
        <f t="shared" si="451"/>
        <v>0.98009228427361816</v>
      </c>
      <c r="U1167" s="76">
        <f t="shared" si="452"/>
        <v>1</v>
      </c>
    </row>
    <row r="1168" spans="1:21" x14ac:dyDescent="0.25">
      <c r="A1168" s="71">
        <v>10</v>
      </c>
      <c r="B1168" s="72">
        <f t="shared" si="453"/>
        <v>45931</v>
      </c>
      <c r="C1168" s="73">
        <f t="shared" si="434"/>
        <v>45961</v>
      </c>
      <c r="D1168" s="67">
        <f t="shared" si="435"/>
        <v>31</v>
      </c>
      <c r="E1168" s="67">
        <f t="shared" si="436"/>
        <v>10</v>
      </c>
      <c r="F1168" s="74">
        <f t="shared" si="437"/>
        <v>45946.5</v>
      </c>
      <c r="G1168" s="67">
        <f t="shared" si="438"/>
        <v>24309</v>
      </c>
      <c r="H1168" s="75">
        <f t="shared" si="439"/>
        <v>1</v>
      </c>
      <c r="I1168" s="76">
        <f t="shared" si="440"/>
        <v>1</v>
      </c>
      <c r="J1168" s="76">
        <f t="shared" si="441"/>
        <v>1</v>
      </c>
      <c r="K1168" s="67">
        <f t="shared" si="442"/>
        <v>0</v>
      </c>
      <c r="L1168" s="67">
        <f t="shared" si="443"/>
        <v>0</v>
      </c>
      <c r="M1168" s="77">
        <f t="shared" si="444"/>
        <v>0</v>
      </c>
      <c r="N1168" s="76">
        <f t="shared" si="445"/>
        <v>1</v>
      </c>
      <c r="O1168" s="77">
        <f t="shared" si="446"/>
        <v>0.90235229759299784</v>
      </c>
      <c r="P1168" s="76">
        <f t="shared" si="447"/>
        <v>0.58333333333333326</v>
      </c>
      <c r="Q1168" s="76">
        <f t="shared" si="448"/>
        <v>0</v>
      </c>
      <c r="R1168" s="76">
        <f t="shared" si="449"/>
        <v>0</v>
      </c>
      <c r="S1168" s="76">
        <f t="shared" si="450"/>
        <v>0.98081771477499757</v>
      </c>
      <c r="T1168" s="76">
        <f t="shared" si="451"/>
        <v>0.98081771477499757</v>
      </c>
      <c r="U1168" s="76">
        <f t="shared" si="452"/>
        <v>1</v>
      </c>
    </row>
    <row r="1169" spans="1:21" x14ac:dyDescent="0.25">
      <c r="A1169" s="71">
        <v>11</v>
      </c>
      <c r="B1169" s="72">
        <f t="shared" si="453"/>
        <v>45962</v>
      </c>
      <c r="C1169" s="73">
        <f t="shared" si="434"/>
        <v>45991</v>
      </c>
      <c r="D1169" s="67">
        <f t="shared" si="435"/>
        <v>30</v>
      </c>
      <c r="E1169" s="67">
        <f t="shared" si="436"/>
        <v>11</v>
      </c>
      <c r="F1169" s="74">
        <f t="shared" si="437"/>
        <v>45977</v>
      </c>
      <c r="G1169" s="67">
        <f t="shared" si="438"/>
        <v>24310</v>
      </c>
      <c r="H1169" s="75">
        <f t="shared" si="439"/>
        <v>1</v>
      </c>
      <c r="I1169" s="76">
        <f t="shared" si="440"/>
        <v>1</v>
      </c>
      <c r="J1169" s="76">
        <f t="shared" si="441"/>
        <v>1</v>
      </c>
      <c r="K1169" s="67">
        <f t="shared" si="442"/>
        <v>0</v>
      </c>
      <c r="L1169" s="67">
        <f t="shared" si="443"/>
        <v>0</v>
      </c>
      <c r="M1169" s="77">
        <f t="shared" si="444"/>
        <v>0</v>
      </c>
      <c r="N1169" s="76">
        <f t="shared" si="445"/>
        <v>1</v>
      </c>
      <c r="O1169" s="77">
        <f t="shared" si="446"/>
        <v>0.90301969365426704</v>
      </c>
      <c r="P1169" s="76">
        <f t="shared" si="447"/>
        <v>0.75</v>
      </c>
      <c r="Q1169" s="76">
        <f t="shared" si="448"/>
        <v>0</v>
      </c>
      <c r="R1169" s="76">
        <f t="shared" si="449"/>
        <v>0</v>
      </c>
      <c r="S1169" s="76">
        <f t="shared" si="450"/>
        <v>0.9815431452763772</v>
      </c>
      <c r="T1169" s="76">
        <f t="shared" si="451"/>
        <v>0.9815431452763772</v>
      </c>
      <c r="U1169" s="76">
        <f t="shared" si="452"/>
        <v>1</v>
      </c>
    </row>
    <row r="1170" spans="1:21" x14ac:dyDescent="0.25">
      <c r="A1170" s="71">
        <v>12</v>
      </c>
      <c r="B1170" s="72">
        <f t="shared" si="453"/>
        <v>45992</v>
      </c>
      <c r="C1170" s="73">
        <f t="shared" si="434"/>
        <v>46022</v>
      </c>
      <c r="D1170" s="67">
        <f t="shared" si="435"/>
        <v>31</v>
      </c>
      <c r="E1170" s="67">
        <f t="shared" si="436"/>
        <v>12</v>
      </c>
      <c r="F1170" s="74">
        <f t="shared" si="437"/>
        <v>46007.5</v>
      </c>
      <c r="G1170" s="67">
        <f t="shared" si="438"/>
        <v>24311</v>
      </c>
      <c r="H1170" s="75">
        <f t="shared" si="439"/>
        <v>1</v>
      </c>
      <c r="I1170" s="76">
        <f t="shared" si="440"/>
        <v>1</v>
      </c>
      <c r="J1170" s="76">
        <f t="shared" si="441"/>
        <v>1</v>
      </c>
      <c r="K1170" s="67">
        <f t="shared" si="442"/>
        <v>0</v>
      </c>
      <c r="L1170" s="67">
        <f t="shared" si="443"/>
        <v>0</v>
      </c>
      <c r="M1170" s="77">
        <f t="shared" si="444"/>
        <v>0</v>
      </c>
      <c r="N1170" s="76">
        <f t="shared" si="445"/>
        <v>1</v>
      </c>
      <c r="O1170" s="77">
        <f t="shared" si="446"/>
        <v>0.90368708971553613</v>
      </c>
      <c r="P1170" s="76">
        <f t="shared" si="447"/>
        <v>0.91666666666666663</v>
      </c>
      <c r="Q1170" s="76">
        <f t="shared" si="448"/>
        <v>0</v>
      </c>
      <c r="R1170" s="76">
        <f t="shared" si="449"/>
        <v>0</v>
      </c>
      <c r="S1170" s="76">
        <f t="shared" si="450"/>
        <v>0.98226857577775661</v>
      </c>
      <c r="T1170" s="76">
        <f t="shared" si="451"/>
        <v>0.98226857577775661</v>
      </c>
      <c r="U1170" s="76">
        <f t="shared" si="452"/>
        <v>1</v>
      </c>
    </row>
    <row r="1171" spans="1:21" x14ac:dyDescent="0.25">
      <c r="A1171" s="71">
        <v>13</v>
      </c>
      <c r="B1171" s="72">
        <f t="shared" si="453"/>
        <v>46023</v>
      </c>
      <c r="C1171" s="73">
        <f t="shared" si="434"/>
        <v>46053</v>
      </c>
      <c r="D1171" s="67">
        <f t="shared" si="435"/>
        <v>31</v>
      </c>
      <c r="E1171" s="67">
        <f t="shared" si="436"/>
        <v>1</v>
      </c>
      <c r="F1171" s="74">
        <f t="shared" si="437"/>
        <v>46038.5</v>
      </c>
      <c r="G1171" s="67">
        <f t="shared" si="438"/>
        <v>24312</v>
      </c>
      <c r="H1171" s="75">
        <f t="shared" si="439"/>
        <v>1</v>
      </c>
      <c r="I1171" s="76">
        <f t="shared" si="440"/>
        <v>1</v>
      </c>
      <c r="J1171" s="76">
        <f t="shared" si="441"/>
        <v>1</v>
      </c>
      <c r="K1171" s="67">
        <f t="shared" si="442"/>
        <v>0</v>
      </c>
      <c r="L1171" s="67">
        <f t="shared" si="443"/>
        <v>0</v>
      </c>
      <c r="M1171" s="77">
        <f t="shared" si="444"/>
        <v>0</v>
      </c>
      <c r="N1171" s="76">
        <f t="shared" si="445"/>
        <v>1</v>
      </c>
      <c r="O1171" s="77">
        <f t="shared" si="446"/>
        <v>0.90436542669584252</v>
      </c>
      <c r="P1171" s="76">
        <f t="shared" si="447"/>
        <v>1</v>
      </c>
      <c r="Q1171" s="76">
        <f t="shared" si="448"/>
        <v>0</v>
      </c>
      <c r="R1171" s="76">
        <f t="shared" si="449"/>
        <v>0</v>
      </c>
      <c r="S1171" s="76">
        <f t="shared" si="450"/>
        <v>0.98300589858243748</v>
      </c>
      <c r="T1171" s="76">
        <f t="shared" si="451"/>
        <v>0.98300589858243748</v>
      </c>
      <c r="U1171" s="76">
        <f t="shared" si="452"/>
        <v>1</v>
      </c>
    </row>
    <row r="1172" spans="1:21" x14ac:dyDescent="0.25">
      <c r="A1172" s="71">
        <v>14</v>
      </c>
      <c r="B1172" s="72">
        <f t="shared" si="453"/>
        <v>46054</v>
      </c>
      <c r="C1172" s="73">
        <f t="shared" si="434"/>
        <v>46081</v>
      </c>
      <c r="D1172" s="67">
        <f t="shared" si="435"/>
        <v>28</v>
      </c>
      <c r="E1172" s="67">
        <f t="shared" si="436"/>
        <v>2</v>
      </c>
      <c r="F1172" s="74">
        <f t="shared" si="437"/>
        <v>46068</v>
      </c>
      <c r="G1172" s="67">
        <f t="shared" si="438"/>
        <v>24313</v>
      </c>
      <c r="H1172" s="75">
        <f t="shared" si="439"/>
        <v>1</v>
      </c>
      <c r="I1172" s="76">
        <f t="shared" si="440"/>
        <v>1</v>
      </c>
      <c r="J1172" s="76">
        <f t="shared" si="441"/>
        <v>1</v>
      </c>
      <c r="K1172" s="67">
        <f t="shared" si="442"/>
        <v>0</v>
      </c>
      <c r="L1172" s="67">
        <f t="shared" si="443"/>
        <v>0</v>
      </c>
      <c r="M1172" s="77">
        <f t="shared" si="444"/>
        <v>0</v>
      </c>
      <c r="N1172" s="76">
        <f t="shared" si="445"/>
        <v>1</v>
      </c>
      <c r="O1172" s="77">
        <f t="shared" si="446"/>
        <v>0.90501094091903722</v>
      </c>
      <c r="P1172" s="76">
        <f t="shared" si="447"/>
        <v>1</v>
      </c>
      <c r="Q1172" s="76">
        <f t="shared" si="448"/>
        <v>0</v>
      </c>
      <c r="R1172" s="76">
        <f t="shared" si="449"/>
        <v>0</v>
      </c>
      <c r="S1172" s="76">
        <f t="shared" si="450"/>
        <v>0.98370754447721431</v>
      </c>
      <c r="T1172" s="76">
        <f t="shared" si="451"/>
        <v>0.98370754447721431</v>
      </c>
      <c r="U1172" s="76">
        <f t="shared" si="452"/>
        <v>1</v>
      </c>
    </row>
    <row r="1173" spans="1:21" x14ac:dyDescent="0.25">
      <c r="A1173" s="71">
        <v>15</v>
      </c>
      <c r="B1173" s="72">
        <f t="shared" si="453"/>
        <v>46082</v>
      </c>
      <c r="C1173" s="73">
        <f t="shared" si="434"/>
        <v>46112</v>
      </c>
      <c r="D1173" s="67">
        <f t="shared" si="435"/>
        <v>31</v>
      </c>
      <c r="E1173" s="67">
        <f t="shared" si="436"/>
        <v>3</v>
      </c>
      <c r="F1173" s="74">
        <f t="shared" si="437"/>
        <v>46097.5</v>
      </c>
      <c r="G1173" s="67">
        <f t="shared" si="438"/>
        <v>24314</v>
      </c>
      <c r="H1173" s="75">
        <f t="shared" si="439"/>
        <v>1</v>
      </c>
      <c r="I1173" s="76">
        <f t="shared" si="440"/>
        <v>1</v>
      </c>
      <c r="J1173" s="76">
        <f t="shared" si="441"/>
        <v>1</v>
      </c>
      <c r="K1173" s="67">
        <f t="shared" si="442"/>
        <v>0</v>
      </c>
      <c r="L1173" s="67">
        <f t="shared" si="443"/>
        <v>0</v>
      </c>
      <c r="M1173" s="77">
        <f t="shared" si="444"/>
        <v>0</v>
      </c>
      <c r="N1173" s="76">
        <f t="shared" si="445"/>
        <v>1</v>
      </c>
      <c r="O1173" s="77">
        <f t="shared" si="446"/>
        <v>0.90565645514223203</v>
      </c>
      <c r="P1173" s="76">
        <f t="shared" si="447"/>
        <v>1</v>
      </c>
      <c r="Q1173" s="76">
        <f t="shared" si="448"/>
        <v>0</v>
      </c>
      <c r="R1173" s="76">
        <f t="shared" si="449"/>
        <v>0</v>
      </c>
      <c r="S1173" s="76">
        <f t="shared" si="450"/>
        <v>0.98440919037199126</v>
      </c>
      <c r="T1173" s="76">
        <f t="shared" si="451"/>
        <v>0.98440919037199126</v>
      </c>
      <c r="U1173" s="76">
        <f t="shared" si="452"/>
        <v>1</v>
      </c>
    </row>
    <row r="1174" spans="1:21" x14ac:dyDescent="0.25">
      <c r="A1174" s="71">
        <v>16</v>
      </c>
      <c r="B1174" s="72">
        <f t="shared" si="453"/>
        <v>46113</v>
      </c>
      <c r="C1174" s="73">
        <f t="shared" si="434"/>
        <v>46142</v>
      </c>
      <c r="D1174" s="67">
        <f t="shared" si="435"/>
        <v>30</v>
      </c>
      <c r="E1174" s="67">
        <f t="shared" si="436"/>
        <v>4</v>
      </c>
      <c r="F1174" s="74">
        <f t="shared" si="437"/>
        <v>46128</v>
      </c>
      <c r="G1174" s="67">
        <f t="shared" si="438"/>
        <v>24315</v>
      </c>
      <c r="H1174" s="75">
        <f t="shared" si="439"/>
        <v>1</v>
      </c>
      <c r="I1174" s="76">
        <f t="shared" si="440"/>
        <v>1</v>
      </c>
      <c r="J1174" s="76">
        <f t="shared" si="441"/>
        <v>1</v>
      </c>
      <c r="K1174" s="67">
        <f t="shared" si="442"/>
        <v>0</v>
      </c>
      <c r="L1174" s="67">
        <f t="shared" si="443"/>
        <v>0</v>
      </c>
      <c r="M1174" s="77">
        <f t="shared" si="444"/>
        <v>0</v>
      </c>
      <c r="N1174" s="76">
        <f t="shared" si="445"/>
        <v>1</v>
      </c>
      <c r="O1174" s="77">
        <f t="shared" si="446"/>
        <v>0.90632385120350112</v>
      </c>
      <c r="P1174" s="76">
        <f t="shared" si="447"/>
        <v>1</v>
      </c>
      <c r="Q1174" s="76">
        <f t="shared" si="448"/>
        <v>0</v>
      </c>
      <c r="R1174" s="76">
        <f t="shared" si="449"/>
        <v>0</v>
      </c>
      <c r="S1174" s="76">
        <f t="shared" si="450"/>
        <v>0.98513462087337078</v>
      </c>
      <c r="T1174" s="76">
        <f t="shared" si="451"/>
        <v>0.98513462087337078</v>
      </c>
      <c r="U1174" s="76">
        <f t="shared" si="452"/>
        <v>1</v>
      </c>
    </row>
    <row r="1175" spans="1:21" x14ac:dyDescent="0.25">
      <c r="A1175" s="71">
        <v>17</v>
      </c>
      <c r="B1175" s="72">
        <f t="shared" si="453"/>
        <v>46143</v>
      </c>
      <c r="C1175" s="73">
        <f t="shared" si="434"/>
        <v>46173</v>
      </c>
      <c r="D1175" s="67">
        <f t="shared" si="435"/>
        <v>31</v>
      </c>
      <c r="E1175" s="67">
        <f t="shared" si="436"/>
        <v>5</v>
      </c>
      <c r="F1175" s="74">
        <f t="shared" si="437"/>
        <v>46158.5</v>
      </c>
      <c r="G1175" s="67">
        <f t="shared" si="438"/>
        <v>24316</v>
      </c>
      <c r="H1175" s="75">
        <f t="shared" si="439"/>
        <v>1</v>
      </c>
      <c r="I1175" s="76">
        <f t="shared" si="440"/>
        <v>1</v>
      </c>
      <c r="J1175" s="76">
        <f t="shared" si="441"/>
        <v>1</v>
      </c>
      <c r="K1175" s="67">
        <f t="shared" si="442"/>
        <v>0</v>
      </c>
      <c r="L1175" s="67">
        <f t="shared" si="443"/>
        <v>0</v>
      </c>
      <c r="M1175" s="77">
        <f t="shared" si="444"/>
        <v>0</v>
      </c>
      <c r="N1175" s="76">
        <f t="shared" si="445"/>
        <v>1</v>
      </c>
      <c r="O1175" s="77">
        <f t="shared" si="446"/>
        <v>0.90699124726477032</v>
      </c>
      <c r="P1175" s="76">
        <f t="shared" si="447"/>
        <v>1</v>
      </c>
      <c r="Q1175" s="76">
        <f t="shared" si="448"/>
        <v>0</v>
      </c>
      <c r="R1175" s="76">
        <f t="shared" si="449"/>
        <v>0</v>
      </c>
      <c r="S1175" s="76">
        <f t="shared" si="450"/>
        <v>0.9858600513747503</v>
      </c>
      <c r="T1175" s="76">
        <f t="shared" si="451"/>
        <v>0.9858600513747503</v>
      </c>
      <c r="U1175" s="76">
        <f t="shared" si="452"/>
        <v>1</v>
      </c>
    </row>
    <row r="1176" spans="1:21" x14ac:dyDescent="0.25">
      <c r="A1176" s="71">
        <v>18</v>
      </c>
      <c r="B1176" s="72">
        <f t="shared" si="453"/>
        <v>46174</v>
      </c>
      <c r="C1176" s="73">
        <f t="shared" si="434"/>
        <v>46203</v>
      </c>
      <c r="D1176" s="67">
        <f t="shared" si="435"/>
        <v>30</v>
      </c>
      <c r="E1176" s="67">
        <f t="shared" si="436"/>
        <v>6</v>
      </c>
      <c r="F1176" s="74">
        <f t="shared" si="437"/>
        <v>46189</v>
      </c>
      <c r="G1176" s="67">
        <f t="shared" si="438"/>
        <v>24317</v>
      </c>
      <c r="H1176" s="75">
        <f t="shared" si="439"/>
        <v>1</v>
      </c>
      <c r="I1176" s="76">
        <f t="shared" si="440"/>
        <v>1</v>
      </c>
      <c r="J1176" s="76">
        <f t="shared" si="441"/>
        <v>1</v>
      </c>
      <c r="K1176" s="67">
        <f t="shared" si="442"/>
        <v>0</v>
      </c>
      <c r="L1176" s="67">
        <f t="shared" si="443"/>
        <v>0</v>
      </c>
      <c r="M1176" s="77">
        <f t="shared" si="444"/>
        <v>0</v>
      </c>
      <c r="N1176" s="76">
        <f t="shared" si="445"/>
        <v>1</v>
      </c>
      <c r="O1176" s="77">
        <f t="shared" si="446"/>
        <v>0.9076586433260394</v>
      </c>
      <c r="P1176" s="76">
        <f t="shared" si="447"/>
        <v>1</v>
      </c>
      <c r="Q1176" s="76">
        <f t="shared" si="448"/>
        <v>0</v>
      </c>
      <c r="R1176" s="76">
        <f t="shared" si="449"/>
        <v>0</v>
      </c>
      <c r="S1176" s="76">
        <f t="shared" si="450"/>
        <v>0.98658548187612971</v>
      </c>
      <c r="T1176" s="76">
        <f t="shared" si="451"/>
        <v>0.98658548187612971</v>
      </c>
      <c r="U1176" s="76">
        <f t="shared" si="452"/>
        <v>1</v>
      </c>
    </row>
    <row r="1177" spans="1:21" x14ac:dyDescent="0.25">
      <c r="A1177" s="71">
        <v>19</v>
      </c>
      <c r="B1177" s="72">
        <f t="shared" si="453"/>
        <v>46204</v>
      </c>
      <c r="C1177" s="73">
        <f t="shared" si="434"/>
        <v>46234</v>
      </c>
      <c r="D1177" s="67">
        <f t="shared" si="435"/>
        <v>31</v>
      </c>
      <c r="E1177" s="67">
        <f t="shared" si="436"/>
        <v>7</v>
      </c>
      <c r="F1177" s="74">
        <f t="shared" si="437"/>
        <v>46219.5</v>
      </c>
      <c r="G1177" s="67">
        <f t="shared" si="438"/>
        <v>24318</v>
      </c>
      <c r="H1177" s="75">
        <f t="shared" si="439"/>
        <v>1</v>
      </c>
      <c r="I1177" s="76">
        <f t="shared" si="440"/>
        <v>1</v>
      </c>
      <c r="J1177" s="76">
        <f t="shared" si="441"/>
        <v>1</v>
      </c>
      <c r="K1177" s="67">
        <f t="shared" si="442"/>
        <v>0</v>
      </c>
      <c r="L1177" s="67">
        <f t="shared" si="443"/>
        <v>0</v>
      </c>
      <c r="M1177" s="77">
        <f t="shared" si="444"/>
        <v>0</v>
      </c>
      <c r="N1177" s="76">
        <f t="shared" si="445"/>
        <v>1</v>
      </c>
      <c r="O1177" s="77">
        <f t="shared" si="446"/>
        <v>0.9083260393873086</v>
      </c>
      <c r="P1177" s="76">
        <f t="shared" si="447"/>
        <v>0.91666666666666663</v>
      </c>
      <c r="Q1177" s="76">
        <f t="shared" si="448"/>
        <v>8.333333333333337E-2</v>
      </c>
      <c r="R1177" s="76">
        <f t="shared" si="449"/>
        <v>0</v>
      </c>
      <c r="S1177" s="76">
        <f t="shared" si="450"/>
        <v>0.98731091237750934</v>
      </c>
      <c r="T1177" s="76">
        <f t="shared" si="451"/>
        <v>0.98731091237750934</v>
      </c>
      <c r="U1177" s="76">
        <f t="shared" si="452"/>
        <v>1</v>
      </c>
    </row>
    <row r="1178" spans="1:21" x14ac:dyDescent="0.25">
      <c r="A1178" s="71">
        <v>20</v>
      </c>
      <c r="B1178" s="72">
        <f t="shared" si="453"/>
        <v>46235</v>
      </c>
      <c r="C1178" s="73">
        <f t="shared" si="434"/>
        <v>46265</v>
      </c>
      <c r="D1178" s="67">
        <f t="shared" si="435"/>
        <v>31</v>
      </c>
      <c r="E1178" s="67">
        <f t="shared" si="436"/>
        <v>8</v>
      </c>
      <c r="F1178" s="74">
        <f t="shared" si="437"/>
        <v>46250.5</v>
      </c>
      <c r="G1178" s="67">
        <f t="shared" si="438"/>
        <v>24319</v>
      </c>
      <c r="H1178" s="75">
        <f t="shared" si="439"/>
        <v>1</v>
      </c>
      <c r="I1178" s="76">
        <f t="shared" si="440"/>
        <v>1</v>
      </c>
      <c r="J1178" s="76">
        <f t="shared" si="441"/>
        <v>1</v>
      </c>
      <c r="K1178" s="67">
        <f t="shared" si="442"/>
        <v>0</v>
      </c>
      <c r="L1178" s="67">
        <f t="shared" si="443"/>
        <v>0</v>
      </c>
      <c r="M1178" s="77">
        <f t="shared" si="444"/>
        <v>0</v>
      </c>
      <c r="N1178" s="76">
        <f t="shared" si="445"/>
        <v>1</v>
      </c>
      <c r="O1178" s="77">
        <f t="shared" si="446"/>
        <v>0.90900437636761489</v>
      </c>
      <c r="P1178" s="76">
        <f t="shared" si="447"/>
        <v>0.75</v>
      </c>
      <c r="Q1178" s="76">
        <f t="shared" si="448"/>
        <v>0.25</v>
      </c>
      <c r="R1178" s="76">
        <f t="shared" si="449"/>
        <v>0</v>
      </c>
      <c r="S1178" s="76">
        <f t="shared" si="450"/>
        <v>0.98804823518219009</v>
      </c>
      <c r="T1178" s="76">
        <f t="shared" si="451"/>
        <v>0.98804823518219009</v>
      </c>
      <c r="U1178" s="76">
        <f t="shared" si="452"/>
        <v>1</v>
      </c>
    </row>
    <row r="1179" spans="1:21" x14ac:dyDescent="0.25">
      <c r="A1179" s="71">
        <v>21</v>
      </c>
      <c r="B1179" s="72">
        <f t="shared" si="453"/>
        <v>46266</v>
      </c>
      <c r="C1179" s="73">
        <f t="shared" si="434"/>
        <v>46295</v>
      </c>
      <c r="D1179" s="67">
        <f t="shared" si="435"/>
        <v>30</v>
      </c>
      <c r="E1179" s="67">
        <f t="shared" si="436"/>
        <v>9</v>
      </c>
      <c r="F1179" s="74">
        <f t="shared" si="437"/>
        <v>46281</v>
      </c>
      <c r="G1179" s="67">
        <f t="shared" si="438"/>
        <v>24320</v>
      </c>
      <c r="H1179" s="75">
        <f t="shared" si="439"/>
        <v>1</v>
      </c>
      <c r="I1179" s="76">
        <f t="shared" si="440"/>
        <v>1</v>
      </c>
      <c r="J1179" s="76">
        <f t="shared" si="441"/>
        <v>1</v>
      </c>
      <c r="K1179" s="67">
        <f t="shared" si="442"/>
        <v>0</v>
      </c>
      <c r="L1179" s="67">
        <f t="shared" si="443"/>
        <v>0</v>
      </c>
      <c r="M1179" s="77">
        <f t="shared" si="444"/>
        <v>0</v>
      </c>
      <c r="N1179" s="76">
        <f t="shared" si="445"/>
        <v>1</v>
      </c>
      <c r="O1179" s="77">
        <f t="shared" si="446"/>
        <v>0.90967177242888408</v>
      </c>
      <c r="P1179" s="76">
        <f t="shared" si="447"/>
        <v>0.58333333333333337</v>
      </c>
      <c r="Q1179" s="76">
        <f t="shared" si="448"/>
        <v>0.41666666666666663</v>
      </c>
      <c r="R1179" s="76">
        <f t="shared" si="449"/>
        <v>0</v>
      </c>
      <c r="S1179" s="76">
        <f t="shared" si="450"/>
        <v>0.98877366568356961</v>
      </c>
      <c r="T1179" s="76">
        <f t="shared" si="451"/>
        <v>0.98877366568356961</v>
      </c>
      <c r="U1179" s="76">
        <f t="shared" si="452"/>
        <v>1</v>
      </c>
    </row>
    <row r="1180" spans="1:21" x14ac:dyDescent="0.25">
      <c r="A1180" s="71">
        <v>22</v>
      </c>
      <c r="B1180" s="72">
        <f t="shared" si="453"/>
        <v>46296</v>
      </c>
      <c r="C1180" s="73">
        <f t="shared" si="434"/>
        <v>46326</v>
      </c>
      <c r="D1180" s="67">
        <f t="shared" si="435"/>
        <v>31</v>
      </c>
      <c r="E1180" s="67">
        <f t="shared" si="436"/>
        <v>10</v>
      </c>
      <c r="F1180" s="74">
        <f t="shared" si="437"/>
        <v>46311.5</v>
      </c>
      <c r="G1180" s="67">
        <f t="shared" si="438"/>
        <v>24321</v>
      </c>
      <c r="H1180" s="75">
        <f t="shared" si="439"/>
        <v>1</v>
      </c>
      <c r="I1180" s="76">
        <f t="shared" si="440"/>
        <v>1</v>
      </c>
      <c r="J1180" s="76">
        <f t="shared" si="441"/>
        <v>1</v>
      </c>
      <c r="K1180" s="67">
        <f t="shared" si="442"/>
        <v>0</v>
      </c>
      <c r="L1180" s="67">
        <f t="shared" si="443"/>
        <v>0</v>
      </c>
      <c r="M1180" s="77">
        <f t="shared" si="444"/>
        <v>0</v>
      </c>
      <c r="N1180" s="76">
        <f t="shared" si="445"/>
        <v>1</v>
      </c>
      <c r="O1180" s="77">
        <f t="shared" si="446"/>
        <v>0.91033916849015317</v>
      </c>
      <c r="P1180" s="76">
        <f t="shared" si="447"/>
        <v>0.41666666666666669</v>
      </c>
      <c r="Q1180" s="76">
        <f t="shared" si="448"/>
        <v>0.58333333333333326</v>
      </c>
      <c r="R1180" s="76">
        <f t="shared" si="449"/>
        <v>0</v>
      </c>
      <c r="S1180" s="76">
        <f t="shared" si="450"/>
        <v>0.98949909618494902</v>
      </c>
      <c r="T1180" s="76">
        <f t="shared" si="451"/>
        <v>0.98949909618494902</v>
      </c>
      <c r="U1180" s="76">
        <f t="shared" si="452"/>
        <v>1</v>
      </c>
    </row>
    <row r="1181" spans="1:21" x14ac:dyDescent="0.25">
      <c r="A1181" s="71">
        <v>23</v>
      </c>
      <c r="B1181" s="72">
        <f t="shared" si="453"/>
        <v>46327</v>
      </c>
      <c r="C1181" s="73">
        <f t="shared" si="434"/>
        <v>46356</v>
      </c>
      <c r="D1181" s="67">
        <f t="shared" si="435"/>
        <v>30</v>
      </c>
      <c r="E1181" s="67">
        <f t="shared" si="436"/>
        <v>11</v>
      </c>
      <c r="F1181" s="74">
        <f t="shared" si="437"/>
        <v>46342</v>
      </c>
      <c r="G1181" s="67">
        <f t="shared" si="438"/>
        <v>24322</v>
      </c>
      <c r="H1181" s="75">
        <f t="shared" si="439"/>
        <v>1</v>
      </c>
      <c r="I1181" s="76">
        <f t="shared" si="440"/>
        <v>1</v>
      </c>
      <c r="J1181" s="76">
        <f t="shared" si="441"/>
        <v>1</v>
      </c>
      <c r="K1181" s="67">
        <f t="shared" si="442"/>
        <v>0</v>
      </c>
      <c r="L1181" s="67">
        <f t="shared" si="443"/>
        <v>0</v>
      </c>
      <c r="M1181" s="77">
        <f t="shared" si="444"/>
        <v>0</v>
      </c>
      <c r="N1181" s="76">
        <f t="shared" si="445"/>
        <v>1</v>
      </c>
      <c r="O1181" s="77">
        <f t="shared" si="446"/>
        <v>0.91100656455142237</v>
      </c>
      <c r="P1181" s="76">
        <f t="shared" si="447"/>
        <v>0.25</v>
      </c>
      <c r="Q1181" s="76">
        <f t="shared" si="448"/>
        <v>0.75</v>
      </c>
      <c r="R1181" s="76">
        <f t="shared" si="449"/>
        <v>0</v>
      </c>
      <c r="S1181" s="76">
        <f t="shared" si="450"/>
        <v>0.99022452668632865</v>
      </c>
      <c r="T1181" s="76">
        <f t="shared" si="451"/>
        <v>0.99022452668632865</v>
      </c>
      <c r="U1181" s="76">
        <f t="shared" si="452"/>
        <v>1</v>
      </c>
    </row>
    <row r="1182" spans="1:21" x14ac:dyDescent="0.25">
      <c r="A1182" s="71">
        <v>24</v>
      </c>
      <c r="B1182" s="72">
        <f t="shared" si="453"/>
        <v>46357</v>
      </c>
      <c r="C1182" s="73">
        <f t="shared" si="434"/>
        <v>46387</v>
      </c>
      <c r="D1182" s="67">
        <f t="shared" si="435"/>
        <v>31</v>
      </c>
      <c r="E1182" s="67">
        <f t="shared" si="436"/>
        <v>12</v>
      </c>
      <c r="F1182" s="74">
        <f t="shared" si="437"/>
        <v>46372.5</v>
      </c>
      <c r="G1182" s="67">
        <f t="shared" si="438"/>
        <v>24323</v>
      </c>
      <c r="H1182" s="75">
        <f t="shared" si="439"/>
        <v>1</v>
      </c>
      <c r="I1182" s="76">
        <f t="shared" si="440"/>
        <v>1</v>
      </c>
      <c r="J1182" s="76">
        <f t="shared" si="441"/>
        <v>1</v>
      </c>
      <c r="K1182" s="67">
        <f t="shared" si="442"/>
        <v>0</v>
      </c>
      <c r="L1182" s="67">
        <f t="shared" si="443"/>
        <v>0</v>
      </c>
      <c r="M1182" s="77">
        <f t="shared" si="444"/>
        <v>0</v>
      </c>
      <c r="N1182" s="76">
        <f t="shared" si="445"/>
        <v>1</v>
      </c>
      <c r="O1182" s="77">
        <f t="shared" si="446"/>
        <v>0.91167396061269146</v>
      </c>
      <c r="P1182" s="76">
        <f t="shared" si="447"/>
        <v>8.3333333333333329E-2</v>
      </c>
      <c r="Q1182" s="76">
        <f t="shared" si="448"/>
        <v>0.91666666666666663</v>
      </c>
      <c r="R1182" s="76">
        <f t="shared" si="449"/>
        <v>0</v>
      </c>
      <c r="S1182" s="76">
        <f t="shared" si="450"/>
        <v>0.99094995718770806</v>
      </c>
      <c r="T1182" s="76">
        <f t="shared" si="451"/>
        <v>0.99094995718770806</v>
      </c>
      <c r="U1182" s="76">
        <f t="shared" si="452"/>
        <v>1</v>
      </c>
    </row>
    <row r="1183" spans="1:21" x14ac:dyDescent="0.25">
      <c r="A1183" s="71">
        <v>25</v>
      </c>
      <c r="B1183" s="72">
        <f t="shared" si="453"/>
        <v>46388</v>
      </c>
      <c r="C1183" s="73">
        <f t="shared" si="434"/>
        <v>46418</v>
      </c>
      <c r="D1183" s="67">
        <f t="shared" si="435"/>
        <v>31</v>
      </c>
      <c r="E1183" s="67">
        <f t="shared" si="436"/>
        <v>1</v>
      </c>
      <c r="F1183" s="74">
        <f t="shared" si="437"/>
        <v>46403.5</v>
      </c>
      <c r="G1183" s="67">
        <f t="shared" si="438"/>
        <v>24324</v>
      </c>
      <c r="H1183" s="75">
        <f t="shared" si="439"/>
        <v>1</v>
      </c>
      <c r="I1183" s="76">
        <f t="shared" si="440"/>
        <v>1</v>
      </c>
      <c r="J1183" s="76">
        <f t="shared" si="441"/>
        <v>1</v>
      </c>
      <c r="K1183" s="67">
        <f t="shared" si="442"/>
        <v>0</v>
      </c>
      <c r="L1183" s="67">
        <f t="shared" si="443"/>
        <v>0</v>
      </c>
      <c r="M1183" s="77">
        <f t="shared" si="444"/>
        <v>0</v>
      </c>
      <c r="N1183" s="76">
        <f t="shared" si="445"/>
        <v>1</v>
      </c>
      <c r="O1183" s="77">
        <f t="shared" si="446"/>
        <v>0.91235229759299785</v>
      </c>
      <c r="P1183" s="76">
        <f t="shared" si="447"/>
        <v>0</v>
      </c>
      <c r="Q1183" s="76">
        <f t="shared" si="448"/>
        <v>1</v>
      </c>
      <c r="R1183" s="76">
        <f t="shared" si="449"/>
        <v>0</v>
      </c>
      <c r="S1183" s="76">
        <f t="shared" si="450"/>
        <v>0.99168727999238893</v>
      </c>
      <c r="T1183" s="76">
        <f t="shared" si="451"/>
        <v>0.98300589858243748</v>
      </c>
      <c r="U1183" s="76">
        <f t="shared" si="452"/>
        <v>1</v>
      </c>
    </row>
    <row r="1184" spans="1:21" x14ac:dyDescent="0.25">
      <c r="A1184" s="71">
        <v>26</v>
      </c>
      <c r="B1184" s="72">
        <f t="shared" si="453"/>
        <v>46419</v>
      </c>
      <c r="C1184" s="73">
        <f t="shared" si="434"/>
        <v>46446</v>
      </c>
      <c r="D1184" s="67">
        <f t="shared" si="435"/>
        <v>28</v>
      </c>
      <c r="E1184" s="67">
        <f t="shared" si="436"/>
        <v>2</v>
      </c>
      <c r="F1184" s="74">
        <f t="shared" si="437"/>
        <v>46433</v>
      </c>
      <c r="G1184" s="67">
        <f t="shared" si="438"/>
        <v>24325</v>
      </c>
      <c r="H1184" s="75">
        <f t="shared" si="439"/>
        <v>1</v>
      </c>
      <c r="I1184" s="76">
        <f t="shared" si="440"/>
        <v>1</v>
      </c>
      <c r="J1184" s="76">
        <f t="shared" si="441"/>
        <v>1</v>
      </c>
      <c r="K1184" s="67">
        <f t="shared" si="442"/>
        <v>0</v>
      </c>
      <c r="L1184" s="67">
        <f t="shared" si="443"/>
        <v>0</v>
      </c>
      <c r="M1184" s="77">
        <f t="shared" si="444"/>
        <v>0</v>
      </c>
      <c r="N1184" s="76">
        <f t="shared" si="445"/>
        <v>1</v>
      </c>
      <c r="O1184" s="77">
        <f t="shared" si="446"/>
        <v>0.91299781181619255</v>
      </c>
      <c r="P1184" s="76">
        <f t="shared" si="447"/>
        <v>0</v>
      </c>
      <c r="Q1184" s="76">
        <f t="shared" si="448"/>
        <v>1</v>
      </c>
      <c r="R1184" s="76">
        <f t="shared" si="449"/>
        <v>0</v>
      </c>
      <c r="S1184" s="76">
        <f t="shared" si="450"/>
        <v>0.99238892588716576</v>
      </c>
      <c r="T1184" s="76">
        <f t="shared" si="451"/>
        <v>0.98370754447721431</v>
      </c>
      <c r="U1184" s="76">
        <f t="shared" si="452"/>
        <v>1</v>
      </c>
    </row>
    <row r="1185" spans="1:21" x14ac:dyDescent="0.25">
      <c r="A1185" s="71">
        <v>27</v>
      </c>
      <c r="B1185" s="72">
        <f t="shared" si="453"/>
        <v>46447</v>
      </c>
      <c r="C1185" s="73">
        <f t="shared" si="434"/>
        <v>46477</v>
      </c>
      <c r="D1185" s="67">
        <f t="shared" si="435"/>
        <v>31</v>
      </c>
      <c r="E1185" s="67">
        <f t="shared" si="436"/>
        <v>3</v>
      </c>
      <c r="F1185" s="74">
        <f t="shared" si="437"/>
        <v>46462.5</v>
      </c>
      <c r="G1185" s="67">
        <f t="shared" si="438"/>
        <v>24326</v>
      </c>
      <c r="H1185" s="75">
        <f t="shared" si="439"/>
        <v>1</v>
      </c>
      <c r="I1185" s="76">
        <f t="shared" si="440"/>
        <v>1</v>
      </c>
      <c r="J1185" s="76">
        <f t="shared" si="441"/>
        <v>1</v>
      </c>
      <c r="K1185" s="67">
        <f t="shared" si="442"/>
        <v>0</v>
      </c>
      <c r="L1185" s="67">
        <f t="shared" si="443"/>
        <v>0</v>
      </c>
      <c r="M1185" s="77">
        <f t="shared" si="444"/>
        <v>0</v>
      </c>
      <c r="N1185" s="76">
        <f t="shared" si="445"/>
        <v>1</v>
      </c>
      <c r="O1185" s="77">
        <f t="shared" si="446"/>
        <v>0.91364332603938736</v>
      </c>
      <c r="P1185" s="76">
        <f t="shared" si="447"/>
        <v>0</v>
      </c>
      <c r="Q1185" s="76">
        <f t="shared" si="448"/>
        <v>1</v>
      </c>
      <c r="R1185" s="76">
        <f t="shared" si="449"/>
        <v>0</v>
      </c>
      <c r="S1185" s="76">
        <f t="shared" si="450"/>
        <v>0.99309057178194271</v>
      </c>
      <c r="T1185" s="76">
        <f t="shared" si="451"/>
        <v>0.98440919037199126</v>
      </c>
      <c r="U1185" s="76">
        <f t="shared" si="452"/>
        <v>1</v>
      </c>
    </row>
    <row r="1186" spans="1:21" x14ac:dyDescent="0.25">
      <c r="A1186" s="71">
        <v>28</v>
      </c>
      <c r="B1186" s="72">
        <f t="shared" si="453"/>
        <v>46478</v>
      </c>
      <c r="C1186" s="73">
        <f t="shared" si="434"/>
        <v>46507</v>
      </c>
      <c r="D1186" s="67">
        <f t="shared" si="435"/>
        <v>30</v>
      </c>
      <c r="E1186" s="67">
        <f t="shared" si="436"/>
        <v>4</v>
      </c>
      <c r="F1186" s="74">
        <f t="shared" si="437"/>
        <v>46493</v>
      </c>
      <c r="G1186" s="67">
        <f t="shared" si="438"/>
        <v>24327</v>
      </c>
      <c r="H1186" s="75">
        <f t="shared" si="439"/>
        <v>1</v>
      </c>
      <c r="I1186" s="76">
        <f t="shared" si="440"/>
        <v>1</v>
      </c>
      <c r="J1186" s="76">
        <f t="shared" si="441"/>
        <v>1</v>
      </c>
      <c r="K1186" s="67">
        <f t="shared" si="442"/>
        <v>0</v>
      </c>
      <c r="L1186" s="67">
        <f t="shared" si="443"/>
        <v>0</v>
      </c>
      <c r="M1186" s="77">
        <f t="shared" si="444"/>
        <v>0</v>
      </c>
      <c r="N1186" s="76">
        <f t="shared" si="445"/>
        <v>1</v>
      </c>
      <c r="O1186" s="77">
        <f t="shared" si="446"/>
        <v>0.91431072210065645</v>
      </c>
      <c r="P1186" s="76">
        <f t="shared" si="447"/>
        <v>0</v>
      </c>
      <c r="Q1186" s="76">
        <f t="shared" si="448"/>
        <v>1</v>
      </c>
      <c r="R1186" s="76">
        <f t="shared" si="449"/>
        <v>0</v>
      </c>
      <c r="S1186" s="76">
        <f t="shared" si="450"/>
        <v>0.99381600228332223</v>
      </c>
      <c r="T1186" s="76">
        <f t="shared" si="451"/>
        <v>0.98513462087337078</v>
      </c>
      <c r="U1186" s="76">
        <f t="shared" si="452"/>
        <v>1</v>
      </c>
    </row>
    <row r="1187" spans="1:21" x14ac:dyDescent="0.25">
      <c r="A1187" s="71">
        <v>29</v>
      </c>
      <c r="B1187" s="72">
        <f t="shared" si="453"/>
        <v>46508</v>
      </c>
      <c r="C1187" s="73">
        <f t="shared" si="434"/>
        <v>46538</v>
      </c>
      <c r="D1187" s="67">
        <f t="shared" si="435"/>
        <v>31</v>
      </c>
      <c r="E1187" s="67">
        <f t="shared" si="436"/>
        <v>5</v>
      </c>
      <c r="F1187" s="74">
        <f t="shared" si="437"/>
        <v>46523.5</v>
      </c>
      <c r="G1187" s="67">
        <f t="shared" si="438"/>
        <v>24328</v>
      </c>
      <c r="H1187" s="75">
        <f t="shared" si="439"/>
        <v>1</v>
      </c>
      <c r="I1187" s="76">
        <f t="shared" si="440"/>
        <v>1</v>
      </c>
      <c r="J1187" s="76">
        <f t="shared" si="441"/>
        <v>1</v>
      </c>
      <c r="K1187" s="67">
        <f t="shared" si="442"/>
        <v>0</v>
      </c>
      <c r="L1187" s="67">
        <f t="shared" si="443"/>
        <v>0</v>
      </c>
      <c r="M1187" s="77">
        <f t="shared" si="444"/>
        <v>0</v>
      </c>
      <c r="N1187" s="76">
        <f t="shared" si="445"/>
        <v>1</v>
      </c>
      <c r="O1187" s="77">
        <f t="shared" si="446"/>
        <v>0.91497811816192565</v>
      </c>
      <c r="P1187" s="76">
        <f t="shared" si="447"/>
        <v>0</v>
      </c>
      <c r="Q1187" s="76">
        <f t="shared" si="448"/>
        <v>1</v>
      </c>
      <c r="R1187" s="76">
        <f t="shared" si="449"/>
        <v>0</v>
      </c>
      <c r="S1187" s="76">
        <f t="shared" si="450"/>
        <v>0.99454143278470175</v>
      </c>
      <c r="T1187" s="76">
        <f t="shared" si="451"/>
        <v>0.9858600513747503</v>
      </c>
      <c r="U1187" s="76">
        <f t="shared" si="452"/>
        <v>1</v>
      </c>
    </row>
    <row r="1188" spans="1:21" x14ac:dyDescent="0.25">
      <c r="A1188" s="71">
        <v>30</v>
      </c>
      <c r="B1188" s="72">
        <f t="shared" si="453"/>
        <v>46539</v>
      </c>
      <c r="C1188" s="73">
        <f t="shared" si="434"/>
        <v>46568</v>
      </c>
      <c r="D1188" s="67">
        <f t="shared" si="435"/>
        <v>30</v>
      </c>
      <c r="E1188" s="67">
        <f t="shared" si="436"/>
        <v>6</v>
      </c>
      <c r="F1188" s="74">
        <f t="shared" si="437"/>
        <v>46554</v>
      </c>
      <c r="G1188" s="67">
        <f t="shared" si="438"/>
        <v>24329</v>
      </c>
      <c r="H1188" s="75">
        <f t="shared" si="439"/>
        <v>1</v>
      </c>
      <c r="I1188" s="76">
        <f t="shared" si="440"/>
        <v>1</v>
      </c>
      <c r="J1188" s="76">
        <f t="shared" si="441"/>
        <v>1</v>
      </c>
      <c r="K1188" s="67">
        <f t="shared" si="442"/>
        <v>0</v>
      </c>
      <c r="L1188" s="67">
        <f t="shared" si="443"/>
        <v>0</v>
      </c>
      <c r="M1188" s="77">
        <f t="shared" si="444"/>
        <v>0</v>
      </c>
      <c r="N1188" s="76">
        <f t="shared" si="445"/>
        <v>1</v>
      </c>
      <c r="O1188" s="77">
        <f t="shared" si="446"/>
        <v>0.91564551422319473</v>
      </c>
      <c r="P1188" s="76">
        <f t="shared" si="447"/>
        <v>0</v>
      </c>
      <c r="Q1188" s="76">
        <f t="shared" si="448"/>
        <v>1</v>
      </c>
      <c r="R1188" s="76">
        <f t="shared" si="449"/>
        <v>0</v>
      </c>
      <c r="S1188" s="76">
        <f t="shared" si="450"/>
        <v>0.99526686328608116</v>
      </c>
      <c r="T1188" s="76">
        <f t="shared" si="451"/>
        <v>0.98658548187612971</v>
      </c>
      <c r="U1188" s="76">
        <f t="shared" si="452"/>
        <v>1</v>
      </c>
    </row>
    <row r="1189" spans="1:21" x14ac:dyDescent="0.25">
      <c r="A1189" s="71">
        <v>31</v>
      </c>
      <c r="B1189" s="72">
        <f t="shared" si="453"/>
        <v>46569</v>
      </c>
      <c r="C1189" s="73">
        <f t="shared" si="434"/>
        <v>46599</v>
      </c>
      <c r="D1189" s="67">
        <f t="shared" si="435"/>
        <v>31</v>
      </c>
      <c r="E1189" s="67">
        <f t="shared" si="436"/>
        <v>7</v>
      </c>
      <c r="F1189" s="74">
        <f t="shared" si="437"/>
        <v>46584.5</v>
      </c>
      <c r="G1189" s="67">
        <f t="shared" si="438"/>
        <v>24330</v>
      </c>
      <c r="H1189" s="75">
        <f t="shared" si="439"/>
        <v>1</v>
      </c>
      <c r="I1189" s="76">
        <f t="shared" si="440"/>
        <v>1</v>
      </c>
      <c r="J1189" s="76">
        <f t="shared" si="441"/>
        <v>1</v>
      </c>
      <c r="K1189" s="67">
        <f t="shared" si="442"/>
        <v>0</v>
      </c>
      <c r="L1189" s="67">
        <f t="shared" si="443"/>
        <v>0</v>
      </c>
      <c r="M1189" s="77">
        <f t="shared" si="444"/>
        <v>0</v>
      </c>
      <c r="N1189" s="76">
        <f t="shared" si="445"/>
        <v>1</v>
      </c>
      <c r="O1189" s="77">
        <f t="shared" si="446"/>
        <v>0.91631291028446393</v>
      </c>
      <c r="P1189" s="76">
        <f t="shared" si="447"/>
        <v>0</v>
      </c>
      <c r="Q1189" s="76">
        <f t="shared" si="448"/>
        <v>0.91666666666666663</v>
      </c>
      <c r="R1189" s="76">
        <f t="shared" si="449"/>
        <v>8.333333333333337E-2</v>
      </c>
      <c r="S1189" s="76">
        <f t="shared" si="450"/>
        <v>0.99599229378746079</v>
      </c>
      <c r="T1189" s="76">
        <f t="shared" si="451"/>
        <v>0.98731091237750934</v>
      </c>
      <c r="U1189" s="76">
        <f t="shared" si="452"/>
        <v>1</v>
      </c>
    </row>
    <row r="1190" spans="1:21" x14ac:dyDescent="0.25">
      <c r="A1190" s="71">
        <v>32</v>
      </c>
      <c r="B1190" s="72">
        <f t="shared" si="453"/>
        <v>46600</v>
      </c>
      <c r="C1190" s="73">
        <f t="shared" si="434"/>
        <v>46630</v>
      </c>
      <c r="D1190" s="67">
        <f t="shared" si="435"/>
        <v>31</v>
      </c>
      <c r="E1190" s="67">
        <f t="shared" si="436"/>
        <v>8</v>
      </c>
      <c r="F1190" s="74">
        <f t="shared" si="437"/>
        <v>46615.5</v>
      </c>
      <c r="G1190" s="67">
        <f t="shared" si="438"/>
        <v>24331</v>
      </c>
      <c r="H1190" s="75">
        <f t="shared" si="439"/>
        <v>1</v>
      </c>
      <c r="I1190" s="76">
        <f t="shared" si="440"/>
        <v>1</v>
      </c>
      <c r="J1190" s="76">
        <f t="shared" si="441"/>
        <v>1</v>
      </c>
      <c r="K1190" s="67">
        <f t="shared" si="442"/>
        <v>0</v>
      </c>
      <c r="L1190" s="67">
        <f t="shared" si="443"/>
        <v>0</v>
      </c>
      <c r="M1190" s="77">
        <f t="shared" si="444"/>
        <v>0</v>
      </c>
      <c r="N1190" s="76">
        <f t="shared" si="445"/>
        <v>1</v>
      </c>
      <c r="O1190" s="77">
        <f t="shared" si="446"/>
        <v>0.91699124726477033</v>
      </c>
      <c r="P1190" s="76">
        <f t="shared" si="447"/>
        <v>0</v>
      </c>
      <c r="Q1190" s="76">
        <f t="shared" si="448"/>
        <v>0.75</v>
      </c>
      <c r="R1190" s="76">
        <f t="shared" si="449"/>
        <v>0.25</v>
      </c>
      <c r="S1190" s="76">
        <f t="shared" si="450"/>
        <v>0.99672961659214165</v>
      </c>
      <c r="T1190" s="76">
        <f t="shared" si="451"/>
        <v>0.98804823518219009</v>
      </c>
      <c r="U1190" s="76">
        <f t="shared" si="452"/>
        <v>1</v>
      </c>
    </row>
    <row r="1191" spans="1:21" x14ac:dyDescent="0.25">
      <c r="A1191" s="71">
        <v>33</v>
      </c>
      <c r="B1191" s="72">
        <f t="shared" si="453"/>
        <v>46631</v>
      </c>
      <c r="C1191" s="73">
        <f t="shared" si="434"/>
        <v>46660</v>
      </c>
      <c r="D1191" s="67">
        <f t="shared" si="435"/>
        <v>30</v>
      </c>
      <c r="E1191" s="67">
        <f t="shared" si="436"/>
        <v>9</v>
      </c>
      <c r="F1191" s="74">
        <f t="shared" si="437"/>
        <v>46646</v>
      </c>
      <c r="G1191" s="67">
        <f t="shared" si="438"/>
        <v>24332</v>
      </c>
      <c r="H1191" s="75">
        <f t="shared" si="439"/>
        <v>1</v>
      </c>
      <c r="I1191" s="76">
        <f t="shared" si="440"/>
        <v>1</v>
      </c>
      <c r="J1191" s="76">
        <f t="shared" si="441"/>
        <v>1</v>
      </c>
      <c r="K1191" s="67">
        <f t="shared" si="442"/>
        <v>0</v>
      </c>
      <c r="L1191" s="67">
        <f t="shared" si="443"/>
        <v>0</v>
      </c>
      <c r="M1191" s="77">
        <f t="shared" si="444"/>
        <v>0</v>
      </c>
      <c r="N1191" s="76">
        <f t="shared" si="445"/>
        <v>1</v>
      </c>
      <c r="O1191" s="77">
        <f t="shared" si="446"/>
        <v>0.91765864332603941</v>
      </c>
      <c r="P1191" s="76">
        <f t="shared" si="447"/>
        <v>0</v>
      </c>
      <c r="Q1191" s="76">
        <f t="shared" si="448"/>
        <v>0.58333333333333337</v>
      </c>
      <c r="R1191" s="76">
        <f t="shared" si="449"/>
        <v>0.41666666666666663</v>
      </c>
      <c r="S1191" s="76">
        <f t="shared" si="450"/>
        <v>0.99745504709352106</v>
      </c>
      <c r="T1191" s="76">
        <f t="shared" si="451"/>
        <v>0.98877366568356961</v>
      </c>
      <c r="U1191" s="76">
        <f t="shared" si="452"/>
        <v>1</v>
      </c>
    </row>
    <row r="1192" spans="1:21" x14ac:dyDescent="0.25">
      <c r="A1192" s="71">
        <v>34</v>
      </c>
      <c r="B1192" s="72">
        <f t="shared" si="453"/>
        <v>46661</v>
      </c>
      <c r="C1192" s="73">
        <f t="shared" si="434"/>
        <v>46691</v>
      </c>
      <c r="D1192" s="67">
        <f t="shared" si="435"/>
        <v>31</v>
      </c>
      <c r="E1192" s="67">
        <f t="shared" si="436"/>
        <v>10</v>
      </c>
      <c r="F1192" s="74">
        <f t="shared" si="437"/>
        <v>46676.5</v>
      </c>
      <c r="G1192" s="67">
        <f t="shared" si="438"/>
        <v>24333</v>
      </c>
      <c r="H1192" s="75">
        <f t="shared" si="439"/>
        <v>1</v>
      </c>
      <c r="I1192" s="76">
        <f t="shared" si="440"/>
        <v>1</v>
      </c>
      <c r="J1192" s="76">
        <f t="shared" si="441"/>
        <v>1</v>
      </c>
      <c r="K1192" s="67">
        <f t="shared" si="442"/>
        <v>0</v>
      </c>
      <c r="L1192" s="67">
        <f t="shared" si="443"/>
        <v>0</v>
      </c>
      <c r="M1192" s="77">
        <f t="shared" si="444"/>
        <v>0</v>
      </c>
      <c r="N1192" s="76">
        <f t="shared" si="445"/>
        <v>1</v>
      </c>
      <c r="O1192" s="77">
        <f t="shared" si="446"/>
        <v>0.91832603938730861</v>
      </c>
      <c r="P1192" s="76">
        <f t="shared" si="447"/>
        <v>0</v>
      </c>
      <c r="Q1192" s="76">
        <f t="shared" si="448"/>
        <v>0.41666666666666669</v>
      </c>
      <c r="R1192" s="76">
        <f t="shared" si="449"/>
        <v>0.58333333333333326</v>
      </c>
      <c r="S1192" s="76">
        <f t="shared" si="450"/>
        <v>0.99818047759490058</v>
      </c>
      <c r="T1192" s="76">
        <f t="shared" si="451"/>
        <v>0.98949909618494902</v>
      </c>
      <c r="U1192" s="76">
        <f t="shared" si="452"/>
        <v>1</v>
      </c>
    </row>
    <row r="1193" spans="1:21" x14ac:dyDescent="0.25">
      <c r="A1193" s="71">
        <v>35</v>
      </c>
      <c r="B1193" s="72">
        <f t="shared" si="453"/>
        <v>46692</v>
      </c>
      <c r="C1193" s="73">
        <f t="shared" si="434"/>
        <v>46721</v>
      </c>
      <c r="D1193" s="67">
        <f t="shared" si="435"/>
        <v>30</v>
      </c>
      <c r="E1193" s="67">
        <f t="shared" si="436"/>
        <v>11</v>
      </c>
      <c r="F1193" s="74">
        <f t="shared" si="437"/>
        <v>46707</v>
      </c>
      <c r="G1193" s="67">
        <f t="shared" si="438"/>
        <v>24334</v>
      </c>
      <c r="H1193" s="75">
        <f t="shared" si="439"/>
        <v>1</v>
      </c>
      <c r="I1193" s="76">
        <f t="shared" si="440"/>
        <v>1</v>
      </c>
      <c r="J1193" s="76">
        <f t="shared" si="441"/>
        <v>1</v>
      </c>
      <c r="K1193" s="67">
        <f t="shared" si="442"/>
        <v>0</v>
      </c>
      <c r="L1193" s="67">
        <f t="shared" si="443"/>
        <v>0</v>
      </c>
      <c r="M1193" s="77">
        <f t="shared" si="444"/>
        <v>0</v>
      </c>
      <c r="N1193" s="76">
        <f t="shared" si="445"/>
        <v>1</v>
      </c>
      <c r="O1193" s="77">
        <f t="shared" si="446"/>
        <v>0.9189934354485777</v>
      </c>
      <c r="P1193" s="76">
        <f t="shared" si="447"/>
        <v>0</v>
      </c>
      <c r="Q1193" s="76">
        <f t="shared" si="448"/>
        <v>0.25</v>
      </c>
      <c r="R1193" s="76">
        <f t="shared" si="449"/>
        <v>0.75</v>
      </c>
      <c r="S1193" s="76">
        <f t="shared" si="450"/>
        <v>0.9989059080962801</v>
      </c>
      <c r="T1193" s="76">
        <f t="shared" si="451"/>
        <v>0.99022452668632865</v>
      </c>
      <c r="U1193" s="76">
        <f t="shared" si="452"/>
        <v>1</v>
      </c>
    </row>
    <row r="1194" spans="1:21" x14ac:dyDescent="0.25">
      <c r="A1194" s="71">
        <v>36</v>
      </c>
      <c r="B1194" s="72">
        <f t="shared" si="453"/>
        <v>46722</v>
      </c>
      <c r="C1194" s="73">
        <f t="shared" si="434"/>
        <v>46752</v>
      </c>
      <c r="D1194" s="67">
        <f t="shared" si="435"/>
        <v>31</v>
      </c>
      <c r="E1194" s="67">
        <f t="shared" si="436"/>
        <v>12</v>
      </c>
      <c r="F1194" s="74">
        <f t="shared" si="437"/>
        <v>46737.5</v>
      </c>
      <c r="G1194" s="67">
        <f t="shared" si="438"/>
        <v>24335</v>
      </c>
      <c r="H1194" s="75">
        <f t="shared" si="439"/>
        <v>1</v>
      </c>
      <c r="I1194" s="76">
        <f t="shared" si="440"/>
        <v>1</v>
      </c>
      <c r="J1194" s="76">
        <f t="shared" si="441"/>
        <v>1</v>
      </c>
      <c r="K1194" s="67">
        <f t="shared" si="442"/>
        <v>0</v>
      </c>
      <c r="L1194" s="67">
        <f t="shared" si="443"/>
        <v>0</v>
      </c>
      <c r="M1194" s="77">
        <f t="shared" si="444"/>
        <v>0</v>
      </c>
      <c r="N1194" s="76">
        <f t="shared" si="445"/>
        <v>1</v>
      </c>
      <c r="O1194" s="77">
        <f t="shared" si="446"/>
        <v>0.9196608315098469</v>
      </c>
      <c r="P1194" s="76">
        <f t="shared" si="447"/>
        <v>0</v>
      </c>
      <c r="Q1194" s="76">
        <f t="shared" si="448"/>
        <v>8.3333333333333329E-2</v>
      </c>
      <c r="R1194" s="76">
        <f t="shared" si="449"/>
        <v>0.91666666666666663</v>
      </c>
      <c r="S1194" s="76">
        <f t="shared" si="450"/>
        <v>0.99963133859765962</v>
      </c>
      <c r="T1194" s="76">
        <f t="shared" si="451"/>
        <v>0.99094995718770806</v>
      </c>
      <c r="U1194" s="76">
        <f t="shared" si="452"/>
        <v>1</v>
      </c>
    </row>
    <row r="1195" spans="1:21" x14ac:dyDescent="0.25">
      <c r="A1195" s="71">
        <v>37</v>
      </c>
      <c r="B1195" s="72">
        <f t="shared" si="453"/>
        <v>46753</v>
      </c>
      <c r="C1195" s="73">
        <f t="shared" si="434"/>
        <v>46783</v>
      </c>
      <c r="D1195" s="67">
        <f t="shared" si="435"/>
        <v>31</v>
      </c>
      <c r="E1195" s="67">
        <f t="shared" si="436"/>
        <v>1</v>
      </c>
      <c r="F1195" s="74">
        <f t="shared" si="437"/>
        <v>46768.5</v>
      </c>
      <c r="G1195" s="67">
        <f t="shared" si="438"/>
        <v>24336</v>
      </c>
      <c r="H1195" s="75">
        <f t="shared" si="439"/>
        <v>1</v>
      </c>
      <c r="I1195" s="76">
        <f t="shared" si="440"/>
        <v>1</v>
      </c>
      <c r="J1195" s="76">
        <f t="shared" si="441"/>
        <v>1</v>
      </c>
      <c r="K1195" s="67">
        <f t="shared" si="442"/>
        <v>0</v>
      </c>
      <c r="L1195" s="67">
        <f t="shared" si="443"/>
        <v>0</v>
      </c>
      <c r="M1195" s="77">
        <f t="shared" si="444"/>
        <v>0</v>
      </c>
      <c r="N1195" s="76">
        <f t="shared" si="445"/>
        <v>1</v>
      </c>
      <c r="O1195" s="77">
        <f t="shared" si="446"/>
        <v>0.92</v>
      </c>
      <c r="P1195" s="76">
        <f t="shared" si="447"/>
        <v>0</v>
      </c>
      <c r="Q1195" s="76">
        <f t="shared" si="448"/>
        <v>0</v>
      </c>
      <c r="R1195" s="76">
        <f t="shared" si="449"/>
        <v>1</v>
      </c>
      <c r="S1195" s="76">
        <f t="shared" si="450"/>
        <v>1</v>
      </c>
      <c r="T1195" s="76">
        <f t="shared" si="451"/>
        <v>0.98300589858243748</v>
      </c>
      <c r="U1195" s="76">
        <f t="shared" si="452"/>
        <v>1</v>
      </c>
    </row>
    <row r="1196" spans="1:21" x14ac:dyDescent="0.25">
      <c r="A1196" s="71">
        <v>38</v>
      </c>
      <c r="B1196" s="72">
        <f t="shared" si="453"/>
        <v>46784</v>
      </c>
      <c r="C1196" s="73">
        <f t="shared" si="434"/>
        <v>46812</v>
      </c>
      <c r="D1196" s="67">
        <f t="shared" si="435"/>
        <v>29</v>
      </c>
      <c r="E1196" s="67">
        <f t="shared" si="436"/>
        <v>2</v>
      </c>
      <c r="F1196" s="74">
        <f t="shared" si="437"/>
        <v>46798.5</v>
      </c>
      <c r="G1196" s="67">
        <f t="shared" si="438"/>
        <v>24337</v>
      </c>
      <c r="H1196" s="75">
        <f t="shared" si="439"/>
        <v>1</v>
      </c>
      <c r="I1196" s="76">
        <f t="shared" si="440"/>
        <v>1</v>
      </c>
      <c r="J1196" s="76">
        <f t="shared" si="441"/>
        <v>1</v>
      </c>
      <c r="K1196" s="67">
        <f t="shared" si="442"/>
        <v>0</v>
      </c>
      <c r="L1196" s="67">
        <f t="shared" si="443"/>
        <v>0</v>
      </c>
      <c r="M1196" s="77">
        <f t="shared" si="444"/>
        <v>0</v>
      </c>
      <c r="N1196" s="76">
        <f t="shared" si="445"/>
        <v>1</v>
      </c>
      <c r="O1196" s="77">
        <f t="shared" si="446"/>
        <v>0.92</v>
      </c>
      <c r="P1196" s="76">
        <f t="shared" si="447"/>
        <v>0</v>
      </c>
      <c r="Q1196" s="76">
        <f t="shared" si="448"/>
        <v>0</v>
      </c>
      <c r="R1196" s="76">
        <f t="shared" si="449"/>
        <v>1</v>
      </c>
      <c r="S1196" s="76">
        <f t="shared" si="450"/>
        <v>1</v>
      </c>
      <c r="T1196" s="76">
        <f t="shared" si="451"/>
        <v>0.98370754447721431</v>
      </c>
      <c r="U1196" s="76">
        <f t="shared" si="452"/>
        <v>1</v>
      </c>
    </row>
    <row r="1197" spans="1:21" x14ac:dyDescent="0.25">
      <c r="A1197" s="71">
        <v>39</v>
      </c>
      <c r="B1197" s="72">
        <f t="shared" si="453"/>
        <v>46813</v>
      </c>
      <c r="C1197" s="73">
        <f t="shared" si="434"/>
        <v>46843</v>
      </c>
      <c r="D1197" s="67">
        <f t="shared" si="435"/>
        <v>31</v>
      </c>
      <c r="E1197" s="67">
        <f t="shared" si="436"/>
        <v>3</v>
      </c>
      <c r="F1197" s="74">
        <f t="shared" si="437"/>
        <v>46828.5</v>
      </c>
      <c r="G1197" s="67">
        <f t="shared" si="438"/>
        <v>24338</v>
      </c>
      <c r="H1197" s="75">
        <f t="shared" si="439"/>
        <v>1</v>
      </c>
      <c r="I1197" s="76">
        <f t="shared" si="440"/>
        <v>1</v>
      </c>
      <c r="J1197" s="76">
        <f t="shared" si="441"/>
        <v>1</v>
      </c>
      <c r="K1197" s="67">
        <f t="shared" si="442"/>
        <v>0</v>
      </c>
      <c r="L1197" s="67">
        <f t="shared" si="443"/>
        <v>0</v>
      </c>
      <c r="M1197" s="77">
        <f t="shared" si="444"/>
        <v>0</v>
      </c>
      <c r="N1197" s="76">
        <f t="shared" si="445"/>
        <v>1</v>
      </c>
      <c r="O1197" s="77">
        <f t="shared" si="446"/>
        <v>0.92</v>
      </c>
      <c r="P1197" s="76">
        <f t="shared" si="447"/>
        <v>0</v>
      </c>
      <c r="Q1197" s="76">
        <f t="shared" si="448"/>
        <v>0</v>
      </c>
      <c r="R1197" s="76">
        <f t="shared" si="449"/>
        <v>1</v>
      </c>
      <c r="S1197" s="76">
        <f t="shared" si="450"/>
        <v>1</v>
      </c>
      <c r="T1197" s="76">
        <f t="shared" si="451"/>
        <v>0.98440919037199126</v>
      </c>
      <c r="U1197" s="76">
        <f t="shared" si="452"/>
        <v>1</v>
      </c>
    </row>
    <row r="1198" spans="1:21" x14ac:dyDescent="0.25">
      <c r="A1198" s="71">
        <v>40</v>
      </c>
      <c r="B1198" s="72">
        <f t="shared" si="453"/>
        <v>46844</v>
      </c>
      <c r="C1198" s="73">
        <f t="shared" si="434"/>
        <v>46873</v>
      </c>
      <c r="D1198" s="67">
        <f t="shared" si="435"/>
        <v>30</v>
      </c>
      <c r="E1198" s="67">
        <f t="shared" si="436"/>
        <v>4</v>
      </c>
      <c r="F1198" s="74">
        <f t="shared" si="437"/>
        <v>46859</v>
      </c>
      <c r="G1198" s="67">
        <f t="shared" si="438"/>
        <v>24339</v>
      </c>
      <c r="H1198" s="75">
        <f t="shared" si="439"/>
        <v>1</v>
      </c>
      <c r="I1198" s="76">
        <f t="shared" si="440"/>
        <v>1</v>
      </c>
      <c r="J1198" s="76">
        <f t="shared" si="441"/>
        <v>1</v>
      </c>
      <c r="K1198" s="67">
        <f t="shared" si="442"/>
        <v>0</v>
      </c>
      <c r="L1198" s="67">
        <f t="shared" si="443"/>
        <v>0</v>
      </c>
      <c r="M1198" s="77">
        <f t="shared" si="444"/>
        <v>0</v>
      </c>
      <c r="N1198" s="76">
        <f t="shared" si="445"/>
        <v>1</v>
      </c>
      <c r="O1198" s="77">
        <f t="shared" si="446"/>
        <v>0.92</v>
      </c>
      <c r="P1198" s="76">
        <f t="shared" si="447"/>
        <v>0</v>
      </c>
      <c r="Q1198" s="76">
        <f t="shared" si="448"/>
        <v>0</v>
      </c>
      <c r="R1198" s="76">
        <f t="shared" si="449"/>
        <v>1</v>
      </c>
      <c r="S1198" s="76">
        <f t="shared" si="450"/>
        <v>1</v>
      </c>
      <c r="T1198" s="76">
        <f t="shared" si="451"/>
        <v>0.98513462087337078</v>
      </c>
      <c r="U1198" s="76">
        <f t="shared" si="452"/>
        <v>1</v>
      </c>
    </row>
    <row r="1199" spans="1:21" x14ac:dyDescent="0.25">
      <c r="A1199" s="71">
        <v>41</v>
      </c>
      <c r="B1199" s="72">
        <f t="shared" si="453"/>
        <v>46874</v>
      </c>
      <c r="C1199" s="73">
        <f t="shared" si="434"/>
        <v>46904</v>
      </c>
      <c r="D1199" s="67">
        <f t="shared" si="435"/>
        <v>31</v>
      </c>
      <c r="E1199" s="67">
        <f t="shared" si="436"/>
        <v>5</v>
      </c>
      <c r="F1199" s="74">
        <f t="shared" si="437"/>
        <v>46889.5</v>
      </c>
      <c r="G1199" s="67">
        <f t="shared" si="438"/>
        <v>24340</v>
      </c>
      <c r="H1199" s="75">
        <f t="shared" si="439"/>
        <v>1</v>
      </c>
      <c r="I1199" s="76">
        <f t="shared" si="440"/>
        <v>1</v>
      </c>
      <c r="J1199" s="76">
        <f t="shared" si="441"/>
        <v>1</v>
      </c>
      <c r="K1199" s="67">
        <f t="shared" si="442"/>
        <v>0</v>
      </c>
      <c r="L1199" s="67">
        <f t="shared" si="443"/>
        <v>0</v>
      </c>
      <c r="M1199" s="77">
        <f t="shared" si="444"/>
        <v>0</v>
      </c>
      <c r="N1199" s="76">
        <f t="shared" si="445"/>
        <v>1</v>
      </c>
      <c r="O1199" s="77">
        <f t="shared" si="446"/>
        <v>0.92</v>
      </c>
      <c r="P1199" s="76">
        <f t="shared" si="447"/>
        <v>0</v>
      </c>
      <c r="Q1199" s="76">
        <f t="shared" si="448"/>
        <v>0</v>
      </c>
      <c r="R1199" s="76">
        <f t="shared" si="449"/>
        <v>1</v>
      </c>
      <c r="S1199" s="76">
        <f t="shared" si="450"/>
        <v>1</v>
      </c>
      <c r="T1199" s="76">
        <f t="shared" si="451"/>
        <v>0.9858600513747503</v>
      </c>
      <c r="U1199" s="76">
        <f t="shared" si="452"/>
        <v>1</v>
      </c>
    </row>
    <row r="1200" spans="1:21" x14ac:dyDescent="0.25">
      <c r="A1200" s="71">
        <v>42</v>
      </c>
      <c r="B1200" s="72">
        <f t="shared" si="453"/>
        <v>46905</v>
      </c>
      <c r="C1200" s="73">
        <f t="shared" si="434"/>
        <v>46934</v>
      </c>
      <c r="D1200" s="67">
        <f t="shared" si="435"/>
        <v>30</v>
      </c>
      <c r="E1200" s="67">
        <f t="shared" si="436"/>
        <v>6</v>
      </c>
      <c r="F1200" s="74">
        <f t="shared" si="437"/>
        <v>46920</v>
      </c>
      <c r="G1200" s="67">
        <f t="shared" si="438"/>
        <v>24341</v>
      </c>
      <c r="H1200" s="75">
        <f t="shared" si="439"/>
        <v>1</v>
      </c>
      <c r="I1200" s="76">
        <f t="shared" si="440"/>
        <v>1</v>
      </c>
      <c r="J1200" s="76">
        <f t="shared" si="441"/>
        <v>1</v>
      </c>
      <c r="K1200" s="67">
        <f t="shared" si="442"/>
        <v>0</v>
      </c>
      <c r="L1200" s="67">
        <f t="shared" si="443"/>
        <v>0</v>
      </c>
      <c r="M1200" s="77">
        <f t="shared" si="444"/>
        <v>0</v>
      </c>
      <c r="N1200" s="76">
        <f t="shared" si="445"/>
        <v>1</v>
      </c>
      <c r="O1200" s="77">
        <f t="shared" si="446"/>
        <v>0.92</v>
      </c>
      <c r="P1200" s="76">
        <f t="shared" si="447"/>
        <v>0</v>
      </c>
      <c r="Q1200" s="76">
        <f t="shared" si="448"/>
        <v>0</v>
      </c>
      <c r="R1200" s="76">
        <f t="shared" si="449"/>
        <v>1</v>
      </c>
      <c r="S1200" s="76">
        <f t="shared" si="450"/>
        <v>1</v>
      </c>
      <c r="T1200" s="76">
        <f t="shared" si="451"/>
        <v>0.98658548187612971</v>
      </c>
      <c r="U1200" s="76">
        <f t="shared" si="452"/>
        <v>1</v>
      </c>
    </row>
    <row r="1201" spans="1:21" x14ac:dyDescent="0.25">
      <c r="A1201" s="71">
        <v>43</v>
      </c>
      <c r="B1201" s="72">
        <f t="shared" si="453"/>
        <v>46935</v>
      </c>
      <c r="C1201" s="73">
        <f t="shared" si="434"/>
        <v>46965</v>
      </c>
      <c r="D1201" s="67">
        <f t="shared" si="435"/>
        <v>31</v>
      </c>
      <c r="E1201" s="67">
        <f t="shared" si="436"/>
        <v>7</v>
      </c>
      <c r="F1201" s="74">
        <f t="shared" si="437"/>
        <v>46950.5</v>
      </c>
      <c r="G1201" s="67">
        <f t="shared" si="438"/>
        <v>24342</v>
      </c>
      <c r="H1201" s="75">
        <f t="shared" si="439"/>
        <v>1</v>
      </c>
      <c r="I1201" s="76">
        <f t="shared" si="440"/>
        <v>1</v>
      </c>
      <c r="J1201" s="76">
        <f t="shared" si="441"/>
        <v>1</v>
      </c>
      <c r="K1201" s="67">
        <f t="shared" si="442"/>
        <v>0</v>
      </c>
      <c r="L1201" s="67">
        <f t="shared" si="443"/>
        <v>0</v>
      </c>
      <c r="M1201" s="77">
        <f t="shared" si="444"/>
        <v>0</v>
      </c>
      <c r="N1201" s="76">
        <f t="shared" si="445"/>
        <v>1</v>
      </c>
      <c r="O1201" s="77">
        <f t="shared" si="446"/>
        <v>0.92</v>
      </c>
      <c r="P1201" s="76">
        <f t="shared" si="447"/>
        <v>0</v>
      </c>
      <c r="Q1201" s="76">
        <f t="shared" si="448"/>
        <v>0</v>
      </c>
      <c r="R1201" s="76">
        <f t="shared" si="449"/>
        <v>0.91666666666666663</v>
      </c>
      <c r="S1201" s="76">
        <f t="shared" si="450"/>
        <v>1</v>
      </c>
      <c r="T1201" s="76">
        <f t="shared" si="451"/>
        <v>0.98731091237750934</v>
      </c>
      <c r="U1201" s="76">
        <f t="shared" si="452"/>
        <v>1</v>
      </c>
    </row>
    <row r="1202" spans="1:21" x14ac:dyDescent="0.25">
      <c r="A1202" s="71">
        <v>44</v>
      </c>
      <c r="B1202" s="72">
        <f t="shared" si="453"/>
        <v>46966</v>
      </c>
      <c r="C1202" s="73">
        <f t="shared" si="434"/>
        <v>46996</v>
      </c>
      <c r="D1202" s="67">
        <f t="shared" si="435"/>
        <v>31</v>
      </c>
      <c r="E1202" s="67">
        <f t="shared" si="436"/>
        <v>8</v>
      </c>
      <c r="F1202" s="74">
        <f t="shared" si="437"/>
        <v>46981.5</v>
      </c>
      <c r="G1202" s="67">
        <f t="shared" si="438"/>
        <v>24343</v>
      </c>
      <c r="H1202" s="75">
        <f t="shared" si="439"/>
        <v>1</v>
      </c>
      <c r="I1202" s="76">
        <f t="shared" si="440"/>
        <v>1</v>
      </c>
      <c r="J1202" s="76">
        <f t="shared" si="441"/>
        <v>1</v>
      </c>
      <c r="K1202" s="67">
        <f t="shared" si="442"/>
        <v>0</v>
      </c>
      <c r="L1202" s="67">
        <f t="shared" si="443"/>
        <v>0</v>
      </c>
      <c r="M1202" s="77">
        <f t="shared" si="444"/>
        <v>0</v>
      </c>
      <c r="N1202" s="76">
        <f t="shared" si="445"/>
        <v>1</v>
      </c>
      <c r="O1202" s="77">
        <f t="shared" si="446"/>
        <v>0.92</v>
      </c>
      <c r="P1202" s="76">
        <f t="shared" si="447"/>
        <v>0</v>
      </c>
      <c r="Q1202" s="76">
        <f t="shared" si="448"/>
        <v>0</v>
      </c>
      <c r="R1202" s="76">
        <f t="shared" si="449"/>
        <v>0.75</v>
      </c>
      <c r="S1202" s="76">
        <f t="shared" si="450"/>
        <v>1</v>
      </c>
      <c r="T1202" s="76">
        <f t="shared" si="451"/>
        <v>0.98804823518219009</v>
      </c>
      <c r="U1202" s="76">
        <f t="shared" si="452"/>
        <v>1</v>
      </c>
    </row>
    <row r="1203" spans="1:21" x14ac:dyDescent="0.25">
      <c r="A1203" s="71">
        <v>45</v>
      </c>
      <c r="B1203" s="72">
        <f t="shared" si="453"/>
        <v>46997</v>
      </c>
      <c r="C1203" s="73">
        <f t="shared" si="434"/>
        <v>47026</v>
      </c>
      <c r="D1203" s="67">
        <f t="shared" si="435"/>
        <v>30</v>
      </c>
      <c r="E1203" s="67">
        <f t="shared" si="436"/>
        <v>9</v>
      </c>
      <c r="F1203" s="74">
        <f t="shared" si="437"/>
        <v>47012</v>
      </c>
      <c r="G1203" s="67">
        <f t="shared" si="438"/>
        <v>24344</v>
      </c>
      <c r="H1203" s="75">
        <f t="shared" si="439"/>
        <v>1</v>
      </c>
      <c r="I1203" s="76">
        <f t="shared" si="440"/>
        <v>1</v>
      </c>
      <c r="J1203" s="76">
        <f t="shared" si="441"/>
        <v>1</v>
      </c>
      <c r="K1203" s="67">
        <f t="shared" si="442"/>
        <v>0</v>
      </c>
      <c r="L1203" s="67">
        <f t="shared" si="443"/>
        <v>0</v>
      </c>
      <c r="M1203" s="77">
        <f t="shared" si="444"/>
        <v>0</v>
      </c>
      <c r="N1203" s="76">
        <f t="shared" si="445"/>
        <v>1</v>
      </c>
      <c r="O1203" s="77">
        <f t="shared" si="446"/>
        <v>0.92</v>
      </c>
      <c r="P1203" s="76">
        <f t="shared" si="447"/>
        <v>0</v>
      </c>
      <c r="Q1203" s="76">
        <f t="shared" si="448"/>
        <v>0</v>
      </c>
      <c r="R1203" s="76">
        <f t="shared" si="449"/>
        <v>0.58333333333333337</v>
      </c>
      <c r="S1203" s="76">
        <f t="shared" si="450"/>
        <v>1</v>
      </c>
      <c r="T1203" s="76">
        <f t="shared" si="451"/>
        <v>0.98877366568356961</v>
      </c>
      <c r="U1203" s="76">
        <f t="shared" si="452"/>
        <v>1</v>
      </c>
    </row>
    <row r="1204" spans="1:21" x14ac:dyDescent="0.25">
      <c r="A1204" s="71">
        <v>46</v>
      </c>
      <c r="B1204" s="72">
        <f t="shared" si="453"/>
        <v>47027</v>
      </c>
      <c r="C1204" s="73">
        <f t="shared" si="434"/>
        <v>47057</v>
      </c>
      <c r="D1204" s="67">
        <f t="shared" si="435"/>
        <v>31</v>
      </c>
      <c r="E1204" s="67">
        <f t="shared" si="436"/>
        <v>10</v>
      </c>
      <c r="F1204" s="74">
        <f t="shared" si="437"/>
        <v>47042.5</v>
      </c>
      <c r="G1204" s="67">
        <f t="shared" si="438"/>
        <v>24345</v>
      </c>
      <c r="H1204" s="75">
        <f t="shared" si="439"/>
        <v>1</v>
      </c>
      <c r="I1204" s="76">
        <f t="shared" si="440"/>
        <v>1</v>
      </c>
      <c r="J1204" s="76">
        <f t="shared" si="441"/>
        <v>1</v>
      </c>
      <c r="K1204" s="67">
        <f t="shared" si="442"/>
        <v>0</v>
      </c>
      <c r="L1204" s="67">
        <f t="shared" si="443"/>
        <v>0</v>
      </c>
      <c r="M1204" s="77">
        <f t="shared" si="444"/>
        <v>0</v>
      </c>
      <c r="N1204" s="76">
        <f t="shared" si="445"/>
        <v>1</v>
      </c>
      <c r="O1204" s="77">
        <f t="shared" si="446"/>
        <v>0.92</v>
      </c>
      <c r="P1204" s="76">
        <f t="shared" si="447"/>
        <v>0</v>
      </c>
      <c r="Q1204" s="76">
        <f t="shared" si="448"/>
        <v>0</v>
      </c>
      <c r="R1204" s="76">
        <f t="shared" si="449"/>
        <v>0.41666666666666669</v>
      </c>
      <c r="S1204" s="76">
        <f t="shared" si="450"/>
        <v>1</v>
      </c>
      <c r="T1204" s="76">
        <f t="shared" si="451"/>
        <v>0.98949909618494902</v>
      </c>
      <c r="U1204" s="76">
        <f t="shared" si="452"/>
        <v>1</v>
      </c>
    </row>
    <row r="1205" spans="1:21" x14ac:dyDescent="0.25">
      <c r="A1205" s="71">
        <v>47</v>
      </c>
      <c r="B1205" s="72">
        <f t="shared" si="453"/>
        <v>47058</v>
      </c>
      <c r="C1205" s="73">
        <f t="shared" si="434"/>
        <v>47087</v>
      </c>
      <c r="D1205" s="67">
        <f t="shared" si="435"/>
        <v>30</v>
      </c>
      <c r="E1205" s="67">
        <f t="shared" si="436"/>
        <v>11</v>
      </c>
      <c r="F1205" s="74">
        <f t="shared" si="437"/>
        <v>47073</v>
      </c>
      <c r="G1205" s="67">
        <f t="shared" si="438"/>
        <v>24346</v>
      </c>
      <c r="H1205" s="75">
        <f t="shared" si="439"/>
        <v>1</v>
      </c>
      <c r="I1205" s="76">
        <f t="shared" si="440"/>
        <v>1</v>
      </c>
      <c r="J1205" s="76">
        <f t="shared" si="441"/>
        <v>1</v>
      </c>
      <c r="K1205" s="67">
        <f t="shared" si="442"/>
        <v>0</v>
      </c>
      <c r="L1205" s="67">
        <f t="shared" si="443"/>
        <v>0</v>
      </c>
      <c r="M1205" s="77">
        <f t="shared" si="444"/>
        <v>0</v>
      </c>
      <c r="N1205" s="76">
        <f t="shared" si="445"/>
        <v>1</v>
      </c>
      <c r="O1205" s="77">
        <f t="shared" si="446"/>
        <v>0.92</v>
      </c>
      <c r="P1205" s="76">
        <f t="shared" si="447"/>
        <v>0</v>
      </c>
      <c r="Q1205" s="76">
        <f t="shared" si="448"/>
        <v>0</v>
      </c>
      <c r="R1205" s="76">
        <f t="shared" si="449"/>
        <v>0.25</v>
      </c>
      <c r="S1205" s="76">
        <f t="shared" si="450"/>
        <v>1</v>
      </c>
      <c r="T1205" s="76">
        <f t="shared" si="451"/>
        <v>0.99022452668632865</v>
      </c>
      <c r="U1205" s="76">
        <f t="shared" si="452"/>
        <v>1</v>
      </c>
    </row>
    <row r="1206" spans="1:21" x14ac:dyDescent="0.25">
      <c r="A1206" s="71">
        <v>48</v>
      </c>
      <c r="B1206" s="72">
        <f t="shared" si="453"/>
        <v>47088</v>
      </c>
      <c r="C1206" s="73">
        <f t="shared" si="434"/>
        <v>47118</v>
      </c>
      <c r="D1206" s="67">
        <f t="shared" si="435"/>
        <v>31</v>
      </c>
      <c r="E1206" s="67">
        <f t="shared" si="436"/>
        <v>12</v>
      </c>
      <c r="F1206" s="74">
        <f t="shared" si="437"/>
        <v>47103.5</v>
      </c>
      <c r="G1206" s="67">
        <f t="shared" si="438"/>
        <v>24347</v>
      </c>
      <c r="H1206" s="75">
        <f t="shared" si="439"/>
        <v>1</v>
      </c>
      <c r="I1206" s="76">
        <f t="shared" si="440"/>
        <v>1</v>
      </c>
      <c r="J1206" s="76">
        <f t="shared" si="441"/>
        <v>1</v>
      </c>
      <c r="K1206" s="67">
        <f t="shared" si="442"/>
        <v>0</v>
      </c>
      <c r="L1206" s="67">
        <f t="shared" si="443"/>
        <v>0</v>
      </c>
      <c r="M1206" s="77">
        <f t="shared" si="444"/>
        <v>0</v>
      </c>
      <c r="N1206" s="76">
        <f t="shared" si="445"/>
        <v>1</v>
      </c>
      <c r="O1206" s="77">
        <f t="shared" si="446"/>
        <v>0.92</v>
      </c>
      <c r="P1206" s="76">
        <f t="shared" si="447"/>
        <v>0</v>
      </c>
      <c r="Q1206" s="76">
        <f t="shared" si="448"/>
        <v>0</v>
      </c>
      <c r="R1206" s="76">
        <f t="shared" si="449"/>
        <v>8.3333333333333329E-2</v>
      </c>
      <c r="S1206" s="76">
        <f t="shared" si="450"/>
        <v>1</v>
      </c>
      <c r="T1206" s="76">
        <f t="shared" si="451"/>
        <v>0.99094995718770806</v>
      </c>
      <c r="U1206" s="76">
        <f t="shared" si="452"/>
        <v>1</v>
      </c>
    </row>
    <row r="1207" spans="1:21" x14ac:dyDescent="0.25">
      <c r="A1207" s="81" t="s">
        <v>1187</v>
      </c>
      <c r="B1207" s="53">
        <f>EXP(SUMPRODUCT((rl_key=$A$1156)*(rl_cons="Y")*rl_ln1p))</f>
        <v>1</v>
      </c>
      <c r="C1207" s="53">
        <f>SUMPRODUCT($H$1159:$H$1206,$P$1159:$P$1206,$U$1159:$U$1206)/SUMPRODUCT($H$1159:$H$1206,$P$1159:$P$1206)</f>
        <v>1</v>
      </c>
      <c r="D1207" s="53">
        <f>SUMPRODUCT($H$1159:$H$1206,$Q$1159:$Q$1206,$U$1159:$U$1206)/SUMPRODUCT($H$1159:$H$1206,$Q$1159:$Q$1206)</f>
        <v>1</v>
      </c>
      <c r="E1207" s="53">
        <f>SUMPRODUCT($H$1159:$H$1206,$R$1159:$R$1206,$U$1159:$U$1206)/SUMPRODUCT($H$1159:$H$1206,$R$1159:$R$1206)</f>
        <v>1</v>
      </c>
      <c r="F1207" s="172">
        <f>SUMPRODUCT($H$1159:$H$1206,$Q$1159:$Q$1206,$O$1159:$O$1206)/SUMPRODUCT($H$1159:$H$1206,$Q$1159:$Q$1206)</f>
        <v>0.91399252370532447</v>
      </c>
      <c r="G1207" s="172">
        <f>SUMPRODUCT($H$1159:$H$1206,$R$1159:$R$1206,$O$1159:$O$1206)/SUMPRODUCT($H$1159:$H$1206,$R$1159:$R$1206)</f>
        <v>0.91966022368101141</v>
      </c>
    </row>
    <row r="1210" spans="1:21" x14ac:dyDescent="0.25">
      <c r="A1210" s="81" t="str">
        <f>INDEX(lr_key,22)</f>
        <v>BU-B|AZ</v>
      </c>
      <c r="B1210" s="81" t="str">
        <f>INDEX(lr_state,22)</f>
        <v>AZ</v>
      </c>
      <c r="C1210" s="55">
        <f>nr_TermMonths</f>
        <v>6</v>
      </c>
      <c r="D1210" s="55">
        <f>IF(COUNTIF(se_state,$B1210)=0,0,MATCH($B1210,se_state,0))</f>
        <v>0</v>
      </c>
      <c r="E1210" s="57">
        <f>IF($D1210=0,0,INDEX(se_sum,$D1210))</f>
        <v>0</v>
      </c>
      <c r="F1210" s="172">
        <f>IF(N(INDEX(lr_mind,22))=0,1,INDEX(lr_mind,22))</f>
        <v>0.92</v>
      </c>
      <c r="G1210" s="172">
        <f>IF(N(INDEX(lr_m0,22))=0,1,INDEX(lr_m0,22))</f>
        <v>0.91</v>
      </c>
      <c r="H1210" s="54">
        <f>IF(N(INDEX(lr_m0asof,22))=0,DATE(nr_PlanYear-1,10,1),INDEX(lr_m0asof,22))</f>
        <v>46295</v>
      </c>
      <c r="I1210" s="172">
        <f>IF(N(INDEX(lr_m1,22))=0,1,INDEX(lr_m1,22))</f>
        <v>0.9</v>
      </c>
      <c r="J1210" s="172">
        <f>INDEX(lr_mprior,22)</f>
        <v>0</v>
      </c>
      <c r="K1210" s="172">
        <f>INDEX(lr_m2,22)</f>
        <v>0</v>
      </c>
      <c r="L1210" s="81" t="b">
        <f>NOT(ISBLANK(INDEX(lr_netp,22)))</f>
        <v>0</v>
      </c>
      <c r="M1210" s="52">
        <f>N(INDEX(lr_netp,22))</f>
        <v>0</v>
      </c>
      <c r="N1210" s="52">
        <f>IF(ISBLANK(INDEX(lr_netp1,22)),$M$1210,N(INDEX(lr_netp1,22)))</f>
        <v>0</v>
      </c>
      <c r="O1210" s="55">
        <f>IF(AND(nr_ModAdjMaster="ON",INDEX(lr_modadj,22)="ON"),1,0)</f>
        <v>1</v>
      </c>
    </row>
    <row r="1211" spans="1:21" x14ac:dyDescent="0.25">
      <c r="A1211" s="81">
        <f>EDATE($H$1210,-12)+1</f>
        <v>45931</v>
      </c>
      <c r="B1211" s="81">
        <f>$H$1210+1</f>
        <v>46296</v>
      </c>
      <c r="C1211" s="81">
        <f>DATE(nr_PlanYear,12,31)+1</f>
        <v>46753</v>
      </c>
      <c r="D1211" s="81">
        <f>DATE(nr_PlanYear+1,12,31)+1</f>
        <v>47119</v>
      </c>
      <c r="E1211" s="81">
        <f>IF(N($J$1210)=0,$F$1211-($G$1211-$F$1211)/($C$1211-$B$1211)*($B$1211-$A$1211),$J$1210)</f>
        <v>0.91798687089715536</v>
      </c>
      <c r="F1211" s="81">
        <f>$G$1210</f>
        <v>0.91</v>
      </c>
      <c r="G1211" s="81">
        <f>$I$1210</f>
        <v>0.9</v>
      </c>
      <c r="H1211" s="81">
        <f>IF(N($K$1210)=0,$I$1210,$K$1210)</f>
        <v>0.9</v>
      </c>
      <c r="I1211" s="81">
        <f>($F$1211-$E$1211)/($B$1211-$A$1211)</f>
        <v>-2.1881838074398162E-5</v>
      </c>
      <c r="J1211" s="81">
        <f>($G$1211-$F$1211)/($C$1211-$B$1211)</f>
        <v>-2.188183807439827E-5</v>
      </c>
      <c r="K1211" s="81">
        <f>($H$1211-$G$1211)/($D$1211-$C$1211)</f>
        <v>0</v>
      </c>
    </row>
    <row r="1212" spans="1:21" ht="36" x14ac:dyDescent="0.25">
      <c r="A1212" s="50" t="s">
        <v>211</v>
      </c>
      <c r="B1212" s="50" t="s">
        <v>212</v>
      </c>
      <c r="C1212" s="50" t="s">
        <v>213</v>
      </c>
      <c r="D1212" s="50" t="s">
        <v>214</v>
      </c>
      <c r="E1212" s="50" t="s">
        <v>215</v>
      </c>
      <c r="F1212" s="50" t="s">
        <v>216</v>
      </c>
      <c r="G1212" s="50" t="s">
        <v>217</v>
      </c>
      <c r="H1212" s="50" t="s">
        <v>218</v>
      </c>
      <c r="I1212" s="50" t="s">
        <v>219</v>
      </c>
      <c r="J1212" s="50" t="s">
        <v>220</v>
      </c>
      <c r="K1212" s="50" t="s">
        <v>221</v>
      </c>
      <c r="L1212" s="50" t="s">
        <v>222</v>
      </c>
      <c r="M1212" s="50" t="s">
        <v>223</v>
      </c>
      <c r="N1212" s="50" t="s">
        <v>224</v>
      </c>
      <c r="O1212" s="50" t="s">
        <v>225</v>
      </c>
      <c r="P1212" s="50" t="s">
        <v>226</v>
      </c>
      <c r="Q1212" s="50" t="s">
        <v>227</v>
      </c>
      <c r="R1212" s="50" t="s">
        <v>228</v>
      </c>
      <c r="S1212" s="50" t="s">
        <v>229</v>
      </c>
      <c r="T1212" s="50" t="s">
        <v>230</v>
      </c>
      <c r="U1212" s="50" t="s">
        <v>231</v>
      </c>
    </row>
    <row r="1213" spans="1:21" x14ac:dyDescent="0.25">
      <c r="A1213" s="71">
        <v>1</v>
      </c>
      <c r="B1213" s="72">
        <f>DATE(nr_PlanYear-2,1,1)</f>
        <v>45658</v>
      </c>
      <c r="C1213" s="73">
        <f t="shared" ref="C1213:C1260" si="454">EOMONTH($B1213,0)</f>
        <v>45688</v>
      </c>
      <c r="D1213" s="67">
        <f t="shared" ref="D1213:D1260" si="455">$C1213-$B1213+1</f>
        <v>31</v>
      </c>
      <c r="E1213" s="67">
        <f t="shared" ref="E1213:E1260" si="456">MONTH($B1213)</f>
        <v>1</v>
      </c>
      <c r="F1213" s="74">
        <f t="shared" ref="F1213:F1260" si="457">($B1213+$C1213+1)/2</f>
        <v>45673.5</v>
      </c>
      <c r="G1213" s="67">
        <f t="shared" ref="G1213:G1260" si="458">YEAR($B1213)*12+MONTH($B1213)-1</f>
        <v>24300</v>
      </c>
      <c r="H1213" s="75">
        <f t="shared" ref="H1213:H1260" si="459">IF(OR(nr_SeasonOn="OFF",$D$1210=0,$E$1210=0),1,12*INDEX(se_block,$D$1210,$E1213)/$E$1210)</f>
        <v>1</v>
      </c>
      <c r="I1213" s="76">
        <f t="shared" ref="I1213:I1260" si="460">EXP(SUMPRODUCT((rl_eff&lt;$B1213)*(rl_key=$A$1210)*rl_ln1p))</f>
        <v>1</v>
      </c>
      <c r="J1213" s="76">
        <f t="shared" ref="J1213:J1260" si="461">EXP(SUMPRODUCT((rl_eff&lt;=$C1213)*(rl_key=$A$1210)*rl_ln1p))</f>
        <v>1</v>
      </c>
      <c r="K1213" s="67">
        <f t="shared" ref="K1213:K1260" si="462">COUNTIFS(rl_key,$A$1210,rl_eff,"&gt;="&amp;$B1213,rl_eff,"&lt;="&amp;$C1213)</f>
        <v>0</v>
      </c>
      <c r="L1213" s="67">
        <f t="shared" ref="L1213:L1260" si="463">SUMIFS(rl_daysafter,rl_key,$A$1210,rl_effmonth,$B1213,rl_first,1)</f>
        <v>0</v>
      </c>
      <c r="M1213" s="77">
        <f t="shared" ref="M1213:M1260" si="464">IF($K1213=0,0,MIN(1,$L1213/$D1213))</f>
        <v>0</v>
      </c>
      <c r="N1213" s="76">
        <f t="shared" ref="N1213:N1260" si="465">IF($K1213=0,$J1213,(1-$M1213)*$I1213+$M1213*$J1213)</f>
        <v>1</v>
      </c>
      <c r="O1213" s="77">
        <f t="shared" ref="O1213:O1260" si="466">IF($F1213&lt;$B$1211,$E$1211+$I$1211*($F1213-$A$1211),IF($F1213&lt;$C$1211,$F$1211+$J$1211*($F1213-$B$1211),$G$1211+$K$1211*($F1213-$C$1211)))</f>
        <v>0.92362144420131287</v>
      </c>
      <c r="P1213" s="76">
        <f t="shared" ref="P1213:P1260" si="467">MIN(1,MAX(0,(nr_MEndPm1-$G1213+0.5)/$C$1210))-MIN(1,MAX(0,(nr_MStartPm1-1-$G1213+0.5)/$C$1210))</f>
        <v>0</v>
      </c>
      <c r="Q1213" s="76">
        <f t="shared" ref="Q1213:Q1260" si="468">MIN(1,MAX(0,(nr_MEndP-$G1213+0.5)/$C$1210))-MIN(1,MAX(0,(nr_MStartP-1-$G1213+0.5)/$C$1210))</f>
        <v>0</v>
      </c>
      <c r="R1213" s="76">
        <f t="shared" ref="R1213:R1260" si="469">MIN(1,MAX(0,(nr_MEndP1-$G1213+0.5)/$C$1210))-MIN(1,MAX(0,(nr_MStartP1-1-$G1213+0.5)/$C$1210))</f>
        <v>0</v>
      </c>
      <c r="S1213" s="76">
        <f t="shared" ref="S1213:S1260" si="470">$N1213*IF($O$1210=1,$O1213/$F$1210,1)</f>
        <v>1.0039363523927314</v>
      </c>
      <c r="T1213" s="76">
        <f t="shared" ref="T1213:T1260" si="471">IF($G1213&lt;nr_MStartP,$S1213,$T1201*(1+IF($G1213&lt;nr_MStartP1,$M$1210,$N$1210)))</f>
        <v>1.0039363523927314</v>
      </c>
      <c r="U1213" s="76">
        <f t="shared" ref="U1213:U1260" si="472">IF($L$1210,$T1213,$N1213)</f>
        <v>1</v>
      </c>
    </row>
    <row r="1214" spans="1:21" x14ac:dyDescent="0.25">
      <c r="A1214" s="71">
        <v>2</v>
      </c>
      <c r="B1214" s="72">
        <f t="shared" ref="B1214:B1260" si="473">EDATE($B1213,1)</f>
        <v>45689</v>
      </c>
      <c r="C1214" s="73">
        <f t="shared" si="454"/>
        <v>45716</v>
      </c>
      <c r="D1214" s="67">
        <f t="shared" si="455"/>
        <v>28</v>
      </c>
      <c r="E1214" s="67">
        <f t="shared" si="456"/>
        <v>2</v>
      </c>
      <c r="F1214" s="74">
        <f t="shared" si="457"/>
        <v>45703</v>
      </c>
      <c r="G1214" s="67">
        <f t="shared" si="458"/>
        <v>24301</v>
      </c>
      <c r="H1214" s="75">
        <f t="shared" si="459"/>
        <v>1</v>
      </c>
      <c r="I1214" s="76">
        <f t="shared" si="460"/>
        <v>1</v>
      </c>
      <c r="J1214" s="76">
        <f t="shared" si="461"/>
        <v>1</v>
      </c>
      <c r="K1214" s="67">
        <f t="shared" si="462"/>
        <v>0</v>
      </c>
      <c r="L1214" s="67">
        <f t="shared" si="463"/>
        <v>0</v>
      </c>
      <c r="M1214" s="77">
        <f t="shared" si="464"/>
        <v>0</v>
      </c>
      <c r="N1214" s="76">
        <f t="shared" si="465"/>
        <v>1</v>
      </c>
      <c r="O1214" s="77">
        <f t="shared" si="466"/>
        <v>0.92297592997811817</v>
      </c>
      <c r="P1214" s="76">
        <f t="shared" si="467"/>
        <v>0</v>
      </c>
      <c r="Q1214" s="76">
        <f t="shared" si="468"/>
        <v>0</v>
      </c>
      <c r="R1214" s="76">
        <f t="shared" si="469"/>
        <v>0</v>
      </c>
      <c r="S1214" s="76">
        <f t="shared" si="470"/>
        <v>1.0032347064979545</v>
      </c>
      <c r="T1214" s="76">
        <f t="shared" si="471"/>
        <v>1.0032347064979545</v>
      </c>
      <c r="U1214" s="76">
        <f t="shared" si="472"/>
        <v>1</v>
      </c>
    </row>
    <row r="1215" spans="1:21" x14ac:dyDescent="0.25">
      <c r="A1215" s="71">
        <v>3</v>
      </c>
      <c r="B1215" s="72">
        <f t="shared" si="473"/>
        <v>45717</v>
      </c>
      <c r="C1215" s="73">
        <f t="shared" si="454"/>
        <v>45747</v>
      </c>
      <c r="D1215" s="67">
        <f t="shared" si="455"/>
        <v>31</v>
      </c>
      <c r="E1215" s="67">
        <f t="shared" si="456"/>
        <v>3</v>
      </c>
      <c r="F1215" s="74">
        <f t="shared" si="457"/>
        <v>45732.5</v>
      </c>
      <c r="G1215" s="67">
        <f t="shared" si="458"/>
        <v>24302</v>
      </c>
      <c r="H1215" s="75">
        <f t="shared" si="459"/>
        <v>1</v>
      </c>
      <c r="I1215" s="76">
        <f t="shared" si="460"/>
        <v>1</v>
      </c>
      <c r="J1215" s="76">
        <f t="shared" si="461"/>
        <v>1</v>
      </c>
      <c r="K1215" s="67">
        <f t="shared" si="462"/>
        <v>0</v>
      </c>
      <c r="L1215" s="67">
        <f t="shared" si="463"/>
        <v>0</v>
      </c>
      <c r="M1215" s="77">
        <f t="shared" si="464"/>
        <v>0</v>
      </c>
      <c r="N1215" s="76">
        <f t="shared" si="465"/>
        <v>1</v>
      </c>
      <c r="O1215" s="77">
        <f t="shared" si="466"/>
        <v>0.92233041575492336</v>
      </c>
      <c r="P1215" s="76">
        <f t="shared" si="467"/>
        <v>0</v>
      </c>
      <c r="Q1215" s="76">
        <f t="shared" si="468"/>
        <v>0</v>
      </c>
      <c r="R1215" s="76">
        <f t="shared" si="469"/>
        <v>0</v>
      </c>
      <c r="S1215" s="76">
        <f t="shared" si="470"/>
        <v>1.0025330606031775</v>
      </c>
      <c r="T1215" s="76">
        <f t="shared" si="471"/>
        <v>1.0025330606031775</v>
      </c>
      <c r="U1215" s="76">
        <f t="shared" si="472"/>
        <v>1</v>
      </c>
    </row>
    <row r="1216" spans="1:21" x14ac:dyDescent="0.25">
      <c r="A1216" s="71">
        <v>4</v>
      </c>
      <c r="B1216" s="72">
        <f t="shared" si="473"/>
        <v>45748</v>
      </c>
      <c r="C1216" s="73">
        <f t="shared" si="454"/>
        <v>45777</v>
      </c>
      <c r="D1216" s="67">
        <f t="shared" si="455"/>
        <v>30</v>
      </c>
      <c r="E1216" s="67">
        <f t="shared" si="456"/>
        <v>4</v>
      </c>
      <c r="F1216" s="74">
        <f t="shared" si="457"/>
        <v>45763</v>
      </c>
      <c r="G1216" s="67">
        <f t="shared" si="458"/>
        <v>24303</v>
      </c>
      <c r="H1216" s="75">
        <f t="shared" si="459"/>
        <v>1</v>
      </c>
      <c r="I1216" s="76">
        <f t="shared" si="460"/>
        <v>1</v>
      </c>
      <c r="J1216" s="76">
        <f t="shared" si="461"/>
        <v>1</v>
      </c>
      <c r="K1216" s="67">
        <f t="shared" si="462"/>
        <v>0</v>
      </c>
      <c r="L1216" s="67">
        <f t="shared" si="463"/>
        <v>0</v>
      </c>
      <c r="M1216" s="77">
        <f t="shared" si="464"/>
        <v>0</v>
      </c>
      <c r="N1216" s="76">
        <f t="shared" si="465"/>
        <v>1</v>
      </c>
      <c r="O1216" s="77">
        <f t="shared" si="466"/>
        <v>0.92166301969365427</v>
      </c>
      <c r="P1216" s="76">
        <f t="shared" si="467"/>
        <v>0</v>
      </c>
      <c r="Q1216" s="76">
        <f t="shared" si="468"/>
        <v>0</v>
      </c>
      <c r="R1216" s="76">
        <f t="shared" si="469"/>
        <v>0</v>
      </c>
      <c r="S1216" s="76">
        <f t="shared" si="470"/>
        <v>1.0018076301017982</v>
      </c>
      <c r="T1216" s="76">
        <f t="shared" si="471"/>
        <v>1.0018076301017982</v>
      </c>
      <c r="U1216" s="76">
        <f t="shared" si="472"/>
        <v>1</v>
      </c>
    </row>
    <row r="1217" spans="1:21" x14ac:dyDescent="0.25">
      <c r="A1217" s="71">
        <v>5</v>
      </c>
      <c r="B1217" s="72">
        <f t="shared" si="473"/>
        <v>45778</v>
      </c>
      <c r="C1217" s="73">
        <f t="shared" si="454"/>
        <v>45808</v>
      </c>
      <c r="D1217" s="67">
        <f t="shared" si="455"/>
        <v>31</v>
      </c>
      <c r="E1217" s="67">
        <f t="shared" si="456"/>
        <v>5</v>
      </c>
      <c r="F1217" s="74">
        <f t="shared" si="457"/>
        <v>45793.5</v>
      </c>
      <c r="G1217" s="67">
        <f t="shared" si="458"/>
        <v>24304</v>
      </c>
      <c r="H1217" s="75">
        <f t="shared" si="459"/>
        <v>1</v>
      </c>
      <c r="I1217" s="76">
        <f t="shared" si="460"/>
        <v>1</v>
      </c>
      <c r="J1217" s="76">
        <f t="shared" si="461"/>
        <v>1</v>
      </c>
      <c r="K1217" s="67">
        <f t="shared" si="462"/>
        <v>0</v>
      </c>
      <c r="L1217" s="67">
        <f t="shared" si="463"/>
        <v>0</v>
      </c>
      <c r="M1217" s="77">
        <f t="shared" si="464"/>
        <v>0</v>
      </c>
      <c r="N1217" s="76">
        <f t="shared" si="465"/>
        <v>1</v>
      </c>
      <c r="O1217" s="77">
        <f t="shared" si="466"/>
        <v>0.92099562363238507</v>
      </c>
      <c r="P1217" s="76">
        <f t="shared" si="467"/>
        <v>0</v>
      </c>
      <c r="Q1217" s="76">
        <f t="shared" si="468"/>
        <v>0</v>
      </c>
      <c r="R1217" s="76">
        <f t="shared" si="469"/>
        <v>0</v>
      </c>
      <c r="S1217" s="76">
        <f t="shared" si="470"/>
        <v>1.0010821996004184</v>
      </c>
      <c r="T1217" s="76">
        <f t="shared" si="471"/>
        <v>1.0010821996004184</v>
      </c>
      <c r="U1217" s="76">
        <f t="shared" si="472"/>
        <v>1</v>
      </c>
    </row>
    <row r="1218" spans="1:21" x14ac:dyDescent="0.25">
      <c r="A1218" s="71">
        <v>6</v>
      </c>
      <c r="B1218" s="72">
        <f t="shared" si="473"/>
        <v>45809</v>
      </c>
      <c r="C1218" s="73">
        <f t="shared" si="454"/>
        <v>45838</v>
      </c>
      <c r="D1218" s="67">
        <f t="shared" si="455"/>
        <v>30</v>
      </c>
      <c r="E1218" s="67">
        <f t="shared" si="456"/>
        <v>6</v>
      </c>
      <c r="F1218" s="74">
        <f t="shared" si="457"/>
        <v>45824</v>
      </c>
      <c r="G1218" s="67">
        <f t="shared" si="458"/>
        <v>24305</v>
      </c>
      <c r="H1218" s="75">
        <f t="shared" si="459"/>
        <v>1</v>
      </c>
      <c r="I1218" s="76">
        <f t="shared" si="460"/>
        <v>1</v>
      </c>
      <c r="J1218" s="76">
        <f t="shared" si="461"/>
        <v>1</v>
      </c>
      <c r="K1218" s="67">
        <f t="shared" si="462"/>
        <v>0</v>
      </c>
      <c r="L1218" s="67">
        <f t="shared" si="463"/>
        <v>0</v>
      </c>
      <c r="M1218" s="77">
        <f t="shared" si="464"/>
        <v>0</v>
      </c>
      <c r="N1218" s="76">
        <f t="shared" si="465"/>
        <v>1</v>
      </c>
      <c r="O1218" s="77">
        <f t="shared" si="466"/>
        <v>0.92032822757111599</v>
      </c>
      <c r="P1218" s="76">
        <f t="shared" si="467"/>
        <v>0</v>
      </c>
      <c r="Q1218" s="76">
        <f t="shared" si="468"/>
        <v>0</v>
      </c>
      <c r="R1218" s="76">
        <f t="shared" si="469"/>
        <v>0</v>
      </c>
      <c r="S1218" s="76">
        <f t="shared" si="470"/>
        <v>1.0003567690990391</v>
      </c>
      <c r="T1218" s="76">
        <f t="shared" si="471"/>
        <v>1.0003567690990391</v>
      </c>
      <c r="U1218" s="76">
        <f t="shared" si="472"/>
        <v>1</v>
      </c>
    </row>
    <row r="1219" spans="1:21" x14ac:dyDescent="0.25">
      <c r="A1219" s="71">
        <v>7</v>
      </c>
      <c r="B1219" s="72">
        <f t="shared" si="473"/>
        <v>45839</v>
      </c>
      <c r="C1219" s="73">
        <f t="shared" si="454"/>
        <v>45869</v>
      </c>
      <c r="D1219" s="67">
        <f t="shared" si="455"/>
        <v>31</v>
      </c>
      <c r="E1219" s="67">
        <f t="shared" si="456"/>
        <v>7</v>
      </c>
      <c r="F1219" s="74">
        <f t="shared" si="457"/>
        <v>45854.5</v>
      </c>
      <c r="G1219" s="67">
        <f t="shared" si="458"/>
        <v>24306</v>
      </c>
      <c r="H1219" s="75">
        <f t="shared" si="459"/>
        <v>1</v>
      </c>
      <c r="I1219" s="76">
        <f t="shared" si="460"/>
        <v>1</v>
      </c>
      <c r="J1219" s="76">
        <f t="shared" si="461"/>
        <v>1</v>
      </c>
      <c r="K1219" s="67">
        <f t="shared" si="462"/>
        <v>0</v>
      </c>
      <c r="L1219" s="67">
        <f t="shared" si="463"/>
        <v>0</v>
      </c>
      <c r="M1219" s="77">
        <f t="shared" si="464"/>
        <v>0</v>
      </c>
      <c r="N1219" s="76">
        <f t="shared" si="465"/>
        <v>1</v>
      </c>
      <c r="O1219" s="77">
        <f t="shared" si="466"/>
        <v>0.91966083150984679</v>
      </c>
      <c r="P1219" s="76">
        <f t="shared" si="467"/>
        <v>8.333333333333337E-2</v>
      </c>
      <c r="Q1219" s="76">
        <f t="shared" si="468"/>
        <v>0</v>
      </c>
      <c r="R1219" s="76">
        <f t="shared" si="469"/>
        <v>0</v>
      </c>
      <c r="S1219" s="76">
        <f t="shared" si="470"/>
        <v>0.99963133859765951</v>
      </c>
      <c r="T1219" s="76">
        <f t="shared" si="471"/>
        <v>0.99963133859765951</v>
      </c>
      <c r="U1219" s="76">
        <f t="shared" si="472"/>
        <v>1</v>
      </c>
    </row>
    <row r="1220" spans="1:21" x14ac:dyDescent="0.25">
      <c r="A1220" s="71">
        <v>8</v>
      </c>
      <c r="B1220" s="72">
        <f t="shared" si="473"/>
        <v>45870</v>
      </c>
      <c r="C1220" s="73">
        <f t="shared" si="454"/>
        <v>45900</v>
      </c>
      <c r="D1220" s="67">
        <f t="shared" si="455"/>
        <v>31</v>
      </c>
      <c r="E1220" s="67">
        <f t="shared" si="456"/>
        <v>8</v>
      </c>
      <c r="F1220" s="74">
        <f t="shared" si="457"/>
        <v>45885.5</v>
      </c>
      <c r="G1220" s="67">
        <f t="shared" si="458"/>
        <v>24307</v>
      </c>
      <c r="H1220" s="75">
        <f t="shared" si="459"/>
        <v>1</v>
      </c>
      <c r="I1220" s="76">
        <f t="shared" si="460"/>
        <v>1</v>
      </c>
      <c r="J1220" s="76">
        <f t="shared" si="461"/>
        <v>1</v>
      </c>
      <c r="K1220" s="67">
        <f t="shared" si="462"/>
        <v>0</v>
      </c>
      <c r="L1220" s="67">
        <f t="shared" si="463"/>
        <v>0</v>
      </c>
      <c r="M1220" s="77">
        <f t="shared" si="464"/>
        <v>0</v>
      </c>
      <c r="N1220" s="76">
        <f t="shared" si="465"/>
        <v>1</v>
      </c>
      <c r="O1220" s="77">
        <f t="shared" si="466"/>
        <v>0.91898249452954051</v>
      </c>
      <c r="P1220" s="76">
        <f t="shared" si="467"/>
        <v>0.25</v>
      </c>
      <c r="Q1220" s="76">
        <f t="shared" si="468"/>
        <v>0</v>
      </c>
      <c r="R1220" s="76">
        <f t="shared" si="469"/>
        <v>0</v>
      </c>
      <c r="S1220" s="76">
        <f t="shared" si="470"/>
        <v>0.99889401579297876</v>
      </c>
      <c r="T1220" s="76">
        <f t="shared" si="471"/>
        <v>0.99889401579297876</v>
      </c>
      <c r="U1220" s="76">
        <f t="shared" si="472"/>
        <v>1</v>
      </c>
    </row>
    <row r="1221" spans="1:21" x14ac:dyDescent="0.25">
      <c r="A1221" s="71">
        <v>9</v>
      </c>
      <c r="B1221" s="72">
        <f t="shared" si="473"/>
        <v>45901</v>
      </c>
      <c r="C1221" s="73">
        <f t="shared" si="454"/>
        <v>45930</v>
      </c>
      <c r="D1221" s="67">
        <f t="shared" si="455"/>
        <v>30</v>
      </c>
      <c r="E1221" s="67">
        <f t="shared" si="456"/>
        <v>9</v>
      </c>
      <c r="F1221" s="74">
        <f t="shared" si="457"/>
        <v>45916</v>
      </c>
      <c r="G1221" s="67">
        <f t="shared" si="458"/>
        <v>24308</v>
      </c>
      <c r="H1221" s="75">
        <f t="shared" si="459"/>
        <v>1</v>
      </c>
      <c r="I1221" s="76">
        <f t="shared" si="460"/>
        <v>1</v>
      </c>
      <c r="J1221" s="76">
        <f t="shared" si="461"/>
        <v>1</v>
      </c>
      <c r="K1221" s="67">
        <f t="shared" si="462"/>
        <v>0</v>
      </c>
      <c r="L1221" s="67">
        <f t="shared" si="463"/>
        <v>0</v>
      </c>
      <c r="M1221" s="77">
        <f t="shared" si="464"/>
        <v>0</v>
      </c>
      <c r="N1221" s="76">
        <f t="shared" si="465"/>
        <v>1</v>
      </c>
      <c r="O1221" s="77">
        <f t="shared" si="466"/>
        <v>0.91831509846827131</v>
      </c>
      <c r="P1221" s="76">
        <f t="shared" si="467"/>
        <v>0.41666666666666663</v>
      </c>
      <c r="Q1221" s="76">
        <f t="shared" si="468"/>
        <v>0</v>
      </c>
      <c r="R1221" s="76">
        <f t="shared" si="469"/>
        <v>0</v>
      </c>
      <c r="S1221" s="76">
        <f t="shared" si="470"/>
        <v>0.99816858529159924</v>
      </c>
      <c r="T1221" s="76">
        <f t="shared" si="471"/>
        <v>0.99816858529159924</v>
      </c>
      <c r="U1221" s="76">
        <f t="shared" si="472"/>
        <v>1</v>
      </c>
    </row>
    <row r="1222" spans="1:21" x14ac:dyDescent="0.25">
      <c r="A1222" s="71">
        <v>10</v>
      </c>
      <c r="B1222" s="72">
        <f t="shared" si="473"/>
        <v>45931</v>
      </c>
      <c r="C1222" s="73">
        <f t="shared" si="454"/>
        <v>45961</v>
      </c>
      <c r="D1222" s="67">
        <f t="shared" si="455"/>
        <v>31</v>
      </c>
      <c r="E1222" s="67">
        <f t="shared" si="456"/>
        <v>10</v>
      </c>
      <c r="F1222" s="74">
        <f t="shared" si="457"/>
        <v>45946.5</v>
      </c>
      <c r="G1222" s="67">
        <f t="shared" si="458"/>
        <v>24309</v>
      </c>
      <c r="H1222" s="75">
        <f t="shared" si="459"/>
        <v>1</v>
      </c>
      <c r="I1222" s="76">
        <f t="shared" si="460"/>
        <v>1</v>
      </c>
      <c r="J1222" s="76">
        <f t="shared" si="461"/>
        <v>1</v>
      </c>
      <c r="K1222" s="67">
        <f t="shared" si="462"/>
        <v>0</v>
      </c>
      <c r="L1222" s="67">
        <f t="shared" si="463"/>
        <v>0</v>
      </c>
      <c r="M1222" s="77">
        <f t="shared" si="464"/>
        <v>0</v>
      </c>
      <c r="N1222" s="76">
        <f t="shared" si="465"/>
        <v>1</v>
      </c>
      <c r="O1222" s="77">
        <f t="shared" si="466"/>
        <v>0.91764770240700222</v>
      </c>
      <c r="P1222" s="76">
        <f t="shared" si="467"/>
        <v>0.58333333333333326</v>
      </c>
      <c r="Q1222" s="76">
        <f t="shared" si="468"/>
        <v>0</v>
      </c>
      <c r="R1222" s="76">
        <f t="shared" si="469"/>
        <v>0</v>
      </c>
      <c r="S1222" s="76">
        <f t="shared" si="470"/>
        <v>0.99744315479021972</v>
      </c>
      <c r="T1222" s="76">
        <f t="shared" si="471"/>
        <v>0.99744315479021972</v>
      </c>
      <c r="U1222" s="76">
        <f t="shared" si="472"/>
        <v>1</v>
      </c>
    </row>
    <row r="1223" spans="1:21" x14ac:dyDescent="0.25">
      <c r="A1223" s="71">
        <v>11</v>
      </c>
      <c r="B1223" s="72">
        <f t="shared" si="473"/>
        <v>45962</v>
      </c>
      <c r="C1223" s="73">
        <f t="shared" si="454"/>
        <v>45991</v>
      </c>
      <c r="D1223" s="67">
        <f t="shared" si="455"/>
        <v>30</v>
      </c>
      <c r="E1223" s="67">
        <f t="shared" si="456"/>
        <v>11</v>
      </c>
      <c r="F1223" s="74">
        <f t="shared" si="457"/>
        <v>45977</v>
      </c>
      <c r="G1223" s="67">
        <f t="shared" si="458"/>
        <v>24310</v>
      </c>
      <c r="H1223" s="75">
        <f t="shared" si="459"/>
        <v>1</v>
      </c>
      <c r="I1223" s="76">
        <f t="shared" si="460"/>
        <v>1</v>
      </c>
      <c r="J1223" s="76">
        <f t="shared" si="461"/>
        <v>1</v>
      </c>
      <c r="K1223" s="67">
        <f t="shared" si="462"/>
        <v>0</v>
      </c>
      <c r="L1223" s="67">
        <f t="shared" si="463"/>
        <v>0</v>
      </c>
      <c r="M1223" s="77">
        <f t="shared" si="464"/>
        <v>0</v>
      </c>
      <c r="N1223" s="76">
        <f t="shared" si="465"/>
        <v>1</v>
      </c>
      <c r="O1223" s="77">
        <f t="shared" si="466"/>
        <v>0.91698030634573302</v>
      </c>
      <c r="P1223" s="76">
        <f t="shared" si="467"/>
        <v>0.75</v>
      </c>
      <c r="Q1223" s="76">
        <f t="shared" si="468"/>
        <v>0</v>
      </c>
      <c r="R1223" s="76">
        <f t="shared" si="469"/>
        <v>0</v>
      </c>
      <c r="S1223" s="76">
        <f t="shared" si="470"/>
        <v>0.9967177242888402</v>
      </c>
      <c r="T1223" s="76">
        <f t="shared" si="471"/>
        <v>0.9967177242888402</v>
      </c>
      <c r="U1223" s="76">
        <f t="shared" si="472"/>
        <v>1</v>
      </c>
    </row>
    <row r="1224" spans="1:21" x14ac:dyDescent="0.25">
      <c r="A1224" s="71">
        <v>12</v>
      </c>
      <c r="B1224" s="72">
        <f t="shared" si="473"/>
        <v>45992</v>
      </c>
      <c r="C1224" s="73">
        <f t="shared" si="454"/>
        <v>46022</v>
      </c>
      <c r="D1224" s="67">
        <f t="shared" si="455"/>
        <v>31</v>
      </c>
      <c r="E1224" s="67">
        <f t="shared" si="456"/>
        <v>12</v>
      </c>
      <c r="F1224" s="74">
        <f t="shared" si="457"/>
        <v>46007.5</v>
      </c>
      <c r="G1224" s="67">
        <f t="shared" si="458"/>
        <v>24311</v>
      </c>
      <c r="H1224" s="75">
        <f t="shared" si="459"/>
        <v>1</v>
      </c>
      <c r="I1224" s="76">
        <f t="shared" si="460"/>
        <v>1</v>
      </c>
      <c r="J1224" s="76">
        <f t="shared" si="461"/>
        <v>1</v>
      </c>
      <c r="K1224" s="67">
        <f t="shared" si="462"/>
        <v>0</v>
      </c>
      <c r="L1224" s="67">
        <f t="shared" si="463"/>
        <v>0</v>
      </c>
      <c r="M1224" s="77">
        <f t="shared" si="464"/>
        <v>0</v>
      </c>
      <c r="N1224" s="76">
        <f t="shared" si="465"/>
        <v>1</v>
      </c>
      <c r="O1224" s="77">
        <f t="shared" si="466"/>
        <v>0.91631291028446393</v>
      </c>
      <c r="P1224" s="76">
        <f t="shared" si="467"/>
        <v>0.91666666666666663</v>
      </c>
      <c r="Q1224" s="76">
        <f t="shared" si="468"/>
        <v>0</v>
      </c>
      <c r="R1224" s="76">
        <f t="shared" si="469"/>
        <v>0</v>
      </c>
      <c r="S1224" s="76">
        <f t="shared" si="470"/>
        <v>0.99599229378746079</v>
      </c>
      <c r="T1224" s="76">
        <f t="shared" si="471"/>
        <v>0.99599229378746079</v>
      </c>
      <c r="U1224" s="76">
        <f t="shared" si="472"/>
        <v>1</v>
      </c>
    </row>
    <row r="1225" spans="1:21" x14ac:dyDescent="0.25">
      <c r="A1225" s="71">
        <v>13</v>
      </c>
      <c r="B1225" s="72">
        <f t="shared" si="473"/>
        <v>46023</v>
      </c>
      <c r="C1225" s="73">
        <f t="shared" si="454"/>
        <v>46053</v>
      </c>
      <c r="D1225" s="67">
        <f t="shared" si="455"/>
        <v>31</v>
      </c>
      <c r="E1225" s="67">
        <f t="shared" si="456"/>
        <v>1</v>
      </c>
      <c r="F1225" s="74">
        <f t="shared" si="457"/>
        <v>46038.5</v>
      </c>
      <c r="G1225" s="67">
        <f t="shared" si="458"/>
        <v>24312</v>
      </c>
      <c r="H1225" s="75">
        <f t="shared" si="459"/>
        <v>1</v>
      </c>
      <c r="I1225" s="76">
        <f t="shared" si="460"/>
        <v>1</v>
      </c>
      <c r="J1225" s="76">
        <f t="shared" si="461"/>
        <v>1</v>
      </c>
      <c r="K1225" s="67">
        <f t="shared" si="462"/>
        <v>0</v>
      </c>
      <c r="L1225" s="67">
        <f t="shared" si="463"/>
        <v>0</v>
      </c>
      <c r="M1225" s="77">
        <f t="shared" si="464"/>
        <v>0</v>
      </c>
      <c r="N1225" s="76">
        <f t="shared" si="465"/>
        <v>1</v>
      </c>
      <c r="O1225" s="77">
        <f t="shared" si="466"/>
        <v>0.91563457330415754</v>
      </c>
      <c r="P1225" s="76">
        <f t="shared" si="467"/>
        <v>1</v>
      </c>
      <c r="Q1225" s="76">
        <f t="shared" si="468"/>
        <v>0</v>
      </c>
      <c r="R1225" s="76">
        <f t="shared" si="469"/>
        <v>0</v>
      </c>
      <c r="S1225" s="76">
        <f t="shared" si="470"/>
        <v>0.99525497098277993</v>
      </c>
      <c r="T1225" s="76">
        <f t="shared" si="471"/>
        <v>0.99525497098277993</v>
      </c>
      <c r="U1225" s="76">
        <f t="shared" si="472"/>
        <v>1</v>
      </c>
    </row>
    <row r="1226" spans="1:21" x14ac:dyDescent="0.25">
      <c r="A1226" s="71">
        <v>14</v>
      </c>
      <c r="B1226" s="72">
        <f t="shared" si="473"/>
        <v>46054</v>
      </c>
      <c r="C1226" s="73">
        <f t="shared" si="454"/>
        <v>46081</v>
      </c>
      <c r="D1226" s="67">
        <f t="shared" si="455"/>
        <v>28</v>
      </c>
      <c r="E1226" s="67">
        <f t="shared" si="456"/>
        <v>2</v>
      </c>
      <c r="F1226" s="74">
        <f t="shared" si="457"/>
        <v>46068</v>
      </c>
      <c r="G1226" s="67">
        <f t="shared" si="458"/>
        <v>24313</v>
      </c>
      <c r="H1226" s="75">
        <f t="shared" si="459"/>
        <v>1</v>
      </c>
      <c r="I1226" s="76">
        <f t="shared" si="460"/>
        <v>1</v>
      </c>
      <c r="J1226" s="76">
        <f t="shared" si="461"/>
        <v>1</v>
      </c>
      <c r="K1226" s="67">
        <f t="shared" si="462"/>
        <v>0</v>
      </c>
      <c r="L1226" s="67">
        <f t="shared" si="463"/>
        <v>0</v>
      </c>
      <c r="M1226" s="77">
        <f t="shared" si="464"/>
        <v>0</v>
      </c>
      <c r="N1226" s="76">
        <f t="shared" si="465"/>
        <v>1</v>
      </c>
      <c r="O1226" s="77">
        <f t="shared" si="466"/>
        <v>0.91498905908096284</v>
      </c>
      <c r="P1226" s="76">
        <f t="shared" si="467"/>
        <v>1</v>
      </c>
      <c r="Q1226" s="76">
        <f t="shared" si="468"/>
        <v>0</v>
      </c>
      <c r="R1226" s="76">
        <f t="shared" si="469"/>
        <v>0</v>
      </c>
      <c r="S1226" s="76">
        <f t="shared" si="470"/>
        <v>0.99455332508800309</v>
      </c>
      <c r="T1226" s="76">
        <f t="shared" si="471"/>
        <v>0.99455332508800309</v>
      </c>
      <c r="U1226" s="76">
        <f t="shared" si="472"/>
        <v>1</v>
      </c>
    </row>
    <row r="1227" spans="1:21" x14ac:dyDescent="0.25">
      <c r="A1227" s="71">
        <v>15</v>
      </c>
      <c r="B1227" s="72">
        <f t="shared" si="473"/>
        <v>46082</v>
      </c>
      <c r="C1227" s="73">
        <f t="shared" si="454"/>
        <v>46112</v>
      </c>
      <c r="D1227" s="67">
        <f t="shared" si="455"/>
        <v>31</v>
      </c>
      <c r="E1227" s="67">
        <f t="shared" si="456"/>
        <v>3</v>
      </c>
      <c r="F1227" s="74">
        <f t="shared" si="457"/>
        <v>46097.5</v>
      </c>
      <c r="G1227" s="67">
        <f t="shared" si="458"/>
        <v>24314</v>
      </c>
      <c r="H1227" s="75">
        <f t="shared" si="459"/>
        <v>1</v>
      </c>
      <c r="I1227" s="76">
        <f t="shared" si="460"/>
        <v>1</v>
      </c>
      <c r="J1227" s="76">
        <f t="shared" si="461"/>
        <v>1</v>
      </c>
      <c r="K1227" s="67">
        <f t="shared" si="462"/>
        <v>0</v>
      </c>
      <c r="L1227" s="67">
        <f t="shared" si="463"/>
        <v>0</v>
      </c>
      <c r="M1227" s="77">
        <f t="shared" si="464"/>
        <v>0</v>
      </c>
      <c r="N1227" s="76">
        <f t="shared" si="465"/>
        <v>1</v>
      </c>
      <c r="O1227" s="77">
        <f t="shared" si="466"/>
        <v>0.91434354485776803</v>
      </c>
      <c r="P1227" s="76">
        <f t="shared" si="467"/>
        <v>1</v>
      </c>
      <c r="Q1227" s="76">
        <f t="shared" si="468"/>
        <v>0</v>
      </c>
      <c r="R1227" s="76">
        <f t="shared" si="469"/>
        <v>0</v>
      </c>
      <c r="S1227" s="76">
        <f t="shared" si="470"/>
        <v>0.99385167919322603</v>
      </c>
      <c r="T1227" s="76">
        <f t="shared" si="471"/>
        <v>0.99385167919322603</v>
      </c>
      <c r="U1227" s="76">
        <f t="shared" si="472"/>
        <v>1</v>
      </c>
    </row>
    <row r="1228" spans="1:21" x14ac:dyDescent="0.25">
      <c r="A1228" s="71">
        <v>16</v>
      </c>
      <c r="B1228" s="72">
        <f t="shared" si="473"/>
        <v>46113</v>
      </c>
      <c r="C1228" s="73">
        <f t="shared" si="454"/>
        <v>46142</v>
      </c>
      <c r="D1228" s="67">
        <f t="shared" si="455"/>
        <v>30</v>
      </c>
      <c r="E1228" s="67">
        <f t="shared" si="456"/>
        <v>4</v>
      </c>
      <c r="F1228" s="74">
        <f t="shared" si="457"/>
        <v>46128</v>
      </c>
      <c r="G1228" s="67">
        <f t="shared" si="458"/>
        <v>24315</v>
      </c>
      <c r="H1228" s="75">
        <f t="shared" si="459"/>
        <v>1</v>
      </c>
      <c r="I1228" s="76">
        <f t="shared" si="460"/>
        <v>1</v>
      </c>
      <c r="J1228" s="76">
        <f t="shared" si="461"/>
        <v>1</v>
      </c>
      <c r="K1228" s="67">
        <f t="shared" si="462"/>
        <v>0</v>
      </c>
      <c r="L1228" s="67">
        <f t="shared" si="463"/>
        <v>0</v>
      </c>
      <c r="M1228" s="77">
        <f t="shared" si="464"/>
        <v>0</v>
      </c>
      <c r="N1228" s="76">
        <f t="shared" si="465"/>
        <v>1</v>
      </c>
      <c r="O1228" s="77">
        <f t="shared" si="466"/>
        <v>0.91367614879649894</v>
      </c>
      <c r="P1228" s="76">
        <f t="shared" si="467"/>
        <v>1</v>
      </c>
      <c r="Q1228" s="76">
        <f t="shared" si="468"/>
        <v>0</v>
      </c>
      <c r="R1228" s="76">
        <f t="shared" si="469"/>
        <v>0</v>
      </c>
      <c r="S1228" s="76">
        <f t="shared" si="470"/>
        <v>0.99312624869184662</v>
      </c>
      <c r="T1228" s="76">
        <f t="shared" si="471"/>
        <v>0.99312624869184662</v>
      </c>
      <c r="U1228" s="76">
        <f t="shared" si="472"/>
        <v>1</v>
      </c>
    </row>
    <row r="1229" spans="1:21" x14ac:dyDescent="0.25">
      <c r="A1229" s="71">
        <v>17</v>
      </c>
      <c r="B1229" s="72">
        <f t="shared" si="473"/>
        <v>46143</v>
      </c>
      <c r="C1229" s="73">
        <f t="shared" si="454"/>
        <v>46173</v>
      </c>
      <c r="D1229" s="67">
        <f t="shared" si="455"/>
        <v>31</v>
      </c>
      <c r="E1229" s="67">
        <f t="shared" si="456"/>
        <v>5</v>
      </c>
      <c r="F1229" s="74">
        <f t="shared" si="457"/>
        <v>46158.5</v>
      </c>
      <c r="G1229" s="67">
        <f t="shared" si="458"/>
        <v>24316</v>
      </c>
      <c r="H1229" s="75">
        <f t="shared" si="459"/>
        <v>1</v>
      </c>
      <c r="I1229" s="76">
        <f t="shared" si="460"/>
        <v>1</v>
      </c>
      <c r="J1229" s="76">
        <f t="shared" si="461"/>
        <v>1</v>
      </c>
      <c r="K1229" s="67">
        <f t="shared" si="462"/>
        <v>0</v>
      </c>
      <c r="L1229" s="67">
        <f t="shared" si="463"/>
        <v>0</v>
      </c>
      <c r="M1229" s="77">
        <f t="shared" si="464"/>
        <v>0</v>
      </c>
      <c r="N1229" s="76">
        <f t="shared" si="465"/>
        <v>1</v>
      </c>
      <c r="O1229" s="77">
        <f t="shared" si="466"/>
        <v>0.91300875273522974</v>
      </c>
      <c r="P1229" s="76">
        <f t="shared" si="467"/>
        <v>1</v>
      </c>
      <c r="Q1229" s="76">
        <f t="shared" si="468"/>
        <v>0</v>
      </c>
      <c r="R1229" s="76">
        <f t="shared" si="469"/>
        <v>0</v>
      </c>
      <c r="S1229" s="76">
        <f t="shared" si="470"/>
        <v>0.9924008181904671</v>
      </c>
      <c r="T1229" s="76">
        <f t="shared" si="471"/>
        <v>0.9924008181904671</v>
      </c>
      <c r="U1229" s="76">
        <f t="shared" si="472"/>
        <v>1</v>
      </c>
    </row>
    <row r="1230" spans="1:21" x14ac:dyDescent="0.25">
      <c r="A1230" s="71">
        <v>18</v>
      </c>
      <c r="B1230" s="72">
        <f t="shared" si="473"/>
        <v>46174</v>
      </c>
      <c r="C1230" s="73">
        <f t="shared" si="454"/>
        <v>46203</v>
      </c>
      <c r="D1230" s="67">
        <f t="shared" si="455"/>
        <v>30</v>
      </c>
      <c r="E1230" s="67">
        <f t="shared" si="456"/>
        <v>6</v>
      </c>
      <c r="F1230" s="74">
        <f t="shared" si="457"/>
        <v>46189</v>
      </c>
      <c r="G1230" s="67">
        <f t="shared" si="458"/>
        <v>24317</v>
      </c>
      <c r="H1230" s="75">
        <f t="shared" si="459"/>
        <v>1</v>
      </c>
      <c r="I1230" s="76">
        <f t="shared" si="460"/>
        <v>1</v>
      </c>
      <c r="J1230" s="76">
        <f t="shared" si="461"/>
        <v>1</v>
      </c>
      <c r="K1230" s="67">
        <f t="shared" si="462"/>
        <v>0</v>
      </c>
      <c r="L1230" s="67">
        <f t="shared" si="463"/>
        <v>0</v>
      </c>
      <c r="M1230" s="77">
        <f t="shared" si="464"/>
        <v>0</v>
      </c>
      <c r="N1230" s="76">
        <f t="shared" si="465"/>
        <v>1</v>
      </c>
      <c r="O1230" s="77">
        <f t="shared" si="466"/>
        <v>0.91234135667396066</v>
      </c>
      <c r="P1230" s="76">
        <f t="shared" si="467"/>
        <v>1</v>
      </c>
      <c r="Q1230" s="76">
        <f t="shared" si="468"/>
        <v>0</v>
      </c>
      <c r="R1230" s="76">
        <f t="shared" si="469"/>
        <v>0</v>
      </c>
      <c r="S1230" s="76">
        <f t="shared" si="470"/>
        <v>0.99167538768908758</v>
      </c>
      <c r="T1230" s="76">
        <f t="shared" si="471"/>
        <v>0.99167538768908758</v>
      </c>
      <c r="U1230" s="76">
        <f t="shared" si="472"/>
        <v>1</v>
      </c>
    </row>
    <row r="1231" spans="1:21" x14ac:dyDescent="0.25">
      <c r="A1231" s="71">
        <v>19</v>
      </c>
      <c r="B1231" s="72">
        <f t="shared" si="473"/>
        <v>46204</v>
      </c>
      <c r="C1231" s="73">
        <f t="shared" si="454"/>
        <v>46234</v>
      </c>
      <c r="D1231" s="67">
        <f t="shared" si="455"/>
        <v>31</v>
      </c>
      <c r="E1231" s="67">
        <f t="shared" si="456"/>
        <v>7</v>
      </c>
      <c r="F1231" s="74">
        <f t="shared" si="457"/>
        <v>46219.5</v>
      </c>
      <c r="G1231" s="67">
        <f t="shared" si="458"/>
        <v>24318</v>
      </c>
      <c r="H1231" s="75">
        <f t="shared" si="459"/>
        <v>1</v>
      </c>
      <c r="I1231" s="76">
        <f t="shared" si="460"/>
        <v>1</v>
      </c>
      <c r="J1231" s="76">
        <f t="shared" si="461"/>
        <v>1</v>
      </c>
      <c r="K1231" s="67">
        <f t="shared" si="462"/>
        <v>0</v>
      </c>
      <c r="L1231" s="67">
        <f t="shared" si="463"/>
        <v>0</v>
      </c>
      <c r="M1231" s="77">
        <f t="shared" si="464"/>
        <v>0</v>
      </c>
      <c r="N1231" s="76">
        <f t="shared" si="465"/>
        <v>1</v>
      </c>
      <c r="O1231" s="77">
        <f t="shared" si="466"/>
        <v>0.91167396061269146</v>
      </c>
      <c r="P1231" s="76">
        <f t="shared" si="467"/>
        <v>0.91666666666666663</v>
      </c>
      <c r="Q1231" s="76">
        <f t="shared" si="468"/>
        <v>8.333333333333337E-2</v>
      </c>
      <c r="R1231" s="76">
        <f t="shared" si="469"/>
        <v>0</v>
      </c>
      <c r="S1231" s="76">
        <f t="shared" si="470"/>
        <v>0.99094995718770806</v>
      </c>
      <c r="T1231" s="76">
        <f t="shared" si="471"/>
        <v>0.99094995718770806</v>
      </c>
      <c r="U1231" s="76">
        <f t="shared" si="472"/>
        <v>1</v>
      </c>
    </row>
    <row r="1232" spans="1:21" x14ac:dyDescent="0.25">
      <c r="A1232" s="71">
        <v>20</v>
      </c>
      <c r="B1232" s="72">
        <f t="shared" si="473"/>
        <v>46235</v>
      </c>
      <c r="C1232" s="73">
        <f t="shared" si="454"/>
        <v>46265</v>
      </c>
      <c r="D1232" s="67">
        <f t="shared" si="455"/>
        <v>31</v>
      </c>
      <c r="E1232" s="67">
        <f t="shared" si="456"/>
        <v>8</v>
      </c>
      <c r="F1232" s="74">
        <f t="shared" si="457"/>
        <v>46250.5</v>
      </c>
      <c r="G1232" s="67">
        <f t="shared" si="458"/>
        <v>24319</v>
      </c>
      <c r="H1232" s="75">
        <f t="shared" si="459"/>
        <v>1</v>
      </c>
      <c r="I1232" s="76">
        <f t="shared" si="460"/>
        <v>1</v>
      </c>
      <c r="J1232" s="76">
        <f t="shared" si="461"/>
        <v>1</v>
      </c>
      <c r="K1232" s="67">
        <f t="shared" si="462"/>
        <v>0</v>
      </c>
      <c r="L1232" s="67">
        <f t="shared" si="463"/>
        <v>0</v>
      </c>
      <c r="M1232" s="77">
        <f t="shared" si="464"/>
        <v>0</v>
      </c>
      <c r="N1232" s="76">
        <f t="shared" si="465"/>
        <v>1</v>
      </c>
      <c r="O1232" s="77">
        <f t="shared" si="466"/>
        <v>0.91099562363238518</v>
      </c>
      <c r="P1232" s="76">
        <f t="shared" si="467"/>
        <v>0.75</v>
      </c>
      <c r="Q1232" s="76">
        <f t="shared" si="468"/>
        <v>0.25</v>
      </c>
      <c r="R1232" s="76">
        <f t="shared" si="469"/>
        <v>0</v>
      </c>
      <c r="S1232" s="76">
        <f t="shared" si="470"/>
        <v>0.99021263438302731</v>
      </c>
      <c r="T1232" s="76">
        <f t="shared" si="471"/>
        <v>0.99021263438302731</v>
      </c>
      <c r="U1232" s="76">
        <f t="shared" si="472"/>
        <v>1</v>
      </c>
    </row>
    <row r="1233" spans="1:21" x14ac:dyDescent="0.25">
      <c r="A1233" s="71">
        <v>21</v>
      </c>
      <c r="B1233" s="72">
        <f t="shared" si="473"/>
        <v>46266</v>
      </c>
      <c r="C1233" s="73">
        <f t="shared" si="454"/>
        <v>46295</v>
      </c>
      <c r="D1233" s="67">
        <f t="shared" si="455"/>
        <v>30</v>
      </c>
      <c r="E1233" s="67">
        <f t="shared" si="456"/>
        <v>9</v>
      </c>
      <c r="F1233" s="74">
        <f t="shared" si="457"/>
        <v>46281</v>
      </c>
      <c r="G1233" s="67">
        <f t="shared" si="458"/>
        <v>24320</v>
      </c>
      <c r="H1233" s="75">
        <f t="shared" si="459"/>
        <v>1</v>
      </c>
      <c r="I1233" s="76">
        <f t="shared" si="460"/>
        <v>1</v>
      </c>
      <c r="J1233" s="76">
        <f t="shared" si="461"/>
        <v>1</v>
      </c>
      <c r="K1233" s="67">
        <f t="shared" si="462"/>
        <v>0</v>
      </c>
      <c r="L1233" s="67">
        <f t="shared" si="463"/>
        <v>0</v>
      </c>
      <c r="M1233" s="77">
        <f t="shared" si="464"/>
        <v>0</v>
      </c>
      <c r="N1233" s="76">
        <f t="shared" si="465"/>
        <v>1</v>
      </c>
      <c r="O1233" s="77">
        <f t="shared" si="466"/>
        <v>0.91032822757111598</v>
      </c>
      <c r="P1233" s="76">
        <f t="shared" si="467"/>
        <v>0.58333333333333337</v>
      </c>
      <c r="Q1233" s="76">
        <f t="shared" si="468"/>
        <v>0.41666666666666663</v>
      </c>
      <c r="R1233" s="76">
        <f t="shared" si="469"/>
        <v>0</v>
      </c>
      <c r="S1233" s="76">
        <f t="shared" si="470"/>
        <v>0.98948720388164779</v>
      </c>
      <c r="T1233" s="76">
        <f t="shared" si="471"/>
        <v>0.98948720388164779</v>
      </c>
      <c r="U1233" s="76">
        <f t="shared" si="472"/>
        <v>1</v>
      </c>
    </row>
    <row r="1234" spans="1:21" x14ac:dyDescent="0.25">
      <c r="A1234" s="71">
        <v>22</v>
      </c>
      <c r="B1234" s="72">
        <f t="shared" si="473"/>
        <v>46296</v>
      </c>
      <c r="C1234" s="73">
        <f t="shared" si="454"/>
        <v>46326</v>
      </c>
      <c r="D1234" s="67">
        <f t="shared" si="455"/>
        <v>31</v>
      </c>
      <c r="E1234" s="67">
        <f t="shared" si="456"/>
        <v>10</v>
      </c>
      <c r="F1234" s="74">
        <f t="shared" si="457"/>
        <v>46311.5</v>
      </c>
      <c r="G1234" s="67">
        <f t="shared" si="458"/>
        <v>24321</v>
      </c>
      <c r="H1234" s="75">
        <f t="shared" si="459"/>
        <v>1</v>
      </c>
      <c r="I1234" s="76">
        <f t="shared" si="460"/>
        <v>1</v>
      </c>
      <c r="J1234" s="76">
        <f t="shared" si="461"/>
        <v>1.03</v>
      </c>
      <c r="K1234" s="67">
        <f t="shared" si="462"/>
        <v>1</v>
      </c>
      <c r="L1234" s="67">
        <f t="shared" si="463"/>
        <v>31</v>
      </c>
      <c r="M1234" s="77">
        <f t="shared" si="464"/>
        <v>1</v>
      </c>
      <c r="N1234" s="76">
        <f t="shared" si="465"/>
        <v>1.03</v>
      </c>
      <c r="O1234" s="77">
        <f t="shared" si="466"/>
        <v>0.90966083150984689</v>
      </c>
      <c r="P1234" s="76">
        <f t="shared" si="467"/>
        <v>0.41666666666666669</v>
      </c>
      <c r="Q1234" s="76">
        <f t="shared" si="468"/>
        <v>0.58333333333333326</v>
      </c>
      <c r="R1234" s="76">
        <f t="shared" si="469"/>
        <v>0</v>
      </c>
      <c r="S1234" s="76">
        <f t="shared" si="470"/>
        <v>1.0184246265816763</v>
      </c>
      <c r="T1234" s="76">
        <f t="shared" si="471"/>
        <v>1.0184246265816763</v>
      </c>
      <c r="U1234" s="76">
        <f t="shared" si="472"/>
        <v>1.03</v>
      </c>
    </row>
    <row r="1235" spans="1:21" x14ac:dyDescent="0.25">
      <c r="A1235" s="71">
        <v>23</v>
      </c>
      <c r="B1235" s="72">
        <f t="shared" si="473"/>
        <v>46327</v>
      </c>
      <c r="C1235" s="73">
        <f t="shared" si="454"/>
        <v>46356</v>
      </c>
      <c r="D1235" s="67">
        <f t="shared" si="455"/>
        <v>30</v>
      </c>
      <c r="E1235" s="67">
        <f t="shared" si="456"/>
        <v>11</v>
      </c>
      <c r="F1235" s="74">
        <f t="shared" si="457"/>
        <v>46342</v>
      </c>
      <c r="G1235" s="67">
        <f t="shared" si="458"/>
        <v>24322</v>
      </c>
      <c r="H1235" s="75">
        <f t="shared" si="459"/>
        <v>1</v>
      </c>
      <c r="I1235" s="76">
        <f t="shared" si="460"/>
        <v>1.03</v>
      </c>
      <c r="J1235" s="76">
        <f t="shared" si="461"/>
        <v>1.03</v>
      </c>
      <c r="K1235" s="67">
        <f t="shared" si="462"/>
        <v>0</v>
      </c>
      <c r="L1235" s="67">
        <f t="shared" si="463"/>
        <v>0</v>
      </c>
      <c r="M1235" s="77">
        <f t="shared" si="464"/>
        <v>0</v>
      </c>
      <c r="N1235" s="76">
        <f t="shared" si="465"/>
        <v>1.03</v>
      </c>
      <c r="O1235" s="77">
        <f t="shared" si="466"/>
        <v>0.90899343544857769</v>
      </c>
      <c r="P1235" s="76">
        <f t="shared" si="467"/>
        <v>0.25</v>
      </c>
      <c r="Q1235" s="76">
        <f t="shared" si="468"/>
        <v>0.75</v>
      </c>
      <c r="R1235" s="76">
        <f t="shared" si="469"/>
        <v>0</v>
      </c>
      <c r="S1235" s="76">
        <f t="shared" si="470"/>
        <v>1.0176774331652554</v>
      </c>
      <c r="T1235" s="76">
        <f t="shared" si="471"/>
        <v>1.0176774331652554</v>
      </c>
      <c r="U1235" s="76">
        <f t="shared" si="472"/>
        <v>1.03</v>
      </c>
    </row>
    <row r="1236" spans="1:21" x14ac:dyDescent="0.25">
      <c r="A1236" s="71">
        <v>24</v>
      </c>
      <c r="B1236" s="72">
        <f t="shared" si="473"/>
        <v>46357</v>
      </c>
      <c r="C1236" s="73">
        <f t="shared" si="454"/>
        <v>46387</v>
      </c>
      <c r="D1236" s="67">
        <f t="shared" si="455"/>
        <v>31</v>
      </c>
      <c r="E1236" s="67">
        <f t="shared" si="456"/>
        <v>12</v>
      </c>
      <c r="F1236" s="74">
        <f t="shared" si="457"/>
        <v>46372.5</v>
      </c>
      <c r="G1236" s="67">
        <f t="shared" si="458"/>
        <v>24323</v>
      </c>
      <c r="H1236" s="75">
        <f t="shared" si="459"/>
        <v>1</v>
      </c>
      <c r="I1236" s="76">
        <f t="shared" si="460"/>
        <v>1.03</v>
      </c>
      <c r="J1236" s="76">
        <f t="shared" si="461"/>
        <v>1.03</v>
      </c>
      <c r="K1236" s="67">
        <f t="shared" si="462"/>
        <v>0</v>
      </c>
      <c r="L1236" s="67">
        <f t="shared" si="463"/>
        <v>0</v>
      </c>
      <c r="M1236" s="77">
        <f t="shared" si="464"/>
        <v>0</v>
      </c>
      <c r="N1236" s="76">
        <f t="shared" si="465"/>
        <v>1.03</v>
      </c>
      <c r="O1236" s="77">
        <f t="shared" si="466"/>
        <v>0.9083260393873086</v>
      </c>
      <c r="P1236" s="76">
        <f t="shared" si="467"/>
        <v>8.3333333333333329E-2</v>
      </c>
      <c r="Q1236" s="76">
        <f t="shared" si="468"/>
        <v>0.91666666666666663</v>
      </c>
      <c r="R1236" s="76">
        <f t="shared" si="469"/>
        <v>0</v>
      </c>
      <c r="S1236" s="76">
        <f t="shared" si="470"/>
        <v>1.0169302397488347</v>
      </c>
      <c r="T1236" s="76">
        <f t="shared" si="471"/>
        <v>1.0169302397488347</v>
      </c>
      <c r="U1236" s="76">
        <f t="shared" si="472"/>
        <v>1.03</v>
      </c>
    </row>
    <row r="1237" spans="1:21" x14ac:dyDescent="0.25">
      <c r="A1237" s="71">
        <v>25</v>
      </c>
      <c r="B1237" s="72">
        <f t="shared" si="473"/>
        <v>46388</v>
      </c>
      <c r="C1237" s="73">
        <f t="shared" si="454"/>
        <v>46418</v>
      </c>
      <c r="D1237" s="67">
        <f t="shared" si="455"/>
        <v>31</v>
      </c>
      <c r="E1237" s="67">
        <f t="shared" si="456"/>
        <v>1</v>
      </c>
      <c r="F1237" s="74">
        <f t="shared" si="457"/>
        <v>46403.5</v>
      </c>
      <c r="G1237" s="67">
        <f t="shared" si="458"/>
        <v>24324</v>
      </c>
      <c r="H1237" s="75">
        <f t="shared" si="459"/>
        <v>1</v>
      </c>
      <c r="I1237" s="76">
        <f t="shared" si="460"/>
        <v>1.03</v>
      </c>
      <c r="J1237" s="76">
        <f t="shared" si="461"/>
        <v>1.03</v>
      </c>
      <c r="K1237" s="67">
        <f t="shared" si="462"/>
        <v>0</v>
      </c>
      <c r="L1237" s="67">
        <f t="shared" si="463"/>
        <v>0</v>
      </c>
      <c r="M1237" s="77">
        <f t="shared" si="464"/>
        <v>0</v>
      </c>
      <c r="N1237" s="76">
        <f t="shared" si="465"/>
        <v>1.03</v>
      </c>
      <c r="O1237" s="77">
        <f t="shared" si="466"/>
        <v>0.90764770240700221</v>
      </c>
      <c r="P1237" s="76">
        <f t="shared" si="467"/>
        <v>0</v>
      </c>
      <c r="Q1237" s="76">
        <f t="shared" si="468"/>
        <v>1</v>
      </c>
      <c r="R1237" s="76">
        <f t="shared" si="469"/>
        <v>0</v>
      </c>
      <c r="S1237" s="76">
        <f t="shared" si="470"/>
        <v>1.0161707972600134</v>
      </c>
      <c r="T1237" s="76">
        <f t="shared" si="471"/>
        <v>0.99525497098277993</v>
      </c>
      <c r="U1237" s="76">
        <f t="shared" si="472"/>
        <v>1.03</v>
      </c>
    </row>
    <row r="1238" spans="1:21" x14ac:dyDescent="0.25">
      <c r="A1238" s="71">
        <v>26</v>
      </c>
      <c r="B1238" s="72">
        <f t="shared" si="473"/>
        <v>46419</v>
      </c>
      <c r="C1238" s="73">
        <f t="shared" si="454"/>
        <v>46446</v>
      </c>
      <c r="D1238" s="67">
        <f t="shared" si="455"/>
        <v>28</v>
      </c>
      <c r="E1238" s="67">
        <f t="shared" si="456"/>
        <v>2</v>
      </c>
      <c r="F1238" s="74">
        <f t="shared" si="457"/>
        <v>46433</v>
      </c>
      <c r="G1238" s="67">
        <f t="shared" si="458"/>
        <v>24325</v>
      </c>
      <c r="H1238" s="75">
        <f t="shared" si="459"/>
        <v>1</v>
      </c>
      <c r="I1238" s="76">
        <f t="shared" si="460"/>
        <v>1.03</v>
      </c>
      <c r="J1238" s="76">
        <f t="shared" si="461"/>
        <v>1.0712000000000002</v>
      </c>
      <c r="K1238" s="67">
        <f t="shared" si="462"/>
        <v>1</v>
      </c>
      <c r="L1238" s="67">
        <f t="shared" si="463"/>
        <v>28</v>
      </c>
      <c r="M1238" s="77">
        <f t="shared" si="464"/>
        <v>1</v>
      </c>
      <c r="N1238" s="76">
        <f t="shared" si="465"/>
        <v>1.0712000000000002</v>
      </c>
      <c r="O1238" s="77">
        <f t="shared" si="466"/>
        <v>0.90700218818380751</v>
      </c>
      <c r="P1238" s="76">
        <f t="shared" si="467"/>
        <v>0</v>
      </c>
      <c r="Q1238" s="76">
        <f t="shared" si="468"/>
        <v>1</v>
      </c>
      <c r="R1238" s="76">
        <f t="shared" si="469"/>
        <v>0</v>
      </c>
      <c r="S1238" s="76">
        <f t="shared" si="470"/>
        <v>1.0560660260679291</v>
      </c>
      <c r="T1238" s="76">
        <f t="shared" si="471"/>
        <v>0.99455332508800309</v>
      </c>
      <c r="U1238" s="76">
        <f t="shared" si="472"/>
        <v>1.0712000000000002</v>
      </c>
    </row>
    <row r="1239" spans="1:21" x14ac:dyDescent="0.25">
      <c r="A1239" s="71">
        <v>27</v>
      </c>
      <c r="B1239" s="72">
        <f t="shared" si="473"/>
        <v>46447</v>
      </c>
      <c r="C1239" s="73">
        <f t="shared" si="454"/>
        <v>46477</v>
      </c>
      <c r="D1239" s="67">
        <f t="shared" si="455"/>
        <v>31</v>
      </c>
      <c r="E1239" s="67">
        <f t="shared" si="456"/>
        <v>3</v>
      </c>
      <c r="F1239" s="74">
        <f t="shared" si="457"/>
        <v>46462.5</v>
      </c>
      <c r="G1239" s="67">
        <f t="shared" si="458"/>
        <v>24326</v>
      </c>
      <c r="H1239" s="75">
        <f t="shared" si="459"/>
        <v>1</v>
      </c>
      <c r="I1239" s="76">
        <f t="shared" si="460"/>
        <v>1.0712000000000002</v>
      </c>
      <c r="J1239" s="76">
        <f t="shared" si="461"/>
        <v>1.0712000000000002</v>
      </c>
      <c r="K1239" s="67">
        <f t="shared" si="462"/>
        <v>0</v>
      </c>
      <c r="L1239" s="67">
        <f t="shared" si="463"/>
        <v>0</v>
      </c>
      <c r="M1239" s="77">
        <f t="shared" si="464"/>
        <v>0</v>
      </c>
      <c r="N1239" s="76">
        <f t="shared" si="465"/>
        <v>1.0712000000000002</v>
      </c>
      <c r="O1239" s="77">
        <f t="shared" si="466"/>
        <v>0.9063566739606127</v>
      </c>
      <c r="P1239" s="76">
        <f t="shared" si="467"/>
        <v>0</v>
      </c>
      <c r="Q1239" s="76">
        <f t="shared" si="468"/>
        <v>1</v>
      </c>
      <c r="R1239" s="76">
        <f t="shared" si="469"/>
        <v>0</v>
      </c>
      <c r="S1239" s="76">
        <f t="shared" si="470"/>
        <v>1.0553144229854439</v>
      </c>
      <c r="T1239" s="76">
        <f t="shared" si="471"/>
        <v>0.99385167919322603</v>
      </c>
      <c r="U1239" s="76">
        <f t="shared" si="472"/>
        <v>1.0712000000000002</v>
      </c>
    </row>
    <row r="1240" spans="1:21" x14ac:dyDescent="0.25">
      <c r="A1240" s="71">
        <v>28</v>
      </c>
      <c r="B1240" s="72">
        <f t="shared" si="473"/>
        <v>46478</v>
      </c>
      <c r="C1240" s="73">
        <f t="shared" si="454"/>
        <v>46507</v>
      </c>
      <c r="D1240" s="67">
        <f t="shared" si="455"/>
        <v>30</v>
      </c>
      <c r="E1240" s="67">
        <f t="shared" si="456"/>
        <v>4</v>
      </c>
      <c r="F1240" s="74">
        <f t="shared" si="457"/>
        <v>46493</v>
      </c>
      <c r="G1240" s="67">
        <f t="shared" si="458"/>
        <v>24327</v>
      </c>
      <c r="H1240" s="75">
        <f t="shared" si="459"/>
        <v>1</v>
      </c>
      <c r="I1240" s="76">
        <f t="shared" si="460"/>
        <v>1.0712000000000002</v>
      </c>
      <c r="J1240" s="76">
        <f t="shared" si="461"/>
        <v>1.0712000000000002</v>
      </c>
      <c r="K1240" s="67">
        <f t="shared" si="462"/>
        <v>0</v>
      </c>
      <c r="L1240" s="67">
        <f t="shared" si="463"/>
        <v>0</v>
      </c>
      <c r="M1240" s="77">
        <f t="shared" si="464"/>
        <v>0</v>
      </c>
      <c r="N1240" s="76">
        <f t="shared" si="465"/>
        <v>1.0712000000000002</v>
      </c>
      <c r="O1240" s="77">
        <f t="shared" si="466"/>
        <v>0.90568927789934361</v>
      </c>
      <c r="P1240" s="76">
        <f t="shared" si="467"/>
        <v>0</v>
      </c>
      <c r="Q1240" s="76">
        <f t="shared" si="468"/>
        <v>1</v>
      </c>
      <c r="R1240" s="76">
        <f t="shared" si="469"/>
        <v>0</v>
      </c>
      <c r="S1240" s="76">
        <f t="shared" si="470"/>
        <v>1.0545373418323662</v>
      </c>
      <c r="T1240" s="76">
        <f t="shared" si="471"/>
        <v>0.99312624869184662</v>
      </c>
      <c r="U1240" s="76">
        <f t="shared" si="472"/>
        <v>1.0712000000000002</v>
      </c>
    </row>
    <row r="1241" spans="1:21" x14ac:dyDescent="0.25">
      <c r="A1241" s="71">
        <v>29</v>
      </c>
      <c r="B1241" s="72">
        <f t="shared" si="473"/>
        <v>46508</v>
      </c>
      <c r="C1241" s="73">
        <f t="shared" si="454"/>
        <v>46538</v>
      </c>
      <c r="D1241" s="67">
        <f t="shared" si="455"/>
        <v>31</v>
      </c>
      <c r="E1241" s="67">
        <f t="shared" si="456"/>
        <v>5</v>
      </c>
      <c r="F1241" s="74">
        <f t="shared" si="457"/>
        <v>46523.5</v>
      </c>
      <c r="G1241" s="67">
        <f t="shared" si="458"/>
        <v>24328</v>
      </c>
      <c r="H1241" s="75">
        <f t="shared" si="459"/>
        <v>1</v>
      </c>
      <c r="I1241" s="76">
        <f t="shared" si="460"/>
        <v>1.0712000000000002</v>
      </c>
      <c r="J1241" s="76">
        <f t="shared" si="461"/>
        <v>1.0712000000000002</v>
      </c>
      <c r="K1241" s="67">
        <f t="shared" si="462"/>
        <v>0</v>
      </c>
      <c r="L1241" s="67">
        <f t="shared" si="463"/>
        <v>0</v>
      </c>
      <c r="M1241" s="77">
        <f t="shared" si="464"/>
        <v>0</v>
      </c>
      <c r="N1241" s="76">
        <f t="shared" si="465"/>
        <v>1.0712000000000002</v>
      </c>
      <c r="O1241" s="77">
        <f t="shared" si="466"/>
        <v>0.90502188183807442</v>
      </c>
      <c r="P1241" s="76">
        <f t="shared" si="467"/>
        <v>0</v>
      </c>
      <c r="Q1241" s="76">
        <f t="shared" si="468"/>
        <v>1</v>
      </c>
      <c r="R1241" s="76">
        <f t="shared" si="469"/>
        <v>0</v>
      </c>
      <c r="S1241" s="76">
        <f t="shared" si="470"/>
        <v>1.0537602606792886</v>
      </c>
      <c r="T1241" s="76">
        <f t="shared" si="471"/>
        <v>0.9924008181904671</v>
      </c>
      <c r="U1241" s="76">
        <f t="shared" si="472"/>
        <v>1.0712000000000002</v>
      </c>
    </row>
    <row r="1242" spans="1:21" x14ac:dyDescent="0.25">
      <c r="A1242" s="71">
        <v>30</v>
      </c>
      <c r="B1242" s="72">
        <f t="shared" si="473"/>
        <v>46539</v>
      </c>
      <c r="C1242" s="73">
        <f t="shared" si="454"/>
        <v>46568</v>
      </c>
      <c r="D1242" s="67">
        <f t="shared" si="455"/>
        <v>30</v>
      </c>
      <c r="E1242" s="67">
        <f t="shared" si="456"/>
        <v>6</v>
      </c>
      <c r="F1242" s="74">
        <f t="shared" si="457"/>
        <v>46554</v>
      </c>
      <c r="G1242" s="67">
        <f t="shared" si="458"/>
        <v>24329</v>
      </c>
      <c r="H1242" s="75">
        <f t="shared" si="459"/>
        <v>1</v>
      </c>
      <c r="I1242" s="76">
        <f t="shared" si="460"/>
        <v>1.0712000000000002</v>
      </c>
      <c r="J1242" s="76">
        <f t="shared" si="461"/>
        <v>1.0712000000000002</v>
      </c>
      <c r="K1242" s="67">
        <f t="shared" si="462"/>
        <v>0</v>
      </c>
      <c r="L1242" s="67">
        <f t="shared" si="463"/>
        <v>0</v>
      </c>
      <c r="M1242" s="77">
        <f t="shared" si="464"/>
        <v>0</v>
      </c>
      <c r="N1242" s="76">
        <f t="shared" si="465"/>
        <v>1.0712000000000002</v>
      </c>
      <c r="O1242" s="77">
        <f t="shared" si="466"/>
        <v>0.90435448577680533</v>
      </c>
      <c r="P1242" s="76">
        <f t="shared" si="467"/>
        <v>0</v>
      </c>
      <c r="Q1242" s="76">
        <f t="shared" si="468"/>
        <v>1</v>
      </c>
      <c r="R1242" s="76">
        <f t="shared" si="469"/>
        <v>0</v>
      </c>
      <c r="S1242" s="76">
        <f t="shared" si="470"/>
        <v>1.0529831795262108</v>
      </c>
      <c r="T1242" s="76">
        <f t="shared" si="471"/>
        <v>0.99167538768908758</v>
      </c>
      <c r="U1242" s="76">
        <f t="shared" si="472"/>
        <v>1.0712000000000002</v>
      </c>
    </row>
    <row r="1243" spans="1:21" x14ac:dyDescent="0.25">
      <c r="A1243" s="71">
        <v>31</v>
      </c>
      <c r="B1243" s="72">
        <f t="shared" si="473"/>
        <v>46569</v>
      </c>
      <c r="C1243" s="73">
        <f t="shared" si="454"/>
        <v>46599</v>
      </c>
      <c r="D1243" s="67">
        <f t="shared" si="455"/>
        <v>31</v>
      </c>
      <c r="E1243" s="67">
        <f t="shared" si="456"/>
        <v>7</v>
      </c>
      <c r="F1243" s="74">
        <f t="shared" si="457"/>
        <v>46584.5</v>
      </c>
      <c r="G1243" s="67">
        <f t="shared" si="458"/>
        <v>24330</v>
      </c>
      <c r="H1243" s="75">
        <f t="shared" si="459"/>
        <v>1</v>
      </c>
      <c r="I1243" s="76">
        <f t="shared" si="460"/>
        <v>1.0712000000000002</v>
      </c>
      <c r="J1243" s="76">
        <f t="shared" si="461"/>
        <v>1.0712000000000002</v>
      </c>
      <c r="K1243" s="67">
        <f t="shared" si="462"/>
        <v>0</v>
      </c>
      <c r="L1243" s="67">
        <f t="shared" si="463"/>
        <v>0</v>
      </c>
      <c r="M1243" s="77">
        <f t="shared" si="464"/>
        <v>0</v>
      </c>
      <c r="N1243" s="76">
        <f t="shared" si="465"/>
        <v>1.0712000000000002</v>
      </c>
      <c r="O1243" s="77">
        <f t="shared" si="466"/>
        <v>0.90368708971553613</v>
      </c>
      <c r="P1243" s="76">
        <f t="shared" si="467"/>
        <v>0</v>
      </c>
      <c r="Q1243" s="76">
        <f t="shared" si="468"/>
        <v>0.91666666666666663</v>
      </c>
      <c r="R1243" s="76">
        <f t="shared" si="469"/>
        <v>8.333333333333337E-2</v>
      </c>
      <c r="S1243" s="76">
        <f t="shared" si="470"/>
        <v>1.0522060983731329</v>
      </c>
      <c r="T1243" s="76">
        <f t="shared" si="471"/>
        <v>0.99094995718770806</v>
      </c>
      <c r="U1243" s="76">
        <f t="shared" si="472"/>
        <v>1.0712000000000002</v>
      </c>
    </row>
    <row r="1244" spans="1:21" x14ac:dyDescent="0.25">
      <c r="A1244" s="71">
        <v>32</v>
      </c>
      <c r="B1244" s="72">
        <f t="shared" si="473"/>
        <v>46600</v>
      </c>
      <c r="C1244" s="73">
        <f t="shared" si="454"/>
        <v>46630</v>
      </c>
      <c r="D1244" s="67">
        <f t="shared" si="455"/>
        <v>31</v>
      </c>
      <c r="E1244" s="67">
        <f t="shared" si="456"/>
        <v>8</v>
      </c>
      <c r="F1244" s="74">
        <f t="shared" si="457"/>
        <v>46615.5</v>
      </c>
      <c r="G1244" s="67">
        <f t="shared" si="458"/>
        <v>24331</v>
      </c>
      <c r="H1244" s="75">
        <f t="shared" si="459"/>
        <v>1</v>
      </c>
      <c r="I1244" s="76">
        <f t="shared" si="460"/>
        <v>1.0712000000000002</v>
      </c>
      <c r="J1244" s="76">
        <f t="shared" si="461"/>
        <v>1.0712000000000002</v>
      </c>
      <c r="K1244" s="67">
        <f t="shared" si="462"/>
        <v>0</v>
      </c>
      <c r="L1244" s="67">
        <f t="shared" si="463"/>
        <v>0</v>
      </c>
      <c r="M1244" s="77">
        <f t="shared" si="464"/>
        <v>0</v>
      </c>
      <c r="N1244" s="76">
        <f t="shared" si="465"/>
        <v>1.0712000000000002</v>
      </c>
      <c r="O1244" s="77">
        <f t="shared" si="466"/>
        <v>0.90300875273522974</v>
      </c>
      <c r="P1244" s="76">
        <f t="shared" si="467"/>
        <v>0</v>
      </c>
      <c r="Q1244" s="76">
        <f t="shared" si="468"/>
        <v>0.75</v>
      </c>
      <c r="R1244" s="76">
        <f t="shared" si="469"/>
        <v>0.25</v>
      </c>
      <c r="S1244" s="76">
        <f t="shared" si="470"/>
        <v>1.0514162781847589</v>
      </c>
      <c r="T1244" s="76">
        <f t="shared" si="471"/>
        <v>0.99021263438302731</v>
      </c>
      <c r="U1244" s="76">
        <f t="shared" si="472"/>
        <v>1.0712000000000002</v>
      </c>
    </row>
    <row r="1245" spans="1:21" x14ac:dyDescent="0.25">
      <c r="A1245" s="71">
        <v>33</v>
      </c>
      <c r="B1245" s="72">
        <f t="shared" si="473"/>
        <v>46631</v>
      </c>
      <c r="C1245" s="73">
        <f t="shared" si="454"/>
        <v>46660</v>
      </c>
      <c r="D1245" s="67">
        <f t="shared" si="455"/>
        <v>30</v>
      </c>
      <c r="E1245" s="67">
        <f t="shared" si="456"/>
        <v>9</v>
      </c>
      <c r="F1245" s="74">
        <f t="shared" si="457"/>
        <v>46646</v>
      </c>
      <c r="G1245" s="67">
        <f t="shared" si="458"/>
        <v>24332</v>
      </c>
      <c r="H1245" s="75">
        <f t="shared" si="459"/>
        <v>1</v>
      </c>
      <c r="I1245" s="76">
        <f t="shared" si="460"/>
        <v>1.0712000000000002</v>
      </c>
      <c r="J1245" s="76">
        <f t="shared" si="461"/>
        <v>1.0712000000000002</v>
      </c>
      <c r="K1245" s="67">
        <f t="shared" si="462"/>
        <v>0</v>
      </c>
      <c r="L1245" s="67">
        <f t="shared" si="463"/>
        <v>0</v>
      </c>
      <c r="M1245" s="77">
        <f t="shared" si="464"/>
        <v>0</v>
      </c>
      <c r="N1245" s="76">
        <f t="shared" si="465"/>
        <v>1.0712000000000002</v>
      </c>
      <c r="O1245" s="77">
        <f t="shared" si="466"/>
        <v>0.90234135667396065</v>
      </c>
      <c r="P1245" s="76">
        <f t="shared" si="467"/>
        <v>0</v>
      </c>
      <c r="Q1245" s="76">
        <f t="shared" si="468"/>
        <v>0.58333333333333337</v>
      </c>
      <c r="R1245" s="76">
        <f t="shared" si="469"/>
        <v>0.41666666666666663</v>
      </c>
      <c r="S1245" s="76">
        <f t="shared" si="470"/>
        <v>1.0506391970316813</v>
      </c>
      <c r="T1245" s="76">
        <f t="shared" si="471"/>
        <v>0.98948720388164779</v>
      </c>
      <c r="U1245" s="76">
        <f t="shared" si="472"/>
        <v>1.0712000000000002</v>
      </c>
    </row>
    <row r="1246" spans="1:21" x14ac:dyDescent="0.25">
      <c r="A1246" s="71">
        <v>34</v>
      </c>
      <c r="B1246" s="72">
        <f t="shared" si="473"/>
        <v>46661</v>
      </c>
      <c r="C1246" s="73">
        <f t="shared" si="454"/>
        <v>46691</v>
      </c>
      <c r="D1246" s="67">
        <f t="shared" si="455"/>
        <v>31</v>
      </c>
      <c r="E1246" s="67">
        <f t="shared" si="456"/>
        <v>10</v>
      </c>
      <c r="F1246" s="74">
        <f t="shared" si="457"/>
        <v>46676.5</v>
      </c>
      <c r="G1246" s="67">
        <f t="shared" si="458"/>
        <v>24333</v>
      </c>
      <c r="H1246" s="75">
        <f t="shared" si="459"/>
        <v>1</v>
      </c>
      <c r="I1246" s="76">
        <f t="shared" si="460"/>
        <v>1.0712000000000002</v>
      </c>
      <c r="J1246" s="76">
        <f t="shared" si="461"/>
        <v>1.0712000000000002</v>
      </c>
      <c r="K1246" s="67">
        <f t="shared" si="462"/>
        <v>0</v>
      </c>
      <c r="L1246" s="67">
        <f t="shared" si="463"/>
        <v>0</v>
      </c>
      <c r="M1246" s="77">
        <f t="shared" si="464"/>
        <v>0</v>
      </c>
      <c r="N1246" s="76">
        <f t="shared" si="465"/>
        <v>1.0712000000000002</v>
      </c>
      <c r="O1246" s="77">
        <f t="shared" si="466"/>
        <v>0.90167396061269145</v>
      </c>
      <c r="P1246" s="76">
        <f t="shared" si="467"/>
        <v>0</v>
      </c>
      <c r="Q1246" s="76">
        <f t="shared" si="468"/>
        <v>0.41666666666666669</v>
      </c>
      <c r="R1246" s="76">
        <f t="shared" si="469"/>
        <v>0.58333333333333326</v>
      </c>
      <c r="S1246" s="76">
        <f t="shared" si="470"/>
        <v>1.0498621158786035</v>
      </c>
      <c r="T1246" s="76">
        <f t="shared" si="471"/>
        <v>1.0184246265816763</v>
      </c>
      <c r="U1246" s="76">
        <f t="shared" si="472"/>
        <v>1.0712000000000002</v>
      </c>
    </row>
    <row r="1247" spans="1:21" x14ac:dyDescent="0.25">
      <c r="A1247" s="71">
        <v>35</v>
      </c>
      <c r="B1247" s="72">
        <f t="shared" si="473"/>
        <v>46692</v>
      </c>
      <c r="C1247" s="73">
        <f t="shared" si="454"/>
        <v>46721</v>
      </c>
      <c r="D1247" s="67">
        <f t="shared" si="455"/>
        <v>30</v>
      </c>
      <c r="E1247" s="67">
        <f t="shared" si="456"/>
        <v>11</v>
      </c>
      <c r="F1247" s="74">
        <f t="shared" si="457"/>
        <v>46707</v>
      </c>
      <c r="G1247" s="67">
        <f t="shared" si="458"/>
        <v>24334</v>
      </c>
      <c r="H1247" s="75">
        <f t="shared" si="459"/>
        <v>1</v>
      </c>
      <c r="I1247" s="76">
        <f t="shared" si="460"/>
        <v>1.0712000000000002</v>
      </c>
      <c r="J1247" s="76">
        <f t="shared" si="461"/>
        <v>1.0712000000000002</v>
      </c>
      <c r="K1247" s="67">
        <f t="shared" si="462"/>
        <v>0</v>
      </c>
      <c r="L1247" s="67">
        <f t="shared" si="463"/>
        <v>0</v>
      </c>
      <c r="M1247" s="77">
        <f t="shared" si="464"/>
        <v>0</v>
      </c>
      <c r="N1247" s="76">
        <f t="shared" si="465"/>
        <v>1.0712000000000002</v>
      </c>
      <c r="O1247" s="77">
        <f t="shared" si="466"/>
        <v>0.90100656455142236</v>
      </c>
      <c r="P1247" s="76">
        <f t="shared" si="467"/>
        <v>0</v>
      </c>
      <c r="Q1247" s="76">
        <f t="shared" si="468"/>
        <v>0.25</v>
      </c>
      <c r="R1247" s="76">
        <f t="shared" si="469"/>
        <v>0.75</v>
      </c>
      <c r="S1247" s="76">
        <f t="shared" si="470"/>
        <v>1.0490850347255258</v>
      </c>
      <c r="T1247" s="76">
        <f t="shared" si="471"/>
        <v>1.0176774331652554</v>
      </c>
      <c r="U1247" s="76">
        <f t="shared" si="472"/>
        <v>1.0712000000000002</v>
      </c>
    </row>
    <row r="1248" spans="1:21" x14ac:dyDescent="0.25">
      <c r="A1248" s="71">
        <v>36</v>
      </c>
      <c r="B1248" s="72">
        <f t="shared" si="473"/>
        <v>46722</v>
      </c>
      <c r="C1248" s="73">
        <f t="shared" si="454"/>
        <v>46752</v>
      </c>
      <c r="D1248" s="67">
        <f t="shared" si="455"/>
        <v>31</v>
      </c>
      <c r="E1248" s="67">
        <f t="shared" si="456"/>
        <v>12</v>
      </c>
      <c r="F1248" s="74">
        <f t="shared" si="457"/>
        <v>46737.5</v>
      </c>
      <c r="G1248" s="67">
        <f t="shared" si="458"/>
        <v>24335</v>
      </c>
      <c r="H1248" s="75">
        <f t="shared" si="459"/>
        <v>1</v>
      </c>
      <c r="I1248" s="76">
        <f t="shared" si="460"/>
        <v>1.0712000000000002</v>
      </c>
      <c r="J1248" s="76">
        <f t="shared" si="461"/>
        <v>1.0712000000000002</v>
      </c>
      <c r="K1248" s="67">
        <f t="shared" si="462"/>
        <v>0</v>
      </c>
      <c r="L1248" s="67">
        <f t="shared" si="463"/>
        <v>0</v>
      </c>
      <c r="M1248" s="77">
        <f t="shared" si="464"/>
        <v>0</v>
      </c>
      <c r="N1248" s="76">
        <f t="shared" si="465"/>
        <v>1.0712000000000002</v>
      </c>
      <c r="O1248" s="77">
        <f t="shared" si="466"/>
        <v>0.90033916849015316</v>
      </c>
      <c r="P1248" s="76">
        <f t="shared" si="467"/>
        <v>0</v>
      </c>
      <c r="Q1248" s="76">
        <f t="shared" si="468"/>
        <v>8.3333333333333329E-2</v>
      </c>
      <c r="R1248" s="76">
        <f t="shared" si="469"/>
        <v>0.91666666666666663</v>
      </c>
      <c r="S1248" s="76">
        <f t="shared" si="470"/>
        <v>1.048307953572448</v>
      </c>
      <c r="T1248" s="76">
        <f t="shared" si="471"/>
        <v>1.0169302397488347</v>
      </c>
      <c r="U1248" s="76">
        <f t="shared" si="472"/>
        <v>1.0712000000000002</v>
      </c>
    </row>
    <row r="1249" spans="1:21" x14ac:dyDescent="0.25">
      <c r="A1249" s="71">
        <v>37</v>
      </c>
      <c r="B1249" s="72">
        <f t="shared" si="473"/>
        <v>46753</v>
      </c>
      <c r="C1249" s="73">
        <f t="shared" si="454"/>
        <v>46783</v>
      </c>
      <c r="D1249" s="67">
        <f t="shared" si="455"/>
        <v>31</v>
      </c>
      <c r="E1249" s="67">
        <f t="shared" si="456"/>
        <v>1</v>
      </c>
      <c r="F1249" s="74">
        <f t="shared" si="457"/>
        <v>46768.5</v>
      </c>
      <c r="G1249" s="67">
        <f t="shared" si="458"/>
        <v>24336</v>
      </c>
      <c r="H1249" s="75">
        <f t="shared" si="459"/>
        <v>1</v>
      </c>
      <c r="I1249" s="76">
        <f t="shared" si="460"/>
        <v>1.0712000000000002</v>
      </c>
      <c r="J1249" s="76">
        <f t="shared" si="461"/>
        <v>1.0712000000000002</v>
      </c>
      <c r="K1249" s="67">
        <f t="shared" si="462"/>
        <v>0</v>
      </c>
      <c r="L1249" s="67">
        <f t="shared" si="463"/>
        <v>0</v>
      </c>
      <c r="M1249" s="77">
        <f t="shared" si="464"/>
        <v>0</v>
      </c>
      <c r="N1249" s="76">
        <f t="shared" si="465"/>
        <v>1.0712000000000002</v>
      </c>
      <c r="O1249" s="77">
        <f t="shared" si="466"/>
        <v>0.9</v>
      </c>
      <c r="P1249" s="76">
        <f t="shared" si="467"/>
        <v>0</v>
      </c>
      <c r="Q1249" s="76">
        <f t="shared" si="468"/>
        <v>0</v>
      </c>
      <c r="R1249" s="76">
        <f t="shared" si="469"/>
        <v>1</v>
      </c>
      <c r="S1249" s="76">
        <f t="shared" si="470"/>
        <v>1.0479130434782611</v>
      </c>
      <c r="T1249" s="76">
        <f t="shared" si="471"/>
        <v>0.99525497098277993</v>
      </c>
      <c r="U1249" s="76">
        <f t="shared" si="472"/>
        <v>1.0712000000000002</v>
      </c>
    </row>
    <row r="1250" spans="1:21" x14ac:dyDescent="0.25">
      <c r="A1250" s="71">
        <v>38</v>
      </c>
      <c r="B1250" s="72">
        <f t="shared" si="473"/>
        <v>46784</v>
      </c>
      <c r="C1250" s="73">
        <f t="shared" si="454"/>
        <v>46812</v>
      </c>
      <c r="D1250" s="67">
        <f t="shared" si="455"/>
        <v>29</v>
      </c>
      <c r="E1250" s="67">
        <f t="shared" si="456"/>
        <v>2</v>
      </c>
      <c r="F1250" s="74">
        <f t="shared" si="457"/>
        <v>46798.5</v>
      </c>
      <c r="G1250" s="67">
        <f t="shared" si="458"/>
        <v>24337</v>
      </c>
      <c r="H1250" s="75">
        <f t="shared" si="459"/>
        <v>1</v>
      </c>
      <c r="I1250" s="76">
        <f t="shared" si="460"/>
        <v>1.0712000000000002</v>
      </c>
      <c r="J1250" s="76">
        <f t="shared" si="461"/>
        <v>1.0712000000000002</v>
      </c>
      <c r="K1250" s="67">
        <f t="shared" si="462"/>
        <v>0</v>
      </c>
      <c r="L1250" s="67">
        <f t="shared" si="463"/>
        <v>0</v>
      </c>
      <c r="M1250" s="77">
        <f t="shared" si="464"/>
        <v>0</v>
      </c>
      <c r="N1250" s="76">
        <f t="shared" si="465"/>
        <v>1.0712000000000002</v>
      </c>
      <c r="O1250" s="77">
        <f t="shared" si="466"/>
        <v>0.9</v>
      </c>
      <c r="P1250" s="76">
        <f t="shared" si="467"/>
        <v>0</v>
      </c>
      <c r="Q1250" s="76">
        <f t="shared" si="468"/>
        <v>0</v>
      </c>
      <c r="R1250" s="76">
        <f t="shared" si="469"/>
        <v>1</v>
      </c>
      <c r="S1250" s="76">
        <f t="shared" si="470"/>
        <v>1.0479130434782611</v>
      </c>
      <c r="T1250" s="76">
        <f t="shared" si="471"/>
        <v>0.99455332508800309</v>
      </c>
      <c r="U1250" s="76">
        <f t="shared" si="472"/>
        <v>1.0712000000000002</v>
      </c>
    </row>
    <row r="1251" spans="1:21" x14ac:dyDescent="0.25">
      <c r="A1251" s="71">
        <v>39</v>
      </c>
      <c r="B1251" s="72">
        <f t="shared" si="473"/>
        <v>46813</v>
      </c>
      <c r="C1251" s="73">
        <f t="shared" si="454"/>
        <v>46843</v>
      </c>
      <c r="D1251" s="67">
        <f t="shared" si="455"/>
        <v>31</v>
      </c>
      <c r="E1251" s="67">
        <f t="shared" si="456"/>
        <v>3</v>
      </c>
      <c r="F1251" s="74">
        <f t="shared" si="457"/>
        <v>46828.5</v>
      </c>
      <c r="G1251" s="67">
        <f t="shared" si="458"/>
        <v>24338</v>
      </c>
      <c r="H1251" s="75">
        <f t="shared" si="459"/>
        <v>1</v>
      </c>
      <c r="I1251" s="76">
        <f t="shared" si="460"/>
        <v>1.0712000000000002</v>
      </c>
      <c r="J1251" s="76">
        <f t="shared" si="461"/>
        <v>1.0712000000000002</v>
      </c>
      <c r="K1251" s="67">
        <f t="shared" si="462"/>
        <v>0</v>
      </c>
      <c r="L1251" s="67">
        <f t="shared" si="463"/>
        <v>0</v>
      </c>
      <c r="M1251" s="77">
        <f t="shared" si="464"/>
        <v>0</v>
      </c>
      <c r="N1251" s="76">
        <f t="shared" si="465"/>
        <v>1.0712000000000002</v>
      </c>
      <c r="O1251" s="77">
        <f t="shared" si="466"/>
        <v>0.9</v>
      </c>
      <c r="P1251" s="76">
        <f t="shared" si="467"/>
        <v>0</v>
      </c>
      <c r="Q1251" s="76">
        <f t="shared" si="468"/>
        <v>0</v>
      </c>
      <c r="R1251" s="76">
        <f t="shared" si="469"/>
        <v>1</v>
      </c>
      <c r="S1251" s="76">
        <f t="shared" si="470"/>
        <v>1.0479130434782611</v>
      </c>
      <c r="T1251" s="76">
        <f t="shared" si="471"/>
        <v>0.99385167919322603</v>
      </c>
      <c r="U1251" s="76">
        <f t="shared" si="472"/>
        <v>1.0712000000000002</v>
      </c>
    </row>
    <row r="1252" spans="1:21" x14ac:dyDescent="0.25">
      <c r="A1252" s="71">
        <v>40</v>
      </c>
      <c r="B1252" s="72">
        <f t="shared" si="473"/>
        <v>46844</v>
      </c>
      <c r="C1252" s="73">
        <f t="shared" si="454"/>
        <v>46873</v>
      </c>
      <c r="D1252" s="67">
        <f t="shared" si="455"/>
        <v>30</v>
      </c>
      <c r="E1252" s="67">
        <f t="shared" si="456"/>
        <v>4</v>
      </c>
      <c r="F1252" s="74">
        <f t="shared" si="457"/>
        <v>46859</v>
      </c>
      <c r="G1252" s="67">
        <f t="shared" si="458"/>
        <v>24339</v>
      </c>
      <c r="H1252" s="75">
        <f t="shared" si="459"/>
        <v>1</v>
      </c>
      <c r="I1252" s="76">
        <f t="shared" si="460"/>
        <v>1.0712000000000002</v>
      </c>
      <c r="J1252" s="76">
        <f t="shared" si="461"/>
        <v>1.0712000000000002</v>
      </c>
      <c r="K1252" s="67">
        <f t="shared" si="462"/>
        <v>0</v>
      </c>
      <c r="L1252" s="67">
        <f t="shared" si="463"/>
        <v>0</v>
      </c>
      <c r="M1252" s="77">
        <f t="shared" si="464"/>
        <v>0</v>
      </c>
      <c r="N1252" s="76">
        <f t="shared" si="465"/>
        <v>1.0712000000000002</v>
      </c>
      <c r="O1252" s="77">
        <f t="shared" si="466"/>
        <v>0.9</v>
      </c>
      <c r="P1252" s="76">
        <f t="shared" si="467"/>
        <v>0</v>
      </c>
      <c r="Q1252" s="76">
        <f t="shared" si="468"/>
        <v>0</v>
      </c>
      <c r="R1252" s="76">
        <f t="shared" si="469"/>
        <v>1</v>
      </c>
      <c r="S1252" s="76">
        <f t="shared" si="470"/>
        <v>1.0479130434782611</v>
      </c>
      <c r="T1252" s="76">
        <f t="shared" si="471"/>
        <v>0.99312624869184662</v>
      </c>
      <c r="U1252" s="76">
        <f t="shared" si="472"/>
        <v>1.0712000000000002</v>
      </c>
    </row>
    <row r="1253" spans="1:21" x14ac:dyDescent="0.25">
      <c r="A1253" s="71">
        <v>41</v>
      </c>
      <c r="B1253" s="72">
        <f t="shared" si="473"/>
        <v>46874</v>
      </c>
      <c r="C1253" s="73">
        <f t="shared" si="454"/>
        <v>46904</v>
      </c>
      <c r="D1253" s="67">
        <f t="shared" si="455"/>
        <v>31</v>
      </c>
      <c r="E1253" s="67">
        <f t="shared" si="456"/>
        <v>5</v>
      </c>
      <c r="F1253" s="74">
        <f t="shared" si="457"/>
        <v>46889.5</v>
      </c>
      <c r="G1253" s="67">
        <f t="shared" si="458"/>
        <v>24340</v>
      </c>
      <c r="H1253" s="75">
        <f t="shared" si="459"/>
        <v>1</v>
      </c>
      <c r="I1253" s="76">
        <f t="shared" si="460"/>
        <v>1.0712000000000002</v>
      </c>
      <c r="J1253" s="76">
        <f t="shared" si="461"/>
        <v>1.0712000000000002</v>
      </c>
      <c r="K1253" s="67">
        <f t="shared" si="462"/>
        <v>0</v>
      </c>
      <c r="L1253" s="67">
        <f t="shared" si="463"/>
        <v>0</v>
      </c>
      <c r="M1253" s="77">
        <f t="shared" si="464"/>
        <v>0</v>
      </c>
      <c r="N1253" s="76">
        <f t="shared" si="465"/>
        <v>1.0712000000000002</v>
      </c>
      <c r="O1253" s="77">
        <f t="shared" si="466"/>
        <v>0.9</v>
      </c>
      <c r="P1253" s="76">
        <f t="shared" si="467"/>
        <v>0</v>
      </c>
      <c r="Q1253" s="76">
        <f t="shared" si="468"/>
        <v>0</v>
      </c>
      <c r="R1253" s="76">
        <f t="shared" si="469"/>
        <v>1</v>
      </c>
      <c r="S1253" s="76">
        <f t="shared" si="470"/>
        <v>1.0479130434782611</v>
      </c>
      <c r="T1253" s="76">
        <f t="shared" si="471"/>
        <v>0.9924008181904671</v>
      </c>
      <c r="U1253" s="76">
        <f t="shared" si="472"/>
        <v>1.0712000000000002</v>
      </c>
    </row>
    <row r="1254" spans="1:21" x14ac:dyDescent="0.25">
      <c r="A1254" s="71">
        <v>42</v>
      </c>
      <c r="B1254" s="72">
        <f t="shared" si="473"/>
        <v>46905</v>
      </c>
      <c r="C1254" s="73">
        <f t="shared" si="454"/>
        <v>46934</v>
      </c>
      <c r="D1254" s="67">
        <f t="shared" si="455"/>
        <v>30</v>
      </c>
      <c r="E1254" s="67">
        <f t="shared" si="456"/>
        <v>6</v>
      </c>
      <c r="F1254" s="74">
        <f t="shared" si="457"/>
        <v>46920</v>
      </c>
      <c r="G1254" s="67">
        <f t="shared" si="458"/>
        <v>24341</v>
      </c>
      <c r="H1254" s="75">
        <f t="shared" si="459"/>
        <v>1</v>
      </c>
      <c r="I1254" s="76">
        <f t="shared" si="460"/>
        <v>1.0712000000000002</v>
      </c>
      <c r="J1254" s="76">
        <f t="shared" si="461"/>
        <v>1.0712000000000002</v>
      </c>
      <c r="K1254" s="67">
        <f t="shared" si="462"/>
        <v>0</v>
      </c>
      <c r="L1254" s="67">
        <f t="shared" si="463"/>
        <v>0</v>
      </c>
      <c r="M1254" s="77">
        <f t="shared" si="464"/>
        <v>0</v>
      </c>
      <c r="N1254" s="76">
        <f t="shared" si="465"/>
        <v>1.0712000000000002</v>
      </c>
      <c r="O1254" s="77">
        <f t="shared" si="466"/>
        <v>0.9</v>
      </c>
      <c r="P1254" s="76">
        <f t="shared" si="467"/>
        <v>0</v>
      </c>
      <c r="Q1254" s="76">
        <f t="shared" si="468"/>
        <v>0</v>
      </c>
      <c r="R1254" s="76">
        <f t="shared" si="469"/>
        <v>1</v>
      </c>
      <c r="S1254" s="76">
        <f t="shared" si="470"/>
        <v>1.0479130434782611</v>
      </c>
      <c r="T1254" s="76">
        <f t="shared" si="471"/>
        <v>0.99167538768908758</v>
      </c>
      <c r="U1254" s="76">
        <f t="shared" si="472"/>
        <v>1.0712000000000002</v>
      </c>
    </row>
    <row r="1255" spans="1:21" x14ac:dyDescent="0.25">
      <c r="A1255" s="71">
        <v>43</v>
      </c>
      <c r="B1255" s="72">
        <f t="shared" si="473"/>
        <v>46935</v>
      </c>
      <c r="C1255" s="73">
        <f t="shared" si="454"/>
        <v>46965</v>
      </c>
      <c r="D1255" s="67">
        <f t="shared" si="455"/>
        <v>31</v>
      </c>
      <c r="E1255" s="67">
        <f t="shared" si="456"/>
        <v>7</v>
      </c>
      <c r="F1255" s="74">
        <f t="shared" si="457"/>
        <v>46950.5</v>
      </c>
      <c r="G1255" s="67">
        <f t="shared" si="458"/>
        <v>24342</v>
      </c>
      <c r="H1255" s="75">
        <f t="shared" si="459"/>
        <v>1</v>
      </c>
      <c r="I1255" s="76">
        <f t="shared" si="460"/>
        <v>1.0712000000000002</v>
      </c>
      <c r="J1255" s="76">
        <f t="shared" si="461"/>
        <v>1.0712000000000002</v>
      </c>
      <c r="K1255" s="67">
        <f t="shared" si="462"/>
        <v>0</v>
      </c>
      <c r="L1255" s="67">
        <f t="shared" si="463"/>
        <v>0</v>
      </c>
      <c r="M1255" s="77">
        <f t="shared" si="464"/>
        <v>0</v>
      </c>
      <c r="N1255" s="76">
        <f t="shared" si="465"/>
        <v>1.0712000000000002</v>
      </c>
      <c r="O1255" s="77">
        <f t="shared" si="466"/>
        <v>0.9</v>
      </c>
      <c r="P1255" s="76">
        <f t="shared" si="467"/>
        <v>0</v>
      </c>
      <c r="Q1255" s="76">
        <f t="shared" si="468"/>
        <v>0</v>
      </c>
      <c r="R1255" s="76">
        <f t="shared" si="469"/>
        <v>0.91666666666666663</v>
      </c>
      <c r="S1255" s="76">
        <f t="shared" si="470"/>
        <v>1.0479130434782611</v>
      </c>
      <c r="T1255" s="76">
        <f t="shared" si="471"/>
        <v>0.99094995718770806</v>
      </c>
      <c r="U1255" s="76">
        <f t="shared" si="472"/>
        <v>1.0712000000000002</v>
      </c>
    </row>
    <row r="1256" spans="1:21" x14ac:dyDescent="0.25">
      <c r="A1256" s="71">
        <v>44</v>
      </c>
      <c r="B1256" s="72">
        <f t="shared" si="473"/>
        <v>46966</v>
      </c>
      <c r="C1256" s="73">
        <f t="shared" si="454"/>
        <v>46996</v>
      </c>
      <c r="D1256" s="67">
        <f t="shared" si="455"/>
        <v>31</v>
      </c>
      <c r="E1256" s="67">
        <f t="shared" si="456"/>
        <v>8</v>
      </c>
      <c r="F1256" s="74">
        <f t="shared" si="457"/>
        <v>46981.5</v>
      </c>
      <c r="G1256" s="67">
        <f t="shared" si="458"/>
        <v>24343</v>
      </c>
      <c r="H1256" s="75">
        <f t="shared" si="459"/>
        <v>1</v>
      </c>
      <c r="I1256" s="76">
        <f t="shared" si="460"/>
        <v>1.0712000000000002</v>
      </c>
      <c r="J1256" s="76">
        <f t="shared" si="461"/>
        <v>1.0712000000000002</v>
      </c>
      <c r="K1256" s="67">
        <f t="shared" si="462"/>
        <v>0</v>
      </c>
      <c r="L1256" s="67">
        <f t="shared" si="463"/>
        <v>0</v>
      </c>
      <c r="M1256" s="77">
        <f t="shared" si="464"/>
        <v>0</v>
      </c>
      <c r="N1256" s="76">
        <f t="shared" si="465"/>
        <v>1.0712000000000002</v>
      </c>
      <c r="O1256" s="77">
        <f t="shared" si="466"/>
        <v>0.9</v>
      </c>
      <c r="P1256" s="76">
        <f t="shared" si="467"/>
        <v>0</v>
      </c>
      <c r="Q1256" s="76">
        <f t="shared" si="468"/>
        <v>0</v>
      </c>
      <c r="R1256" s="76">
        <f t="shared" si="469"/>
        <v>0.75</v>
      </c>
      <c r="S1256" s="76">
        <f t="shared" si="470"/>
        <v>1.0479130434782611</v>
      </c>
      <c r="T1256" s="76">
        <f t="shared" si="471"/>
        <v>0.99021263438302731</v>
      </c>
      <c r="U1256" s="76">
        <f t="shared" si="472"/>
        <v>1.0712000000000002</v>
      </c>
    </row>
    <row r="1257" spans="1:21" x14ac:dyDescent="0.25">
      <c r="A1257" s="71">
        <v>45</v>
      </c>
      <c r="B1257" s="72">
        <f t="shared" si="473"/>
        <v>46997</v>
      </c>
      <c r="C1257" s="73">
        <f t="shared" si="454"/>
        <v>47026</v>
      </c>
      <c r="D1257" s="67">
        <f t="shared" si="455"/>
        <v>30</v>
      </c>
      <c r="E1257" s="67">
        <f t="shared" si="456"/>
        <v>9</v>
      </c>
      <c r="F1257" s="74">
        <f t="shared" si="457"/>
        <v>47012</v>
      </c>
      <c r="G1257" s="67">
        <f t="shared" si="458"/>
        <v>24344</v>
      </c>
      <c r="H1257" s="75">
        <f t="shared" si="459"/>
        <v>1</v>
      </c>
      <c r="I1257" s="76">
        <f t="shared" si="460"/>
        <v>1.0712000000000002</v>
      </c>
      <c r="J1257" s="76">
        <f t="shared" si="461"/>
        <v>1.0712000000000002</v>
      </c>
      <c r="K1257" s="67">
        <f t="shared" si="462"/>
        <v>0</v>
      </c>
      <c r="L1257" s="67">
        <f t="shared" si="463"/>
        <v>0</v>
      </c>
      <c r="M1257" s="77">
        <f t="shared" si="464"/>
        <v>0</v>
      </c>
      <c r="N1257" s="76">
        <f t="shared" si="465"/>
        <v>1.0712000000000002</v>
      </c>
      <c r="O1257" s="77">
        <f t="shared" si="466"/>
        <v>0.9</v>
      </c>
      <c r="P1257" s="76">
        <f t="shared" si="467"/>
        <v>0</v>
      </c>
      <c r="Q1257" s="76">
        <f t="shared" si="468"/>
        <v>0</v>
      </c>
      <c r="R1257" s="76">
        <f t="shared" si="469"/>
        <v>0.58333333333333337</v>
      </c>
      <c r="S1257" s="76">
        <f t="shared" si="470"/>
        <v>1.0479130434782611</v>
      </c>
      <c r="T1257" s="76">
        <f t="shared" si="471"/>
        <v>0.98948720388164779</v>
      </c>
      <c r="U1257" s="76">
        <f t="shared" si="472"/>
        <v>1.0712000000000002</v>
      </c>
    </row>
    <row r="1258" spans="1:21" x14ac:dyDescent="0.25">
      <c r="A1258" s="71">
        <v>46</v>
      </c>
      <c r="B1258" s="72">
        <f t="shared" si="473"/>
        <v>47027</v>
      </c>
      <c r="C1258" s="73">
        <f t="shared" si="454"/>
        <v>47057</v>
      </c>
      <c r="D1258" s="67">
        <f t="shared" si="455"/>
        <v>31</v>
      </c>
      <c r="E1258" s="67">
        <f t="shared" si="456"/>
        <v>10</v>
      </c>
      <c r="F1258" s="74">
        <f t="shared" si="457"/>
        <v>47042.5</v>
      </c>
      <c r="G1258" s="67">
        <f t="shared" si="458"/>
        <v>24345</v>
      </c>
      <c r="H1258" s="75">
        <f t="shared" si="459"/>
        <v>1</v>
      </c>
      <c r="I1258" s="76">
        <f t="shared" si="460"/>
        <v>1.0712000000000002</v>
      </c>
      <c r="J1258" s="76">
        <f t="shared" si="461"/>
        <v>1.0712000000000002</v>
      </c>
      <c r="K1258" s="67">
        <f t="shared" si="462"/>
        <v>0</v>
      </c>
      <c r="L1258" s="67">
        <f t="shared" si="463"/>
        <v>0</v>
      </c>
      <c r="M1258" s="77">
        <f t="shared" si="464"/>
        <v>0</v>
      </c>
      <c r="N1258" s="76">
        <f t="shared" si="465"/>
        <v>1.0712000000000002</v>
      </c>
      <c r="O1258" s="77">
        <f t="shared" si="466"/>
        <v>0.9</v>
      </c>
      <c r="P1258" s="76">
        <f t="shared" si="467"/>
        <v>0</v>
      </c>
      <c r="Q1258" s="76">
        <f t="shared" si="468"/>
        <v>0</v>
      </c>
      <c r="R1258" s="76">
        <f t="shared" si="469"/>
        <v>0.41666666666666669</v>
      </c>
      <c r="S1258" s="76">
        <f t="shared" si="470"/>
        <v>1.0479130434782611</v>
      </c>
      <c r="T1258" s="76">
        <f t="shared" si="471"/>
        <v>1.0184246265816763</v>
      </c>
      <c r="U1258" s="76">
        <f t="shared" si="472"/>
        <v>1.0712000000000002</v>
      </c>
    </row>
    <row r="1259" spans="1:21" x14ac:dyDescent="0.25">
      <c r="A1259" s="71">
        <v>47</v>
      </c>
      <c r="B1259" s="72">
        <f t="shared" si="473"/>
        <v>47058</v>
      </c>
      <c r="C1259" s="73">
        <f t="shared" si="454"/>
        <v>47087</v>
      </c>
      <c r="D1259" s="67">
        <f t="shared" si="455"/>
        <v>30</v>
      </c>
      <c r="E1259" s="67">
        <f t="shared" si="456"/>
        <v>11</v>
      </c>
      <c r="F1259" s="74">
        <f t="shared" si="457"/>
        <v>47073</v>
      </c>
      <c r="G1259" s="67">
        <f t="shared" si="458"/>
        <v>24346</v>
      </c>
      <c r="H1259" s="75">
        <f t="shared" si="459"/>
        <v>1</v>
      </c>
      <c r="I1259" s="76">
        <f t="shared" si="460"/>
        <v>1.0712000000000002</v>
      </c>
      <c r="J1259" s="76">
        <f t="shared" si="461"/>
        <v>1.0712000000000002</v>
      </c>
      <c r="K1259" s="67">
        <f t="shared" si="462"/>
        <v>0</v>
      </c>
      <c r="L1259" s="67">
        <f t="shared" si="463"/>
        <v>0</v>
      </c>
      <c r="M1259" s="77">
        <f t="shared" si="464"/>
        <v>0</v>
      </c>
      <c r="N1259" s="76">
        <f t="shared" si="465"/>
        <v>1.0712000000000002</v>
      </c>
      <c r="O1259" s="77">
        <f t="shared" si="466"/>
        <v>0.9</v>
      </c>
      <c r="P1259" s="76">
        <f t="shared" si="467"/>
        <v>0</v>
      </c>
      <c r="Q1259" s="76">
        <f t="shared" si="468"/>
        <v>0</v>
      </c>
      <c r="R1259" s="76">
        <f t="shared" si="469"/>
        <v>0.25</v>
      </c>
      <c r="S1259" s="76">
        <f t="shared" si="470"/>
        <v>1.0479130434782611</v>
      </c>
      <c r="T1259" s="76">
        <f t="shared" si="471"/>
        <v>1.0176774331652554</v>
      </c>
      <c r="U1259" s="76">
        <f t="shared" si="472"/>
        <v>1.0712000000000002</v>
      </c>
    </row>
    <row r="1260" spans="1:21" x14ac:dyDescent="0.25">
      <c r="A1260" s="71">
        <v>48</v>
      </c>
      <c r="B1260" s="72">
        <f t="shared" si="473"/>
        <v>47088</v>
      </c>
      <c r="C1260" s="73">
        <f t="shared" si="454"/>
        <v>47118</v>
      </c>
      <c r="D1260" s="67">
        <f t="shared" si="455"/>
        <v>31</v>
      </c>
      <c r="E1260" s="67">
        <f t="shared" si="456"/>
        <v>12</v>
      </c>
      <c r="F1260" s="74">
        <f t="shared" si="457"/>
        <v>47103.5</v>
      </c>
      <c r="G1260" s="67">
        <f t="shared" si="458"/>
        <v>24347</v>
      </c>
      <c r="H1260" s="75">
        <f t="shared" si="459"/>
        <v>1</v>
      </c>
      <c r="I1260" s="76">
        <f t="shared" si="460"/>
        <v>1.0712000000000002</v>
      </c>
      <c r="J1260" s="76">
        <f t="shared" si="461"/>
        <v>1.0712000000000002</v>
      </c>
      <c r="K1260" s="67">
        <f t="shared" si="462"/>
        <v>0</v>
      </c>
      <c r="L1260" s="67">
        <f t="shared" si="463"/>
        <v>0</v>
      </c>
      <c r="M1260" s="77">
        <f t="shared" si="464"/>
        <v>0</v>
      </c>
      <c r="N1260" s="76">
        <f t="shared" si="465"/>
        <v>1.0712000000000002</v>
      </c>
      <c r="O1260" s="77">
        <f t="shared" si="466"/>
        <v>0.9</v>
      </c>
      <c r="P1260" s="76">
        <f t="shared" si="467"/>
        <v>0</v>
      </c>
      <c r="Q1260" s="76">
        <f t="shared" si="468"/>
        <v>0</v>
      </c>
      <c r="R1260" s="76">
        <f t="shared" si="469"/>
        <v>8.3333333333333329E-2</v>
      </c>
      <c r="S1260" s="76">
        <f t="shared" si="470"/>
        <v>1.0479130434782611</v>
      </c>
      <c r="T1260" s="76">
        <f t="shared" si="471"/>
        <v>1.0169302397488347</v>
      </c>
      <c r="U1260" s="76">
        <f t="shared" si="472"/>
        <v>1.0712000000000002</v>
      </c>
    </row>
    <row r="1261" spans="1:21" x14ac:dyDescent="0.25">
      <c r="A1261" s="81" t="s">
        <v>1187</v>
      </c>
      <c r="B1261" s="53">
        <f>EXP(SUMPRODUCT((rl_key=$A$1210)*(rl_cons="Y")*rl_ln1p))</f>
        <v>1.03</v>
      </c>
      <c r="C1261" s="53">
        <f>SUMPRODUCT($H$1213:$H$1260,$P$1213:$P$1260,$U$1213:$U$1260)/SUMPRODUCT($H$1213:$H$1260,$P$1213:$P$1260)</f>
        <v>1.0018750000000001</v>
      </c>
      <c r="D1261" s="53">
        <f>SUMPRODUCT($H$1213:$H$1260,$Q$1213:$Q$1260,$U$1213:$U$1260)/SUMPRODUCT($H$1213:$H$1260,$Q$1213:$Q$1260)</f>
        <v>1.0555916666666669</v>
      </c>
      <c r="E1261" s="53">
        <f>SUMPRODUCT($H$1213:$H$1260,$R$1213:$R$1260,$U$1213:$U$1260)/SUMPRODUCT($H$1213:$H$1260,$R$1213:$R$1260)</f>
        <v>1.0712000000000004</v>
      </c>
      <c r="F1261" s="172">
        <f>SUMPRODUCT($H$1213:$H$1260,$Q$1213:$Q$1260,$O$1213:$O$1260)/SUMPRODUCT($H$1213:$H$1260,$Q$1213:$Q$1260)</f>
        <v>0.90600747629467537</v>
      </c>
      <c r="G1261" s="172">
        <f>SUMPRODUCT($H$1213:$H$1260,$R$1213:$R$1260,$O$1213:$O$1260)/SUMPRODUCT($H$1213:$H$1260,$R$1213:$R$1260)</f>
        <v>0.90033977631898854</v>
      </c>
    </row>
    <row r="1264" spans="1:21" x14ac:dyDescent="0.25">
      <c r="A1264" s="81" t="str">
        <f>INDEX(lr_key,23)</f>
        <v>BU-B|CA</v>
      </c>
      <c r="B1264" s="81" t="str">
        <f>INDEX(lr_state,23)</f>
        <v>CA</v>
      </c>
      <c r="C1264" s="55">
        <f>nr_TermMonths</f>
        <v>6</v>
      </c>
      <c r="D1264" s="55">
        <f>IF(COUNTIF(se_state,$B1264)=0,0,MATCH($B1264,se_state,0))</f>
        <v>0</v>
      </c>
      <c r="E1264" s="57">
        <f>IF($D1264=0,0,INDEX(se_sum,$D1264))</f>
        <v>0</v>
      </c>
      <c r="F1264" s="172">
        <f>IF(N(INDEX(lr_mind,23))=0,1,INDEX(lr_mind,23))</f>
        <v>0.92</v>
      </c>
      <c r="G1264" s="172">
        <f>IF(N(INDEX(lr_m0,23))=0,1,INDEX(lr_m0,23))</f>
        <v>0.91</v>
      </c>
      <c r="H1264" s="54">
        <f>IF(N(INDEX(lr_m0asof,23))=0,DATE(nr_PlanYear-1,10,1),INDEX(lr_m0asof,23))</f>
        <v>46295</v>
      </c>
      <c r="I1264" s="172">
        <f>IF(N(INDEX(lr_m1,23))=0,1,INDEX(lr_m1,23))</f>
        <v>0.91500000000000004</v>
      </c>
      <c r="J1264" s="172">
        <f>INDEX(lr_mprior,23)</f>
        <v>0</v>
      </c>
      <c r="K1264" s="172">
        <f>INDEX(lr_m2,23)</f>
        <v>0</v>
      </c>
      <c r="L1264" s="81" t="b">
        <f>NOT(ISBLANK(INDEX(lr_netp,23)))</f>
        <v>0</v>
      </c>
      <c r="M1264" s="52">
        <f>N(INDEX(lr_netp,23))</f>
        <v>0</v>
      </c>
      <c r="N1264" s="52">
        <f>IF(ISBLANK(INDEX(lr_netp1,23)),$M$1264,N(INDEX(lr_netp1,23)))</f>
        <v>0</v>
      </c>
      <c r="O1264" s="55">
        <f>IF(AND(nr_ModAdjMaster="ON",INDEX(lr_modadj,23)="ON"),1,0)</f>
        <v>1</v>
      </c>
    </row>
    <row r="1265" spans="1:21" x14ac:dyDescent="0.25">
      <c r="A1265" s="81">
        <f>EDATE($H$1264,-12)+1</f>
        <v>45931</v>
      </c>
      <c r="B1265" s="81">
        <f>$H$1264+1</f>
        <v>46296</v>
      </c>
      <c r="C1265" s="81">
        <f>DATE(nr_PlanYear,12,31)+1</f>
        <v>46753</v>
      </c>
      <c r="D1265" s="81">
        <f>DATE(nr_PlanYear+1,12,31)+1</f>
        <v>47119</v>
      </c>
      <c r="E1265" s="81">
        <f>IF(N($J$1264)=0,$F$1265-($G$1265-$F$1265)/($C$1265-$B$1265)*($B$1265-$A$1265),$J$1264)</f>
        <v>0.90600656455142237</v>
      </c>
      <c r="F1265" s="81">
        <f>$G$1264</f>
        <v>0.91</v>
      </c>
      <c r="G1265" s="81">
        <f>$I$1264</f>
        <v>0.91500000000000004</v>
      </c>
      <c r="H1265" s="81">
        <f>IF(N($K$1264)=0,$I$1264,$K$1264)</f>
        <v>0.91500000000000004</v>
      </c>
      <c r="I1265" s="81">
        <f>($F$1265-$E$1265)/($B$1265-$A$1265)</f>
        <v>1.0940919037199081E-5</v>
      </c>
      <c r="J1265" s="81">
        <f>($G$1265-$F$1265)/($C$1265-$B$1265)</f>
        <v>1.0940919037199135E-5</v>
      </c>
      <c r="K1265" s="81">
        <f>($H$1265-$G$1265)/($D$1265-$C$1265)</f>
        <v>0</v>
      </c>
    </row>
    <row r="1266" spans="1:21" ht="36" x14ac:dyDescent="0.25">
      <c r="A1266" s="50" t="s">
        <v>211</v>
      </c>
      <c r="B1266" s="50" t="s">
        <v>212</v>
      </c>
      <c r="C1266" s="50" t="s">
        <v>213</v>
      </c>
      <c r="D1266" s="50" t="s">
        <v>214</v>
      </c>
      <c r="E1266" s="50" t="s">
        <v>215</v>
      </c>
      <c r="F1266" s="50" t="s">
        <v>216</v>
      </c>
      <c r="G1266" s="50" t="s">
        <v>217</v>
      </c>
      <c r="H1266" s="50" t="s">
        <v>218</v>
      </c>
      <c r="I1266" s="50" t="s">
        <v>219</v>
      </c>
      <c r="J1266" s="50" t="s">
        <v>220</v>
      </c>
      <c r="K1266" s="50" t="s">
        <v>221</v>
      </c>
      <c r="L1266" s="50" t="s">
        <v>222</v>
      </c>
      <c r="M1266" s="50" t="s">
        <v>223</v>
      </c>
      <c r="N1266" s="50" t="s">
        <v>224</v>
      </c>
      <c r="O1266" s="50" t="s">
        <v>225</v>
      </c>
      <c r="P1266" s="50" t="s">
        <v>226</v>
      </c>
      <c r="Q1266" s="50" t="s">
        <v>227</v>
      </c>
      <c r="R1266" s="50" t="s">
        <v>228</v>
      </c>
      <c r="S1266" s="50" t="s">
        <v>229</v>
      </c>
      <c r="T1266" s="50" t="s">
        <v>230</v>
      </c>
      <c r="U1266" s="50" t="s">
        <v>231</v>
      </c>
    </row>
    <row r="1267" spans="1:21" x14ac:dyDescent="0.25">
      <c r="A1267" s="71">
        <v>1</v>
      </c>
      <c r="B1267" s="72">
        <f>DATE(nr_PlanYear-2,1,1)</f>
        <v>45658</v>
      </c>
      <c r="C1267" s="73">
        <f t="shared" ref="C1267:C1314" si="474">EOMONTH($B1267,0)</f>
        <v>45688</v>
      </c>
      <c r="D1267" s="67">
        <f t="shared" ref="D1267:D1314" si="475">$C1267-$B1267+1</f>
        <v>31</v>
      </c>
      <c r="E1267" s="67">
        <f t="shared" ref="E1267:E1314" si="476">MONTH($B1267)</f>
        <v>1</v>
      </c>
      <c r="F1267" s="74">
        <f t="shared" ref="F1267:F1314" si="477">($B1267+$C1267+1)/2</f>
        <v>45673.5</v>
      </c>
      <c r="G1267" s="67">
        <f t="shared" ref="G1267:G1314" si="478">YEAR($B1267)*12+MONTH($B1267)-1</f>
        <v>24300</v>
      </c>
      <c r="H1267" s="75">
        <f t="shared" ref="H1267:H1314" si="479">IF(OR(nr_SeasonOn="OFF",$D$1264=0,$E$1264=0),1,12*INDEX(se_block,$D$1264,$E1267)/$E$1264)</f>
        <v>1</v>
      </c>
      <c r="I1267" s="76">
        <f t="shared" ref="I1267:I1314" si="480">EXP(SUMPRODUCT((rl_eff&lt;$B1267)*(rl_key=$A$1264)*rl_ln1p))</f>
        <v>1</v>
      </c>
      <c r="J1267" s="76">
        <f t="shared" ref="J1267:J1314" si="481">EXP(SUMPRODUCT((rl_eff&lt;=$C1267)*(rl_key=$A$1264)*rl_ln1p))</f>
        <v>1</v>
      </c>
      <c r="K1267" s="67">
        <f t="shared" ref="K1267:K1314" si="482">COUNTIFS(rl_key,$A$1264,rl_eff,"&gt;="&amp;$B1267,rl_eff,"&lt;="&amp;$C1267)</f>
        <v>0</v>
      </c>
      <c r="L1267" s="67">
        <f t="shared" ref="L1267:L1314" si="483">SUMIFS(rl_daysafter,rl_key,$A$1264,rl_effmonth,$B1267,rl_first,1)</f>
        <v>0</v>
      </c>
      <c r="M1267" s="77">
        <f t="shared" ref="M1267:M1314" si="484">IF($K1267=0,0,MIN(1,$L1267/$D1267))</f>
        <v>0</v>
      </c>
      <c r="N1267" s="76">
        <f t="shared" ref="N1267:N1314" si="485">IF($K1267=0,$J1267,(1-$M1267)*$I1267+$M1267*$J1267)</f>
        <v>1</v>
      </c>
      <c r="O1267" s="77">
        <f t="shared" ref="O1267:O1314" si="486">IF($F1267&lt;$B$1265,$E$1265+$I$1265*($F1267-$A$1265),IF($F1267&lt;$C$1265,$F$1265+$J$1265*($F1267-$B$1265),$G$1265+$K$1265*($F1267-$C$1265)))</f>
        <v>0.90318927789934356</v>
      </c>
      <c r="P1267" s="76">
        <f t="shared" ref="P1267:P1314" si="487">MIN(1,MAX(0,(nr_MEndPm1-$G1267+0.5)/$C$1264))-MIN(1,MAX(0,(nr_MStartPm1-1-$G1267+0.5)/$C$1264))</f>
        <v>0</v>
      </c>
      <c r="Q1267" s="76">
        <f t="shared" ref="Q1267:Q1314" si="488">MIN(1,MAX(0,(nr_MEndP-$G1267+0.5)/$C$1264))-MIN(1,MAX(0,(nr_MStartP-1-$G1267+0.5)/$C$1264))</f>
        <v>0</v>
      </c>
      <c r="R1267" s="76">
        <f t="shared" ref="R1267:R1314" si="489">MIN(1,MAX(0,(nr_MEndP1-$G1267+0.5)/$C$1264))-MIN(1,MAX(0,(nr_MStartP1-1-$G1267+0.5)/$C$1264))</f>
        <v>0</v>
      </c>
      <c r="S1267" s="76">
        <f t="shared" ref="S1267:S1314" si="490">$N1267*IF($O$1264=1,$O1267/$F$1264,1)</f>
        <v>0.98172747597754728</v>
      </c>
      <c r="T1267" s="76">
        <f t="shared" ref="T1267:T1314" si="491">IF($G1267&lt;nr_MStartP,$S1267,$T1255*(1+IF($G1267&lt;nr_MStartP1,$M$1264,$N$1264)))</f>
        <v>0.98172747597754728</v>
      </c>
      <c r="U1267" s="76">
        <f t="shared" ref="U1267:U1314" si="492">IF($L$1264,$T1267,$N1267)</f>
        <v>1</v>
      </c>
    </row>
    <row r="1268" spans="1:21" x14ac:dyDescent="0.25">
      <c r="A1268" s="71">
        <v>2</v>
      </c>
      <c r="B1268" s="72">
        <f t="shared" ref="B1268:B1314" si="493">EDATE($B1267,1)</f>
        <v>45689</v>
      </c>
      <c r="C1268" s="73">
        <f t="shared" si="474"/>
        <v>45716</v>
      </c>
      <c r="D1268" s="67">
        <f t="shared" si="475"/>
        <v>28</v>
      </c>
      <c r="E1268" s="67">
        <f t="shared" si="476"/>
        <v>2</v>
      </c>
      <c r="F1268" s="74">
        <f t="shared" si="477"/>
        <v>45703</v>
      </c>
      <c r="G1268" s="67">
        <f t="shared" si="478"/>
        <v>24301</v>
      </c>
      <c r="H1268" s="75">
        <f t="shared" si="479"/>
        <v>1</v>
      </c>
      <c r="I1268" s="76">
        <f t="shared" si="480"/>
        <v>1</v>
      </c>
      <c r="J1268" s="76">
        <f t="shared" si="481"/>
        <v>1</v>
      </c>
      <c r="K1268" s="67">
        <f t="shared" si="482"/>
        <v>0</v>
      </c>
      <c r="L1268" s="67">
        <f t="shared" si="483"/>
        <v>0</v>
      </c>
      <c r="M1268" s="77">
        <f t="shared" si="484"/>
        <v>0</v>
      </c>
      <c r="N1268" s="76">
        <f t="shared" si="485"/>
        <v>1</v>
      </c>
      <c r="O1268" s="77">
        <f t="shared" si="486"/>
        <v>0.90351203501094102</v>
      </c>
      <c r="P1268" s="76">
        <f t="shared" si="487"/>
        <v>0</v>
      </c>
      <c r="Q1268" s="76">
        <f t="shared" si="488"/>
        <v>0</v>
      </c>
      <c r="R1268" s="76">
        <f t="shared" si="489"/>
        <v>0</v>
      </c>
      <c r="S1268" s="76">
        <f t="shared" si="490"/>
        <v>0.98207829892493581</v>
      </c>
      <c r="T1268" s="76">
        <f t="shared" si="491"/>
        <v>0.98207829892493581</v>
      </c>
      <c r="U1268" s="76">
        <f t="shared" si="492"/>
        <v>1</v>
      </c>
    </row>
    <row r="1269" spans="1:21" x14ac:dyDescent="0.25">
      <c r="A1269" s="71">
        <v>3</v>
      </c>
      <c r="B1269" s="72">
        <f t="shared" si="493"/>
        <v>45717</v>
      </c>
      <c r="C1269" s="73">
        <f t="shared" si="474"/>
        <v>45747</v>
      </c>
      <c r="D1269" s="67">
        <f t="shared" si="475"/>
        <v>31</v>
      </c>
      <c r="E1269" s="67">
        <f t="shared" si="476"/>
        <v>3</v>
      </c>
      <c r="F1269" s="74">
        <f t="shared" si="477"/>
        <v>45732.5</v>
      </c>
      <c r="G1269" s="67">
        <f t="shared" si="478"/>
        <v>24302</v>
      </c>
      <c r="H1269" s="75">
        <f t="shared" si="479"/>
        <v>1</v>
      </c>
      <c r="I1269" s="76">
        <f t="shared" si="480"/>
        <v>1</v>
      </c>
      <c r="J1269" s="76">
        <f t="shared" si="481"/>
        <v>1</v>
      </c>
      <c r="K1269" s="67">
        <f t="shared" si="482"/>
        <v>0</v>
      </c>
      <c r="L1269" s="67">
        <f t="shared" si="483"/>
        <v>0</v>
      </c>
      <c r="M1269" s="77">
        <f t="shared" si="484"/>
        <v>0</v>
      </c>
      <c r="N1269" s="76">
        <f t="shared" si="485"/>
        <v>1</v>
      </c>
      <c r="O1269" s="77">
        <f t="shared" si="486"/>
        <v>0.90383479212253837</v>
      </c>
      <c r="P1269" s="76">
        <f t="shared" si="487"/>
        <v>0</v>
      </c>
      <c r="Q1269" s="76">
        <f t="shared" si="488"/>
        <v>0</v>
      </c>
      <c r="R1269" s="76">
        <f t="shared" si="489"/>
        <v>0</v>
      </c>
      <c r="S1269" s="76">
        <f t="shared" si="490"/>
        <v>0.98242912187232423</v>
      </c>
      <c r="T1269" s="76">
        <f t="shared" si="491"/>
        <v>0.98242912187232423</v>
      </c>
      <c r="U1269" s="76">
        <f t="shared" si="492"/>
        <v>1</v>
      </c>
    </row>
    <row r="1270" spans="1:21" x14ac:dyDescent="0.25">
      <c r="A1270" s="71">
        <v>4</v>
      </c>
      <c r="B1270" s="72">
        <f t="shared" si="493"/>
        <v>45748</v>
      </c>
      <c r="C1270" s="73">
        <f t="shared" si="474"/>
        <v>45777</v>
      </c>
      <c r="D1270" s="67">
        <f t="shared" si="475"/>
        <v>30</v>
      </c>
      <c r="E1270" s="67">
        <f t="shared" si="476"/>
        <v>4</v>
      </c>
      <c r="F1270" s="74">
        <f t="shared" si="477"/>
        <v>45763</v>
      </c>
      <c r="G1270" s="67">
        <f t="shared" si="478"/>
        <v>24303</v>
      </c>
      <c r="H1270" s="75">
        <f t="shared" si="479"/>
        <v>1</v>
      </c>
      <c r="I1270" s="76">
        <f t="shared" si="480"/>
        <v>1</v>
      </c>
      <c r="J1270" s="76">
        <f t="shared" si="481"/>
        <v>1</v>
      </c>
      <c r="K1270" s="67">
        <f t="shared" si="482"/>
        <v>0</v>
      </c>
      <c r="L1270" s="67">
        <f t="shared" si="483"/>
        <v>0</v>
      </c>
      <c r="M1270" s="77">
        <f t="shared" si="484"/>
        <v>0</v>
      </c>
      <c r="N1270" s="76">
        <f t="shared" si="485"/>
        <v>1</v>
      </c>
      <c r="O1270" s="77">
        <f t="shared" si="486"/>
        <v>0.90416849015317291</v>
      </c>
      <c r="P1270" s="76">
        <f t="shared" si="487"/>
        <v>0</v>
      </c>
      <c r="Q1270" s="76">
        <f t="shared" si="488"/>
        <v>0</v>
      </c>
      <c r="R1270" s="76">
        <f t="shared" si="489"/>
        <v>0</v>
      </c>
      <c r="S1270" s="76">
        <f t="shared" si="490"/>
        <v>0.98279183712301399</v>
      </c>
      <c r="T1270" s="76">
        <f t="shared" si="491"/>
        <v>0.98279183712301399</v>
      </c>
      <c r="U1270" s="76">
        <f t="shared" si="492"/>
        <v>1</v>
      </c>
    </row>
    <row r="1271" spans="1:21" x14ac:dyDescent="0.25">
      <c r="A1271" s="71">
        <v>5</v>
      </c>
      <c r="B1271" s="72">
        <f t="shared" si="493"/>
        <v>45778</v>
      </c>
      <c r="C1271" s="73">
        <f t="shared" si="474"/>
        <v>45808</v>
      </c>
      <c r="D1271" s="67">
        <f t="shared" si="475"/>
        <v>31</v>
      </c>
      <c r="E1271" s="67">
        <f t="shared" si="476"/>
        <v>5</v>
      </c>
      <c r="F1271" s="74">
        <f t="shared" si="477"/>
        <v>45793.5</v>
      </c>
      <c r="G1271" s="67">
        <f t="shared" si="478"/>
        <v>24304</v>
      </c>
      <c r="H1271" s="75">
        <f t="shared" si="479"/>
        <v>1</v>
      </c>
      <c r="I1271" s="76">
        <f t="shared" si="480"/>
        <v>1</v>
      </c>
      <c r="J1271" s="76">
        <f t="shared" si="481"/>
        <v>1</v>
      </c>
      <c r="K1271" s="67">
        <f t="shared" si="482"/>
        <v>0</v>
      </c>
      <c r="L1271" s="67">
        <f t="shared" si="483"/>
        <v>0</v>
      </c>
      <c r="M1271" s="77">
        <f t="shared" si="484"/>
        <v>0</v>
      </c>
      <c r="N1271" s="76">
        <f t="shared" si="485"/>
        <v>1</v>
      </c>
      <c r="O1271" s="77">
        <f t="shared" si="486"/>
        <v>0.90450218818380745</v>
      </c>
      <c r="P1271" s="76">
        <f t="shared" si="487"/>
        <v>0</v>
      </c>
      <c r="Q1271" s="76">
        <f t="shared" si="488"/>
        <v>0</v>
      </c>
      <c r="R1271" s="76">
        <f t="shared" si="489"/>
        <v>0</v>
      </c>
      <c r="S1271" s="76">
        <f t="shared" si="490"/>
        <v>0.98315455237370375</v>
      </c>
      <c r="T1271" s="76">
        <f t="shared" si="491"/>
        <v>0.98315455237370375</v>
      </c>
      <c r="U1271" s="76">
        <f t="shared" si="492"/>
        <v>1</v>
      </c>
    </row>
    <row r="1272" spans="1:21" x14ac:dyDescent="0.25">
      <c r="A1272" s="71">
        <v>6</v>
      </c>
      <c r="B1272" s="72">
        <f t="shared" si="493"/>
        <v>45809</v>
      </c>
      <c r="C1272" s="73">
        <f t="shared" si="474"/>
        <v>45838</v>
      </c>
      <c r="D1272" s="67">
        <f t="shared" si="475"/>
        <v>30</v>
      </c>
      <c r="E1272" s="67">
        <f t="shared" si="476"/>
        <v>6</v>
      </c>
      <c r="F1272" s="74">
        <f t="shared" si="477"/>
        <v>45824</v>
      </c>
      <c r="G1272" s="67">
        <f t="shared" si="478"/>
        <v>24305</v>
      </c>
      <c r="H1272" s="75">
        <f t="shared" si="479"/>
        <v>1</v>
      </c>
      <c r="I1272" s="76">
        <f t="shared" si="480"/>
        <v>1</v>
      </c>
      <c r="J1272" s="76">
        <f t="shared" si="481"/>
        <v>1</v>
      </c>
      <c r="K1272" s="67">
        <f t="shared" si="482"/>
        <v>0</v>
      </c>
      <c r="L1272" s="67">
        <f t="shared" si="483"/>
        <v>0</v>
      </c>
      <c r="M1272" s="77">
        <f t="shared" si="484"/>
        <v>0</v>
      </c>
      <c r="N1272" s="76">
        <f t="shared" si="485"/>
        <v>1</v>
      </c>
      <c r="O1272" s="77">
        <f t="shared" si="486"/>
        <v>0.90483588621444211</v>
      </c>
      <c r="P1272" s="76">
        <f t="shared" si="487"/>
        <v>0</v>
      </c>
      <c r="Q1272" s="76">
        <f t="shared" si="488"/>
        <v>0</v>
      </c>
      <c r="R1272" s="76">
        <f t="shared" si="489"/>
        <v>0</v>
      </c>
      <c r="S1272" s="76">
        <f t="shared" si="490"/>
        <v>0.98351726762439351</v>
      </c>
      <c r="T1272" s="76">
        <f t="shared" si="491"/>
        <v>0.98351726762439351</v>
      </c>
      <c r="U1272" s="76">
        <f t="shared" si="492"/>
        <v>1</v>
      </c>
    </row>
    <row r="1273" spans="1:21" x14ac:dyDescent="0.25">
      <c r="A1273" s="71">
        <v>7</v>
      </c>
      <c r="B1273" s="72">
        <f t="shared" si="493"/>
        <v>45839</v>
      </c>
      <c r="C1273" s="73">
        <f t="shared" si="474"/>
        <v>45869</v>
      </c>
      <c r="D1273" s="67">
        <f t="shared" si="475"/>
        <v>31</v>
      </c>
      <c r="E1273" s="67">
        <f t="shared" si="476"/>
        <v>7</v>
      </c>
      <c r="F1273" s="74">
        <f t="shared" si="477"/>
        <v>45854.5</v>
      </c>
      <c r="G1273" s="67">
        <f t="shared" si="478"/>
        <v>24306</v>
      </c>
      <c r="H1273" s="75">
        <f t="shared" si="479"/>
        <v>1</v>
      </c>
      <c r="I1273" s="76">
        <f t="shared" si="480"/>
        <v>1</v>
      </c>
      <c r="J1273" s="76">
        <f t="shared" si="481"/>
        <v>1</v>
      </c>
      <c r="K1273" s="67">
        <f t="shared" si="482"/>
        <v>0</v>
      </c>
      <c r="L1273" s="67">
        <f t="shared" si="483"/>
        <v>0</v>
      </c>
      <c r="M1273" s="77">
        <f t="shared" si="484"/>
        <v>0</v>
      </c>
      <c r="N1273" s="76">
        <f t="shared" si="485"/>
        <v>1</v>
      </c>
      <c r="O1273" s="77">
        <f t="shared" si="486"/>
        <v>0.90516958424507665</v>
      </c>
      <c r="P1273" s="76">
        <f t="shared" si="487"/>
        <v>8.333333333333337E-2</v>
      </c>
      <c r="Q1273" s="76">
        <f t="shared" si="488"/>
        <v>0</v>
      </c>
      <c r="R1273" s="76">
        <f t="shared" si="489"/>
        <v>0</v>
      </c>
      <c r="S1273" s="76">
        <f t="shared" si="490"/>
        <v>0.98387998287508327</v>
      </c>
      <c r="T1273" s="76">
        <f t="shared" si="491"/>
        <v>0.98387998287508327</v>
      </c>
      <c r="U1273" s="76">
        <f t="shared" si="492"/>
        <v>1</v>
      </c>
    </row>
    <row r="1274" spans="1:21" x14ac:dyDescent="0.25">
      <c r="A1274" s="71">
        <v>8</v>
      </c>
      <c r="B1274" s="72">
        <f t="shared" si="493"/>
        <v>45870</v>
      </c>
      <c r="C1274" s="73">
        <f t="shared" si="474"/>
        <v>45900</v>
      </c>
      <c r="D1274" s="67">
        <f t="shared" si="475"/>
        <v>31</v>
      </c>
      <c r="E1274" s="67">
        <f t="shared" si="476"/>
        <v>8</v>
      </c>
      <c r="F1274" s="74">
        <f t="shared" si="477"/>
        <v>45885.5</v>
      </c>
      <c r="G1274" s="67">
        <f t="shared" si="478"/>
        <v>24307</v>
      </c>
      <c r="H1274" s="75">
        <f t="shared" si="479"/>
        <v>1</v>
      </c>
      <c r="I1274" s="76">
        <f t="shared" si="480"/>
        <v>1</v>
      </c>
      <c r="J1274" s="76">
        <f t="shared" si="481"/>
        <v>1</v>
      </c>
      <c r="K1274" s="67">
        <f t="shared" si="482"/>
        <v>0</v>
      </c>
      <c r="L1274" s="67">
        <f t="shared" si="483"/>
        <v>0</v>
      </c>
      <c r="M1274" s="77">
        <f t="shared" si="484"/>
        <v>0</v>
      </c>
      <c r="N1274" s="76">
        <f t="shared" si="485"/>
        <v>1</v>
      </c>
      <c r="O1274" s="77">
        <f t="shared" si="486"/>
        <v>0.90550875273522979</v>
      </c>
      <c r="P1274" s="76">
        <f t="shared" si="487"/>
        <v>0.25</v>
      </c>
      <c r="Q1274" s="76">
        <f t="shared" si="488"/>
        <v>0</v>
      </c>
      <c r="R1274" s="76">
        <f t="shared" si="489"/>
        <v>0</v>
      </c>
      <c r="S1274" s="76">
        <f t="shared" si="490"/>
        <v>0.98424864427742365</v>
      </c>
      <c r="T1274" s="76">
        <f t="shared" si="491"/>
        <v>0.98424864427742365</v>
      </c>
      <c r="U1274" s="76">
        <f t="shared" si="492"/>
        <v>1</v>
      </c>
    </row>
    <row r="1275" spans="1:21" x14ac:dyDescent="0.25">
      <c r="A1275" s="71">
        <v>9</v>
      </c>
      <c r="B1275" s="72">
        <f t="shared" si="493"/>
        <v>45901</v>
      </c>
      <c r="C1275" s="73">
        <f t="shared" si="474"/>
        <v>45930</v>
      </c>
      <c r="D1275" s="67">
        <f t="shared" si="475"/>
        <v>30</v>
      </c>
      <c r="E1275" s="67">
        <f t="shared" si="476"/>
        <v>9</v>
      </c>
      <c r="F1275" s="74">
        <f t="shared" si="477"/>
        <v>45916</v>
      </c>
      <c r="G1275" s="67">
        <f t="shared" si="478"/>
        <v>24308</v>
      </c>
      <c r="H1275" s="75">
        <f t="shared" si="479"/>
        <v>1</v>
      </c>
      <c r="I1275" s="76">
        <f t="shared" si="480"/>
        <v>1</v>
      </c>
      <c r="J1275" s="76">
        <f t="shared" si="481"/>
        <v>1</v>
      </c>
      <c r="K1275" s="67">
        <f t="shared" si="482"/>
        <v>0</v>
      </c>
      <c r="L1275" s="67">
        <f t="shared" si="483"/>
        <v>0</v>
      </c>
      <c r="M1275" s="77">
        <f t="shared" si="484"/>
        <v>0</v>
      </c>
      <c r="N1275" s="76">
        <f t="shared" si="485"/>
        <v>1</v>
      </c>
      <c r="O1275" s="77">
        <f t="shared" si="486"/>
        <v>0.90584245076586434</v>
      </c>
      <c r="P1275" s="76">
        <f t="shared" si="487"/>
        <v>0.41666666666666663</v>
      </c>
      <c r="Q1275" s="76">
        <f t="shared" si="488"/>
        <v>0</v>
      </c>
      <c r="R1275" s="76">
        <f t="shared" si="489"/>
        <v>0</v>
      </c>
      <c r="S1275" s="76">
        <f t="shared" si="490"/>
        <v>0.98461135952811341</v>
      </c>
      <c r="T1275" s="76">
        <f t="shared" si="491"/>
        <v>0.98461135952811341</v>
      </c>
      <c r="U1275" s="76">
        <f t="shared" si="492"/>
        <v>1</v>
      </c>
    </row>
    <row r="1276" spans="1:21" x14ac:dyDescent="0.25">
      <c r="A1276" s="71">
        <v>10</v>
      </c>
      <c r="B1276" s="72">
        <f t="shared" si="493"/>
        <v>45931</v>
      </c>
      <c r="C1276" s="73">
        <f t="shared" si="474"/>
        <v>45961</v>
      </c>
      <c r="D1276" s="67">
        <f t="shared" si="475"/>
        <v>31</v>
      </c>
      <c r="E1276" s="67">
        <f t="shared" si="476"/>
        <v>10</v>
      </c>
      <c r="F1276" s="74">
        <f t="shared" si="477"/>
        <v>45946.5</v>
      </c>
      <c r="G1276" s="67">
        <f t="shared" si="478"/>
        <v>24309</v>
      </c>
      <c r="H1276" s="75">
        <f t="shared" si="479"/>
        <v>1</v>
      </c>
      <c r="I1276" s="76">
        <f t="shared" si="480"/>
        <v>1</v>
      </c>
      <c r="J1276" s="76">
        <f t="shared" si="481"/>
        <v>1</v>
      </c>
      <c r="K1276" s="67">
        <f t="shared" si="482"/>
        <v>0</v>
      </c>
      <c r="L1276" s="67">
        <f t="shared" si="483"/>
        <v>0</v>
      </c>
      <c r="M1276" s="77">
        <f t="shared" si="484"/>
        <v>0</v>
      </c>
      <c r="N1276" s="76">
        <f t="shared" si="485"/>
        <v>1</v>
      </c>
      <c r="O1276" s="77">
        <f t="shared" si="486"/>
        <v>0.90617614879649899</v>
      </c>
      <c r="P1276" s="76">
        <f t="shared" si="487"/>
        <v>0.58333333333333326</v>
      </c>
      <c r="Q1276" s="76">
        <f t="shared" si="488"/>
        <v>0</v>
      </c>
      <c r="R1276" s="76">
        <f t="shared" si="489"/>
        <v>0</v>
      </c>
      <c r="S1276" s="76">
        <f t="shared" si="490"/>
        <v>0.98497407477880317</v>
      </c>
      <c r="T1276" s="76">
        <f t="shared" si="491"/>
        <v>0.98497407477880317</v>
      </c>
      <c r="U1276" s="76">
        <f t="shared" si="492"/>
        <v>1</v>
      </c>
    </row>
    <row r="1277" spans="1:21" x14ac:dyDescent="0.25">
      <c r="A1277" s="71">
        <v>11</v>
      </c>
      <c r="B1277" s="72">
        <f t="shared" si="493"/>
        <v>45962</v>
      </c>
      <c r="C1277" s="73">
        <f t="shared" si="474"/>
        <v>45991</v>
      </c>
      <c r="D1277" s="67">
        <f t="shared" si="475"/>
        <v>30</v>
      </c>
      <c r="E1277" s="67">
        <f t="shared" si="476"/>
        <v>11</v>
      </c>
      <c r="F1277" s="74">
        <f t="shared" si="477"/>
        <v>45977</v>
      </c>
      <c r="G1277" s="67">
        <f t="shared" si="478"/>
        <v>24310</v>
      </c>
      <c r="H1277" s="75">
        <f t="shared" si="479"/>
        <v>1</v>
      </c>
      <c r="I1277" s="76">
        <f t="shared" si="480"/>
        <v>1</v>
      </c>
      <c r="J1277" s="76">
        <f t="shared" si="481"/>
        <v>1</v>
      </c>
      <c r="K1277" s="67">
        <f t="shared" si="482"/>
        <v>0</v>
      </c>
      <c r="L1277" s="67">
        <f t="shared" si="483"/>
        <v>0</v>
      </c>
      <c r="M1277" s="77">
        <f t="shared" si="484"/>
        <v>0</v>
      </c>
      <c r="N1277" s="76">
        <f t="shared" si="485"/>
        <v>1</v>
      </c>
      <c r="O1277" s="77">
        <f t="shared" si="486"/>
        <v>0.90650984682713354</v>
      </c>
      <c r="P1277" s="76">
        <f t="shared" si="487"/>
        <v>0.75</v>
      </c>
      <c r="Q1277" s="76">
        <f t="shared" si="488"/>
        <v>0</v>
      </c>
      <c r="R1277" s="76">
        <f t="shared" si="489"/>
        <v>0</v>
      </c>
      <c r="S1277" s="76">
        <f t="shared" si="490"/>
        <v>0.98533679002949293</v>
      </c>
      <c r="T1277" s="76">
        <f t="shared" si="491"/>
        <v>0.98533679002949293</v>
      </c>
      <c r="U1277" s="76">
        <f t="shared" si="492"/>
        <v>1</v>
      </c>
    </row>
    <row r="1278" spans="1:21" x14ac:dyDescent="0.25">
      <c r="A1278" s="71">
        <v>12</v>
      </c>
      <c r="B1278" s="72">
        <f t="shared" si="493"/>
        <v>45992</v>
      </c>
      <c r="C1278" s="73">
        <f t="shared" si="474"/>
        <v>46022</v>
      </c>
      <c r="D1278" s="67">
        <f t="shared" si="475"/>
        <v>31</v>
      </c>
      <c r="E1278" s="67">
        <f t="shared" si="476"/>
        <v>12</v>
      </c>
      <c r="F1278" s="74">
        <f t="shared" si="477"/>
        <v>46007.5</v>
      </c>
      <c r="G1278" s="67">
        <f t="shared" si="478"/>
        <v>24311</v>
      </c>
      <c r="H1278" s="75">
        <f t="shared" si="479"/>
        <v>1</v>
      </c>
      <c r="I1278" s="76">
        <f t="shared" si="480"/>
        <v>1</v>
      </c>
      <c r="J1278" s="76">
        <f t="shared" si="481"/>
        <v>1</v>
      </c>
      <c r="K1278" s="67">
        <f t="shared" si="482"/>
        <v>0</v>
      </c>
      <c r="L1278" s="67">
        <f t="shared" si="483"/>
        <v>0</v>
      </c>
      <c r="M1278" s="77">
        <f t="shared" si="484"/>
        <v>0</v>
      </c>
      <c r="N1278" s="76">
        <f t="shared" si="485"/>
        <v>1</v>
      </c>
      <c r="O1278" s="77">
        <f t="shared" si="486"/>
        <v>0.90684354485776808</v>
      </c>
      <c r="P1278" s="76">
        <f t="shared" si="487"/>
        <v>0.91666666666666663</v>
      </c>
      <c r="Q1278" s="76">
        <f t="shared" si="488"/>
        <v>0</v>
      </c>
      <c r="R1278" s="76">
        <f t="shared" si="489"/>
        <v>0</v>
      </c>
      <c r="S1278" s="76">
        <f t="shared" si="490"/>
        <v>0.98569950528018269</v>
      </c>
      <c r="T1278" s="76">
        <f t="shared" si="491"/>
        <v>0.98569950528018269</v>
      </c>
      <c r="U1278" s="76">
        <f t="shared" si="492"/>
        <v>1</v>
      </c>
    </row>
    <row r="1279" spans="1:21" x14ac:dyDescent="0.25">
      <c r="A1279" s="71">
        <v>13</v>
      </c>
      <c r="B1279" s="72">
        <f t="shared" si="493"/>
        <v>46023</v>
      </c>
      <c r="C1279" s="73">
        <f t="shared" si="474"/>
        <v>46053</v>
      </c>
      <c r="D1279" s="67">
        <f t="shared" si="475"/>
        <v>31</v>
      </c>
      <c r="E1279" s="67">
        <f t="shared" si="476"/>
        <v>1</v>
      </c>
      <c r="F1279" s="74">
        <f t="shared" si="477"/>
        <v>46038.5</v>
      </c>
      <c r="G1279" s="67">
        <f t="shared" si="478"/>
        <v>24312</v>
      </c>
      <c r="H1279" s="75">
        <f t="shared" si="479"/>
        <v>1</v>
      </c>
      <c r="I1279" s="76">
        <f t="shared" si="480"/>
        <v>1</v>
      </c>
      <c r="J1279" s="76">
        <f t="shared" si="481"/>
        <v>1</v>
      </c>
      <c r="K1279" s="67">
        <f t="shared" si="482"/>
        <v>0</v>
      </c>
      <c r="L1279" s="67">
        <f t="shared" si="483"/>
        <v>0</v>
      </c>
      <c r="M1279" s="77">
        <f t="shared" si="484"/>
        <v>0</v>
      </c>
      <c r="N1279" s="76">
        <f t="shared" si="485"/>
        <v>1</v>
      </c>
      <c r="O1279" s="77">
        <f t="shared" si="486"/>
        <v>0.90718271334792122</v>
      </c>
      <c r="P1279" s="76">
        <f t="shared" si="487"/>
        <v>1</v>
      </c>
      <c r="Q1279" s="76">
        <f t="shared" si="488"/>
        <v>0</v>
      </c>
      <c r="R1279" s="76">
        <f t="shared" si="489"/>
        <v>0</v>
      </c>
      <c r="S1279" s="76">
        <f t="shared" si="490"/>
        <v>0.98606816668252306</v>
      </c>
      <c r="T1279" s="76">
        <f t="shared" si="491"/>
        <v>0.98606816668252306</v>
      </c>
      <c r="U1279" s="76">
        <f t="shared" si="492"/>
        <v>1</v>
      </c>
    </row>
    <row r="1280" spans="1:21" x14ac:dyDescent="0.25">
      <c r="A1280" s="71">
        <v>14</v>
      </c>
      <c r="B1280" s="72">
        <f t="shared" si="493"/>
        <v>46054</v>
      </c>
      <c r="C1280" s="73">
        <f t="shared" si="474"/>
        <v>46081</v>
      </c>
      <c r="D1280" s="67">
        <f t="shared" si="475"/>
        <v>28</v>
      </c>
      <c r="E1280" s="67">
        <f t="shared" si="476"/>
        <v>2</v>
      </c>
      <c r="F1280" s="74">
        <f t="shared" si="477"/>
        <v>46068</v>
      </c>
      <c r="G1280" s="67">
        <f t="shared" si="478"/>
        <v>24313</v>
      </c>
      <c r="H1280" s="75">
        <f t="shared" si="479"/>
        <v>1</v>
      </c>
      <c r="I1280" s="76">
        <f t="shared" si="480"/>
        <v>1</v>
      </c>
      <c r="J1280" s="76">
        <f t="shared" si="481"/>
        <v>1</v>
      </c>
      <c r="K1280" s="67">
        <f t="shared" si="482"/>
        <v>0</v>
      </c>
      <c r="L1280" s="67">
        <f t="shared" si="483"/>
        <v>0</v>
      </c>
      <c r="M1280" s="77">
        <f t="shared" si="484"/>
        <v>0</v>
      </c>
      <c r="N1280" s="76">
        <f t="shared" si="485"/>
        <v>1</v>
      </c>
      <c r="O1280" s="77">
        <f t="shared" si="486"/>
        <v>0.90750547045951868</v>
      </c>
      <c r="P1280" s="76">
        <f t="shared" si="487"/>
        <v>1</v>
      </c>
      <c r="Q1280" s="76">
        <f t="shared" si="488"/>
        <v>0</v>
      </c>
      <c r="R1280" s="76">
        <f t="shared" si="489"/>
        <v>0</v>
      </c>
      <c r="S1280" s="76">
        <f t="shared" si="490"/>
        <v>0.98641898962991159</v>
      </c>
      <c r="T1280" s="76">
        <f t="shared" si="491"/>
        <v>0.98641898962991159</v>
      </c>
      <c r="U1280" s="76">
        <f t="shared" si="492"/>
        <v>1</v>
      </c>
    </row>
    <row r="1281" spans="1:21" x14ac:dyDescent="0.25">
      <c r="A1281" s="71">
        <v>15</v>
      </c>
      <c r="B1281" s="72">
        <f t="shared" si="493"/>
        <v>46082</v>
      </c>
      <c r="C1281" s="73">
        <f t="shared" si="474"/>
        <v>46112</v>
      </c>
      <c r="D1281" s="67">
        <f t="shared" si="475"/>
        <v>31</v>
      </c>
      <c r="E1281" s="67">
        <f t="shared" si="476"/>
        <v>3</v>
      </c>
      <c r="F1281" s="74">
        <f t="shared" si="477"/>
        <v>46097.5</v>
      </c>
      <c r="G1281" s="67">
        <f t="shared" si="478"/>
        <v>24314</v>
      </c>
      <c r="H1281" s="75">
        <f t="shared" si="479"/>
        <v>1</v>
      </c>
      <c r="I1281" s="76">
        <f t="shared" si="480"/>
        <v>1</v>
      </c>
      <c r="J1281" s="76">
        <f t="shared" si="481"/>
        <v>1</v>
      </c>
      <c r="K1281" s="67">
        <f t="shared" si="482"/>
        <v>0</v>
      </c>
      <c r="L1281" s="67">
        <f t="shared" si="483"/>
        <v>0</v>
      </c>
      <c r="M1281" s="77">
        <f t="shared" si="484"/>
        <v>0</v>
      </c>
      <c r="N1281" s="76">
        <f t="shared" si="485"/>
        <v>1</v>
      </c>
      <c r="O1281" s="77">
        <f t="shared" si="486"/>
        <v>0.90782822757111603</v>
      </c>
      <c r="P1281" s="76">
        <f t="shared" si="487"/>
        <v>1</v>
      </c>
      <c r="Q1281" s="76">
        <f t="shared" si="488"/>
        <v>0</v>
      </c>
      <c r="R1281" s="76">
        <f t="shared" si="489"/>
        <v>0</v>
      </c>
      <c r="S1281" s="76">
        <f t="shared" si="490"/>
        <v>0.98676981257730001</v>
      </c>
      <c r="T1281" s="76">
        <f t="shared" si="491"/>
        <v>0.98676981257730001</v>
      </c>
      <c r="U1281" s="76">
        <f t="shared" si="492"/>
        <v>1</v>
      </c>
    </row>
    <row r="1282" spans="1:21" x14ac:dyDescent="0.25">
      <c r="A1282" s="71">
        <v>16</v>
      </c>
      <c r="B1282" s="72">
        <f t="shared" si="493"/>
        <v>46113</v>
      </c>
      <c r="C1282" s="73">
        <f t="shared" si="474"/>
        <v>46142</v>
      </c>
      <c r="D1282" s="67">
        <f t="shared" si="475"/>
        <v>30</v>
      </c>
      <c r="E1282" s="67">
        <f t="shared" si="476"/>
        <v>4</v>
      </c>
      <c r="F1282" s="74">
        <f t="shared" si="477"/>
        <v>46128</v>
      </c>
      <c r="G1282" s="67">
        <f t="shared" si="478"/>
        <v>24315</v>
      </c>
      <c r="H1282" s="75">
        <f t="shared" si="479"/>
        <v>1</v>
      </c>
      <c r="I1282" s="76">
        <f t="shared" si="480"/>
        <v>1</v>
      </c>
      <c r="J1282" s="76">
        <f t="shared" si="481"/>
        <v>1</v>
      </c>
      <c r="K1282" s="67">
        <f t="shared" si="482"/>
        <v>0</v>
      </c>
      <c r="L1282" s="67">
        <f t="shared" si="483"/>
        <v>0</v>
      </c>
      <c r="M1282" s="77">
        <f t="shared" si="484"/>
        <v>0</v>
      </c>
      <c r="N1282" s="76">
        <f t="shared" si="485"/>
        <v>1</v>
      </c>
      <c r="O1282" s="77">
        <f t="shared" si="486"/>
        <v>0.90816192560175057</v>
      </c>
      <c r="P1282" s="76">
        <f t="shared" si="487"/>
        <v>1</v>
      </c>
      <c r="Q1282" s="76">
        <f t="shared" si="488"/>
        <v>0</v>
      </c>
      <c r="R1282" s="76">
        <f t="shared" si="489"/>
        <v>0</v>
      </c>
      <c r="S1282" s="76">
        <f t="shared" si="490"/>
        <v>0.98713252782798966</v>
      </c>
      <c r="T1282" s="76">
        <f t="shared" si="491"/>
        <v>0.98713252782798966</v>
      </c>
      <c r="U1282" s="76">
        <f t="shared" si="492"/>
        <v>1</v>
      </c>
    </row>
    <row r="1283" spans="1:21" x14ac:dyDescent="0.25">
      <c r="A1283" s="71">
        <v>17</v>
      </c>
      <c r="B1283" s="72">
        <f t="shared" si="493"/>
        <v>46143</v>
      </c>
      <c r="C1283" s="73">
        <f t="shared" si="474"/>
        <v>46173</v>
      </c>
      <c r="D1283" s="67">
        <f t="shared" si="475"/>
        <v>31</v>
      </c>
      <c r="E1283" s="67">
        <f t="shared" si="476"/>
        <v>5</v>
      </c>
      <c r="F1283" s="74">
        <f t="shared" si="477"/>
        <v>46158.5</v>
      </c>
      <c r="G1283" s="67">
        <f t="shared" si="478"/>
        <v>24316</v>
      </c>
      <c r="H1283" s="75">
        <f t="shared" si="479"/>
        <v>1</v>
      </c>
      <c r="I1283" s="76">
        <f t="shared" si="480"/>
        <v>1</v>
      </c>
      <c r="J1283" s="76">
        <f t="shared" si="481"/>
        <v>1</v>
      </c>
      <c r="K1283" s="67">
        <f t="shared" si="482"/>
        <v>0</v>
      </c>
      <c r="L1283" s="67">
        <f t="shared" si="483"/>
        <v>0</v>
      </c>
      <c r="M1283" s="77">
        <f t="shared" si="484"/>
        <v>0</v>
      </c>
      <c r="N1283" s="76">
        <f t="shared" si="485"/>
        <v>1</v>
      </c>
      <c r="O1283" s="77">
        <f t="shared" si="486"/>
        <v>0.90849562363238512</v>
      </c>
      <c r="P1283" s="76">
        <f t="shared" si="487"/>
        <v>1</v>
      </c>
      <c r="Q1283" s="76">
        <f t="shared" si="488"/>
        <v>0</v>
      </c>
      <c r="R1283" s="76">
        <f t="shared" si="489"/>
        <v>0</v>
      </c>
      <c r="S1283" s="76">
        <f t="shared" si="490"/>
        <v>0.98749524307867942</v>
      </c>
      <c r="T1283" s="76">
        <f t="shared" si="491"/>
        <v>0.98749524307867942</v>
      </c>
      <c r="U1283" s="76">
        <f t="shared" si="492"/>
        <v>1</v>
      </c>
    </row>
    <row r="1284" spans="1:21" x14ac:dyDescent="0.25">
      <c r="A1284" s="71">
        <v>18</v>
      </c>
      <c r="B1284" s="72">
        <f t="shared" si="493"/>
        <v>46174</v>
      </c>
      <c r="C1284" s="73">
        <f t="shared" si="474"/>
        <v>46203</v>
      </c>
      <c r="D1284" s="67">
        <f t="shared" si="475"/>
        <v>30</v>
      </c>
      <c r="E1284" s="67">
        <f t="shared" si="476"/>
        <v>6</v>
      </c>
      <c r="F1284" s="74">
        <f t="shared" si="477"/>
        <v>46189</v>
      </c>
      <c r="G1284" s="67">
        <f t="shared" si="478"/>
        <v>24317</v>
      </c>
      <c r="H1284" s="75">
        <f t="shared" si="479"/>
        <v>1</v>
      </c>
      <c r="I1284" s="76">
        <f t="shared" si="480"/>
        <v>1</v>
      </c>
      <c r="J1284" s="76">
        <f t="shared" si="481"/>
        <v>1</v>
      </c>
      <c r="K1284" s="67">
        <f t="shared" si="482"/>
        <v>0</v>
      </c>
      <c r="L1284" s="67">
        <f t="shared" si="483"/>
        <v>0</v>
      </c>
      <c r="M1284" s="77">
        <f t="shared" si="484"/>
        <v>0</v>
      </c>
      <c r="N1284" s="76">
        <f t="shared" si="485"/>
        <v>1</v>
      </c>
      <c r="O1284" s="77">
        <f t="shared" si="486"/>
        <v>0.90882932166301977</v>
      </c>
      <c r="P1284" s="76">
        <f t="shared" si="487"/>
        <v>1</v>
      </c>
      <c r="Q1284" s="76">
        <f t="shared" si="488"/>
        <v>0</v>
      </c>
      <c r="R1284" s="76">
        <f t="shared" si="489"/>
        <v>0</v>
      </c>
      <c r="S1284" s="76">
        <f t="shared" si="490"/>
        <v>0.98785795832936929</v>
      </c>
      <c r="T1284" s="76">
        <f t="shared" si="491"/>
        <v>0.98785795832936929</v>
      </c>
      <c r="U1284" s="76">
        <f t="shared" si="492"/>
        <v>1</v>
      </c>
    </row>
    <row r="1285" spans="1:21" x14ac:dyDescent="0.25">
      <c r="A1285" s="71">
        <v>19</v>
      </c>
      <c r="B1285" s="72">
        <f t="shared" si="493"/>
        <v>46204</v>
      </c>
      <c r="C1285" s="73">
        <f t="shared" si="474"/>
        <v>46234</v>
      </c>
      <c r="D1285" s="67">
        <f t="shared" si="475"/>
        <v>31</v>
      </c>
      <c r="E1285" s="67">
        <f t="shared" si="476"/>
        <v>7</v>
      </c>
      <c r="F1285" s="74">
        <f t="shared" si="477"/>
        <v>46219.5</v>
      </c>
      <c r="G1285" s="67">
        <f t="shared" si="478"/>
        <v>24318</v>
      </c>
      <c r="H1285" s="75">
        <f t="shared" si="479"/>
        <v>1</v>
      </c>
      <c r="I1285" s="76">
        <f t="shared" si="480"/>
        <v>1</v>
      </c>
      <c r="J1285" s="76">
        <f t="shared" si="481"/>
        <v>1</v>
      </c>
      <c r="K1285" s="67">
        <f t="shared" si="482"/>
        <v>0</v>
      </c>
      <c r="L1285" s="67">
        <f t="shared" si="483"/>
        <v>0</v>
      </c>
      <c r="M1285" s="77">
        <f t="shared" si="484"/>
        <v>0</v>
      </c>
      <c r="N1285" s="76">
        <f t="shared" si="485"/>
        <v>1</v>
      </c>
      <c r="O1285" s="77">
        <f t="shared" si="486"/>
        <v>0.90916301969365432</v>
      </c>
      <c r="P1285" s="76">
        <f t="shared" si="487"/>
        <v>0.91666666666666663</v>
      </c>
      <c r="Q1285" s="76">
        <f t="shared" si="488"/>
        <v>8.333333333333337E-2</v>
      </c>
      <c r="R1285" s="76">
        <f t="shared" si="489"/>
        <v>0</v>
      </c>
      <c r="S1285" s="76">
        <f t="shared" si="490"/>
        <v>0.98822067358005905</v>
      </c>
      <c r="T1285" s="76">
        <f t="shared" si="491"/>
        <v>0.98822067358005905</v>
      </c>
      <c r="U1285" s="76">
        <f t="shared" si="492"/>
        <v>1</v>
      </c>
    </row>
    <row r="1286" spans="1:21" x14ac:dyDescent="0.25">
      <c r="A1286" s="71">
        <v>20</v>
      </c>
      <c r="B1286" s="72">
        <f t="shared" si="493"/>
        <v>46235</v>
      </c>
      <c r="C1286" s="73">
        <f t="shared" si="474"/>
        <v>46265</v>
      </c>
      <c r="D1286" s="67">
        <f t="shared" si="475"/>
        <v>31</v>
      </c>
      <c r="E1286" s="67">
        <f t="shared" si="476"/>
        <v>8</v>
      </c>
      <c r="F1286" s="74">
        <f t="shared" si="477"/>
        <v>46250.5</v>
      </c>
      <c r="G1286" s="67">
        <f t="shared" si="478"/>
        <v>24319</v>
      </c>
      <c r="H1286" s="75">
        <f t="shared" si="479"/>
        <v>1</v>
      </c>
      <c r="I1286" s="76">
        <f t="shared" si="480"/>
        <v>1</v>
      </c>
      <c r="J1286" s="76">
        <f t="shared" si="481"/>
        <v>1</v>
      </c>
      <c r="K1286" s="67">
        <f t="shared" si="482"/>
        <v>0</v>
      </c>
      <c r="L1286" s="67">
        <f t="shared" si="483"/>
        <v>0</v>
      </c>
      <c r="M1286" s="77">
        <f t="shared" si="484"/>
        <v>0</v>
      </c>
      <c r="N1286" s="76">
        <f t="shared" si="485"/>
        <v>1</v>
      </c>
      <c r="O1286" s="77">
        <f t="shared" si="486"/>
        <v>0.90950218818380746</v>
      </c>
      <c r="P1286" s="76">
        <f t="shared" si="487"/>
        <v>0.75</v>
      </c>
      <c r="Q1286" s="76">
        <f t="shared" si="488"/>
        <v>0.25</v>
      </c>
      <c r="R1286" s="76">
        <f t="shared" si="489"/>
        <v>0</v>
      </c>
      <c r="S1286" s="76">
        <f t="shared" si="490"/>
        <v>0.98858933498239931</v>
      </c>
      <c r="T1286" s="76">
        <f t="shared" si="491"/>
        <v>0.98858933498239931</v>
      </c>
      <c r="U1286" s="76">
        <f t="shared" si="492"/>
        <v>1</v>
      </c>
    </row>
    <row r="1287" spans="1:21" x14ac:dyDescent="0.25">
      <c r="A1287" s="71">
        <v>21</v>
      </c>
      <c r="B1287" s="72">
        <f t="shared" si="493"/>
        <v>46266</v>
      </c>
      <c r="C1287" s="73">
        <f t="shared" si="474"/>
        <v>46295</v>
      </c>
      <c r="D1287" s="67">
        <f t="shared" si="475"/>
        <v>30</v>
      </c>
      <c r="E1287" s="67">
        <f t="shared" si="476"/>
        <v>9</v>
      </c>
      <c r="F1287" s="74">
        <f t="shared" si="477"/>
        <v>46281</v>
      </c>
      <c r="G1287" s="67">
        <f t="shared" si="478"/>
        <v>24320</v>
      </c>
      <c r="H1287" s="75">
        <f t="shared" si="479"/>
        <v>1</v>
      </c>
      <c r="I1287" s="76">
        <f t="shared" si="480"/>
        <v>1</v>
      </c>
      <c r="J1287" s="76">
        <f t="shared" si="481"/>
        <v>1</v>
      </c>
      <c r="K1287" s="67">
        <f t="shared" si="482"/>
        <v>0</v>
      </c>
      <c r="L1287" s="67">
        <f t="shared" si="483"/>
        <v>0</v>
      </c>
      <c r="M1287" s="77">
        <f t="shared" si="484"/>
        <v>0</v>
      </c>
      <c r="N1287" s="76">
        <f t="shared" si="485"/>
        <v>1</v>
      </c>
      <c r="O1287" s="77">
        <f t="shared" si="486"/>
        <v>0.909835886214442</v>
      </c>
      <c r="P1287" s="76">
        <f t="shared" si="487"/>
        <v>0.58333333333333337</v>
      </c>
      <c r="Q1287" s="76">
        <f t="shared" si="488"/>
        <v>0.41666666666666663</v>
      </c>
      <c r="R1287" s="76">
        <f t="shared" si="489"/>
        <v>0</v>
      </c>
      <c r="S1287" s="76">
        <f t="shared" si="490"/>
        <v>0.98895205023308907</v>
      </c>
      <c r="T1287" s="76">
        <f t="shared" si="491"/>
        <v>0.98895205023308907</v>
      </c>
      <c r="U1287" s="76">
        <f t="shared" si="492"/>
        <v>1</v>
      </c>
    </row>
    <row r="1288" spans="1:21" x14ac:dyDescent="0.25">
      <c r="A1288" s="71">
        <v>22</v>
      </c>
      <c r="B1288" s="72">
        <f t="shared" si="493"/>
        <v>46296</v>
      </c>
      <c r="C1288" s="73">
        <f t="shared" si="474"/>
        <v>46326</v>
      </c>
      <c r="D1288" s="67">
        <f t="shared" si="475"/>
        <v>31</v>
      </c>
      <c r="E1288" s="67">
        <f t="shared" si="476"/>
        <v>10</v>
      </c>
      <c r="F1288" s="74">
        <f t="shared" si="477"/>
        <v>46311.5</v>
      </c>
      <c r="G1288" s="67">
        <f t="shared" si="478"/>
        <v>24321</v>
      </c>
      <c r="H1288" s="75">
        <f t="shared" si="479"/>
        <v>1</v>
      </c>
      <c r="I1288" s="76">
        <f t="shared" si="480"/>
        <v>1</v>
      </c>
      <c r="J1288" s="76">
        <f t="shared" si="481"/>
        <v>1</v>
      </c>
      <c r="K1288" s="67">
        <f t="shared" si="482"/>
        <v>0</v>
      </c>
      <c r="L1288" s="67">
        <f t="shared" si="483"/>
        <v>0</v>
      </c>
      <c r="M1288" s="77">
        <f t="shared" si="484"/>
        <v>0</v>
      </c>
      <c r="N1288" s="76">
        <f t="shared" si="485"/>
        <v>1</v>
      </c>
      <c r="O1288" s="77">
        <f t="shared" si="486"/>
        <v>0.91016958424507666</v>
      </c>
      <c r="P1288" s="76">
        <f t="shared" si="487"/>
        <v>0.41666666666666669</v>
      </c>
      <c r="Q1288" s="76">
        <f t="shared" si="488"/>
        <v>0.58333333333333326</v>
      </c>
      <c r="R1288" s="76">
        <f t="shared" si="489"/>
        <v>0</v>
      </c>
      <c r="S1288" s="76">
        <f t="shared" si="490"/>
        <v>0.98931476548377895</v>
      </c>
      <c r="T1288" s="76">
        <f t="shared" si="491"/>
        <v>0.98931476548377895</v>
      </c>
      <c r="U1288" s="76">
        <f t="shared" si="492"/>
        <v>1</v>
      </c>
    </row>
    <row r="1289" spans="1:21" x14ac:dyDescent="0.25">
      <c r="A1289" s="71">
        <v>23</v>
      </c>
      <c r="B1289" s="72">
        <f t="shared" si="493"/>
        <v>46327</v>
      </c>
      <c r="C1289" s="73">
        <f t="shared" si="474"/>
        <v>46356</v>
      </c>
      <c r="D1289" s="67">
        <f t="shared" si="475"/>
        <v>30</v>
      </c>
      <c r="E1289" s="67">
        <f t="shared" si="476"/>
        <v>11</v>
      </c>
      <c r="F1289" s="74">
        <f t="shared" si="477"/>
        <v>46342</v>
      </c>
      <c r="G1289" s="67">
        <f t="shared" si="478"/>
        <v>24322</v>
      </c>
      <c r="H1289" s="75">
        <f t="shared" si="479"/>
        <v>1</v>
      </c>
      <c r="I1289" s="76">
        <f t="shared" si="480"/>
        <v>1</v>
      </c>
      <c r="J1289" s="76">
        <f t="shared" si="481"/>
        <v>1.04</v>
      </c>
      <c r="K1289" s="67">
        <f t="shared" si="482"/>
        <v>1</v>
      </c>
      <c r="L1289" s="67">
        <f t="shared" si="483"/>
        <v>30</v>
      </c>
      <c r="M1289" s="77">
        <f t="shared" si="484"/>
        <v>1</v>
      </c>
      <c r="N1289" s="76">
        <f t="shared" si="485"/>
        <v>1.04</v>
      </c>
      <c r="O1289" s="77">
        <f t="shared" si="486"/>
        <v>0.9105032822757112</v>
      </c>
      <c r="P1289" s="76">
        <f t="shared" si="487"/>
        <v>0.25</v>
      </c>
      <c r="Q1289" s="76">
        <f t="shared" si="488"/>
        <v>0.75</v>
      </c>
      <c r="R1289" s="76">
        <f t="shared" si="489"/>
        <v>0</v>
      </c>
      <c r="S1289" s="76">
        <f t="shared" si="490"/>
        <v>1.0292645799638476</v>
      </c>
      <c r="T1289" s="76">
        <f t="shared" si="491"/>
        <v>1.0292645799638476</v>
      </c>
      <c r="U1289" s="76">
        <f t="shared" si="492"/>
        <v>1.04</v>
      </c>
    </row>
    <row r="1290" spans="1:21" x14ac:dyDescent="0.25">
      <c r="A1290" s="71">
        <v>24</v>
      </c>
      <c r="B1290" s="72">
        <f t="shared" si="493"/>
        <v>46357</v>
      </c>
      <c r="C1290" s="73">
        <f t="shared" si="474"/>
        <v>46387</v>
      </c>
      <c r="D1290" s="67">
        <f t="shared" si="475"/>
        <v>31</v>
      </c>
      <c r="E1290" s="67">
        <f t="shared" si="476"/>
        <v>12</v>
      </c>
      <c r="F1290" s="74">
        <f t="shared" si="477"/>
        <v>46372.5</v>
      </c>
      <c r="G1290" s="67">
        <f t="shared" si="478"/>
        <v>24323</v>
      </c>
      <c r="H1290" s="75">
        <f t="shared" si="479"/>
        <v>1</v>
      </c>
      <c r="I1290" s="76">
        <f t="shared" si="480"/>
        <v>1.04</v>
      </c>
      <c r="J1290" s="76">
        <f t="shared" si="481"/>
        <v>1.04</v>
      </c>
      <c r="K1290" s="67">
        <f t="shared" si="482"/>
        <v>0</v>
      </c>
      <c r="L1290" s="67">
        <f t="shared" si="483"/>
        <v>0</v>
      </c>
      <c r="M1290" s="77">
        <f t="shared" si="484"/>
        <v>0</v>
      </c>
      <c r="N1290" s="76">
        <f t="shared" si="485"/>
        <v>1.04</v>
      </c>
      <c r="O1290" s="77">
        <f t="shared" si="486"/>
        <v>0.91083698030634574</v>
      </c>
      <c r="P1290" s="76">
        <f t="shared" si="487"/>
        <v>8.3333333333333329E-2</v>
      </c>
      <c r="Q1290" s="76">
        <f t="shared" si="488"/>
        <v>0.91666666666666663</v>
      </c>
      <c r="R1290" s="76">
        <f t="shared" si="489"/>
        <v>0</v>
      </c>
      <c r="S1290" s="76">
        <f t="shared" si="490"/>
        <v>1.0296418038245647</v>
      </c>
      <c r="T1290" s="76">
        <f t="shared" si="491"/>
        <v>1.0296418038245647</v>
      </c>
      <c r="U1290" s="76">
        <f t="shared" si="492"/>
        <v>1.04</v>
      </c>
    </row>
    <row r="1291" spans="1:21" x14ac:dyDescent="0.25">
      <c r="A1291" s="71">
        <v>25</v>
      </c>
      <c r="B1291" s="72">
        <f t="shared" si="493"/>
        <v>46388</v>
      </c>
      <c r="C1291" s="73">
        <f t="shared" si="474"/>
        <v>46418</v>
      </c>
      <c r="D1291" s="67">
        <f t="shared" si="475"/>
        <v>31</v>
      </c>
      <c r="E1291" s="67">
        <f t="shared" si="476"/>
        <v>1</v>
      </c>
      <c r="F1291" s="74">
        <f t="shared" si="477"/>
        <v>46403.5</v>
      </c>
      <c r="G1291" s="67">
        <f t="shared" si="478"/>
        <v>24324</v>
      </c>
      <c r="H1291" s="75">
        <f t="shared" si="479"/>
        <v>1</v>
      </c>
      <c r="I1291" s="76">
        <f t="shared" si="480"/>
        <v>1.04</v>
      </c>
      <c r="J1291" s="76">
        <f t="shared" si="481"/>
        <v>1.04</v>
      </c>
      <c r="K1291" s="67">
        <f t="shared" si="482"/>
        <v>0</v>
      </c>
      <c r="L1291" s="67">
        <f t="shared" si="483"/>
        <v>0</v>
      </c>
      <c r="M1291" s="77">
        <f t="shared" si="484"/>
        <v>0</v>
      </c>
      <c r="N1291" s="76">
        <f t="shared" si="485"/>
        <v>1.04</v>
      </c>
      <c r="O1291" s="77">
        <f t="shared" si="486"/>
        <v>0.91117614879649889</v>
      </c>
      <c r="P1291" s="76">
        <f t="shared" si="487"/>
        <v>0</v>
      </c>
      <c r="Q1291" s="76">
        <f t="shared" si="488"/>
        <v>1</v>
      </c>
      <c r="R1291" s="76">
        <f t="shared" si="489"/>
        <v>0</v>
      </c>
      <c r="S1291" s="76">
        <f t="shared" si="490"/>
        <v>1.0300252116829987</v>
      </c>
      <c r="T1291" s="76">
        <f t="shared" si="491"/>
        <v>0.98606816668252306</v>
      </c>
      <c r="U1291" s="76">
        <f t="shared" si="492"/>
        <v>1.04</v>
      </c>
    </row>
    <row r="1292" spans="1:21" x14ac:dyDescent="0.25">
      <c r="A1292" s="71">
        <v>26</v>
      </c>
      <c r="B1292" s="72">
        <f t="shared" si="493"/>
        <v>46419</v>
      </c>
      <c r="C1292" s="73">
        <f t="shared" si="474"/>
        <v>46446</v>
      </c>
      <c r="D1292" s="67">
        <f t="shared" si="475"/>
        <v>28</v>
      </c>
      <c r="E1292" s="67">
        <f t="shared" si="476"/>
        <v>2</v>
      </c>
      <c r="F1292" s="74">
        <f t="shared" si="477"/>
        <v>46433</v>
      </c>
      <c r="G1292" s="67">
        <f t="shared" si="478"/>
        <v>24325</v>
      </c>
      <c r="H1292" s="75">
        <f t="shared" si="479"/>
        <v>1</v>
      </c>
      <c r="I1292" s="76">
        <f t="shared" si="480"/>
        <v>1.04</v>
      </c>
      <c r="J1292" s="76">
        <f t="shared" si="481"/>
        <v>1.04</v>
      </c>
      <c r="K1292" s="67">
        <f t="shared" si="482"/>
        <v>0</v>
      </c>
      <c r="L1292" s="67">
        <f t="shared" si="483"/>
        <v>0</v>
      </c>
      <c r="M1292" s="77">
        <f t="shared" si="484"/>
        <v>0</v>
      </c>
      <c r="N1292" s="76">
        <f t="shared" si="485"/>
        <v>1.04</v>
      </c>
      <c r="O1292" s="77">
        <f t="shared" si="486"/>
        <v>0.91149890590809635</v>
      </c>
      <c r="P1292" s="76">
        <f t="shared" si="487"/>
        <v>0</v>
      </c>
      <c r="Q1292" s="76">
        <f t="shared" si="488"/>
        <v>1</v>
      </c>
      <c r="R1292" s="76">
        <f t="shared" si="489"/>
        <v>0</v>
      </c>
      <c r="S1292" s="76">
        <f t="shared" si="490"/>
        <v>1.0303900675482829</v>
      </c>
      <c r="T1292" s="76">
        <f t="shared" si="491"/>
        <v>0.98641898962991159</v>
      </c>
      <c r="U1292" s="76">
        <f t="shared" si="492"/>
        <v>1.04</v>
      </c>
    </row>
    <row r="1293" spans="1:21" x14ac:dyDescent="0.25">
      <c r="A1293" s="71">
        <v>27</v>
      </c>
      <c r="B1293" s="72">
        <f t="shared" si="493"/>
        <v>46447</v>
      </c>
      <c r="C1293" s="73">
        <f t="shared" si="474"/>
        <v>46477</v>
      </c>
      <c r="D1293" s="67">
        <f t="shared" si="475"/>
        <v>31</v>
      </c>
      <c r="E1293" s="67">
        <f t="shared" si="476"/>
        <v>3</v>
      </c>
      <c r="F1293" s="74">
        <f t="shared" si="477"/>
        <v>46462.5</v>
      </c>
      <c r="G1293" s="67">
        <f t="shared" si="478"/>
        <v>24326</v>
      </c>
      <c r="H1293" s="75">
        <f t="shared" si="479"/>
        <v>1</v>
      </c>
      <c r="I1293" s="76">
        <f t="shared" si="480"/>
        <v>1.04</v>
      </c>
      <c r="J1293" s="76">
        <f t="shared" si="481"/>
        <v>1.04</v>
      </c>
      <c r="K1293" s="67">
        <f t="shared" si="482"/>
        <v>0</v>
      </c>
      <c r="L1293" s="67">
        <f t="shared" si="483"/>
        <v>0</v>
      </c>
      <c r="M1293" s="77">
        <f t="shared" si="484"/>
        <v>0</v>
      </c>
      <c r="N1293" s="76">
        <f t="shared" si="485"/>
        <v>1.04</v>
      </c>
      <c r="O1293" s="77">
        <f t="shared" si="486"/>
        <v>0.9118216630196937</v>
      </c>
      <c r="P1293" s="76">
        <f t="shared" si="487"/>
        <v>0</v>
      </c>
      <c r="Q1293" s="76">
        <f t="shared" si="488"/>
        <v>1</v>
      </c>
      <c r="R1293" s="76">
        <f t="shared" si="489"/>
        <v>0</v>
      </c>
      <c r="S1293" s="76">
        <f t="shared" si="490"/>
        <v>1.0307549234135667</v>
      </c>
      <c r="T1293" s="76">
        <f t="shared" si="491"/>
        <v>0.98676981257730001</v>
      </c>
      <c r="U1293" s="76">
        <f t="shared" si="492"/>
        <v>1.04</v>
      </c>
    </row>
    <row r="1294" spans="1:21" x14ac:dyDescent="0.25">
      <c r="A1294" s="71">
        <v>28</v>
      </c>
      <c r="B1294" s="72">
        <f t="shared" si="493"/>
        <v>46478</v>
      </c>
      <c r="C1294" s="73">
        <f t="shared" si="474"/>
        <v>46507</v>
      </c>
      <c r="D1294" s="67">
        <f t="shared" si="475"/>
        <v>30</v>
      </c>
      <c r="E1294" s="67">
        <f t="shared" si="476"/>
        <v>4</v>
      </c>
      <c r="F1294" s="74">
        <f t="shared" si="477"/>
        <v>46493</v>
      </c>
      <c r="G1294" s="67">
        <f t="shared" si="478"/>
        <v>24327</v>
      </c>
      <c r="H1294" s="75">
        <f t="shared" si="479"/>
        <v>1</v>
      </c>
      <c r="I1294" s="76">
        <f t="shared" si="480"/>
        <v>1.04</v>
      </c>
      <c r="J1294" s="76">
        <f t="shared" si="481"/>
        <v>1.04</v>
      </c>
      <c r="K1294" s="67">
        <f t="shared" si="482"/>
        <v>0</v>
      </c>
      <c r="L1294" s="67">
        <f t="shared" si="483"/>
        <v>0</v>
      </c>
      <c r="M1294" s="77">
        <f t="shared" si="484"/>
        <v>0</v>
      </c>
      <c r="N1294" s="76">
        <f t="shared" si="485"/>
        <v>1.04</v>
      </c>
      <c r="O1294" s="77">
        <f t="shared" si="486"/>
        <v>0.91215536105032824</v>
      </c>
      <c r="P1294" s="76">
        <f t="shared" si="487"/>
        <v>0</v>
      </c>
      <c r="Q1294" s="76">
        <f t="shared" si="488"/>
        <v>1</v>
      </c>
      <c r="R1294" s="76">
        <f t="shared" si="489"/>
        <v>0</v>
      </c>
      <c r="S1294" s="76">
        <f t="shared" si="490"/>
        <v>1.031132147274284</v>
      </c>
      <c r="T1294" s="76">
        <f t="shared" si="491"/>
        <v>0.98713252782798966</v>
      </c>
      <c r="U1294" s="76">
        <f t="shared" si="492"/>
        <v>1.04</v>
      </c>
    </row>
    <row r="1295" spans="1:21" x14ac:dyDescent="0.25">
      <c r="A1295" s="71">
        <v>29</v>
      </c>
      <c r="B1295" s="72">
        <f t="shared" si="493"/>
        <v>46508</v>
      </c>
      <c r="C1295" s="73">
        <f t="shared" si="474"/>
        <v>46538</v>
      </c>
      <c r="D1295" s="67">
        <f t="shared" si="475"/>
        <v>31</v>
      </c>
      <c r="E1295" s="67">
        <f t="shared" si="476"/>
        <v>5</v>
      </c>
      <c r="F1295" s="74">
        <f t="shared" si="477"/>
        <v>46523.5</v>
      </c>
      <c r="G1295" s="67">
        <f t="shared" si="478"/>
        <v>24328</v>
      </c>
      <c r="H1295" s="75">
        <f t="shared" si="479"/>
        <v>1</v>
      </c>
      <c r="I1295" s="76">
        <f t="shared" si="480"/>
        <v>1.04</v>
      </c>
      <c r="J1295" s="76">
        <f t="shared" si="481"/>
        <v>1.04</v>
      </c>
      <c r="K1295" s="67">
        <f t="shared" si="482"/>
        <v>0</v>
      </c>
      <c r="L1295" s="67">
        <f t="shared" si="483"/>
        <v>0</v>
      </c>
      <c r="M1295" s="77">
        <f t="shared" si="484"/>
        <v>0</v>
      </c>
      <c r="N1295" s="76">
        <f t="shared" si="485"/>
        <v>1.04</v>
      </c>
      <c r="O1295" s="77">
        <f t="shared" si="486"/>
        <v>0.91248905908096278</v>
      </c>
      <c r="P1295" s="76">
        <f t="shared" si="487"/>
        <v>0</v>
      </c>
      <c r="Q1295" s="76">
        <f t="shared" si="488"/>
        <v>1</v>
      </c>
      <c r="R1295" s="76">
        <f t="shared" si="489"/>
        <v>0</v>
      </c>
      <c r="S1295" s="76">
        <f t="shared" si="490"/>
        <v>1.0315093711350014</v>
      </c>
      <c r="T1295" s="76">
        <f t="shared" si="491"/>
        <v>0.98749524307867942</v>
      </c>
      <c r="U1295" s="76">
        <f t="shared" si="492"/>
        <v>1.04</v>
      </c>
    </row>
    <row r="1296" spans="1:21" x14ac:dyDescent="0.25">
      <c r="A1296" s="71">
        <v>30</v>
      </c>
      <c r="B1296" s="72">
        <f t="shared" si="493"/>
        <v>46539</v>
      </c>
      <c r="C1296" s="73">
        <f t="shared" si="474"/>
        <v>46568</v>
      </c>
      <c r="D1296" s="67">
        <f t="shared" si="475"/>
        <v>30</v>
      </c>
      <c r="E1296" s="67">
        <f t="shared" si="476"/>
        <v>6</v>
      </c>
      <c r="F1296" s="74">
        <f t="shared" si="477"/>
        <v>46554</v>
      </c>
      <c r="G1296" s="67">
        <f t="shared" si="478"/>
        <v>24329</v>
      </c>
      <c r="H1296" s="75">
        <f t="shared" si="479"/>
        <v>1</v>
      </c>
      <c r="I1296" s="76">
        <f t="shared" si="480"/>
        <v>1.04</v>
      </c>
      <c r="J1296" s="76">
        <f t="shared" si="481"/>
        <v>1.04</v>
      </c>
      <c r="K1296" s="67">
        <f t="shared" si="482"/>
        <v>0</v>
      </c>
      <c r="L1296" s="67">
        <f t="shared" si="483"/>
        <v>0</v>
      </c>
      <c r="M1296" s="77">
        <f t="shared" si="484"/>
        <v>0</v>
      </c>
      <c r="N1296" s="76">
        <f t="shared" si="485"/>
        <v>1.04</v>
      </c>
      <c r="O1296" s="77">
        <f t="shared" si="486"/>
        <v>0.91282275711159744</v>
      </c>
      <c r="P1296" s="76">
        <f t="shared" si="487"/>
        <v>0</v>
      </c>
      <c r="Q1296" s="76">
        <f t="shared" si="488"/>
        <v>1</v>
      </c>
      <c r="R1296" s="76">
        <f t="shared" si="489"/>
        <v>0</v>
      </c>
      <c r="S1296" s="76">
        <f t="shared" si="490"/>
        <v>1.0318865949957188</v>
      </c>
      <c r="T1296" s="76">
        <f t="shared" si="491"/>
        <v>0.98785795832936929</v>
      </c>
      <c r="U1296" s="76">
        <f t="shared" si="492"/>
        <v>1.04</v>
      </c>
    </row>
    <row r="1297" spans="1:21" x14ac:dyDescent="0.25">
      <c r="A1297" s="71">
        <v>31</v>
      </c>
      <c r="B1297" s="72">
        <f t="shared" si="493"/>
        <v>46569</v>
      </c>
      <c r="C1297" s="73">
        <f t="shared" si="474"/>
        <v>46599</v>
      </c>
      <c r="D1297" s="67">
        <f t="shared" si="475"/>
        <v>31</v>
      </c>
      <c r="E1297" s="67">
        <f t="shared" si="476"/>
        <v>7</v>
      </c>
      <c r="F1297" s="74">
        <f t="shared" si="477"/>
        <v>46584.5</v>
      </c>
      <c r="G1297" s="67">
        <f t="shared" si="478"/>
        <v>24330</v>
      </c>
      <c r="H1297" s="75">
        <f t="shared" si="479"/>
        <v>1</v>
      </c>
      <c r="I1297" s="76">
        <f t="shared" si="480"/>
        <v>1.04</v>
      </c>
      <c r="J1297" s="76">
        <f t="shared" si="481"/>
        <v>1.04</v>
      </c>
      <c r="K1297" s="67">
        <f t="shared" si="482"/>
        <v>0</v>
      </c>
      <c r="L1297" s="67">
        <f t="shared" si="483"/>
        <v>0</v>
      </c>
      <c r="M1297" s="77">
        <f t="shared" si="484"/>
        <v>0</v>
      </c>
      <c r="N1297" s="76">
        <f t="shared" si="485"/>
        <v>1.04</v>
      </c>
      <c r="O1297" s="77">
        <f t="shared" si="486"/>
        <v>0.91315645514223198</v>
      </c>
      <c r="P1297" s="76">
        <f t="shared" si="487"/>
        <v>0</v>
      </c>
      <c r="Q1297" s="76">
        <f t="shared" si="488"/>
        <v>0.91666666666666663</v>
      </c>
      <c r="R1297" s="76">
        <f t="shared" si="489"/>
        <v>8.333333333333337E-2</v>
      </c>
      <c r="S1297" s="76">
        <f t="shared" si="490"/>
        <v>1.0322638188564361</v>
      </c>
      <c r="T1297" s="76">
        <f t="shared" si="491"/>
        <v>0.98822067358005905</v>
      </c>
      <c r="U1297" s="76">
        <f t="shared" si="492"/>
        <v>1.04</v>
      </c>
    </row>
    <row r="1298" spans="1:21" x14ac:dyDescent="0.25">
      <c r="A1298" s="71">
        <v>32</v>
      </c>
      <c r="B1298" s="72">
        <f t="shared" si="493"/>
        <v>46600</v>
      </c>
      <c r="C1298" s="73">
        <f t="shared" si="474"/>
        <v>46630</v>
      </c>
      <c r="D1298" s="67">
        <f t="shared" si="475"/>
        <v>31</v>
      </c>
      <c r="E1298" s="67">
        <f t="shared" si="476"/>
        <v>8</v>
      </c>
      <c r="F1298" s="74">
        <f t="shared" si="477"/>
        <v>46615.5</v>
      </c>
      <c r="G1298" s="67">
        <f t="shared" si="478"/>
        <v>24331</v>
      </c>
      <c r="H1298" s="75">
        <f t="shared" si="479"/>
        <v>1</v>
      </c>
      <c r="I1298" s="76">
        <f t="shared" si="480"/>
        <v>1.04</v>
      </c>
      <c r="J1298" s="76">
        <f t="shared" si="481"/>
        <v>1.04</v>
      </c>
      <c r="K1298" s="67">
        <f t="shared" si="482"/>
        <v>0</v>
      </c>
      <c r="L1298" s="67">
        <f t="shared" si="483"/>
        <v>0</v>
      </c>
      <c r="M1298" s="77">
        <f t="shared" si="484"/>
        <v>0</v>
      </c>
      <c r="N1298" s="76">
        <f t="shared" si="485"/>
        <v>1.04</v>
      </c>
      <c r="O1298" s="77">
        <f t="shared" si="486"/>
        <v>0.91349562363238512</v>
      </c>
      <c r="P1298" s="76">
        <f t="shared" si="487"/>
        <v>0</v>
      </c>
      <c r="Q1298" s="76">
        <f t="shared" si="488"/>
        <v>0.75</v>
      </c>
      <c r="R1298" s="76">
        <f t="shared" si="489"/>
        <v>0.25</v>
      </c>
      <c r="S1298" s="76">
        <f t="shared" si="490"/>
        <v>1.0326472267148701</v>
      </c>
      <c r="T1298" s="76">
        <f t="shared" si="491"/>
        <v>0.98858933498239931</v>
      </c>
      <c r="U1298" s="76">
        <f t="shared" si="492"/>
        <v>1.04</v>
      </c>
    </row>
    <row r="1299" spans="1:21" x14ac:dyDescent="0.25">
      <c r="A1299" s="71">
        <v>33</v>
      </c>
      <c r="B1299" s="72">
        <f t="shared" si="493"/>
        <v>46631</v>
      </c>
      <c r="C1299" s="73">
        <f t="shared" si="474"/>
        <v>46660</v>
      </c>
      <c r="D1299" s="67">
        <f t="shared" si="475"/>
        <v>30</v>
      </c>
      <c r="E1299" s="67">
        <f t="shared" si="476"/>
        <v>9</v>
      </c>
      <c r="F1299" s="74">
        <f t="shared" si="477"/>
        <v>46646</v>
      </c>
      <c r="G1299" s="67">
        <f t="shared" si="478"/>
        <v>24332</v>
      </c>
      <c r="H1299" s="75">
        <f t="shared" si="479"/>
        <v>1</v>
      </c>
      <c r="I1299" s="76">
        <f t="shared" si="480"/>
        <v>1.04</v>
      </c>
      <c r="J1299" s="76">
        <f t="shared" si="481"/>
        <v>1.04</v>
      </c>
      <c r="K1299" s="67">
        <f t="shared" si="482"/>
        <v>0</v>
      </c>
      <c r="L1299" s="67">
        <f t="shared" si="483"/>
        <v>0</v>
      </c>
      <c r="M1299" s="77">
        <f t="shared" si="484"/>
        <v>0</v>
      </c>
      <c r="N1299" s="76">
        <f t="shared" si="485"/>
        <v>1.04</v>
      </c>
      <c r="O1299" s="77">
        <f t="shared" si="486"/>
        <v>0.91382932166301978</v>
      </c>
      <c r="P1299" s="76">
        <f t="shared" si="487"/>
        <v>0</v>
      </c>
      <c r="Q1299" s="76">
        <f t="shared" si="488"/>
        <v>0.58333333333333337</v>
      </c>
      <c r="R1299" s="76">
        <f t="shared" si="489"/>
        <v>0.41666666666666663</v>
      </c>
      <c r="S1299" s="76">
        <f t="shared" si="490"/>
        <v>1.0330244505755877</v>
      </c>
      <c r="T1299" s="76">
        <f t="shared" si="491"/>
        <v>0.98895205023308907</v>
      </c>
      <c r="U1299" s="76">
        <f t="shared" si="492"/>
        <v>1.04</v>
      </c>
    </row>
    <row r="1300" spans="1:21" x14ac:dyDescent="0.25">
      <c r="A1300" s="71">
        <v>34</v>
      </c>
      <c r="B1300" s="72">
        <f t="shared" si="493"/>
        <v>46661</v>
      </c>
      <c r="C1300" s="73">
        <f t="shared" si="474"/>
        <v>46691</v>
      </c>
      <c r="D1300" s="67">
        <f t="shared" si="475"/>
        <v>31</v>
      </c>
      <c r="E1300" s="67">
        <f t="shared" si="476"/>
        <v>10</v>
      </c>
      <c r="F1300" s="74">
        <f t="shared" si="477"/>
        <v>46676.5</v>
      </c>
      <c r="G1300" s="67">
        <f t="shared" si="478"/>
        <v>24333</v>
      </c>
      <c r="H1300" s="75">
        <f t="shared" si="479"/>
        <v>1</v>
      </c>
      <c r="I1300" s="76">
        <f t="shared" si="480"/>
        <v>1.04</v>
      </c>
      <c r="J1300" s="76">
        <f t="shared" si="481"/>
        <v>1.04</v>
      </c>
      <c r="K1300" s="67">
        <f t="shared" si="482"/>
        <v>0</v>
      </c>
      <c r="L1300" s="67">
        <f t="shared" si="483"/>
        <v>0</v>
      </c>
      <c r="M1300" s="77">
        <f t="shared" si="484"/>
        <v>0</v>
      </c>
      <c r="N1300" s="76">
        <f t="shared" si="485"/>
        <v>1.04</v>
      </c>
      <c r="O1300" s="77">
        <f t="shared" si="486"/>
        <v>0.91416301969365432</v>
      </c>
      <c r="P1300" s="76">
        <f t="shared" si="487"/>
        <v>0</v>
      </c>
      <c r="Q1300" s="76">
        <f t="shared" si="488"/>
        <v>0.41666666666666669</v>
      </c>
      <c r="R1300" s="76">
        <f t="shared" si="489"/>
        <v>0.58333333333333326</v>
      </c>
      <c r="S1300" s="76">
        <f t="shared" si="490"/>
        <v>1.0334016744363048</v>
      </c>
      <c r="T1300" s="76">
        <f t="shared" si="491"/>
        <v>0.98931476548377895</v>
      </c>
      <c r="U1300" s="76">
        <f t="shared" si="492"/>
        <v>1.04</v>
      </c>
    </row>
    <row r="1301" spans="1:21" x14ac:dyDescent="0.25">
      <c r="A1301" s="71">
        <v>35</v>
      </c>
      <c r="B1301" s="72">
        <f t="shared" si="493"/>
        <v>46692</v>
      </c>
      <c r="C1301" s="73">
        <f t="shared" si="474"/>
        <v>46721</v>
      </c>
      <c r="D1301" s="67">
        <f t="shared" si="475"/>
        <v>30</v>
      </c>
      <c r="E1301" s="67">
        <f t="shared" si="476"/>
        <v>11</v>
      </c>
      <c r="F1301" s="74">
        <f t="shared" si="477"/>
        <v>46707</v>
      </c>
      <c r="G1301" s="67">
        <f t="shared" si="478"/>
        <v>24334</v>
      </c>
      <c r="H1301" s="75">
        <f t="shared" si="479"/>
        <v>1</v>
      </c>
      <c r="I1301" s="76">
        <f t="shared" si="480"/>
        <v>1.04</v>
      </c>
      <c r="J1301" s="76">
        <f t="shared" si="481"/>
        <v>1.04</v>
      </c>
      <c r="K1301" s="67">
        <f t="shared" si="482"/>
        <v>0</v>
      </c>
      <c r="L1301" s="67">
        <f t="shared" si="483"/>
        <v>0</v>
      </c>
      <c r="M1301" s="77">
        <f t="shared" si="484"/>
        <v>0</v>
      </c>
      <c r="N1301" s="76">
        <f t="shared" si="485"/>
        <v>1.04</v>
      </c>
      <c r="O1301" s="77">
        <f t="shared" si="486"/>
        <v>0.91449671772428887</v>
      </c>
      <c r="P1301" s="76">
        <f t="shared" si="487"/>
        <v>0</v>
      </c>
      <c r="Q1301" s="76">
        <f t="shared" si="488"/>
        <v>0.25</v>
      </c>
      <c r="R1301" s="76">
        <f t="shared" si="489"/>
        <v>0.75</v>
      </c>
      <c r="S1301" s="76">
        <f t="shared" si="490"/>
        <v>1.0337788982970222</v>
      </c>
      <c r="T1301" s="76">
        <f t="shared" si="491"/>
        <v>1.0292645799638476</v>
      </c>
      <c r="U1301" s="76">
        <f t="shared" si="492"/>
        <v>1.04</v>
      </c>
    </row>
    <row r="1302" spans="1:21" x14ac:dyDescent="0.25">
      <c r="A1302" s="71">
        <v>36</v>
      </c>
      <c r="B1302" s="72">
        <f t="shared" si="493"/>
        <v>46722</v>
      </c>
      <c r="C1302" s="73">
        <f t="shared" si="474"/>
        <v>46752</v>
      </c>
      <c r="D1302" s="67">
        <f t="shared" si="475"/>
        <v>31</v>
      </c>
      <c r="E1302" s="67">
        <f t="shared" si="476"/>
        <v>12</v>
      </c>
      <c r="F1302" s="74">
        <f t="shared" si="477"/>
        <v>46737.5</v>
      </c>
      <c r="G1302" s="67">
        <f t="shared" si="478"/>
        <v>24335</v>
      </c>
      <c r="H1302" s="75">
        <f t="shared" si="479"/>
        <v>1</v>
      </c>
      <c r="I1302" s="76">
        <f t="shared" si="480"/>
        <v>1.04</v>
      </c>
      <c r="J1302" s="76">
        <f t="shared" si="481"/>
        <v>1.04</v>
      </c>
      <c r="K1302" s="67">
        <f t="shared" si="482"/>
        <v>0</v>
      </c>
      <c r="L1302" s="67">
        <f t="shared" si="483"/>
        <v>0</v>
      </c>
      <c r="M1302" s="77">
        <f t="shared" si="484"/>
        <v>0</v>
      </c>
      <c r="N1302" s="76">
        <f t="shared" si="485"/>
        <v>1.04</v>
      </c>
      <c r="O1302" s="77">
        <f t="shared" si="486"/>
        <v>0.91483041575492341</v>
      </c>
      <c r="P1302" s="76">
        <f t="shared" si="487"/>
        <v>0</v>
      </c>
      <c r="Q1302" s="76">
        <f t="shared" si="488"/>
        <v>8.3333333333333329E-2</v>
      </c>
      <c r="R1302" s="76">
        <f t="shared" si="489"/>
        <v>0.91666666666666663</v>
      </c>
      <c r="S1302" s="76">
        <f t="shared" si="490"/>
        <v>1.0341561221577396</v>
      </c>
      <c r="T1302" s="76">
        <f t="shared" si="491"/>
        <v>1.0296418038245647</v>
      </c>
      <c r="U1302" s="76">
        <f t="shared" si="492"/>
        <v>1.04</v>
      </c>
    </row>
    <row r="1303" spans="1:21" x14ac:dyDescent="0.25">
      <c r="A1303" s="71">
        <v>37</v>
      </c>
      <c r="B1303" s="72">
        <f t="shared" si="493"/>
        <v>46753</v>
      </c>
      <c r="C1303" s="73">
        <f t="shared" si="474"/>
        <v>46783</v>
      </c>
      <c r="D1303" s="67">
        <f t="shared" si="475"/>
        <v>31</v>
      </c>
      <c r="E1303" s="67">
        <f t="shared" si="476"/>
        <v>1</v>
      </c>
      <c r="F1303" s="74">
        <f t="shared" si="477"/>
        <v>46768.5</v>
      </c>
      <c r="G1303" s="67">
        <f t="shared" si="478"/>
        <v>24336</v>
      </c>
      <c r="H1303" s="75">
        <f t="shared" si="479"/>
        <v>1</v>
      </c>
      <c r="I1303" s="76">
        <f t="shared" si="480"/>
        <v>1.04</v>
      </c>
      <c r="J1303" s="76">
        <f t="shared" si="481"/>
        <v>1.04</v>
      </c>
      <c r="K1303" s="67">
        <f t="shared" si="482"/>
        <v>0</v>
      </c>
      <c r="L1303" s="67">
        <f t="shared" si="483"/>
        <v>0</v>
      </c>
      <c r="M1303" s="77">
        <f t="shared" si="484"/>
        <v>0</v>
      </c>
      <c r="N1303" s="76">
        <f t="shared" si="485"/>
        <v>1.04</v>
      </c>
      <c r="O1303" s="77">
        <f t="shared" si="486"/>
        <v>0.91500000000000004</v>
      </c>
      <c r="P1303" s="76">
        <f t="shared" si="487"/>
        <v>0</v>
      </c>
      <c r="Q1303" s="76">
        <f t="shared" si="488"/>
        <v>0</v>
      </c>
      <c r="R1303" s="76">
        <f t="shared" si="489"/>
        <v>1</v>
      </c>
      <c r="S1303" s="76">
        <f t="shared" si="490"/>
        <v>1.0343478260869565</v>
      </c>
      <c r="T1303" s="76">
        <f t="shared" si="491"/>
        <v>0.98606816668252306</v>
      </c>
      <c r="U1303" s="76">
        <f t="shared" si="492"/>
        <v>1.04</v>
      </c>
    </row>
    <row r="1304" spans="1:21" x14ac:dyDescent="0.25">
      <c r="A1304" s="71">
        <v>38</v>
      </c>
      <c r="B1304" s="72">
        <f t="shared" si="493"/>
        <v>46784</v>
      </c>
      <c r="C1304" s="73">
        <f t="shared" si="474"/>
        <v>46812</v>
      </c>
      <c r="D1304" s="67">
        <f t="shared" si="475"/>
        <v>29</v>
      </c>
      <c r="E1304" s="67">
        <f t="shared" si="476"/>
        <v>2</v>
      </c>
      <c r="F1304" s="74">
        <f t="shared" si="477"/>
        <v>46798.5</v>
      </c>
      <c r="G1304" s="67">
        <f t="shared" si="478"/>
        <v>24337</v>
      </c>
      <c r="H1304" s="75">
        <f t="shared" si="479"/>
        <v>1</v>
      </c>
      <c r="I1304" s="76">
        <f t="shared" si="480"/>
        <v>1.04</v>
      </c>
      <c r="J1304" s="76">
        <f t="shared" si="481"/>
        <v>1.04</v>
      </c>
      <c r="K1304" s="67">
        <f t="shared" si="482"/>
        <v>0</v>
      </c>
      <c r="L1304" s="67">
        <f t="shared" si="483"/>
        <v>0</v>
      </c>
      <c r="M1304" s="77">
        <f t="shared" si="484"/>
        <v>0</v>
      </c>
      <c r="N1304" s="76">
        <f t="shared" si="485"/>
        <v>1.04</v>
      </c>
      <c r="O1304" s="77">
        <f t="shared" si="486"/>
        <v>0.91500000000000004</v>
      </c>
      <c r="P1304" s="76">
        <f t="shared" si="487"/>
        <v>0</v>
      </c>
      <c r="Q1304" s="76">
        <f t="shared" si="488"/>
        <v>0</v>
      </c>
      <c r="R1304" s="76">
        <f t="shared" si="489"/>
        <v>1</v>
      </c>
      <c r="S1304" s="76">
        <f t="shared" si="490"/>
        <v>1.0343478260869565</v>
      </c>
      <c r="T1304" s="76">
        <f t="shared" si="491"/>
        <v>0.98641898962991159</v>
      </c>
      <c r="U1304" s="76">
        <f t="shared" si="492"/>
        <v>1.04</v>
      </c>
    </row>
    <row r="1305" spans="1:21" x14ac:dyDescent="0.25">
      <c r="A1305" s="71">
        <v>39</v>
      </c>
      <c r="B1305" s="72">
        <f t="shared" si="493"/>
        <v>46813</v>
      </c>
      <c r="C1305" s="73">
        <f t="shared" si="474"/>
        <v>46843</v>
      </c>
      <c r="D1305" s="67">
        <f t="shared" si="475"/>
        <v>31</v>
      </c>
      <c r="E1305" s="67">
        <f t="shared" si="476"/>
        <v>3</v>
      </c>
      <c r="F1305" s="74">
        <f t="shared" si="477"/>
        <v>46828.5</v>
      </c>
      <c r="G1305" s="67">
        <f t="shared" si="478"/>
        <v>24338</v>
      </c>
      <c r="H1305" s="75">
        <f t="shared" si="479"/>
        <v>1</v>
      </c>
      <c r="I1305" s="76">
        <f t="shared" si="480"/>
        <v>1.04</v>
      </c>
      <c r="J1305" s="76">
        <f t="shared" si="481"/>
        <v>1.04</v>
      </c>
      <c r="K1305" s="67">
        <f t="shared" si="482"/>
        <v>0</v>
      </c>
      <c r="L1305" s="67">
        <f t="shared" si="483"/>
        <v>0</v>
      </c>
      <c r="M1305" s="77">
        <f t="shared" si="484"/>
        <v>0</v>
      </c>
      <c r="N1305" s="76">
        <f t="shared" si="485"/>
        <v>1.04</v>
      </c>
      <c r="O1305" s="77">
        <f t="shared" si="486"/>
        <v>0.91500000000000004</v>
      </c>
      <c r="P1305" s="76">
        <f t="shared" si="487"/>
        <v>0</v>
      </c>
      <c r="Q1305" s="76">
        <f t="shared" si="488"/>
        <v>0</v>
      </c>
      <c r="R1305" s="76">
        <f t="shared" si="489"/>
        <v>1</v>
      </c>
      <c r="S1305" s="76">
        <f t="shared" si="490"/>
        <v>1.0343478260869565</v>
      </c>
      <c r="T1305" s="76">
        <f t="shared" si="491"/>
        <v>0.98676981257730001</v>
      </c>
      <c r="U1305" s="76">
        <f t="shared" si="492"/>
        <v>1.04</v>
      </c>
    </row>
    <row r="1306" spans="1:21" x14ac:dyDescent="0.25">
      <c r="A1306" s="71">
        <v>40</v>
      </c>
      <c r="B1306" s="72">
        <f t="shared" si="493"/>
        <v>46844</v>
      </c>
      <c r="C1306" s="73">
        <f t="shared" si="474"/>
        <v>46873</v>
      </c>
      <c r="D1306" s="67">
        <f t="shared" si="475"/>
        <v>30</v>
      </c>
      <c r="E1306" s="67">
        <f t="shared" si="476"/>
        <v>4</v>
      </c>
      <c r="F1306" s="74">
        <f t="shared" si="477"/>
        <v>46859</v>
      </c>
      <c r="G1306" s="67">
        <f t="shared" si="478"/>
        <v>24339</v>
      </c>
      <c r="H1306" s="75">
        <f t="shared" si="479"/>
        <v>1</v>
      </c>
      <c r="I1306" s="76">
        <f t="shared" si="480"/>
        <v>1.04</v>
      </c>
      <c r="J1306" s="76">
        <f t="shared" si="481"/>
        <v>1.04</v>
      </c>
      <c r="K1306" s="67">
        <f t="shared" si="482"/>
        <v>0</v>
      </c>
      <c r="L1306" s="67">
        <f t="shared" si="483"/>
        <v>0</v>
      </c>
      <c r="M1306" s="77">
        <f t="shared" si="484"/>
        <v>0</v>
      </c>
      <c r="N1306" s="76">
        <f t="shared" si="485"/>
        <v>1.04</v>
      </c>
      <c r="O1306" s="77">
        <f t="shared" si="486"/>
        <v>0.91500000000000004</v>
      </c>
      <c r="P1306" s="76">
        <f t="shared" si="487"/>
        <v>0</v>
      </c>
      <c r="Q1306" s="76">
        <f t="shared" si="488"/>
        <v>0</v>
      </c>
      <c r="R1306" s="76">
        <f t="shared" si="489"/>
        <v>1</v>
      </c>
      <c r="S1306" s="76">
        <f t="shared" si="490"/>
        <v>1.0343478260869565</v>
      </c>
      <c r="T1306" s="76">
        <f t="shared" si="491"/>
        <v>0.98713252782798966</v>
      </c>
      <c r="U1306" s="76">
        <f t="shared" si="492"/>
        <v>1.04</v>
      </c>
    </row>
    <row r="1307" spans="1:21" x14ac:dyDescent="0.25">
      <c r="A1307" s="71">
        <v>41</v>
      </c>
      <c r="B1307" s="72">
        <f t="shared" si="493"/>
        <v>46874</v>
      </c>
      <c r="C1307" s="73">
        <f t="shared" si="474"/>
        <v>46904</v>
      </c>
      <c r="D1307" s="67">
        <f t="shared" si="475"/>
        <v>31</v>
      </c>
      <c r="E1307" s="67">
        <f t="shared" si="476"/>
        <v>5</v>
      </c>
      <c r="F1307" s="74">
        <f t="shared" si="477"/>
        <v>46889.5</v>
      </c>
      <c r="G1307" s="67">
        <f t="shared" si="478"/>
        <v>24340</v>
      </c>
      <c r="H1307" s="75">
        <f t="shared" si="479"/>
        <v>1</v>
      </c>
      <c r="I1307" s="76">
        <f t="shared" si="480"/>
        <v>1.04</v>
      </c>
      <c r="J1307" s="76">
        <f t="shared" si="481"/>
        <v>1.04</v>
      </c>
      <c r="K1307" s="67">
        <f t="shared" si="482"/>
        <v>0</v>
      </c>
      <c r="L1307" s="67">
        <f t="shared" si="483"/>
        <v>0</v>
      </c>
      <c r="M1307" s="77">
        <f t="shared" si="484"/>
        <v>0</v>
      </c>
      <c r="N1307" s="76">
        <f t="shared" si="485"/>
        <v>1.04</v>
      </c>
      <c r="O1307" s="77">
        <f t="shared" si="486"/>
        <v>0.91500000000000004</v>
      </c>
      <c r="P1307" s="76">
        <f t="shared" si="487"/>
        <v>0</v>
      </c>
      <c r="Q1307" s="76">
        <f t="shared" si="488"/>
        <v>0</v>
      </c>
      <c r="R1307" s="76">
        <f t="shared" si="489"/>
        <v>1</v>
      </c>
      <c r="S1307" s="76">
        <f t="shared" si="490"/>
        <v>1.0343478260869565</v>
      </c>
      <c r="T1307" s="76">
        <f t="shared" si="491"/>
        <v>0.98749524307867942</v>
      </c>
      <c r="U1307" s="76">
        <f t="shared" si="492"/>
        <v>1.04</v>
      </c>
    </row>
    <row r="1308" spans="1:21" x14ac:dyDescent="0.25">
      <c r="A1308" s="71">
        <v>42</v>
      </c>
      <c r="B1308" s="72">
        <f t="shared" si="493"/>
        <v>46905</v>
      </c>
      <c r="C1308" s="73">
        <f t="shared" si="474"/>
        <v>46934</v>
      </c>
      <c r="D1308" s="67">
        <f t="shared" si="475"/>
        <v>30</v>
      </c>
      <c r="E1308" s="67">
        <f t="shared" si="476"/>
        <v>6</v>
      </c>
      <c r="F1308" s="74">
        <f t="shared" si="477"/>
        <v>46920</v>
      </c>
      <c r="G1308" s="67">
        <f t="shared" si="478"/>
        <v>24341</v>
      </c>
      <c r="H1308" s="75">
        <f t="shared" si="479"/>
        <v>1</v>
      </c>
      <c r="I1308" s="76">
        <f t="shared" si="480"/>
        <v>1.04</v>
      </c>
      <c r="J1308" s="76">
        <f t="shared" si="481"/>
        <v>1.04</v>
      </c>
      <c r="K1308" s="67">
        <f t="shared" si="482"/>
        <v>0</v>
      </c>
      <c r="L1308" s="67">
        <f t="shared" si="483"/>
        <v>0</v>
      </c>
      <c r="M1308" s="77">
        <f t="shared" si="484"/>
        <v>0</v>
      </c>
      <c r="N1308" s="76">
        <f t="shared" si="485"/>
        <v>1.04</v>
      </c>
      <c r="O1308" s="77">
        <f t="shared" si="486"/>
        <v>0.91500000000000004</v>
      </c>
      <c r="P1308" s="76">
        <f t="shared" si="487"/>
        <v>0</v>
      </c>
      <c r="Q1308" s="76">
        <f t="shared" si="488"/>
        <v>0</v>
      </c>
      <c r="R1308" s="76">
        <f t="shared" si="489"/>
        <v>1</v>
      </c>
      <c r="S1308" s="76">
        <f t="shared" si="490"/>
        <v>1.0343478260869565</v>
      </c>
      <c r="T1308" s="76">
        <f t="shared" si="491"/>
        <v>0.98785795832936929</v>
      </c>
      <c r="U1308" s="76">
        <f t="shared" si="492"/>
        <v>1.04</v>
      </c>
    </row>
    <row r="1309" spans="1:21" x14ac:dyDescent="0.25">
      <c r="A1309" s="71">
        <v>43</v>
      </c>
      <c r="B1309" s="72">
        <f t="shared" si="493"/>
        <v>46935</v>
      </c>
      <c r="C1309" s="73">
        <f t="shared" si="474"/>
        <v>46965</v>
      </c>
      <c r="D1309" s="67">
        <f t="shared" si="475"/>
        <v>31</v>
      </c>
      <c r="E1309" s="67">
        <f t="shared" si="476"/>
        <v>7</v>
      </c>
      <c r="F1309" s="74">
        <f t="shared" si="477"/>
        <v>46950.5</v>
      </c>
      <c r="G1309" s="67">
        <f t="shared" si="478"/>
        <v>24342</v>
      </c>
      <c r="H1309" s="75">
        <f t="shared" si="479"/>
        <v>1</v>
      </c>
      <c r="I1309" s="76">
        <f t="shared" si="480"/>
        <v>1.04</v>
      </c>
      <c r="J1309" s="76">
        <f t="shared" si="481"/>
        <v>1.04</v>
      </c>
      <c r="K1309" s="67">
        <f t="shared" si="482"/>
        <v>0</v>
      </c>
      <c r="L1309" s="67">
        <f t="shared" si="483"/>
        <v>0</v>
      </c>
      <c r="M1309" s="77">
        <f t="shared" si="484"/>
        <v>0</v>
      </c>
      <c r="N1309" s="76">
        <f t="shared" si="485"/>
        <v>1.04</v>
      </c>
      <c r="O1309" s="77">
        <f t="shared" si="486"/>
        <v>0.91500000000000004</v>
      </c>
      <c r="P1309" s="76">
        <f t="shared" si="487"/>
        <v>0</v>
      </c>
      <c r="Q1309" s="76">
        <f t="shared" si="488"/>
        <v>0</v>
      </c>
      <c r="R1309" s="76">
        <f t="shared" si="489"/>
        <v>0.91666666666666663</v>
      </c>
      <c r="S1309" s="76">
        <f t="shared" si="490"/>
        <v>1.0343478260869565</v>
      </c>
      <c r="T1309" s="76">
        <f t="shared" si="491"/>
        <v>0.98822067358005905</v>
      </c>
      <c r="U1309" s="76">
        <f t="shared" si="492"/>
        <v>1.04</v>
      </c>
    </row>
    <row r="1310" spans="1:21" x14ac:dyDescent="0.25">
      <c r="A1310" s="71">
        <v>44</v>
      </c>
      <c r="B1310" s="72">
        <f t="shared" si="493"/>
        <v>46966</v>
      </c>
      <c r="C1310" s="73">
        <f t="shared" si="474"/>
        <v>46996</v>
      </c>
      <c r="D1310" s="67">
        <f t="shared" si="475"/>
        <v>31</v>
      </c>
      <c r="E1310" s="67">
        <f t="shared" si="476"/>
        <v>8</v>
      </c>
      <c r="F1310" s="74">
        <f t="shared" si="477"/>
        <v>46981.5</v>
      </c>
      <c r="G1310" s="67">
        <f t="shared" si="478"/>
        <v>24343</v>
      </c>
      <c r="H1310" s="75">
        <f t="shared" si="479"/>
        <v>1</v>
      </c>
      <c r="I1310" s="76">
        <f t="shared" si="480"/>
        <v>1.04</v>
      </c>
      <c r="J1310" s="76">
        <f t="shared" si="481"/>
        <v>1.04</v>
      </c>
      <c r="K1310" s="67">
        <f t="shared" si="482"/>
        <v>0</v>
      </c>
      <c r="L1310" s="67">
        <f t="shared" si="483"/>
        <v>0</v>
      </c>
      <c r="M1310" s="77">
        <f t="shared" si="484"/>
        <v>0</v>
      </c>
      <c r="N1310" s="76">
        <f t="shared" si="485"/>
        <v>1.04</v>
      </c>
      <c r="O1310" s="77">
        <f t="shared" si="486"/>
        <v>0.91500000000000004</v>
      </c>
      <c r="P1310" s="76">
        <f t="shared" si="487"/>
        <v>0</v>
      </c>
      <c r="Q1310" s="76">
        <f t="shared" si="488"/>
        <v>0</v>
      </c>
      <c r="R1310" s="76">
        <f t="shared" si="489"/>
        <v>0.75</v>
      </c>
      <c r="S1310" s="76">
        <f t="shared" si="490"/>
        <v>1.0343478260869565</v>
      </c>
      <c r="T1310" s="76">
        <f t="shared" si="491"/>
        <v>0.98858933498239931</v>
      </c>
      <c r="U1310" s="76">
        <f t="shared" si="492"/>
        <v>1.04</v>
      </c>
    </row>
    <row r="1311" spans="1:21" x14ac:dyDescent="0.25">
      <c r="A1311" s="71">
        <v>45</v>
      </c>
      <c r="B1311" s="72">
        <f t="shared" si="493"/>
        <v>46997</v>
      </c>
      <c r="C1311" s="73">
        <f t="shared" si="474"/>
        <v>47026</v>
      </c>
      <c r="D1311" s="67">
        <f t="shared" si="475"/>
        <v>30</v>
      </c>
      <c r="E1311" s="67">
        <f t="shared" si="476"/>
        <v>9</v>
      </c>
      <c r="F1311" s="74">
        <f t="shared" si="477"/>
        <v>47012</v>
      </c>
      <c r="G1311" s="67">
        <f t="shared" si="478"/>
        <v>24344</v>
      </c>
      <c r="H1311" s="75">
        <f t="shared" si="479"/>
        <v>1</v>
      </c>
      <c r="I1311" s="76">
        <f t="shared" si="480"/>
        <v>1.04</v>
      </c>
      <c r="J1311" s="76">
        <f t="shared" si="481"/>
        <v>1.04</v>
      </c>
      <c r="K1311" s="67">
        <f t="shared" si="482"/>
        <v>0</v>
      </c>
      <c r="L1311" s="67">
        <f t="shared" si="483"/>
        <v>0</v>
      </c>
      <c r="M1311" s="77">
        <f t="shared" si="484"/>
        <v>0</v>
      </c>
      <c r="N1311" s="76">
        <f t="shared" si="485"/>
        <v>1.04</v>
      </c>
      <c r="O1311" s="77">
        <f t="shared" si="486"/>
        <v>0.91500000000000004</v>
      </c>
      <c r="P1311" s="76">
        <f t="shared" si="487"/>
        <v>0</v>
      </c>
      <c r="Q1311" s="76">
        <f t="shared" si="488"/>
        <v>0</v>
      </c>
      <c r="R1311" s="76">
        <f t="shared" si="489"/>
        <v>0.58333333333333337</v>
      </c>
      <c r="S1311" s="76">
        <f t="shared" si="490"/>
        <v>1.0343478260869565</v>
      </c>
      <c r="T1311" s="76">
        <f t="shared" si="491"/>
        <v>0.98895205023308907</v>
      </c>
      <c r="U1311" s="76">
        <f t="shared" si="492"/>
        <v>1.04</v>
      </c>
    </row>
    <row r="1312" spans="1:21" x14ac:dyDescent="0.25">
      <c r="A1312" s="71">
        <v>46</v>
      </c>
      <c r="B1312" s="72">
        <f t="shared" si="493"/>
        <v>47027</v>
      </c>
      <c r="C1312" s="73">
        <f t="shared" si="474"/>
        <v>47057</v>
      </c>
      <c r="D1312" s="67">
        <f t="shared" si="475"/>
        <v>31</v>
      </c>
      <c r="E1312" s="67">
        <f t="shared" si="476"/>
        <v>10</v>
      </c>
      <c r="F1312" s="74">
        <f t="shared" si="477"/>
        <v>47042.5</v>
      </c>
      <c r="G1312" s="67">
        <f t="shared" si="478"/>
        <v>24345</v>
      </c>
      <c r="H1312" s="75">
        <f t="shared" si="479"/>
        <v>1</v>
      </c>
      <c r="I1312" s="76">
        <f t="shared" si="480"/>
        <v>1.04</v>
      </c>
      <c r="J1312" s="76">
        <f t="shared" si="481"/>
        <v>1.04</v>
      </c>
      <c r="K1312" s="67">
        <f t="shared" si="482"/>
        <v>0</v>
      </c>
      <c r="L1312" s="67">
        <f t="shared" si="483"/>
        <v>0</v>
      </c>
      <c r="M1312" s="77">
        <f t="shared" si="484"/>
        <v>0</v>
      </c>
      <c r="N1312" s="76">
        <f t="shared" si="485"/>
        <v>1.04</v>
      </c>
      <c r="O1312" s="77">
        <f t="shared" si="486"/>
        <v>0.91500000000000004</v>
      </c>
      <c r="P1312" s="76">
        <f t="shared" si="487"/>
        <v>0</v>
      </c>
      <c r="Q1312" s="76">
        <f t="shared" si="488"/>
        <v>0</v>
      </c>
      <c r="R1312" s="76">
        <f t="shared" si="489"/>
        <v>0.41666666666666669</v>
      </c>
      <c r="S1312" s="76">
        <f t="shared" si="490"/>
        <v>1.0343478260869565</v>
      </c>
      <c r="T1312" s="76">
        <f t="shared" si="491"/>
        <v>0.98931476548377895</v>
      </c>
      <c r="U1312" s="76">
        <f t="shared" si="492"/>
        <v>1.04</v>
      </c>
    </row>
    <row r="1313" spans="1:21" x14ac:dyDescent="0.25">
      <c r="A1313" s="71">
        <v>47</v>
      </c>
      <c r="B1313" s="72">
        <f t="shared" si="493"/>
        <v>47058</v>
      </c>
      <c r="C1313" s="73">
        <f t="shared" si="474"/>
        <v>47087</v>
      </c>
      <c r="D1313" s="67">
        <f t="shared" si="475"/>
        <v>30</v>
      </c>
      <c r="E1313" s="67">
        <f t="shared" si="476"/>
        <v>11</v>
      </c>
      <c r="F1313" s="74">
        <f t="shared" si="477"/>
        <v>47073</v>
      </c>
      <c r="G1313" s="67">
        <f t="shared" si="478"/>
        <v>24346</v>
      </c>
      <c r="H1313" s="75">
        <f t="shared" si="479"/>
        <v>1</v>
      </c>
      <c r="I1313" s="76">
        <f t="shared" si="480"/>
        <v>1.04</v>
      </c>
      <c r="J1313" s="76">
        <f t="shared" si="481"/>
        <v>1.04</v>
      </c>
      <c r="K1313" s="67">
        <f t="shared" si="482"/>
        <v>0</v>
      </c>
      <c r="L1313" s="67">
        <f t="shared" si="483"/>
        <v>0</v>
      </c>
      <c r="M1313" s="77">
        <f t="shared" si="484"/>
        <v>0</v>
      </c>
      <c r="N1313" s="76">
        <f t="shared" si="485"/>
        <v>1.04</v>
      </c>
      <c r="O1313" s="77">
        <f t="shared" si="486"/>
        <v>0.91500000000000004</v>
      </c>
      <c r="P1313" s="76">
        <f t="shared" si="487"/>
        <v>0</v>
      </c>
      <c r="Q1313" s="76">
        <f t="shared" si="488"/>
        <v>0</v>
      </c>
      <c r="R1313" s="76">
        <f t="shared" si="489"/>
        <v>0.25</v>
      </c>
      <c r="S1313" s="76">
        <f t="shared" si="490"/>
        <v>1.0343478260869565</v>
      </c>
      <c r="T1313" s="76">
        <f t="shared" si="491"/>
        <v>1.0292645799638476</v>
      </c>
      <c r="U1313" s="76">
        <f t="shared" si="492"/>
        <v>1.04</v>
      </c>
    </row>
    <row r="1314" spans="1:21" x14ac:dyDescent="0.25">
      <c r="A1314" s="71">
        <v>48</v>
      </c>
      <c r="B1314" s="72">
        <f t="shared" si="493"/>
        <v>47088</v>
      </c>
      <c r="C1314" s="73">
        <f t="shared" si="474"/>
        <v>47118</v>
      </c>
      <c r="D1314" s="67">
        <f t="shared" si="475"/>
        <v>31</v>
      </c>
      <c r="E1314" s="67">
        <f t="shared" si="476"/>
        <v>12</v>
      </c>
      <c r="F1314" s="74">
        <f t="shared" si="477"/>
        <v>47103.5</v>
      </c>
      <c r="G1314" s="67">
        <f t="shared" si="478"/>
        <v>24347</v>
      </c>
      <c r="H1314" s="75">
        <f t="shared" si="479"/>
        <v>1</v>
      </c>
      <c r="I1314" s="76">
        <f t="shared" si="480"/>
        <v>1.04</v>
      </c>
      <c r="J1314" s="76">
        <f t="shared" si="481"/>
        <v>1.04</v>
      </c>
      <c r="K1314" s="67">
        <f t="shared" si="482"/>
        <v>0</v>
      </c>
      <c r="L1314" s="67">
        <f t="shared" si="483"/>
        <v>0</v>
      </c>
      <c r="M1314" s="77">
        <f t="shared" si="484"/>
        <v>0</v>
      </c>
      <c r="N1314" s="76">
        <f t="shared" si="485"/>
        <v>1.04</v>
      </c>
      <c r="O1314" s="77">
        <f t="shared" si="486"/>
        <v>0.91500000000000004</v>
      </c>
      <c r="P1314" s="76">
        <f t="shared" si="487"/>
        <v>0</v>
      </c>
      <c r="Q1314" s="76">
        <f t="shared" si="488"/>
        <v>0</v>
      </c>
      <c r="R1314" s="76">
        <f t="shared" si="489"/>
        <v>8.3333333333333329E-2</v>
      </c>
      <c r="S1314" s="76">
        <f t="shared" si="490"/>
        <v>1.0343478260869565</v>
      </c>
      <c r="T1314" s="76">
        <f t="shared" si="491"/>
        <v>1.0296418038245647</v>
      </c>
      <c r="U1314" s="76">
        <f t="shared" si="492"/>
        <v>1.04</v>
      </c>
    </row>
    <row r="1315" spans="1:21" x14ac:dyDescent="0.25">
      <c r="A1315" s="81" t="s">
        <v>1187</v>
      </c>
      <c r="B1315" s="53">
        <f>EXP(SUMPRODUCT((rl_key=$A$1264)*(rl_cons="Y")*rl_ln1p))</f>
        <v>1.04</v>
      </c>
      <c r="C1315" s="53">
        <f>SUMPRODUCT($H$1267:$H$1314,$P$1267:$P$1314,$U$1267:$U$1314)/SUMPRODUCT($H$1267:$H$1314,$P$1267:$P$1314)</f>
        <v>1.0011111111111111</v>
      </c>
      <c r="D1315" s="53">
        <f>SUMPRODUCT($H$1267:$H$1314,$Q$1267:$Q$1314,$U$1267:$U$1314)/SUMPRODUCT($H$1267:$H$1314,$Q$1267:$Q$1314)</f>
        <v>1.0355555555555553</v>
      </c>
      <c r="E1315" s="53">
        <f>SUMPRODUCT($H$1267:$H$1314,$R$1267:$R$1314,$U$1267:$U$1314)/SUMPRODUCT($H$1267:$H$1314,$R$1267:$R$1314)</f>
        <v>1.0399999999999998</v>
      </c>
      <c r="F1315" s="172">
        <f>SUMPRODUCT($H$1267:$H$1314,$Q$1267:$Q$1314,$O$1267:$O$1314)/SUMPRODUCT($H$1267:$H$1314,$Q$1267:$Q$1314)</f>
        <v>0.91199626185266247</v>
      </c>
      <c r="G1315" s="172">
        <f>SUMPRODUCT($H$1267:$H$1314,$R$1267:$R$1314,$O$1267:$O$1314)/SUMPRODUCT($H$1267:$H$1314,$R$1267:$R$1314)</f>
        <v>0.91483011184050556</v>
      </c>
    </row>
    <row r="1318" spans="1:21" x14ac:dyDescent="0.25">
      <c r="A1318" s="81" t="str">
        <f>INDEX(lr_key,24)</f>
        <v>BU-B|CO</v>
      </c>
      <c r="B1318" s="81" t="str">
        <f>INDEX(lr_state,24)</f>
        <v>CO</v>
      </c>
      <c r="C1318" s="55">
        <f>nr_TermMonths</f>
        <v>6</v>
      </c>
      <c r="D1318" s="55">
        <f>IF(COUNTIF(se_state,$B1318)=0,0,MATCH($B1318,se_state,0))</f>
        <v>0</v>
      </c>
      <c r="E1318" s="57">
        <f>IF($D1318=0,0,INDEX(se_sum,$D1318))</f>
        <v>0</v>
      </c>
      <c r="F1318" s="172">
        <f>IF(N(INDEX(lr_mind,24))=0,1,INDEX(lr_mind,24))</f>
        <v>0.92</v>
      </c>
      <c r="G1318" s="172">
        <f>IF(N(INDEX(lr_m0,24))=0,1,INDEX(lr_m0,24))</f>
        <v>0.91</v>
      </c>
      <c r="H1318" s="54">
        <f>IF(N(INDEX(lr_m0asof,24))=0,DATE(nr_PlanYear-1,10,1),INDEX(lr_m0asof,24))</f>
        <v>46295</v>
      </c>
      <c r="I1318" s="172">
        <f>IF(N(INDEX(lr_m1,24))=0,1,INDEX(lr_m1,24))</f>
        <v>0.93</v>
      </c>
      <c r="J1318" s="172">
        <f>INDEX(lr_mprior,24)</f>
        <v>0</v>
      </c>
      <c r="K1318" s="172">
        <f>INDEX(lr_m2,24)</f>
        <v>0</v>
      </c>
      <c r="L1318" s="81" t="b">
        <f>NOT(ISBLANK(INDEX(lr_netp,24)))</f>
        <v>0</v>
      </c>
      <c r="M1318" s="52">
        <f>N(INDEX(lr_netp,24))</f>
        <v>0</v>
      </c>
      <c r="N1318" s="52">
        <f>IF(ISBLANK(INDEX(lr_netp1,24)),$M$1318,N(INDEX(lr_netp1,24)))</f>
        <v>0</v>
      </c>
      <c r="O1318" s="55">
        <f>IF(AND(nr_ModAdjMaster="ON",INDEX(lr_modadj,24)="ON"),1,0)</f>
        <v>1</v>
      </c>
    </row>
    <row r="1319" spans="1:21" x14ac:dyDescent="0.25">
      <c r="A1319" s="81">
        <f>EDATE($H$1318,-12)+1</f>
        <v>45931</v>
      </c>
      <c r="B1319" s="81">
        <f>$H$1318+1</f>
        <v>46296</v>
      </c>
      <c r="C1319" s="81">
        <f>DATE(nr_PlanYear,12,31)+1</f>
        <v>46753</v>
      </c>
      <c r="D1319" s="81">
        <f>DATE(nr_PlanYear+1,12,31)+1</f>
        <v>47119</v>
      </c>
      <c r="E1319" s="81">
        <f>IF(N($J$1318)=0,$F$1319-($G$1319-$F$1319)/($C$1319-$B$1319)*($B$1319-$A$1319),$J$1318)</f>
        <v>0.89402625820568926</v>
      </c>
      <c r="F1319" s="81">
        <f>$G$1318</f>
        <v>0.91</v>
      </c>
      <c r="G1319" s="81">
        <f>$I$1318</f>
        <v>0.93</v>
      </c>
      <c r="H1319" s="81">
        <f>IF(N($K$1318)=0,$I$1318,$K$1318)</f>
        <v>0.93</v>
      </c>
      <c r="I1319" s="81">
        <f>($F$1319-$E$1319)/($B$1319-$A$1319)</f>
        <v>4.3763676148796628E-5</v>
      </c>
      <c r="J1319" s="81">
        <f>($G$1319-$F$1319)/($C$1319-$B$1319)</f>
        <v>4.376367614879654E-5</v>
      </c>
      <c r="K1319" s="81">
        <f>($H$1319-$G$1319)/($D$1319-$C$1319)</f>
        <v>0</v>
      </c>
    </row>
    <row r="1320" spans="1:21" ht="36" x14ac:dyDescent="0.25">
      <c r="A1320" s="50" t="s">
        <v>211</v>
      </c>
      <c r="B1320" s="50" t="s">
        <v>212</v>
      </c>
      <c r="C1320" s="50" t="s">
        <v>213</v>
      </c>
      <c r="D1320" s="50" t="s">
        <v>214</v>
      </c>
      <c r="E1320" s="50" t="s">
        <v>215</v>
      </c>
      <c r="F1320" s="50" t="s">
        <v>216</v>
      </c>
      <c r="G1320" s="50" t="s">
        <v>217</v>
      </c>
      <c r="H1320" s="50" t="s">
        <v>218</v>
      </c>
      <c r="I1320" s="50" t="s">
        <v>219</v>
      </c>
      <c r="J1320" s="50" t="s">
        <v>220</v>
      </c>
      <c r="K1320" s="50" t="s">
        <v>221</v>
      </c>
      <c r="L1320" s="50" t="s">
        <v>222</v>
      </c>
      <c r="M1320" s="50" t="s">
        <v>223</v>
      </c>
      <c r="N1320" s="50" t="s">
        <v>224</v>
      </c>
      <c r="O1320" s="50" t="s">
        <v>225</v>
      </c>
      <c r="P1320" s="50" t="s">
        <v>226</v>
      </c>
      <c r="Q1320" s="50" t="s">
        <v>227</v>
      </c>
      <c r="R1320" s="50" t="s">
        <v>228</v>
      </c>
      <c r="S1320" s="50" t="s">
        <v>229</v>
      </c>
      <c r="T1320" s="50" t="s">
        <v>230</v>
      </c>
      <c r="U1320" s="50" t="s">
        <v>231</v>
      </c>
    </row>
    <row r="1321" spans="1:21" x14ac:dyDescent="0.25">
      <c r="A1321" s="71">
        <v>1</v>
      </c>
      <c r="B1321" s="72">
        <f>DATE(nr_PlanYear-2,1,1)</f>
        <v>45658</v>
      </c>
      <c r="C1321" s="73">
        <f t="shared" ref="C1321:C1368" si="494">EOMONTH($B1321,0)</f>
        <v>45688</v>
      </c>
      <c r="D1321" s="67">
        <f t="shared" ref="D1321:D1368" si="495">$C1321-$B1321+1</f>
        <v>31</v>
      </c>
      <c r="E1321" s="67">
        <f t="shared" ref="E1321:E1368" si="496">MONTH($B1321)</f>
        <v>1</v>
      </c>
      <c r="F1321" s="74">
        <f t="shared" ref="F1321:F1368" si="497">($B1321+$C1321+1)/2</f>
        <v>45673.5</v>
      </c>
      <c r="G1321" s="67">
        <f t="shared" ref="G1321:G1368" si="498">YEAR($B1321)*12+MONTH($B1321)-1</f>
        <v>24300</v>
      </c>
      <c r="H1321" s="75">
        <f t="shared" ref="H1321:H1368" si="499">IF(OR(nr_SeasonOn="OFF",$D$1318=0,$E$1318=0),1,12*INDEX(se_block,$D$1318,$E1321)/$E$1318)</f>
        <v>1</v>
      </c>
      <c r="I1321" s="76">
        <f t="shared" ref="I1321:I1368" si="500">EXP(SUMPRODUCT((rl_eff&lt;$B1321)*(rl_key=$A$1318)*rl_ln1p))</f>
        <v>1</v>
      </c>
      <c r="J1321" s="76">
        <f t="shared" ref="J1321:J1368" si="501">EXP(SUMPRODUCT((rl_eff&lt;=$C1321)*(rl_key=$A$1318)*rl_ln1p))</f>
        <v>1</v>
      </c>
      <c r="K1321" s="67">
        <f t="shared" ref="K1321:K1368" si="502">COUNTIFS(rl_key,$A$1318,rl_eff,"&gt;="&amp;$B1321,rl_eff,"&lt;="&amp;$C1321)</f>
        <v>0</v>
      </c>
      <c r="L1321" s="67">
        <f t="shared" ref="L1321:L1368" si="503">SUMIFS(rl_daysafter,rl_key,$A$1318,rl_effmonth,$B1321,rl_first,1)</f>
        <v>0</v>
      </c>
      <c r="M1321" s="77">
        <f t="shared" ref="M1321:M1368" si="504">IF($K1321=0,0,MIN(1,$L1321/$D1321))</f>
        <v>0</v>
      </c>
      <c r="N1321" s="76">
        <f t="shared" ref="N1321:N1368" si="505">IF($K1321=0,$J1321,(1-$M1321)*$I1321+$M1321*$J1321)</f>
        <v>1</v>
      </c>
      <c r="O1321" s="77">
        <f t="shared" ref="O1321:O1368" si="506">IF($F1321&lt;$B$1319,$E$1319+$I$1319*($F1321-$A$1319),IF($F1321&lt;$C$1319,$F$1319+$J$1319*($F1321-$B$1319),$G$1319+$K$1319*($F1321-$C$1319)))</f>
        <v>0.88275711159737413</v>
      </c>
      <c r="P1321" s="76">
        <f t="shared" ref="P1321:P1368" si="507">MIN(1,MAX(0,(nr_MEndPm1-$G1321+0.5)/$C$1318))-MIN(1,MAX(0,(nr_MStartPm1-1-$G1321+0.5)/$C$1318))</f>
        <v>0</v>
      </c>
      <c r="Q1321" s="76">
        <f t="shared" ref="Q1321:Q1368" si="508">MIN(1,MAX(0,(nr_MEndP-$G1321+0.5)/$C$1318))-MIN(1,MAX(0,(nr_MStartP-1-$G1321+0.5)/$C$1318))</f>
        <v>0</v>
      </c>
      <c r="R1321" s="76">
        <f t="shared" ref="R1321:R1368" si="509">MIN(1,MAX(0,(nr_MEndP1-$G1321+0.5)/$C$1318))-MIN(1,MAX(0,(nr_MStartP1-1-$G1321+0.5)/$C$1318))</f>
        <v>0</v>
      </c>
      <c r="S1321" s="76">
        <f t="shared" ref="S1321:S1368" si="510">$N1321*IF($O$1318=1,$O1321/$F$1318,1)</f>
        <v>0.95951859956236318</v>
      </c>
      <c r="T1321" s="76">
        <f t="shared" ref="T1321:T1368" si="511">IF($G1321&lt;nr_MStartP,$S1321,$T1309*(1+IF($G1321&lt;nr_MStartP1,$M$1318,$N$1318)))</f>
        <v>0.95951859956236318</v>
      </c>
      <c r="U1321" s="76">
        <f t="shared" ref="U1321:U1368" si="512">IF($L$1318,$T1321,$N1321)</f>
        <v>1</v>
      </c>
    </row>
    <row r="1322" spans="1:21" x14ac:dyDescent="0.25">
      <c r="A1322" s="71">
        <v>2</v>
      </c>
      <c r="B1322" s="72">
        <f t="shared" ref="B1322:B1368" si="513">EDATE($B1321,1)</f>
        <v>45689</v>
      </c>
      <c r="C1322" s="73">
        <f t="shared" si="494"/>
        <v>45716</v>
      </c>
      <c r="D1322" s="67">
        <f t="shared" si="495"/>
        <v>28</v>
      </c>
      <c r="E1322" s="67">
        <f t="shared" si="496"/>
        <v>2</v>
      </c>
      <c r="F1322" s="74">
        <f t="shared" si="497"/>
        <v>45703</v>
      </c>
      <c r="G1322" s="67">
        <f t="shared" si="498"/>
        <v>24301</v>
      </c>
      <c r="H1322" s="75">
        <f t="shared" si="499"/>
        <v>1</v>
      </c>
      <c r="I1322" s="76">
        <f t="shared" si="500"/>
        <v>1</v>
      </c>
      <c r="J1322" s="76">
        <f t="shared" si="501"/>
        <v>1</v>
      </c>
      <c r="K1322" s="67">
        <f t="shared" si="502"/>
        <v>0</v>
      </c>
      <c r="L1322" s="67">
        <f t="shared" si="503"/>
        <v>0</v>
      </c>
      <c r="M1322" s="77">
        <f t="shared" si="504"/>
        <v>0</v>
      </c>
      <c r="N1322" s="76">
        <f t="shared" si="505"/>
        <v>1</v>
      </c>
      <c r="O1322" s="77">
        <f t="shared" si="506"/>
        <v>0.88404814004376364</v>
      </c>
      <c r="P1322" s="76">
        <f t="shared" si="507"/>
        <v>0</v>
      </c>
      <c r="Q1322" s="76">
        <f t="shared" si="508"/>
        <v>0</v>
      </c>
      <c r="R1322" s="76">
        <f t="shared" si="509"/>
        <v>0</v>
      </c>
      <c r="S1322" s="76">
        <f t="shared" si="510"/>
        <v>0.96092189135191697</v>
      </c>
      <c r="T1322" s="76">
        <f t="shared" si="511"/>
        <v>0.96092189135191697</v>
      </c>
      <c r="U1322" s="76">
        <f t="shared" si="512"/>
        <v>1</v>
      </c>
    </row>
    <row r="1323" spans="1:21" x14ac:dyDescent="0.25">
      <c r="A1323" s="71">
        <v>3</v>
      </c>
      <c r="B1323" s="72">
        <f t="shared" si="513"/>
        <v>45717</v>
      </c>
      <c r="C1323" s="73">
        <f t="shared" si="494"/>
        <v>45747</v>
      </c>
      <c r="D1323" s="67">
        <f t="shared" si="495"/>
        <v>31</v>
      </c>
      <c r="E1323" s="67">
        <f t="shared" si="496"/>
        <v>3</v>
      </c>
      <c r="F1323" s="74">
        <f t="shared" si="497"/>
        <v>45732.5</v>
      </c>
      <c r="G1323" s="67">
        <f t="shared" si="498"/>
        <v>24302</v>
      </c>
      <c r="H1323" s="75">
        <f t="shared" si="499"/>
        <v>1</v>
      </c>
      <c r="I1323" s="76">
        <f t="shared" si="500"/>
        <v>1</v>
      </c>
      <c r="J1323" s="76">
        <f t="shared" si="501"/>
        <v>1</v>
      </c>
      <c r="K1323" s="67">
        <f t="shared" si="502"/>
        <v>0</v>
      </c>
      <c r="L1323" s="67">
        <f t="shared" si="503"/>
        <v>0</v>
      </c>
      <c r="M1323" s="77">
        <f t="shared" si="504"/>
        <v>0</v>
      </c>
      <c r="N1323" s="76">
        <f t="shared" si="505"/>
        <v>1</v>
      </c>
      <c r="O1323" s="77">
        <f t="shared" si="506"/>
        <v>0.88533916849015315</v>
      </c>
      <c r="P1323" s="76">
        <f t="shared" si="507"/>
        <v>0</v>
      </c>
      <c r="Q1323" s="76">
        <f t="shared" si="508"/>
        <v>0</v>
      </c>
      <c r="R1323" s="76">
        <f t="shared" si="509"/>
        <v>0</v>
      </c>
      <c r="S1323" s="76">
        <f t="shared" si="510"/>
        <v>0.96232518314147075</v>
      </c>
      <c r="T1323" s="76">
        <f t="shared" si="511"/>
        <v>0.96232518314147075</v>
      </c>
      <c r="U1323" s="76">
        <f t="shared" si="512"/>
        <v>1</v>
      </c>
    </row>
    <row r="1324" spans="1:21" x14ac:dyDescent="0.25">
      <c r="A1324" s="71">
        <v>4</v>
      </c>
      <c r="B1324" s="72">
        <f t="shared" si="513"/>
        <v>45748</v>
      </c>
      <c r="C1324" s="73">
        <f t="shared" si="494"/>
        <v>45777</v>
      </c>
      <c r="D1324" s="67">
        <f t="shared" si="495"/>
        <v>30</v>
      </c>
      <c r="E1324" s="67">
        <f t="shared" si="496"/>
        <v>4</v>
      </c>
      <c r="F1324" s="74">
        <f t="shared" si="497"/>
        <v>45763</v>
      </c>
      <c r="G1324" s="67">
        <f t="shared" si="498"/>
        <v>24303</v>
      </c>
      <c r="H1324" s="75">
        <f t="shared" si="499"/>
        <v>1</v>
      </c>
      <c r="I1324" s="76">
        <f t="shared" si="500"/>
        <v>1</v>
      </c>
      <c r="J1324" s="76">
        <f t="shared" si="501"/>
        <v>1</v>
      </c>
      <c r="K1324" s="67">
        <f t="shared" si="502"/>
        <v>0</v>
      </c>
      <c r="L1324" s="67">
        <f t="shared" si="503"/>
        <v>0</v>
      </c>
      <c r="M1324" s="77">
        <f t="shared" si="504"/>
        <v>0</v>
      </c>
      <c r="N1324" s="76">
        <f t="shared" si="505"/>
        <v>1</v>
      </c>
      <c r="O1324" s="77">
        <f t="shared" si="506"/>
        <v>0.88667396061269144</v>
      </c>
      <c r="P1324" s="76">
        <f t="shared" si="507"/>
        <v>0</v>
      </c>
      <c r="Q1324" s="76">
        <f t="shared" si="508"/>
        <v>0</v>
      </c>
      <c r="R1324" s="76">
        <f t="shared" si="509"/>
        <v>0</v>
      </c>
      <c r="S1324" s="76">
        <f t="shared" si="510"/>
        <v>0.96377604414422979</v>
      </c>
      <c r="T1324" s="76">
        <f t="shared" si="511"/>
        <v>0.96377604414422979</v>
      </c>
      <c r="U1324" s="76">
        <f t="shared" si="512"/>
        <v>1</v>
      </c>
    </row>
    <row r="1325" spans="1:21" x14ac:dyDescent="0.25">
      <c r="A1325" s="71">
        <v>5</v>
      </c>
      <c r="B1325" s="72">
        <f t="shared" si="513"/>
        <v>45778</v>
      </c>
      <c r="C1325" s="73">
        <f t="shared" si="494"/>
        <v>45808</v>
      </c>
      <c r="D1325" s="67">
        <f t="shared" si="495"/>
        <v>31</v>
      </c>
      <c r="E1325" s="67">
        <f t="shared" si="496"/>
        <v>5</v>
      </c>
      <c r="F1325" s="74">
        <f t="shared" si="497"/>
        <v>45793.5</v>
      </c>
      <c r="G1325" s="67">
        <f t="shared" si="498"/>
        <v>24304</v>
      </c>
      <c r="H1325" s="75">
        <f t="shared" si="499"/>
        <v>1</v>
      </c>
      <c r="I1325" s="76">
        <f t="shared" si="500"/>
        <v>1</v>
      </c>
      <c r="J1325" s="76">
        <f t="shared" si="501"/>
        <v>1</v>
      </c>
      <c r="K1325" s="67">
        <f t="shared" si="502"/>
        <v>0</v>
      </c>
      <c r="L1325" s="67">
        <f t="shared" si="503"/>
        <v>0</v>
      </c>
      <c r="M1325" s="77">
        <f t="shared" si="504"/>
        <v>0</v>
      </c>
      <c r="N1325" s="76">
        <f t="shared" si="505"/>
        <v>1</v>
      </c>
      <c r="O1325" s="77">
        <f t="shared" si="506"/>
        <v>0.88800875273522972</v>
      </c>
      <c r="P1325" s="76">
        <f t="shared" si="507"/>
        <v>0</v>
      </c>
      <c r="Q1325" s="76">
        <f t="shared" si="508"/>
        <v>0</v>
      </c>
      <c r="R1325" s="76">
        <f t="shared" si="509"/>
        <v>0</v>
      </c>
      <c r="S1325" s="76">
        <f t="shared" si="510"/>
        <v>0.96522690514698883</v>
      </c>
      <c r="T1325" s="76">
        <f t="shared" si="511"/>
        <v>0.96522690514698883</v>
      </c>
      <c r="U1325" s="76">
        <f t="shared" si="512"/>
        <v>1</v>
      </c>
    </row>
    <row r="1326" spans="1:21" x14ac:dyDescent="0.25">
      <c r="A1326" s="71">
        <v>6</v>
      </c>
      <c r="B1326" s="72">
        <f t="shared" si="513"/>
        <v>45809</v>
      </c>
      <c r="C1326" s="73">
        <f t="shared" si="494"/>
        <v>45838</v>
      </c>
      <c r="D1326" s="67">
        <f t="shared" si="495"/>
        <v>30</v>
      </c>
      <c r="E1326" s="67">
        <f t="shared" si="496"/>
        <v>6</v>
      </c>
      <c r="F1326" s="74">
        <f t="shared" si="497"/>
        <v>45824</v>
      </c>
      <c r="G1326" s="67">
        <f t="shared" si="498"/>
        <v>24305</v>
      </c>
      <c r="H1326" s="75">
        <f t="shared" si="499"/>
        <v>1</v>
      </c>
      <c r="I1326" s="76">
        <f t="shared" si="500"/>
        <v>1</v>
      </c>
      <c r="J1326" s="76">
        <f t="shared" si="501"/>
        <v>1</v>
      </c>
      <c r="K1326" s="67">
        <f t="shared" si="502"/>
        <v>0</v>
      </c>
      <c r="L1326" s="67">
        <f t="shared" si="503"/>
        <v>0</v>
      </c>
      <c r="M1326" s="77">
        <f t="shared" si="504"/>
        <v>0</v>
      </c>
      <c r="N1326" s="76">
        <f t="shared" si="505"/>
        <v>1</v>
      </c>
      <c r="O1326" s="77">
        <f t="shared" si="506"/>
        <v>0.88934354485776801</v>
      </c>
      <c r="P1326" s="76">
        <f t="shared" si="507"/>
        <v>0</v>
      </c>
      <c r="Q1326" s="76">
        <f t="shared" si="508"/>
        <v>0</v>
      </c>
      <c r="R1326" s="76">
        <f t="shared" si="509"/>
        <v>0</v>
      </c>
      <c r="S1326" s="76">
        <f t="shared" si="510"/>
        <v>0.96667776614974776</v>
      </c>
      <c r="T1326" s="76">
        <f t="shared" si="511"/>
        <v>0.96667776614974776</v>
      </c>
      <c r="U1326" s="76">
        <f t="shared" si="512"/>
        <v>1</v>
      </c>
    </row>
    <row r="1327" spans="1:21" x14ac:dyDescent="0.25">
      <c r="A1327" s="71">
        <v>7</v>
      </c>
      <c r="B1327" s="72">
        <f t="shared" si="513"/>
        <v>45839</v>
      </c>
      <c r="C1327" s="73">
        <f t="shared" si="494"/>
        <v>45869</v>
      </c>
      <c r="D1327" s="67">
        <f t="shared" si="495"/>
        <v>31</v>
      </c>
      <c r="E1327" s="67">
        <f t="shared" si="496"/>
        <v>7</v>
      </c>
      <c r="F1327" s="74">
        <f t="shared" si="497"/>
        <v>45854.5</v>
      </c>
      <c r="G1327" s="67">
        <f t="shared" si="498"/>
        <v>24306</v>
      </c>
      <c r="H1327" s="75">
        <f t="shared" si="499"/>
        <v>1</v>
      </c>
      <c r="I1327" s="76">
        <f t="shared" si="500"/>
        <v>1</v>
      </c>
      <c r="J1327" s="76">
        <f t="shared" si="501"/>
        <v>1</v>
      </c>
      <c r="K1327" s="67">
        <f t="shared" si="502"/>
        <v>0</v>
      </c>
      <c r="L1327" s="67">
        <f t="shared" si="503"/>
        <v>0</v>
      </c>
      <c r="M1327" s="77">
        <f t="shared" si="504"/>
        <v>0</v>
      </c>
      <c r="N1327" s="76">
        <f t="shared" si="505"/>
        <v>1</v>
      </c>
      <c r="O1327" s="77">
        <f t="shared" si="506"/>
        <v>0.8906783369803063</v>
      </c>
      <c r="P1327" s="76">
        <f t="shared" si="507"/>
        <v>8.333333333333337E-2</v>
      </c>
      <c r="Q1327" s="76">
        <f t="shared" si="508"/>
        <v>0</v>
      </c>
      <c r="R1327" s="76">
        <f t="shared" si="509"/>
        <v>0</v>
      </c>
      <c r="S1327" s="76">
        <f t="shared" si="510"/>
        <v>0.9681286271525068</v>
      </c>
      <c r="T1327" s="76">
        <f t="shared" si="511"/>
        <v>0.9681286271525068</v>
      </c>
      <c r="U1327" s="76">
        <f t="shared" si="512"/>
        <v>1</v>
      </c>
    </row>
    <row r="1328" spans="1:21" x14ac:dyDescent="0.25">
      <c r="A1328" s="71">
        <v>8</v>
      </c>
      <c r="B1328" s="72">
        <f t="shared" si="513"/>
        <v>45870</v>
      </c>
      <c r="C1328" s="73">
        <f t="shared" si="494"/>
        <v>45900</v>
      </c>
      <c r="D1328" s="67">
        <f t="shared" si="495"/>
        <v>31</v>
      </c>
      <c r="E1328" s="67">
        <f t="shared" si="496"/>
        <v>8</v>
      </c>
      <c r="F1328" s="74">
        <f t="shared" si="497"/>
        <v>45885.5</v>
      </c>
      <c r="G1328" s="67">
        <f t="shared" si="498"/>
        <v>24307</v>
      </c>
      <c r="H1328" s="75">
        <f t="shared" si="499"/>
        <v>1</v>
      </c>
      <c r="I1328" s="76">
        <f t="shared" si="500"/>
        <v>1</v>
      </c>
      <c r="J1328" s="76">
        <f t="shared" si="501"/>
        <v>1</v>
      </c>
      <c r="K1328" s="67">
        <f t="shared" si="502"/>
        <v>0</v>
      </c>
      <c r="L1328" s="67">
        <f t="shared" si="503"/>
        <v>0</v>
      </c>
      <c r="M1328" s="77">
        <f t="shared" si="504"/>
        <v>0</v>
      </c>
      <c r="N1328" s="76">
        <f t="shared" si="505"/>
        <v>1</v>
      </c>
      <c r="O1328" s="77">
        <f t="shared" si="506"/>
        <v>0.89203501094091897</v>
      </c>
      <c r="P1328" s="76">
        <f t="shared" si="507"/>
        <v>0.25</v>
      </c>
      <c r="Q1328" s="76">
        <f t="shared" si="508"/>
        <v>0</v>
      </c>
      <c r="R1328" s="76">
        <f t="shared" si="509"/>
        <v>0</v>
      </c>
      <c r="S1328" s="76">
        <f t="shared" si="510"/>
        <v>0.96960327276186842</v>
      </c>
      <c r="T1328" s="76">
        <f t="shared" si="511"/>
        <v>0.96960327276186842</v>
      </c>
      <c r="U1328" s="76">
        <f t="shared" si="512"/>
        <v>1</v>
      </c>
    </row>
    <row r="1329" spans="1:21" x14ac:dyDescent="0.25">
      <c r="A1329" s="71">
        <v>9</v>
      </c>
      <c r="B1329" s="72">
        <f t="shared" si="513"/>
        <v>45901</v>
      </c>
      <c r="C1329" s="73">
        <f t="shared" si="494"/>
        <v>45930</v>
      </c>
      <c r="D1329" s="67">
        <f t="shared" si="495"/>
        <v>30</v>
      </c>
      <c r="E1329" s="67">
        <f t="shared" si="496"/>
        <v>9</v>
      </c>
      <c r="F1329" s="74">
        <f t="shared" si="497"/>
        <v>45916</v>
      </c>
      <c r="G1329" s="67">
        <f t="shared" si="498"/>
        <v>24308</v>
      </c>
      <c r="H1329" s="75">
        <f t="shared" si="499"/>
        <v>1</v>
      </c>
      <c r="I1329" s="76">
        <f t="shared" si="500"/>
        <v>1</v>
      </c>
      <c r="J1329" s="76">
        <f t="shared" si="501"/>
        <v>1</v>
      </c>
      <c r="K1329" s="67">
        <f t="shared" si="502"/>
        <v>0</v>
      </c>
      <c r="L1329" s="67">
        <f t="shared" si="503"/>
        <v>0</v>
      </c>
      <c r="M1329" s="77">
        <f t="shared" si="504"/>
        <v>0</v>
      </c>
      <c r="N1329" s="76">
        <f t="shared" si="505"/>
        <v>1</v>
      </c>
      <c r="O1329" s="77">
        <f t="shared" si="506"/>
        <v>0.89336980306345726</v>
      </c>
      <c r="P1329" s="76">
        <f t="shared" si="507"/>
        <v>0.41666666666666663</v>
      </c>
      <c r="Q1329" s="76">
        <f t="shared" si="508"/>
        <v>0</v>
      </c>
      <c r="R1329" s="76">
        <f t="shared" si="509"/>
        <v>0</v>
      </c>
      <c r="S1329" s="76">
        <f t="shared" si="510"/>
        <v>0.97105413376462746</v>
      </c>
      <c r="T1329" s="76">
        <f t="shared" si="511"/>
        <v>0.97105413376462746</v>
      </c>
      <c r="U1329" s="76">
        <f t="shared" si="512"/>
        <v>1</v>
      </c>
    </row>
    <row r="1330" spans="1:21" x14ac:dyDescent="0.25">
      <c r="A1330" s="71">
        <v>10</v>
      </c>
      <c r="B1330" s="72">
        <f t="shared" si="513"/>
        <v>45931</v>
      </c>
      <c r="C1330" s="73">
        <f t="shared" si="494"/>
        <v>45961</v>
      </c>
      <c r="D1330" s="67">
        <f t="shared" si="495"/>
        <v>31</v>
      </c>
      <c r="E1330" s="67">
        <f t="shared" si="496"/>
        <v>10</v>
      </c>
      <c r="F1330" s="74">
        <f t="shared" si="497"/>
        <v>45946.5</v>
      </c>
      <c r="G1330" s="67">
        <f t="shared" si="498"/>
        <v>24309</v>
      </c>
      <c r="H1330" s="75">
        <f t="shared" si="499"/>
        <v>1</v>
      </c>
      <c r="I1330" s="76">
        <f t="shared" si="500"/>
        <v>1</v>
      </c>
      <c r="J1330" s="76">
        <f t="shared" si="501"/>
        <v>1</v>
      </c>
      <c r="K1330" s="67">
        <f t="shared" si="502"/>
        <v>0</v>
      </c>
      <c r="L1330" s="67">
        <f t="shared" si="503"/>
        <v>0</v>
      </c>
      <c r="M1330" s="77">
        <f t="shared" si="504"/>
        <v>0</v>
      </c>
      <c r="N1330" s="76">
        <f t="shared" si="505"/>
        <v>1</v>
      </c>
      <c r="O1330" s="77">
        <f t="shared" si="506"/>
        <v>0.89470459518599565</v>
      </c>
      <c r="P1330" s="76">
        <f t="shared" si="507"/>
        <v>0.58333333333333326</v>
      </c>
      <c r="Q1330" s="76">
        <f t="shared" si="508"/>
        <v>0</v>
      </c>
      <c r="R1330" s="76">
        <f t="shared" si="509"/>
        <v>0</v>
      </c>
      <c r="S1330" s="76">
        <f t="shared" si="510"/>
        <v>0.9725049947673865</v>
      </c>
      <c r="T1330" s="76">
        <f t="shared" si="511"/>
        <v>0.9725049947673865</v>
      </c>
      <c r="U1330" s="76">
        <f t="shared" si="512"/>
        <v>1</v>
      </c>
    </row>
    <row r="1331" spans="1:21" x14ac:dyDescent="0.25">
      <c r="A1331" s="71">
        <v>11</v>
      </c>
      <c r="B1331" s="72">
        <f t="shared" si="513"/>
        <v>45962</v>
      </c>
      <c r="C1331" s="73">
        <f t="shared" si="494"/>
        <v>45991</v>
      </c>
      <c r="D1331" s="67">
        <f t="shared" si="495"/>
        <v>30</v>
      </c>
      <c r="E1331" s="67">
        <f t="shared" si="496"/>
        <v>11</v>
      </c>
      <c r="F1331" s="74">
        <f t="shared" si="497"/>
        <v>45977</v>
      </c>
      <c r="G1331" s="67">
        <f t="shared" si="498"/>
        <v>24310</v>
      </c>
      <c r="H1331" s="75">
        <f t="shared" si="499"/>
        <v>1</v>
      </c>
      <c r="I1331" s="76">
        <f t="shared" si="500"/>
        <v>1</v>
      </c>
      <c r="J1331" s="76">
        <f t="shared" si="501"/>
        <v>1</v>
      </c>
      <c r="K1331" s="67">
        <f t="shared" si="502"/>
        <v>0</v>
      </c>
      <c r="L1331" s="67">
        <f t="shared" si="503"/>
        <v>0</v>
      </c>
      <c r="M1331" s="77">
        <f t="shared" si="504"/>
        <v>0</v>
      </c>
      <c r="N1331" s="76">
        <f t="shared" si="505"/>
        <v>1</v>
      </c>
      <c r="O1331" s="77">
        <f t="shared" si="506"/>
        <v>0.89603938730853394</v>
      </c>
      <c r="P1331" s="76">
        <f t="shared" si="507"/>
        <v>0.75</v>
      </c>
      <c r="Q1331" s="76">
        <f t="shared" si="508"/>
        <v>0</v>
      </c>
      <c r="R1331" s="76">
        <f t="shared" si="509"/>
        <v>0</v>
      </c>
      <c r="S1331" s="76">
        <f t="shared" si="510"/>
        <v>0.97395585577014554</v>
      </c>
      <c r="T1331" s="76">
        <f t="shared" si="511"/>
        <v>0.97395585577014554</v>
      </c>
      <c r="U1331" s="76">
        <f t="shared" si="512"/>
        <v>1</v>
      </c>
    </row>
    <row r="1332" spans="1:21" x14ac:dyDescent="0.25">
      <c r="A1332" s="71">
        <v>12</v>
      </c>
      <c r="B1332" s="72">
        <f t="shared" si="513"/>
        <v>45992</v>
      </c>
      <c r="C1332" s="73">
        <f t="shared" si="494"/>
        <v>46022</v>
      </c>
      <c r="D1332" s="67">
        <f t="shared" si="495"/>
        <v>31</v>
      </c>
      <c r="E1332" s="67">
        <f t="shared" si="496"/>
        <v>12</v>
      </c>
      <c r="F1332" s="74">
        <f t="shared" si="497"/>
        <v>46007.5</v>
      </c>
      <c r="G1332" s="67">
        <f t="shared" si="498"/>
        <v>24311</v>
      </c>
      <c r="H1332" s="75">
        <f t="shared" si="499"/>
        <v>1</v>
      </c>
      <c r="I1332" s="76">
        <f t="shared" si="500"/>
        <v>1</v>
      </c>
      <c r="J1332" s="76">
        <f t="shared" si="501"/>
        <v>1</v>
      </c>
      <c r="K1332" s="67">
        <f t="shared" si="502"/>
        <v>0</v>
      </c>
      <c r="L1332" s="67">
        <f t="shared" si="503"/>
        <v>0</v>
      </c>
      <c r="M1332" s="77">
        <f t="shared" si="504"/>
        <v>0</v>
      </c>
      <c r="N1332" s="76">
        <f t="shared" si="505"/>
        <v>1</v>
      </c>
      <c r="O1332" s="77">
        <f t="shared" si="506"/>
        <v>0.89737417943107223</v>
      </c>
      <c r="P1332" s="76">
        <f t="shared" si="507"/>
        <v>0.91666666666666663</v>
      </c>
      <c r="Q1332" s="76">
        <f t="shared" si="508"/>
        <v>0</v>
      </c>
      <c r="R1332" s="76">
        <f t="shared" si="509"/>
        <v>0</v>
      </c>
      <c r="S1332" s="76">
        <f t="shared" si="510"/>
        <v>0.97540671677290458</v>
      </c>
      <c r="T1332" s="76">
        <f t="shared" si="511"/>
        <v>0.97540671677290458</v>
      </c>
      <c r="U1332" s="76">
        <f t="shared" si="512"/>
        <v>1</v>
      </c>
    </row>
    <row r="1333" spans="1:21" x14ac:dyDescent="0.25">
      <c r="A1333" s="71">
        <v>13</v>
      </c>
      <c r="B1333" s="72">
        <f t="shared" si="513"/>
        <v>46023</v>
      </c>
      <c r="C1333" s="73">
        <f t="shared" si="494"/>
        <v>46053</v>
      </c>
      <c r="D1333" s="67">
        <f t="shared" si="495"/>
        <v>31</v>
      </c>
      <c r="E1333" s="67">
        <f t="shared" si="496"/>
        <v>1</v>
      </c>
      <c r="F1333" s="74">
        <f t="shared" si="497"/>
        <v>46038.5</v>
      </c>
      <c r="G1333" s="67">
        <f t="shared" si="498"/>
        <v>24312</v>
      </c>
      <c r="H1333" s="75">
        <f t="shared" si="499"/>
        <v>1</v>
      </c>
      <c r="I1333" s="76">
        <f t="shared" si="500"/>
        <v>1</v>
      </c>
      <c r="J1333" s="76">
        <f t="shared" si="501"/>
        <v>1</v>
      </c>
      <c r="K1333" s="67">
        <f t="shared" si="502"/>
        <v>0</v>
      </c>
      <c r="L1333" s="67">
        <f t="shared" si="503"/>
        <v>0</v>
      </c>
      <c r="M1333" s="77">
        <f t="shared" si="504"/>
        <v>0</v>
      </c>
      <c r="N1333" s="76">
        <f t="shared" si="505"/>
        <v>1</v>
      </c>
      <c r="O1333" s="77">
        <f t="shared" si="506"/>
        <v>0.8987308533916849</v>
      </c>
      <c r="P1333" s="76">
        <f t="shared" si="507"/>
        <v>1</v>
      </c>
      <c r="Q1333" s="76">
        <f t="shared" si="508"/>
        <v>0</v>
      </c>
      <c r="R1333" s="76">
        <f t="shared" si="509"/>
        <v>0</v>
      </c>
      <c r="S1333" s="76">
        <f t="shared" si="510"/>
        <v>0.97688136238226619</v>
      </c>
      <c r="T1333" s="76">
        <f t="shared" si="511"/>
        <v>0.97688136238226619</v>
      </c>
      <c r="U1333" s="76">
        <f t="shared" si="512"/>
        <v>1</v>
      </c>
    </row>
    <row r="1334" spans="1:21" x14ac:dyDescent="0.25">
      <c r="A1334" s="71">
        <v>14</v>
      </c>
      <c r="B1334" s="72">
        <f t="shared" si="513"/>
        <v>46054</v>
      </c>
      <c r="C1334" s="73">
        <f t="shared" si="494"/>
        <v>46081</v>
      </c>
      <c r="D1334" s="67">
        <f t="shared" si="495"/>
        <v>28</v>
      </c>
      <c r="E1334" s="67">
        <f t="shared" si="496"/>
        <v>2</v>
      </c>
      <c r="F1334" s="74">
        <f t="shared" si="497"/>
        <v>46068</v>
      </c>
      <c r="G1334" s="67">
        <f t="shared" si="498"/>
        <v>24313</v>
      </c>
      <c r="H1334" s="75">
        <f t="shared" si="499"/>
        <v>1</v>
      </c>
      <c r="I1334" s="76">
        <f t="shared" si="500"/>
        <v>1</v>
      </c>
      <c r="J1334" s="76">
        <f t="shared" si="501"/>
        <v>1</v>
      </c>
      <c r="K1334" s="67">
        <f t="shared" si="502"/>
        <v>0</v>
      </c>
      <c r="L1334" s="67">
        <f t="shared" si="503"/>
        <v>0</v>
      </c>
      <c r="M1334" s="77">
        <f t="shared" si="504"/>
        <v>0</v>
      </c>
      <c r="N1334" s="76">
        <f t="shared" si="505"/>
        <v>1</v>
      </c>
      <c r="O1334" s="77">
        <f t="shared" si="506"/>
        <v>0.90002188183807441</v>
      </c>
      <c r="P1334" s="76">
        <f t="shared" si="507"/>
        <v>1</v>
      </c>
      <c r="Q1334" s="76">
        <f t="shared" si="508"/>
        <v>0</v>
      </c>
      <c r="R1334" s="76">
        <f t="shared" si="509"/>
        <v>0</v>
      </c>
      <c r="S1334" s="76">
        <f t="shared" si="510"/>
        <v>0.97828465417181998</v>
      </c>
      <c r="T1334" s="76">
        <f t="shared" si="511"/>
        <v>0.97828465417181998</v>
      </c>
      <c r="U1334" s="76">
        <f t="shared" si="512"/>
        <v>1</v>
      </c>
    </row>
    <row r="1335" spans="1:21" x14ac:dyDescent="0.25">
      <c r="A1335" s="71">
        <v>15</v>
      </c>
      <c r="B1335" s="72">
        <f t="shared" si="513"/>
        <v>46082</v>
      </c>
      <c r="C1335" s="73">
        <f t="shared" si="494"/>
        <v>46112</v>
      </c>
      <c r="D1335" s="67">
        <f t="shared" si="495"/>
        <v>31</v>
      </c>
      <c r="E1335" s="67">
        <f t="shared" si="496"/>
        <v>3</v>
      </c>
      <c r="F1335" s="74">
        <f t="shared" si="497"/>
        <v>46097.5</v>
      </c>
      <c r="G1335" s="67">
        <f t="shared" si="498"/>
        <v>24314</v>
      </c>
      <c r="H1335" s="75">
        <f t="shared" si="499"/>
        <v>1</v>
      </c>
      <c r="I1335" s="76">
        <f t="shared" si="500"/>
        <v>1</v>
      </c>
      <c r="J1335" s="76">
        <f t="shared" si="501"/>
        <v>1</v>
      </c>
      <c r="K1335" s="67">
        <f t="shared" si="502"/>
        <v>0</v>
      </c>
      <c r="L1335" s="67">
        <f t="shared" si="503"/>
        <v>0</v>
      </c>
      <c r="M1335" s="77">
        <f t="shared" si="504"/>
        <v>0</v>
      </c>
      <c r="N1335" s="76">
        <f t="shared" si="505"/>
        <v>1</v>
      </c>
      <c r="O1335" s="77">
        <f t="shared" si="506"/>
        <v>0.90131291028446392</v>
      </c>
      <c r="P1335" s="76">
        <f t="shared" si="507"/>
        <v>1</v>
      </c>
      <c r="Q1335" s="76">
        <f t="shared" si="508"/>
        <v>0</v>
      </c>
      <c r="R1335" s="76">
        <f t="shared" si="509"/>
        <v>0</v>
      </c>
      <c r="S1335" s="76">
        <f t="shared" si="510"/>
        <v>0.97968794596137376</v>
      </c>
      <c r="T1335" s="76">
        <f t="shared" si="511"/>
        <v>0.97968794596137376</v>
      </c>
      <c r="U1335" s="76">
        <f t="shared" si="512"/>
        <v>1</v>
      </c>
    </row>
    <row r="1336" spans="1:21" x14ac:dyDescent="0.25">
      <c r="A1336" s="71">
        <v>16</v>
      </c>
      <c r="B1336" s="72">
        <f t="shared" si="513"/>
        <v>46113</v>
      </c>
      <c r="C1336" s="73">
        <f t="shared" si="494"/>
        <v>46142</v>
      </c>
      <c r="D1336" s="67">
        <f t="shared" si="495"/>
        <v>30</v>
      </c>
      <c r="E1336" s="67">
        <f t="shared" si="496"/>
        <v>4</v>
      </c>
      <c r="F1336" s="74">
        <f t="shared" si="497"/>
        <v>46128</v>
      </c>
      <c r="G1336" s="67">
        <f t="shared" si="498"/>
        <v>24315</v>
      </c>
      <c r="H1336" s="75">
        <f t="shared" si="499"/>
        <v>1</v>
      </c>
      <c r="I1336" s="76">
        <f t="shared" si="500"/>
        <v>1</v>
      </c>
      <c r="J1336" s="76">
        <f t="shared" si="501"/>
        <v>1.05</v>
      </c>
      <c r="K1336" s="67">
        <f t="shared" si="502"/>
        <v>1</v>
      </c>
      <c r="L1336" s="67">
        <f t="shared" si="503"/>
        <v>30</v>
      </c>
      <c r="M1336" s="77">
        <f t="shared" si="504"/>
        <v>1</v>
      </c>
      <c r="N1336" s="76">
        <f t="shared" si="505"/>
        <v>1.05</v>
      </c>
      <c r="O1336" s="77">
        <f t="shared" si="506"/>
        <v>0.90264770240700221</v>
      </c>
      <c r="P1336" s="76">
        <f t="shared" si="507"/>
        <v>1</v>
      </c>
      <c r="Q1336" s="76">
        <f t="shared" si="508"/>
        <v>0</v>
      </c>
      <c r="R1336" s="76">
        <f t="shared" si="509"/>
        <v>0</v>
      </c>
      <c r="S1336" s="76">
        <f t="shared" si="510"/>
        <v>1.0301957473123395</v>
      </c>
      <c r="T1336" s="76">
        <f t="shared" si="511"/>
        <v>1.0301957473123395</v>
      </c>
      <c r="U1336" s="76">
        <f t="shared" si="512"/>
        <v>1.05</v>
      </c>
    </row>
    <row r="1337" spans="1:21" x14ac:dyDescent="0.25">
      <c r="A1337" s="71">
        <v>17</v>
      </c>
      <c r="B1337" s="72">
        <f t="shared" si="513"/>
        <v>46143</v>
      </c>
      <c r="C1337" s="73">
        <f t="shared" si="494"/>
        <v>46173</v>
      </c>
      <c r="D1337" s="67">
        <f t="shared" si="495"/>
        <v>31</v>
      </c>
      <c r="E1337" s="67">
        <f t="shared" si="496"/>
        <v>5</v>
      </c>
      <c r="F1337" s="74">
        <f t="shared" si="497"/>
        <v>46158.5</v>
      </c>
      <c r="G1337" s="67">
        <f t="shared" si="498"/>
        <v>24316</v>
      </c>
      <c r="H1337" s="75">
        <f t="shared" si="499"/>
        <v>1</v>
      </c>
      <c r="I1337" s="76">
        <f t="shared" si="500"/>
        <v>1.05</v>
      </c>
      <c r="J1337" s="76">
        <f t="shared" si="501"/>
        <v>1.05</v>
      </c>
      <c r="K1337" s="67">
        <f t="shared" si="502"/>
        <v>0</v>
      </c>
      <c r="L1337" s="67">
        <f t="shared" si="503"/>
        <v>0</v>
      </c>
      <c r="M1337" s="77">
        <f t="shared" si="504"/>
        <v>0</v>
      </c>
      <c r="N1337" s="76">
        <f t="shared" si="505"/>
        <v>1.05</v>
      </c>
      <c r="O1337" s="77">
        <f t="shared" si="506"/>
        <v>0.90398249452954049</v>
      </c>
      <c r="P1337" s="76">
        <f t="shared" si="507"/>
        <v>1</v>
      </c>
      <c r="Q1337" s="76">
        <f t="shared" si="508"/>
        <v>0</v>
      </c>
      <c r="R1337" s="76">
        <f t="shared" si="509"/>
        <v>0</v>
      </c>
      <c r="S1337" s="76">
        <f t="shared" si="510"/>
        <v>1.0317191513652364</v>
      </c>
      <c r="T1337" s="76">
        <f t="shared" si="511"/>
        <v>1.0317191513652364</v>
      </c>
      <c r="U1337" s="76">
        <f t="shared" si="512"/>
        <v>1.05</v>
      </c>
    </row>
    <row r="1338" spans="1:21" x14ac:dyDescent="0.25">
      <c r="A1338" s="71">
        <v>18</v>
      </c>
      <c r="B1338" s="72">
        <f t="shared" si="513"/>
        <v>46174</v>
      </c>
      <c r="C1338" s="73">
        <f t="shared" si="494"/>
        <v>46203</v>
      </c>
      <c r="D1338" s="67">
        <f t="shared" si="495"/>
        <v>30</v>
      </c>
      <c r="E1338" s="67">
        <f t="shared" si="496"/>
        <v>6</v>
      </c>
      <c r="F1338" s="74">
        <f t="shared" si="497"/>
        <v>46189</v>
      </c>
      <c r="G1338" s="67">
        <f t="shared" si="498"/>
        <v>24317</v>
      </c>
      <c r="H1338" s="75">
        <f t="shared" si="499"/>
        <v>1</v>
      </c>
      <c r="I1338" s="76">
        <f t="shared" si="500"/>
        <v>1.05</v>
      </c>
      <c r="J1338" s="76">
        <f t="shared" si="501"/>
        <v>1.05</v>
      </c>
      <c r="K1338" s="67">
        <f t="shared" si="502"/>
        <v>0</v>
      </c>
      <c r="L1338" s="67">
        <f t="shared" si="503"/>
        <v>0</v>
      </c>
      <c r="M1338" s="77">
        <f t="shared" si="504"/>
        <v>0</v>
      </c>
      <c r="N1338" s="76">
        <f t="shared" si="505"/>
        <v>1.05</v>
      </c>
      <c r="O1338" s="77">
        <f t="shared" si="506"/>
        <v>0.90531728665207878</v>
      </c>
      <c r="P1338" s="76">
        <f t="shared" si="507"/>
        <v>1</v>
      </c>
      <c r="Q1338" s="76">
        <f t="shared" si="508"/>
        <v>0</v>
      </c>
      <c r="R1338" s="76">
        <f t="shared" si="509"/>
        <v>0</v>
      </c>
      <c r="S1338" s="76">
        <f t="shared" si="510"/>
        <v>1.0332425554181333</v>
      </c>
      <c r="T1338" s="76">
        <f t="shared" si="511"/>
        <v>1.0332425554181333</v>
      </c>
      <c r="U1338" s="76">
        <f t="shared" si="512"/>
        <v>1.05</v>
      </c>
    </row>
    <row r="1339" spans="1:21" x14ac:dyDescent="0.25">
      <c r="A1339" s="71">
        <v>19</v>
      </c>
      <c r="B1339" s="72">
        <f t="shared" si="513"/>
        <v>46204</v>
      </c>
      <c r="C1339" s="73">
        <f t="shared" si="494"/>
        <v>46234</v>
      </c>
      <c r="D1339" s="67">
        <f t="shared" si="495"/>
        <v>31</v>
      </c>
      <c r="E1339" s="67">
        <f t="shared" si="496"/>
        <v>7</v>
      </c>
      <c r="F1339" s="74">
        <f t="shared" si="497"/>
        <v>46219.5</v>
      </c>
      <c r="G1339" s="67">
        <f t="shared" si="498"/>
        <v>24318</v>
      </c>
      <c r="H1339" s="75">
        <f t="shared" si="499"/>
        <v>1</v>
      </c>
      <c r="I1339" s="76">
        <f t="shared" si="500"/>
        <v>1.05</v>
      </c>
      <c r="J1339" s="76">
        <f t="shared" si="501"/>
        <v>1.05</v>
      </c>
      <c r="K1339" s="67">
        <f t="shared" si="502"/>
        <v>0</v>
      </c>
      <c r="L1339" s="67">
        <f t="shared" si="503"/>
        <v>0</v>
      </c>
      <c r="M1339" s="77">
        <f t="shared" si="504"/>
        <v>0</v>
      </c>
      <c r="N1339" s="76">
        <f t="shared" si="505"/>
        <v>1.05</v>
      </c>
      <c r="O1339" s="77">
        <f t="shared" si="506"/>
        <v>0.90665207877461707</v>
      </c>
      <c r="P1339" s="76">
        <f t="shared" si="507"/>
        <v>0.91666666666666663</v>
      </c>
      <c r="Q1339" s="76">
        <f t="shared" si="508"/>
        <v>8.333333333333337E-2</v>
      </c>
      <c r="R1339" s="76">
        <f t="shared" si="509"/>
        <v>0</v>
      </c>
      <c r="S1339" s="76">
        <f t="shared" si="510"/>
        <v>1.0347659594710303</v>
      </c>
      <c r="T1339" s="76">
        <f t="shared" si="511"/>
        <v>1.0347659594710303</v>
      </c>
      <c r="U1339" s="76">
        <f t="shared" si="512"/>
        <v>1.05</v>
      </c>
    </row>
    <row r="1340" spans="1:21" x14ac:dyDescent="0.25">
      <c r="A1340" s="71">
        <v>20</v>
      </c>
      <c r="B1340" s="72">
        <f t="shared" si="513"/>
        <v>46235</v>
      </c>
      <c r="C1340" s="73">
        <f t="shared" si="494"/>
        <v>46265</v>
      </c>
      <c r="D1340" s="67">
        <f t="shared" si="495"/>
        <v>31</v>
      </c>
      <c r="E1340" s="67">
        <f t="shared" si="496"/>
        <v>8</v>
      </c>
      <c r="F1340" s="74">
        <f t="shared" si="497"/>
        <v>46250.5</v>
      </c>
      <c r="G1340" s="67">
        <f t="shared" si="498"/>
        <v>24319</v>
      </c>
      <c r="H1340" s="75">
        <f t="shared" si="499"/>
        <v>1</v>
      </c>
      <c r="I1340" s="76">
        <f t="shared" si="500"/>
        <v>1.05</v>
      </c>
      <c r="J1340" s="76">
        <f t="shared" si="501"/>
        <v>1.05</v>
      </c>
      <c r="K1340" s="67">
        <f t="shared" si="502"/>
        <v>0</v>
      </c>
      <c r="L1340" s="67">
        <f t="shared" si="503"/>
        <v>0</v>
      </c>
      <c r="M1340" s="77">
        <f t="shared" si="504"/>
        <v>0</v>
      </c>
      <c r="N1340" s="76">
        <f t="shared" si="505"/>
        <v>1.05</v>
      </c>
      <c r="O1340" s="77">
        <f t="shared" si="506"/>
        <v>0.90800875273522974</v>
      </c>
      <c r="P1340" s="76">
        <f t="shared" si="507"/>
        <v>0.75</v>
      </c>
      <c r="Q1340" s="76">
        <f t="shared" si="508"/>
        <v>0.25</v>
      </c>
      <c r="R1340" s="76">
        <f t="shared" si="509"/>
        <v>0</v>
      </c>
      <c r="S1340" s="76">
        <f t="shared" si="510"/>
        <v>1.0363143373608601</v>
      </c>
      <c r="T1340" s="76">
        <f t="shared" si="511"/>
        <v>1.0363143373608601</v>
      </c>
      <c r="U1340" s="76">
        <f t="shared" si="512"/>
        <v>1.05</v>
      </c>
    </row>
    <row r="1341" spans="1:21" x14ac:dyDescent="0.25">
      <c r="A1341" s="71">
        <v>21</v>
      </c>
      <c r="B1341" s="72">
        <f t="shared" si="513"/>
        <v>46266</v>
      </c>
      <c r="C1341" s="73">
        <f t="shared" si="494"/>
        <v>46295</v>
      </c>
      <c r="D1341" s="67">
        <f t="shared" si="495"/>
        <v>30</v>
      </c>
      <c r="E1341" s="67">
        <f t="shared" si="496"/>
        <v>9</v>
      </c>
      <c r="F1341" s="74">
        <f t="shared" si="497"/>
        <v>46281</v>
      </c>
      <c r="G1341" s="67">
        <f t="shared" si="498"/>
        <v>24320</v>
      </c>
      <c r="H1341" s="75">
        <f t="shared" si="499"/>
        <v>1</v>
      </c>
      <c r="I1341" s="76">
        <f t="shared" si="500"/>
        <v>1.05</v>
      </c>
      <c r="J1341" s="76">
        <f t="shared" si="501"/>
        <v>1.05</v>
      </c>
      <c r="K1341" s="67">
        <f t="shared" si="502"/>
        <v>0</v>
      </c>
      <c r="L1341" s="67">
        <f t="shared" si="503"/>
        <v>0</v>
      </c>
      <c r="M1341" s="77">
        <f t="shared" si="504"/>
        <v>0</v>
      </c>
      <c r="N1341" s="76">
        <f t="shared" si="505"/>
        <v>1.05</v>
      </c>
      <c r="O1341" s="77">
        <f t="shared" si="506"/>
        <v>0.90934354485776803</v>
      </c>
      <c r="P1341" s="76">
        <f t="shared" si="507"/>
        <v>0.58333333333333337</v>
      </c>
      <c r="Q1341" s="76">
        <f t="shared" si="508"/>
        <v>0.41666666666666663</v>
      </c>
      <c r="R1341" s="76">
        <f t="shared" si="509"/>
        <v>0</v>
      </c>
      <c r="S1341" s="76">
        <f t="shared" si="510"/>
        <v>1.037837741413757</v>
      </c>
      <c r="T1341" s="76">
        <f t="shared" si="511"/>
        <v>1.037837741413757</v>
      </c>
      <c r="U1341" s="76">
        <f t="shared" si="512"/>
        <v>1.05</v>
      </c>
    </row>
    <row r="1342" spans="1:21" x14ac:dyDescent="0.25">
      <c r="A1342" s="71">
        <v>22</v>
      </c>
      <c r="B1342" s="72">
        <f t="shared" si="513"/>
        <v>46296</v>
      </c>
      <c r="C1342" s="73">
        <f t="shared" si="494"/>
        <v>46326</v>
      </c>
      <c r="D1342" s="67">
        <f t="shared" si="495"/>
        <v>31</v>
      </c>
      <c r="E1342" s="67">
        <f t="shared" si="496"/>
        <v>10</v>
      </c>
      <c r="F1342" s="74">
        <f t="shared" si="497"/>
        <v>46311.5</v>
      </c>
      <c r="G1342" s="67">
        <f t="shared" si="498"/>
        <v>24321</v>
      </c>
      <c r="H1342" s="75">
        <f t="shared" si="499"/>
        <v>1</v>
      </c>
      <c r="I1342" s="76">
        <f t="shared" si="500"/>
        <v>1.05</v>
      </c>
      <c r="J1342" s="76">
        <f t="shared" si="501"/>
        <v>1.05</v>
      </c>
      <c r="K1342" s="67">
        <f t="shared" si="502"/>
        <v>0</v>
      </c>
      <c r="L1342" s="67">
        <f t="shared" si="503"/>
        <v>0</v>
      </c>
      <c r="M1342" s="77">
        <f t="shared" si="504"/>
        <v>0</v>
      </c>
      <c r="N1342" s="76">
        <f t="shared" si="505"/>
        <v>1.05</v>
      </c>
      <c r="O1342" s="77">
        <f t="shared" si="506"/>
        <v>0.91067833698030642</v>
      </c>
      <c r="P1342" s="76">
        <f t="shared" si="507"/>
        <v>0.41666666666666669</v>
      </c>
      <c r="Q1342" s="76">
        <f t="shared" si="508"/>
        <v>0.58333333333333326</v>
      </c>
      <c r="R1342" s="76">
        <f t="shared" si="509"/>
        <v>0</v>
      </c>
      <c r="S1342" s="76">
        <f t="shared" si="510"/>
        <v>1.039361145466654</v>
      </c>
      <c r="T1342" s="76">
        <f t="shared" si="511"/>
        <v>1.039361145466654</v>
      </c>
      <c r="U1342" s="76">
        <f t="shared" si="512"/>
        <v>1.05</v>
      </c>
    </row>
    <row r="1343" spans="1:21" x14ac:dyDescent="0.25">
      <c r="A1343" s="71">
        <v>23</v>
      </c>
      <c r="B1343" s="72">
        <f t="shared" si="513"/>
        <v>46327</v>
      </c>
      <c r="C1343" s="73">
        <f t="shared" si="494"/>
        <v>46356</v>
      </c>
      <c r="D1343" s="67">
        <f t="shared" si="495"/>
        <v>30</v>
      </c>
      <c r="E1343" s="67">
        <f t="shared" si="496"/>
        <v>11</v>
      </c>
      <c r="F1343" s="74">
        <f t="shared" si="497"/>
        <v>46342</v>
      </c>
      <c r="G1343" s="67">
        <f t="shared" si="498"/>
        <v>24322</v>
      </c>
      <c r="H1343" s="75">
        <f t="shared" si="499"/>
        <v>1</v>
      </c>
      <c r="I1343" s="76">
        <f t="shared" si="500"/>
        <v>1.05</v>
      </c>
      <c r="J1343" s="76">
        <f t="shared" si="501"/>
        <v>1.05</v>
      </c>
      <c r="K1343" s="67">
        <f t="shared" si="502"/>
        <v>0</v>
      </c>
      <c r="L1343" s="67">
        <f t="shared" si="503"/>
        <v>0</v>
      </c>
      <c r="M1343" s="77">
        <f t="shared" si="504"/>
        <v>0</v>
      </c>
      <c r="N1343" s="76">
        <f t="shared" si="505"/>
        <v>1.05</v>
      </c>
      <c r="O1343" s="77">
        <f t="shared" si="506"/>
        <v>0.91201312910284471</v>
      </c>
      <c r="P1343" s="76">
        <f t="shared" si="507"/>
        <v>0.25</v>
      </c>
      <c r="Q1343" s="76">
        <f t="shared" si="508"/>
        <v>0.75</v>
      </c>
      <c r="R1343" s="76">
        <f t="shared" si="509"/>
        <v>0</v>
      </c>
      <c r="S1343" s="76">
        <f t="shared" si="510"/>
        <v>1.0408845495195511</v>
      </c>
      <c r="T1343" s="76">
        <f t="shared" si="511"/>
        <v>1.0408845495195511</v>
      </c>
      <c r="U1343" s="76">
        <f t="shared" si="512"/>
        <v>1.05</v>
      </c>
    </row>
    <row r="1344" spans="1:21" x14ac:dyDescent="0.25">
      <c r="A1344" s="71">
        <v>24</v>
      </c>
      <c r="B1344" s="72">
        <f t="shared" si="513"/>
        <v>46357</v>
      </c>
      <c r="C1344" s="73">
        <f t="shared" si="494"/>
        <v>46387</v>
      </c>
      <c r="D1344" s="67">
        <f t="shared" si="495"/>
        <v>31</v>
      </c>
      <c r="E1344" s="67">
        <f t="shared" si="496"/>
        <v>12</v>
      </c>
      <c r="F1344" s="74">
        <f t="shared" si="497"/>
        <v>46372.5</v>
      </c>
      <c r="G1344" s="67">
        <f t="shared" si="498"/>
        <v>24323</v>
      </c>
      <c r="H1344" s="75">
        <f t="shared" si="499"/>
        <v>1</v>
      </c>
      <c r="I1344" s="76">
        <f t="shared" si="500"/>
        <v>1.05</v>
      </c>
      <c r="J1344" s="76">
        <f t="shared" si="501"/>
        <v>1.05</v>
      </c>
      <c r="K1344" s="67">
        <f t="shared" si="502"/>
        <v>0</v>
      </c>
      <c r="L1344" s="67">
        <f t="shared" si="503"/>
        <v>0</v>
      </c>
      <c r="M1344" s="77">
        <f t="shared" si="504"/>
        <v>0</v>
      </c>
      <c r="N1344" s="76">
        <f t="shared" si="505"/>
        <v>1.05</v>
      </c>
      <c r="O1344" s="77">
        <f t="shared" si="506"/>
        <v>0.913347921225383</v>
      </c>
      <c r="P1344" s="76">
        <f t="shared" si="507"/>
        <v>8.3333333333333329E-2</v>
      </c>
      <c r="Q1344" s="76">
        <f t="shared" si="508"/>
        <v>0.91666666666666663</v>
      </c>
      <c r="R1344" s="76">
        <f t="shared" si="509"/>
        <v>0</v>
      </c>
      <c r="S1344" s="76">
        <f t="shared" si="510"/>
        <v>1.042407953572448</v>
      </c>
      <c r="T1344" s="76">
        <f t="shared" si="511"/>
        <v>1.042407953572448</v>
      </c>
      <c r="U1344" s="76">
        <f t="shared" si="512"/>
        <v>1.05</v>
      </c>
    </row>
    <row r="1345" spans="1:21" x14ac:dyDescent="0.25">
      <c r="A1345" s="71">
        <v>25</v>
      </c>
      <c r="B1345" s="72">
        <f t="shared" si="513"/>
        <v>46388</v>
      </c>
      <c r="C1345" s="73">
        <f t="shared" si="494"/>
        <v>46418</v>
      </c>
      <c r="D1345" s="67">
        <f t="shared" si="495"/>
        <v>31</v>
      </c>
      <c r="E1345" s="67">
        <f t="shared" si="496"/>
        <v>1</v>
      </c>
      <c r="F1345" s="74">
        <f t="shared" si="497"/>
        <v>46403.5</v>
      </c>
      <c r="G1345" s="67">
        <f t="shared" si="498"/>
        <v>24324</v>
      </c>
      <c r="H1345" s="75">
        <f t="shared" si="499"/>
        <v>1</v>
      </c>
      <c r="I1345" s="76">
        <f t="shared" si="500"/>
        <v>1.05</v>
      </c>
      <c r="J1345" s="76">
        <f t="shared" si="501"/>
        <v>1.05</v>
      </c>
      <c r="K1345" s="67">
        <f t="shared" si="502"/>
        <v>0</v>
      </c>
      <c r="L1345" s="67">
        <f t="shared" si="503"/>
        <v>0</v>
      </c>
      <c r="M1345" s="77">
        <f t="shared" si="504"/>
        <v>0</v>
      </c>
      <c r="N1345" s="76">
        <f t="shared" si="505"/>
        <v>1.05</v>
      </c>
      <c r="O1345" s="77">
        <f t="shared" si="506"/>
        <v>0.91470459518599567</v>
      </c>
      <c r="P1345" s="76">
        <f t="shared" si="507"/>
        <v>0</v>
      </c>
      <c r="Q1345" s="76">
        <f t="shared" si="508"/>
        <v>1</v>
      </c>
      <c r="R1345" s="76">
        <f t="shared" si="509"/>
        <v>0</v>
      </c>
      <c r="S1345" s="76">
        <f t="shared" si="510"/>
        <v>1.0439563314622777</v>
      </c>
      <c r="T1345" s="76">
        <f t="shared" si="511"/>
        <v>0.97688136238226619</v>
      </c>
      <c r="U1345" s="76">
        <f t="shared" si="512"/>
        <v>1.05</v>
      </c>
    </row>
    <row r="1346" spans="1:21" x14ac:dyDescent="0.25">
      <c r="A1346" s="71">
        <v>26</v>
      </c>
      <c r="B1346" s="72">
        <f t="shared" si="513"/>
        <v>46419</v>
      </c>
      <c r="C1346" s="73">
        <f t="shared" si="494"/>
        <v>46446</v>
      </c>
      <c r="D1346" s="67">
        <f t="shared" si="495"/>
        <v>28</v>
      </c>
      <c r="E1346" s="67">
        <f t="shared" si="496"/>
        <v>2</v>
      </c>
      <c r="F1346" s="74">
        <f t="shared" si="497"/>
        <v>46433</v>
      </c>
      <c r="G1346" s="67">
        <f t="shared" si="498"/>
        <v>24325</v>
      </c>
      <c r="H1346" s="75">
        <f t="shared" si="499"/>
        <v>1</v>
      </c>
      <c r="I1346" s="76">
        <f t="shared" si="500"/>
        <v>1.05</v>
      </c>
      <c r="J1346" s="76">
        <f t="shared" si="501"/>
        <v>1.05</v>
      </c>
      <c r="K1346" s="67">
        <f t="shared" si="502"/>
        <v>0</v>
      </c>
      <c r="L1346" s="67">
        <f t="shared" si="503"/>
        <v>0</v>
      </c>
      <c r="M1346" s="77">
        <f t="shared" si="504"/>
        <v>0</v>
      </c>
      <c r="N1346" s="76">
        <f t="shared" si="505"/>
        <v>1.05</v>
      </c>
      <c r="O1346" s="77">
        <f t="shared" si="506"/>
        <v>0.91599562363238518</v>
      </c>
      <c r="P1346" s="76">
        <f t="shared" si="507"/>
        <v>0</v>
      </c>
      <c r="Q1346" s="76">
        <f t="shared" si="508"/>
        <v>1</v>
      </c>
      <c r="R1346" s="76">
        <f t="shared" si="509"/>
        <v>0</v>
      </c>
      <c r="S1346" s="76">
        <f t="shared" si="510"/>
        <v>1.0454297878413092</v>
      </c>
      <c r="T1346" s="76">
        <f t="shared" si="511"/>
        <v>0.97828465417181998</v>
      </c>
      <c r="U1346" s="76">
        <f t="shared" si="512"/>
        <v>1.05</v>
      </c>
    </row>
    <row r="1347" spans="1:21" x14ac:dyDescent="0.25">
      <c r="A1347" s="71">
        <v>27</v>
      </c>
      <c r="B1347" s="72">
        <f t="shared" si="513"/>
        <v>46447</v>
      </c>
      <c r="C1347" s="73">
        <f t="shared" si="494"/>
        <v>46477</v>
      </c>
      <c r="D1347" s="67">
        <f t="shared" si="495"/>
        <v>31</v>
      </c>
      <c r="E1347" s="67">
        <f t="shared" si="496"/>
        <v>3</v>
      </c>
      <c r="F1347" s="74">
        <f t="shared" si="497"/>
        <v>46462.5</v>
      </c>
      <c r="G1347" s="67">
        <f t="shared" si="498"/>
        <v>24326</v>
      </c>
      <c r="H1347" s="75">
        <f t="shared" si="499"/>
        <v>1</v>
      </c>
      <c r="I1347" s="76">
        <f t="shared" si="500"/>
        <v>1.05</v>
      </c>
      <c r="J1347" s="76">
        <f t="shared" si="501"/>
        <v>1.05</v>
      </c>
      <c r="K1347" s="67">
        <f t="shared" si="502"/>
        <v>0</v>
      </c>
      <c r="L1347" s="67">
        <f t="shared" si="503"/>
        <v>0</v>
      </c>
      <c r="M1347" s="77">
        <f t="shared" si="504"/>
        <v>0</v>
      </c>
      <c r="N1347" s="76">
        <f t="shared" si="505"/>
        <v>1.05</v>
      </c>
      <c r="O1347" s="77">
        <f t="shared" si="506"/>
        <v>0.91728665207877469</v>
      </c>
      <c r="P1347" s="76">
        <f t="shared" si="507"/>
        <v>0</v>
      </c>
      <c r="Q1347" s="76">
        <f t="shared" si="508"/>
        <v>1</v>
      </c>
      <c r="R1347" s="76">
        <f t="shared" si="509"/>
        <v>0</v>
      </c>
      <c r="S1347" s="76">
        <f t="shared" si="510"/>
        <v>1.0469032442203408</v>
      </c>
      <c r="T1347" s="76">
        <f t="shared" si="511"/>
        <v>0.97968794596137376</v>
      </c>
      <c r="U1347" s="76">
        <f t="shared" si="512"/>
        <v>1.05</v>
      </c>
    </row>
    <row r="1348" spans="1:21" x14ac:dyDescent="0.25">
      <c r="A1348" s="71">
        <v>28</v>
      </c>
      <c r="B1348" s="72">
        <f t="shared" si="513"/>
        <v>46478</v>
      </c>
      <c r="C1348" s="73">
        <f t="shared" si="494"/>
        <v>46507</v>
      </c>
      <c r="D1348" s="67">
        <f t="shared" si="495"/>
        <v>30</v>
      </c>
      <c r="E1348" s="67">
        <f t="shared" si="496"/>
        <v>4</v>
      </c>
      <c r="F1348" s="74">
        <f t="shared" si="497"/>
        <v>46493</v>
      </c>
      <c r="G1348" s="67">
        <f t="shared" si="498"/>
        <v>24327</v>
      </c>
      <c r="H1348" s="75">
        <f t="shared" si="499"/>
        <v>1</v>
      </c>
      <c r="I1348" s="76">
        <f t="shared" si="500"/>
        <v>1.05</v>
      </c>
      <c r="J1348" s="76">
        <f t="shared" si="501"/>
        <v>1.05</v>
      </c>
      <c r="K1348" s="67">
        <f t="shared" si="502"/>
        <v>0</v>
      </c>
      <c r="L1348" s="67">
        <f t="shared" si="503"/>
        <v>0</v>
      </c>
      <c r="M1348" s="77">
        <f t="shared" si="504"/>
        <v>0</v>
      </c>
      <c r="N1348" s="76">
        <f t="shared" si="505"/>
        <v>1.05</v>
      </c>
      <c r="O1348" s="77">
        <f t="shared" si="506"/>
        <v>0.91862144420131298</v>
      </c>
      <c r="P1348" s="76">
        <f t="shared" si="507"/>
        <v>0</v>
      </c>
      <c r="Q1348" s="76">
        <f t="shared" si="508"/>
        <v>1</v>
      </c>
      <c r="R1348" s="76">
        <f t="shared" si="509"/>
        <v>0</v>
      </c>
      <c r="S1348" s="76">
        <f t="shared" si="510"/>
        <v>1.0484266482732376</v>
      </c>
      <c r="T1348" s="76">
        <f t="shared" si="511"/>
        <v>1.0301957473123395</v>
      </c>
      <c r="U1348" s="76">
        <f t="shared" si="512"/>
        <v>1.05</v>
      </c>
    </row>
    <row r="1349" spans="1:21" x14ac:dyDescent="0.25">
      <c r="A1349" s="71">
        <v>29</v>
      </c>
      <c r="B1349" s="72">
        <f t="shared" si="513"/>
        <v>46508</v>
      </c>
      <c r="C1349" s="73">
        <f t="shared" si="494"/>
        <v>46538</v>
      </c>
      <c r="D1349" s="67">
        <f t="shared" si="495"/>
        <v>31</v>
      </c>
      <c r="E1349" s="67">
        <f t="shared" si="496"/>
        <v>5</v>
      </c>
      <c r="F1349" s="74">
        <f t="shared" si="497"/>
        <v>46523.5</v>
      </c>
      <c r="G1349" s="67">
        <f t="shared" si="498"/>
        <v>24328</v>
      </c>
      <c r="H1349" s="75">
        <f t="shared" si="499"/>
        <v>1</v>
      </c>
      <c r="I1349" s="76">
        <f t="shared" si="500"/>
        <v>1.05</v>
      </c>
      <c r="J1349" s="76">
        <f t="shared" si="501"/>
        <v>1.0815000000000001</v>
      </c>
      <c r="K1349" s="67">
        <f t="shared" si="502"/>
        <v>1</v>
      </c>
      <c r="L1349" s="67">
        <f t="shared" si="503"/>
        <v>17</v>
      </c>
      <c r="M1349" s="77">
        <f t="shared" si="504"/>
        <v>0.54838709677419351</v>
      </c>
      <c r="N1349" s="76">
        <f t="shared" si="505"/>
        <v>1.0672741935483872</v>
      </c>
      <c r="O1349" s="77">
        <f t="shared" si="506"/>
        <v>0.91995623632385126</v>
      </c>
      <c r="P1349" s="76">
        <f t="shared" si="507"/>
        <v>0</v>
      </c>
      <c r="Q1349" s="76">
        <f t="shared" si="508"/>
        <v>1</v>
      </c>
      <c r="R1349" s="76">
        <f t="shared" si="509"/>
        <v>0</v>
      </c>
      <c r="S1349" s="76">
        <f t="shared" si="510"/>
        <v>1.0672234241547258</v>
      </c>
      <c r="T1349" s="76">
        <f t="shared" si="511"/>
        <v>1.0317191513652364</v>
      </c>
      <c r="U1349" s="76">
        <f t="shared" si="512"/>
        <v>1.0672741935483872</v>
      </c>
    </row>
    <row r="1350" spans="1:21" x14ac:dyDescent="0.25">
      <c r="A1350" s="71">
        <v>30</v>
      </c>
      <c r="B1350" s="72">
        <f t="shared" si="513"/>
        <v>46539</v>
      </c>
      <c r="C1350" s="73">
        <f t="shared" si="494"/>
        <v>46568</v>
      </c>
      <c r="D1350" s="67">
        <f t="shared" si="495"/>
        <v>30</v>
      </c>
      <c r="E1350" s="67">
        <f t="shared" si="496"/>
        <v>6</v>
      </c>
      <c r="F1350" s="74">
        <f t="shared" si="497"/>
        <v>46554</v>
      </c>
      <c r="G1350" s="67">
        <f t="shared" si="498"/>
        <v>24329</v>
      </c>
      <c r="H1350" s="75">
        <f t="shared" si="499"/>
        <v>1</v>
      </c>
      <c r="I1350" s="76">
        <f t="shared" si="500"/>
        <v>1.0815000000000001</v>
      </c>
      <c r="J1350" s="76">
        <f t="shared" si="501"/>
        <v>1.0815000000000001</v>
      </c>
      <c r="K1350" s="67">
        <f t="shared" si="502"/>
        <v>0</v>
      </c>
      <c r="L1350" s="67">
        <f t="shared" si="503"/>
        <v>0</v>
      </c>
      <c r="M1350" s="77">
        <f t="shared" si="504"/>
        <v>0</v>
      </c>
      <c r="N1350" s="76">
        <f t="shared" si="505"/>
        <v>1.0815000000000001</v>
      </c>
      <c r="O1350" s="77">
        <f t="shared" si="506"/>
        <v>0.92129102844638955</v>
      </c>
      <c r="P1350" s="76">
        <f t="shared" si="507"/>
        <v>0</v>
      </c>
      <c r="Q1350" s="76">
        <f t="shared" si="508"/>
        <v>1</v>
      </c>
      <c r="R1350" s="76">
        <f t="shared" si="509"/>
        <v>0</v>
      </c>
      <c r="S1350" s="76">
        <f t="shared" si="510"/>
        <v>1.0830176600704027</v>
      </c>
      <c r="T1350" s="76">
        <f t="shared" si="511"/>
        <v>1.0332425554181333</v>
      </c>
      <c r="U1350" s="76">
        <f t="shared" si="512"/>
        <v>1.0815000000000001</v>
      </c>
    </row>
    <row r="1351" spans="1:21" x14ac:dyDescent="0.25">
      <c r="A1351" s="71">
        <v>31</v>
      </c>
      <c r="B1351" s="72">
        <f t="shared" si="513"/>
        <v>46569</v>
      </c>
      <c r="C1351" s="73">
        <f t="shared" si="494"/>
        <v>46599</v>
      </c>
      <c r="D1351" s="67">
        <f t="shared" si="495"/>
        <v>31</v>
      </c>
      <c r="E1351" s="67">
        <f t="shared" si="496"/>
        <v>7</v>
      </c>
      <c r="F1351" s="74">
        <f t="shared" si="497"/>
        <v>46584.5</v>
      </c>
      <c r="G1351" s="67">
        <f t="shared" si="498"/>
        <v>24330</v>
      </c>
      <c r="H1351" s="75">
        <f t="shared" si="499"/>
        <v>1</v>
      </c>
      <c r="I1351" s="76">
        <f t="shared" si="500"/>
        <v>1.0815000000000001</v>
      </c>
      <c r="J1351" s="76">
        <f t="shared" si="501"/>
        <v>1.0815000000000001</v>
      </c>
      <c r="K1351" s="67">
        <f t="shared" si="502"/>
        <v>0</v>
      </c>
      <c r="L1351" s="67">
        <f t="shared" si="503"/>
        <v>0</v>
      </c>
      <c r="M1351" s="77">
        <f t="shared" si="504"/>
        <v>0</v>
      </c>
      <c r="N1351" s="76">
        <f t="shared" si="505"/>
        <v>1.0815000000000001</v>
      </c>
      <c r="O1351" s="77">
        <f t="shared" si="506"/>
        <v>0.92262582056892783</v>
      </c>
      <c r="P1351" s="76">
        <f t="shared" si="507"/>
        <v>0</v>
      </c>
      <c r="Q1351" s="76">
        <f t="shared" si="508"/>
        <v>0.91666666666666663</v>
      </c>
      <c r="R1351" s="76">
        <f t="shared" si="509"/>
        <v>8.333333333333337E-2</v>
      </c>
      <c r="S1351" s="76">
        <f t="shared" si="510"/>
        <v>1.0845867662448863</v>
      </c>
      <c r="T1351" s="76">
        <f t="shared" si="511"/>
        <v>1.0347659594710303</v>
      </c>
      <c r="U1351" s="76">
        <f t="shared" si="512"/>
        <v>1.0815000000000001</v>
      </c>
    </row>
    <row r="1352" spans="1:21" x14ac:dyDescent="0.25">
      <c r="A1352" s="71">
        <v>32</v>
      </c>
      <c r="B1352" s="72">
        <f t="shared" si="513"/>
        <v>46600</v>
      </c>
      <c r="C1352" s="73">
        <f t="shared" si="494"/>
        <v>46630</v>
      </c>
      <c r="D1352" s="67">
        <f t="shared" si="495"/>
        <v>31</v>
      </c>
      <c r="E1352" s="67">
        <f t="shared" si="496"/>
        <v>8</v>
      </c>
      <c r="F1352" s="74">
        <f t="shared" si="497"/>
        <v>46615.5</v>
      </c>
      <c r="G1352" s="67">
        <f t="shared" si="498"/>
        <v>24331</v>
      </c>
      <c r="H1352" s="75">
        <f t="shared" si="499"/>
        <v>1</v>
      </c>
      <c r="I1352" s="76">
        <f t="shared" si="500"/>
        <v>1.0815000000000001</v>
      </c>
      <c r="J1352" s="76">
        <f t="shared" si="501"/>
        <v>1.0815000000000001</v>
      </c>
      <c r="K1352" s="67">
        <f t="shared" si="502"/>
        <v>0</v>
      </c>
      <c r="L1352" s="67">
        <f t="shared" si="503"/>
        <v>0</v>
      </c>
      <c r="M1352" s="77">
        <f t="shared" si="504"/>
        <v>0</v>
      </c>
      <c r="N1352" s="76">
        <f t="shared" si="505"/>
        <v>1.0815000000000001</v>
      </c>
      <c r="O1352" s="77">
        <f t="shared" si="506"/>
        <v>0.92398249452954051</v>
      </c>
      <c r="P1352" s="76">
        <f t="shared" si="507"/>
        <v>0</v>
      </c>
      <c r="Q1352" s="76">
        <f t="shared" si="508"/>
        <v>0.75</v>
      </c>
      <c r="R1352" s="76">
        <f t="shared" si="509"/>
        <v>0.25</v>
      </c>
      <c r="S1352" s="76">
        <f t="shared" si="510"/>
        <v>1.0861815954714111</v>
      </c>
      <c r="T1352" s="76">
        <f t="shared" si="511"/>
        <v>1.0363143373608601</v>
      </c>
      <c r="U1352" s="76">
        <f t="shared" si="512"/>
        <v>1.0815000000000001</v>
      </c>
    </row>
    <row r="1353" spans="1:21" x14ac:dyDescent="0.25">
      <c r="A1353" s="71">
        <v>33</v>
      </c>
      <c r="B1353" s="72">
        <f t="shared" si="513"/>
        <v>46631</v>
      </c>
      <c r="C1353" s="73">
        <f t="shared" si="494"/>
        <v>46660</v>
      </c>
      <c r="D1353" s="67">
        <f t="shared" si="495"/>
        <v>30</v>
      </c>
      <c r="E1353" s="67">
        <f t="shared" si="496"/>
        <v>9</v>
      </c>
      <c r="F1353" s="74">
        <f t="shared" si="497"/>
        <v>46646</v>
      </c>
      <c r="G1353" s="67">
        <f t="shared" si="498"/>
        <v>24332</v>
      </c>
      <c r="H1353" s="75">
        <f t="shared" si="499"/>
        <v>1</v>
      </c>
      <c r="I1353" s="76">
        <f t="shared" si="500"/>
        <v>1.0815000000000001</v>
      </c>
      <c r="J1353" s="76">
        <f t="shared" si="501"/>
        <v>1.0815000000000001</v>
      </c>
      <c r="K1353" s="67">
        <f t="shared" si="502"/>
        <v>0</v>
      </c>
      <c r="L1353" s="67">
        <f t="shared" si="503"/>
        <v>0</v>
      </c>
      <c r="M1353" s="77">
        <f t="shared" si="504"/>
        <v>0</v>
      </c>
      <c r="N1353" s="76">
        <f t="shared" si="505"/>
        <v>1.0815000000000001</v>
      </c>
      <c r="O1353" s="77">
        <f t="shared" si="506"/>
        <v>0.9253172866520788</v>
      </c>
      <c r="P1353" s="76">
        <f t="shared" si="507"/>
        <v>0</v>
      </c>
      <c r="Q1353" s="76">
        <f t="shared" si="508"/>
        <v>0.58333333333333337</v>
      </c>
      <c r="R1353" s="76">
        <f t="shared" si="509"/>
        <v>0.41666666666666663</v>
      </c>
      <c r="S1353" s="76">
        <f t="shared" si="510"/>
        <v>1.0877507016458949</v>
      </c>
      <c r="T1353" s="76">
        <f t="shared" si="511"/>
        <v>1.037837741413757</v>
      </c>
      <c r="U1353" s="76">
        <f t="shared" si="512"/>
        <v>1.0815000000000001</v>
      </c>
    </row>
    <row r="1354" spans="1:21" x14ac:dyDescent="0.25">
      <c r="A1354" s="71">
        <v>34</v>
      </c>
      <c r="B1354" s="72">
        <f t="shared" si="513"/>
        <v>46661</v>
      </c>
      <c r="C1354" s="73">
        <f t="shared" si="494"/>
        <v>46691</v>
      </c>
      <c r="D1354" s="67">
        <f t="shared" si="495"/>
        <v>31</v>
      </c>
      <c r="E1354" s="67">
        <f t="shared" si="496"/>
        <v>10</v>
      </c>
      <c r="F1354" s="74">
        <f t="shared" si="497"/>
        <v>46676.5</v>
      </c>
      <c r="G1354" s="67">
        <f t="shared" si="498"/>
        <v>24333</v>
      </c>
      <c r="H1354" s="75">
        <f t="shared" si="499"/>
        <v>1</v>
      </c>
      <c r="I1354" s="76">
        <f t="shared" si="500"/>
        <v>1.0815000000000001</v>
      </c>
      <c r="J1354" s="76">
        <f t="shared" si="501"/>
        <v>1.0815000000000001</v>
      </c>
      <c r="K1354" s="67">
        <f t="shared" si="502"/>
        <v>0</v>
      </c>
      <c r="L1354" s="67">
        <f t="shared" si="503"/>
        <v>0</v>
      </c>
      <c r="M1354" s="77">
        <f t="shared" si="504"/>
        <v>0</v>
      </c>
      <c r="N1354" s="76">
        <f t="shared" si="505"/>
        <v>1.0815000000000001</v>
      </c>
      <c r="O1354" s="77">
        <f t="shared" si="506"/>
        <v>0.92665207877461708</v>
      </c>
      <c r="P1354" s="76">
        <f t="shared" si="507"/>
        <v>0</v>
      </c>
      <c r="Q1354" s="76">
        <f t="shared" si="508"/>
        <v>0.41666666666666669</v>
      </c>
      <c r="R1354" s="76">
        <f t="shared" si="509"/>
        <v>0.58333333333333326</v>
      </c>
      <c r="S1354" s="76">
        <f t="shared" si="510"/>
        <v>1.0893198078203787</v>
      </c>
      <c r="T1354" s="76">
        <f t="shared" si="511"/>
        <v>1.039361145466654</v>
      </c>
      <c r="U1354" s="76">
        <f t="shared" si="512"/>
        <v>1.0815000000000001</v>
      </c>
    </row>
    <row r="1355" spans="1:21" x14ac:dyDescent="0.25">
      <c r="A1355" s="71">
        <v>35</v>
      </c>
      <c r="B1355" s="72">
        <f t="shared" si="513"/>
        <v>46692</v>
      </c>
      <c r="C1355" s="73">
        <f t="shared" si="494"/>
        <v>46721</v>
      </c>
      <c r="D1355" s="67">
        <f t="shared" si="495"/>
        <v>30</v>
      </c>
      <c r="E1355" s="67">
        <f t="shared" si="496"/>
        <v>11</v>
      </c>
      <c r="F1355" s="74">
        <f t="shared" si="497"/>
        <v>46707</v>
      </c>
      <c r="G1355" s="67">
        <f t="shared" si="498"/>
        <v>24334</v>
      </c>
      <c r="H1355" s="75">
        <f t="shared" si="499"/>
        <v>1</v>
      </c>
      <c r="I1355" s="76">
        <f t="shared" si="500"/>
        <v>1.0815000000000001</v>
      </c>
      <c r="J1355" s="76">
        <f t="shared" si="501"/>
        <v>1.0815000000000001</v>
      </c>
      <c r="K1355" s="67">
        <f t="shared" si="502"/>
        <v>0</v>
      </c>
      <c r="L1355" s="67">
        <f t="shared" si="503"/>
        <v>0</v>
      </c>
      <c r="M1355" s="77">
        <f t="shared" si="504"/>
        <v>0</v>
      </c>
      <c r="N1355" s="76">
        <f t="shared" si="505"/>
        <v>1.0815000000000001</v>
      </c>
      <c r="O1355" s="77">
        <f t="shared" si="506"/>
        <v>0.92798687089715537</v>
      </c>
      <c r="P1355" s="76">
        <f t="shared" si="507"/>
        <v>0</v>
      </c>
      <c r="Q1355" s="76">
        <f t="shared" si="508"/>
        <v>0.25</v>
      </c>
      <c r="R1355" s="76">
        <f t="shared" si="509"/>
        <v>0.75</v>
      </c>
      <c r="S1355" s="76">
        <f t="shared" si="510"/>
        <v>1.0908889139948625</v>
      </c>
      <c r="T1355" s="76">
        <f t="shared" si="511"/>
        <v>1.0408845495195511</v>
      </c>
      <c r="U1355" s="76">
        <f t="shared" si="512"/>
        <v>1.0815000000000001</v>
      </c>
    </row>
    <row r="1356" spans="1:21" x14ac:dyDescent="0.25">
      <c r="A1356" s="71">
        <v>36</v>
      </c>
      <c r="B1356" s="72">
        <f t="shared" si="513"/>
        <v>46722</v>
      </c>
      <c r="C1356" s="73">
        <f t="shared" si="494"/>
        <v>46752</v>
      </c>
      <c r="D1356" s="67">
        <f t="shared" si="495"/>
        <v>31</v>
      </c>
      <c r="E1356" s="67">
        <f t="shared" si="496"/>
        <v>12</v>
      </c>
      <c r="F1356" s="74">
        <f t="shared" si="497"/>
        <v>46737.5</v>
      </c>
      <c r="G1356" s="67">
        <f t="shared" si="498"/>
        <v>24335</v>
      </c>
      <c r="H1356" s="75">
        <f t="shared" si="499"/>
        <v>1</v>
      </c>
      <c r="I1356" s="76">
        <f t="shared" si="500"/>
        <v>1.0815000000000001</v>
      </c>
      <c r="J1356" s="76">
        <f t="shared" si="501"/>
        <v>1.0815000000000001</v>
      </c>
      <c r="K1356" s="67">
        <f t="shared" si="502"/>
        <v>0</v>
      </c>
      <c r="L1356" s="67">
        <f t="shared" si="503"/>
        <v>0</v>
      </c>
      <c r="M1356" s="77">
        <f t="shared" si="504"/>
        <v>0</v>
      </c>
      <c r="N1356" s="76">
        <f t="shared" si="505"/>
        <v>1.0815000000000001</v>
      </c>
      <c r="O1356" s="77">
        <f t="shared" si="506"/>
        <v>0.92932166301969366</v>
      </c>
      <c r="P1356" s="76">
        <f t="shared" si="507"/>
        <v>0</v>
      </c>
      <c r="Q1356" s="76">
        <f t="shared" si="508"/>
        <v>8.3333333333333329E-2</v>
      </c>
      <c r="R1356" s="76">
        <f t="shared" si="509"/>
        <v>0.91666666666666663</v>
      </c>
      <c r="S1356" s="76">
        <f t="shared" si="510"/>
        <v>1.0924580201693463</v>
      </c>
      <c r="T1356" s="76">
        <f t="shared" si="511"/>
        <v>1.042407953572448</v>
      </c>
      <c r="U1356" s="76">
        <f t="shared" si="512"/>
        <v>1.0815000000000001</v>
      </c>
    </row>
    <row r="1357" spans="1:21" x14ac:dyDescent="0.25">
      <c r="A1357" s="71">
        <v>37</v>
      </c>
      <c r="B1357" s="72">
        <f t="shared" si="513"/>
        <v>46753</v>
      </c>
      <c r="C1357" s="73">
        <f t="shared" si="494"/>
        <v>46783</v>
      </c>
      <c r="D1357" s="67">
        <f t="shared" si="495"/>
        <v>31</v>
      </c>
      <c r="E1357" s="67">
        <f t="shared" si="496"/>
        <v>1</v>
      </c>
      <c r="F1357" s="74">
        <f t="shared" si="497"/>
        <v>46768.5</v>
      </c>
      <c r="G1357" s="67">
        <f t="shared" si="498"/>
        <v>24336</v>
      </c>
      <c r="H1357" s="75">
        <f t="shared" si="499"/>
        <v>1</v>
      </c>
      <c r="I1357" s="76">
        <f t="shared" si="500"/>
        <v>1.0815000000000001</v>
      </c>
      <c r="J1357" s="76">
        <f t="shared" si="501"/>
        <v>1.0815000000000001</v>
      </c>
      <c r="K1357" s="67">
        <f t="shared" si="502"/>
        <v>0</v>
      </c>
      <c r="L1357" s="67">
        <f t="shared" si="503"/>
        <v>0</v>
      </c>
      <c r="M1357" s="77">
        <f t="shared" si="504"/>
        <v>0</v>
      </c>
      <c r="N1357" s="76">
        <f t="shared" si="505"/>
        <v>1.0815000000000001</v>
      </c>
      <c r="O1357" s="77">
        <f t="shared" si="506"/>
        <v>0.93</v>
      </c>
      <c r="P1357" s="76">
        <f t="shared" si="507"/>
        <v>0</v>
      </c>
      <c r="Q1357" s="76">
        <f t="shared" si="508"/>
        <v>0</v>
      </c>
      <c r="R1357" s="76">
        <f t="shared" si="509"/>
        <v>1</v>
      </c>
      <c r="S1357" s="76">
        <f t="shared" si="510"/>
        <v>1.0932554347826089</v>
      </c>
      <c r="T1357" s="76">
        <f t="shared" si="511"/>
        <v>0.97688136238226619</v>
      </c>
      <c r="U1357" s="76">
        <f t="shared" si="512"/>
        <v>1.0815000000000001</v>
      </c>
    </row>
    <row r="1358" spans="1:21" x14ac:dyDescent="0.25">
      <c r="A1358" s="71">
        <v>38</v>
      </c>
      <c r="B1358" s="72">
        <f t="shared" si="513"/>
        <v>46784</v>
      </c>
      <c r="C1358" s="73">
        <f t="shared" si="494"/>
        <v>46812</v>
      </c>
      <c r="D1358" s="67">
        <f t="shared" si="495"/>
        <v>29</v>
      </c>
      <c r="E1358" s="67">
        <f t="shared" si="496"/>
        <v>2</v>
      </c>
      <c r="F1358" s="74">
        <f t="shared" si="497"/>
        <v>46798.5</v>
      </c>
      <c r="G1358" s="67">
        <f t="shared" si="498"/>
        <v>24337</v>
      </c>
      <c r="H1358" s="75">
        <f t="shared" si="499"/>
        <v>1</v>
      </c>
      <c r="I1358" s="76">
        <f t="shared" si="500"/>
        <v>1.0815000000000001</v>
      </c>
      <c r="J1358" s="76">
        <f t="shared" si="501"/>
        <v>1.0815000000000001</v>
      </c>
      <c r="K1358" s="67">
        <f t="shared" si="502"/>
        <v>0</v>
      </c>
      <c r="L1358" s="67">
        <f t="shared" si="503"/>
        <v>0</v>
      </c>
      <c r="M1358" s="77">
        <f t="shared" si="504"/>
        <v>0</v>
      </c>
      <c r="N1358" s="76">
        <f t="shared" si="505"/>
        <v>1.0815000000000001</v>
      </c>
      <c r="O1358" s="77">
        <f t="shared" si="506"/>
        <v>0.93</v>
      </c>
      <c r="P1358" s="76">
        <f t="shared" si="507"/>
        <v>0</v>
      </c>
      <c r="Q1358" s="76">
        <f t="shared" si="508"/>
        <v>0</v>
      </c>
      <c r="R1358" s="76">
        <f t="shared" si="509"/>
        <v>1</v>
      </c>
      <c r="S1358" s="76">
        <f t="shared" si="510"/>
        <v>1.0932554347826089</v>
      </c>
      <c r="T1358" s="76">
        <f t="shared" si="511"/>
        <v>0.97828465417181998</v>
      </c>
      <c r="U1358" s="76">
        <f t="shared" si="512"/>
        <v>1.0815000000000001</v>
      </c>
    </row>
    <row r="1359" spans="1:21" x14ac:dyDescent="0.25">
      <c r="A1359" s="71">
        <v>39</v>
      </c>
      <c r="B1359" s="72">
        <f t="shared" si="513"/>
        <v>46813</v>
      </c>
      <c r="C1359" s="73">
        <f t="shared" si="494"/>
        <v>46843</v>
      </c>
      <c r="D1359" s="67">
        <f t="shared" si="495"/>
        <v>31</v>
      </c>
      <c r="E1359" s="67">
        <f t="shared" si="496"/>
        <v>3</v>
      </c>
      <c r="F1359" s="74">
        <f t="shared" si="497"/>
        <v>46828.5</v>
      </c>
      <c r="G1359" s="67">
        <f t="shared" si="498"/>
        <v>24338</v>
      </c>
      <c r="H1359" s="75">
        <f t="shared" si="499"/>
        <v>1</v>
      </c>
      <c r="I1359" s="76">
        <f t="shared" si="500"/>
        <v>1.0815000000000001</v>
      </c>
      <c r="J1359" s="76">
        <f t="shared" si="501"/>
        <v>1.0815000000000001</v>
      </c>
      <c r="K1359" s="67">
        <f t="shared" si="502"/>
        <v>0</v>
      </c>
      <c r="L1359" s="67">
        <f t="shared" si="503"/>
        <v>0</v>
      </c>
      <c r="M1359" s="77">
        <f t="shared" si="504"/>
        <v>0</v>
      </c>
      <c r="N1359" s="76">
        <f t="shared" si="505"/>
        <v>1.0815000000000001</v>
      </c>
      <c r="O1359" s="77">
        <f t="shared" si="506"/>
        <v>0.93</v>
      </c>
      <c r="P1359" s="76">
        <f t="shared" si="507"/>
        <v>0</v>
      </c>
      <c r="Q1359" s="76">
        <f t="shared" si="508"/>
        <v>0</v>
      </c>
      <c r="R1359" s="76">
        <f t="shared" si="509"/>
        <v>1</v>
      </c>
      <c r="S1359" s="76">
        <f t="shared" si="510"/>
        <v>1.0932554347826089</v>
      </c>
      <c r="T1359" s="76">
        <f t="shared" si="511"/>
        <v>0.97968794596137376</v>
      </c>
      <c r="U1359" s="76">
        <f t="shared" si="512"/>
        <v>1.0815000000000001</v>
      </c>
    </row>
    <row r="1360" spans="1:21" x14ac:dyDescent="0.25">
      <c r="A1360" s="71">
        <v>40</v>
      </c>
      <c r="B1360" s="72">
        <f t="shared" si="513"/>
        <v>46844</v>
      </c>
      <c r="C1360" s="73">
        <f t="shared" si="494"/>
        <v>46873</v>
      </c>
      <c r="D1360" s="67">
        <f t="shared" si="495"/>
        <v>30</v>
      </c>
      <c r="E1360" s="67">
        <f t="shared" si="496"/>
        <v>4</v>
      </c>
      <c r="F1360" s="74">
        <f t="shared" si="497"/>
        <v>46859</v>
      </c>
      <c r="G1360" s="67">
        <f t="shared" si="498"/>
        <v>24339</v>
      </c>
      <c r="H1360" s="75">
        <f t="shared" si="499"/>
        <v>1</v>
      </c>
      <c r="I1360" s="76">
        <f t="shared" si="500"/>
        <v>1.0815000000000001</v>
      </c>
      <c r="J1360" s="76">
        <f t="shared" si="501"/>
        <v>1.0815000000000001</v>
      </c>
      <c r="K1360" s="67">
        <f t="shared" si="502"/>
        <v>0</v>
      </c>
      <c r="L1360" s="67">
        <f t="shared" si="503"/>
        <v>0</v>
      </c>
      <c r="M1360" s="77">
        <f t="shared" si="504"/>
        <v>0</v>
      </c>
      <c r="N1360" s="76">
        <f t="shared" si="505"/>
        <v>1.0815000000000001</v>
      </c>
      <c r="O1360" s="77">
        <f t="shared" si="506"/>
        <v>0.93</v>
      </c>
      <c r="P1360" s="76">
        <f t="shared" si="507"/>
        <v>0</v>
      </c>
      <c r="Q1360" s="76">
        <f t="shared" si="508"/>
        <v>0</v>
      </c>
      <c r="R1360" s="76">
        <f t="shared" si="509"/>
        <v>1</v>
      </c>
      <c r="S1360" s="76">
        <f t="shared" si="510"/>
        <v>1.0932554347826089</v>
      </c>
      <c r="T1360" s="76">
        <f t="shared" si="511"/>
        <v>1.0301957473123395</v>
      </c>
      <c r="U1360" s="76">
        <f t="shared" si="512"/>
        <v>1.0815000000000001</v>
      </c>
    </row>
    <row r="1361" spans="1:21" x14ac:dyDescent="0.25">
      <c r="A1361" s="71">
        <v>41</v>
      </c>
      <c r="B1361" s="72">
        <f t="shared" si="513"/>
        <v>46874</v>
      </c>
      <c r="C1361" s="73">
        <f t="shared" si="494"/>
        <v>46904</v>
      </c>
      <c r="D1361" s="67">
        <f t="shared" si="495"/>
        <v>31</v>
      </c>
      <c r="E1361" s="67">
        <f t="shared" si="496"/>
        <v>5</v>
      </c>
      <c r="F1361" s="74">
        <f t="shared" si="497"/>
        <v>46889.5</v>
      </c>
      <c r="G1361" s="67">
        <f t="shared" si="498"/>
        <v>24340</v>
      </c>
      <c r="H1361" s="75">
        <f t="shared" si="499"/>
        <v>1</v>
      </c>
      <c r="I1361" s="76">
        <f t="shared" si="500"/>
        <v>1.0815000000000001</v>
      </c>
      <c r="J1361" s="76">
        <f t="shared" si="501"/>
        <v>1.0815000000000001</v>
      </c>
      <c r="K1361" s="67">
        <f t="shared" si="502"/>
        <v>0</v>
      </c>
      <c r="L1361" s="67">
        <f t="shared" si="503"/>
        <v>0</v>
      </c>
      <c r="M1361" s="77">
        <f t="shared" si="504"/>
        <v>0</v>
      </c>
      <c r="N1361" s="76">
        <f t="shared" si="505"/>
        <v>1.0815000000000001</v>
      </c>
      <c r="O1361" s="77">
        <f t="shared" si="506"/>
        <v>0.93</v>
      </c>
      <c r="P1361" s="76">
        <f t="shared" si="507"/>
        <v>0</v>
      </c>
      <c r="Q1361" s="76">
        <f t="shared" si="508"/>
        <v>0</v>
      </c>
      <c r="R1361" s="76">
        <f t="shared" si="509"/>
        <v>1</v>
      </c>
      <c r="S1361" s="76">
        <f t="shared" si="510"/>
        <v>1.0932554347826089</v>
      </c>
      <c r="T1361" s="76">
        <f t="shared" si="511"/>
        <v>1.0317191513652364</v>
      </c>
      <c r="U1361" s="76">
        <f t="shared" si="512"/>
        <v>1.0815000000000001</v>
      </c>
    </row>
    <row r="1362" spans="1:21" x14ac:dyDescent="0.25">
      <c r="A1362" s="71">
        <v>42</v>
      </c>
      <c r="B1362" s="72">
        <f t="shared" si="513"/>
        <v>46905</v>
      </c>
      <c r="C1362" s="73">
        <f t="shared" si="494"/>
        <v>46934</v>
      </c>
      <c r="D1362" s="67">
        <f t="shared" si="495"/>
        <v>30</v>
      </c>
      <c r="E1362" s="67">
        <f t="shared" si="496"/>
        <v>6</v>
      </c>
      <c r="F1362" s="74">
        <f t="shared" si="497"/>
        <v>46920</v>
      </c>
      <c r="G1362" s="67">
        <f t="shared" si="498"/>
        <v>24341</v>
      </c>
      <c r="H1362" s="75">
        <f t="shared" si="499"/>
        <v>1</v>
      </c>
      <c r="I1362" s="76">
        <f t="shared" si="500"/>
        <v>1.0815000000000001</v>
      </c>
      <c r="J1362" s="76">
        <f t="shared" si="501"/>
        <v>1.0815000000000001</v>
      </c>
      <c r="K1362" s="67">
        <f t="shared" si="502"/>
        <v>0</v>
      </c>
      <c r="L1362" s="67">
        <f t="shared" si="503"/>
        <v>0</v>
      </c>
      <c r="M1362" s="77">
        <f t="shared" si="504"/>
        <v>0</v>
      </c>
      <c r="N1362" s="76">
        <f t="shared" si="505"/>
        <v>1.0815000000000001</v>
      </c>
      <c r="O1362" s="77">
        <f t="shared" si="506"/>
        <v>0.93</v>
      </c>
      <c r="P1362" s="76">
        <f t="shared" si="507"/>
        <v>0</v>
      </c>
      <c r="Q1362" s="76">
        <f t="shared" si="508"/>
        <v>0</v>
      </c>
      <c r="R1362" s="76">
        <f t="shared" si="509"/>
        <v>1</v>
      </c>
      <c r="S1362" s="76">
        <f t="shared" si="510"/>
        <v>1.0932554347826089</v>
      </c>
      <c r="T1362" s="76">
        <f t="shared" si="511"/>
        <v>1.0332425554181333</v>
      </c>
      <c r="U1362" s="76">
        <f t="shared" si="512"/>
        <v>1.0815000000000001</v>
      </c>
    </row>
    <row r="1363" spans="1:21" x14ac:dyDescent="0.25">
      <c r="A1363" s="71">
        <v>43</v>
      </c>
      <c r="B1363" s="72">
        <f t="shared" si="513"/>
        <v>46935</v>
      </c>
      <c r="C1363" s="73">
        <f t="shared" si="494"/>
        <v>46965</v>
      </c>
      <c r="D1363" s="67">
        <f t="shared" si="495"/>
        <v>31</v>
      </c>
      <c r="E1363" s="67">
        <f t="shared" si="496"/>
        <v>7</v>
      </c>
      <c r="F1363" s="74">
        <f t="shared" si="497"/>
        <v>46950.5</v>
      </c>
      <c r="G1363" s="67">
        <f t="shared" si="498"/>
        <v>24342</v>
      </c>
      <c r="H1363" s="75">
        <f t="shared" si="499"/>
        <v>1</v>
      </c>
      <c r="I1363" s="76">
        <f t="shared" si="500"/>
        <v>1.0815000000000001</v>
      </c>
      <c r="J1363" s="76">
        <f t="shared" si="501"/>
        <v>1.0815000000000001</v>
      </c>
      <c r="K1363" s="67">
        <f t="shared" si="502"/>
        <v>0</v>
      </c>
      <c r="L1363" s="67">
        <f t="shared" si="503"/>
        <v>0</v>
      </c>
      <c r="M1363" s="77">
        <f t="shared" si="504"/>
        <v>0</v>
      </c>
      <c r="N1363" s="76">
        <f t="shared" si="505"/>
        <v>1.0815000000000001</v>
      </c>
      <c r="O1363" s="77">
        <f t="shared" si="506"/>
        <v>0.93</v>
      </c>
      <c r="P1363" s="76">
        <f t="shared" si="507"/>
        <v>0</v>
      </c>
      <c r="Q1363" s="76">
        <f t="shared" si="508"/>
        <v>0</v>
      </c>
      <c r="R1363" s="76">
        <f t="shared" si="509"/>
        <v>0.91666666666666663</v>
      </c>
      <c r="S1363" s="76">
        <f t="shared" si="510"/>
        <v>1.0932554347826089</v>
      </c>
      <c r="T1363" s="76">
        <f t="shared" si="511"/>
        <v>1.0347659594710303</v>
      </c>
      <c r="U1363" s="76">
        <f t="shared" si="512"/>
        <v>1.0815000000000001</v>
      </c>
    </row>
    <row r="1364" spans="1:21" x14ac:dyDescent="0.25">
      <c r="A1364" s="71">
        <v>44</v>
      </c>
      <c r="B1364" s="72">
        <f t="shared" si="513"/>
        <v>46966</v>
      </c>
      <c r="C1364" s="73">
        <f t="shared" si="494"/>
        <v>46996</v>
      </c>
      <c r="D1364" s="67">
        <f t="shared" si="495"/>
        <v>31</v>
      </c>
      <c r="E1364" s="67">
        <f t="shared" si="496"/>
        <v>8</v>
      </c>
      <c r="F1364" s="74">
        <f t="shared" si="497"/>
        <v>46981.5</v>
      </c>
      <c r="G1364" s="67">
        <f t="shared" si="498"/>
        <v>24343</v>
      </c>
      <c r="H1364" s="75">
        <f t="shared" si="499"/>
        <v>1</v>
      </c>
      <c r="I1364" s="76">
        <f t="shared" si="500"/>
        <v>1.0815000000000001</v>
      </c>
      <c r="J1364" s="76">
        <f t="shared" si="501"/>
        <v>1.0815000000000001</v>
      </c>
      <c r="K1364" s="67">
        <f t="shared" si="502"/>
        <v>0</v>
      </c>
      <c r="L1364" s="67">
        <f t="shared" si="503"/>
        <v>0</v>
      </c>
      <c r="M1364" s="77">
        <f t="shared" si="504"/>
        <v>0</v>
      </c>
      <c r="N1364" s="76">
        <f t="shared" si="505"/>
        <v>1.0815000000000001</v>
      </c>
      <c r="O1364" s="77">
        <f t="shared" si="506"/>
        <v>0.93</v>
      </c>
      <c r="P1364" s="76">
        <f t="shared" si="507"/>
        <v>0</v>
      </c>
      <c r="Q1364" s="76">
        <f t="shared" si="508"/>
        <v>0</v>
      </c>
      <c r="R1364" s="76">
        <f t="shared" si="509"/>
        <v>0.75</v>
      </c>
      <c r="S1364" s="76">
        <f t="shared" si="510"/>
        <v>1.0932554347826089</v>
      </c>
      <c r="T1364" s="76">
        <f t="shared" si="511"/>
        <v>1.0363143373608601</v>
      </c>
      <c r="U1364" s="76">
        <f t="shared" si="512"/>
        <v>1.0815000000000001</v>
      </c>
    </row>
    <row r="1365" spans="1:21" x14ac:dyDescent="0.25">
      <c r="A1365" s="71">
        <v>45</v>
      </c>
      <c r="B1365" s="72">
        <f t="shared" si="513"/>
        <v>46997</v>
      </c>
      <c r="C1365" s="73">
        <f t="shared" si="494"/>
        <v>47026</v>
      </c>
      <c r="D1365" s="67">
        <f t="shared" si="495"/>
        <v>30</v>
      </c>
      <c r="E1365" s="67">
        <f t="shared" si="496"/>
        <v>9</v>
      </c>
      <c r="F1365" s="74">
        <f t="shared" si="497"/>
        <v>47012</v>
      </c>
      <c r="G1365" s="67">
        <f t="shared" si="498"/>
        <v>24344</v>
      </c>
      <c r="H1365" s="75">
        <f t="shared" si="499"/>
        <v>1</v>
      </c>
      <c r="I1365" s="76">
        <f t="shared" si="500"/>
        <v>1.0815000000000001</v>
      </c>
      <c r="J1365" s="76">
        <f t="shared" si="501"/>
        <v>1.0815000000000001</v>
      </c>
      <c r="K1365" s="67">
        <f t="shared" si="502"/>
        <v>0</v>
      </c>
      <c r="L1365" s="67">
        <f t="shared" si="503"/>
        <v>0</v>
      </c>
      <c r="M1365" s="77">
        <f t="shared" si="504"/>
        <v>0</v>
      </c>
      <c r="N1365" s="76">
        <f t="shared" si="505"/>
        <v>1.0815000000000001</v>
      </c>
      <c r="O1365" s="77">
        <f t="shared" si="506"/>
        <v>0.93</v>
      </c>
      <c r="P1365" s="76">
        <f t="shared" si="507"/>
        <v>0</v>
      </c>
      <c r="Q1365" s="76">
        <f t="shared" si="508"/>
        <v>0</v>
      </c>
      <c r="R1365" s="76">
        <f t="shared" si="509"/>
        <v>0.58333333333333337</v>
      </c>
      <c r="S1365" s="76">
        <f t="shared" si="510"/>
        <v>1.0932554347826089</v>
      </c>
      <c r="T1365" s="76">
        <f t="shared" si="511"/>
        <v>1.037837741413757</v>
      </c>
      <c r="U1365" s="76">
        <f t="shared" si="512"/>
        <v>1.0815000000000001</v>
      </c>
    </row>
    <row r="1366" spans="1:21" x14ac:dyDescent="0.25">
      <c r="A1366" s="71">
        <v>46</v>
      </c>
      <c r="B1366" s="72">
        <f t="shared" si="513"/>
        <v>47027</v>
      </c>
      <c r="C1366" s="73">
        <f t="shared" si="494"/>
        <v>47057</v>
      </c>
      <c r="D1366" s="67">
        <f t="shared" si="495"/>
        <v>31</v>
      </c>
      <c r="E1366" s="67">
        <f t="shared" si="496"/>
        <v>10</v>
      </c>
      <c r="F1366" s="74">
        <f t="shared" si="497"/>
        <v>47042.5</v>
      </c>
      <c r="G1366" s="67">
        <f t="shared" si="498"/>
        <v>24345</v>
      </c>
      <c r="H1366" s="75">
        <f t="shared" si="499"/>
        <v>1</v>
      </c>
      <c r="I1366" s="76">
        <f t="shared" si="500"/>
        <v>1.0815000000000001</v>
      </c>
      <c r="J1366" s="76">
        <f t="shared" si="501"/>
        <v>1.0815000000000001</v>
      </c>
      <c r="K1366" s="67">
        <f t="shared" si="502"/>
        <v>0</v>
      </c>
      <c r="L1366" s="67">
        <f t="shared" si="503"/>
        <v>0</v>
      </c>
      <c r="M1366" s="77">
        <f t="shared" si="504"/>
        <v>0</v>
      </c>
      <c r="N1366" s="76">
        <f t="shared" si="505"/>
        <v>1.0815000000000001</v>
      </c>
      <c r="O1366" s="77">
        <f t="shared" si="506"/>
        <v>0.93</v>
      </c>
      <c r="P1366" s="76">
        <f t="shared" si="507"/>
        <v>0</v>
      </c>
      <c r="Q1366" s="76">
        <f t="shared" si="508"/>
        <v>0</v>
      </c>
      <c r="R1366" s="76">
        <f t="shared" si="509"/>
        <v>0.41666666666666669</v>
      </c>
      <c r="S1366" s="76">
        <f t="shared" si="510"/>
        <v>1.0932554347826089</v>
      </c>
      <c r="T1366" s="76">
        <f t="shared" si="511"/>
        <v>1.039361145466654</v>
      </c>
      <c r="U1366" s="76">
        <f t="shared" si="512"/>
        <v>1.0815000000000001</v>
      </c>
    </row>
    <row r="1367" spans="1:21" x14ac:dyDescent="0.25">
      <c r="A1367" s="71">
        <v>47</v>
      </c>
      <c r="B1367" s="72">
        <f t="shared" si="513"/>
        <v>47058</v>
      </c>
      <c r="C1367" s="73">
        <f t="shared" si="494"/>
        <v>47087</v>
      </c>
      <c r="D1367" s="67">
        <f t="shared" si="495"/>
        <v>30</v>
      </c>
      <c r="E1367" s="67">
        <f t="shared" si="496"/>
        <v>11</v>
      </c>
      <c r="F1367" s="74">
        <f t="shared" si="497"/>
        <v>47073</v>
      </c>
      <c r="G1367" s="67">
        <f t="shared" si="498"/>
        <v>24346</v>
      </c>
      <c r="H1367" s="75">
        <f t="shared" si="499"/>
        <v>1</v>
      </c>
      <c r="I1367" s="76">
        <f t="shared" si="500"/>
        <v>1.0815000000000001</v>
      </c>
      <c r="J1367" s="76">
        <f t="shared" si="501"/>
        <v>1.0815000000000001</v>
      </c>
      <c r="K1367" s="67">
        <f t="shared" si="502"/>
        <v>0</v>
      </c>
      <c r="L1367" s="67">
        <f t="shared" si="503"/>
        <v>0</v>
      </c>
      <c r="M1367" s="77">
        <f t="shared" si="504"/>
        <v>0</v>
      </c>
      <c r="N1367" s="76">
        <f t="shared" si="505"/>
        <v>1.0815000000000001</v>
      </c>
      <c r="O1367" s="77">
        <f t="shared" si="506"/>
        <v>0.93</v>
      </c>
      <c r="P1367" s="76">
        <f t="shared" si="507"/>
        <v>0</v>
      </c>
      <c r="Q1367" s="76">
        <f t="shared" si="508"/>
        <v>0</v>
      </c>
      <c r="R1367" s="76">
        <f t="shared" si="509"/>
        <v>0.25</v>
      </c>
      <c r="S1367" s="76">
        <f t="shared" si="510"/>
        <v>1.0932554347826089</v>
      </c>
      <c r="T1367" s="76">
        <f t="shared" si="511"/>
        <v>1.0408845495195511</v>
      </c>
      <c r="U1367" s="76">
        <f t="shared" si="512"/>
        <v>1.0815000000000001</v>
      </c>
    </row>
    <row r="1368" spans="1:21" x14ac:dyDescent="0.25">
      <c r="A1368" s="71">
        <v>48</v>
      </c>
      <c r="B1368" s="72">
        <f t="shared" si="513"/>
        <v>47088</v>
      </c>
      <c r="C1368" s="73">
        <f t="shared" si="494"/>
        <v>47118</v>
      </c>
      <c r="D1368" s="67">
        <f t="shared" si="495"/>
        <v>31</v>
      </c>
      <c r="E1368" s="67">
        <f t="shared" si="496"/>
        <v>12</v>
      </c>
      <c r="F1368" s="74">
        <f t="shared" si="497"/>
        <v>47103.5</v>
      </c>
      <c r="G1368" s="67">
        <f t="shared" si="498"/>
        <v>24347</v>
      </c>
      <c r="H1368" s="75">
        <f t="shared" si="499"/>
        <v>1</v>
      </c>
      <c r="I1368" s="76">
        <f t="shared" si="500"/>
        <v>1.0815000000000001</v>
      </c>
      <c r="J1368" s="76">
        <f t="shared" si="501"/>
        <v>1.0815000000000001</v>
      </c>
      <c r="K1368" s="67">
        <f t="shared" si="502"/>
        <v>0</v>
      </c>
      <c r="L1368" s="67">
        <f t="shared" si="503"/>
        <v>0</v>
      </c>
      <c r="M1368" s="77">
        <f t="shared" si="504"/>
        <v>0</v>
      </c>
      <c r="N1368" s="76">
        <f t="shared" si="505"/>
        <v>1.0815000000000001</v>
      </c>
      <c r="O1368" s="77">
        <f t="shared" si="506"/>
        <v>0.93</v>
      </c>
      <c r="P1368" s="76">
        <f t="shared" si="507"/>
        <v>0</v>
      </c>
      <c r="Q1368" s="76">
        <f t="shared" si="508"/>
        <v>0</v>
      </c>
      <c r="R1368" s="76">
        <f t="shared" si="509"/>
        <v>8.3333333333333329E-2</v>
      </c>
      <c r="S1368" s="76">
        <f t="shared" si="510"/>
        <v>1.0932554347826089</v>
      </c>
      <c r="T1368" s="76">
        <f t="shared" si="511"/>
        <v>1.042407953572448</v>
      </c>
      <c r="U1368" s="76">
        <f t="shared" si="512"/>
        <v>1.0815000000000001</v>
      </c>
    </row>
    <row r="1369" spans="1:21" x14ac:dyDescent="0.25">
      <c r="A1369" s="81" t="s">
        <v>1187</v>
      </c>
      <c r="B1369" s="53">
        <f>EXP(SUMPRODUCT((rl_key=$A$1318)*(rl_cons="Y")*rl_ln1p))</f>
        <v>1.05</v>
      </c>
      <c r="C1369" s="53">
        <f>SUMPRODUCT($H$1321:$H$1368,$P$1321:$P$1368,$U$1321:$U$1368)/SUMPRODUCT($H$1321:$H$1368,$P$1321:$P$1368)</f>
        <v>1.0250000000000001</v>
      </c>
      <c r="D1369" s="53">
        <f>SUMPRODUCT($H$1321:$H$1368,$Q$1321:$Q$1368,$U$1321:$U$1368)/SUMPRODUCT($H$1321:$H$1368,$Q$1321:$Q$1368)</f>
        <v>1.0619395161290324</v>
      </c>
      <c r="E1369" s="53">
        <f>SUMPRODUCT($H$1321:$H$1368,$R$1321:$R$1368,$U$1321:$U$1368)/SUMPRODUCT($H$1321:$H$1368,$R$1321:$R$1368)</f>
        <v>1.0815000000000001</v>
      </c>
      <c r="F1369" s="172">
        <f>SUMPRODUCT($H$1321:$H$1368,$Q$1321:$Q$1368,$O$1321:$O$1368)/SUMPRODUCT($H$1321:$H$1368,$Q$1321:$Q$1368)</f>
        <v>0.91798504741064912</v>
      </c>
      <c r="G1369" s="172">
        <f>SUMPRODUCT($H$1321:$H$1368,$R$1321:$R$1368,$O$1321:$O$1368)/SUMPRODUCT($H$1321:$H$1368,$R$1321:$R$1368)</f>
        <v>0.92932044736202268</v>
      </c>
    </row>
    <row r="1372" spans="1:21" x14ac:dyDescent="0.25">
      <c r="A1372" s="81" t="str">
        <f>INDEX(lr_key,25)</f>
        <v>BU-B|CT</v>
      </c>
      <c r="B1372" s="81" t="str">
        <f>INDEX(lr_state,25)</f>
        <v>CT</v>
      </c>
      <c r="C1372" s="55">
        <f>nr_TermMonths</f>
        <v>6</v>
      </c>
      <c r="D1372" s="55">
        <f>IF(COUNTIF(se_state,$B1372)=0,0,MATCH($B1372,se_state,0))</f>
        <v>0</v>
      </c>
      <c r="E1372" s="57">
        <f>IF($D1372=0,0,INDEX(se_sum,$D1372))</f>
        <v>0</v>
      </c>
      <c r="F1372" s="172">
        <f>IF(N(INDEX(lr_mind,25))=0,1,INDEX(lr_mind,25))</f>
        <v>0.92</v>
      </c>
      <c r="G1372" s="172">
        <f>IF(N(INDEX(lr_m0,25))=0,1,INDEX(lr_m0,25))</f>
        <v>0.91</v>
      </c>
      <c r="H1372" s="54">
        <f>IF(N(INDEX(lr_m0asof,25))=0,DATE(nr_PlanYear-1,10,1),INDEX(lr_m0asof,25))</f>
        <v>46295</v>
      </c>
      <c r="I1372" s="172">
        <f>IF(N(INDEX(lr_m1,25))=0,1,INDEX(lr_m1,25))</f>
        <v>0.91</v>
      </c>
      <c r="J1372" s="172">
        <f>INDEX(lr_mprior,25)</f>
        <v>0</v>
      </c>
      <c r="K1372" s="172">
        <f>INDEX(lr_m2,25)</f>
        <v>0</v>
      </c>
      <c r="L1372" s="81" t="b">
        <f>NOT(ISBLANK(INDEX(lr_netp,25)))</f>
        <v>0</v>
      </c>
      <c r="M1372" s="52">
        <f>N(INDEX(lr_netp,25))</f>
        <v>0</v>
      </c>
      <c r="N1372" s="52">
        <f>IF(ISBLANK(INDEX(lr_netp1,25)),$M$1372,N(INDEX(lr_netp1,25)))</f>
        <v>0</v>
      </c>
      <c r="O1372" s="55">
        <f>IF(AND(nr_ModAdjMaster="ON",INDEX(lr_modadj,25)="ON"),1,0)</f>
        <v>1</v>
      </c>
    </row>
    <row r="1373" spans="1:21" x14ac:dyDescent="0.25">
      <c r="A1373" s="81">
        <f>EDATE($H$1372,-12)+1</f>
        <v>45931</v>
      </c>
      <c r="B1373" s="81">
        <f>$H$1372+1</f>
        <v>46296</v>
      </c>
      <c r="C1373" s="81">
        <f>DATE(nr_PlanYear,12,31)+1</f>
        <v>46753</v>
      </c>
      <c r="D1373" s="81">
        <f>DATE(nr_PlanYear+1,12,31)+1</f>
        <v>47119</v>
      </c>
      <c r="E1373" s="81">
        <f>IF(N($J$1372)=0,$F$1373-($G$1373-$F$1373)/($C$1373-$B$1373)*($B$1373-$A$1373),$J$1372)</f>
        <v>0.91</v>
      </c>
      <c r="F1373" s="81">
        <f>$G$1372</f>
        <v>0.91</v>
      </c>
      <c r="G1373" s="81">
        <f>$I$1372</f>
        <v>0.91</v>
      </c>
      <c r="H1373" s="81">
        <f>IF(N($K$1372)=0,$I$1372,$K$1372)</f>
        <v>0.91</v>
      </c>
      <c r="I1373" s="81">
        <f>($F$1373-$E$1373)/($B$1373-$A$1373)</f>
        <v>0</v>
      </c>
      <c r="J1373" s="81">
        <f>($G$1373-$F$1373)/($C$1373-$B$1373)</f>
        <v>0</v>
      </c>
      <c r="K1373" s="81">
        <f>($H$1373-$G$1373)/($D$1373-$C$1373)</f>
        <v>0</v>
      </c>
    </row>
    <row r="1374" spans="1:21" ht="36" x14ac:dyDescent="0.25">
      <c r="A1374" s="50" t="s">
        <v>211</v>
      </c>
      <c r="B1374" s="50" t="s">
        <v>212</v>
      </c>
      <c r="C1374" s="50" t="s">
        <v>213</v>
      </c>
      <c r="D1374" s="50" t="s">
        <v>214</v>
      </c>
      <c r="E1374" s="50" t="s">
        <v>215</v>
      </c>
      <c r="F1374" s="50" t="s">
        <v>216</v>
      </c>
      <c r="G1374" s="50" t="s">
        <v>217</v>
      </c>
      <c r="H1374" s="50" t="s">
        <v>218</v>
      </c>
      <c r="I1374" s="50" t="s">
        <v>219</v>
      </c>
      <c r="J1374" s="50" t="s">
        <v>220</v>
      </c>
      <c r="K1374" s="50" t="s">
        <v>221</v>
      </c>
      <c r="L1374" s="50" t="s">
        <v>222</v>
      </c>
      <c r="M1374" s="50" t="s">
        <v>223</v>
      </c>
      <c r="N1374" s="50" t="s">
        <v>224</v>
      </c>
      <c r="O1374" s="50" t="s">
        <v>225</v>
      </c>
      <c r="P1374" s="50" t="s">
        <v>226</v>
      </c>
      <c r="Q1374" s="50" t="s">
        <v>227</v>
      </c>
      <c r="R1374" s="50" t="s">
        <v>228</v>
      </c>
      <c r="S1374" s="50" t="s">
        <v>229</v>
      </c>
      <c r="T1374" s="50" t="s">
        <v>230</v>
      </c>
      <c r="U1374" s="50" t="s">
        <v>231</v>
      </c>
    </row>
    <row r="1375" spans="1:21" x14ac:dyDescent="0.25">
      <c r="A1375" s="71">
        <v>1</v>
      </c>
      <c r="B1375" s="72">
        <f>DATE(nr_PlanYear-2,1,1)</f>
        <v>45658</v>
      </c>
      <c r="C1375" s="73">
        <f t="shared" ref="C1375:C1422" si="514">EOMONTH($B1375,0)</f>
        <v>45688</v>
      </c>
      <c r="D1375" s="67">
        <f t="shared" ref="D1375:D1422" si="515">$C1375-$B1375+1</f>
        <v>31</v>
      </c>
      <c r="E1375" s="67">
        <f t="shared" ref="E1375:E1422" si="516">MONTH($B1375)</f>
        <v>1</v>
      </c>
      <c r="F1375" s="74">
        <f t="shared" ref="F1375:F1422" si="517">($B1375+$C1375+1)/2</f>
        <v>45673.5</v>
      </c>
      <c r="G1375" s="67">
        <f t="shared" ref="G1375:G1422" si="518">YEAR($B1375)*12+MONTH($B1375)-1</f>
        <v>24300</v>
      </c>
      <c r="H1375" s="75">
        <f t="shared" ref="H1375:H1422" si="519">IF(OR(nr_SeasonOn="OFF",$D$1372=0,$E$1372=0),1,12*INDEX(se_block,$D$1372,$E1375)/$E$1372)</f>
        <v>1</v>
      </c>
      <c r="I1375" s="76">
        <f t="shared" ref="I1375:I1422" si="520">EXP(SUMPRODUCT((rl_eff&lt;$B1375)*(rl_key=$A$1372)*rl_ln1p))</f>
        <v>1</v>
      </c>
      <c r="J1375" s="76">
        <f t="shared" ref="J1375:J1422" si="521">EXP(SUMPRODUCT((rl_eff&lt;=$C1375)*(rl_key=$A$1372)*rl_ln1p))</f>
        <v>1</v>
      </c>
      <c r="K1375" s="67">
        <f t="shared" ref="K1375:K1422" si="522">COUNTIFS(rl_key,$A$1372,rl_eff,"&gt;="&amp;$B1375,rl_eff,"&lt;="&amp;$C1375)</f>
        <v>0</v>
      </c>
      <c r="L1375" s="67">
        <f t="shared" ref="L1375:L1422" si="523">SUMIFS(rl_daysafter,rl_key,$A$1372,rl_effmonth,$B1375,rl_first,1)</f>
        <v>0</v>
      </c>
      <c r="M1375" s="77">
        <f t="shared" ref="M1375:M1422" si="524">IF($K1375=0,0,MIN(1,$L1375/$D1375))</f>
        <v>0</v>
      </c>
      <c r="N1375" s="76">
        <f t="shared" ref="N1375:N1422" si="525">IF($K1375=0,$J1375,(1-$M1375)*$I1375+$M1375*$J1375)</f>
        <v>1</v>
      </c>
      <c r="O1375" s="77">
        <f t="shared" ref="O1375:O1422" si="526">IF($F1375&lt;$B$1373,$E$1373+$I$1373*($F1375-$A$1373),IF($F1375&lt;$C$1373,$F$1373+$J$1373*($F1375-$B$1373),$G$1373+$K$1373*($F1375-$C$1373)))</f>
        <v>0.91</v>
      </c>
      <c r="P1375" s="76">
        <f t="shared" ref="P1375:P1422" si="527">MIN(1,MAX(0,(nr_MEndPm1-$G1375+0.5)/$C$1372))-MIN(1,MAX(0,(nr_MStartPm1-1-$G1375+0.5)/$C$1372))</f>
        <v>0</v>
      </c>
      <c r="Q1375" s="76">
        <f t="shared" ref="Q1375:Q1422" si="528">MIN(1,MAX(0,(nr_MEndP-$G1375+0.5)/$C$1372))-MIN(1,MAX(0,(nr_MStartP-1-$G1375+0.5)/$C$1372))</f>
        <v>0</v>
      </c>
      <c r="R1375" s="76">
        <f t="shared" ref="R1375:R1422" si="529">MIN(1,MAX(0,(nr_MEndP1-$G1375+0.5)/$C$1372))-MIN(1,MAX(0,(nr_MStartP1-1-$G1375+0.5)/$C$1372))</f>
        <v>0</v>
      </c>
      <c r="S1375" s="76">
        <f t="shared" ref="S1375:S1422" si="530">$N1375*IF($O$1372=1,$O1375/$F$1372,1)</f>
        <v>0.98913043478260865</v>
      </c>
      <c r="T1375" s="76">
        <f t="shared" ref="T1375:T1422" si="531">IF($G1375&lt;nr_MStartP,$S1375,$T1363*(1+IF($G1375&lt;nr_MStartP1,$M$1372,$N$1372)))</f>
        <v>0.98913043478260865</v>
      </c>
      <c r="U1375" s="76">
        <f t="shared" ref="U1375:U1422" si="532">IF($L$1372,$T1375,$N1375)</f>
        <v>1</v>
      </c>
    </row>
    <row r="1376" spans="1:21" x14ac:dyDescent="0.25">
      <c r="A1376" s="71">
        <v>2</v>
      </c>
      <c r="B1376" s="72">
        <f t="shared" ref="B1376:B1422" si="533">EDATE($B1375,1)</f>
        <v>45689</v>
      </c>
      <c r="C1376" s="73">
        <f t="shared" si="514"/>
        <v>45716</v>
      </c>
      <c r="D1376" s="67">
        <f t="shared" si="515"/>
        <v>28</v>
      </c>
      <c r="E1376" s="67">
        <f t="shared" si="516"/>
        <v>2</v>
      </c>
      <c r="F1376" s="74">
        <f t="shared" si="517"/>
        <v>45703</v>
      </c>
      <c r="G1376" s="67">
        <f t="shared" si="518"/>
        <v>24301</v>
      </c>
      <c r="H1376" s="75">
        <f t="shared" si="519"/>
        <v>1</v>
      </c>
      <c r="I1376" s="76">
        <f t="shared" si="520"/>
        <v>1</v>
      </c>
      <c r="J1376" s="76">
        <f t="shared" si="521"/>
        <v>1</v>
      </c>
      <c r="K1376" s="67">
        <f t="shared" si="522"/>
        <v>0</v>
      </c>
      <c r="L1376" s="67">
        <f t="shared" si="523"/>
        <v>0</v>
      </c>
      <c r="M1376" s="77">
        <f t="shared" si="524"/>
        <v>0</v>
      </c>
      <c r="N1376" s="76">
        <f t="shared" si="525"/>
        <v>1</v>
      </c>
      <c r="O1376" s="77">
        <f t="shared" si="526"/>
        <v>0.91</v>
      </c>
      <c r="P1376" s="76">
        <f t="shared" si="527"/>
        <v>0</v>
      </c>
      <c r="Q1376" s="76">
        <f t="shared" si="528"/>
        <v>0</v>
      </c>
      <c r="R1376" s="76">
        <f t="shared" si="529"/>
        <v>0</v>
      </c>
      <c r="S1376" s="76">
        <f t="shared" si="530"/>
        <v>0.98913043478260865</v>
      </c>
      <c r="T1376" s="76">
        <f t="shared" si="531"/>
        <v>0.98913043478260865</v>
      </c>
      <c r="U1376" s="76">
        <f t="shared" si="532"/>
        <v>1</v>
      </c>
    </row>
    <row r="1377" spans="1:21" x14ac:dyDescent="0.25">
      <c r="A1377" s="71">
        <v>3</v>
      </c>
      <c r="B1377" s="72">
        <f t="shared" si="533"/>
        <v>45717</v>
      </c>
      <c r="C1377" s="73">
        <f t="shared" si="514"/>
        <v>45747</v>
      </c>
      <c r="D1377" s="67">
        <f t="shared" si="515"/>
        <v>31</v>
      </c>
      <c r="E1377" s="67">
        <f t="shared" si="516"/>
        <v>3</v>
      </c>
      <c r="F1377" s="74">
        <f t="shared" si="517"/>
        <v>45732.5</v>
      </c>
      <c r="G1377" s="67">
        <f t="shared" si="518"/>
        <v>24302</v>
      </c>
      <c r="H1377" s="75">
        <f t="shared" si="519"/>
        <v>1</v>
      </c>
      <c r="I1377" s="76">
        <f t="shared" si="520"/>
        <v>1</v>
      </c>
      <c r="J1377" s="76">
        <f t="shared" si="521"/>
        <v>1</v>
      </c>
      <c r="K1377" s="67">
        <f t="shared" si="522"/>
        <v>0</v>
      </c>
      <c r="L1377" s="67">
        <f t="shared" si="523"/>
        <v>0</v>
      </c>
      <c r="M1377" s="77">
        <f t="shared" si="524"/>
        <v>0</v>
      </c>
      <c r="N1377" s="76">
        <f t="shared" si="525"/>
        <v>1</v>
      </c>
      <c r="O1377" s="77">
        <f t="shared" si="526"/>
        <v>0.91</v>
      </c>
      <c r="P1377" s="76">
        <f t="shared" si="527"/>
        <v>0</v>
      </c>
      <c r="Q1377" s="76">
        <f t="shared" si="528"/>
        <v>0</v>
      </c>
      <c r="R1377" s="76">
        <f t="shared" si="529"/>
        <v>0</v>
      </c>
      <c r="S1377" s="76">
        <f t="shared" si="530"/>
        <v>0.98913043478260865</v>
      </c>
      <c r="T1377" s="76">
        <f t="shared" si="531"/>
        <v>0.98913043478260865</v>
      </c>
      <c r="U1377" s="76">
        <f t="shared" si="532"/>
        <v>1</v>
      </c>
    </row>
    <row r="1378" spans="1:21" x14ac:dyDescent="0.25">
      <c r="A1378" s="71">
        <v>4</v>
      </c>
      <c r="B1378" s="72">
        <f t="shared" si="533"/>
        <v>45748</v>
      </c>
      <c r="C1378" s="73">
        <f t="shared" si="514"/>
        <v>45777</v>
      </c>
      <c r="D1378" s="67">
        <f t="shared" si="515"/>
        <v>30</v>
      </c>
      <c r="E1378" s="67">
        <f t="shared" si="516"/>
        <v>4</v>
      </c>
      <c r="F1378" s="74">
        <f t="shared" si="517"/>
        <v>45763</v>
      </c>
      <c r="G1378" s="67">
        <f t="shared" si="518"/>
        <v>24303</v>
      </c>
      <c r="H1378" s="75">
        <f t="shared" si="519"/>
        <v>1</v>
      </c>
      <c r="I1378" s="76">
        <f t="shared" si="520"/>
        <v>1</v>
      </c>
      <c r="J1378" s="76">
        <f t="shared" si="521"/>
        <v>1</v>
      </c>
      <c r="K1378" s="67">
        <f t="shared" si="522"/>
        <v>0</v>
      </c>
      <c r="L1378" s="67">
        <f t="shared" si="523"/>
        <v>0</v>
      </c>
      <c r="M1378" s="77">
        <f t="shared" si="524"/>
        <v>0</v>
      </c>
      <c r="N1378" s="76">
        <f t="shared" si="525"/>
        <v>1</v>
      </c>
      <c r="O1378" s="77">
        <f t="shared" si="526"/>
        <v>0.91</v>
      </c>
      <c r="P1378" s="76">
        <f t="shared" si="527"/>
        <v>0</v>
      </c>
      <c r="Q1378" s="76">
        <f t="shared" si="528"/>
        <v>0</v>
      </c>
      <c r="R1378" s="76">
        <f t="shared" si="529"/>
        <v>0</v>
      </c>
      <c r="S1378" s="76">
        <f t="shared" si="530"/>
        <v>0.98913043478260865</v>
      </c>
      <c r="T1378" s="76">
        <f t="shared" si="531"/>
        <v>0.98913043478260865</v>
      </c>
      <c r="U1378" s="76">
        <f t="shared" si="532"/>
        <v>1</v>
      </c>
    </row>
    <row r="1379" spans="1:21" x14ac:dyDescent="0.25">
      <c r="A1379" s="71">
        <v>5</v>
      </c>
      <c r="B1379" s="72">
        <f t="shared" si="533"/>
        <v>45778</v>
      </c>
      <c r="C1379" s="73">
        <f t="shared" si="514"/>
        <v>45808</v>
      </c>
      <c r="D1379" s="67">
        <f t="shared" si="515"/>
        <v>31</v>
      </c>
      <c r="E1379" s="67">
        <f t="shared" si="516"/>
        <v>5</v>
      </c>
      <c r="F1379" s="74">
        <f t="shared" si="517"/>
        <v>45793.5</v>
      </c>
      <c r="G1379" s="67">
        <f t="shared" si="518"/>
        <v>24304</v>
      </c>
      <c r="H1379" s="75">
        <f t="shared" si="519"/>
        <v>1</v>
      </c>
      <c r="I1379" s="76">
        <f t="shared" si="520"/>
        <v>1</v>
      </c>
      <c r="J1379" s="76">
        <f t="shared" si="521"/>
        <v>1</v>
      </c>
      <c r="K1379" s="67">
        <f t="shared" si="522"/>
        <v>0</v>
      </c>
      <c r="L1379" s="67">
        <f t="shared" si="523"/>
        <v>0</v>
      </c>
      <c r="M1379" s="77">
        <f t="shared" si="524"/>
        <v>0</v>
      </c>
      <c r="N1379" s="76">
        <f t="shared" si="525"/>
        <v>1</v>
      </c>
      <c r="O1379" s="77">
        <f t="shared" si="526"/>
        <v>0.91</v>
      </c>
      <c r="P1379" s="76">
        <f t="shared" si="527"/>
        <v>0</v>
      </c>
      <c r="Q1379" s="76">
        <f t="shared" si="528"/>
        <v>0</v>
      </c>
      <c r="R1379" s="76">
        <f t="shared" si="529"/>
        <v>0</v>
      </c>
      <c r="S1379" s="76">
        <f t="shared" si="530"/>
        <v>0.98913043478260865</v>
      </c>
      <c r="T1379" s="76">
        <f t="shared" si="531"/>
        <v>0.98913043478260865</v>
      </c>
      <c r="U1379" s="76">
        <f t="shared" si="532"/>
        <v>1</v>
      </c>
    </row>
    <row r="1380" spans="1:21" x14ac:dyDescent="0.25">
      <c r="A1380" s="71">
        <v>6</v>
      </c>
      <c r="B1380" s="72">
        <f t="shared" si="533"/>
        <v>45809</v>
      </c>
      <c r="C1380" s="73">
        <f t="shared" si="514"/>
        <v>45838</v>
      </c>
      <c r="D1380" s="67">
        <f t="shared" si="515"/>
        <v>30</v>
      </c>
      <c r="E1380" s="67">
        <f t="shared" si="516"/>
        <v>6</v>
      </c>
      <c r="F1380" s="74">
        <f t="shared" si="517"/>
        <v>45824</v>
      </c>
      <c r="G1380" s="67">
        <f t="shared" si="518"/>
        <v>24305</v>
      </c>
      <c r="H1380" s="75">
        <f t="shared" si="519"/>
        <v>1</v>
      </c>
      <c r="I1380" s="76">
        <f t="shared" si="520"/>
        <v>1</v>
      </c>
      <c r="J1380" s="76">
        <f t="shared" si="521"/>
        <v>1</v>
      </c>
      <c r="K1380" s="67">
        <f t="shared" si="522"/>
        <v>0</v>
      </c>
      <c r="L1380" s="67">
        <f t="shared" si="523"/>
        <v>0</v>
      </c>
      <c r="M1380" s="77">
        <f t="shared" si="524"/>
        <v>0</v>
      </c>
      <c r="N1380" s="76">
        <f t="shared" si="525"/>
        <v>1</v>
      </c>
      <c r="O1380" s="77">
        <f t="shared" si="526"/>
        <v>0.91</v>
      </c>
      <c r="P1380" s="76">
        <f t="shared" si="527"/>
        <v>0</v>
      </c>
      <c r="Q1380" s="76">
        <f t="shared" si="528"/>
        <v>0</v>
      </c>
      <c r="R1380" s="76">
        <f t="shared" si="529"/>
        <v>0</v>
      </c>
      <c r="S1380" s="76">
        <f t="shared" si="530"/>
        <v>0.98913043478260865</v>
      </c>
      <c r="T1380" s="76">
        <f t="shared" si="531"/>
        <v>0.98913043478260865</v>
      </c>
      <c r="U1380" s="76">
        <f t="shared" si="532"/>
        <v>1</v>
      </c>
    </row>
    <row r="1381" spans="1:21" x14ac:dyDescent="0.25">
      <c r="A1381" s="71">
        <v>7</v>
      </c>
      <c r="B1381" s="72">
        <f t="shared" si="533"/>
        <v>45839</v>
      </c>
      <c r="C1381" s="73">
        <f t="shared" si="514"/>
        <v>45869</v>
      </c>
      <c r="D1381" s="67">
        <f t="shared" si="515"/>
        <v>31</v>
      </c>
      <c r="E1381" s="67">
        <f t="shared" si="516"/>
        <v>7</v>
      </c>
      <c r="F1381" s="74">
        <f t="shared" si="517"/>
        <v>45854.5</v>
      </c>
      <c r="G1381" s="67">
        <f t="shared" si="518"/>
        <v>24306</v>
      </c>
      <c r="H1381" s="75">
        <f t="shared" si="519"/>
        <v>1</v>
      </c>
      <c r="I1381" s="76">
        <f t="shared" si="520"/>
        <v>1</v>
      </c>
      <c r="J1381" s="76">
        <f t="shared" si="521"/>
        <v>1</v>
      </c>
      <c r="K1381" s="67">
        <f t="shared" si="522"/>
        <v>0</v>
      </c>
      <c r="L1381" s="67">
        <f t="shared" si="523"/>
        <v>0</v>
      </c>
      <c r="M1381" s="77">
        <f t="shared" si="524"/>
        <v>0</v>
      </c>
      <c r="N1381" s="76">
        <f t="shared" si="525"/>
        <v>1</v>
      </c>
      <c r="O1381" s="77">
        <f t="shared" si="526"/>
        <v>0.91</v>
      </c>
      <c r="P1381" s="76">
        <f t="shared" si="527"/>
        <v>8.333333333333337E-2</v>
      </c>
      <c r="Q1381" s="76">
        <f t="shared" si="528"/>
        <v>0</v>
      </c>
      <c r="R1381" s="76">
        <f t="shared" si="529"/>
        <v>0</v>
      </c>
      <c r="S1381" s="76">
        <f t="shared" si="530"/>
        <v>0.98913043478260865</v>
      </c>
      <c r="T1381" s="76">
        <f t="shared" si="531"/>
        <v>0.98913043478260865</v>
      </c>
      <c r="U1381" s="76">
        <f t="shared" si="532"/>
        <v>1</v>
      </c>
    </row>
    <row r="1382" spans="1:21" x14ac:dyDescent="0.25">
      <c r="A1382" s="71">
        <v>8</v>
      </c>
      <c r="B1382" s="72">
        <f t="shared" si="533"/>
        <v>45870</v>
      </c>
      <c r="C1382" s="73">
        <f t="shared" si="514"/>
        <v>45900</v>
      </c>
      <c r="D1382" s="67">
        <f t="shared" si="515"/>
        <v>31</v>
      </c>
      <c r="E1382" s="67">
        <f t="shared" si="516"/>
        <v>8</v>
      </c>
      <c r="F1382" s="74">
        <f t="shared" si="517"/>
        <v>45885.5</v>
      </c>
      <c r="G1382" s="67">
        <f t="shared" si="518"/>
        <v>24307</v>
      </c>
      <c r="H1382" s="75">
        <f t="shared" si="519"/>
        <v>1</v>
      </c>
      <c r="I1382" s="76">
        <f t="shared" si="520"/>
        <v>1</v>
      </c>
      <c r="J1382" s="76">
        <f t="shared" si="521"/>
        <v>1</v>
      </c>
      <c r="K1382" s="67">
        <f t="shared" si="522"/>
        <v>0</v>
      </c>
      <c r="L1382" s="67">
        <f t="shared" si="523"/>
        <v>0</v>
      </c>
      <c r="M1382" s="77">
        <f t="shared" si="524"/>
        <v>0</v>
      </c>
      <c r="N1382" s="76">
        <f t="shared" si="525"/>
        <v>1</v>
      </c>
      <c r="O1382" s="77">
        <f t="shared" si="526"/>
        <v>0.91</v>
      </c>
      <c r="P1382" s="76">
        <f t="shared" si="527"/>
        <v>0.25</v>
      </c>
      <c r="Q1382" s="76">
        <f t="shared" si="528"/>
        <v>0</v>
      </c>
      <c r="R1382" s="76">
        <f t="shared" si="529"/>
        <v>0</v>
      </c>
      <c r="S1382" s="76">
        <f t="shared" si="530"/>
        <v>0.98913043478260865</v>
      </c>
      <c r="T1382" s="76">
        <f t="shared" si="531"/>
        <v>0.98913043478260865</v>
      </c>
      <c r="U1382" s="76">
        <f t="shared" si="532"/>
        <v>1</v>
      </c>
    </row>
    <row r="1383" spans="1:21" x14ac:dyDescent="0.25">
      <c r="A1383" s="71">
        <v>9</v>
      </c>
      <c r="B1383" s="72">
        <f t="shared" si="533"/>
        <v>45901</v>
      </c>
      <c r="C1383" s="73">
        <f t="shared" si="514"/>
        <v>45930</v>
      </c>
      <c r="D1383" s="67">
        <f t="shared" si="515"/>
        <v>30</v>
      </c>
      <c r="E1383" s="67">
        <f t="shared" si="516"/>
        <v>9</v>
      </c>
      <c r="F1383" s="74">
        <f t="shared" si="517"/>
        <v>45916</v>
      </c>
      <c r="G1383" s="67">
        <f t="shared" si="518"/>
        <v>24308</v>
      </c>
      <c r="H1383" s="75">
        <f t="shared" si="519"/>
        <v>1</v>
      </c>
      <c r="I1383" s="76">
        <f t="shared" si="520"/>
        <v>1</v>
      </c>
      <c r="J1383" s="76">
        <f t="shared" si="521"/>
        <v>1</v>
      </c>
      <c r="K1383" s="67">
        <f t="shared" si="522"/>
        <v>0</v>
      </c>
      <c r="L1383" s="67">
        <f t="shared" si="523"/>
        <v>0</v>
      </c>
      <c r="M1383" s="77">
        <f t="shared" si="524"/>
        <v>0</v>
      </c>
      <c r="N1383" s="76">
        <f t="shared" si="525"/>
        <v>1</v>
      </c>
      <c r="O1383" s="77">
        <f t="shared" si="526"/>
        <v>0.91</v>
      </c>
      <c r="P1383" s="76">
        <f t="shared" si="527"/>
        <v>0.41666666666666663</v>
      </c>
      <c r="Q1383" s="76">
        <f t="shared" si="528"/>
        <v>0</v>
      </c>
      <c r="R1383" s="76">
        <f t="shared" si="529"/>
        <v>0</v>
      </c>
      <c r="S1383" s="76">
        <f t="shared" si="530"/>
        <v>0.98913043478260865</v>
      </c>
      <c r="T1383" s="76">
        <f t="shared" si="531"/>
        <v>0.98913043478260865</v>
      </c>
      <c r="U1383" s="76">
        <f t="shared" si="532"/>
        <v>1</v>
      </c>
    </row>
    <row r="1384" spans="1:21" x14ac:dyDescent="0.25">
      <c r="A1384" s="71">
        <v>10</v>
      </c>
      <c r="B1384" s="72">
        <f t="shared" si="533"/>
        <v>45931</v>
      </c>
      <c r="C1384" s="73">
        <f t="shared" si="514"/>
        <v>45961</v>
      </c>
      <c r="D1384" s="67">
        <f t="shared" si="515"/>
        <v>31</v>
      </c>
      <c r="E1384" s="67">
        <f t="shared" si="516"/>
        <v>10</v>
      </c>
      <c r="F1384" s="74">
        <f t="shared" si="517"/>
        <v>45946.5</v>
      </c>
      <c r="G1384" s="67">
        <f t="shared" si="518"/>
        <v>24309</v>
      </c>
      <c r="H1384" s="75">
        <f t="shared" si="519"/>
        <v>1</v>
      </c>
      <c r="I1384" s="76">
        <f t="shared" si="520"/>
        <v>1</v>
      </c>
      <c r="J1384" s="76">
        <f t="shared" si="521"/>
        <v>1</v>
      </c>
      <c r="K1384" s="67">
        <f t="shared" si="522"/>
        <v>0</v>
      </c>
      <c r="L1384" s="67">
        <f t="shared" si="523"/>
        <v>0</v>
      </c>
      <c r="M1384" s="77">
        <f t="shared" si="524"/>
        <v>0</v>
      </c>
      <c r="N1384" s="76">
        <f t="shared" si="525"/>
        <v>1</v>
      </c>
      <c r="O1384" s="77">
        <f t="shared" si="526"/>
        <v>0.91</v>
      </c>
      <c r="P1384" s="76">
        <f t="shared" si="527"/>
        <v>0.58333333333333326</v>
      </c>
      <c r="Q1384" s="76">
        <f t="shared" si="528"/>
        <v>0</v>
      </c>
      <c r="R1384" s="76">
        <f t="shared" si="529"/>
        <v>0</v>
      </c>
      <c r="S1384" s="76">
        <f t="shared" si="530"/>
        <v>0.98913043478260865</v>
      </c>
      <c r="T1384" s="76">
        <f t="shared" si="531"/>
        <v>0.98913043478260865</v>
      </c>
      <c r="U1384" s="76">
        <f t="shared" si="532"/>
        <v>1</v>
      </c>
    </row>
    <row r="1385" spans="1:21" x14ac:dyDescent="0.25">
      <c r="A1385" s="71">
        <v>11</v>
      </c>
      <c r="B1385" s="72">
        <f t="shared" si="533"/>
        <v>45962</v>
      </c>
      <c r="C1385" s="73">
        <f t="shared" si="514"/>
        <v>45991</v>
      </c>
      <c r="D1385" s="67">
        <f t="shared" si="515"/>
        <v>30</v>
      </c>
      <c r="E1385" s="67">
        <f t="shared" si="516"/>
        <v>11</v>
      </c>
      <c r="F1385" s="74">
        <f t="shared" si="517"/>
        <v>45977</v>
      </c>
      <c r="G1385" s="67">
        <f t="shared" si="518"/>
        <v>24310</v>
      </c>
      <c r="H1385" s="75">
        <f t="shared" si="519"/>
        <v>1</v>
      </c>
      <c r="I1385" s="76">
        <f t="shared" si="520"/>
        <v>1</v>
      </c>
      <c r="J1385" s="76">
        <f t="shared" si="521"/>
        <v>1</v>
      </c>
      <c r="K1385" s="67">
        <f t="shared" si="522"/>
        <v>0</v>
      </c>
      <c r="L1385" s="67">
        <f t="shared" si="523"/>
        <v>0</v>
      </c>
      <c r="M1385" s="77">
        <f t="shared" si="524"/>
        <v>0</v>
      </c>
      <c r="N1385" s="76">
        <f t="shared" si="525"/>
        <v>1</v>
      </c>
      <c r="O1385" s="77">
        <f t="shared" si="526"/>
        <v>0.91</v>
      </c>
      <c r="P1385" s="76">
        <f t="shared" si="527"/>
        <v>0.75</v>
      </c>
      <c r="Q1385" s="76">
        <f t="shared" si="528"/>
        <v>0</v>
      </c>
      <c r="R1385" s="76">
        <f t="shared" si="529"/>
        <v>0</v>
      </c>
      <c r="S1385" s="76">
        <f t="shared" si="530"/>
        <v>0.98913043478260865</v>
      </c>
      <c r="T1385" s="76">
        <f t="shared" si="531"/>
        <v>0.98913043478260865</v>
      </c>
      <c r="U1385" s="76">
        <f t="shared" si="532"/>
        <v>1</v>
      </c>
    </row>
    <row r="1386" spans="1:21" x14ac:dyDescent="0.25">
      <c r="A1386" s="71">
        <v>12</v>
      </c>
      <c r="B1386" s="72">
        <f t="shared" si="533"/>
        <v>45992</v>
      </c>
      <c r="C1386" s="73">
        <f t="shared" si="514"/>
        <v>46022</v>
      </c>
      <c r="D1386" s="67">
        <f t="shared" si="515"/>
        <v>31</v>
      </c>
      <c r="E1386" s="67">
        <f t="shared" si="516"/>
        <v>12</v>
      </c>
      <c r="F1386" s="74">
        <f t="shared" si="517"/>
        <v>46007.5</v>
      </c>
      <c r="G1386" s="67">
        <f t="shared" si="518"/>
        <v>24311</v>
      </c>
      <c r="H1386" s="75">
        <f t="shared" si="519"/>
        <v>1</v>
      </c>
      <c r="I1386" s="76">
        <f t="shared" si="520"/>
        <v>1</v>
      </c>
      <c r="J1386" s="76">
        <f t="shared" si="521"/>
        <v>1</v>
      </c>
      <c r="K1386" s="67">
        <f t="shared" si="522"/>
        <v>0</v>
      </c>
      <c r="L1386" s="67">
        <f t="shared" si="523"/>
        <v>0</v>
      </c>
      <c r="M1386" s="77">
        <f t="shared" si="524"/>
        <v>0</v>
      </c>
      <c r="N1386" s="76">
        <f t="shared" si="525"/>
        <v>1</v>
      </c>
      <c r="O1386" s="77">
        <f t="shared" si="526"/>
        <v>0.91</v>
      </c>
      <c r="P1386" s="76">
        <f t="shared" si="527"/>
        <v>0.91666666666666663</v>
      </c>
      <c r="Q1386" s="76">
        <f t="shared" si="528"/>
        <v>0</v>
      </c>
      <c r="R1386" s="76">
        <f t="shared" si="529"/>
        <v>0</v>
      </c>
      <c r="S1386" s="76">
        <f t="shared" si="530"/>
        <v>0.98913043478260865</v>
      </c>
      <c r="T1386" s="76">
        <f t="shared" si="531"/>
        <v>0.98913043478260865</v>
      </c>
      <c r="U1386" s="76">
        <f t="shared" si="532"/>
        <v>1</v>
      </c>
    </row>
    <row r="1387" spans="1:21" x14ac:dyDescent="0.25">
      <c r="A1387" s="71">
        <v>13</v>
      </c>
      <c r="B1387" s="72">
        <f t="shared" si="533"/>
        <v>46023</v>
      </c>
      <c r="C1387" s="73">
        <f t="shared" si="514"/>
        <v>46053</v>
      </c>
      <c r="D1387" s="67">
        <f t="shared" si="515"/>
        <v>31</v>
      </c>
      <c r="E1387" s="67">
        <f t="shared" si="516"/>
        <v>1</v>
      </c>
      <c r="F1387" s="74">
        <f t="shared" si="517"/>
        <v>46038.5</v>
      </c>
      <c r="G1387" s="67">
        <f t="shared" si="518"/>
        <v>24312</v>
      </c>
      <c r="H1387" s="75">
        <f t="shared" si="519"/>
        <v>1</v>
      </c>
      <c r="I1387" s="76">
        <f t="shared" si="520"/>
        <v>1</v>
      </c>
      <c r="J1387" s="76">
        <f t="shared" si="521"/>
        <v>1</v>
      </c>
      <c r="K1387" s="67">
        <f t="shared" si="522"/>
        <v>0</v>
      </c>
      <c r="L1387" s="67">
        <f t="shared" si="523"/>
        <v>0</v>
      </c>
      <c r="M1387" s="77">
        <f t="shared" si="524"/>
        <v>0</v>
      </c>
      <c r="N1387" s="76">
        <f t="shared" si="525"/>
        <v>1</v>
      </c>
      <c r="O1387" s="77">
        <f t="shared" si="526"/>
        <v>0.91</v>
      </c>
      <c r="P1387" s="76">
        <f t="shared" si="527"/>
        <v>1</v>
      </c>
      <c r="Q1387" s="76">
        <f t="shared" si="528"/>
        <v>0</v>
      </c>
      <c r="R1387" s="76">
        <f t="shared" si="529"/>
        <v>0</v>
      </c>
      <c r="S1387" s="76">
        <f t="shared" si="530"/>
        <v>0.98913043478260865</v>
      </c>
      <c r="T1387" s="76">
        <f t="shared" si="531"/>
        <v>0.98913043478260865</v>
      </c>
      <c r="U1387" s="76">
        <f t="shared" si="532"/>
        <v>1</v>
      </c>
    </row>
    <row r="1388" spans="1:21" x14ac:dyDescent="0.25">
      <c r="A1388" s="71">
        <v>14</v>
      </c>
      <c r="B1388" s="72">
        <f t="shared" si="533"/>
        <v>46054</v>
      </c>
      <c r="C1388" s="73">
        <f t="shared" si="514"/>
        <v>46081</v>
      </c>
      <c r="D1388" s="67">
        <f t="shared" si="515"/>
        <v>28</v>
      </c>
      <c r="E1388" s="67">
        <f t="shared" si="516"/>
        <v>2</v>
      </c>
      <c r="F1388" s="74">
        <f t="shared" si="517"/>
        <v>46068</v>
      </c>
      <c r="G1388" s="67">
        <f t="shared" si="518"/>
        <v>24313</v>
      </c>
      <c r="H1388" s="75">
        <f t="shared" si="519"/>
        <v>1</v>
      </c>
      <c r="I1388" s="76">
        <f t="shared" si="520"/>
        <v>1</v>
      </c>
      <c r="J1388" s="76">
        <f t="shared" si="521"/>
        <v>1</v>
      </c>
      <c r="K1388" s="67">
        <f t="shared" si="522"/>
        <v>0</v>
      </c>
      <c r="L1388" s="67">
        <f t="shared" si="523"/>
        <v>0</v>
      </c>
      <c r="M1388" s="77">
        <f t="shared" si="524"/>
        <v>0</v>
      </c>
      <c r="N1388" s="76">
        <f t="shared" si="525"/>
        <v>1</v>
      </c>
      <c r="O1388" s="77">
        <f t="shared" si="526"/>
        <v>0.91</v>
      </c>
      <c r="P1388" s="76">
        <f t="shared" si="527"/>
        <v>1</v>
      </c>
      <c r="Q1388" s="76">
        <f t="shared" si="528"/>
        <v>0</v>
      </c>
      <c r="R1388" s="76">
        <f t="shared" si="529"/>
        <v>0</v>
      </c>
      <c r="S1388" s="76">
        <f t="shared" si="530"/>
        <v>0.98913043478260865</v>
      </c>
      <c r="T1388" s="76">
        <f t="shared" si="531"/>
        <v>0.98913043478260865</v>
      </c>
      <c r="U1388" s="76">
        <f t="shared" si="532"/>
        <v>1</v>
      </c>
    </row>
    <row r="1389" spans="1:21" x14ac:dyDescent="0.25">
      <c r="A1389" s="71">
        <v>15</v>
      </c>
      <c r="B1389" s="72">
        <f t="shared" si="533"/>
        <v>46082</v>
      </c>
      <c r="C1389" s="73">
        <f t="shared" si="514"/>
        <v>46112</v>
      </c>
      <c r="D1389" s="67">
        <f t="shared" si="515"/>
        <v>31</v>
      </c>
      <c r="E1389" s="67">
        <f t="shared" si="516"/>
        <v>3</v>
      </c>
      <c r="F1389" s="74">
        <f t="shared" si="517"/>
        <v>46097.5</v>
      </c>
      <c r="G1389" s="67">
        <f t="shared" si="518"/>
        <v>24314</v>
      </c>
      <c r="H1389" s="75">
        <f t="shared" si="519"/>
        <v>1</v>
      </c>
      <c r="I1389" s="76">
        <f t="shared" si="520"/>
        <v>1</v>
      </c>
      <c r="J1389" s="76">
        <f t="shared" si="521"/>
        <v>1</v>
      </c>
      <c r="K1389" s="67">
        <f t="shared" si="522"/>
        <v>0</v>
      </c>
      <c r="L1389" s="67">
        <f t="shared" si="523"/>
        <v>0</v>
      </c>
      <c r="M1389" s="77">
        <f t="shared" si="524"/>
        <v>0</v>
      </c>
      <c r="N1389" s="76">
        <f t="shared" si="525"/>
        <v>1</v>
      </c>
      <c r="O1389" s="77">
        <f t="shared" si="526"/>
        <v>0.91</v>
      </c>
      <c r="P1389" s="76">
        <f t="shared" si="527"/>
        <v>1</v>
      </c>
      <c r="Q1389" s="76">
        <f t="shared" si="528"/>
        <v>0</v>
      </c>
      <c r="R1389" s="76">
        <f t="shared" si="529"/>
        <v>0</v>
      </c>
      <c r="S1389" s="76">
        <f t="shared" si="530"/>
        <v>0.98913043478260865</v>
      </c>
      <c r="T1389" s="76">
        <f t="shared" si="531"/>
        <v>0.98913043478260865</v>
      </c>
      <c r="U1389" s="76">
        <f t="shared" si="532"/>
        <v>1</v>
      </c>
    </row>
    <row r="1390" spans="1:21" x14ac:dyDescent="0.25">
      <c r="A1390" s="71">
        <v>16</v>
      </c>
      <c r="B1390" s="72">
        <f t="shared" si="533"/>
        <v>46113</v>
      </c>
      <c r="C1390" s="73">
        <f t="shared" si="514"/>
        <v>46142</v>
      </c>
      <c r="D1390" s="67">
        <f t="shared" si="515"/>
        <v>30</v>
      </c>
      <c r="E1390" s="67">
        <f t="shared" si="516"/>
        <v>4</v>
      </c>
      <c r="F1390" s="74">
        <f t="shared" si="517"/>
        <v>46128</v>
      </c>
      <c r="G1390" s="67">
        <f t="shared" si="518"/>
        <v>24315</v>
      </c>
      <c r="H1390" s="75">
        <f t="shared" si="519"/>
        <v>1</v>
      </c>
      <c r="I1390" s="76">
        <f t="shared" si="520"/>
        <v>1</v>
      </c>
      <c r="J1390" s="76">
        <f t="shared" si="521"/>
        <v>1</v>
      </c>
      <c r="K1390" s="67">
        <f t="shared" si="522"/>
        <v>0</v>
      </c>
      <c r="L1390" s="67">
        <f t="shared" si="523"/>
        <v>0</v>
      </c>
      <c r="M1390" s="77">
        <f t="shared" si="524"/>
        <v>0</v>
      </c>
      <c r="N1390" s="76">
        <f t="shared" si="525"/>
        <v>1</v>
      </c>
      <c r="O1390" s="77">
        <f t="shared" si="526"/>
        <v>0.91</v>
      </c>
      <c r="P1390" s="76">
        <f t="shared" si="527"/>
        <v>1</v>
      </c>
      <c r="Q1390" s="76">
        <f t="shared" si="528"/>
        <v>0</v>
      </c>
      <c r="R1390" s="76">
        <f t="shared" si="529"/>
        <v>0</v>
      </c>
      <c r="S1390" s="76">
        <f t="shared" si="530"/>
        <v>0.98913043478260865</v>
      </c>
      <c r="T1390" s="76">
        <f t="shared" si="531"/>
        <v>0.98913043478260865</v>
      </c>
      <c r="U1390" s="76">
        <f t="shared" si="532"/>
        <v>1</v>
      </c>
    </row>
    <row r="1391" spans="1:21" x14ac:dyDescent="0.25">
      <c r="A1391" s="71">
        <v>17</v>
      </c>
      <c r="B1391" s="72">
        <f t="shared" si="533"/>
        <v>46143</v>
      </c>
      <c r="C1391" s="73">
        <f t="shared" si="514"/>
        <v>46173</v>
      </c>
      <c r="D1391" s="67">
        <f t="shared" si="515"/>
        <v>31</v>
      </c>
      <c r="E1391" s="67">
        <f t="shared" si="516"/>
        <v>5</v>
      </c>
      <c r="F1391" s="74">
        <f t="shared" si="517"/>
        <v>46158.5</v>
      </c>
      <c r="G1391" s="67">
        <f t="shared" si="518"/>
        <v>24316</v>
      </c>
      <c r="H1391" s="75">
        <f t="shared" si="519"/>
        <v>1</v>
      </c>
      <c r="I1391" s="76">
        <f t="shared" si="520"/>
        <v>1</v>
      </c>
      <c r="J1391" s="76">
        <f t="shared" si="521"/>
        <v>1</v>
      </c>
      <c r="K1391" s="67">
        <f t="shared" si="522"/>
        <v>0</v>
      </c>
      <c r="L1391" s="67">
        <f t="shared" si="523"/>
        <v>0</v>
      </c>
      <c r="M1391" s="77">
        <f t="shared" si="524"/>
        <v>0</v>
      </c>
      <c r="N1391" s="76">
        <f t="shared" si="525"/>
        <v>1</v>
      </c>
      <c r="O1391" s="77">
        <f t="shared" si="526"/>
        <v>0.91</v>
      </c>
      <c r="P1391" s="76">
        <f t="shared" si="527"/>
        <v>1</v>
      </c>
      <c r="Q1391" s="76">
        <f t="shared" si="528"/>
        <v>0</v>
      </c>
      <c r="R1391" s="76">
        <f t="shared" si="529"/>
        <v>0</v>
      </c>
      <c r="S1391" s="76">
        <f t="shared" si="530"/>
        <v>0.98913043478260865</v>
      </c>
      <c r="T1391" s="76">
        <f t="shared" si="531"/>
        <v>0.98913043478260865</v>
      </c>
      <c r="U1391" s="76">
        <f t="shared" si="532"/>
        <v>1</v>
      </c>
    </row>
    <row r="1392" spans="1:21" x14ac:dyDescent="0.25">
      <c r="A1392" s="71">
        <v>18</v>
      </c>
      <c r="B1392" s="72">
        <f t="shared" si="533"/>
        <v>46174</v>
      </c>
      <c r="C1392" s="73">
        <f t="shared" si="514"/>
        <v>46203</v>
      </c>
      <c r="D1392" s="67">
        <f t="shared" si="515"/>
        <v>30</v>
      </c>
      <c r="E1392" s="67">
        <f t="shared" si="516"/>
        <v>6</v>
      </c>
      <c r="F1392" s="74">
        <f t="shared" si="517"/>
        <v>46189</v>
      </c>
      <c r="G1392" s="67">
        <f t="shared" si="518"/>
        <v>24317</v>
      </c>
      <c r="H1392" s="75">
        <f t="shared" si="519"/>
        <v>1</v>
      </c>
      <c r="I1392" s="76">
        <f t="shared" si="520"/>
        <v>1</v>
      </c>
      <c r="J1392" s="76">
        <f t="shared" si="521"/>
        <v>1</v>
      </c>
      <c r="K1392" s="67">
        <f t="shared" si="522"/>
        <v>0</v>
      </c>
      <c r="L1392" s="67">
        <f t="shared" si="523"/>
        <v>0</v>
      </c>
      <c r="M1392" s="77">
        <f t="shared" si="524"/>
        <v>0</v>
      </c>
      <c r="N1392" s="76">
        <f t="shared" si="525"/>
        <v>1</v>
      </c>
      <c r="O1392" s="77">
        <f t="shared" si="526"/>
        <v>0.91</v>
      </c>
      <c r="P1392" s="76">
        <f t="shared" si="527"/>
        <v>1</v>
      </c>
      <c r="Q1392" s="76">
        <f t="shared" si="528"/>
        <v>0</v>
      </c>
      <c r="R1392" s="76">
        <f t="shared" si="529"/>
        <v>0</v>
      </c>
      <c r="S1392" s="76">
        <f t="shared" si="530"/>
        <v>0.98913043478260865</v>
      </c>
      <c r="T1392" s="76">
        <f t="shared" si="531"/>
        <v>0.98913043478260865</v>
      </c>
      <c r="U1392" s="76">
        <f t="shared" si="532"/>
        <v>1</v>
      </c>
    </row>
    <row r="1393" spans="1:21" x14ac:dyDescent="0.25">
      <c r="A1393" s="71">
        <v>19</v>
      </c>
      <c r="B1393" s="72">
        <f t="shared" si="533"/>
        <v>46204</v>
      </c>
      <c r="C1393" s="73">
        <f t="shared" si="514"/>
        <v>46234</v>
      </c>
      <c r="D1393" s="67">
        <f t="shared" si="515"/>
        <v>31</v>
      </c>
      <c r="E1393" s="67">
        <f t="shared" si="516"/>
        <v>7</v>
      </c>
      <c r="F1393" s="74">
        <f t="shared" si="517"/>
        <v>46219.5</v>
      </c>
      <c r="G1393" s="67">
        <f t="shared" si="518"/>
        <v>24318</v>
      </c>
      <c r="H1393" s="75">
        <f t="shared" si="519"/>
        <v>1</v>
      </c>
      <c r="I1393" s="76">
        <f t="shared" si="520"/>
        <v>1</v>
      </c>
      <c r="J1393" s="76">
        <f t="shared" si="521"/>
        <v>1</v>
      </c>
      <c r="K1393" s="67">
        <f t="shared" si="522"/>
        <v>0</v>
      </c>
      <c r="L1393" s="67">
        <f t="shared" si="523"/>
        <v>0</v>
      </c>
      <c r="M1393" s="77">
        <f t="shared" si="524"/>
        <v>0</v>
      </c>
      <c r="N1393" s="76">
        <f t="shared" si="525"/>
        <v>1</v>
      </c>
      <c r="O1393" s="77">
        <f t="shared" si="526"/>
        <v>0.91</v>
      </c>
      <c r="P1393" s="76">
        <f t="shared" si="527"/>
        <v>0.91666666666666663</v>
      </c>
      <c r="Q1393" s="76">
        <f t="shared" si="528"/>
        <v>8.333333333333337E-2</v>
      </c>
      <c r="R1393" s="76">
        <f t="shared" si="529"/>
        <v>0</v>
      </c>
      <c r="S1393" s="76">
        <f t="shared" si="530"/>
        <v>0.98913043478260865</v>
      </c>
      <c r="T1393" s="76">
        <f t="shared" si="531"/>
        <v>0.98913043478260865</v>
      </c>
      <c r="U1393" s="76">
        <f t="shared" si="532"/>
        <v>1</v>
      </c>
    </row>
    <row r="1394" spans="1:21" x14ac:dyDescent="0.25">
      <c r="A1394" s="71">
        <v>20</v>
      </c>
      <c r="B1394" s="72">
        <f t="shared" si="533"/>
        <v>46235</v>
      </c>
      <c r="C1394" s="73">
        <f t="shared" si="514"/>
        <v>46265</v>
      </c>
      <c r="D1394" s="67">
        <f t="shared" si="515"/>
        <v>31</v>
      </c>
      <c r="E1394" s="67">
        <f t="shared" si="516"/>
        <v>8</v>
      </c>
      <c r="F1394" s="74">
        <f t="shared" si="517"/>
        <v>46250.5</v>
      </c>
      <c r="G1394" s="67">
        <f t="shared" si="518"/>
        <v>24319</v>
      </c>
      <c r="H1394" s="75">
        <f t="shared" si="519"/>
        <v>1</v>
      </c>
      <c r="I1394" s="76">
        <f t="shared" si="520"/>
        <v>1</v>
      </c>
      <c r="J1394" s="76">
        <f t="shared" si="521"/>
        <v>1</v>
      </c>
      <c r="K1394" s="67">
        <f t="shared" si="522"/>
        <v>0</v>
      </c>
      <c r="L1394" s="67">
        <f t="shared" si="523"/>
        <v>0</v>
      </c>
      <c r="M1394" s="77">
        <f t="shared" si="524"/>
        <v>0</v>
      </c>
      <c r="N1394" s="76">
        <f t="shared" si="525"/>
        <v>1</v>
      </c>
      <c r="O1394" s="77">
        <f t="shared" si="526"/>
        <v>0.91</v>
      </c>
      <c r="P1394" s="76">
        <f t="shared" si="527"/>
        <v>0.75</v>
      </c>
      <c r="Q1394" s="76">
        <f t="shared" si="528"/>
        <v>0.25</v>
      </c>
      <c r="R1394" s="76">
        <f t="shared" si="529"/>
        <v>0</v>
      </c>
      <c r="S1394" s="76">
        <f t="shared" si="530"/>
        <v>0.98913043478260865</v>
      </c>
      <c r="T1394" s="76">
        <f t="shared" si="531"/>
        <v>0.98913043478260865</v>
      </c>
      <c r="U1394" s="76">
        <f t="shared" si="532"/>
        <v>1</v>
      </c>
    </row>
    <row r="1395" spans="1:21" x14ac:dyDescent="0.25">
      <c r="A1395" s="71">
        <v>21</v>
      </c>
      <c r="B1395" s="72">
        <f t="shared" si="533"/>
        <v>46266</v>
      </c>
      <c r="C1395" s="73">
        <f t="shared" si="514"/>
        <v>46295</v>
      </c>
      <c r="D1395" s="67">
        <f t="shared" si="515"/>
        <v>30</v>
      </c>
      <c r="E1395" s="67">
        <f t="shared" si="516"/>
        <v>9</v>
      </c>
      <c r="F1395" s="74">
        <f t="shared" si="517"/>
        <v>46281</v>
      </c>
      <c r="G1395" s="67">
        <f t="shared" si="518"/>
        <v>24320</v>
      </c>
      <c r="H1395" s="75">
        <f t="shared" si="519"/>
        <v>1</v>
      </c>
      <c r="I1395" s="76">
        <f t="shared" si="520"/>
        <v>1</v>
      </c>
      <c r="J1395" s="76">
        <f t="shared" si="521"/>
        <v>1</v>
      </c>
      <c r="K1395" s="67">
        <f t="shared" si="522"/>
        <v>0</v>
      </c>
      <c r="L1395" s="67">
        <f t="shared" si="523"/>
        <v>0</v>
      </c>
      <c r="M1395" s="77">
        <f t="shared" si="524"/>
        <v>0</v>
      </c>
      <c r="N1395" s="76">
        <f t="shared" si="525"/>
        <v>1</v>
      </c>
      <c r="O1395" s="77">
        <f t="shared" si="526"/>
        <v>0.91</v>
      </c>
      <c r="P1395" s="76">
        <f t="shared" si="527"/>
        <v>0.58333333333333337</v>
      </c>
      <c r="Q1395" s="76">
        <f t="shared" si="528"/>
        <v>0.41666666666666663</v>
      </c>
      <c r="R1395" s="76">
        <f t="shared" si="529"/>
        <v>0</v>
      </c>
      <c r="S1395" s="76">
        <f t="shared" si="530"/>
        <v>0.98913043478260865</v>
      </c>
      <c r="T1395" s="76">
        <f t="shared" si="531"/>
        <v>0.98913043478260865</v>
      </c>
      <c r="U1395" s="76">
        <f t="shared" si="532"/>
        <v>1</v>
      </c>
    </row>
    <row r="1396" spans="1:21" x14ac:dyDescent="0.25">
      <c r="A1396" s="71">
        <v>22</v>
      </c>
      <c r="B1396" s="72">
        <f t="shared" si="533"/>
        <v>46296</v>
      </c>
      <c r="C1396" s="73">
        <f t="shared" si="514"/>
        <v>46326</v>
      </c>
      <c r="D1396" s="67">
        <f t="shared" si="515"/>
        <v>31</v>
      </c>
      <c r="E1396" s="67">
        <f t="shared" si="516"/>
        <v>10</v>
      </c>
      <c r="F1396" s="74">
        <f t="shared" si="517"/>
        <v>46311.5</v>
      </c>
      <c r="G1396" s="67">
        <f t="shared" si="518"/>
        <v>24321</v>
      </c>
      <c r="H1396" s="75">
        <f t="shared" si="519"/>
        <v>1</v>
      </c>
      <c r="I1396" s="76">
        <f t="shared" si="520"/>
        <v>1</v>
      </c>
      <c r="J1396" s="76">
        <f t="shared" si="521"/>
        <v>1.08</v>
      </c>
      <c r="K1396" s="67">
        <f t="shared" si="522"/>
        <v>1</v>
      </c>
      <c r="L1396" s="67">
        <f t="shared" si="523"/>
        <v>31</v>
      </c>
      <c r="M1396" s="77">
        <f t="shared" si="524"/>
        <v>1</v>
      </c>
      <c r="N1396" s="76">
        <f t="shared" si="525"/>
        <v>1.08</v>
      </c>
      <c r="O1396" s="77">
        <f t="shared" si="526"/>
        <v>0.91</v>
      </c>
      <c r="P1396" s="76">
        <f t="shared" si="527"/>
        <v>0.41666666666666669</v>
      </c>
      <c r="Q1396" s="76">
        <f t="shared" si="528"/>
        <v>0.58333333333333326</v>
      </c>
      <c r="R1396" s="76">
        <f t="shared" si="529"/>
        <v>0</v>
      </c>
      <c r="S1396" s="76">
        <f t="shared" si="530"/>
        <v>1.0682608695652174</v>
      </c>
      <c r="T1396" s="76">
        <f t="shared" si="531"/>
        <v>1.0682608695652174</v>
      </c>
      <c r="U1396" s="76">
        <f t="shared" si="532"/>
        <v>1.08</v>
      </c>
    </row>
    <row r="1397" spans="1:21" x14ac:dyDescent="0.25">
      <c r="A1397" s="71">
        <v>23</v>
      </c>
      <c r="B1397" s="72">
        <f t="shared" si="533"/>
        <v>46327</v>
      </c>
      <c r="C1397" s="73">
        <f t="shared" si="514"/>
        <v>46356</v>
      </c>
      <c r="D1397" s="67">
        <f t="shared" si="515"/>
        <v>30</v>
      </c>
      <c r="E1397" s="67">
        <f t="shared" si="516"/>
        <v>11</v>
      </c>
      <c r="F1397" s="74">
        <f t="shared" si="517"/>
        <v>46342</v>
      </c>
      <c r="G1397" s="67">
        <f t="shared" si="518"/>
        <v>24322</v>
      </c>
      <c r="H1397" s="75">
        <f t="shared" si="519"/>
        <v>1</v>
      </c>
      <c r="I1397" s="76">
        <f t="shared" si="520"/>
        <v>1.08</v>
      </c>
      <c r="J1397" s="76">
        <f t="shared" si="521"/>
        <v>1.08</v>
      </c>
      <c r="K1397" s="67">
        <f t="shared" si="522"/>
        <v>0</v>
      </c>
      <c r="L1397" s="67">
        <f t="shared" si="523"/>
        <v>0</v>
      </c>
      <c r="M1397" s="77">
        <f t="shared" si="524"/>
        <v>0</v>
      </c>
      <c r="N1397" s="76">
        <f t="shared" si="525"/>
        <v>1.08</v>
      </c>
      <c r="O1397" s="77">
        <f t="shared" si="526"/>
        <v>0.91</v>
      </c>
      <c r="P1397" s="76">
        <f t="shared" si="527"/>
        <v>0.25</v>
      </c>
      <c r="Q1397" s="76">
        <f t="shared" si="528"/>
        <v>0.75</v>
      </c>
      <c r="R1397" s="76">
        <f t="shared" si="529"/>
        <v>0</v>
      </c>
      <c r="S1397" s="76">
        <f t="shared" si="530"/>
        <v>1.0682608695652174</v>
      </c>
      <c r="T1397" s="76">
        <f t="shared" si="531"/>
        <v>1.0682608695652174</v>
      </c>
      <c r="U1397" s="76">
        <f t="shared" si="532"/>
        <v>1.08</v>
      </c>
    </row>
    <row r="1398" spans="1:21" x14ac:dyDescent="0.25">
      <c r="A1398" s="71">
        <v>24</v>
      </c>
      <c r="B1398" s="72">
        <f t="shared" si="533"/>
        <v>46357</v>
      </c>
      <c r="C1398" s="73">
        <f t="shared" si="514"/>
        <v>46387</v>
      </c>
      <c r="D1398" s="67">
        <f t="shared" si="515"/>
        <v>31</v>
      </c>
      <c r="E1398" s="67">
        <f t="shared" si="516"/>
        <v>12</v>
      </c>
      <c r="F1398" s="74">
        <f t="shared" si="517"/>
        <v>46372.5</v>
      </c>
      <c r="G1398" s="67">
        <f t="shared" si="518"/>
        <v>24323</v>
      </c>
      <c r="H1398" s="75">
        <f t="shared" si="519"/>
        <v>1</v>
      </c>
      <c r="I1398" s="76">
        <f t="shared" si="520"/>
        <v>1.08</v>
      </c>
      <c r="J1398" s="76">
        <f t="shared" si="521"/>
        <v>1.08</v>
      </c>
      <c r="K1398" s="67">
        <f t="shared" si="522"/>
        <v>0</v>
      </c>
      <c r="L1398" s="67">
        <f t="shared" si="523"/>
        <v>0</v>
      </c>
      <c r="M1398" s="77">
        <f t="shared" si="524"/>
        <v>0</v>
      </c>
      <c r="N1398" s="76">
        <f t="shared" si="525"/>
        <v>1.08</v>
      </c>
      <c r="O1398" s="77">
        <f t="shared" si="526"/>
        <v>0.91</v>
      </c>
      <c r="P1398" s="76">
        <f t="shared" si="527"/>
        <v>8.3333333333333329E-2</v>
      </c>
      <c r="Q1398" s="76">
        <f t="shared" si="528"/>
        <v>0.91666666666666663</v>
      </c>
      <c r="R1398" s="76">
        <f t="shared" si="529"/>
        <v>0</v>
      </c>
      <c r="S1398" s="76">
        <f t="shared" si="530"/>
        <v>1.0682608695652174</v>
      </c>
      <c r="T1398" s="76">
        <f t="shared" si="531"/>
        <v>1.0682608695652174</v>
      </c>
      <c r="U1398" s="76">
        <f t="shared" si="532"/>
        <v>1.08</v>
      </c>
    </row>
    <row r="1399" spans="1:21" x14ac:dyDescent="0.25">
      <c r="A1399" s="71">
        <v>25</v>
      </c>
      <c r="B1399" s="72">
        <f t="shared" si="533"/>
        <v>46388</v>
      </c>
      <c r="C1399" s="73">
        <f t="shared" si="514"/>
        <v>46418</v>
      </c>
      <c r="D1399" s="67">
        <f t="shared" si="515"/>
        <v>31</v>
      </c>
      <c r="E1399" s="67">
        <f t="shared" si="516"/>
        <v>1</v>
      </c>
      <c r="F1399" s="74">
        <f t="shared" si="517"/>
        <v>46403.5</v>
      </c>
      <c r="G1399" s="67">
        <f t="shared" si="518"/>
        <v>24324</v>
      </c>
      <c r="H1399" s="75">
        <f t="shared" si="519"/>
        <v>1</v>
      </c>
      <c r="I1399" s="76">
        <f t="shared" si="520"/>
        <v>1.08</v>
      </c>
      <c r="J1399" s="76">
        <f t="shared" si="521"/>
        <v>1.08</v>
      </c>
      <c r="K1399" s="67">
        <f t="shared" si="522"/>
        <v>0</v>
      </c>
      <c r="L1399" s="67">
        <f t="shared" si="523"/>
        <v>0</v>
      </c>
      <c r="M1399" s="77">
        <f t="shared" si="524"/>
        <v>0</v>
      </c>
      <c r="N1399" s="76">
        <f t="shared" si="525"/>
        <v>1.08</v>
      </c>
      <c r="O1399" s="77">
        <f t="shared" si="526"/>
        <v>0.91</v>
      </c>
      <c r="P1399" s="76">
        <f t="shared" si="527"/>
        <v>0</v>
      </c>
      <c r="Q1399" s="76">
        <f t="shared" si="528"/>
        <v>1</v>
      </c>
      <c r="R1399" s="76">
        <f t="shared" si="529"/>
        <v>0</v>
      </c>
      <c r="S1399" s="76">
        <f t="shared" si="530"/>
        <v>1.0682608695652174</v>
      </c>
      <c r="T1399" s="76">
        <f t="shared" si="531"/>
        <v>0.98913043478260865</v>
      </c>
      <c r="U1399" s="76">
        <f t="shared" si="532"/>
        <v>1.08</v>
      </c>
    </row>
    <row r="1400" spans="1:21" x14ac:dyDescent="0.25">
      <c r="A1400" s="71">
        <v>26</v>
      </c>
      <c r="B1400" s="72">
        <f t="shared" si="533"/>
        <v>46419</v>
      </c>
      <c r="C1400" s="73">
        <f t="shared" si="514"/>
        <v>46446</v>
      </c>
      <c r="D1400" s="67">
        <f t="shared" si="515"/>
        <v>28</v>
      </c>
      <c r="E1400" s="67">
        <f t="shared" si="516"/>
        <v>2</v>
      </c>
      <c r="F1400" s="74">
        <f t="shared" si="517"/>
        <v>46433</v>
      </c>
      <c r="G1400" s="67">
        <f t="shared" si="518"/>
        <v>24325</v>
      </c>
      <c r="H1400" s="75">
        <f t="shared" si="519"/>
        <v>1</v>
      </c>
      <c r="I1400" s="76">
        <f t="shared" si="520"/>
        <v>1.08</v>
      </c>
      <c r="J1400" s="76">
        <f t="shared" si="521"/>
        <v>1.08</v>
      </c>
      <c r="K1400" s="67">
        <f t="shared" si="522"/>
        <v>0</v>
      </c>
      <c r="L1400" s="67">
        <f t="shared" si="523"/>
        <v>0</v>
      </c>
      <c r="M1400" s="77">
        <f t="shared" si="524"/>
        <v>0</v>
      </c>
      <c r="N1400" s="76">
        <f t="shared" si="525"/>
        <v>1.08</v>
      </c>
      <c r="O1400" s="77">
        <f t="shared" si="526"/>
        <v>0.91</v>
      </c>
      <c r="P1400" s="76">
        <f t="shared" si="527"/>
        <v>0</v>
      </c>
      <c r="Q1400" s="76">
        <f t="shared" si="528"/>
        <v>1</v>
      </c>
      <c r="R1400" s="76">
        <f t="shared" si="529"/>
        <v>0</v>
      </c>
      <c r="S1400" s="76">
        <f t="shared" si="530"/>
        <v>1.0682608695652174</v>
      </c>
      <c r="T1400" s="76">
        <f t="shared" si="531"/>
        <v>0.98913043478260865</v>
      </c>
      <c r="U1400" s="76">
        <f t="shared" si="532"/>
        <v>1.08</v>
      </c>
    </row>
    <row r="1401" spans="1:21" x14ac:dyDescent="0.25">
      <c r="A1401" s="71">
        <v>27</v>
      </c>
      <c r="B1401" s="72">
        <f t="shared" si="533"/>
        <v>46447</v>
      </c>
      <c r="C1401" s="73">
        <f t="shared" si="514"/>
        <v>46477</v>
      </c>
      <c r="D1401" s="67">
        <f t="shared" si="515"/>
        <v>31</v>
      </c>
      <c r="E1401" s="67">
        <f t="shared" si="516"/>
        <v>3</v>
      </c>
      <c r="F1401" s="74">
        <f t="shared" si="517"/>
        <v>46462.5</v>
      </c>
      <c r="G1401" s="67">
        <f t="shared" si="518"/>
        <v>24326</v>
      </c>
      <c r="H1401" s="75">
        <f t="shared" si="519"/>
        <v>1</v>
      </c>
      <c r="I1401" s="76">
        <f t="shared" si="520"/>
        <v>1.08</v>
      </c>
      <c r="J1401" s="76">
        <f t="shared" si="521"/>
        <v>1.1318400000000002</v>
      </c>
      <c r="K1401" s="67">
        <f t="shared" si="522"/>
        <v>1</v>
      </c>
      <c r="L1401" s="67">
        <f t="shared" si="523"/>
        <v>31</v>
      </c>
      <c r="M1401" s="77">
        <f t="shared" si="524"/>
        <v>1</v>
      </c>
      <c r="N1401" s="76">
        <f t="shared" si="525"/>
        <v>1.1318400000000002</v>
      </c>
      <c r="O1401" s="77">
        <f t="shared" si="526"/>
        <v>0.91</v>
      </c>
      <c r="P1401" s="76">
        <f t="shared" si="527"/>
        <v>0</v>
      </c>
      <c r="Q1401" s="76">
        <f t="shared" si="528"/>
        <v>1</v>
      </c>
      <c r="R1401" s="76">
        <f t="shared" si="529"/>
        <v>0</v>
      </c>
      <c r="S1401" s="76">
        <f t="shared" si="530"/>
        <v>1.119537391304348</v>
      </c>
      <c r="T1401" s="76">
        <f t="shared" si="531"/>
        <v>0.98913043478260865</v>
      </c>
      <c r="U1401" s="76">
        <f t="shared" si="532"/>
        <v>1.1318400000000002</v>
      </c>
    </row>
    <row r="1402" spans="1:21" x14ac:dyDescent="0.25">
      <c r="A1402" s="71">
        <v>28</v>
      </c>
      <c r="B1402" s="72">
        <f t="shared" si="533"/>
        <v>46478</v>
      </c>
      <c r="C1402" s="73">
        <f t="shared" si="514"/>
        <v>46507</v>
      </c>
      <c r="D1402" s="67">
        <f t="shared" si="515"/>
        <v>30</v>
      </c>
      <c r="E1402" s="67">
        <f t="shared" si="516"/>
        <v>4</v>
      </c>
      <c r="F1402" s="74">
        <f t="shared" si="517"/>
        <v>46493</v>
      </c>
      <c r="G1402" s="67">
        <f t="shared" si="518"/>
        <v>24327</v>
      </c>
      <c r="H1402" s="75">
        <f t="shared" si="519"/>
        <v>1</v>
      </c>
      <c r="I1402" s="76">
        <f t="shared" si="520"/>
        <v>1.1318400000000002</v>
      </c>
      <c r="J1402" s="76">
        <f t="shared" si="521"/>
        <v>1.1318400000000002</v>
      </c>
      <c r="K1402" s="67">
        <f t="shared" si="522"/>
        <v>0</v>
      </c>
      <c r="L1402" s="67">
        <f t="shared" si="523"/>
        <v>0</v>
      </c>
      <c r="M1402" s="77">
        <f t="shared" si="524"/>
        <v>0</v>
      </c>
      <c r="N1402" s="76">
        <f t="shared" si="525"/>
        <v>1.1318400000000002</v>
      </c>
      <c r="O1402" s="77">
        <f t="shared" si="526"/>
        <v>0.91</v>
      </c>
      <c r="P1402" s="76">
        <f t="shared" si="527"/>
        <v>0</v>
      </c>
      <c r="Q1402" s="76">
        <f t="shared" si="528"/>
        <v>1</v>
      </c>
      <c r="R1402" s="76">
        <f t="shared" si="529"/>
        <v>0</v>
      </c>
      <c r="S1402" s="76">
        <f t="shared" si="530"/>
        <v>1.119537391304348</v>
      </c>
      <c r="T1402" s="76">
        <f t="shared" si="531"/>
        <v>0.98913043478260865</v>
      </c>
      <c r="U1402" s="76">
        <f t="shared" si="532"/>
        <v>1.1318400000000002</v>
      </c>
    </row>
    <row r="1403" spans="1:21" x14ac:dyDescent="0.25">
      <c r="A1403" s="71">
        <v>29</v>
      </c>
      <c r="B1403" s="72">
        <f t="shared" si="533"/>
        <v>46508</v>
      </c>
      <c r="C1403" s="73">
        <f t="shared" si="514"/>
        <v>46538</v>
      </c>
      <c r="D1403" s="67">
        <f t="shared" si="515"/>
        <v>31</v>
      </c>
      <c r="E1403" s="67">
        <f t="shared" si="516"/>
        <v>5</v>
      </c>
      <c r="F1403" s="74">
        <f t="shared" si="517"/>
        <v>46523.5</v>
      </c>
      <c r="G1403" s="67">
        <f t="shared" si="518"/>
        <v>24328</v>
      </c>
      <c r="H1403" s="75">
        <f t="shared" si="519"/>
        <v>1</v>
      </c>
      <c r="I1403" s="76">
        <f t="shared" si="520"/>
        <v>1.1318400000000002</v>
      </c>
      <c r="J1403" s="76">
        <f t="shared" si="521"/>
        <v>1.1318400000000002</v>
      </c>
      <c r="K1403" s="67">
        <f t="shared" si="522"/>
        <v>0</v>
      </c>
      <c r="L1403" s="67">
        <f t="shared" si="523"/>
        <v>0</v>
      </c>
      <c r="M1403" s="77">
        <f t="shared" si="524"/>
        <v>0</v>
      </c>
      <c r="N1403" s="76">
        <f t="shared" si="525"/>
        <v>1.1318400000000002</v>
      </c>
      <c r="O1403" s="77">
        <f t="shared" si="526"/>
        <v>0.91</v>
      </c>
      <c r="P1403" s="76">
        <f t="shared" si="527"/>
        <v>0</v>
      </c>
      <c r="Q1403" s="76">
        <f t="shared" si="528"/>
        <v>1</v>
      </c>
      <c r="R1403" s="76">
        <f t="shared" si="529"/>
        <v>0</v>
      </c>
      <c r="S1403" s="76">
        <f t="shared" si="530"/>
        <v>1.119537391304348</v>
      </c>
      <c r="T1403" s="76">
        <f t="shared" si="531"/>
        <v>0.98913043478260865</v>
      </c>
      <c r="U1403" s="76">
        <f t="shared" si="532"/>
        <v>1.1318400000000002</v>
      </c>
    </row>
    <row r="1404" spans="1:21" x14ac:dyDescent="0.25">
      <c r="A1404" s="71">
        <v>30</v>
      </c>
      <c r="B1404" s="72">
        <f t="shared" si="533"/>
        <v>46539</v>
      </c>
      <c r="C1404" s="73">
        <f t="shared" si="514"/>
        <v>46568</v>
      </c>
      <c r="D1404" s="67">
        <f t="shared" si="515"/>
        <v>30</v>
      </c>
      <c r="E1404" s="67">
        <f t="shared" si="516"/>
        <v>6</v>
      </c>
      <c r="F1404" s="74">
        <f t="shared" si="517"/>
        <v>46554</v>
      </c>
      <c r="G1404" s="67">
        <f t="shared" si="518"/>
        <v>24329</v>
      </c>
      <c r="H1404" s="75">
        <f t="shared" si="519"/>
        <v>1</v>
      </c>
      <c r="I1404" s="76">
        <f t="shared" si="520"/>
        <v>1.1318400000000002</v>
      </c>
      <c r="J1404" s="76">
        <f t="shared" si="521"/>
        <v>1.1318400000000002</v>
      </c>
      <c r="K1404" s="67">
        <f t="shared" si="522"/>
        <v>0</v>
      </c>
      <c r="L1404" s="67">
        <f t="shared" si="523"/>
        <v>0</v>
      </c>
      <c r="M1404" s="77">
        <f t="shared" si="524"/>
        <v>0</v>
      </c>
      <c r="N1404" s="76">
        <f t="shared" si="525"/>
        <v>1.1318400000000002</v>
      </c>
      <c r="O1404" s="77">
        <f t="shared" si="526"/>
        <v>0.91</v>
      </c>
      <c r="P1404" s="76">
        <f t="shared" si="527"/>
        <v>0</v>
      </c>
      <c r="Q1404" s="76">
        <f t="shared" si="528"/>
        <v>1</v>
      </c>
      <c r="R1404" s="76">
        <f t="shared" si="529"/>
        <v>0</v>
      </c>
      <c r="S1404" s="76">
        <f t="shared" si="530"/>
        <v>1.119537391304348</v>
      </c>
      <c r="T1404" s="76">
        <f t="shared" si="531"/>
        <v>0.98913043478260865</v>
      </c>
      <c r="U1404" s="76">
        <f t="shared" si="532"/>
        <v>1.1318400000000002</v>
      </c>
    </row>
    <row r="1405" spans="1:21" x14ac:dyDescent="0.25">
      <c r="A1405" s="71">
        <v>31</v>
      </c>
      <c r="B1405" s="72">
        <f t="shared" si="533"/>
        <v>46569</v>
      </c>
      <c r="C1405" s="73">
        <f t="shared" si="514"/>
        <v>46599</v>
      </c>
      <c r="D1405" s="67">
        <f t="shared" si="515"/>
        <v>31</v>
      </c>
      <c r="E1405" s="67">
        <f t="shared" si="516"/>
        <v>7</v>
      </c>
      <c r="F1405" s="74">
        <f t="shared" si="517"/>
        <v>46584.5</v>
      </c>
      <c r="G1405" s="67">
        <f t="shared" si="518"/>
        <v>24330</v>
      </c>
      <c r="H1405" s="75">
        <f t="shared" si="519"/>
        <v>1</v>
      </c>
      <c r="I1405" s="76">
        <f t="shared" si="520"/>
        <v>1.1318400000000002</v>
      </c>
      <c r="J1405" s="76">
        <f t="shared" si="521"/>
        <v>1.1318400000000002</v>
      </c>
      <c r="K1405" s="67">
        <f t="shared" si="522"/>
        <v>0</v>
      </c>
      <c r="L1405" s="67">
        <f t="shared" si="523"/>
        <v>0</v>
      </c>
      <c r="M1405" s="77">
        <f t="shared" si="524"/>
        <v>0</v>
      </c>
      <c r="N1405" s="76">
        <f t="shared" si="525"/>
        <v>1.1318400000000002</v>
      </c>
      <c r="O1405" s="77">
        <f t="shared" si="526"/>
        <v>0.91</v>
      </c>
      <c r="P1405" s="76">
        <f t="shared" si="527"/>
        <v>0</v>
      </c>
      <c r="Q1405" s="76">
        <f t="shared" si="528"/>
        <v>0.91666666666666663</v>
      </c>
      <c r="R1405" s="76">
        <f t="shared" si="529"/>
        <v>8.333333333333337E-2</v>
      </c>
      <c r="S1405" s="76">
        <f t="shared" si="530"/>
        <v>1.119537391304348</v>
      </c>
      <c r="T1405" s="76">
        <f t="shared" si="531"/>
        <v>0.98913043478260865</v>
      </c>
      <c r="U1405" s="76">
        <f t="shared" si="532"/>
        <v>1.1318400000000002</v>
      </c>
    </row>
    <row r="1406" spans="1:21" x14ac:dyDescent="0.25">
      <c r="A1406" s="71">
        <v>32</v>
      </c>
      <c r="B1406" s="72">
        <f t="shared" si="533"/>
        <v>46600</v>
      </c>
      <c r="C1406" s="73">
        <f t="shared" si="514"/>
        <v>46630</v>
      </c>
      <c r="D1406" s="67">
        <f t="shared" si="515"/>
        <v>31</v>
      </c>
      <c r="E1406" s="67">
        <f t="shared" si="516"/>
        <v>8</v>
      </c>
      <c r="F1406" s="74">
        <f t="shared" si="517"/>
        <v>46615.5</v>
      </c>
      <c r="G1406" s="67">
        <f t="shared" si="518"/>
        <v>24331</v>
      </c>
      <c r="H1406" s="75">
        <f t="shared" si="519"/>
        <v>1</v>
      </c>
      <c r="I1406" s="76">
        <f t="shared" si="520"/>
        <v>1.1318400000000002</v>
      </c>
      <c r="J1406" s="76">
        <f t="shared" si="521"/>
        <v>1.1318400000000002</v>
      </c>
      <c r="K1406" s="67">
        <f t="shared" si="522"/>
        <v>0</v>
      </c>
      <c r="L1406" s="67">
        <f t="shared" si="523"/>
        <v>0</v>
      </c>
      <c r="M1406" s="77">
        <f t="shared" si="524"/>
        <v>0</v>
      </c>
      <c r="N1406" s="76">
        <f t="shared" si="525"/>
        <v>1.1318400000000002</v>
      </c>
      <c r="O1406" s="77">
        <f t="shared" si="526"/>
        <v>0.91</v>
      </c>
      <c r="P1406" s="76">
        <f t="shared" si="527"/>
        <v>0</v>
      </c>
      <c r="Q1406" s="76">
        <f t="shared" si="528"/>
        <v>0.75</v>
      </c>
      <c r="R1406" s="76">
        <f t="shared" si="529"/>
        <v>0.25</v>
      </c>
      <c r="S1406" s="76">
        <f t="shared" si="530"/>
        <v>1.119537391304348</v>
      </c>
      <c r="T1406" s="76">
        <f t="shared" si="531"/>
        <v>0.98913043478260865</v>
      </c>
      <c r="U1406" s="76">
        <f t="shared" si="532"/>
        <v>1.1318400000000002</v>
      </c>
    </row>
    <row r="1407" spans="1:21" x14ac:dyDescent="0.25">
      <c r="A1407" s="71">
        <v>33</v>
      </c>
      <c r="B1407" s="72">
        <f t="shared" si="533"/>
        <v>46631</v>
      </c>
      <c r="C1407" s="73">
        <f t="shared" si="514"/>
        <v>46660</v>
      </c>
      <c r="D1407" s="67">
        <f t="shared" si="515"/>
        <v>30</v>
      </c>
      <c r="E1407" s="67">
        <f t="shared" si="516"/>
        <v>9</v>
      </c>
      <c r="F1407" s="74">
        <f t="shared" si="517"/>
        <v>46646</v>
      </c>
      <c r="G1407" s="67">
        <f t="shared" si="518"/>
        <v>24332</v>
      </c>
      <c r="H1407" s="75">
        <f t="shared" si="519"/>
        <v>1</v>
      </c>
      <c r="I1407" s="76">
        <f t="shared" si="520"/>
        <v>1.1318400000000002</v>
      </c>
      <c r="J1407" s="76">
        <f t="shared" si="521"/>
        <v>1.1318400000000002</v>
      </c>
      <c r="K1407" s="67">
        <f t="shared" si="522"/>
        <v>0</v>
      </c>
      <c r="L1407" s="67">
        <f t="shared" si="523"/>
        <v>0</v>
      </c>
      <c r="M1407" s="77">
        <f t="shared" si="524"/>
        <v>0</v>
      </c>
      <c r="N1407" s="76">
        <f t="shared" si="525"/>
        <v>1.1318400000000002</v>
      </c>
      <c r="O1407" s="77">
        <f t="shared" si="526"/>
        <v>0.91</v>
      </c>
      <c r="P1407" s="76">
        <f t="shared" si="527"/>
        <v>0</v>
      </c>
      <c r="Q1407" s="76">
        <f t="shared" si="528"/>
        <v>0.58333333333333337</v>
      </c>
      <c r="R1407" s="76">
        <f t="shared" si="529"/>
        <v>0.41666666666666663</v>
      </c>
      <c r="S1407" s="76">
        <f t="shared" si="530"/>
        <v>1.119537391304348</v>
      </c>
      <c r="T1407" s="76">
        <f t="shared" si="531"/>
        <v>0.98913043478260865</v>
      </c>
      <c r="U1407" s="76">
        <f t="shared" si="532"/>
        <v>1.1318400000000002</v>
      </c>
    </row>
    <row r="1408" spans="1:21" x14ac:dyDescent="0.25">
      <c r="A1408" s="71">
        <v>34</v>
      </c>
      <c r="B1408" s="72">
        <f t="shared" si="533"/>
        <v>46661</v>
      </c>
      <c r="C1408" s="73">
        <f t="shared" si="514"/>
        <v>46691</v>
      </c>
      <c r="D1408" s="67">
        <f t="shared" si="515"/>
        <v>31</v>
      </c>
      <c r="E1408" s="67">
        <f t="shared" si="516"/>
        <v>10</v>
      </c>
      <c r="F1408" s="74">
        <f t="shared" si="517"/>
        <v>46676.5</v>
      </c>
      <c r="G1408" s="67">
        <f t="shared" si="518"/>
        <v>24333</v>
      </c>
      <c r="H1408" s="75">
        <f t="shared" si="519"/>
        <v>1</v>
      </c>
      <c r="I1408" s="76">
        <f t="shared" si="520"/>
        <v>1.1318400000000002</v>
      </c>
      <c r="J1408" s="76">
        <f t="shared" si="521"/>
        <v>1.1318400000000002</v>
      </c>
      <c r="K1408" s="67">
        <f t="shared" si="522"/>
        <v>0</v>
      </c>
      <c r="L1408" s="67">
        <f t="shared" si="523"/>
        <v>0</v>
      </c>
      <c r="M1408" s="77">
        <f t="shared" si="524"/>
        <v>0</v>
      </c>
      <c r="N1408" s="76">
        <f t="shared" si="525"/>
        <v>1.1318400000000002</v>
      </c>
      <c r="O1408" s="77">
        <f t="shared" si="526"/>
        <v>0.91</v>
      </c>
      <c r="P1408" s="76">
        <f t="shared" si="527"/>
        <v>0</v>
      </c>
      <c r="Q1408" s="76">
        <f t="shared" si="528"/>
        <v>0.41666666666666669</v>
      </c>
      <c r="R1408" s="76">
        <f t="shared" si="529"/>
        <v>0.58333333333333326</v>
      </c>
      <c r="S1408" s="76">
        <f t="shared" si="530"/>
        <v>1.119537391304348</v>
      </c>
      <c r="T1408" s="76">
        <f t="shared" si="531"/>
        <v>1.0682608695652174</v>
      </c>
      <c r="U1408" s="76">
        <f t="shared" si="532"/>
        <v>1.1318400000000002</v>
      </c>
    </row>
    <row r="1409" spans="1:21" x14ac:dyDescent="0.25">
      <c r="A1409" s="71">
        <v>35</v>
      </c>
      <c r="B1409" s="72">
        <f t="shared" si="533"/>
        <v>46692</v>
      </c>
      <c r="C1409" s="73">
        <f t="shared" si="514"/>
        <v>46721</v>
      </c>
      <c r="D1409" s="67">
        <f t="shared" si="515"/>
        <v>30</v>
      </c>
      <c r="E1409" s="67">
        <f t="shared" si="516"/>
        <v>11</v>
      </c>
      <c r="F1409" s="74">
        <f t="shared" si="517"/>
        <v>46707</v>
      </c>
      <c r="G1409" s="67">
        <f t="shared" si="518"/>
        <v>24334</v>
      </c>
      <c r="H1409" s="75">
        <f t="shared" si="519"/>
        <v>1</v>
      </c>
      <c r="I1409" s="76">
        <f t="shared" si="520"/>
        <v>1.1318400000000002</v>
      </c>
      <c r="J1409" s="76">
        <f t="shared" si="521"/>
        <v>1.1318400000000002</v>
      </c>
      <c r="K1409" s="67">
        <f t="shared" si="522"/>
        <v>0</v>
      </c>
      <c r="L1409" s="67">
        <f t="shared" si="523"/>
        <v>0</v>
      </c>
      <c r="M1409" s="77">
        <f t="shared" si="524"/>
        <v>0</v>
      </c>
      <c r="N1409" s="76">
        <f t="shared" si="525"/>
        <v>1.1318400000000002</v>
      </c>
      <c r="O1409" s="77">
        <f t="shared" si="526"/>
        <v>0.91</v>
      </c>
      <c r="P1409" s="76">
        <f t="shared" si="527"/>
        <v>0</v>
      </c>
      <c r="Q1409" s="76">
        <f t="shared" si="528"/>
        <v>0.25</v>
      </c>
      <c r="R1409" s="76">
        <f t="shared" si="529"/>
        <v>0.75</v>
      </c>
      <c r="S1409" s="76">
        <f t="shared" si="530"/>
        <v>1.119537391304348</v>
      </c>
      <c r="T1409" s="76">
        <f t="shared" si="531"/>
        <v>1.0682608695652174</v>
      </c>
      <c r="U1409" s="76">
        <f t="shared" si="532"/>
        <v>1.1318400000000002</v>
      </c>
    </row>
    <row r="1410" spans="1:21" x14ac:dyDescent="0.25">
      <c r="A1410" s="71">
        <v>36</v>
      </c>
      <c r="B1410" s="72">
        <f t="shared" si="533"/>
        <v>46722</v>
      </c>
      <c r="C1410" s="73">
        <f t="shared" si="514"/>
        <v>46752</v>
      </c>
      <c r="D1410" s="67">
        <f t="shared" si="515"/>
        <v>31</v>
      </c>
      <c r="E1410" s="67">
        <f t="shared" si="516"/>
        <v>12</v>
      </c>
      <c r="F1410" s="74">
        <f t="shared" si="517"/>
        <v>46737.5</v>
      </c>
      <c r="G1410" s="67">
        <f t="shared" si="518"/>
        <v>24335</v>
      </c>
      <c r="H1410" s="75">
        <f t="shared" si="519"/>
        <v>1</v>
      </c>
      <c r="I1410" s="76">
        <f t="shared" si="520"/>
        <v>1.1318400000000002</v>
      </c>
      <c r="J1410" s="76">
        <f t="shared" si="521"/>
        <v>1.1318400000000002</v>
      </c>
      <c r="K1410" s="67">
        <f t="shared" si="522"/>
        <v>0</v>
      </c>
      <c r="L1410" s="67">
        <f t="shared" si="523"/>
        <v>0</v>
      </c>
      <c r="M1410" s="77">
        <f t="shared" si="524"/>
        <v>0</v>
      </c>
      <c r="N1410" s="76">
        <f t="shared" si="525"/>
        <v>1.1318400000000002</v>
      </c>
      <c r="O1410" s="77">
        <f t="shared" si="526"/>
        <v>0.91</v>
      </c>
      <c r="P1410" s="76">
        <f t="shared" si="527"/>
        <v>0</v>
      </c>
      <c r="Q1410" s="76">
        <f t="shared" si="528"/>
        <v>8.3333333333333329E-2</v>
      </c>
      <c r="R1410" s="76">
        <f t="shared" si="529"/>
        <v>0.91666666666666663</v>
      </c>
      <c r="S1410" s="76">
        <f t="shared" si="530"/>
        <v>1.119537391304348</v>
      </c>
      <c r="T1410" s="76">
        <f t="shared" si="531"/>
        <v>1.0682608695652174</v>
      </c>
      <c r="U1410" s="76">
        <f t="shared" si="532"/>
        <v>1.1318400000000002</v>
      </c>
    </row>
    <row r="1411" spans="1:21" x14ac:dyDescent="0.25">
      <c r="A1411" s="71">
        <v>37</v>
      </c>
      <c r="B1411" s="72">
        <f t="shared" si="533"/>
        <v>46753</v>
      </c>
      <c r="C1411" s="73">
        <f t="shared" si="514"/>
        <v>46783</v>
      </c>
      <c r="D1411" s="67">
        <f t="shared" si="515"/>
        <v>31</v>
      </c>
      <c r="E1411" s="67">
        <f t="shared" si="516"/>
        <v>1</v>
      </c>
      <c r="F1411" s="74">
        <f t="shared" si="517"/>
        <v>46768.5</v>
      </c>
      <c r="G1411" s="67">
        <f t="shared" si="518"/>
        <v>24336</v>
      </c>
      <c r="H1411" s="75">
        <f t="shared" si="519"/>
        <v>1</v>
      </c>
      <c r="I1411" s="76">
        <f t="shared" si="520"/>
        <v>1.1318400000000002</v>
      </c>
      <c r="J1411" s="76">
        <f t="shared" si="521"/>
        <v>1.1318400000000002</v>
      </c>
      <c r="K1411" s="67">
        <f t="shared" si="522"/>
        <v>0</v>
      </c>
      <c r="L1411" s="67">
        <f t="shared" si="523"/>
        <v>0</v>
      </c>
      <c r="M1411" s="77">
        <f t="shared" si="524"/>
        <v>0</v>
      </c>
      <c r="N1411" s="76">
        <f t="shared" si="525"/>
        <v>1.1318400000000002</v>
      </c>
      <c r="O1411" s="77">
        <f t="shared" si="526"/>
        <v>0.91</v>
      </c>
      <c r="P1411" s="76">
        <f t="shared" si="527"/>
        <v>0</v>
      </c>
      <c r="Q1411" s="76">
        <f t="shared" si="528"/>
        <v>0</v>
      </c>
      <c r="R1411" s="76">
        <f t="shared" si="529"/>
        <v>1</v>
      </c>
      <c r="S1411" s="76">
        <f t="shared" si="530"/>
        <v>1.119537391304348</v>
      </c>
      <c r="T1411" s="76">
        <f t="shared" si="531"/>
        <v>0.98913043478260865</v>
      </c>
      <c r="U1411" s="76">
        <f t="shared" si="532"/>
        <v>1.1318400000000002</v>
      </c>
    </row>
    <row r="1412" spans="1:21" x14ac:dyDescent="0.25">
      <c r="A1412" s="71">
        <v>38</v>
      </c>
      <c r="B1412" s="72">
        <f t="shared" si="533"/>
        <v>46784</v>
      </c>
      <c r="C1412" s="73">
        <f t="shared" si="514"/>
        <v>46812</v>
      </c>
      <c r="D1412" s="67">
        <f t="shared" si="515"/>
        <v>29</v>
      </c>
      <c r="E1412" s="67">
        <f t="shared" si="516"/>
        <v>2</v>
      </c>
      <c r="F1412" s="74">
        <f t="shared" si="517"/>
        <v>46798.5</v>
      </c>
      <c r="G1412" s="67">
        <f t="shared" si="518"/>
        <v>24337</v>
      </c>
      <c r="H1412" s="75">
        <f t="shared" si="519"/>
        <v>1</v>
      </c>
      <c r="I1412" s="76">
        <f t="shared" si="520"/>
        <v>1.1318400000000002</v>
      </c>
      <c r="J1412" s="76">
        <f t="shared" si="521"/>
        <v>1.1318400000000002</v>
      </c>
      <c r="K1412" s="67">
        <f t="shared" si="522"/>
        <v>0</v>
      </c>
      <c r="L1412" s="67">
        <f t="shared" si="523"/>
        <v>0</v>
      </c>
      <c r="M1412" s="77">
        <f t="shared" si="524"/>
        <v>0</v>
      </c>
      <c r="N1412" s="76">
        <f t="shared" si="525"/>
        <v>1.1318400000000002</v>
      </c>
      <c r="O1412" s="77">
        <f t="shared" si="526"/>
        <v>0.91</v>
      </c>
      <c r="P1412" s="76">
        <f t="shared" si="527"/>
        <v>0</v>
      </c>
      <c r="Q1412" s="76">
        <f t="shared" si="528"/>
        <v>0</v>
      </c>
      <c r="R1412" s="76">
        <f t="shared" si="529"/>
        <v>1</v>
      </c>
      <c r="S1412" s="76">
        <f t="shared" si="530"/>
        <v>1.119537391304348</v>
      </c>
      <c r="T1412" s="76">
        <f t="shared" si="531"/>
        <v>0.98913043478260865</v>
      </c>
      <c r="U1412" s="76">
        <f t="shared" si="532"/>
        <v>1.1318400000000002</v>
      </c>
    </row>
    <row r="1413" spans="1:21" x14ac:dyDescent="0.25">
      <c r="A1413" s="71">
        <v>39</v>
      </c>
      <c r="B1413" s="72">
        <f t="shared" si="533"/>
        <v>46813</v>
      </c>
      <c r="C1413" s="73">
        <f t="shared" si="514"/>
        <v>46843</v>
      </c>
      <c r="D1413" s="67">
        <f t="shared" si="515"/>
        <v>31</v>
      </c>
      <c r="E1413" s="67">
        <f t="shared" si="516"/>
        <v>3</v>
      </c>
      <c r="F1413" s="74">
        <f t="shared" si="517"/>
        <v>46828.5</v>
      </c>
      <c r="G1413" s="67">
        <f t="shared" si="518"/>
        <v>24338</v>
      </c>
      <c r="H1413" s="75">
        <f t="shared" si="519"/>
        <v>1</v>
      </c>
      <c r="I1413" s="76">
        <f t="shared" si="520"/>
        <v>1.1318400000000002</v>
      </c>
      <c r="J1413" s="76">
        <f t="shared" si="521"/>
        <v>1.1318400000000002</v>
      </c>
      <c r="K1413" s="67">
        <f t="shared" si="522"/>
        <v>0</v>
      </c>
      <c r="L1413" s="67">
        <f t="shared" si="523"/>
        <v>0</v>
      </c>
      <c r="M1413" s="77">
        <f t="shared" si="524"/>
        <v>0</v>
      </c>
      <c r="N1413" s="76">
        <f t="shared" si="525"/>
        <v>1.1318400000000002</v>
      </c>
      <c r="O1413" s="77">
        <f t="shared" si="526"/>
        <v>0.91</v>
      </c>
      <c r="P1413" s="76">
        <f t="shared" si="527"/>
        <v>0</v>
      </c>
      <c r="Q1413" s="76">
        <f t="shared" si="528"/>
        <v>0</v>
      </c>
      <c r="R1413" s="76">
        <f t="shared" si="529"/>
        <v>1</v>
      </c>
      <c r="S1413" s="76">
        <f t="shared" si="530"/>
        <v>1.119537391304348</v>
      </c>
      <c r="T1413" s="76">
        <f t="shared" si="531"/>
        <v>0.98913043478260865</v>
      </c>
      <c r="U1413" s="76">
        <f t="shared" si="532"/>
        <v>1.1318400000000002</v>
      </c>
    </row>
    <row r="1414" spans="1:21" x14ac:dyDescent="0.25">
      <c r="A1414" s="71">
        <v>40</v>
      </c>
      <c r="B1414" s="72">
        <f t="shared" si="533"/>
        <v>46844</v>
      </c>
      <c r="C1414" s="73">
        <f t="shared" si="514"/>
        <v>46873</v>
      </c>
      <c r="D1414" s="67">
        <f t="shared" si="515"/>
        <v>30</v>
      </c>
      <c r="E1414" s="67">
        <f t="shared" si="516"/>
        <v>4</v>
      </c>
      <c r="F1414" s="74">
        <f t="shared" si="517"/>
        <v>46859</v>
      </c>
      <c r="G1414" s="67">
        <f t="shared" si="518"/>
        <v>24339</v>
      </c>
      <c r="H1414" s="75">
        <f t="shared" si="519"/>
        <v>1</v>
      </c>
      <c r="I1414" s="76">
        <f t="shared" si="520"/>
        <v>1.1318400000000002</v>
      </c>
      <c r="J1414" s="76">
        <f t="shared" si="521"/>
        <v>1.1318400000000002</v>
      </c>
      <c r="K1414" s="67">
        <f t="shared" si="522"/>
        <v>0</v>
      </c>
      <c r="L1414" s="67">
        <f t="shared" si="523"/>
        <v>0</v>
      </c>
      <c r="M1414" s="77">
        <f t="shared" si="524"/>
        <v>0</v>
      </c>
      <c r="N1414" s="76">
        <f t="shared" si="525"/>
        <v>1.1318400000000002</v>
      </c>
      <c r="O1414" s="77">
        <f t="shared" si="526"/>
        <v>0.91</v>
      </c>
      <c r="P1414" s="76">
        <f t="shared" si="527"/>
        <v>0</v>
      </c>
      <c r="Q1414" s="76">
        <f t="shared" si="528"/>
        <v>0</v>
      </c>
      <c r="R1414" s="76">
        <f t="shared" si="529"/>
        <v>1</v>
      </c>
      <c r="S1414" s="76">
        <f t="shared" si="530"/>
        <v>1.119537391304348</v>
      </c>
      <c r="T1414" s="76">
        <f t="shared" si="531"/>
        <v>0.98913043478260865</v>
      </c>
      <c r="U1414" s="76">
        <f t="shared" si="532"/>
        <v>1.1318400000000002</v>
      </c>
    </row>
    <row r="1415" spans="1:21" x14ac:dyDescent="0.25">
      <c r="A1415" s="71">
        <v>41</v>
      </c>
      <c r="B1415" s="72">
        <f t="shared" si="533"/>
        <v>46874</v>
      </c>
      <c r="C1415" s="73">
        <f t="shared" si="514"/>
        <v>46904</v>
      </c>
      <c r="D1415" s="67">
        <f t="shared" si="515"/>
        <v>31</v>
      </c>
      <c r="E1415" s="67">
        <f t="shared" si="516"/>
        <v>5</v>
      </c>
      <c r="F1415" s="74">
        <f t="shared" si="517"/>
        <v>46889.5</v>
      </c>
      <c r="G1415" s="67">
        <f t="shared" si="518"/>
        <v>24340</v>
      </c>
      <c r="H1415" s="75">
        <f t="shared" si="519"/>
        <v>1</v>
      </c>
      <c r="I1415" s="76">
        <f t="shared" si="520"/>
        <v>1.1318400000000002</v>
      </c>
      <c r="J1415" s="76">
        <f t="shared" si="521"/>
        <v>1.1318400000000002</v>
      </c>
      <c r="K1415" s="67">
        <f t="shared" si="522"/>
        <v>0</v>
      </c>
      <c r="L1415" s="67">
        <f t="shared" si="523"/>
        <v>0</v>
      </c>
      <c r="M1415" s="77">
        <f t="shared" si="524"/>
        <v>0</v>
      </c>
      <c r="N1415" s="76">
        <f t="shared" si="525"/>
        <v>1.1318400000000002</v>
      </c>
      <c r="O1415" s="77">
        <f t="shared" si="526"/>
        <v>0.91</v>
      </c>
      <c r="P1415" s="76">
        <f t="shared" si="527"/>
        <v>0</v>
      </c>
      <c r="Q1415" s="76">
        <f t="shared" si="528"/>
        <v>0</v>
      </c>
      <c r="R1415" s="76">
        <f t="shared" si="529"/>
        <v>1</v>
      </c>
      <c r="S1415" s="76">
        <f t="shared" si="530"/>
        <v>1.119537391304348</v>
      </c>
      <c r="T1415" s="76">
        <f t="shared" si="531"/>
        <v>0.98913043478260865</v>
      </c>
      <c r="U1415" s="76">
        <f t="shared" si="532"/>
        <v>1.1318400000000002</v>
      </c>
    </row>
    <row r="1416" spans="1:21" x14ac:dyDescent="0.25">
      <c r="A1416" s="71">
        <v>42</v>
      </c>
      <c r="B1416" s="72">
        <f t="shared" si="533"/>
        <v>46905</v>
      </c>
      <c r="C1416" s="73">
        <f t="shared" si="514"/>
        <v>46934</v>
      </c>
      <c r="D1416" s="67">
        <f t="shared" si="515"/>
        <v>30</v>
      </c>
      <c r="E1416" s="67">
        <f t="shared" si="516"/>
        <v>6</v>
      </c>
      <c r="F1416" s="74">
        <f t="shared" si="517"/>
        <v>46920</v>
      </c>
      <c r="G1416" s="67">
        <f t="shared" si="518"/>
        <v>24341</v>
      </c>
      <c r="H1416" s="75">
        <f t="shared" si="519"/>
        <v>1</v>
      </c>
      <c r="I1416" s="76">
        <f t="shared" si="520"/>
        <v>1.1318400000000002</v>
      </c>
      <c r="J1416" s="76">
        <f t="shared" si="521"/>
        <v>1.1318400000000002</v>
      </c>
      <c r="K1416" s="67">
        <f t="shared" si="522"/>
        <v>0</v>
      </c>
      <c r="L1416" s="67">
        <f t="shared" si="523"/>
        <v>0</v>
      </c>
      <c r="M1416" s="77">
        <f t="shared" si="524"/>
        <v>0</v>
      </c>
      <c r="N1416" s="76">
        <f t="shared" si="525"/>
        <v>1.1318400000000002</v>
      </c>
      <c r="O1416" s="77">
        <f t="shared" si="526"/>
        <v>0.91</v>
      </c>
      <c r="P1416" s="76">
        <f t="shared" si="527"/>
        <v>0</v>
      </c>
      <c r="Q1416" s="76">
        <f t="shared" si="528"/>
        <v>0</v>
      </c>
      <c r="R1416" s="76">
        <f t="shared" si="529"/>
        <v>1</v>
      </c>
      <c r="S1416" s="76">
        <f t="shared" si="530"/>
        <v>1.119537391304348</v>
      </c>
      <c r="T1416" s="76">
        <f t="shared" si="531"/>
        <v>0.98913043478260865</v>
      </c>
      <c r="U1416" s="76">
        <f t="shared" si="532"/>
        <v>1.1318400000000002</v>
      </c>
    </row>
    <row r="1417" spans="1:21" x14ac:dyDescent="0.25">
      <c r="A1417" s="71">
        <v>43</v>
      </c>
      <c r="B1417" s="72">
        <f t="shared" si="533"/>
        <v>46935</v>
      </c>
      <c r="C1417" s="73">
        <f t="shared" si="514"/>
        <v>46965</v>
      </c>
      <c r="D1417" s="67">
        <f t="shared" si="515"/>
        <v>31</v>
      </c>
      <c r="E1417" s="67">
        <f t="shared" si="516"/>
        <v>7</v>
      </c>
      <c r="F1417" s="74">
        <f t="shared" si="517"/>
        <v>46950.5</v>
      </c>
      <c r="G1417" s="67">
        <f t="shared" si="518"/>
        <v>24342</v>
      </c>
      <c r="H1417" s="75">
        <f t="shared" si="519"/>
        <v>1</v>
      </c>
      <c r="I1417" s="76">
        <f t="shared" si="520"/>
        <v>1.1318400000000002</v>
      </c>
      <c r="J1417" s="76">
        <f t="shared" si="521"/>
        <v>1.1318400000000002</v>
      </c>
      <c r="K1417" s="67">
        <f t="shared" si="522"/>
        <v>0</v>
      </c>
      <c r="L1417" s="67">
        <f t="shared" si="523"/>
        <v>0</v>
      </c>
      <c r="M1417" s="77">
        <f t="shared" si="524"/>
        <v>0</v>
      </c>
      <c r="N1417" s="76">
        <f t="shared" si="525"/>
        <v>1.1318400000000002</v>
      </c>
      <c r="O1417" s="77">
        <f t="shared" si="526"/>
        <v>0.91</v>
      </c>
      <c r="P1417" s="76">
        <f t="shared" si="527"/>
        <v>0</v>
      </c>
      <c r="Q1417" s="76">
        <f t="shared" si="528"/>
        <v>0</v>
      </c>
      <c r="R1417" s="76">
        <f t="shared" si="529"/>
        <v>0.91666666666666663</v>
      </c>
      <c r="S1417" s="76">
        <f t="shared" si="530"/>
        <v>1.119537391304348</v>
      </c>
      <c r="T1417" s="76">
        <f t="shared" si="531"/>
        <v>0.98913043478260865</v>
      </c>
      <c r="U1417" s="76">
        <f t="shared" si="532"/>
        <v>1.1318400000000002</v>
      </c>
    </row>
    <row r="1418" spans="1:21" x14ac:dyDescent="0.25">
      <c r="A1418" s="71">
        <v>44</v>
      </c>
      <c r="B1418" s="72">
        <f t="shared" si="533"/>
        <v>46966</v>
      </c>
      <c r="C1418" s="73">
        <f t="shared" si="514"/>
        <v>46996</v>
      </c>
      <c r="D1418" s="67">
        <f t="shared" si="515"/>
        <v>31</v>
      </c>
      <c r="E1418" s="67">
        <f t="shared" si="516"/>
        <v>8</v>
      </c>
      <c r="F1418" s="74">
        <f t="shared" si="517"/>
        <v>46981.5</v>
      </c>
      <c r="G1418" s="67">
        <f t="shared" si="518"/>
        <v>24343</v>
      </c>
      <c r="H1418" s="75">
        <f t="shared" si="519"/>
        <v>1</v>
      </c>
      <c r="I1418" s="76">
        <f t="shared" si="520"/>
        <v>1.1318400000000002</v>
      </c>
      <c r="J1418" s="76">
        <f t="shared" si="521"/>
        <v>1.1318400000000002</v>
      </c>
      <c r="K1418" s="67">
        <f t="shared" si="522"/>
        <v>0</v>
      </c>
      <c r="L1418" s="67">
        <f t="shared" si="523"/>
        <v>0</v>
      </c>
      <c r="M1418" s="77">
        <f t="shared" si="524"/>
        <v>0</v>
      </c>
      <c r="N1418" s="76">
        <f t="shared" si="525"/>
        <v>1.1318400000000002</v>
      </c>
      <c r="O1418" s="77">
        <f t="shared" si="526"/>
        <v>0.91</v>
      </c>
      <c r="P1418" s="76">
        <f t="shared" si="527"/>
        <v>0</v>
      </c>
      <c r="Q1418" s="76">
        <f t="shared" si="528"/>
        <v>0</v>
      </c>
      <c r="R1418" s="76">
        <f t="shared" si="529"/>
        <v>0.75</v>
      </c>
      <c r="S1418" s="76">
        <f t="shared" si="530"/>
        <v>1.119537391304348</v>
      </c>
      <c r="T1418" s="76">
        <f t="shared" si="531"/>
        <v>0.98913043478260865</v>
      </c>
      <c r="U1418" s="76">
        <f t="shared" si="532"/>
        <v>1.1318400000000002</v>
      </c>
    </row>
    <row r="1419" spans="1:21" x14ac:dyDescent="0.25">
      <c r="A1419" s="71">
        <v>45</v>
      </c>
      <c r="B1419" s="72">
        <f t="shared" si="533"/>
        <v>46997</v>
      </c>
      <c r="C1419" s="73">
        <f t="shared" si="514"/>
        <v>47026</v>
      </c>
      <c r="D1419" s="67">
        <f t="shared" si="515"/>
        <v>30</v>
      </c>
      <c r="E1419" s="67">
        <f t="shared" si="516"/>
        <v>9</v>
      </c>
      <c r="F1419" s="74">
        <f t="shared" si="517"/>
        <v>47012</v>
      </c>
      <c r="G1419" s="67">
        <f t="shared" si="518"/>
        <v>24344</v>
      </c>
      <c r="H1419" s="75">
        <f t="shared" si="519"/>
        <v>1</v>
      </c>
      <c r="I1419" s="76">
        <f t="shared" si="520"/>
        <v>1.1318400000000002</v>
      </c>
      <c r="J1419" s="76">
        <f t="shared" si="521"/>
        <v>1.1318400000000002</v>
      </c>
      <c r="K1419" s="67">
        <f t="shared" si="522"/>
        <v>0</v>
      </c>
      <c r="L1419" s="67">
        <f t="shared" si="523"/>
        <v>0</v>
      </c>
      <c r="M1419" s="77">
        <f t="shared" si="524"/>
        <v>0</v>
      </c>
      <c r="N1419" s="76">
        <f t="shared" si="525"/>
        <v>1.1318400000000002</v>
      </c>
      <c r="O1419" s="77">
        <f t="shared" si="526"/>
        <v>0.91</v>
      </c>
      <c r="P1419" s="76">
        <f t="shared" si="527"/>
        <v>0</v>
      </c>
      <c r="Q1419" s="76">
        <f t="shared" si="528"/>
        <v>0</v>
      </c>
      <c r="R1419" s="76">
        <f t="shared" si="529"/>
        <v>0.58333333333333337</v>
      </c>
      <c r="S1419" s="76">
        <f t="shared" si="530"/>
        <v>1.119537391304348</v>
      </c>
      <c r="T1419" s="76">
        <f t="shared" si="531"/>
        <v>0.98913043478260865</v>
      </c>
      <c r="U1419" s="76">
        <f t="shared" si="532"/>
        <v>1.1318400000000002</v>
      </c>
    </row>
    <row r="1420" spans="1:21" x14ac:dyDescent="0.25">
      <c r="A1420" s="71">
        <v>46</v>
      </c>
      <c r="B1420" s="72">
        <f t="shared" si="533"/>
        <v>47027</v>
      </c>
      <c r="C1420" s="73">
        <f t="shared" si="514"/>
        <v>47057</v>
      </c>
      <c r="D1420" s="67">
        <f t="shared" si="515"/>
        <v>31</v>
      </c>
      <c r="E1420" s="67">
        <f t="shared" si="516"/>
        <v>10</v>
      </c>
      <c r="F1420" s="74">
        <f t="shared" si="517"/>
        <v>47042.5</v>
      </c>
      <c r="G1420" s="67">
        <f t="shared" si="518"/>
        <v>24345</v>
      </c>
      <c r="H1420" s="75">
        <f t="shared" si="519"/>
        <v>1</v>
      </c>
      <c r="I1420" s="76">
        <f t="shared" si="520"/>
        <v>1.1318400000000002</v>
      </c>
      <c r="J1420" s="76">
        <f t="shared" si="521"/>
        <v>1.1318400000000002</v>
      </c>
      <c r="K1420" s="67">
        <f t="shared" si="522"/>
        <v>0</v>
      </c>
      <c r="L1420" s="67">
        <f t="shared" si="523"/>
        <v>0</v>
      </c>
      <c r="M1420" s="77">
        <f t="shared" si="524"/>
        <v>0</v>
      </c>
      <c r="N1420" s="76">
        <f t="shared" si="525"/>
        <v>1.1318400000000002</v>
      </c>
      <c r="O1420" s="77">
        <f t="shared" si="526"/>
        <v>0.91</v>
      </c>
      <c r="P1420" s="76">
        <f t="shared" si="527"/>
        <v>0</v>
      </c>
      <c r="Q1420" s="76">
        <f t="shared" si="528"/>
        <v>0</v>
      </c>
      <c r="R1420" s="76">
        <f t="shared" si="529"/>
        <v>0.41666666666666669</v>
      </c>
      <c r="S1420" s="76">
        <f t="shared" si="530"/>
        <v>1.119537391304348</v>
      </c>
      <c r="T1420" s="76">
        <f t="shared" si="531"/>
        <v>1.0682608695652174</v>
      </c>
      <c r="U1420" s="76">
        <f t="shared" si="532"/>
        <v>1.1318400000000002</v>
      </c>
    </row>
    <row r="1421" spans="1:21" x14ac:dyDescent="0.25">
      <c r="A1421" s="71">
        <v>47</v>
      </c>
      <c r="B1421" s="72">
        <f t="shared" si="533"/>
        <v>47058</v>
      </c>
      <c r="C1421" s="73">
        <f t="shared" si="514"/>
        <v>47087</v>
      </c>
      <c r="D1421" s="67">
        <f t="shared" si="515"/>
        <v>30</v>
      </c>
      <c r="E1421" s="67">
        <f t="shared" si="516"/>
        <v>11</v>
      </c>
      <c r="F1421" s="74">
        <f t="shared" si="517"/>
        <v>47073</v>
      </c>
      <c r="G1421" s="67">
        <f t="shared" si="518"/>
        <v>24346</v>
      </c>
      <c r="H1421" s="75">
        <f t="shared" si="519"/>
        <v>1</v>
      </c>
      <c r="I1421" s="76">
        <f t="shared" si="520"/>
        <v>1.1318400000000002</v>
      </c>
      <c r="J1421" s="76">
        <f t="shared" si="521"/>
        <v>1.1318400000000002</v>
      </c>
      <c r="K1421" s="67">
        <f t="shared" si="522"/>
        <v>0</v>
      </c>
      <c r="L1421" s="67">
        <f t="shared" si="523"/>
        <v>0</v>
      </c>
      <c r="M1421" s="77">
        <f t="shared" si="524"/>
        <v>0</v>
      </c>
      <c r="N1421" s="76">
        <f t="shared" si="525"/>
        <v>1.1318400000000002</v>
      </c>
      <c r="O1421" s="77">
        <f t="shared" si="526"/>
        <v>0.91</v>
      </c>
      <c r="P1421" s="76">
        <f t="shared" si="527"/>
        <v>0</v>
      </c>
      <c r="Q1421" s="76">
        <f t="shared" si="528"/>
        <v>0</v>
      </c>
      <c r="R1421" s="76">
        <f t="shared" si="529"/>
        <v>0.25</v>
      </c>
      <c r="S1421" s="76">
        <f t="shared" si="530"/>
        <v>1.119537391304348</v>
      </c>
      <c r="T1421" s="76">
        <f t="shared" si="531"/>
        <v>1.0682608695652174</v>
      </c>
      <c r="U1421" s="76">
        <f t="shared" si="532"/>
        <v>1.1318400000000002</v>
      </c>
    </row>
    <row r="1422" spans="1:21" x14ac:dyDescent="0.25">
      <c r="A1422" s="71">
        <v>48</v>
      </c>
      <c r="B1422" s="72">
        <f t="shared" si="533"/>
        <v>47088</v>
      </c>
      <c r="C1422" s="73">
        <f t="shared" si="514"/>
        <v>47118</v>
      </c>
      <c r="D1422" s="67">
        <f t="shared" si="515"/>
        <v>31</v>
      </c>
      <c r="E1422" s="67">
        <f t="shared" si="516"/>
        <v>12</v>
      </c>
      <c r="F1422" s="74">
        <f t="shared" si="517"/>
        <v>47103.5</v>
      </c>
      <c r="G1422" s="67">
        <f t="shared" si="518"/>
        <v>24347</v>
      </c>
      <c r="H1422" s="75">
        <f t="shared" si="519"/>
        <v>1</v>
      </c>
      <c r="I1422" s="76">
        <f t="shared" si="520"/>
        <v>1.1318400000000002</v>
      </c>
      <c r="J1422" s="76">
        <f t="shared" si="521"/>
        <v>1.1318400000000002</v>
      </c>
      <c r="K1422" s="67">
        <f t="shared" si="522"/>
        <v>0</v>
      </c>
      <c r="L1422" s="67">
        <f t="shared" si="523"/>
        <v>0</v>
      </c>
      <c r="M1422" s="77">
        <f t="shared" si="524"/>
        <v>0</v>
      </c>
      <c r="N1422" s="76">
        <f t="shared" si="525"/>
        <v>1.1318400000000002</v>
      </c>
      <c r="O1422" s="77">
        <f t="shared" si="526"/>
        <v>0.91</v>
      </c>
      <c r="P1422" s="76">
        <f t="shared" si="527"/>
        <v>0</v>
      </c>
      <c r="Q1422" s="76">
        <f t="shared" si="528"/>
        <v>0</v>
      </c>
      <c r="R1422" s="76">
        <f t="shared" si="529"/>
        <v>8.3333333333333329E-2</v>
      </c>
      <c r="S1422" s="76">
        <f t="shared" si="530"/>
        <v>1.119537391304348</v>
      </c>
      <c r="T1422" s="76">
        <f t="shared" si="531"/>
        <v>1.0682608695652174</v>
      </c>
      <c r="U1422" s="76">
        <f t="shared" si="532"/>
        <v>1.1318400000000002</v>
      </c>
    </row>
    <row r="1423" spans="1:21" x14ac:dyDescent="0.25">
      <c r="A1423" s="81" t="s">
        <v>1187</v>
      </c>
      <c r="B1423" s="53">
        <f>EXP(SUMPRODUCT((rl_key=$A$1372)*(rl_cons="Y")*rl_ln1p))</f>
        <v>1.08</v>
      </c>
      <c r="C1423" s="53">
        <f>SUMPRODUCT($H$1375:$H$1422,$P$1375:$P$1422,$U$1375:$U$1422)/SUMPRODUCT($H$1375:$H$1422,$P$1375:$P$1422)</f>
        <v>1.0049999999999999</v>
      </c>
      <c r="D1423" s="53">
        <f>SUMPRODUCT($H$1375:$H$1422,$Q$1375:$Q$1422,$U$1375:$U$1422)/SUMPRODUCT($H$1375:$H$1422,$Q$1375:$Q$1422)</f>
        <v>1.10524</v>
      </c>
      <c r="E1423" s="53">
        <f>SUMPRODUCT($H$1375:$H$1422,$R$1375:$R$1422,$U$1375:$U$1422)/SUMPRODUCT($H$1375:$H$1422,$R$1375:$R$1422)</f>
        <v>1.1318400000000002</v>
      </c>
      <c r="F1423" s="172">
        <f>SUMPRODUCT($H$1375:$H$1422,$Q$1375:$Q$1422,$O$1375:$O$1422)/SUMPRODUCT($H$1375:$H$1422,$Q$1375:$Q$1422)</f>
        <v>0.90999999999999981</v>
      </c>
      <c r="G1423" s="172">
        <f>SUMPRODUCT($H$1375:$H$1422,$R$1375:$R$1422,$O$1375:$O$1422)/SUMPRODUCT($H$1375:$H$1422,$R$1375:$R$1422)</f>
        <v>0.90999999999999981</v>
      </c>
    </row>
    <row r="1426" spans="1:21" x14ac:dyDescent="0.25">
      <c r="A1426" s="81" t="str">
        <f>INDEX(lr_key,26)</f>
        <v>BU-B|FL</v>
      </c>
      <c r="B1426" s="81" t="str">
        <f>INDEX(lr_state,26)</f>
        <v>FL</v>
      </c>
      <c r="C1426" s="55">
        <f>nr_TermMonths</f>
        <v>6</v>
      </c>
      <c r="D1426" s="55">
        <f>IF(COUNTIF(se_state,$B1426)=0,0,MATCH($B1426,se_state,0))</f>
        <v>0</v>
      </c>
      <c r="E1426" s="57">
        <f>IF($D1426=0,0,INDEX(se_sum,$D1426))</f>
        <v>0</v>
      </c>
      <c r="F1426" s="172">
        <f>IF(N(INDEX(lr_mind,26))=0,1,INDEX(lr_mind,26))</f>
        <v>0.92</v>
      </c>
      <c r="G1426" s="172">
        <f>IF(N(INDEX(lr_m0,26))=0,1,INDEX(lr_m0,26))</f>
        <v>0.91</v>
      </c>
      <c r="H1426" s="54">
        <f>IF(N(INDEX(lr_m0asof,26))=0,DATE(nr_PlanYear-1,10,1),INDEX(lr_m0asof,26))</f>
        <v>46295</v>
      </c>
      <c r="I1426" s="172">
        <f>IF(N(INDEX(lr_m1,26))=0,1,INDEX(lr_m1,26))</f>
        <v>0.92500000000000004</v>
      </c>
      <c r="J1426" s="172">
        <f>INDEX(lr_mprior,26)</f>
        <v>0</v>
      </c>
      <c r="K1426" s="172">
        <f>INDEX(lr_m2,26)</f>
        <v>0</v>
      </c>
      <c r="L1426" s="81" t="b">
        <f>NOT(ISBLANK(INDEX(lr_netp,26)))</f>
        <v>0</v>
      </c>
      <c r="M1426" s="52">
        <f>N(INDEX(lr_netp,26))</f>
        <v>0</v>
      </c>
      <c r="N1426" s="52">
        <f>IF(ISBLANK(INDEX(lr_netp1,26)),$M$1426,N(INDEX(lr_netp1,26)))</f>
        <v>0</v>
      </c>
      <c r="O1426" s="55">
        <f>IF(AND(nr_ModAdjMaster="ON",INDEX(lr_modadj,26)="ON"),1,0)</f>
        <v>1</v>
      </c>
    </row>
    <row r="1427" spans="1:21" x14ac:dyDescent="0.25">
      <c r="A1427" s="81">
        <f>EDATE($H$1426,-12)+1</f>
        <v>45931</v>
      </c>
      <c r="B1427" s="81">
        <f>$H$1426+1</f>
        <v>46296</v>
      </c>
      <c r="C1427" s="81">
        <f>DATE(nr_PlanYear,12,31)+1</f>
        <v>46753</v>
      </c>
      <c r="D1427" s="81">
        <f>DATE(nr_PlanYear+1,12,31)+1</f>
        <v>47119</v>
      </c>
      <c r="E1427" s="81">
        <f>IF(N($J$1426)=0,$F$1427-($G$1427-$F$1427)/($C$1427-$B$1427)*($B$1427-$A$1427),$J$1426)</f>
        <v>0.89801969365426693</v>
      </c>
      <c r="F1427" s="81">
        <f>$G$1426</f>
        <v>0.91</v>
      </c>
      <c r="G1427" s="81">
        <f>$I$1426</f>
        <v>0.92500000000000004</v>
      </c>
      <c r="H1427" s="81">
        <f>IF(N($K$1426)=0,$I$1426,$K$1426)</f>
        <v>0.92500000000000004</v>
      </c>
      <c r="I1427" s="81">
        <f>($F$1427-$E$1427)/($B$1427-$A$1427)</f>
        <v>3.2822757111597549E-5</v>
      </c>
      <c r="J1427" s="81">
        <f>($G$1427-$F$1427)/($C$1427-$B$1427)</f>
        <v>3.2822757111597407E-5</v>
      </c>
      <c r="K1427" s="81">
        <f>($H$1427-$G$1427)/($D$1427-$C$1427)</f>
        <v>0</v>
      </c>
    </row>
    <row r="1428" spans="1:21" ht="36" x14ac:dyDescent="0.25">
      <c r="A1428" s="50" t="s">
        <v>211</v>
      </c>
      <c r="B1428" s="50" t="s">
        <v>212</v>
      </c>
      <c r="C1428" s="50" t="s">
        <v>213</v>
      </c>
      <c r="D1428" s="50" t="s">
        <v>214</v>
      </c>
      <c r="E1428" s="50" t="s">
        <v>215</v>
      </c>
      <c r="F1428" s="50" t="s">
        <v>216</v>
      </c>
      <c r="G1428" s="50" t="s">
        <v>217</v>
      </c>
      <c r="H1428" s="50" t="s">
        <v>218</v>
      </c>
      <c r="I1428" s="50" t="s">
        <v>219</v>
      </c>
      <c r="J1428" s="50" t="s">
        <v>220</v>
      </c>
      <c r="K1428" s="50" t="s">
        <v>221</v>
      </c>
      <c r="L1428" s="50" t="s">
        <v>222</v>
      </c>
      <c r="M1428" s="50" t="s">
        <v>223</v>
      </c>
      <c r="N1428" s="50" t="s">
        <v>224</v>
      </c>
      <c r="O1428" s="50" t="s">
        <v>225</v>
      </c>
      <c r="P1428" s="50" t="s">
        <v>226</v>
      </c>
      <c r="Q1428" s="50" t="s">
        <v>227</v>
      </c>
      <c r="R1428" s="50" t="s">
        <v>228</v>
      </c>
      <c r="S1428" s="50" t="s">
        <v>229</v>
      </c>
      <c r="T1428" s="50" t="s">
        <v>230</v>
      </c>
      <c r="U1428" s="50" t="s">
        <v>231</v>
      </c>
    </row>
    <row r="1429" spans="1:21" x14ac:dyDescent="0.25">
      <c r="A1429" s="71">
        <v>1</v>
      </c>
      <c r="B1429" s="72">
        <f>DATE(nr_PlanYear-2,1,1)</f>
        <v>45658</v>
      </c>
      <c r="C1429" s="73">
        <f t="shared" ref="C1429:C1476" si="534">EOMONTH($B1429,0)</f>
        <v>45688</v>
      </c>
      <c r="D1429" s="67">
        <f t="shared" ref="D1429:D1476" si="535">$C1429-$B1429+1</f>
        <v>31</v>
      </c>
      <c r="E1429" s="67">
        <f t="shared" ref="E1429:E1476" si="536">MONTH($B1429)</f>
        <v>1</v>
      </c>
      <c r="F1429" s="74">
        <f t="shared" ref="F1429:F1476" si="537">($B1429+$C1429+1)/2</f>
        <v>45673.5</v>
      </c>
      <c r="G1429" s="67">
        <f t="shared" ref="G1429:G1476" si="538">YEAR($B1429)*12+MONTH($B1429)-1</f>
        <v>24300</v>
      </c>
      <c r="H1429" s="75">
        <f t="shared" ref="H1429:H1476" si="539">IF(OR(nr_SeasonOn="OFF",$D$1426=0,$E$1426=0),1,12*INDEX(se_block,$D$1426,$E1429)/$E$1426)</f>
        <v>1</v>
      </c>
      <c r="I1429" s="76">
        <f t="shared" ref="I1429:I1476" si="540">EXP(SUMPRODUCT((rl_eff&lt;$B1429)*(rl_key=$A$1426)*rl_ln1p))</f>
        <v>1</v>
      </c>
      <c r="J1429" s="76">
        <f t="shared" ref="J1429:J1476" si="541">EXP(SUMPRODUCT((rl_eff&lt;=$C1429)*(rl_key=$A$1426)*rl_ln1p))</f>
        <v>1</v>
      </c>
      <c r="K1429" s="67">
        <f t="shared" ref="K1429:K1476" si="542">COUNTIFS(rl_key,$A$1426,rl_eff,"&gt;="&amp;$B1429,rl_eff,"&lt;="&amp;$C1429)</f>
        <v>0</v>
      </c>
      <c r="L1429" s="67">
        <f t="shared" ref="L1429:L1476" si="543">SUMIFS(rl_daysafter,rl_key,$A$1426,rl_effmonth,$B1429,rl_first,1)</f>
        <v>0</v>
      </c>
      <c r="M1429" s="77">
        <f t="shared" ref="M1429:M1476" si="544">IF($K1429=0,0,MIN(1,$L1429/$D1429))</f>
        <v>0</v>
      </c>
      <c r="N1429" s="76">
        <f t="shared" ref="N1429:N1476" si="545">IF($K1429=0,$J1429,(1-$M1429)*$I1429+$M1429*$J1429)</f>
        <v>1</v>
      </c>
      <c r="O1429" s="77">
        <f t="shared" ref="O1429:O1476" si="546">IF($F1429&lt;$B$1427,$E$1427+$I$1427*($F1429-$A$1427),IF($F1429&lt;$C$1427,$F$1427+$J$1427*($F1429-$B$1427),$G$1427+$K$1427*($F1429-$C$1427)))</f>
        <v>0.88956783369803061</v>
      </c>
      <c r="P1429" s="76">
        <f t="shared" ref="P1429:P1476" si="547">MIN(1,MAX(0,(nr_MEndPm1-$G1429+0.5)/$C$1426))-MIN(1,MAX(0,(nr_MStartPm1-1-$G1429+0.5)/$C$1426))</f>
        <v>0</v>
      </c>
      <c r="Q1429" s="76">
        <f t="shared" ref="Q1429:Q1476" si="548">MIN(1,MAX(0,(nr_MEndP-$G1429+0.5)/$C$1426))-MIN(1,MAX(0,(nr_MStartP-1-$G1429+0.5)/$C$1426))</f>
        <v>0</v>
      </c>
      <c r="R1429" s="76">
        <f t="shared" ref="R1429:R1476" si="549">MIN(1,MAX(0,(nr_MEndP1-$G1429+0.5)/$C$1426))-MIN(1,MAX(0,(nr_MStartP1-1-$G1429+0.5)/$C$1426))</f>
        <v>0</v>
      </c>
      <c r="S1429" s="76">
        <f t="shared" ref="S1429:S1476" si="550">$N1429*IF($O$1426=1,$O1429/$F$1426,1)</f>
        <v>0.96692155836742455</v>
      </c>
      <c r="T1429" s="76">
        <f t="shared" ref="T1429:T1476" si="551">IF($G1429&lt;nr_MStartP,$S1429,$T1417*(1+IF($G1429&lt;nr_MStartP1,$M$1426,$N$1426)))</f>
        <v>0.96692155836742455</v>
      </c>
      <c r="U1429" s="76">
        <f t="shared" ref="U1429:U1476" si="552">IF($L$1426,$T1429,$N1429)</f>
        <v>1</v>
      </c>
    </row>
    <row r="1430" spans="1:21" x14ac:dyDescent="0.25">
      <c r="A1430" s="71">
        <v>2</v>
      </c>
      <c r="B1430" s="72">
        <f t="shared" ref="B1430:B1476" si="553">EDATE($B1429,1)</f>
        <v>45689</v>
      </c>
      <c r="C1430" s="73">
        <f t="shared" si="534"/>
        <v>45716</v>
      </c>
      <c r="D1430" s="67">
        <f t="shared" si="535"/>
        <v>28</v>
      </c>
      <c r="E1430" s="67">
        <f t="shared" si="536"/>
        <v>2</v>
      </c>
      <c r="F1430" s="74">
        <f t="shared" si="537"/>
        <v>45703</v>
      </c>
      <c r="G1430" s="67">
        <f t="shared" si="538"/>
        <v>24301</v>
      </c>
      <c r="H1430" s="75">
        <f t="shared" si="539"/>
        <v>1</v>
      </c>
      <c r="I1430" s="76">
        <f t="shared" si="540"/>
        <v>1</v>
      </c>
      <c r="J1430" s="76">
        <f t="shared" si="541"/>
        <v>1</v>
      </c>
      <c r="K1430" s="67">
        <f t="shared" si="542"/>
        <v>0</v>
      </c>
      <c r="L1430" s="67">
        <f t="shared" si="543"/>
        <v>0</v>
      </c>
      <c r="M1430" s="77">
        <f t="shared" si="544"/>
        <v>0</v>
      </c>
      <c r="N1430" s="76">
        <f t="shared" si="545"/>
        <v>1</v>
      </c>
      <c r="O1430" s="77">
        <f t="shared" si="546"/>
        <v>0.89053610503282266</v>
      </c>
      <c r="P1430" s="76">
        <f t="shared" si="547"/>
        <v>0</v>
      </c>
      <c r="Q1430" s="76">
        <f t="shared" si="548"/>
        <v>0</v>
      </c>
      <c r="R1430" s="76">
        <f t="shared" si="549"/>
        <v>0</v>
      </c>
      <c r="S1430" s="76">
        <f t="shared" si="550"/>
        <v>0.9679740272095898</v>
      </c>
      <c r="T1430" s="76">
        <f t="shared" si="551"/>
        <v>0.9679740272095898</v>
      </c>
      <c r="U1430" s="76">
        <f t="shared" si="552"/>
        <v>1</v>
      </c>
    </row>
    <row r="1431" spans="1:21" x14ac:dyDescent="0.25">
      <c r="A1431" s="71">
        <v>3</v>
      </c>
      <c r="B1431" s="72">
        <f t="shared" si="553"/>
        <v>45717</v>
      </c>
      <c r="C1431" s="73">
        <f t="shared" si="534"/>
        <v>45747</v>
      </c>
      <c r="D1431" s="67">
        <f t="shared" si="535"/>
        <v>31</v>
      </c>
      <c r="E1431" s="67">
        <f t="shared" si="536"/>
        <v>3</v>
      </c>
      <c r="F1431" s="74">
        <f t="shared" si="537"/>
        <v>45732.5</v>
      </c>
      <c r="G1431" s="67">
        <f t="shared" si="538"/>
        <v>24302</v>
      </c>
      <c r="H1431" s="75">
        <f t="shared" si="539"/>
        <v>1</v>
      </c>
      <c r="I1431" s="76">
        <f t="shared" si="540"/>
        <v>1</v>
      </c>
      <c r="J1431" s="76">
        <f t="shared" si="541"/>
        <v>1</v>
      </c>
      <c r="K1431" s="67">
        <f t="shared" si="542"/>
        <v>0</v>
      </c>
      <c r="L1431" s="67">
        <f t="shared" si="543"/>
        <v>0</v>
      </c>
      <c r="M1431" s="77">
        <f t="shared" si="544"/>
        <v>0</v>
      </c>
      <c r="N1431" s="76">
        <f t="shared" si="545"/>
        <v>1</v>
      </c>
      <c r="O1431" s="77">
        <f t="shared" si="546"/>
        <v>0.89150437636761481</v>
      </c>
      <c r="P1431" s="76">
        <f t="shared" si="547"/>
        <v>0</v>
      </c>
      <c r="Q1431" s="76">
        <f t="shared" si="548"/>
        <v>0</v>
      </c>
      <c r="R1431" s="76">
        <f t="shared" si="549"/>
        <v>0</v>
      </c>
      <c r="S1431" s="76">
        <f t="shared" si="550"/>
        <v>0.96902649605175517</v>
      </c>
      <c r="T1431" s="76">
        <f t="shared" si="551"/>
        <v>0.96902649605175517</v>
      </c>
      <c r="U1431" s="76">
        <f t="shared" si="552"/>
        <v>1</v>
      </c>
    </row>
    <row r="1432" spans="1:21" x14ac:dyDescent="0.25">
      <c r="A1432" s="71">
        <v>4</v>
      </c>
      <c r="B1432" s="72">
        <f t="shared" si="553"/>
        <v>45748</v>
      </c>
      <c r="C1432" s="73">
        <f t="shared" si="534"/>
        <v>45777</v>
      </c>
      <c r="D1432" s="67">
        <f t="shared" si="535"/>
        <v>30</v>
      </c>
      <c r="E1432" s="67">
        <f t="shared" si="536"/>
        <v>4</v>
      </c>
      <c r="F1432" s="74">
        <f t="shared" si="537"/>
        <v>45763</v>
      </c>
      <c r="G1432" s="67">
        <f t="shared" si="538"/>
        <v>24303</v>
      </c>
      <c r="H1432" s="75">
        <f t="shared" si="539"/>
        <v>1</v>
      </c>
      <c r="I1432" s="76">
        <f t="shared" si="540"/>
        <v>1</v>
      </c>
      <c r="J1432" s="76">
        <f t="shared" si="541"/>
        <v>1</v>
      </c>
      <c r="K1432" s="67">
        <f t="shared" si="542"/>
        <v>0</v>
      </c>
      <c r="L1432" s="67">
        <f t="shared" si="543"/>
        <v>0</v>
      </c>
      <c r="M1432" s="77">
        <f t="shared" si="544"/>
        <v>0</v>
      </c>
      <c r="N1432" s="76">
        <f t="shared" si="545"/>
        <v>1</v>
      </c>
      <c r="O1432" s="77">
        <f t="shared" si="546"/>
        <v>0.89250547045951856</v>
      </c>
      <c r="P1432" s="76">
        <f t="shared" si="547"/>
        <v>0</v>
      </c>
      <c r="Q1432" s="76">
        <f t="shared" si="548"/>
        <v>0</v>
      </c>
      <c r="R1432" s="76">
        <f t="shared" si="549"/>
        <v>0</v>
      </c>
      <c r="S1432" s="76">
        <f t="shared" si="550"/>
        <v>0.97011464180382445</v>
      </c>
      <c r="T1432" s="76">
        <f t="shared" si="551"/>
        <v>0.97011464180382445</v>
      </c>
      <c r="U1432" s="76">
        <f t="shared" si="552"/>
        <v>1</v>
      </c>
    </row>
    <row r="1433" spans="1:21" x14ac:dyDescent="0.25">
      <c r="A1433" s="71">
        <v>5</v>
      </c>
      <c r="B1433" s="72">
        <f t="shared" si="553"/>
        <v>45778</v>
      </c>
      <c r="C1433" s="73">
        <f t="shared" si="534"/>
        <v>45808</v>
      </c>
      <c r="D1433" s="67">
        <f t="shared" si="535"/>
        <v>31</v>
      </c>
      <c r="E1433" s="67">
        <f t="shared" si="536"/>
        <v>5</v>
      </c>
      <c r="F1433" s="74">
        <f t="shared" si="537"/>
        <v>45793.5</v>
      </c>
      <c r="G1433" s="67">
        <f t="shared" si="538"/>
        <v>24304</v>
      </c>
      <c r="H1433" s="75">
        <f t="shared" si="539"/>
        <v>1</v>
      </c>
      <c r="I1433" s="76">
        <f t="shared" si="540"/>
        <v>1</v>
      </c>
      <c r="J1433" s="76">
        <f t="shared" si="541"/>
        <v>1</v>
      </c>
      <c r="K1433" s="67">
        <f t="shared" si="542"/>
        <v>0</v>
      </c>
      <c r="L1433" s="67">
        <f t="shared" si="543"/>
        <v>0</v>
      </c>
      <c r="M1433" s="77">
        <f t="shared" si="544"/>
        <v>0</v>
      </c>
      <c r="N1433" s="76">
        <f t="shared" si="545"/>
        <v>1</v>
      </c>
      <c r="O1433" s="77">
        <f t="shared" si="546"/>
        <v>0.8935065645514223</v>
      </c>
      <c r="P1433" s="76">
        <f t="shared" si="547"/>
        <v>0</v>
      </c>
      <c r="Q1433" s="76">
        <f t="shared" si="548"/>
        <v>0</v>
      </c>
      <c r="R1433" s="76">
        <f t="shared" si="549"/>
        <v>0</v>
      </c>
      <c r="S1433" s="76">
        <f t="shared" si="550"/>
        <v>0.97120278755589373</v>
      </c>
      <c r="T1433" s="76">
        <f t="shared" si="551"/>
        <v>0.97120278755589373</v>
      </c>
      <c r="U1433" s="76">
        <f t="shared" si="552"/>
        <v>1</v>
      </c>
    </row>
    <row r="1434" spans="1:21" x14ac:dyDescent="0.25">
      <c r="A1434" s="71">
        <v>6</v>
      </c>
      <c r="B1434" s="72">
        <f t="shared" si="553"/>
        <v>45809</v>
      </c>
      <c r="C1434" s="73">
        <f t="shared" si="534"/>
        <v>45838</v>
      </c>
      <c r="D1434" s="67">
        <f t="shared" si="535"/>
        <v>30</v>
      </c>
      <c r="E1434" s="67">
        <f t="shared" si="536"/>
        <v>6</v>
      </c>
      <c r="F1434" s="74">
        <f t="shared" si="537"/>
        <v>45824</v>
      </c>
      <c r="G1434" s="67">
        <f t="shared" si="538"/>
        <v>24305</v>
      </c>
      <c r="H1434" s="75">
        <f t="shared" si="539"/>
        <v>1</v>
      </c>
      <c r="I1434" s="76">
        <f t="shared" si="540"/>
        <v>1</v>
      </c>
      <c r="J1434" s="76">
        <f t="shared" si="541"/>
        <v>1</v>
      </c>
      <c r="K1434" s="67">
        <f t="shared" si="542"/>
        <v>0</v>
      </c>
      <c r="L1434" s="67">
        <f t="shared" si="543"/>
        <v>0</v>
      </c>
      <c r="M1434" s="77">
        <f t="shared" si="544"/>
        <v>0</v>
      </c>
      <c r="N1434" s="76">
        <f t="shared" si="545"/>
        <v>1</v>
      </c>
      <c r="O1434" s="77">
        <f t="shared" si="546"/>
        <v>0.89450765864332604</v>
      </c>
      <c r="P1434" s="76">
        <f t="shared" si="547"/>
        <v>0</v>
      </c>
      <c r="Q1434" s="76">
        <f t="shared" si="548"/>
        <v>0</v>
      </c>
      <c r="R1434" s="76">
        <f t="shared" si="549"/>
        <v>0</v>
      </c>
      <c r="S1434" s="76">
        <f t="shared" si="550"/>
        <v>0.97229093330796301</v>
      </c>
      <c r="T1434" s="76">
        <f t="shared" si="551"/>
        <v>0.97229093330796301</v>
      </c>
      <c r="U1434" s="76">
        <f t="shared" si="552"/>
        <v>1</v>
      </c>
    </row>
    <row r="1435" spans="1:21" x14ac:dyDescent="0.25">
      <c r="A1435" s="71">
        <v>7</v>
      </c>
      <c r="B1435" s="72">
        <f t="shared" si="553"/>
        <v>45839</v>
      </c>
      <c r="C1435" s="73">
        <f t="shared" si="534"/>
        <v>45869</v>
      </c>
      <c r="D1435" s="67">
        <f t="shared" si="535"/>
        <v>31</v>
      </c>
      <c r="E1435" s="67">
        <f t="shared" si="536"/>
        <v>7</v>
      </c>
      <c r="F1435" s="74">
        <f t="shared" si="537"/>
        <v>45854.5</v>
      </c>
      <c r="G1435" s="67">
        <f t="shared" si="538"/>
        <v>24306</v>
      </c>
      <c r="H1435" s="75">
        <f t="shared" si="539"/>
        <v>1</v>
      </c>
      <c r="I1435" s="76">
        <f t="shared" si="540"/>
        <v>1</v>
      </c>
      <c r="J1435" s="76">
        <f t="shared" si="541"/>
        <v>1</v>
      </c>
      <c r="K1435" s="67">
        <f t="shared" si="542"/>
        <v>0</v>
      </c>
      <c r="L1435" s="67">
        <f t="shared" si="543"/>
        <v>0</v>
      </c>
      <c r="M1435" s="77">
        <f t="shared" si="544"/>
        <v>0</v>
      </c>
      <c r="N1435" s="76">
        <f t="shared" si="545"/>
        <v>1</v>
      </c>
      <c r="O1435" s="77">
        <f t="shared" si="546"/>
        <v>0.89550875273522967</v>
      </c>
      <c r="P1435" s="76">
        <f t="shared" si="547"/>
        <v>8.333333333333337E-2</v>
      </c>
      <c r="Q1435" s="76">
        <f t="shared" si="548"/>
        <v>0</v>
      </c>
      <c r="R1435" s="76">
        <f t="shared" si="549"/>
        <v>0</v>
      </c>
      <c r="S1435" s="76">
        <f t="shared" si="550"/>
        <v>0.97337907906003218</v>
      </c>
      <c r="T1435" s="76">
        <f t="shared" si="551"/>
        <v>0.97337907906003218</v>
      </c>
      <c r="U1435" s="76">
        <f t="shared" si="552"/>
        <v>1</v>
      </c>
    </row>
    <row r="1436" spans="1:21" x14ac:dyDescent="0.25">
      <c r="A1436" s="71">
        <v>8</v>
      </c>
      <c r="B1436" s="72">
        <f t="shared" si="553"/>
        <v>45870</v>
      </c>
      <c r="C1436" s="73">
        <f t="shared" si="534"/>
        <v>45900</v>
      </c>
      <c r="D1436" s="67">
        <f t="shared" si="535"/>
        <v>31</v>
      </c>
      <c r="E1436" s="67">
        <f t="shared" si="536"/>
        <v>8</v>
      </c>
      <c r="F1436" s="74">
        <f t="shared" si="537"/>
        <v>45885.5</v>
      </c>
      <c r="G1436" s="67">
        <f t="shared" si="538"/>
        <v>24307</v>
      </c>
      <c r="H1436" s="75">
        <f t="shared" si="539"/>
        <v>1</v>
      </c>
      <c r="I1436" s="76">
        <f t="shared" si="540"/>
        <v>1</v>
      </c>
      <c r="J1436" s="76">
        <f t="shared" si="541"/>
        <v>1</v>
      </c>
      <c r="K1436" s="67">
        <f t="shared" si="542"/>
        <v>0</v>
      </c>
      <c r="L1436" s="67">
        <f t="shared" si="543"/>
        <v>0</v>
      </c>
      <c r="M1436" s="77">
        <f t="shared" si="544"/>
        <v>0</v>
      </c>
      <c r="N1436" s="76">
        <f t="shared" si="545"/>
        <v>1</v>
      </c>
      <c r="O1436" s="77">
        <f t="shared" si="546"/>
        <v>0.89652625820568921</v>
      </c>
      <c r="P1436" s="76">
        <f t="shared" si="547"/>
        <v>0.25</v>
      </c>
      <c r="Q1436" s="76">
        <f t="shared" si="548"/>
        <v>0</v>
      </c>
      <c r="R1436" s="76">
        <f t="shared" si="549"/>
        <v>0</v>
      </c>
      <c r="S1436" s="76">
        <f t="shared" si="550"/>
        <v>0.97448506326705342</v>
      </c>
      <c r="T1436" s="76">
        <f t="shared" si="551"/>
        <v>0.97448506326705342</v>
      </c>
      <c r="U1436" s="76">
        <f t="shared" si="552"/>
        <v>1</v>
      </c>
    </row>
    <row r="1437" spans="1:21" x14ac:dyDescent="0.25">
      <c r="A1437" s="71">
        <v>9</v>
      </c>
      <c r="B1437" s="72">
        <f t="shared" si="553"/>
        <v>45901</v>
      </c>
      <c r="C1437" s="73">
        <f t="shared" si="534"/>
        <v>45930</v>
      </c>
      <c r="D1437" s="67">
        <f t="shared" si="535"/>
        <v>30</v>
      </c>
      <c r="E1437" s="67">
        <f t="shared" si="536"/>
        <v>9</v>
      </c>
      <c r="F1437" s="74">
        <f t="shared" si="537"/>
        <v>45916</v>
      </c>
      <c r="G1437" s="67">
        <f t="shared" si="538"/>
        <v>24308</v>
      </c>
      <c r="H1437" s="75">
        <f t="shared" si="539"/>
        <v>1</v>
      </c>
      <c r="I1437" s="76">
        <f t="shared" si="540"/>
        <v>1</v>
      </c>
      <c r="J1437" s="76">
        <f t="shared" si="541"/>
        <v>1</v>
      </c>
      <c r="K1437" s="67">
        <f t="shared" si="542"/>
        <v>0</v>
      </c>
      <c r="L1437" s="67">
        <f t="shared" si="543"/>
        <v>0</v>
      </c>
      <c r="M1437" s="77">
        <f t="shared" si="544"/>
        <v>0</v>
      </c>
      <c r="N1437" s="76">
        <f t="shared" si="545"/>
        <v>1</v>
      </c>
      <c r="O1437" s="77">
        <f t="shared" si="546"/>
        <v>0.89752735229759295</v>
      </c>
      <c r="P1437" s="76">
        <f t="shared" si="547"/>
        <v>0.41666666666666663</v>
      </c>
      <c r="Q1437" s="76">
        <f t="shared" si="548"/>
        <v>0</v>
      </c>
      <c r="R1437" s="76">
        <f t="shared" si="549"/>
        <v>0</v>
      </c>
      <c r="S1437" s="76">
        <f t="shared" si="550"/>
        <v>0.9755732090191227</v>
      </c>
      <c r="T1437" s="76">
        <f t="shared" si="551"/>
        <v>0.9755732090191227</v>
      </c>
      <c r="U1437" s="76">
        <f t="shared" si="552"/>
        <v>1</v>
      </c>
    </row>
    <row r="1438" spans="1:21" x14ac:dyDescent="0.25">
      <c r="A1438" s="71">
        <v>10</v>
      </c>
      <c r="B1438" s="72">
        <f t="shared" si="553"/>
        <v>45931</v>
      </c>
      <c r="C1438" s="73">
        <f t="shared" si="534"/>
        <v>45961</v>
      </c>
      <c r="D1438" s="67">
        <f t="shared" si="535"/>
        <v>31</v>
      </c>
      <c r="E1438" s="67">
        <f t="shared" si="536"/>
        <v>10</v>
      </c>
      <c r="F1438" s="74">
        <f t="shared" si="537"/>
        <v>45946.5</v>
      </c>
      <c r="G1438" s="67">
        <f t="shared" si="538"/>
        <v>24309</v>
      </c>
      <c r="H1438" s="75">
        <f t="shared" si="539"/>
        <v>1</v>
      </c>
      <c r="I1438" s="76">
        <f t="shared" si="540"/>
        <v>1</v>
      </c>
      <c r="J1438" s="76">
        <f t="shared" si="541"/>
        <v>1</v>
      </c>
      <c r="K1438" s="67">
        <f t="shared" si="542"/>
        <v>0</v>
      </c>
      <c r="L1438" s="67">
        <f t="shared" si="543"/>
        <v>0</v>
      </c>
      <c r="M1438" s="77">
        <f t="shared" si="544"/>
        <v>0</v>
      </c>
      <c r="N1438" s="76">
        <f t="shared" si="545"/>
        <v>1</v>
      </c>
      <c r="O1438" s="77">
        <f t="shared" si="546"/>
        <v>0.89852844638949669</v>
      </c>
      <c r="P1438" s="76">
        <f t="shared" si="547"/>
        <v>0.58333333333333326</v>
      </c>
      <c r="Q1438" s="76">
        <f t="shared" si="548"/>
        <v>0</v>
      </c>
      <c r="R1438" s="76">
        <f t="shared" si="549"/>
        <v>0</v>
      </c>
      <c r="S1438" s="76">
        <f t="shared" si="550"/>
        <v>0.97666135477119198</v>
      </c>
      <c r="T1438" s="76">
        <f t="shared" si="551"/>
        <v>0.97666135477119198</v>
      </c>
      <c r="U1438" s="76">
        <f t="shared" si="552"/>
        <v>1</v>
      </c>
    </row>
    <row r="1439" spans="1:21" x14ac:dyDescent="0.25">
      <c r="A1439" s="71">
        <v>11</v>
      </c>
      <c r="B1439" s="72">
        <f t="shared" si="553"/>
        <v>45962</v>
      </c>
      <c r="C1439" s="73">
        <f t="shared" si="534"/>
        <v>45991</v>
      </c>
      <c r="D1439" s="67">
        <f t="shared" si="535"/>
        <v>30</v>
      </c>
      <c r="E1439" s="67">
        <f t="shared" si="536"/>
        <v>11</v>
      </c>
      <c r="F1439" s="74">
        <f t="shared" si="537"/>
        <v>45977</v>
      </c>
      <c r="G1439" s="67">
        <f t="shared" si="538"/>
        <v>24310</v>
      </c>
      <c r="H1439" s="75">
        <f t="shared" si="539"/>
        <v>1</v>
      </c>
      <c r="I1439" s="76">
        <f t="shared" si="540"/>
        <v>1</v>
      </c>
      <c r="J1439" s="76">
        <f t="shared" si="541"/>
        <v>1</v>
      </c>
      <c r="K1439" s="67">
        <f t="shared" si="542"/>
        <v>0</v>
      </c>
      <c r="L1439" s="67">
        <f t="shared" si="543"/>
        <v>0</v>
      </c>
      <c r="M1439" s="77">
        <f t="shared" si="544"/>
        <v>0</v>
      </c>
      <c r="N1439" s="76">
        <f t="shared" si="545"/>
        <v>1</v>
      </c>
      <c r="O1439" s="77">
        <f t="shared" si="546"/>
        <v>0.89952954048140044</v>
      </c>
      <c r="P1439" s="76">
        <f t="shared" si="547"/>
        <v>0.75</v>
      </c>
      <c r="Q1439" s="76">
        <f t="shared" si="548"/>
        <v>0</v>
      </c>
      <c r="R1439" s="76">
        <f t="shared" si="549"/>
        <v>0</v>
      </c>
      <c r="S1439" s="76">
        <f t="shared" si="550"/>
        <v>0.97774950052326126</v>
      </c>
      <c r="T1439" s="76">
        <f t="shared" si="551"/>
        <v>0.97774950052326126</v>
      </c>
      <c r="U1439" s="76">
        <f t="shared" si="552"/>
        <v>1</v>
      </c>
    </row>
    <row r="1440" spans="1:21" x14ac:dyDescent="0.25">
      <c r="A1440" s="71">
        <v>12</v>
      </c>
      <c r="B1440" s="72">
        <f t="shared" si="553"/>
        <v>45992</v>
      </c>
      <c r="C1440" s="73">
        <f t="shared" si="534"/>
        <v>46022</v>
      </c>
      <c r="D1440" s="67">
        <f t="shared" si="535"/>
        <v>31</v>
      </c>
      <c r="E1440" s="67">
        <f t="shared" si="536"/>
        <v>12</v>
      </c>
      <c r="F1440" s="74">
        <f t="shared" si="537"/>
        <v>46007.5</v>
      </c>
      <c r="G1440" s="67">
        <f t="shared" si="538"/>
        <v>24311</v>
      </c>
      <c r="H1440" s="75">
        <f t="shared" si="539"/>
        <v>1</v>
      </c>
      <c r="I1440" s="76">
        <f t="shared" si="540"/>
        <v>1</v>
      </c>
      <c r="J1440" s="76">
        <f t="shared" si="541"/>
        <v>1</v>
      </c>
      <c r="K1440" s="67">
        <f t="shared" si="542"/>
        <v>0</v>
      </c>
      <c r="L1440" s="67">
        <f t="shared" si="543"/>
        <v>0</v>
      </c>
      <c r="M1440" s="77">
        <f t="shared" si="544"/>
        <v>0</v>
      </c>
      <c r="N1440" s="76">
        <f t="shared" si="545"/>
        <v>1</v>
      </c>
      <c r="O1440" s="77">
        <f t="shared" si="546"/>
        <v>0.90053063457330418</v>
      </c>
      <c r="P1440" s="76">
        <f t="shared" si="547"/>
        <v>0.91666666666666663</v>
      </c>
      <c r="Q1440" s="76">
        <f t="shared" si="548"/>
        <v>0</v>
      </c>
      <c r="R1440" s="76">
        <f t="shared" si="549"/>
        <v>0</v>
      </c>
      <c r="S1440" s="76">
        <f t="shared" si="550"/>
        <v>0.97883764627533054</v>
      </c>
      <c r="T1440" s="76">
        <f t="shared" si="551"/>
        <v>0.97883764627533054</v>
      </c>
      <c r="U1440" s="76">
        <f t="shared" si="552"/>
        <v>1</v>
      </c>
    </row>
    <row r="1441" spans="1:21" x14ac:dyDescent="0.25">
      <c r="A1441" s="71">
        <v>13</v>
      </c>
      <c r="B1441" s="72">
        <f t="shared" si="553"/>
        <v>46023</v>
      </c>
      <c r="C1441" s="73">
        <f t="shared" si="534"/>
        <v>46053</v>
      </c>
      <c r="D1441" s="67">
        <f t="shared" si="535"/>
        <v>31</v>
      </c>
      <c r="E1441" s="67">
        <f t="shared" si="536"/>
        <v>1</v>
      </c>
      <c r="F1441" s="74">
        <f t="shared" si="537"/>
        <v>46038.5</v>
      </c>
      <c r="G1441" s="67">
        <f t="shared" si="538"/>
        <v>24312</v>
      </c>
      <c r="H1441" s="75">
        <f t="shared" si="539"/>
        <v>1</v>
      </c>
      <c r="I1441" s="76">
        <f t="shared" si="540"/>
        <v>1</v>
      </c>
      <c r="J1441" s="76">
        <f t="shared" si="541"/>
        <v>1</v>
      </c>
      <c r="K1441" s="67">
        <f t="shared" si="542"/>
        <v>0</v>
      </c>
      <c r="L1441" s="67">
        <f t="shared" si="543"/>
        <v>0</v>
      </c>
      <c r="M1441" s="77">
        <f t="shared" si="544"/>
        <v>0</v>
      </c>
      <c r="N1441" s="76">
        <f t="shared" si="545"/>
        <v>1</v>
      </c>
      <c r="O1441" s="77">
        <f t="shared" si="546"/>
        <v>0.90154814004376371</v>
      </c>
      <c r="P1441" s="76">
        <f t="shared" si="547"/>
        <v>1</v>
      </c>
      <c r="Q1441" s="76">
        <f t="shared" si="548"/>
        <v>0</v>
      </c>
      <c r="R1441" s="76">
        <f t="shared" si="549"/>
        <v>0</v>
      </c>
      <c r="S1441" s="76">
        <f t="shared" si="550"/>
        <v>0.97994363048235178</v>
      </c>
      <c r="T1441" s="76">
        <f t="shared" si="551"/>
        <v>0.97994363048235178</v>
      </c>
      <c r="U1441" s="76">
        <f t="shared" si="552"/>
        <v>1</v>
      </c>
    </row>
    <row r="1442" spans="1:21" x14ac:dyDescent="0.25">
      <c r="A1442" s="71">
        <v>14</v>
      </c>
      <c r="B1442" s="72">
        <f t="shared" si="553"/>
        <v>46054</v>
      </c>
      <c r="C1442" s="73">
        <f t="shared" si="534"/>
        <v>46081</v>
      </c>
      <c r="D1442" s="67">
        <f t="shared" si="535"/>
        <v>28</v>
      </c>
      <c r="E1442" s="67">
        <f t="shared" si="536"/>
        <v>2</v>
      </c>
      <c r="F1442" s="74">
        <f t="shared" si="537"/>
        <v>46068</v>
      </c>
      <c r="G1442" s="67">
        <f t="shared" si="538"/>
        <v>24313</v>
      </c>
      <c r="H1442" s="75">
        <f t="shared" si="539"/>
        <v>1</v>
      </c>
      <c r="I1442" s="76">
        <f t="shared" si="540"/>
        <v>1</v>
      </c>
      <c r="J1442" s="76">
        <f t="shared" si="541"/>
        <v>1.02</v>
      </c>
      <c r="K1442" s="67">
        <f t="shared" si="542"/>
        <v>1</v>
      </c>
      <c r="L1442" s="67">
        <f t="shared" si="543"/>
        <v>28</v>
      </c>
      <c r="M1442" s="77">
        <f t="shared" si="544"/>
        <v>1</v>
      </c>
      <c r="N1442" s="76">
        <f t="shared" si="545"/>
        <v>1.02</v>
      </c>
      <c r="O1442" s="77">
        <f t="shared" si="546"/>
        <v>0.90251641137855576</v>
      </c>
      <c r="P1442" s="76">
        <f t="shared" si="547"/>
        <v>1</v>
      </c>
      <c r="Q1442" s="76">
        <f t="shared" si="548"/>
        <v>0</v>
      </c>
      <c r="R1442" s="76">
        <f t="shared" si="549"/>
        <v>0</v>
      </c>
      <c r="S1442" s="76">
        <f t="shared" si="550"/>
        <v>1.0006160213110074</v>
      </c>
      <c r="T1442" s="76">
        <f t="shared" si="551"/>
        <v>1.0006160213110074</v>
      </c>
      <c r="U1442" s="76">
        <f t="shared" si="552"/>
        <v>1.02</v>
      </c>
    </row>
    <row r="1443" spans="1:21" x14ac:dyDescent="0.25">
      <c r="A1443" s="71">
        <v>15</v>
      </c>
      <c r="B1443" s="72">
        <f t="shared" si="553"/>
        <v>46082</v>
      </c>
      <c r="C1443" s="73">
        <f t="shared" si="534"/>
        <v>46112</v>
      </c>
      <c r="D1443" s="67">
        <f t="shared" si="535"/>
        <v>31</v>
      </c>
      <c r="E1443" s="67">
        <f t="shared" si="536"/>
        <v>3</v>
      </c>
      <c r="F1443" s="74">
        <f t="shared" si="537"/>
        <v>46097.5</v>
      </c>
      <c r="G1443" s="67">
        <f t="shared" si="538"/>
        <v>24314</v>
      </c>
      <c r="H1443" s="75">
        <f t="shared" si="539"/>
        <v>1</v>
      </c>
      <c r="I1443" s="76">
        <f t="shared" si="540"/>
        <v>1.02</v>
      </c>
      <c r="J1443" s="76">
        <f t="shared" si="541"/>
        <v>1.02</v>
      </c>
      <c r="K1443" s="67">
        <f t="shared" si="542"/>
        <v>0</v>
      </c>
      <c r="L1443" s="67">
        <f t="shared" si="543"/>
        <v>0</v>
      </c>
      <c r="M1443" s="77">
        <f t="shared" si="544"/>
        <v>0</v>
      </c>
      <c r="N1443" s="76">
        <f t="shared" si="545"/>
        <v>1.02</v>
      </c>
      <c r="O1443" s="77">
        <f t="shared" si="546"/>
        <v>0.90348468271334792</v>
      </c>
      <c r="P1443" s="76">
        <f t="shared" si="547"/>
        <v>1</v>
      </c>
      <c r="Q1443" s="76">
        <f t="shared" si="548"/>
        <v>0</v>
      </c>
      <c r="R1443" s="76">
        <f t="shared" si="549"/>
        <v>0</v>
      </c>
      <c r="S1443" s="76">
        <f t="shared" si="550"/>
        <v>1.0016895395300163</v>
      </c>
      <c r="T1443" s="76">
        <f t="shared" si="551"/>
        <v>1.0016895395300163</v>
      </c>
      <c r="U1443" s="76">
        <f t="shared" si="552"/>
        <v>1.02</v>
      </c>
    </row>
    <row r="1444" spans="1:21" x14ac:dyDescent="0.25">
      <c r="A1444" s="71">
        <v>16</v>
      </c>
      <c r="B1444" s="72">
        <f t="shared" si="553"/>
        <v>46113</v>
      </c>
      <c r="C1444" s="73">
        <f t="shared" si="534"/>
        <v>46142</v>
      </c>
      <c r="D1444" s="67">
        <f t="shared" si="535"/>
        <v>30</v>
      </c>
      <c r="E1444" s="67">
        <f t="shared" si="536"/>
        <v>4</v>
      </c>
      <c r="F1444" s="74">
        <f t="shared" si="537"/>
        <v>46128</v>
      </c>
      <c r="G1444" s="67">
        <f t="shared" si="538"/>
        <v>24315</v>
      </c>
      <c r="H1444" s="75">
        <f t="shared" si="539"/>
        <v>1</v>
      </c>
      <c r="I1444" s="76">
        <f t="shared" si="540"/>
        <v>1.02</v>
      </c>
      <c r="J1444" s="76">
        <f t="shared" si="541"/>
        <v>1.02</v>
      </c>
      <c r="K1444" s="67">
        <f t="shared" si="542"/>
        <v>0</v>
      </c>
      <c r="L1444" s="67">
        <f t="shared" si="543"/>
        <v>0</v>
      </c>
      <c r="M1444" s="77">
        <f t="shared" si="544"/>
        <v>0</v>
      </c>
      <c r="N1444" s="76">
        <f t="shared" si="545"/>
        <v>1.02</v>
      </c>
      <c r="O1444" s="77">
        <f t="shared" si="546"/>
        <v>0.90448577680525166</v>
      </c>
      <c r="P1444" s="76">
        <f t="shared" si="547"/>
        <v>1</v>
      </c>
      <c r="Q1444" s="76">
        <f t="shared" si="548"/>
        <v>0</v>
      </c>
      <c r="R1444" s="76">
        <f t="shared" si="549"/>
        <v>0</v>
      </c>
      <c r="S1444" s="76">
        <f t="shared" si="550"/>
        <v>1.0027994481971267</v>
      </c>
      <c r="T1444" s="76">
        <f t="shared" si="551"/>
        <v>1.0027994481971267</v>
      </c>
      <c r="U1444" s="76">
        <f t="shared" si="552"/>
        <v>1.02</v>
      </c>
    </row>
    <row r="1445" spans="1:21" x14ac:dyDescent="0.25">
      <c r="A1445" s="71">
        <v>17</v>
      </c>
      <c r="B1445" s="72">
        <f t="shared" si="553"/>
        <v>46143</v>
      </c>
      <c r="C1445" s="73">
        <f t="shared" si="534"/>
        <v>46173</v>
      </c>
      <c r="D1445" s="67">
        <f t="shared" si="535"/>
        <v>31</v>
      </c>
      <c r="E1445" s="67">
        <f t="shared" si="536"/>
        <v>5</v>
      </c>
      <c r="F1445" s="74">
        <f t="shared" si="537"/>
        <v>46158.5</v>
      </c>
      <c r="G1445" s="67">
        <f t="shared" si="538"/>
        <v>24316</v>
      </c>
      <c r="H1445" s="75">
        <f t="shared" si="539"/>
        <v>1</v>
      </c>
      <c r="I1445" s="76">
        <f t="shared" si="540"/>
        <v>1.02</v>
      </c>
      <c r="J1445" s="76">
        <f t="shared" si="541"/>
        <v>1.02</v>
      </c>
      <c r="K1445" s="67">
        <f t="shared" si="542"/>
        <v>0</v>
      </c>
      <c r="L1445" s="67">
        <f t="shared" si="543"/>
        <v>0</v>
      </c>
      <c r="M1445" s="77">
        <f t="shared" si="544"/>
        <v>0</v>
      </c>
      <c r="N1445" s="76">
        <f t="shared" si="545"/>
        <v>1.02</v>
      </c>
      <c r="O1445" s="77">
        <f t="shared" si="546"/>
        <v>0.9054868708971554</v>
      </c>
      <c r="P1445" s="76">
        <f t="shared" si="547"/>
        <v>1</v>
      </c>
      <c r="Q1445" s="76">
        <f t="shared" si="548"/>
        <v>0</v>
      </c>
      <c r="R1445" s="76">
        <f t="shared" si="549"/>
        <v>0</v>
      </c>
      <c r="S1445" s="76">
        <f t="shared" si="550"/>
        <v>1.0039093568642374</v>
      </c>
      <c r="T1445" s="76">
        <f t="shared" si="551"/>
        <v>1.0039093568642374</v>
      </c>
      <c r="U1445" s="76">
        <f t="shared" si="552"/>
        <v>1.02</v>
      </c>
    </row>
    <row r="1446" spans="1:21" x14ac:dyDescent="0.25">
      <c r="A1446" s="71">
        <v>18</v>
      </c>
      <c r="B1446" s="72">
        <f t="shared" si="553"/>
        <v>46174</v>
      </c>
      <c r="C1446" s="73">
        <f t="shared" si="534"/>
        <v>46203</v>
      </c>
      <c r="D1446" s="67">
        <f t="shared" si="535"/>
        <v>30</v>
      </c>
      <c r="E1446" s="67">
        <f t="shared" si="536"/>
        <v>6</v>
      </c>
      <c r="F1446" s="74">
        <f t="shared" si="537"/>
        <v>46189</v>
      </c>
      <c r="G1446" s="67">
        <f t="shared" si="538"/>
        <v>24317</v>
      </c>
      <c r="H1446" s="75">
        <f t="shared" si="539"/>
        <v>1</v>
      </c>
      <c r="I1446" s="76">
        <f t="shared" si="540"/>
        <v>1.02</v>
      </c>
      <c r="J1446" s="76">
        <f t="shared" si="541"/>
        <v>1.02</v>
      </c>
      <c r="K1446" s="67">
        <f t="shared" si="542"/>
        <v>0</v>
      </c>
      <c r="L1446" s="67">
        <f t="shared" si="543"/>
        <v>0</v>
      </c>
      <c r="M1446" s="77">
        <f t="shared" si="544"/>
        <v>0</v>
      </c>
      <c r="N1446" s="76">
        <f t="shared" si="545"/>
        <v>1.02</v>
      </c>
      <c r="O1446" s="77">
        <f t="shared" si="546"/>
        <v>0.90648796498905915</v>
      </c>
      <c r="P1446" s="76">
        <f t="shared" si="547"/>
        <v>1</v>
      </c>
      <c r="Q1446" s="76">
        <f t="shared" si="548"/>
        <v>0</v>
      </c>
      <c r="R1446" s="76">
        <f t="shared" si="549"/>
        <v>0</v>
      </c>
      <c r="S1446" s="76">
        <f t="shared" si="550"/>
        <v>1.0050192655313481</v>
      </c>
      <c r="T1446" s="76">
        <f t="shared" si="551"/>
        <v>1.0050192655313481</v>
      </c>
      <c r="U1446" s="76">
        <f t="shared" si="552"/>
        <v>1.02</v>
      </c>
    </row>
    <row r="1447" spans="1:21" x14ac:dyDescent="0.25">
      <c r="A1447" s="71">
        <v>19</v>
      </c>
      <c r="B1447" s="72">
        <f t="shared" si="553"/>
        <v>46204</v>
      </c>
      <c r="C1447" s="73">
        <f t="shared" si="534"/>
        <v>46234</v>
      </c>
      <c r="D1447" s="67">
        <f t="shared" si="535"/>
        <v>31</v>
      </c>
      <c r="E1447" s="67">
        <f t="shared" si="536"/>
        <v>7</v>
      </c>
      <c r="F1447" s="74">
        <f t="shared" si="537"/>
        <v>46219.5</v>
      </c>
      <c r="G1447" s="67">
        <f t="shared" si="538"/>
        <v>24318</v>
      </c>
      <c r="H1447" s="75">
        <f t="shared" si="539"/>
        <v>1</v>
      </c>
      <c r="I1447" s="76">
        <f t="shared" si="540"/>
        <v>1.02</v>
      </c>
      <c r="J1447" s="76">
        <f t="shared" si="541"/>
        <v>1.02</v>
      </c>
      <c r="K1447" s="67">
        <f t="shared" si="542"/>
        <v>0</v>
      </c>
      <c r="L1447" s="67">
        <f t="shared" si="543"/>
        <v>0</v>
      </c>
      <c r="M1447" s="77">
        <f t="shared" si="544"/>
        <v>0</v>
      </c>
      <c r="N1447" s="76">
        <f t="shared" si="545"/>
        <v>1.02</v>
      </c>
      <c r="O1447" s="77">
        <f t="shared" si="546"/>
        <v>0.90748905908096278</v>
      </c>
      <c r="P1447" s="76">
        <f t="shared" si="547"/>
        <v>0.91666666666666663</v>
      </c>
      <c r="Q1447" s="76">
        <f t="shared" si="548"/>
        <v>8.333333333333337E-2</v>
      </c>
      <c r="R1447" s="76">
        <f t="shared" si="549"/>
        <v>0</v>
      </c>
      <c r="S1447" s="76">
        <f t="shared" si="550"/>
        <v>1.0061291741984588</v>
      </c>
      <c r="T1447" s="76">
        <f t="shared" si="551"/>
        <v>1.0061291741984588</v>
      </c>
      <c r="U1447" s="76">
        <f t="shared" si="552"/>
        <v>1.02</v>
      </c>
    </row>
    <row r="1448" spans="1:21" x14ac:dyDescent="0.25">
      <c r="A1448" s="71">
        <v>20</v>
      </c>
      <c r="B1448" s="72">
        <f t="shared" si="553"/>
        <v>46235</v>
      </c>
      <c r="C1448" s="73">
        <f t="shared" si="534"/>
        <v>46265</v>
      </c>
      <c r="D1448" s="67">
        <f t="shared" si="535"/>
        <v>31</v>
      </c>
      <c r="E1448" s="67">
        <f t="shared" si="536"/>
        <v>8</v>
      </c>
      <c r="F1448" s="74">
        <f t="shared" si="537"/>
        <v>46250.5</v>
      </c>
      <c r="G1448" s="67">
        <f t="shared" si="538"/>
        <v>24319</v>
      </c>
      <c r="H1448" s="75">
        <f t="shared" si="539"/>
        <v>1</v>
      </c>
      <c r="I1448" s="76">
        <f t="shared" si="540"/>
        <v>1.02</v>
      </c>
      <c r="J1448" s="76">
        <f t="shared" si="541"/>
        <v>1.02</v>
      </c>
      <c r="K1448" s="67">
        <f t="shared" si="542"/>
        <v>0</v>
      </c>
      <c r="L1448" s="67">
        <f t="shared" si="543"/>
        <v>0</v>
      </c>
      <c r="M1448" s="77">
        <f t="shared" si="544"/>
        <v>0</v>
      </c>
      <c r="N1448" s="76">
        <f t="shared" si="545"/>
        <v>1.02</v>
      </c>
      <c r="O1448" s="77">
        <f t="shared" si="546"/>
        <v>0.90850656455142231</v>
      </c>
      <c r="P1448" s="76">
        <f t="shared" si="547"/>
        <v>0.75</v>
      </c>
      <c r="Q1448" s="76">
        <f t="shared" si="548"/>
        <v>0.25</v>
      </c>
      <c r="R1448" s="76">
        <f t="shared" si="549"/>
        <v>0</v>
      </c>
      <c r="S1448" s="76">
        <f t="shared" si="550"/>
        <v>1.0072572780896203</v>
      </c>
      <c r="T1448" s="76">
        <f t="shared" si="551"/>
        <v>1.0072572780896203</v>
      </c>
      <c r="U1448" s="76">
        <f t="shared" si="552"/>
        <v>1.02</v>
      </c>
    </row>
    <row r="1449" spans="1:21" x14ac:dyDescent="0.25">
      <c r="A1449" s="71">
        <v>21</v>
      </c>
      <c r="B1449" s="72">
        <f t="shared" si="553"/>
        <v>46266</v>
      </c>
      <c r="C1449" s="73">
        <f t="shared" si="534"/>
        <v>46295</v>
      </c>
      <c r="D1449" s="67">
        <f t="shared" si="535"/>
        <v>30</v>
      </c>
      <c r="E1449" s="67">
        <f t="shared" si="536"/>
        <v>9</v>
      </c>
      <c r="F1449" s="74">
        <f t="shared" si="537"/>
        <v>46281</v>
      </c>
      <c r="G1449" s="67">
        <f t="shared" si="538"/>
        <v>24320</v>
      </c>
      <c r="H1449" s="75">
        <f t="shared" si="539"/>
        <v>1</v>
      </c>
      <c r="I1449" s="76">
        <f t="shared" si="540"/>
        <v>1.02</v>
      </c>
      <c r="J1449" s="76">
        <f t="shared" si="541"/>
        <v>1.02</v>
      </c>
      <c r="K1449" s="67">
        <f t="shared" si="542"/>
        <v>0</v>
      </c>
      <c r="L1449" s="67">
        <f t="shared" si="543"/>
        <v>0</v>
      </c>
      <c r="M1449" s="77">
        <f t="shared" si="544"/>
        <v>0</v>
      </c>
      <c r="N1449" s="76">
        <f t="shared" si="545"/>
        <v>1.02</v>
      </c>
      <c r="O1449" s="77">
        <f t="shared" si="546"/>
        <v>0.90950765864332606</v>
      </c>
      <c r="P1449" s="76">
        <f t="shared" si="547"/>
        <v>0.58333333333333337</v>
      </c>
      <c r="Q1449" s="76">
        <f t="shared" si="548"/>
        <v>0.41666666666666663</v>
      </c>
      <c r="R1449" s="76">
        <f t="shared" si="549"/>
        <v>0</v>
      </c>
      <c r="S1449" s="76">
        <f t="shared" si="550"/>
        <v>1.008367186756731</v>
      </c>
      <c r="T1449" s="76">
        <f t="shared" si="551"/>
        <v>1.008367186756731</v>
      </c>
      <c r="U1449" s="76">
        <f t="shared" si="552"/>
        <v>1.02</v>
      </c>
    </row>
    <row r="1450" spans="1:21" x14ac:dyDescent="0.25">
      <c r="A1450" s="71">
        <v>22</v>
      </c>
      <c r="B1450" s="72">
        <f t="shared" si="553"/>
        <v>46296</v>
      </c>
      <c r="C1450" s="73">
        <f t="shared" si="534"/>
        <v>46326</v>
      </c>
      <c r="D1450" s="67">
        <f t="shared" si="535"/>
        <v>31</v>
      </c>
      <c r="E1450" s="67">
        <f t="shared" si="536"/>
        <v>10</v>
      </c>
      <c r="F1450" s="74">
        <f t="shared" si="537"/>
        <v>46311.5</v>
      </c>
      <c r="G1450" s="67">
        <f t="shared" si="538"/>
        <v>24321</v>
      </c>
      <c r="H1450" s="75">
        <f t="shared" si="539"/>
        <v>1</v>
      </c>
      <c r="I1450" s="76">
        <f t="shared" si="540"/>
        <v>1.02</v>
      </c>
      <c r="J1450" s="76">
        <f t="shared" si="541"/>
        <v>1.02</v>
      </c>
      <c r="K1450" s="67">
        <f t="shared" si="542"/>
        <v>0</v>
      </c>
      <c r="L1450" s="67">
        <f t="shared" si="543"/>
        <v>0</v>
      </c>
      <c r="M1450" s="77">
        <f t="shared" si="544"/>
        <v>0</v>
      </c>
      <c r="N1450" s="76">
        <f t="shared" si="545"/>
        <v>1.02</v>
      </c>
      <c r="O1450" s="77">
        <f t="shared" si="546"/>
        <v>0.9105087527352298</v>
      </c>
      <c r="P1450" s="76">
        <f t="shared" si="547"/>
        <v>0.41666666666666669</v>
      </c>
      <c r="Q1450" s="76">
        <f t="shared" si="548"/>
        <v>0.58333333333333326</v>
      </c>
      <c r="R1450" s="76">
        <f t="shared" si="549"/>
        <v>0</v>
      </c>
      <c r="S1450" s="76">
        <f t="shared" si="550"/>
        <v>1.0094770954238417</v>
      </c>
      <c r="T1450" s="76">
        <f t="shared" si="551"/>
        <v>1.0094770954238417</v>
      </c>
      <c r="U1450" s="76">
        <f t="shared" si="552"/>
        <v>1.02</v>
      </c>
    </row>
    <row r="1451" spans="1:21" x14ac:dyDescent="0.25">
      <c r="A1451" s="71">
        <v>23</v>
      </c>
      <c r="B1451" s="72">
        <f t="shared" si="553"/>
        <v>46327</v>
      </c>
      <c r="C1451" s="73">
        <f t="shared" si="534"/>
        <v>46356</v>
      </c>
      <c r="D1451" s="67">
        <f t="shared" si="535"/>
        <v>30</v>
      </c>
      <c r="E1451" s="67">
        <f t="shared" si="536"/>
        <v>11</v>
      </c>
      <c r="F1451" s="74">
        <f t="shared" si="537"/>
        <v>46342</v>
      </c>
      <c r="G1451" s="67">
        <f t="shared" si="538"/>
        <v>24322</v>
      </c>
      <c r="H1451" s="75">
        <f t="shared" si="539"/>
        <v>1</v>
      </c>
      <c r="I1451" s="76">
        <f t="shared" si="540"/>
        <v>1.02</v>
      </c>
      <c r="J1451" s="76">
        <f t="shared" si="541"/>
        <v>1.02</v>
      </c>
      <c r="K1451" s="67">
        <f t="shared" si="542"/>
        <v>0</v>
      </c>
      <c r="L1451" s="67">
        <f t="shared" si="543"/>
        <v>0</v>
      </c>
      <c r="M1451" s="77">
        <f t="shared" si="544"/>
        <v>0</v>
      </c>
      <c r="N1451" s="76">
        <f t="shared" si="545"/>
        <v>1.02</v>
      </c>
      <c r="O1451" s="77">
        <f t="shared" si="546"/>
        <v>0.91150984682713354</v>
      </c>
      <c r="P1451" s="76">
        <f t="shared" si="547"/>
        <v>0.25</v>
      </c>
      <c r="Q1451" s="76">
        <f t="shared" si="548"/>
        <v>0.75</v>
      </c>
      <c r="R1451" s="76">
        <f t="shared" si="549"/>
        <v>0</v>
      </c>
      <c r="S1451" s="76">
        <f t="shared" si="550"/>
        <v>1.0105870040909524</v>
      </c>
      <c r="T1451" s="76">
        <f t="shared" si="551"/>
        <v>1.0105870040909524</v>
      </c>
      <c r="U1451" s="76">
        <f t="shared" si="552"/>
        <v>1.02</v>
      </c>
    </row>
    <row r="1452" spans="1:21" x14ac:dyDescent="0.25">
      <c r="A1452" s="71">
        <v>24</v>
      </c>
      <c r="B1452" s="72">
        <f t="shared" si="553"/>
        <v>46357</v>
      </c>
      <c r="C1452" s="73">
        <f t="shared" si="534"/>
        <v>46387</v>
      </c>
      <c r="D1452" s="67">
        <f t="shared" si="535"/>
        <v>31</v>
      </c>
      <c r="E1452" s="67">
        <f t="shared" si="536"/>
        <v>12</v>
      </c>
      <c r="F1452" s="74">
        <f t="shared" si="537"/>
        <v>46372.5</v>
      </c>
      <c r="G1452" s="67">
        <f t="shared" si="538"/>
        <v>24323</v>
      </c>
      <c r="H1452" s="75">
        <f t="shared" si="539"/>
        <v>1</v>
      </c>
      <c r="I1452" s="76">
        <f t="shared" si="540"/>
        <v>1.02</v>
      </c>
      <c r="J1452" s="76">
        <f t="shared" si="541"/>
        <v>1.02</v>
      </c>
      <c r="K1452" s="67">
        <f t="shared" si="542"/>
        <v>0</v>
      </c>
      <c r="L1452" s="67">
        <f t="shared" si="543"/>
        <v>0</v>
      </c>
      <c r="M1452" s="77">
        <f t="shared" si="544"/>
        <v>0</v>
      </c>
      <c r="N1452" s="76">
        <f t="shared" si="545"/>
        <v>1.02</v>
      </c>
      <c r="O1452" s="77">
        <f t="shared" si="546"/>
        <v>0.91251094091903728</v>
      </c>
      <c r="P1452" s="76">
        <f t="shared" si="547"/>
        <v>8.3333333333333329E-2</v>
      </c>
      <c r="Q1452" s="76">
        <f t="shared" si="548"/>
        <v>0.91666666666666663</v>
      </c>
      <c r="R1452" s="76">
        <f t="shared" si="549"/>
        <v>0</v>
      </c>
      <c r="S1452" s="76">
        <f t="shared" si="550"/>
        <v>1.0116969127580631</v>
      </c>
      <c r="T1452" s="76">
        <f t="shared" si="551"/>
        <v>1.0116969127580631</v>
      </c>
      <c r="U1452" s="76">
        <f t="shared" si="552"/>
        <v>1.02</v>
      </c>
    </row>
    <row r="1453" spans="1:21" x14ac:dyDescent="0.25">
      <c r="A1453" s="71">
        <v>25</v>
      </c>
      <c r="B1453" s="72">
        <f t="shared" si="553"/>
        <v>46388</v>
      </c>
      <c r="C1453" s="73">
        <f t="shared" si="534"/>
        <v>46418</v>
      </c>
      <c r="D1453" s="67">
        <f t="shared" si="535"/>
        <v>31</v>
      </c>
      <c r="E1453" s="67">
        <f t="shared" si="536"/>
        <v>1</v>
      </c>
      <c r="F1453" s="74">
        <f t="shared" si="537"/>
        <v>46403.5</v>
      </c>
      <c r="G1453" s="67">
        <f t="shared" si="538"/>
        <v>24324</v>
      </c>
      <c r="H1453" s="75">
        <f t="shared" si="539"/>
        <v>1</v>
      </c>
      <c r="I1453" s="76">
        <f t="shared" si="540"/>
        <v>1.02</v>
      </c>
      <c r="J1453" s="76">
        <f t="shared" si="541"/>
        <v>1.02</v>
      </c>
      <c r="K1453" s="67">
        <f t="shared" si="542"/>
        <v>0</v>
      </c>
      <c r="L1453" s="67">
        <f t="shared" si="543"/>
        <v>0</v>
      </c>
      <c r="M1453" s="77">
        <f t="shared" si="544"/>
        <v>0</v>
      </c>
      <c r="N1453" s="76">
        <f t="shared" si="545"/>
        <v>1.02</v>
      </c>
      <c r="O1453" s="77">
        <f t="shared" si="546"/>
        <v>0.91352844638949671</v>
      </c>
      <c r="P1453" s="76">
        <f t="shared" si="547"/>
        <v>0</v>
      </c>
      <c r="Q1453" s="76">
        <f t="shared" si="548"/>
        <v>1</v>
      </c>
      <c r="R1453" s="76">
        <f t="shared" si="549"/>
        <v>0</v>
      </c>
      <c r="S1453" s="76">
        <f t="shared" si="550"/>
        <v>1.0128250166492245</v>
      </c>
      <c r="T1453" s="76">
        <f t="shared" si="551"/>
        <v>0.97994363048235178</v>
      </c>
      <c r="U1453" s="76">
        <f t="shared" si="552"/>
        <v>1.02</v>
      </c>
    </row>
    <row r="1454" spans="1:21" x14ac:dyDescent="0.25">
      <c r="A1454" s="71">
        <v>26</v>
      </c>
      <c r="B1454" s="72">
        <f t="shared" si="553"/>
        <v>46419</v>
      </c>
      <c r="C1454" s="73">
        <f t="shared" si="534"/>
        <v>46446</v>
      </c>
      <c r="D1454" s="67">
        <f t="shared" si="535"/>
        <v>28</v>
      </c>
      <c r="E1454" s="67">
        <f t="shared" si="536"/>
        <v>2</v>
      </c>
      <c r="F1454" s="74">
        <f t="shared" si="537"/>
        <v>46433</v>
      </c>
      <c r="G1454" s="67">
        <f t="shared" si="538"/>
        <v>24325</v>
      </c>
      <c r="H1454" s="75">
        <f t="shared" si="539"/>
        <v>1</v>
      </c>
      <c r="I1454" s="76">
        <f t="shared" si="540"/>
        <v>1.02</v>
      </c>
      <c r="J1454" s="76">
        <f t="shared" si="541"/>
        <v>1.02</v>
      </c>
      <c r="K1454" s="67">
        <f t="shared" si="542"/>
        <v>0</v>
      </c>
      <c r="L1454" s="67">
        <f t="shared" si="543"/>
        <v>0</v>
      </c>
      <c r="M1454" s="77">
        <f t="shared" si="544"/>
        <v>0</v>
      </c>
      <c r="N1454" s="76">
        <f t="shared" si="545"/>
        <v>1.02</v>
      </c>
      <c r="O1454" s="77">
        <f t="shared" si="546"/>
        <v>0.91449671772428887</v>
      </c>
      <c r="P1454" s="76">
        <f t="shared" si="547"/>
        <v>0</v>
      </c>
      <c r="Q1454" s="76">
        <f t="shared" si="548"/>
        <v>1</v>
      </c>
      <c r="R1454" s="76">
        <f t="shared" si="549"/>
        <v>0</v>
      </c>
      <c r="S1454" s="76">
        <f t="shared" si="550"/>
        <v>1.0138985348682332</v>
      </c>
      <c r="T1454" s="76">
        <f t="shared" si="551"/>
        <v>1.0006160213110074</v>
      </c>
      <c r="U1454" s="76">
        <f t="shared" si="552"/>
        <v>1.02</v>
      </c>
    </row>
    <row r="1455" spans="1:21" x14ac:dyDescent="0.25">
      <c r="A1455" s="71">
        <v>27</v>
      </c>
      <c r="B1455" s="72">
        <f t="shared" si="553"/>
        <v>46447</v>
      </c>
      <c r="C1455" s="73">
        <f t="shared" si="534"/>
        <v>46477</v>
      </c>
      <c r="D1455" s="67">
        <f t="shared" si="535"/>
        <v>31</v>
      </c>
      <c r="E1455" s="67">
        <f t="shared" si="536"/>
        <v>3</v>
      </c>
      <c r="F1455" s="74">
        <f t="shared" si="537"/>
        <v>46462.5</v>
      </c>
      <c r="G1455" s="67">
        <f t="shared" si="538"/>
        <v>24326</v>
      </c>
      <c r="H1455" s="75">
        <f t="shared" si="539"/>
        <v>1</v>
      </c>
      <c r="I1455" s="76">
        <f t="shared" si="540"/>
        <v>1.02</v>
      </c>
      <c r="J1455" s="76">
        <f t="shared" si="541"/>
        <v>1.02</v>
      </c>
      <c r="K1455" s="67">
        <f t="shared" si="542"/>
        <v>0</v>
      </c>
      <c r="L1455" s="67">
        <f t="shared" si="543"/>
        <v>0</v>
      </c>
      <c r="M1455" s="77">
        <f t="shared" si="544"/>
        <v>0</v>
      </c>
      <c r="N1455" s="76">
        <f t="shared" si="545"/>
        <v>1.02</v>
      </c>
      <c r="O1455" s="77">
        <f t="shared" si="546"/>
        <v>0.91546498905908102</v>
      </c>
      <c r="P1455" s="76">
        <f t="shared" si="547"/>
        <v>0</v>
      </c>
      <c r="Q1455" s="76">
        <f t="shared" si="548"/>
        <v>1</v>
      </c>
      <c r="R1455" s="76">
        <f t="shared" si="549"/>
        <v>0</v>
      </c>
      <c r="S1455" s="76">
        <f t="shared" si="550"/>
        <v>1.0149720530872419</v>
      </c>
      <c r="T1455" s="76">
        <f t="shared" si="551"/>
        <v>1.0016895395300163</v>
      </c>
      <c r="U1455" s="76">
        <f t="shared" si="552"/>
        <v>1.02</v>
      </c>
    </row>
    <row r="1456" spans="1:21" x14ac:dyDescent="0.25">
      <c r="A1456" s="71">
        <v>28</v>
      </c>
      <c r="B1456" s="72">
        <f t="shared" si="553"/>
        <v>46478</v>
      </c>
      <c r="C1456" s="73">
        <f t="shared" si="534"/>
        <v>46507</v>
      </c>
      <c r="D1456" s="67">
        <f t="shared" si="535"/>
        <v>30</v>
      </c>
      <c r="E1456" s="67">
        <f t="shared" si="536"/>
        <v>4</v>
      </c>
      <c r="F1456" s="74">
        <f t="shared" si="537"/>
        <v>46493</v>
      </c>
      <c r="G1456" s="67">
        <f t="shared" si="538"/>
        <v>24327</v>
      </c>
      <c r="H1456" s="75">
        <f t="shared" si="539"/>
        <v>1</v>
      </c>
      <c r="I1456" s="76">
        <f t="shared" si="540"/>
        <v>1.02</v>
      </c>
      <c r="J1456" s="76">
        <f t="shared" si="541"/>
        <v>1.02</v>
      </c>
      <c r="K1456" s="67">
        <f t="shared" si="542"/>
        <v>0</v>
      </c>
      <c r="L1456" s="67">
        <f t="shared" si="543"/>
        <v>0</v>
      </c>
      <c r="M1456" s="77">
        <f t="shared" si="544"/>
        <v>0</v>
      </c>
      <c r="N1456" s="76">
        <f t="shared" si="545"/>
        <v>1.02</v>
      </c>
      <c r="O1456" s="77">
        <f t="shared" si="546"/>
        <v>0.91646608315098477</v>
      </c>
      <c r="P1456" s="76">
        <f t="shared" si="547"/>
        <v>0</v>
      </c>
      <c r="Q1456" s="76">
        <f t="shared" si="548"/>
        <v>1</v>
      </c>
      <c r="R1456" s="76">
        <f t="shared" si="549"/>
        <v>0</v>
      </c>
      <c r="S1456" s="76">
        <f t="shared" si="550"/>
        <v>1.0160819617543526</v>
      </c>
      <c r="T1456" s="76">
        <f t="shared" si="551"/>
        <v>1.0027994481971267</v>
      </c>
      <c r="U1456" s="76">
        <f t="shared" si="552"/>
        <v>1.02</v>
      </c>
    </row>
    <row r="1457" spans="1:21" x14ac:dyDescent="0.25">
      <c r="A1457" s="71">
        <v>29</v>
      </c>
      <c r="B1457" s="72">
        <f t="shared" si="553"/>
        <v>46508</v>
      </c>
      <c r="C1457" s="73">
        <f t="shared" si="534"/>
        <v>46538</v>
      </c>
      <c r="D1457" s="67">
        <f t="shared" si="535"/>
        <v>31</v>
      </c>
      <c r="E1457" s="67">
        <f t="shared" si="536"/>
        <v>5</v>
      </c>
      <c r="F1457" s="74">
        <f t="shared" si="537"/>
        <v>46523.5</v>
      </c>
      <c r="G1457" s="67">
        <f t="shared" si="538"/>
        <v>24328</v>
      </c>
      <c r="H1457" s="75">
        <f t="shared" si="539"/>
        <v>1</v>
      </c>
      <c r="I1457" s="76">
        <f t="shared" si="540"/>
        <v>1.02</v>
      </c>
      <c r="J1457" s="76">
        <f t="shared" si="541"/>
        <v>1.02</v>
      </c>
      <c r="K1457" s="67">
        <f t="shared" si="542"/>
        <v>0</v>
      </c>
      <c r="L1457" s="67">
        <f t="shared" si="543"/>
        <v>0</v>
      </c>
      <c r="M1457" s="77">
        <f t="shared" si="544"/>
        <v>0</v>
      </c>
      <c r="N1457" s="76">
        <f t="shared" si="545"/>
        <v>1.02</v>
      </c>
      <c r="O1457" s="77">
        <f t="shared" si="546"/>
        <v>0.9174671772428884</v>
      </c>
      <c r="P1457" s="76">
        <f t="shared" si="547"/>
        <v>0</v>
      </c>
      <c r="Q1457" s="76">
        <f t="shared" si="548"/>
        <v>1</v>
      </c>
      <c r="R1457" s="76">
        <f t="shared" si="549"/>
        <v>0</v>
      </c>
      <c r="S1457" s="76">
        <f t="shared" si="550"/>
        <v>1.0171918704214631</v>
      </c>
      <c r="T1457" s="76">
        <f t="shared" si="551"/>
        <v>1.0039093568642374</v>
      </c>
      <c r="U1457" s="76">
        <f t="shared" si="552"/>
        <v>1.02</v>
      </c>
    </row>
    <row r="1458" spans="1:21" x14ac:dyDescent="0.25">
      <c r="A1458" s="71">
        <v>30</v>
      </c>
      <c r="B1458" s="72">
        <f t="shared" si="553"/>
        <v>46539</v>
      </c>
      <c r="C1458" s="73">
        <f t="shared" si="534"/>
        <v>46568</v>
      </c>
      <c r="D1458" s="67">
        <f t="shared" si="535"/>
        <v>30</v>
      </c>
      <c r="E1458" s="67">
        <f t="shared" si="536"/>
        <v>6</v>
      </c>
      <c r="F1458" s="74">
        <f t="shared" si="537"/>
        <v>46554</v>
      </c>
      <c r="G1458" s="67">
        <f t="shared" si="538"/>
        <v>24329</v>
      </c>
      <c r="H1458" s="75">
        <f t="shared" si="539"/>
        <v>1</v>
      </c>
      <c r="I1458" s="76">
        <f t="shared" si="540"/>
        <v>1.02</v>
      </c>
      <c r="J1458" s="76">
        <f t="shared" si="541"/>
        <v>1.0608</v>
      </c>
      <c r="K1458" s="67">
        <f t="shared" si="542"/>
        <v>1</v>
      </c>
      <c r="L1458" s="67">
        <f t="shared" si="543"/>
        <v>30</v>
      </c>
      <c r="M1458" s="77">
        <f t="shared" si="544"/>
        <v>1</v>
      </c>
      <c r="N1458" s="76">
        <f t="shared" si="545"/>
        <v>1.0608</v>
      </c>
      <c r="O1458" s="77">
        <f t="shared" si="546"/>
        <v>0.91846827133479214</v>
      </c>
      <c r="P1458" s="76">
        <f t="shared" si="547"/>
        <v>0</v>
      </c>
      <c r="Q1458" s="76">
        <f t="shared" si="548"/>
        <v>1</v>
      </c>
      <c r="R1458" s="76">
        <f t="shared" si="549"/>
        <v>0</v>
      </c>
      <c r="S1458" s="76">
        <f t="shared" si="550"/>
        <v>1.0590338502521168</v>
      </c>
      <c r="T1458" s="76">
        <f t="shared" si="551"/>
        <v>1.0050192655313481</v>
      </c>
      <c r="U1458" s="76">
        <f t="shared" si="552"/>
        <v>1.0608</v>
      </c>
    </row>
    <row r="1459" spans="1:21" x14ac:dyDescent="0.25">
      <c r="A1459" s="71">
        <v>31</v>
      </c>
      <c r="B1459" s="72">
        <f t="shared" si="553"/>
        <v>46569</v>
      </c>
      <c r="C1459" s="73">
        <f t="shared" si="534"/>
        <v>46599</v>
      </c>
      <c r="D1459" s="67">
        <f t="shared" si="535"/>
        <v>31</v>
      </c>
      <c r="E1459" s="67">
        <f t="shared" si="536"/>
        <v>7</v>
      </c>
      <c r="F1459" s="74">
        <f t="shared" si="537"/>
        <v>46584.5</v>
      </c>
      <c r="G1459" s="67">
        <f t="shared" si="538"/>
        <v>24330</v>
      </c>
      <c r="H1459" s="75">
        <f t="shared" si="539"/>
        <v>1</v>
      </c>
      <c r="I1459" s="76">
        <f t="shared" si="540"/>
        <v>1.0608</v>
      </c>
      <c r="J1459" s="76">
        <f t="shared" si="541"/>
        <v>1.0608</v>
      </c>
      <c r="K1459" s="67">
        <f t="shared" si="542"/>
        <v>0</v>
      </c>
      <c r="L1459" s="67">
        <f t="shared" si="543"/>
        <v>0</v>
      </c>
      <c r="M1459" s="77">
        <f t="shared" si="544"/>
        <v>0</v>
      </c>
      <c r="N1459" s="76">
        <f t="shared" si="545"/>
        <v>1.0608</v>
      </c>
      <c r="O1459" s="77">
        <f t="shared" si="546"/>
        <v>0.91946936542669588</v>
      </c>
      <c r="P1459" s="76">
        <f t="shared" si="547"/>
        <v>0</v>
      </c>
      <c r="Q1459" s="76">
        <f t="shared" si="548"/>
        <v>0.91666666666666663</v>
      </c>
      <c r="R1459" s="76">
        <f t="shared" si="549"/>
        <v>8.333333333333337E-2</v>
      </c>
      <c r="S1459" s="76">
        <f t="shared" si="550"/>
        <v>1.0601881552659118</v>
      </c>
      <c r="T1459" s="76">
        <f t="shared" si="551"/>
        <v>1.0061291741984588</v>
      </c>
      <c r="U1459" s="76">
        <f t="shared" si="552"/>
        <v>1.0608</v>
      </c>
    </row>
    <row r="1460" spans="1:21" x14ac:dyDescent="0.25">
      <c r="A1460" s="71">
        <v>32</v>
      </c>
      <c r="B1460" s="72">
        <f t="shared" si="553"/>
        <v>46600</v>
      </c>
      <c r="C1460" s="73">
        <f t="shared" si="534"/>
        <v>46630</v>
      </c>
      <c r="D1460" s="67">
        <f t="shared" si="535"/>
        <v>31</v>
      </c>
      <c r="E1460" s="67">
        <f t="shared" si="536"/>
        <v>8</v>
      </c>
      <c r="F1460" s="74">
        <f t="shared" si="537"/>
        <v>46615.5</v>
      </c>
      <c r="G1460" s="67">
        <f t="shared" si="538"/>
        <v>24331</v>
      </c>
      <c r="H1460" s="75">
        <f t="shared" si="539"/>
        <v>1</v>
      </c>
      <c r="I1460" s="76">
        <f t="shared" si="540"/>
        <v>1.0608</v>
      </c>
      <c r="J1460" s="76">
        <f t="shared" si="541"/>
        <v>1.0608</v>
      </c>
      <c r="K1460" s="67">
        <f t="shared" si="542"/>
        <v>0</v>
      </c>
      <c r="L1460" s="67">
        <f t="shared" si="543"/>
        <v>0</v>
      </c>
      <c r="M1460" s="77">
        <f t="shared" si="544"/>
        <v>0</v>
      </c>
      <c r="N1460" s="76">
        <f t="shared" si="545"/>
        <v>1.0608</v>
      </c>
      <c r="O1460" s="77">
        <f t="shared" si="546"/>
        <v>0.92048687089715542</v>
      </c>
      <c r="P1460" s="76">
        <f t="shared" si="547"/>
        <v>0</v>
      </c>
      <c r="Q1460" s="76">
        <f t="shared" si="548"/>
        <v>0.75</v>
      </c>
      <c r="R1460" s="76">
        <f t="shared" si="549"/>
        <v>0.25</v>
      </c>
      <c r="S1460" s="76">
        <f t="shared" si="550"/>
        <v>1.06136138331272</v>
      </c>
      <c r="T1460" s="76">
        <f t="shared" si="551"/>
        <v>1.0072572780896203</v>
      </c>
      <c r="U1460" s="76">
        <f t="shared" si="552"/>
        <v>1.0608</v>
      </c>
    </row>
    <row r="1461" spans="1:21" x14ac:dyDescent="0.25">
      <c r="A1461" s="71">
        <v>33</v>
      </c>
      <c r="B1461" s="72">
        <f t="shared" si="553"/>
        <v>46631</v>
      </c>
      <c r="C1461" s="73">
        <f t="shared" si="534"/>
        <v>46660</v>
      </c>
      <c r="D1461" s="67">
        <f t="shared" si="535"/>
        <v>30</v>
      </c>
      <c r="E1461" s="67">
        <f t="shared" si="536"/>
        <v>9</v>
      </c>
      <c r="F1461" s="74">
        <f t="shared" si="537"/>
        <v>46646</v>
      </c>
      <c r="G1461" s="67">
        <f t="shared" si="538"/>
        <v>24332</v>
      </c>
      <c r="H1461" s="75">
        <f t="shared" si="539"/>
        <v>1</v>
      </c>
      <c r="I1461" s="76">
        <f t="shared" si="540"/>
        <v>1.0608</v>
      </c>
      <c r="J1461" s="76">
        <f t="shared" si="541"/>
        <v>1.0608</v>
      </c>
      <c r="K1461" s="67">
        <f t="shared" si="542"/>
        <v>0</v>
      </c>
      <c r="L1461" s="67">
        <f t="shared" si="543"/>
        <v>0</v>
      </c>
      <c r="M1461" s="77">
        <f t="shared" si="544"/>
        <v>0</v>
      </c>
      <c r="N1461" s="76">
        <f t="shared" si="545"/>
        <v>1.0608</v>
      </c>
      <c r="O1461" s="77">
        <f t="shared" si="546"/>
        <v>0.92148796498905916</v>
      </c>
      <c r="P1461" s="76">
        <f t="shared" si="547"/>
        <v>0</v>
      </c>
      <c r="Q1461" s="76">
        <f t="shared" si="548"/>
        <v>0.58333333333333337</v>
      </c>
      <c r="R1461" s="76">
        <f t="shared" si="549"/>
        <v>0.41666666666666663</v>
      </c>
      <c r="S1461" s="76">
        <f t="shared" si="550"/>
        <v>1.0625156883265152</v>
      </c>
      <c r="T1461" s="76">
        <f t="shared" si="551"/>
        <v>1.008367186756731</v>
      </c>
      <c r="U1461" s="76">
        <f t="shared" si="552"/>
        <v>1.0608</v>
      </c>
    </row>
    <row r="1462" spans="1:21" x14ac:dyDescent="0.25">
      <c r="A1462" s="71">
        <v>34</v>
      </c>
      <c r="B1462" s="72">
        <f t="shared" si="553"/>
        <v>46661</v>
      </c>
      <c r="C1462" s="73">
        <f t="shared" si="534"/>
        <v>46691</v>
      </c>
      <c r="D1462" s="67">
        <f t="shared" si="535"/>
        <v>31</v>
      </c>
      <c r="E1462" s="67">
        <f t="shared" si="536"/>
        <v>10</v>
      </c>
      <c r="F1462" s="74">
        <f t="shared" si="537"/>
        <v>46676.5</v>
      </c>
      <c r="G1462" s="67">
        <f t="shared" si="538"/>
        <v>24333</v>
      </c>
      <c r="H1462" s="75">
        <f t="shared" si="539"/>
        <v>1</v>
      </c>
      <c r="I1462" s="76">
        <f t="shared" si="540"/>
        <v>1.0608</v>
      </c>
      <c r="J1462" s="76">
        <f t="shared" si="541"/>
        <v>1.0608</v>
      </c>
      <c r="K1462" s="67">
        <f t="shared" si="542"/>
        <v>0</v>
      </c>
      <c r="L1462" s="67">
        <f t="shared" si="543"/>
        <v>0</v>
      </c>
      <c r="M1462" s="77">
        <f t="shared" si="544"/>
        <v>0</v>
      </c>
      <c r="N1462" s="76">
        <f t="shared" si="545"/>
        <v>1.0608</v>
      </c>
      <c r="O1462" s="77">
        <f t="shared" si="546"/>
        <v>0.92248905908096279</v>
      </c>
      <c r="P1462" s="76">
        <f t="shared" si="547"/>
        <v>0</v>
      </c>
      <c r="Q1462" s="76">
        <f t="shared" si="548"/>
        <v>0.41666666666666669</v>
      </c>
      <c r="R1462" s="76">
        <f t="shared" si="549"/>
        <v>0.58333333333333326</v>
      </c>
      <c r="S1462" s="76">
        <f t="shared" si="550"/>
        <v>1.06366999334031</v>
      </c>
      <c r="T1462" s="76">
        <f t="shared" si="551"/>
        <v>1.0094770954238417</v>
      </c>
      <c r="U1462" s="76">
        <f t="shared" si="552"/>
        <v>1.0608</v>
      </c>
    </row>
    <row r="1463" spans="1:21" x14ac:dyDescent="0.25">
      <c r="A1463" s="71">
        <v>35</v>
      </c>
      <c r="B1463" s="72">
        <f t="shared" si="553"/>
        <v>46692</v>
      </c>
      <c r="C1463" s="73">
        <f t="shared" si="534"/>
        <v>46721</v>
      </c>
      <c r="D1463" s="67">
        <f t="shared" si="535"/>
        <v>30</v>
      </c>
      <c r="E1463" s="67">
        <f t="shared" si="536"/>
        <v>11</v>
      </c>
      <c r="F1463" s="74">
        <f t="shared" si="537"/>
        <v>46707</v>
      </c>
      <c r="G1463" s="67">
        <f t="shared" si="538"/>
        <v>24334</v>
      </c>
      <c r="H1463" s="75">
        <f t="shared" si="539"/>
        <v>1</v>
      </c>
      <c r="I1463" s="76">
        <f t="shared" si="540"/>
        <v>1.0608</v>
      </c>
      <c r="J1463" s="76">
        <f t="shared" si="541"/>
        <v>1.0608</v>
      </c>
      <c r="K1463" s="67">
        <f t="shared" si="542"/>
        <v>0</v>
      </c>
      <c r="L1463" s="67">
        <f t="shared" si="543"/>
        <v>0</v>
      </c>
      <c r="M1463" s="77">
        <f t="shared" si="544"/>
        <v>0</v>
      </c>
      <c r="N1463" s="76">
        <f t="shared" si="545"/>
        <v>1.0608</v>
      </c>
      <c r="O1463" s="77">
        <f t="shared" si="546"/>
        <v>0.92349015317286653</v>
      </c>
      <c r="P1463" s="76">
        <f t="shared" si="547"/>
        <v>0</v>
      </c>
      <c r="Q1463" s="76">
        <f t="shared" si="548"/>
        <v>0.25</v>
      </c>
      <c r="R1463" s="76">
        <f t="shared" si="549"/>
        <v>0.75</v>
      </c>
      <c r="S1463" s="76">
        <f t="shared" si="550"/>
        <v>1.0648242983541052</v>
      </c>
      <c r="T1463" s="76">
        <f t="shared" si="551"/>
        <v>1.0105870040909524</v>
      </c>
      <c r="U1463" s="76">
        <f t="shared" si="552"/>
        <v>1.0608</v>
      </c>
    </row>
    <row r="1464" spans="1:21" x14ac:dyDescent="0.25">
      <c r="A1464" s="71">
        <v>36</v>
      </c>
      <c r="B1464" s="72">
        <f t="shared" si="553"/>
        <v>46722</v>
      </c>
      <c r="C1464" s="73">
        <f t="shared" si="534"/>
        <v>46752</v>
      </c>
      <c r="D1464" s="67">
        <f t="shared" si="535"/>
        <v>31</v>
      </c>
      <c r="E1464" s="67">
        <f t="shared" si="536"/>
        <v>12</v>
      </c>
      <c r="F1464" s="74">
        <f t="shared" si="537"/>
        <v>46737.5</v>
      </c>
      <c r="G1464" s="67">
        <f t="shared" si="538"/>
        <v>24335</v>
      </c>
      <c r="H1464" s="75">
        <f t="shared" si="539"/>
        <v>1</v>
      </c>
      <c r="I1464" s="76">
        <f t="shared" si="540"/>
        <v>1.0608</v>
      </c>
      <c r="J1464" s="76">
        <f t="shared" si="541"/>
        <v>1.0608</v>
      </c>
      <c r="K1464" s="67">
        <f t="shared" si="542"/>
        <v>0</v>
      </c>
      <c r="L1464" s="67">
        <f t="shared" si="543"/>
        <v>0</v>
      </c>
      <c r="M1464" s="77">
        <f t="shared" si="544"/>
        <v>0</v>
      </c>
      <c r="N1464" s="76">
        <f t="shared" si="545"/>
        <v>1.0608</v>
      </c>
      <c r="O1464" s="77">
        <f t="shared" si="546"/>
        <v>0.92449124726477028</v>
      </c>
      <c r="P1464" s="76">
        <f t="shared" si="547"/>
        <v>0</v>
      </c>
      <c r="Q1464" s="76">
        <f t="shared" si="548"/>
        <v>8.3333333333333329E-2</v>
      </c>
      <c r="R1464" s="76">
        <f t="shared" si="549"/>
        <v>0.91666666666666663</v>
      </c>
      <c r="S1464" s="76">
        <f t="shared" si="550"/>
        <v>1.0659786033679002</v>
      </c>
      <c r="T1464" s="76">
        <f t="shared" si="551"/>
        <v>1.0116969127580631</v>
      </c>
      <c r="U1464" s="76">
        <f t="shared" si="552"/>
        <v>1.0608</v>
      </c>
    </row>
    <row r="1465" spans="1:21" x14ac:dyDescent="0.25">
      <c r="A1465" s="71">
        <v>37</v>
      </c>
      <c r="B1465" s="72">
        <f t="shared" si="553"/>
        <v>46753</v>
      </c>
      <c r="C1465" s="73">
        <f t="shared" si="534"/>
        <v>46783</v>
      </c>
      <c r="D1465" s="67">
        <f t="shared" si="535"/>
        <v>31</v>
      </c>
      <c r="E1465" s="67">
        <f t="shared" si="536"/>
        <v>1</v>
      </c>
      <c r="F1465" s="74">
        <f t="shared" si="537"/>
        <v>46768.5</v>
      </c>
      <c r="G1465" s="67">
        <f t="shared" si="538"/>
        <v>24336</v>
      </c>
      <c r="H1465" s="75">
        <f t="shared" si="539"/>
        <v>1</v>
      </c>
      <c r="I1465" s="76">
        <f t="shared" si="540"/>
        <v>1.0608</v>
      </c>
      <c r="J1465" s="76">
        <f t="shared" si="541"/>
        <v>1.0608</v>
      </c>
      <c r="K1465" s="67">
        <f t="shared" si="542"/>
        <v>0</v>
      </c>
      <c r="L1465" s="67">
        <f t="shared" si="543"/>
        <v>0</v>
      </c>
      <c r="M1465" s="77">
        <f t="shared" si="544"/>
        <v>0</v>
      </c>
      <c r="N1465" s="76">
        <f t="shared" si="545"/>
        <v>1.0608</v>
      </c>
      <c r="O1465" s="77">
        <f t="shared" si="546"/>
        <v>0.92500000000000004</v>
      </c>
      <c r="P1465" s="76">
        <f t="shared" si="547"/>
        <v>0</v>
      </c>
      <c r="Q1465" s="76">
        <f t="shared" si="548"/>
        <v>0</v>
      </c>
      <c r="R1465" s="76">
        <f t="shared" si="549"/>
        <v>1</v>
      </c>
      <c r="S1465" s="76">
        <f t="shared" si="550"/>
        <v>1.0665652173913043</v>
      </c>
      <c r="T1465" s="76">
        <f t="shared" si="551"/>
        <v>0.97994363048235178</v>
      </c>
      <c r="U1465" s="76">
        <f t="shared" si="552"/>
        <v>1.0608</v>
      </c>
    </row>
    <row r="1466" spans="1:21" x14ac:dyDescent="0.25">
      <c r="A1466" s="71">
        <v>38</v>
      </c>
      <c r="B1466" s="72">
        <f t="shared" si="553"/>
        <v>46784</v>
      </c>
      <c r="C1466" s="73">
        <f t="shared" si="534"/>
        <v>46812</v>
      </c>
      <c r="D1466" s="67">
        <f t="shared" si="535"/>
        <v>29</v>
      </c>
      <c r="E1466" s="67">
        <f t="shared" si="536"/>
        <v>2</v>
      </c>
      <c r="F1466" s="74">
        <f t="shared" si="537"/>
        <v>46798.5</v>
      </c>
      <c r="G1466" s="67">
        <f t="shared" si="538"/>
        <v>24337</v>
      </c>
      <c r="H1466" s="75">
        <f t="shared" si="539"/>
        <v>1</v>
      </c>
      <c r="I1466" s="76">
        <f t="shared" si="540"/>
        <v>1.0608</v>
      </c>
      <c r="J1466" s="76">
        <f t="shared" si="541"/>
        <v>1.0608</v>
      </c>
      <c r="K1466" s="67">
        <f t="shared" si="542"/>
        <v>0</v>
      </c>
      <c r="L1466" s="67">
        <f t="shared" si="543"/>
        <v>0</v>
      </c>
      <c r="M1466" s="77">
        <f t="shared" si="544"/>
        <v>0</v>
      </c>
      <c r="N1466" s="76">
        <f t="shared" si="545"/>
        <v>1.0608</v>
      </c>
      <c r="O1466" s="77">
        <f t="shared" si="546"/>
        <v>0.92500000000000004</v>
      </c>
      <c r="P1466" s="76">
        <f t="shared" si="547"/>
        <v>0</v>
      </c>
      <c r="Q1466" s="76">
        <f t="shared" si="548"/>
        <v>0</v>
      </c>
      <c r="R1466" s="76">
        <f t="shared" si="549"/>
        <v>1</v>
      </c>
      <c r="S1466" s="76">
        <f t="shared" si="550"/>
        <v>1.0665652173913043</v>
      </c>
      <c r="T1466" s="76">
        <f t="shared" si="551"/>
        <v>1.0006160213110074</v>
      </c>
      <c r="U1466" s="76">
        <f t="shared" si="552"/>
        <v>1.0608</v>
      </c>
    </row>
    <row r="1467" spans="1:21" x14ac:dyDescent="0.25">
      <c r="A1467" s="71">
        <v>39</v>
      </c>
      <c r="B1467" s="72">
        <f t="shared" si="553"/>
        <v>46813</v>
      </c>
      <c r="C1467" s="73">
        <f t="shared" si="534"/>
        <v>46843</v>
      </c>
      <c r="D1467" s="67">
        <f t="shared" si="535"/>
        <v>31</v>
      </c>
      <c r="E1467" s="67">
        <f t="shared" si="536"/>
        <v>3</v>
      </c>
      <c r="F1467" s="74">
        <f t="shared" si="537"/>
        <v>46828.5</v>
      </c>
      <c r="G1467" s="67">
        <f t="shared" si="538"/>
        <v>24338</v>
      </c>
      <c r="H1467" s="75">
        <f t="shared" si="539"/>
        <v>1</v>
      </c>
      <c r="I1467" s="76">
        <f t="shared" si="540"/>
        <v>1.0608</v>
      </c>
      <c r="J1467" s="76">
        <f t="shared" si="541"/>
        <v>1.0608</v>
      </c>
      <c r="K1467" s="67">
        <f t="shared" si="542"/>
        <v>0</v>
      </c>
      <c r="L1467" s="67">
        <f t="shared" si="543"/>
        <v>0</v>
      </c>
      <c r="M1467" s="77">
        <f t="shared" si="544"/>
        <v>0</v>
      </c>
      <c r="N1467" s="76">
        <f t="shared" si="545"/>
        <v>1.0608</v>
      </c>
      <c r="O1467" s="77">
        <f t="shared" si="546"/>
        <v>0.92500000000000004</v>
      </c>
      <c r="P1467" s="76">
        <f t="shared" si="547"/>
        <v>0</v>
      </c>
      <c r="Q1467" s="76">
        <f t="shared" si="548"/>
        <v>0</v>
      </c>
      <c r="R1467" s="76">
        <f t="shared" si="549"/>
        <v>1</v>
      </c>
      <c r="S1467" s="76">
        <f t="shared" si="550"/>
        <v>1.0665652173913043</v>
      </c>
      <c r="T1467" s="76">
        <f t="shared" si="551"/>
        <v>1.0016895395300163</v>
      </c>
      <c r="U1467" s="76">
        <f t="shared" si="552"/>
        <v>1.0608</v>
      </c>
    </row>
    <row r="1468" spans="1:21" x14ac:dyDescent="0.25">
      <c r="A1468" s="71">
        <v>40</v>
      </c>
      <c r="B1468" s="72">
        <f t="shared" si="553"/>
        <v>46844</v>
      </c>
      <c r="C1468" s="73">
        <f t="shared" si="534"/>
        <v>46873</v>
      </c>
      <c r="D1468" s="67">
        <f t="shared" si="535"/>
        <v>30</v>
      </c>
      <c r="E1468" s="67">
        <f t="shared" si="536"/>
        <v>4</v>
      </c>
      <c r="F1468" s="74">
        <f t="shared" si="537"/>
        <v>46859</v>
      </c>
      <c r="G1468" s="67">
        <f t="shared" si="538"/>
        <v>24339</v>
      </c>
      <c r="H1468" s="75">
        <f t="shared" si="539"/>
        <v>1</v>
      </c>
      <c r="I1468" s="76">
        <f t="shared" si="540"/>
        <v>1.0608</v>
      </c>
      <c r="J1468" s="76">
        <f t="shared" si="541"/>
        <v>1.0608</v>
      </c>
      <c r="K1468" s="67">
        <f t="shared" si="542"/>
        <v>0</v>
      </c>
      <c r="L1468" s="67">
        <f t="shared" si="543"/>
        <v>0</v>
      </c>
      <c r="M1468" s="77">
        <f t="shared" si="544"/>
        <v>0</v>
      </c>
      <c r="N1468" s="76">
        <f t="shared" si="545"/>
        <v>1.0608</v>
      </c>
      <c r="O1468" s="77">
        <f t="shared" si="546"/>
        <v>0.92500000000000004</v>
      </c>
      <c r="P1468" s="76">
        <f t="shared" si="547"/>
        <v>0</v>
      </c>
      <c r="Q1468" s="76">
        <f t="shared" si="548"/>
        <v>0</v>
      </c>
      <c r="R1468" s="76">
        <f t="shared" si="549"/>
        <v>1</v>
      </c>
      <c r="S1468" s="76">
        <f t="shared" si="550"/>
        <v>1.0665652173913043</v>
      </c>
      <c r="T1468" s="76">
        <f t="shared" si="551"/>
        <v>1.0027994481971267</v>
      </c>
      <c r="U1468" s="76">
        <f t="shared" si="552"/>
        <v>1.0608</v>
      </c>
    </row>
    <row r="1469" spans="1:21" x14ac:dyDescent="0.25">
      <c r="A1469" s="71">
        <v>41</v>
      </c>
      <c r="B1469" s="72">
        <f t="shared" si="553"/>
        <v>46874</v>
      </c>
      <c r="C1469" s="73">
        <f t="shared" si="534"/>
        <v>46904</v>
      </c>
      <c r="D1469" s="67">
        <f t="shared" si="535"/>
        <v>31</v>
      </c>
      <c r="E1469" s="67">
        <f t="shared" si="536"/>
        <v>5</v>
      </c>
      <c r="F1469" s="74">
        <f t="shared" si="537"/>
        <v>46889.5</v>
      </c>
      <c r="G1469" s="67">
        <f t="shared" si="538"/>
        <v>24340</v>
      </c>
      <c r="H1469" s="75">
        <f t="shared" si="539"/>
        <v>1</v>
      </c>
      <c r="I1469" s="76">
        <f t="shared" si="540"/>
        <v>1.0608</v>
      </c>
      <c r="J1469" s="76">
        <f t="shared" si="541"/>
        <v>1.0608</v>
      </c>
      <c r="K1469" s="67">
        <f t="shared" si="542"/>
        <v>0</v>
      </c>
      <c r="L1469" s="67">
        <f t="shared" si="543"/>
        <v>0</v>
      </c>
      <c r="M1469" s="77">
        <f t="shared" si="544"/>
        <v>0</v>
      </c>
      <c r="N1469" s="76">
        <f t="shared" si="545"/>
        <v>1.0608</v>
      </c>
      <c r="O1469" s="77">
        <f t="shared" si="546"/>
        <v>0.92500000000000004</v>
      </c>
      <c r="P1469" s="76">
        <f t="shared" si="547"/>
        <v>0</v>
      </c>
      <c r="Q1469" s="76">
        <f t="shared" si="548"/>
        <v>0</v>
      </c>
      <c r="R1469" s="76">
        <f t="shared" si="549"/>
        <v>1</v>
      </c>
      <c r="S1469" s="76">
        <f t="shared" si="550"/>
        <v>1.0665652173913043</v>
      </c>
      <c r="T1469" s="76">
        <f t="shared" si="551"/>
        <v>1.0039093568642374</v>
      </c>
      <c r="U1469" s="76">
        <f t="shared" si="552"/>
        <v>1.0608</v>
      </c>
    </row>
    <row r="1470" spans="1:21" x14ac:dyDescent="0.25">
      <c r="A1470" s="71">
        <v>42</v>
      </c>
      <c r="B1470" s="72">
        <f t="shared" si="553"/>
        <v>46905</v>
      </c>
      <c r="C1470" s="73">
        <f t="shared" si="534"/>
        <v>46934</v>
      </c>
      <c r="D1470" s="67">
        <f t="shared" si="535"/>
        <v>30</v>
      </c>
      <c r="E1470" s="67">
        <f t="shared" si="536"/>
        <v>6</v>
      </c>
      <c r="F1470" s="74">
        <f t="shared" si="537"/>
        <v>46920</v>
      </c>
      <c r="G1470" s="67">
        <f t="shared" si="538"/>
        <v>24341</v>
      </c>
      <c r="H1470" s="75">
        <f t="shared" si="539"/>
        <v>1</v>
      </c>
      <c r="I1470" s="76">
        <f t="shared" si="540"/>
        <v>1.0608</v>
      </c>
      <c r="J1470" s="76">
        <f t="shared" si="541"/>
        <v>1.0608</v>
      </c>
      <c r="K1470" s="67">
        <f t="shared" si="542"/>
        <v>0</v>
      </c>
      <c r="L1470" s="67">
        <f t="shared" si="543"/>
        <v>0</v>
      </c>
      <c r="M1470" s="77">
        <f t="shared" si="544"/>
        <v>0</v>
      </c>
      <c r="N1470" s="76">
        <f t="shared" si="545"/>
        <v>1.0608</v>
      </c>
      <c r="O1470" s="77">
        <f t="shared" si="546"/>
        <v>0.92500000000000004</v>
      </c>
      <c r="P1470" s="76">
        <f t="shared" si="547"/>
        <v>0</v>
      </c>
      <c r="Q1470" s="76">
        <f t="shared" si="548"/>
        <v>0</v>
      </c>
      <c r="R1470" s="76">
        <f t="shared" si="549"/>
        <v>1</v>
      </c>
      <c r="S1470" s="76">
        <f t="shared" si="550"/>
        <v>1.0665652173913043</v>
      </c>
      <c r="T1470" s="76">
        <f t="shared" si="551"/>
        <v>1.0050192655313481</v>
      </c>
      <c r="U1470" s="76">
        <f t="shared" si="552"/>
        <v>1.0608</v>
      </c>
    </row>
    <row r="1471" spans="1:21" x14ac:dyDescent="0.25">
      <c r="A1471" s="71">
        <v>43</v>
      </c>
      <c r="B1471" s="72">
        <f t="shared" si="553"/>
        <v>46935</v>
      </c>
      <c r="C1471" s="73">
        <f t="shared" si="534"/>
        <v>46965</v>
      </c>
      <c r="D1471" s="67">
        <f t="shared" si="535"/>
        <v>31</v>
      </c>
      <c r="E1471" s="67">
        <f t="shared" si="536"/>
        <v>7</v>
      </c>
      <c r="F1471" s="74">
        <f t="shared" si="537"/>
        <v>46950.5</v>
      </c>
      <c r="G1471" s="67">
        <f t="shared" si="538"/>
        <v>24342</v>
      </c>
      <c r="H1471" s="75">
        <f t="shared" si="539"/>
        <v>1</v>
      </c>
      <c r="I1471" s="76">
        <f t="shared" si="540"/>
        <v>1.0608</v>
      </c>
      <c r="J1471" s="76">
        <f t="shared" si="541"/>
        <v>1.0608</v>
      </c>
      <c r="K1471" s="67">
        <f t="shared" si="542"/>
        <v>0</v>
      </c>
      <c r="L1471" s="67">
        <f t="shared" si="543"/>
        <v>0</v>
      </c>
      <c r="M1471" s="77">
        <f t="shared" si="544"/>
        <v>0</v>
      </c>
      <c r="N1471" s="76">
        <f t="shared" si="545"/>
        <v>1.0608</v>
      </c>
      <c r="O1471" s="77">
        <f t="shared" si="546"/>
        <v>0.92500000000000004</v>
      </c>
      <c r="P1471" s="76">
        <f t="shared" si="547"/>
        <v>0</v>
      </c>
      <c r="Q1471" s="76">
        <f t="shared" si="548"/>
        <v>0</v>
      </c>
      <c r="R1471" s="76">
        <f t="shared" si="549"/>
        <v>0.91666666666666663</v>
      </c>
      <c r="S1471" s="76">
        <f t="shared" si="550"/>
        <v>1.0665652173913043</v>
      </c>
      <c r="T1471" s="76">
        <f t="shared" si="551"/>
        <v>1.0061291741984588</v>
      </c>
      <c r="U1471" s="76">
        <f t="shared" si="552"/>
        <v>1.0608</v>
      </c>
    </row>
    <row r="1472" spans="1:21" x14ac:dyDescent="0.25">
      <c r="A1472" s="71">
        <v>44</v>
      </c>
      <c r="B1472" s="72">
        <f t="shared" si="553"/>
        <v>46966</v>
      </c>
      <c r="C1472" s="73">
        <f t="shared" si="534"/>
        <v>46996</v>
      </c>
      <c r="D1472" s="67">
        <f t="shared" si="535"/>
        <v>31</v>
      </c>
      <c r="E1472" s="67">
        <f t="shared" si="536"/>
        <v>8</v>
      </c>
      <c r="F1472" s="74">
        <f t="shared" si="537"/>
        <v>46981.5</v>
      </c>
      <c r="G1472" s="67">
        <f t="shared" si="538"/>
        <v>24343</v>
      </c>
      <c r="H1472" s="75">
        <f t="shared" si="539"/>
        <v>1</v>
      </c>
      <c r="I1472" s="76">
        <f t="shared" si="540"/>
        <v>1.0608</v>
      </c>
      <c r="J1472" s="76">
        <f t="shared" si="541"/>
        <v>1.0608</v>
      </c>
      <c r="K1472" s="67">
        <f t="shared" si="542"/>
        <v>0</v>
      </c>
      <c r="L1472" s="67">
        <f t="shared" si="543"/>
        <v>0</v>
      </c>
      <c r="M1472" s="77">
        <f t="shared" si="544"/>
        <v>0</v>
      </c>
      <c r="N1472" s="76">
        <f t="shared" si="545"/>
        <v>1.0608</v>
      </c>
      <c r="O1472" s="77">
        <f t="shared" si="546"/>
        <v>0.92500000000000004</v>
      </c>
      <c r="P1472" s="76">
        <f t="shared" si="547"/>
        <v>0</v>
      </c>
      <c r="Q1472" s="76">
        <f t="shared" si="548"/>
        <v>0</v>
      </c>
      <c r="R1472" s="76">
        <f t="shared" si="549"/>
        <v>0.75</v>
      </c>
      <c r="S1472" s="76">
        <f t="shared" si="550"/>
        <v>1.0665652173913043</v>
      </c>
      <c r="T1472" s="76">
        <f t="shared" si="551"/>
        <v>1.0072572780896203</v>
      </c>
      <c r="U1472" s="76">
        <f t="shared" si="552"/>
        <v>1.0608</v>
      </c>
    </row>
    <row r="1473" spans="1:21" x14ac:dyDescent="0.25">
      <c r="A1473" s="71">
        <v>45</v>
      </c>
      <c r="B1473" s="72">
        <f t="shared" si="553"/>
        <v>46997</v>
      </c>
      <c r="C1473" s="73">
        <f t="shared" si="534"/>
        <v>47026</v>
      </c>
      <c r="D1473" s="67">
        <f t="shared" si="535"/>
        <v>30</v>
      </c>
      <c r="E1473" s="67">
        <f t="shared" si="536"/>
        <v>9</v>
      </c>
      <c r="F1473" s="74">
        <f t="shared" si="537"/>
        <v>47012</v>
      </c>
      <c r="G1473" s="67">
        <f t="shared" si="538"/>
        <v>24344</v>
      </c>
      <c r="H1473" s="75">
        <f t="shared" si="539"/>
        <v>1</v>
      </c>
      <c r="I1473" s="76">
        <f t="shared" si="540"/>
        <v>1.0608</v>
      </c>
      <c r="J1473" s="76">
        <f t="shared" si="541"/>
        <v>1.0608</v>
      </c>
      <c r="K1473" s="67">
        <f t="shared" si="542"/>
        <v>0</v>
      </c>
      <c r="L1473" s="67">
        <f t="shared" si="543"/>
        <v>0</v>
      </c>
      <c r="M1473" s="77">
        <f t="shared" si="544"/>
        <v>0</v>
      </c>
      <c r="N1473" s="76">
        <f t="shared" si="545"/>
        <v>1.0608</v>
      </c>
      <c r="O1473" s="77">
        <f t="shared" si="546"/>
        <v>0.92500000000000004</v>
      </c>
      <c r="P1473" s="76">
        <f t="shared" si="547"/>
        <v>0</v>
      </c>
      <c r="Q1473" s="76">
        <f t="shared" si="548"/>
        <v>0</v>
      </c>
      <c r="R1473" s="76">
        <f t="shared" si="549"/>
        <v>0.58333333333333337</v>
      </c>
      <c r="S1473" s="76">
        <f t="shared" si="550"/>
        <v>1.0665652173913043</v>
      </c>
      <c r="T1473" s="76">
        <f t="shared" si="551"/>
        <v>1.008367186756731</v>
      </c>
      <c r="U1473" s="76">
        <f t="shared" si="552"/>
        <v>1.0608</v>
      </c>
    </row>
    <row r="1474" spans="1:21" x14ac:dyDescent="0.25">
      <c r="A1474" s="71">
        <v>46</v>
      </c>
      <c r="B1474" s="72">
        <f t="shared" si="553"/>
        <v>47027</v>
      </c>
      <c r="C1474" s="73">
        <f t="shared" si="534"/>
        <v>47057</v>
      </c>
      <c r="D1474" s="67">
        <f t="shared" si="535"/>
        <v>31</v>
      </c>
      <c r="E1474" s="67">
        <f t="shared" si="536"/>
        <v>10</v>
      </c>
      <c r="F1474" s="74">
        <f t="shared" si="537"/>
        <v>47042.5</v>
      </c>
      <c r="G1474" s="67">
        <f t="shared" si="538"/>
        <v>24345</v>
      </c>
      <c r="H1474" s="75">
        <f t="shared" si="539"/>
        <v>1</v>
      </c>
      <c r="I1474" s="76">
        <f t="shared" si="540"/>
        <v>1.0608</v>
      </c>
      <c r="J1474" s="76">
        <f t="shared" si="541"/>
        <v>1.0608</v>
      </c>
      <c r="K1474" s="67">
        <f t="shared" si="542"/>
        <v>0</v>
      </c>
      <c r="L1474" s="67">
        <f t="shared" si="543"/>
        <v>0</v>
      </c>
      <c r="M1474" s="77">
        <f t="shared" si="544"/>
        <v>0</v>
      </c>
      <c r="N1474" s="76">
        <f t="shared" si="545"/>
        <v>1.0608</v>
      </c>
      <c r="O1474" s="77">
        <f t="shared" si="546"/>
        <v>0.92500000000000004</v>
      </c>
      <c r="P1474" s="76">
        <f t="shared" si="547"/>
        <v>0</v>
      </c>
      <c r="Q1474" s="76">
        <f t="shared" si="548"/>
        <v>0</v>
      </c>
      <c r="R1474" s="76">
        <f t="shared" si="549"/>
        <v>0.41666666666666669</v>
      </c>
      <c r="S1474" s="76">
        <f t="shared" si="550"/>
        <v>1.0665652173913043</v>
      </c>
      <c r="T1474" s="76">
        <f t="shared" si="551"/>
        <v>1.0094770954238417</v>
      </c>
      <c r="U1474" s="76">
        <f t="shared" si="552"/>
        <v>1.0608</v>
      </c>
    </row>
    <row r="1475" spans="1:21" x14ac:dyDescent="0.25">
      <c r="A1475" s="71">
        <v>47</v>
      </c>
      <c r="B1475" s="72">
        <f t="shared" si="553"/>
        <v>47058</v>
      </c>
      <c r="C1475" s="73">
        <f t="shared" si="534"/>
        <v>47087</v>
      </c>
      <c r="D1475" s="67">
        <f t="shared" si="535"/>
        <v>30</v>
      </c>
      <c r="E1475" s="67">
        <f t="shared" si="536"/>
        <v>11</v>
      </c>
      <c r="F1475" s="74">
        <f t="shared" si="537"/>
        <v>47073</v>
      </c>
      <c r="G1475" s="67">
        <f t="shared" si="538"/>
        <v>24346</v>
      </c>
      <c r="H1475" s="75">
        <f t="shared" si="539"/>
        <v>1</v>
      </c>
      <c r="I1475" s="76">
        <f t="shared" si="540"/>
        <v>1.0608</v>
      </c>
      <c r="J1475" s="76">
        <f t="shared" si="541"/>
        <v>1.0608</v>
      </c>
      <c r="K1475" s="67">
        <f t="shared" si="542"/>
        <v>0</v>
      </c>
      <c r="L1475" s="67">
        <f t="shared" si="543"/>
        <v>0</v>
      </c>
      <c r="M1475" s="77">
        <f t="shared" si="544"/>
        <v>0</v>
      </c>
      <c r="N1475" s="76">
        <f t="shared" si="545"/>
        <v>1.0608</v>
      </c>
      <c r="O1475" s="77">
        <f t="shared" si="546"/>
        <v>0.92500000000000004</v>
      </c>
      <c r="P1475" s="76">
        <f t="shared" si="547"/>
        <v>0</v>
      </c>
      <c r="Q1475" s="76">
        <f t="shared" si="548"/>
        <v>0</v>
      </c>
      <c r="R1475" s="76">
        <f t="shared" si="549"/>
        <v>0.25</v>
      </c>
      <c r="S1475" s="76">
        <f t="shared" si="550"/>
        <v>1.0665652173913043</v>
      </c>
      <c r="T1475" s="76">
        <f t="shared" si="551"/>
        <v>1.0105870040909524</v>
      </c>
      <c r="U1475" s="76">
        <f t="shared" si="552"/>
        <v>1.0608</v>
      </c>
    </row>
    <row r="1476" spans="1:21" x14ac:dyDescent="0.25">
      <c r="A1476" s="71">
        <v>48</v>
      </c>
      <c r="B1476" s="72">
        <f t="shared" si="553"/>
        <v>47088</v>
      </c>
      <c r="C1476" s="73">
        <f t="shared" si="534"/>
        <v>47118</v>
      </c>
      <c r="D1476" s="67">
        <f t="shared" si="535"/>
        <v>31</v>
      </c>
      <c r="E1476" s="67">
        <f t="shared" si="536"/>
        <v>12</v>
      </c>
      <c r="F1476" s="74">
        <f t="shared" si="537"/>
        <v>47103.5</v>
      </c>
      <c r="G1476" s="67">
        <f t="shared" si="538"/>
        <v>24347</v>
      </c>
      <c r="H1476" s="75">
        <f t="shared" si="539"/>
        <v>1</v>
      </c>
      <c r="I1476" s="76">
        <f t="shared" si="540"/>
        <v>1.0608</v>
      </c>
      <c r="J1476" s="76">
        <f t="shared" si="541"/>
        <v>1.0608</v>
      </c>
      <c r="K1476" s="67">
        <f t="shared" si="542"/>
        <v>0</v>
      </c>
      <c r="L1476" s="67">
        <f t="shared" si="543"/>
        <v>0</v>
      </c>
      <c r="M1476" s="77">
        <f t="shared" si="544"/>
        <v>0</v>
      </c>
      <c r="N1476" s="76">
        <f t="shared" si="545"/>
        <v>1.0608</v>
      </c>
      <c r="O1476" s="77">
        <f t="shared" si="546"/>
        <v>0.92500000000000004</v>
      </c>
      <c r="P1476" s="76">
        <f t="shared" si="547"/>
        <v>0</v>
      </c>
      <c r="Q1476" s="76">
        <f t="shared" si="548"/>
        <v>0</v>
      </c>
      <c r="R1476" s="76">
        <f t="shared" si="549"/>
        <v>8.3333333333333329E-2</v>
      </c>
      <c r="S1476" s="76">
        <f t="shared" si="550"/>
        <v>1.0665652173913043</v>
      </c>
      <c r="T1476" s="76">
        <f t="shared" si="551"/>
        <v>1.0116969127580631</v>
      </c>
      <c r="U1476" s="76">
        <f t="shared" si="552"/>
        <v>1.0608</v>
      </c>
    </row>
    <row r="1477" spans="1:21" x14ac:dyDescent="0.25">
      <c r="A1477" s="81" t="s">
        <v>1187</v>
      </c>
      <c r="B1477" s="53">
        <f>EXP(SUMPRODUCT((rl_key=$A$1426)*(rl_cons="Y")*rl_ln1p))</f>
        <v>1.02</v>
      </c>
      <c r="C1477" s="53">
        <f>SUMPRODUCT($H$1429:$H$1476,$P$1429:$P$1476,$U$1429:$U$1476)/SUMPRODUCT($H$1429:$H$1476,$P$1429:$P$1476)</f>
        <v>1.0133333333333334</v>
      </c>
      <c r="D1477" s="53">
        <f>SUMPRODUCT($H$1429:$H$1476,$Q$1429:$Q$1476,$U$1429:$U$1476)/SUMPRODUCT($H$1429:$H$1476,$Q$1429:$Q$1476)</f>
        <v>1.0336000000000001</v>
      </c>
      <c r="E1477" s="53">
        <f>SUMPRODUCT($H$1429:$H$1476,$R$1429:$R$1476,$U$1429:$U$1476)/SUMPRODUCT($H$1429:$H$1476,$R$1429:$R$1476)</f>
        <v>1.0608000000000002</v>
      </c>
      <c r="F1477" s="172">
        <f>SUMPRODUCT($H$1429:$H$1476,$Q$1429:$Q$1476,$O$1429:$O$1476)/SUMPRODUCT($H$1429:$H$1476,$Q$1429:$Q$1476)</f>
        <v>0.91598878555798668</v>
      </c>
      <c r="G1477" s="172">
        <f>SUMPRODUCT($H$1429:$H$1476,$R$1429:$R$1476,$O$1429:$O$1476)/SUMPRODUCT($H$1429:$H$1476,$R$1429:$R$1476)</f>
        <v>0.92449033552151683</v>
      </c>
    </row>
    <row r="1480" spans="1:21" x14ac:dyDescent="0.25">
      <c r="A1480" s="81" t="str">
        <f>INDEX(lr_key,27)</f>
        <v>BU-B|GA</v>
      </c>
      <c r="B1480" s="81" t="str">
        <f>INDEX(lr_state,27)</f>
        <v>GA</v>
      </c>
      <c r="C1480" s="55">
        <f>nr_TermMonths</f>
        <v>6</v>
      </c>
      <c r="D1480" s="55">
        <f>IF(COUNTIF(se_state,$B1480)=0,0,MATCH($B1480,se_state,0))</f>
        <v>0</v>
      </c>
      <c r="E1480" s="57">
        <f>IF($D1480=0,0,INDEX(se_sum,$D1480))</f>
        <v>0</v>
      </c>
      <c r="F1480" s="172">
        <f>IF(N(INDEX(lr_mind,27))=0,1,INDEX(lr_mind,27))</f>
        <v>0.92</v>
      </c>
      <c r="G1480" s="172">
        <f>IF(N(INDEX(lr_m0,27))=0,1,INDEX(lr_m0,27))</f>
        <v>0.91</v>
      </c>
      <c r="H1480" s="54">
        <f>IF(N(INDEX(lr_m0asof,27))=0,DATE(nr_PlanYear-1,10,1),INDEX(lr_m0asof,27))</f>
        <v>46295</v>
      </c>
      <c r="I1480" s="172">
        <f>IF(N(INDEX(lr_m1,27))=0,1,INDEX(lr_m1,27))</f>
        <v>0.90500000000000003</v>
      </c>
      <c r="J1480" s="172">
        <f>INDEX(lr_mprior,27)</f>
        <v>0</v>
      </c>
      <c r="K1480" s="172">
        <f>INDEX(lr_m2,27)</f>
        <v>0</v>
      </c>
      <c r="L1480" s="81" t="b">
        <f>NOT(ISBLANK(INDEX(lr_netp,27)))</f>
        <v>0</v>
      </c>
      <c r="M1480" s="52">
        <f>N(INDEX(lr_netp,27))</f>
        <v>0</v>
      </c>
      <c r="N1480" s="52">
        <f>IF(ISBLANK(INDEX(lr_netp1,27)),$M$1480,N(INDEX(lr_netp1,27)))</f>
        <v>0</v>
      </c>
      <c r="O1480" s="55">
        <f>IF(AND(nr_ModAdjMaster="ON",INDEX(lr_modadj,27)="ON"),1,0)</f>
        <v>1</v>
      </c>
    </row>
    <row r="1481" spans="1:21" x14ac:dyDescent="0.25">
      <c r="A1481" s="81">
        <f>EDATE($H$1480,-12)+1</f>
        <v>45931</v>
      </c>
      <c r="B1481" s="81">
        <f>$H$1480+1</f>
        <v>46296</v>
      </c>
      <c r="C1481" s="81">
        <f>DATE(nr_PlanYear,12,31)+1</f>
        <v>46753</v>
      </c>
      <c r="D1481" s="81">
        <f>DATE(nr_PlanYear+1,12,31)+1</f>
        <v>47119</v>
      </c>
      <c r="E1481" s="81">
        <f>IF(N($J$1480)=0,$F$1481-($G$1481-$F$1481)/($C$1481-$B$1481)*($B$1481-$A$1481),$J$1480)</f>
        <v>0.9139934354485777</v>
      </c>
      <c r="F1481" s="81">
        <f>$G$1480</f>
        <v>0.91</v>
      </c>
      <c r="G1481" s="81">
        <f>$I$1480</f>
        <v>0.90500000000000003</v>
      </c>
      <c r="H1481" s="81">
        <f>IF(N($K$1480)=0,$I$1480,$K$1480)</f>
        <v>0.90500000000000003</v>
      </c>
      <c r="I1481" s="81">
        <f>($F$1481-$E$1481)/($B$1481-$A$1481)</f>
        <v>-1.0940919037199081E-5</v>
      </c>
      <c r="J1481" s="81">
        <f>($G$1481-$F$1481)/($C$1481-$B$1481)</f>
        <v>-1.0940919037199135E-5</v>
      </c>
      <c r="K1481" s="81">
        <f>($H$1481-$G$1481)/($D$1481-$C$1481)</f>
        <v>0</v>
      </c>
    </row>
    <row r="1482" spans="1:21" ht="36" x14ac:dyDescent="0.25">
      <c r="A1482" s="50" t="s">
        <v>211</v>
      </c>
      <c r="B1482" s="50" t="s">
        <v>212</v>
      </c>
      <c r="C1482" s="50" t="s">
        <v>213</v>
      </c>
      <c r="D1482" s="50" t="s">
        <v>214</v>
      </c>
      <c r="E1482" s="50" t="s">
        <v>215</v>
      </c>
      <c r="F1482" s="50" t="s">
        <v>216</v>
      </c>
      <c r="G1482" s="50" t="s">
        <v>217</v>
      </c>
      <c r="H1482" s="50" t="s">
        <v>218</v>
      </c>
      <c r="I1482" s="50" t="s">
        <v>219</v>
      </c>
      <c r="J1482" s="50" t="s">
        <v>220</v>
      </c>
      <c r="K1482" s="50" t="s">
        <v>221</v>
      </c>
      <c r="L1482" s="50" t="s">
        <v>222</v>
      </c>
      <c r="M1482" s="50" t="s">
        <v>223</v>
      </c>
      <c r="N1482" s="50" t="s">
        <v>224</v>
      </c>
      <c r="O1482" s="50" t="s">
        <v>225</v>
      </c>
      <c r="P1482" s="50" t="s">
        <v>226</v>
      </c>
      <c r="Q1482" s="50" t="s">
        <v>227</v>
      </c>
      <c r="R1482" s="50" t="s">
        <v>228</v>
      </c>
      <c r="S1482" s="50" t="s">
        <v>229</v>
      </c>
      <c r="T1482" s="50" t="s">
        <v>230</v>
      </c>
      <c r="U1482" s="50" t="s">
        <v>231</v>
      </c>
    </row>
    <row r="1483" spans="1:21" x14ac:dyDescent="0.25">
      <c r="A1483" s="71">
        <v>1</v>
      </c>
      <c r="B1483" s="72">
        <f>DATE(nr_PlanYear-2,1,1)</f>
        <v>45658</v>
      </c>
      <c r="C1483" s="73">
        <f t="shared" ref="C1483:C1530" si="554">EOMONTH($B1483,0)</f>
        <v>45688</v>
      </c>
      <c r="D1483" s="67">
        <f t="shared" ref="D1483:D1530" si="555">$C1483-$B1483+1</f>
        <v>31</v>
      </c>
      <c r="E1483" s="67">
        <f t="shared" ref="E1483:E1530" si="556">MONTH($B1483)</f>
        <v>1</v>
      </c>
      <c r="F1483" s="74">
        <f t="shared" ref="F1483:F1530" si="557">($B1483+$C1483+1)/2</f>
        <v>45673.5</v>
      </c>
      <c r="G1483" s="67">
        <f t="shared" ref="G1483:G1530" si="558">YEAR($B1483)*12+MONTH($B1483)-1</f>
        <v>24300</v>
      </c>
      <c r="H1483" s="75">
        <f t="shared" ref="H1483:H1530" si="559">IF(OR(nr_SeasonOn="OFF",$D$1480=0,$E$1480=0),1,12*INDEX(se_block,$D$1480,$E1483)/$E$1480)</f>
        <v>1</v>
      </c>
      <c r="I1483" s="76">
        <f t="shared" ref="I1483:I1530" si="560">EXP(SUMPRODUCT((rl_eff&lt;$B1483)*(rl_key=$A$1480)*rl_ln1p))</f>
        <v>1</v>
      </c>
      <c r="J1483" s="76">
        <f t="shared" ref="J1483:J1530" si="561">EXP(SUMPRODUCT((rl_eff&lt;=$C1483)*(rl_key=$A$1480)*rl_ln1p))</f>
        <v>1</v>
      </c>
      <c r="K1483" s="67">
        <f t="shared" ref="K1483:K1530" si="562">COUNTIFS(rl_key,$A$1480,rl_eff,"&gt;="&amp;$B1483,rl_eff,"&lt;="&amp;$C1483)</f>
        <v>0</v>
      </c>
      <c r="L1483" s="67">
        <f t="shared" ref="L1483:L1530" si="563">SUMIFS(rl_daysafter,rl_key,$A$1480,rl_effmonth,$B1483,rl_first,1)</f>
        <v>0</v>
      </c>
      <c r="M1483" s="77">
        <f t="shared" ref="M1483:M1530" si="564">IF($K1483=0,0,MIN(1,$L1483/$D1483))</f>
        <v>0</v>
      </c>
      <c r="N1483" s="76">
        <f t="shared" ref="N1483:N1530" si="565">IF($K1483=0,$J1483,(1-$M1483)*$I1483+$M1483*$J1483)</f>
        <v>1</v>
      </c>
      <c r="O1483" s="77">
        <f t="shared" ref="O1483:O1530" si="566">IF($F1483&lt;$B$1481,$E$1481+$I$1481*($F1483-$A$1481),IF($F1483&lt;$C$1481,$F$1481+$J$1481*($F1483-$B$1481),$G$1481+$K$1481*($F1483-$C$1481)))</f>
        <v>0.91681072210065651</v>
      </c>
      <c r="P1483" s="76">
        <f t="shared" ref="P1483:P1530" si="567">MIN(1,MAX(0,(nr_MEndPm1-$G1483+0.5)/$C$1480))-MIN(1,MAX(0,(nr_MStartPm1-1-$G1483+0.5)/$C$1480))</f>
        <v>0</v>
      </c>
      <c r="Q1483" s="76">
        <f t="shared" ref="Q1483:Q1530" si="568">MIN(1,MAX(0,(nr_MEndP-$G1483+0.5)/$C$1480))-MIN(1,MAX(0,(nr_MStartP-1-$G1483+0.5)/$C$1480))</f>
        <v>0</v>
      </c>
      <c r="R1483" s="76">
        <f t="shared" ref="R1483:R1530" si="569">MIN(1,MAX(0,(nr_MEndP1-$G1483+0.5)/$C$1480))-MIN(1,MAX(0,(nr_MStartP1-1-$G1483+0.5)/$C$1480))</f>
        <v>0</v>
      </c>
      <c r="S1483" s="76">
        <f t="shared" ref="S1483:S1530" si="570">$N1483*IF($O$1480=1,$O1483/$F$1480,1)</f>
        <v>0.99653339358767012</v>
      </c>
      <c r="T1483" s="76">
        <f t="shared" ref="T1483:T1530" si="571">IF($G1483&lt;nr_MStartP,$S1483,$T1471*(1+IF($G1483&lt;nr_MStartP1,$M$1480,$N$1480)))</f>
        <v>0.99653339358767012</v>
      </c>
      <c r="U1483" s="76">
        <f t="shared" ref="U1483:U1530" si="572">IF($L$1480,$T1483,$N1483)</f>
        <v>1</v>
      </c>
    </row>
    <row r="1484" spans="1:21" x14ac:dyDescent="0.25">
      <c r="A1484" s="71">
        <v>2</v>
      </c>
      <c r="B1484" s="72">
        <f t="shared" ref="B1484:B1530" si="573">EDATE($B1483,1)</f>
        <v>45689</v>
      </c>
      <c r="C1484" s="73">
        <f t="shared" si="554"/>
        <v>45716</v>
      </c>
      <c r="D1484" s="67">
        <f t="shared" si="555"/>
        <v>28</v>
      </c>
      <c r="E1484" s="67">
        <f t="shared" si="556"/>
        <v>2</v>
      </c>
      <c r="F1484" s="74">
        <f t="shared" si="557"/>
        <v>45703</v>
      </c>
      <c r="G1484" s="67">
        <f t="shared" si="558"/>
        <v>24301</v>
      </c>
      <c r="H1484" s="75">
        <f t="shared" si="559"/>
        <v>1</v>
      </c>
      <c r="I1484" s="76">
        <f t="shared" si="560"/>
        <v>1</v>
      </c>
      <c r="J1484" s="76">
        <f t="shared" si="561"/>
        <v>1</v>
      </c>
      <c r="K1484" s="67">
        <f t="shared" si="562"/>
        <v>0</v>
      </c>
      <c r="L1484" s="67">
        <f t="shared" si="563"/>
        <v>0</v>
      </c>
      <c r="M1484" s="77">
        <f t="shared" si="564"/>
        <v>0</v>
      </c>
      <c r="N1484" s="76">
        <f t="shared" si="565"/>
        <v>1</v>
      </c>
      <c r="O1484" s="77">
        <f t="shared" si="566"/>
        <v>0.91648796498905905</v>
      </c>
      <c r="P1484" s="76">
        <f t="shared" si="567"/>
        <v>0</v>
      </c>
      <c r="Q1484" s="76">
        <f t="shared" si="568"/>
        <v>0</v>
      </c>
      <c r="R1484" s="76">
        <f t="shared" si="569"/>
        <v>0</v>
      </c>
      <c r="S1484" s="76">
        <f t="shared" si="570"/>
        <v>0.99618257064028148</v>
      </c>
      <c r="T1484" s="76">
        <f t="shared" si="571"/>
        <v>0.99618257064028148</v>
      </c>
      <c r="U1484" s="76">
        <f t="shared" si="572"/>
        <v>1</v>
      </c>
    </row>
    <row r="1485" spans="1:21" x14ac:dyDescent="0.25">
      <c r="A1485" s="71">
        <v>3</v>
      </c>
      <c r="B1485" s="72">
        <f t="shared" si="573"/>
        <v>45717</v>
      </c>
      <c r="C1485" s="73">
        <f t="shared" si="554"/>
        <v>45747</v>
      </c>
      <c r="D1485" s="67">
        <f t="shared" si="555"/>
        <v>31</v>
      </c>
      <c r="E1485" s="67">
        <f t="shared" si="556"/>
        <v>3</v>
      </c>
      <c r="F1485" s="74">
        <f t="shared" si="557"/>
        <v>45732.5</v>
      </c>
      <c r="G1485" s="67">
        <f t="shared" si="558"/>
        <v>24302</v>
      </c>
      <c r="H1485" s="75">
        <f t="shared" si="559"/>
        <v>1</v>
      </c>
      <c r="I1485" s="76">
        <f t="shared" si="560"/>
        <v>1</v>
      </c>
      <c r="J1485" s="76">
        <f t="shared" si="561"/>
        <v>1</v>
      </c>
      <c r="K1485" s="67">
        <f t="shared" si="562"/>
        <v>0</v>
      </c>
      <c r="L1485" s="67">
        <f t="shared" si="563"/>
        <v>0</v>
      </c>
      <c r="M1485" s="77">
        <f t="shared" si="564"/>
        <v>0</v>
      </c>
      <c r="N1485" s="76">
        <f t="shared" si="565"/>
        <v>1</v>
      </c>
      <c r="O1485" s="77">
        <f t="shared" si="566"/>
        <v>0.9161652078774617</v>
      </c>
      <c r="P1485" s="76">
        <f t="shared" si="567"/>
        <v>0</v>
      </c>
      <c r="Q1485" s="76">
        <f t="shared" si="568"/>
        <v>0</v>
      </c>
      <c r="R1485" s="76">
        <f t="shared" si="569"/>
        <v>0</v>
      </c>
      <c r="S1485" s="76">
        <f t="shared" si="570"/>
        <v>0.99583174769289307</v>
      </c>
      <c r="T1485" s="76">
        <f t="shared" si="571"/>
        <v>0.99583174769289307</v>
      </c>
      <c r="U1485" s="76">
        <f t="shared" si="572"/>
        <v>1</v>
      </c>
    </row>
    <row r="1486" spans="1:21" x14ac:dyDescent="0.25">
      <c r="A1486" s="71">
        <v>4</v>
      </c>
      <c r="B1486" s="72">
        <f t="shared" si="573"/>
        <v>45748</v>
      </c>
      <c r="C1486" s="73">
        <f t="shared" si="554"/>
        <v>45777</v>
      </c>
      <c r="D1486" s="67">
        <f t="shared" si="555"/>
        <v>30</v>
      </c>
      <c r="E1486" s="67">
        <f t="shared" si="556"/>
        <v>4</v>
      </c>
      <c r="F1486" s="74">
        <f t="shared" si="557"/>
        <v>45763</v>
      </c>
      <c r="G1486" s="67">
        <f t="shared" si="558"/>
        <v>24303</v>
      </c>
      <c r="H1486" s="75">
        <f t="shared" si="559"/>
        <v>1</v>
      </c>
      <c r="I1486" s="76">
        <f t="shared" si="560"/>
        <v>1</v>
      </c>
      <c r="J1486" s="76">
        <f t="shared" si="561"/>
        <v>1</v>
      </c>
      <c r="K1486" s="67">
        <f t="shared" si="562"/>
        <v>0</v>
      </c>
      <c r="L1486" s="67">
        <f t="shared" si="563"/>
        <v>0</v>
      </c>
      <c r="M1486" s="77">
        <f t="shared" si="564"/>
        <v>0</v>
      </c>
      <c r="N1486" s="76">
        <f t="shared" si="565"/>
        <v>1</v>
      </c>
      <c r="O1486" s="77">
        <f t="shared" si="566"/>
        <v>0.91583150984682715</v>
      </c>
      <c r="P1486" s="76">
        <f t="shared" si="567"/>
        <v>0</v>
      </c>
      <c r="Q1486" s="76">
        <f t="shared" si="568"/>
        <v>0</v>
      </c>
      <c r="R1486" s="76">
        <f t="shared" si="569"/>
        <v>0</v>
      </c>
      <c r="S1486" s="76">
        <f t="shared" si="570"/>
        <v>0.99546903244220342</v>
      </c>
      <c r="T1486" s="76">
        <f t="shared" si="571"/>
        <v>0.99546903244220342</v>
      </c>
      <c r="U1486" s="76">
        <f t="shared" si="572"/>
        <v>1</v>
      </c>
    </row>
    <row r="1487" spans="1:21" x14ac:dyDescent="0.25">
      <c r="A1487" s="71">
        <v>5</v>
      </c>
      <c r="B1487" s="72">
        <f t="shared" si="573"/>
        <v>45778</v>
      </c>
      <c r="C1487" s="73">
        <f t="shared" si="554"/>
        <v>45808</v>
      </c>
      <c r="D1487" s="67">
        <f t="shared" si="555"/>
        <v>31</v>
      </c>
      <c r="E1487" s="67">
        <f t="shared" si="556"/>
        <v>5</v>
      </c>
      <c r="F1487" s="74">
        <f t="shared" si="557"/>
        <v>45793.5</v>
      </c>
      <c r="G1487" s="67">
        <f t="shared" si="558"/>
        <v>24304</v>
      </c>
      <c r="H1487" s="75">
        <f t="shared" si="559"/>
        <v>1</v>
      </c>
      <c r="I1487" s="76">
        <f t="shared" si="560"/>
        <v>1</v>
      </c>
      <c r="J1487" s="76">
        <f t="shared" si="561"/>
        <v>1</v>
      </c>
      <c r="K1487" s="67">
        <f t="shared" si="562"/>
        <v>0</v>
      </c>
      <c r="L1487" s="67">
        <f t="shared" si="563"/>
        <v>0</v>
      </c>
      <c r="M1487" s="77">
        <f t="shared" si="564"/>
        <v>0</v>
      </c>
      <c r="N1487" s="76">
        <f t="shared" si="565"/>
        <v>1</v>
      </c>
      <c r="O1487" s="77">
        <f t="shared" si="566"/>
        <v>0.91549781181619261</v>
      </c>
      <c r="P1487" s="76">
        <f t="shared" si="567"/>
        <v>0</v>
      </c>
      <c r="Q1487" s="76">
        <f t="shared" si="568"/>
        <v>0</v>
      </c>
      <c r="R1487" s="76">
        <f t="shared" si="569"/>
        <v>0</v>
      </c>
      <c r="S1487" s="76">
        <f t="shared" si="570"/>
        <v>0.99510631719151366</v>
      </c>
      <c r="T1487" s="76">
        <f t="shared" si="571"/>
        <v>0.99510631719151366</v>
      </c>
      <c r="U1487" s="76">
        <f t="shared" si="572"/>
        <v>1</v>
      </c>
    </row>
    <row r="1488" spans="1:21" x14ac:dyDescent="0.25">
      <c r="A1488" s="71">
        <v>6</v>
      </c>
      <c r="B1488" s="72">
        <f t="shared" si="573"/>
        <v>45809</v>
      </c>
      <c r="C1488" s="73">
        <f t="shared" si="554"/>
        <v>45838</v>
      </c>
      <c r="D1488" s="67">
        <f t="shared" si="555"/>
        <v>30</v>
      </c>
      <c r="E1488" s="67">
        <f t="shared" si="556"/>
        <v>6</v>
      </c>
      <c r="F1488" s="74">
        <f t="shared" si="557"/>
        <v>45824</v>
      </c>
      <c r="G1488" s="67">
        <f t="shared" si="558"/>
        <v>24305</v>
      </c>
      <c r="H1488" s="75">
        <f t="shared" si="559"/>
        <v>1</v>
      </c>
      <c r="I1488" s="76">
        <f t="shared" si="560"/>
        <v>1</v>
      </c>
      <c r="J1488" s="76">
        <f t="shared" si="561"/>
        <v>1</v>
      </c>
      <c r="K1488" s="67">
        <f t="shared" si="562"/>
        <v>0</v>
      </c>
      <c r="L1488" s="67">
        <f t="shared" si="563"/>
        <v>0</v>
      </c>
      <c r="M1488" s="77">
        <f t="shared" si="564"/>
        <v>0</v>
      </c>
      <c r="N1488" s="76">
        <f t="shared" si="565"/>
        <v>1</v>
      </c>
      <c r="O1488" s="77">
        <f t="shared" si="566"/>
        <v>0.91516411378555795</v>
      </c>
      <c r="P1488" s="76">
        <f t="shared" si="567"/>
        <v>0</v>
      </c>
      <c r="Q1488" s="76">
        <f t="shared" si="568"/>
        <v>0</v>
      </c>
      <c r="R1488" s="76">
        <f t="shared" si="569"/>
        <v>0</v>
      </c>
      <c r="S1488" s="76">
        <f t="shared" si="570"/>
        <v>0.99474360194082379</v>
      </c>
      <c r="T1488" s="76">
        <f t="shared" si="571"/>
        <v>0.99474360194082379</v>
      </c>
      <c r="U1488" s="76">
        <f t="shared" si="572"/>
        <v>1</v>
      </c>
    </row>
    <row r="1489" spans="1:21" x14ac:dyDescent="0.25">
      <c r="A1489" s="71">
        <v>7</v>
      </c>
      <c r="B1489" s="72">
        <f t="shared" si="573"/>
        <v>45839</v>
      </c>
      <c r="C1489" s="73">
        <f t="shared" si="554"/>
        <v>45869</v>
      </c>
      <c r="D1489" s="67">
        <f t="shared" si="555"/>
        <v>31</v>
      </c>
      <c r="E1489" s="67">
        <f t="shared" si="556"/>
        <v>7</v>
      </c>
      <c r="F1489" s="74">
        <f t="shared" si="557"/>
        <v>45854.5</v>
      </c>
      <c r="G1489" s="67">
        <f t="shared" si="558"/>
        <v>24306</v>
      </c>
      <c r="H1489" s="75">
        <f t="shared" si="559"/>
        <v>1</v>
      </c>
      <c r="I1489" s="76">
        <f t="shared" si="560"/>
        <v>1</v>
      </c>
      <c r="J1489" s="76">
        <f t="shared" si="561"/>
        <v>1</v>
      </c>
      <c r="K1489" s="67">
        <f t="shared" si="562"/>
        <v>0</v>
      </c>
      <c r="L1489" s="67">
        <f t="shared" si="563"/>
        <v>0</v>
      </c>
      <c r="M1489" s="77">
        <f t="shared" si="564"/>
        <v>0</v>
      </c>
      <c r="N1489" s="76">
        <f t="shared" si="565"/>
        <v>1</v>
      </c>
      <c r="O1489" s="77">
        <f t="shared" si="566"/>
        <v>0.91483041575492341</v>
      </c>
      <c r="P1489" s="76">
        <f t="shared" si="567"/>
        <v>8.333333333333337E-2</v>
      </c>
      <c r="Q1489" s="76">
        <f t="shared" si="568"/>
        <v>0</v>
      </c>
      <c r="R1489" s="76">
        <f t="shared" si="569"/>
        <v>0</v>
      </c>
      <c r="S1489" s="76">
        <f t="shared" si="570"/>
        <v>0.99438088669013414</v>
      </c>
      <c r="T1489" s="76">
        <f t="shared" si="571"/>
        <v>0.99438088669013414</v>
      </c>
      <c r="U1489" s="76">
        <f t="shared" si="572"/>
        <v>1</v>
      </c>
    </row>
    <row r="1490" spans="1:21" x14ac:dyDescent="0.25">
      <c r="A1490" s="71">
        <v>8</v>
      </c>
      <c r="B1490" s="72">
        <f t="shared" si="573"/>
        <v>45870</v>
      </c>
      <c r="C1490" s="73">
        <f t="shared" si="554"/>
        <v>45900</v>
      </c>
      <c r="D1490" s="67">
        <f t="shared" si="555"/>
        <v>31</v>
      </c>
      <c r="E1490" s="67">
        <f t="shared" si="556"/>
        <v>8</v>
      </c>
      <c r="F1490" s="74">
        <f t="shared" si="557"/>
        <v>45885.5</v>
      </c>
      <c r="G1490" s="67">
        <f t="shared" si="558"/>
        <v>24307</v>
      </c>
      <c r="H1490" s="75">
        <f t="shared" si="559"/>
        <v>1</v>
      </c>
      <c r="I1490" s="76">
        <f t="shared" si="560"/>
        <v>1</v>
      </c>
      <c r="J1490" s="76">
        <f t="shared" si="561"/>
        <v>1</v>
      </c>
      <c r="K1490" s="67">
        <f t="shared" si="562"/>
        <v>0</v>
      </c>
      <c r="L1490" s="67">
        <f t="shared" si="563"/>
        <v>0</v>
      </c>
      <c r="M1490" s="77">
        <f t="shared" si="564"/>
        <v>0</v>
      </c>
      <c r="N1490" s="76">
        <f t="shared" si="565"/>
        <v>1</v>
      </c>
      <c r="O1490" s="77">
        <f t="shared" si="566"/>
        <v>0.91449124726477027</v>
      </c>
      <c r="P1490" s="76">
        <f t="shared" si="567"/>
        <v>0.25</v>
      </c>
      <c r="Q1490" s="76">
        <f t="shared" si="568"/>
        <v>0</v>
      </c>
      <c r="R1490" s="76">
        <f t="shared" si="569"/>
        <v>0</v>
      </c>
      <c r="S1490" s="76">
        <f t="shared" si="570"/>
        <v>0.99401222528779376</v>
      </c>
      <c r="T1490" s="76">
        <f t="shared" si="571"/>
        <v>0.99401222528779376</v>
      </c>
      <c r="U1490" s="76">
        <f t="shared" si="572"/>
        <v>1</v>
      </c>
    </row>
    <row r="1491" spans="1:21" x14ac:dyDescent="0.25">
      <c r="A1491" s="71">
        <v>9</v>
      </c>
      <c r="B1491" s="72">
        <f t="shared" si="573"/>
        <v>45901</v>
      </c>
      <c r="C1491" s="73">
        <f t="shared" si="554"/>
        <v>45930</v>
      </c>
      <c r="D1491" s="67">
        <f t="shared" si="555"/>
        <v>30</v>
      </c>
      <c r="E1491" s="67">
        <f t="shared" si="556"/>
        <v>9</v>
      </c>
      <c r="F1491" s="74">
        <f t="shared" si="557"/>
        <v>45916</v>
      </c>
      <c r="G1491" s="67">
        <f t="shared" si="558"/>
        <v>24308</v>
      </c>
      <c r="H1491" s="75">
        <f t="shared" si="559"/>
        <v>1</v>
      </c>
      <c r="I1491" s="76">
        <f t="shared" si="560"/>
        <v>1</v>
      </c>
      <c r="J1491" s="76">
        <f t="shared" si="561"/>
        <v>1</v>
      </c>
      <c r="K1491" s="67">
        <f t="shared" si="562"/>
        <v>0</v>
      </c>
      <c r="L1491" s="67">
        <f t="shared" si="563"/>
        <v>0</v>
      </c>
      <c r="M1491" s="77">
        <f t="shared" si="564"/>
        <v>0</v>
      </c>
      <c r="N1491" s="76">
        <f t="shared" si="565"/>
        <v>1</v>
      </c>
      <c r="O1491" s="77">
        <f t="shared" si="566"/>
        <v>0.91415754923413572</v>
      </c>
      <c r="P1491" s="76">
        <f t="shared" si="567"/>
        <v>0.41666666666666663</v>
      </c>
      <c r="Q1491" s="76">
        <f t="shared" si="568"/>
        <v>0</v>
      </c>
      <c r="R1491" s="76">
        <f t="shared" si="569"/>
        <v>0</v>
      </c>
      <c r="S1491" s="76">
        <f t="shared" si="570"/>
        <v>0.993649510037104</v>
      </c>
      <c r="T1491" s="76">
        <f t="shared" si="571"/>
        <v>0.993649510037104</v>
      </c>
      <c r="U1491" s="76">
        <f t="shared" si="572"/>
        <v>1</v>
      </c>
    </row>
    <row r="1492" spans="1:21" x14ac:dyDescent="0.25">
      <c r="A1492" s="71">
        <v>10</v>
      </c>
      <c r="B1492" s="72">
        <f t="shared" si="573"/>
        <v>45931</v>
      </c>
      <c r="C1492" s="73">
        <f t="shared" si="554"/>
        <v>45961</v>
      </c>
      <c r="D1492" s="67">
        <f t="shared" si="555"/>
        <v>31</v>
      </c>
      <c r="E1492" s="67">
        <f t="shared" si="556"/>
        <v>10</v>
      </c>
      <c r="F1492" s="74">
        <f t="shared" si="557"/>
        <v>45946.5</v>
      </c>
      <c r="G1492" s="67">
        <f t="shared" si="558"/>
        <v>24309</v>
      </c>
      <c r="H1492" s="75">
        <f t="shared" si="559"/>
        <v>1</v>
      </c>
      <c r="I1492" s="76">
        <f t="shared" si="560"/>
        <v>1</v>
      </c>
      <c r="J1492" s="76">
        <f t="shared" si="561"/>
        <v>1</v>
      </c>
      <c r="K1492" s="67">
        <f t="shared" si="562"/>
        <v>0</v>
      </c>
      <c r="L1492" s="67">
        <f t="shared" si="563"/>
        <v>0</v>
      </c>
      <c r="M1492" s="77">
        <f t="shared" si="564"/>
        <v>0</v>
      </c>
      <c r="N1492" s="76">
        <f t="shared" si="565"/>
        <v>1</v>
      </c>
      <c r="O1492" s="77">
        <f t="shared" si="566"/>
        <v>0.91382385120350107</v>
      </c>
      <c r="P1492" s="76">
        <f t="shared" si="567"/>
        <v>0.58333333333333326</v>
      </c>
      <c r="Q1492" s="76">
        <f t="shared" si="568"/>
        <v>0</v>
      </c>
      <c r="R1492" s="76">
        <f t="shared" si="569"/>
        <v>0</v>
      </c>
      <c r="S1492" s="76">
        <f t="shared" si="570"/>
        <v>0.99328679478641413</v>
      </c>
      <c r="T1492" s="76">
        <f t="shared" si="571"/>
        <v>0.99328679478641413</v>
      </c>
      <c r="U1492" s="76">
        <f t="shared" si="572"/>
        <v>1</v>
      </c>
    </row>
    <row r="1493" spans="1:21" x14ac:dyDescent="0.25">
      <c r="A1493" s="71">
        <v>11</v>
      </c>
      <c r="B1493" s="72">
        <f t="shared" si="573"/>
        <v>45962</v>
      </c>
      <c r="C1493" s="73">
        <f t="shared" si="554"/>
        <v>45991</v>
      </c>
      <c r="D1493" s="67">
        <f t="shared" si="555"/>
        <v>30</v>
      </c>
      <c r="E1493" s="67">
        <f t="shared" si="556"/>
        <v>11</v>
      </c>
      <c r="F1493" s="74">
        <f t="shared" si="557"/>
        <v>45977</v>
      </c>
      <c r="G1493" s="67">
        <f t="shared" si="558"/>
        <v>24310</v>
      </c>
      <c r="H1493" s="75">
        <f t="shared" si="559"/>
        <v>1</v>
      </c>
      <c r="I1493" s="76">
        <f t="shared" si="560"/>
        <v>1</v>
      </c>
      <c r="J1493" s="76">
        <f t="shared" si="561"/>
        <v>1</v>
      </c>
      <c r="K1493" s="67">
        <f t="shared" si="562"/>
        <v>0</v>
      </c>
      <c r="L1493" s="67">
        <f t="shared" si="563"/>
        <v>0</v>
      </c>
      <c r="M1493" s="77">
        <f t="shared" si="564"/>
        <v>0</v>
      </c>
      <c r="N1493" s="76">
        <f t="shared" si="565"/>
        <v>1</v>
      </c>
      <c r="O1493" s="77">
        <f t="shared" si="566"/>
        <v>0.91349015317286653</v>
      </c>
      <c r="P1493" s="76">
        <f t="shared" si="567"/>
        <v>0.75</v>
      </c>
      <c r="Q1493" s="76">
        <f t="shared" si="568"/>
        <v>0</v>
      </c>
      <c r="R1493" s="76">
        <f t="shared" si="569"/>
        <v>0</v>
      </c>
      <c r="S1493" s="76">
        <f t="shared" si="570"/>
        <v>0.99292407953572448</v>
      </c>
      <c r="T1493" s="76">
        <f t="shared" si="571"/>
        <v>0.99292407953572448</v>
      </c>
      <c r="U1493" s="76">
        <f t="shared" si="572"/>
        <v>1</v>
      </c>
    </row>
    <row r="1494" spans="1:21" x14ac:dyDescent="0.25">
      <c r="A1494" s="71">
        <v>12</v>
      </c>
      <c r="B1494" s="72">
        <f t="shared" si="573"/>
        <v>45992</v>
      </c>
      <c r="C1494" s="73">
        <f t="shared" si="554"/>
        <v>46022</v>
      </c>
      <c r="D1494" s="67">
        <f t="shared" si="555"/>
        <v>31</v>
      </c>
      <c r="E1494" s="67">
        <f t="shared" si="556"/>
        <v>12</v>
      </c>
      <c r="F1494" s="74">
        <f t="shared" si="557"/>
        <v>46007.5</v>
      </c>
      <c r="G1494" s="67">
        <f t="shared" si="558"/>
        <v>24311</v>
      </c>
      <c r="H1494" s="75">
        <f t="shared" si="559"/>
        <v>1</v>
      </c>
      <c r="I1494" s="76">
        <f t="shared" si="560"/>
        <v>1</v>
      </c>
      <c r="J1494" s="76">
        <f t="shared" si="561"/>
        <v>1</v>
      </c>
      <c r="K1494" s="67">
        <f t="shared" si="562"/>
        <v>0</v>
      </c>
      <c r="L1494" s="67">
        <f t="shared" si="563"/>
        <v>0</v>
      </c>
      <c r="M1494" s="77">
        <f t="shared" si="564"/>
        <v>0</v>
      </c>
      <c r="N1494" s="76">
        <f t="shared" si="565"/>
        <v>1</v>
      </c>
      <c r="O1494" s="77">
        <f t="shared" si="566"/>
        <v>0.91315645514223198</v>
      </c>
      <c r="P1494" s="76">
        <f t="shared" si="567"/>
        <v>0.91666666666666663</v>
      </c>
      <c r="Q1494" s="76">
        <f t="shared" si="568"/>
        <v>0</v>
      </c>
      <c r="R1494" s="76">
        <f t="shared" si="569"/>
        <v>0</v>
      </c>
      <c r="S1494" s="76">
        <f t="shared" si="570"/>
        <v>0.99256136428503472</v>
      </c>
      <c r="T1494" s="76">
        <f t="shared" si="571"/>
        <v>0.99256136428503472</v>
      </c>
      <c r="U1494" s="76">
        <f t="shared" si="572"/>
        <v>1</v>
      </c>
    </row>
    <row r="1495" spans="1:21" x14ac:dyDescent="0.25">
      <c r="A1495" s="71">
        <v>13</v>
      </c>
      <c r="B1495" s="72">
        <f t="shared" si="573"/>
        <v>46023</v>
      </c>
      <c r="C1495" s="73">
        <f t="shared" si="554"/>
        <v>46053</v>
      </c>
      <c r="D1495" s="67">
        <f t="shared" si="555"/>
        <v>31</v>
      </c>
      <c r="E1495" s="67">
        <f t="shared" si="556"/>
        <v>1</v>
      </c>
      <c r="F1495" s="74">
        <f t="shared" si="557"/>
        <v>46038.5</v>
      </c>
      <c r="G1495" s="67">
        <f t="shared" si="558"/>
        <v>24312</v>
      </c>
      <c r="H1495" s="75">
        <f t="shared" si="559"/>
        <v>1</v>
      </c>
      <c r="I1495" s="76">
        <f t="shared" si="560"/>
        <v>1</v>
      </c>
      <c r="J1495" s="76">
        <f t="shared" si="561"/>
        <v>1</v>
      </c>
      <c r="K1495" s="67">
        <f t="shared" si="562"/>
        <v>0</v>
      </c>
      <c r="L1495" s="67">
        <f t="shared" si="563"/>
        <v>0</v>
      </c>
      <c r="M1495" s="77">
        <f t="shared" si="564"/>
        <v>0</v>
      </c>
      <c r="N1495" s="76">
        <f t="shared" si="565"/>
        <v>1</v>
      </c>
      <c r="O1495" s="77">
        <f t="shared" si="566"/>
        <v>0.91281728665207884</v>
      </c>
      <c r="P1495" s="76">
        <f t="shared" si="567"/>
        <v>1</v>
      </c>
      <c r="Q1495" s="76">
        <f t="shared" si="568"/>
        <v>0</v>
      </c>
      <c r="R1495" s="76">
        <f t="shared" si="569"/>
        <v>0</v>
      </c>
      <c r="S1495" s="76">
        <f t="shared" si="570"/>
        <v>0.99219270288269434</v>
      </c>
      <c r="T1495" s="76">
        <f t="shared" si="571"/>
        <v>0.99219270288269434</v>
      </c>
      <c r="U1495" s="76">
        <f t="shared" si="572"/>
        <v>1</v>
      </c>
    </row>
    <row r="1496" spans="1:21" x14ac:dyDescent="0.25">
      <c r="A1496" s="71">
        <v>14</v>
      </c>
      <c r="B1496" s="72">
        <f t="shared" si="573"/>
        <v>46054</v>
      </c>
      <c r="C1496" s="73">
        <f t="shared" si="554"/>
        <v>46081</v>
      </c>
      <c r="D1496" s="67">
        <f t="shared" si="555"/>
        <v>28</v>
      </c>
      <c r="E1496" s="67">
        <f t="shared" si="556"/>
        <v>2</v>
      </c>
      <c r="F1496" s="74">
        <f t="shared" si="557"/>
        <v>46068</v>
      </c>
      <c r="G1496" s="67">
        <f t="shared" si="558"/>
        <v>24313</v>
      </c>
      <c r="H1496" s="75">
        <f t="shared" si="559"/>
        <v>1</v>
      </c>
      <c r="I1496" s="76">
        <f t="shared" si="560"/>
        <v>1</v>
      </c>
      <c r="J1496" s="76">
        <f t="shared" si="561"/>
        <v>1</v>
      </c>
      <c r="K1496" s="67">
        <f t="shared" si="562"/>
        <v>0</v>
      </c>
      <c r="L1496" s="67">
        <f t="shared" si="563"/>
        <v>0</v>
      </c>
      <c r="M1496" s="77">
        <f t="shared" si="564"/>
        <v>0</v>
      </c>
      <c r="N1496" s="76">
        <f t="shared" si="565"/>
        <v>1</v>
      </c>
      <c r="O1496" s="77">
        <f t="shared" si="566"/>
        <v>0.91249452954048138</v>
      </c>
      <c r="P1496" s="76">
        <f t="shared" si="567"/>
        <v>1</v>
      </c>
      <c r="Q1496" s="76">
        <f t="shared" si="568"/>
        <v>0</v>
      </c>
      <c r="R1496" s="76">
        <f t="shared" si="569"/>
        <v>0</v>
      </c>
      <c r="S1496" s="76">
        <f t="shared" si="570"/>
        <v>0.99184187993530581</v>
      </c>
      <c r="T1496" s="76">
        <f t="shared" si="571"/>
        <v>0.99184187993530581</v>
      </c>
      <c r="U1496" s="76">
        <f t="shared" si="572"/>
        <v>1</v>
      </c>
    </row>
    <row r="1497" spans="1:21" x14ac:dyDescent="0.25">
      <c r="A1497" s="71">
        <v>15</v>
      </c>
      <c r="B1497" s="72">
        <f t="shared" si="573"/>
        <v>46082</v>
      </c>
      <c r="C1497" s="73">
        <f t="shared" si="554"/>
        <v>46112</v>
      </c>
      <c r="D1497" s="67">
        <f t="shared" si="555"/>
        <v>31</v>
      </c>
      <c r="E1497" s="67">
        <f t="shared" si="556"/>
        <v>3</v>
      </c>
      <c r="F1497" s="74">
        <f t="shared" si="557"/>
        <v>46097.5</v>
      </c>
      <c r="G1497" s="67">
        <f t="shared" si="558"/>
        <v>24314</v>
      </c>
      <c r="H1497" s="75">
        <f t="shared" si="559"/>
        <v>1</v>
      </c>
      <c r="I1497" s="76">
        <f t="shared" si="560"/>
        <v>1</v>
      </c>
      <c r="J1497" s="76">
        <f t="shared" si="561"/>
        <v>1</v>
      </c>
      <c r="K1497" s="67">
        <f t="shared" si="562"/>
        <v>0</v>
      </c>
      <c r="L1497" s="67">
        <f t="shared" si="563"/>
        <v>0</v>
      </c>
      <c r="M1497" s="77">
        <f t="shared" si="564"/>
        <v>0</v>
      </c>
      <c r="N1497" s="76">
        <f t="shared" si="565"/>
        <v>1</v>
      </c>
      <c r="O1497" s="77">
        <f t="shared" si="566"/>
        <v>0.91217177242888403</v>
      </c>
      <c r="P1497" s="76">
        <f t="shared" si="567"/>
        <v>1</v>
      </c>
      <c r="Q1497" s="76">
        <f t="shared" si="568"/>
        <v>0</v>
      </c>
      <c r="R1497" s="76">
        <f t="shared" si="569"/>
        <v>0</v>
      </c>
      <c r="S1497" s="76">
        <f t="shared" si="570"/>
        <v>0.9914910569879174</v>
      </c>
      <c r="T1497" s="76">
        <f t="shared" si="571"/>
        <v>0.9914910569879174</v>
      </c>
      <c r="U1497" s="76">
        <f t="shared" si="572"/>
        <v>1</v>
      </c>
    </row>
    <row r="1498" spans="1:21" x14ac:dyDescent="0.25">
      <c r="A1498" s="71">
        <v>16</v>
      </c>
      <c r="B1498" s="72">
        <f t="shared" si="573"/>
        <v>46113</v>
      </c>
      <c r="C1498" s="73">
        <f t="shared" si="554"/>
        <v>46142</v>
      </c>
      <c r="D1498" s="67">
        <f t="shared" si="555"/>
        <v>30</v>
      </c>
      <c r="E1498" s="67">
        <f t="shared" si="556"/>
        <v>4</v>
      </c>
      <c r="F1498" s="74">
        <f t="shared" si="557"/>
        <v>46128</v>
      </c>
      <c r="G1498" s="67">
        <f t="shared" si="558"/>
        <v>24315</v>
      </c>
      <c r="H1498" s="75">
        <f t="shared" si="559"/>
        <v>1</v>
      </c>
      <c r="I1498" s="76">
        <f t="shared" si="560"/>
        <v>1</v>
      </c>
      <c r="J1498" s="76">
        <f t="shared" si="561"/>
        <v>1</v>
      </c>
      <c r="K1498" s="67">
        <f t="shared" si="562"/>
        <v>0</v>
      </c>
      <c r="L1498" s="67">
        <f t="shared" si="563"/>
        <v>0</v>
      </c>
      <c r="M1498" s="77">
        <f t="shared" si="564"/>
        <v>0</v>
      </c>
      <c r="N1498" s="76">
        <f t="shared" si="565"/>
        <v>1</v>
      </c>
      <c r="O1498" s="77">
        <f t="shared" si="566"/>
        <v>0.91183807439824949</v>
      </c>
      <c r="P1498" s="76">
        <f t="shared" si="567"/>
        <v>1</v>
      </c>
      <c r="Q1498" s="76">
        <f t="shared" si="568"/>
        <v>0</v>
      </c>
      <c r="R1498" s="76">
        <f t="shared" si="569"/>
        <v>0</v>
      </c>
      <c r="S1498" s="76">
        <f t="shared" si="570"/>
        <v>0.99112834173722764</v>
      </c>
      <c r="T1498" s="76">
        <f t="shared" si="571"/>
        <v>0.99112834173722764</v>
      </c>
      <c r="U1498" s="76">
        <f t="shared" si="572"/>
        <v>1</v>
      </c>
    </row>
    <row r="1499" spans="1:21" x14ac:dyDescent="0.25">
      <c r="A1499" s="71">
        <v>17</v>
      </c>
      <c r="B1499" s="72">
        <f t="shared" si="573"/>
        <v>46143</v>
      </c>
      <c r="C1499" s="73">
        <f t="shared" si="554"/>
        <v>46173</v>
      </c>
      <c r="D1499" s="67">
        <f t="shared" si="555"/>
        <v>31</v>
      </c>
      <c r="E1499" s="67">
        <f t="shared" si="556"/>
        <v>5</v>
      </c>
      <c r="F1499" s="74">
        <f t="shared" si="557"/>
        <v>46158.5</v>
      </c>
      <c r="G1499" s="67">
        <f t="shared" si="558"/>
        <v>24316</v>
      </c>
      <c r="H1499" s="75">
        <f t="shared" si="559"/>
        <v>1</v>
      </c>
      <c r="I1499" s="76">
        <f t="shared" si="560"/>
        <v>1</v>
      </c>
      <c r="J1499" s="76">
        <f t="shared" si="561"/>
        <v>1</v>
      </c>
      <c r="K1499" s="67">
        <f t="shared" si="562"/>
        <v>0</v>
      </c>
      <c r="L1499" s="67">
        <f t="shared" si="563"/>
        <v>0</v>
      </c>
      <c r="M1499" s="77">
        <f t="shared" si="564"/>
        <v>0</v>
      </c>
      <c r="N1499" s="76">
        <f t="shared" si="565"/>
        <v>1</v>
      </c>
      <c r="O1499" s="77">
        <f t="shared" si="566"/>
        <v>0.91150437636761494</v>
      </c>
      <c r="P1499" s="76">
        <f t="shared" si="567"/>
        <v>1</v>
      </c>
      <c r="Q1499" s="76">
        <f t="shared" si="568"/>
        <v>0</v>
      </c>
      <c r="R1499" s="76">
        <f t="shared" si="569"/>
        <v>0</v>
      </c>
      <c r="S1499" s="76">
        <f t="shared" si="570"/>
        <v>0.99076562648653799</v>
      </c>
      <c r="T1499" s="76">
        <f t="shared" si="571"/>
        <v>0.99076562648653799</v>
      </c>
      <c r="U1499" s="76">
        <f t="shared" si="572"/>
        <v>1</v>
      </c>
    </row>
    <row r="1500" spans="1:21" x14ac:dyDescent="0.25">
      <c r="A1500" s="71">
        <v>18</v>
      </c>
      <c r="B1500" s="72">
        <f t="shared" si="573"/>
        <v>46174</v>
      </c>
      <c r="C1500" s="73">
        <f t="shared" si="554"/>
        <v>46203</v>
      </c>
      <c r="D1500" s="67">
        <f t="shared" si="555"/>
        <v>30</v>
      </c>
      <c r="E1500" s="67">
        <f t="shared" si="556"/>
        <v>6</v>
      </c>
      <c r="F1500" s="74">
        <f t="shared" si="557"/>
        <v>46189</v>
      </c>
      <c r="G1500" s="67">
        <f t="shared" si="558"/>
        <v>24317</v>
      </c>
      <c r="H1500" s="75">
        <f t="shared" si="559"/>
        <v>1</v>
      </c>
      <c r="I1500" s="76">
        <f t="shared" si="560"/>
        <v>1</v>
      </c>
      <c r="J1500" s="76">
        <f t="shared" si="561"/>
        <v>1</v>
      </c>
      <c r="K1500" s="67">
        <f t="shared" si="562"/>
        <v>0</v>
      </c>
      <c r="L1500" s="67">
        <f t="shared" si="563"/>
        <v>0</v>
      </c>
      <c r="M1500" s="77">
        <f t="shared" si="564"/>
        <v>0</v>
      </c>
      <c r="N1500" s="76">
        <f t="shared" si="565"/>
        <v>1</v>
      </c>
      <c r="O1500" s="77">
        <f t="shared" si="566"/>
        <v>0.91117067833698029</v>
      </c>
      <c r="P1500" s="76">
        <f t="shared" si="567"/>
        <v>1</v>
      </c>
      <c r="Q1500" s="76">
        <f t="shared" si="568"/>
        <v>0</v>
      </c>
      <c r="R1500" s="76">
        <f t="shared" si="569"/>
        <v>0</v>
      </c>
      <c r="S1500" s="76">
        <f t="shared" si="570"/>
        <v>0.99040291123584812</v>
      </c>
      <c r="T1500" s="76">
        <f t="shared" si="571"/>
        <v>0.99040291123584812</v>
      </c>
      <c r="U1500" s="76">
        <f t="shared" si="572"/>
        <v>1</v>
      </c>
    </row>
    <row r="1501" spans="1:21" x14ac:dyDescent="0.25">
      <c r="A1501" s="71">
        <v>19</v>
      </c>
      <c r="B1501" s="72">
        <f t="shared" si="573"/>
        <v>46204</v>
      </c>
      <c r="C1501" s="73">
        <f t="shared" si="554"/>
        <v>46234</v>
      </c>
      <c r="D1501" s="67">
        <f t="shared" si="555"/>
        <v>31</v>
      </c>
      <c r="E1501" s="67">
        <f t="shared" si="556"/>
        <v>7</v>
      </c>
      <c r="F1501" s="74">
        <f t="shared" si="557"/>
        <v>46219.5</v>
      </c>
      <c r="G1501" s="67">
        <f t="shared" si="558"/>
        <v>24318</v>
      </c>
      <c r="H1501" s="75">
        <f t="shared" si="559"/>
        <v>1</v>
      </c>
      <c r="I1501" s="76">
        <f t="shared" si="560"/>
        <v>1</v>
      </c>
      <c r="J1501" s="76">
        <f t="shared" si="561"/>
        <v>1</v>
      </c>
      <c r="K1501" s="67">
        <f t="shared" si="562"/>
        <v>0</v>
      </c>
      <c r="L1501" s="67">
        <f t="shared" si="563"/>
        <v>0</v>
      </c>
      <c r="M1501" s="77">
        <f t="shared" si="564"/>
        <v>0</v>
      </c>
      <c r="N1501" s="76">
        <f t="shared" si="565"/>
        <v>1</v>
      </c>
      <c r="O1501" s="77">
        <f t="shared" si="566"/>
        <v>0.91083698030634574</v>
      </c>
      <c r="P1501" s="76">
        <f t="shared" si="567"/>
        <v>0.91666666666666663</v>
      </c>
      <c r="Q1501" s="76">
        <f t="shared" si="568"/>
        <v>8.333333333333337E-2</v>
      </c>
      <c r="R1501" s="76">
        <f t="shared" si="569"/>
        <v>0</v>
      </c>
      <c r="S1501" s="76">
        <f t="shared" si="570"/>
        <v>0.99004019598515836</v>
      </c>
      <c r="T1501" s="76">
        <f t="shared" si="571"/>
        <v>0.99004019598515836</v>
      </c>
      <c r="U1501" s="76">
        <f t="shared" si="572"/>
        <v>1</v>
      </c>
    </row>
    <row r="1502" spans="1:21" x14ac:dyDescent="0.25">
      <c r="A1502" s="71">
        <v>20</v>
      </c>
      <c r="B1502" s="72">
        <f t="shared" si="573"/>
        <v>46235</v>
      </c>
      <c r="C1502" s="73">
        <f t="shared" si="554"/>
        <v>46265</v>
      </c>
      <c r="D1502" s="67">
        <f t="shared" si="555"/>
        <v>31</v>
      </c>
      <c r="E1502" s="67">
        <f t="shared" si="556"/>
        <v>8</v>
      </c>
      <c r="F1502" s="74">
        <f t="shared" si="557"/>
        <v>46250.5</v>
      </c>
      <c r="G1502" s="67">
        <f t="shared" si="558"/>
        <v>24319</v>
      </c>
      <c r="H1502" s="75">
        <f t="shared" si="559"/>
        <v>1</v>
      </c>
      <c r="I1502" s="76">
        <f t="shared" si="560"/>
        <v>1</v>
      </c>
      <c r="J1502" s="76">
        <f t="shared" si="561"/>
        <v>1</v>
      </c>
      <c r="K1502" s="67">
        <f t="shared" si="562"/>
        <v>0</v>
      </c>
      <c r="L1502" s="67">
        <f t="shared" si="563"/>
        <v>0</v>
      </c>
      <c r="M1502" s="77">
        <f t="shared" si="564"/>
        <v>0</v>
      </c>
      <c r="N1502" s="76">
        <f t="shared" si="565"/>
        <v>1</v>
      </c>
      <c r="O1502" s="77">
        <f t="shared" si="566"/>
        <v>0.9104978118161926</v>
      </c>
      <c r="P1502" s="76">
        <f t="shared" si="567"/>
        <v>0.75</v>
      </c>
      <c r="Q1502" s="76">
        <f t="shared" si="568"/>
        <v>0.25</v>
      </c>
      <c r="R1502" s="76">
        <f t="shared" si="569"/>
        <v>0</v>
      </c>
      <c r="S1502" s="76">
        <f t="shared" si="570"/>
        <v>0.98967153458281798</v>
      </c>
      <c r="T1502" s="76">
        <f t="shared" si="571"/>
        <v>0.98967153458281798</v>
      </c>
      <c r="U1502" s="76">
        <f t="shared" si="572"/>
        <v>1</v>
      </c>
    </row>
    <row r="1503" spans="1:21" x14ac:dyDescent="0.25">
      <c r="A1503" s="71">
        <v>21</v>
      </c>
      <c r="B1503" s="72">
        <f t="shared" si="573"/>
        <v>46266</v>
      </c>
      <c r="C1503" s="73">
        <f t="shared" si="554"/>
        <v>46295</v>
      </c>
      <c r="D1503" s="67">
        <f t="shared" si="555"/>
        <v>30</v>
      </c>
      <c r="E1503" s="67">
        <f t="shared" si="556"/>
        <v>9</v>
      </c>
      <c r="F1503" s="74">
        <f t="shared" si="557"/>
        <v>46281</v>
      </c>
      <c r="G1503" s="67">
        <f t="shared" si="558"/>
        <v>24320</v>
      </c>
      <c r="H1503" s="75">
        <f t="shared" si="559"/>
        <v>1</v>
      </c>
      <c r="I1503" s="76">
        <f t="shared" si="560"/>
        <v>1</v>
      </c>
      <c r="J1503" s="76">
        <f t="shared" si="561"/>
        <v>1</v>
      </c>
      <c r="K1503" s="67">
        <f t="shared" si="562"/>
        <v>0</v>
      </c>
      <c r="L1503" s="67">
        <f t="shared" si="563"/>
        <v>0</v>
      </c>
      <c r="M1503" s="77">
        <f t="shared" si="564"/>
        <v>0</v>
      </c>
      <c r="N1503" s="76">
        <f t="shared" si="565"/>
        <v>1</v>
      </c>
      <c r="O1503" s="77">
        <f t="shared" si="566"/>
        <v>0.91016411378555806</v>
      </c>
      <c r="P1503" s="76">
        <f t="shared" si="567"/>
        <v>0.58333333333333337</v>
      </c>
      <c r="Q1503" s="76">
        <f t="shared" si="568"/>
        <v>0.41666666666666663</v>
      </c>
      <c r="R1503" s="76">
        <f t="shared" si="569"/>
        <v>0</v>
      </c>
      <c r="S1503" s="76">
        <f t="shared" si="570"/>
        <v>0.98930881933212833</v>
      </c>
      <c r="T1503" s="76">
        <f t="shared" si="571"/>
        <v>0.98930881933212833</v>
      </c>
      <c r="U1503" s="76">
        <f t="shared" si="572"/>
        <v>1</v>
      </c>
    </row>
    <row r="1504" spans="1:21" x14ac:dyDescent="0.25">
      <c r="A1504" s="71">
        <v>22</v>
      </c>
      <c r="B1504" s="72">
        <f t="shared" si="573"/>
        <v>46296</v>
      </c>
      <c r="C1504" s="73">
        <f t="shared" si="554"/>
        <v>46326</v>
      </c>
      <c r="D1504" s="67">
        <f t="shared" si="555"/>
        <v>31</v>
      </c>
      <c r="E1504" s="67">
        <f t="shared" si="556"/>
        <v>10</v>
      </c>
      <c r="F1504" s="74">
        <f t="shared" si="557"/>
        <v>46311.5</v>
      </c>
      <c r="G1504" s="67">
        <f t="shared" si="558"/>
        <v>24321</v>
      </c>
      <c r="H1504" s="75">
        <f t="shared" si="559"/>
        <v>1</v>
      </c>
      <c r="I1504" s="76">
        <f t="shared" si="560"/>
        <v>1</v>
      </c>
      <c r="J1504" s="76">
        <f t="shared" si="561"/>
        <v>1</v>
      </c>
      <c r="K1504" s="67">
        <f t="shared" si="562"/>
        <v>0</v>
      </c>
      <c r="L1504" s="67">
        <f t="shared" si="563"/>
        <v>0</v>
      </c>
      <c r="M1504" s="77">
        <f t="shared" si="564"/>
        <v>0</v>
      </c>
      <c r="N1504" s="76">
        <f t="shared" si="565"/>
        <v>1</v>
      </c>
      <c r="O1504" s="77">
        <f t="shared" si="566"/>
        <v>0.90983041575492341</v>
      </c>
      <c r="P1504" s="76">
        <f t="shared" si="567"/>
        <v>0.41666666666666669</v>
      </c>
      <c r="Q1504" s="76">
        <f t="shared" si="568"/>
        <v>0.58333333333333326</v>
      </c>
      <c r="R1504" s="76">
        <f t="shared" si="569"/>
        <v>0</v>
      </c>
      <c r="S1504" s="76">
        <f t="shared" si="570"/>
        <v>0.98894610408143846</v>
      </c>
      <c r="T1504" s="76">
        <f t="shared" si="571"/>
        <v>0.98894610408143846</v>
      </c>
      <c r="U1504" s="76">
        <f t="shared" si="572"/>
        <v>1</v>
      </c>
    </row>
    <row r="1505" spans="1:21" x14ac:dyDescent="0.25">
      <c r="A1505" s="71">
        <v>23</v>
      </c>
      <c r="B1505" s="72">
        <f t="shared" si="573"/>
        <v>46327</v>
      </c>
      <c r="C1505" s="73">
        <f t="shared" si="554"/>
        <v>46356</v>
      </c>
      <c r="D1505" s="67">
        <f t="shared" si="555"/>
        <v>30</v>
      </c>
      <c r="E1505" s="67">
        <f t="shared" si="556"/>
        <v>11</v>
      </c>
      <c r="F1505" s="74">
        <f t="shared" si="557"/>
        <v>46342</v>
      </c>
      <c r="G1505" s="67">
        <f t="shared" si="558"/>
        <v>24322</v>
      </c>
      <c r="H1505" s="75">
        <f t="shared" si="559"/>
        <v>1</v>
      </c>
      <c r="I1505" s="76">
        <f t="shared" si="560"/>
        <v>1</v>
      </c>
      <c r="J1505" s="76">
        <f t="shared" si="561"/>
        <v>1</v>
      </c>
      <c r="K1505" s="67">
        <f t="shared" si="562"/>
        <v>0</v>
      </c>
      <c r="L1505" s="67">
        <f t="shared" si="563"/>
        <v>0</v>
      </c>
      <c r="M1505" s="77">
        <f t="shared" si="564"/>
        <v>0</v>
      </c>
      <c r="N1505" s="76">
        <f t="shared" si="565"/>
        <v>1</v>
      </c>
      <c r="O1505" s="77">
        <f t="shared" si="566"/>
        <v>0.90949671772428886</v>
      </c>
      <c r="P1505" s="76">
        <f t="shared" si="567"/>
        <v>0.25</v>
      </c>
      <c r="Q1505" s="76">
        <f t="shared" si="568"/>
        <v>0.75</v>
      </c>
      <c r="R1505" s="76">
        <f t="shared" si="569"/>
        <v>0</v>
      </c>
      <c r="S1505" s="76">
        <f t="shared" si="570"/>
        <v>0.9885833888307487</v>
      </c>
      <c r="T1505" s="76">
        <f t="shared" si="571"/>
        <v>0.9885833888307487</v>
      </c>
      <c r="U1505" s="76">
        <f t="shared" si="572"/>
        <v>1</v>
      </c>
    </row>
    <row r="1506" spans="1:21" x14ac:dyDescent="0.25">
      <c r="A1506" s="71">
        <v>24</v>
      </c>
      <c r="B1506" s="72">
        <f t="shared" si="573"/>
        <v>46357</v>
      </c>
      <c r="C1506" s="73">
        <f t="shared" si="554"/>
        <v>46387</v>
      </c>
      <c r="D1506" s="67">
        <f t="shared" si="555"/>
        <v>31</v>
      </c>
      <c r="E1506" s="67">
        <f t="shared" si="556"/>
        <v>12</v>
      </c>
      <c r="F1506" s="74">
        <f t="shared" si="557"/>
        <v>46372.5</v>
      </c>
      <c r="G1506" s="67">
        <f t="shared" si="558"/>
        <v>24323</v>
      </c>
      <c r="H1506" s="75">
        <f t="shared" si="559"/>
        <v>1</v>
      </c>
      <c r="I1506" s="76">
        <f t="shared" si="560"/>
        <v>1</v>
      </c>
      <c r="J1506" s="76">
        <f t="shared" si="561"/>
        <v>1</v>
      </c>
      <c r="K1506" s="67">
        <f t="shared" si="562"/>
        <v>0</v>
      </c>
      <c r="L1506" s="67">
        <f t="shared" si="563"/>
        <v>0</v>
      </c>
      <c r="M1506" s="77">
        <f t="shared" si="564"/>
        <v>0</v>
      </c>
      <c r="N1506" s="76">
        <f t="shared" si="565"/>
        <v>1</v>
      </c>
      <c r="O1506" s="77">
        <f t="shared" si="566"/>
        <v>0.90916301969365432</v>
      </c>
      <c r="P1506" s="76">
        <f t="shared" si="567"/>
        <v>8.3333333333333329E-2</v>
      </c>
      <c r="Q1506" s="76">
        <f t="shared" si="568"/>
        <v>0.91666666666666663</v>
      </c>
      <c r="R1506" s="76">
        <f t="shared" si="569"/>
        <v>0</v>
      </c>
      <c r="S1506" s="76">
        <f t="shared" si="570"/>
        <v>0.98822067358005905</v>
      </c>
      <c r="T1506" s="76">
        <f t="shared" si="571"/>
        <v>0.98822067358005905</v>
      </c>
      <c r="U1506" s="76">
        <f t="shared" si="572"/>
        <v>1</v>
      </c>
    </row>
    <row r="1507" spans="1:21" x14ac:dyDescent="0.25">
      <c r="A1507" s="71">
        <v>25</v>
      </c>
      <c r="B1507" s="72">
        <f t="shared" si="573"/>
        <v>46388</v>
      </c>
      <c r="C1507" s="73">
        <f t="shared" si="554"/>
        <v>46418</v>
      </c>
      <c r="D1507" s="67">
        <f t="shared" si="555"/>
        <v>31</v>
      </c>
      <c r="E1507" s="67">
        <f t="shared" si="556"/>
        <v>1</v>
      </c>
      <c r="F1507" s="74">
        <f t="shared" si="557"/>
        <v>46403.5</v>
      </c>
      <c r="G1507" s="67">
        <f t="shared" si="558"/>
        <v>24324</v>
      </c>
      <c r="H1507" s="75">
        <f t="shared" si="559"/>
        <v>1</v>
      </c>
      <c r="I1507" s="76">
        <f t="shared" si="560"/>
        <v>1</v>
      </c>
      <c r="J1507" s="76">
        <f t="shared" si="561"/>
        <v>1</v>
      </c>
      <c r="K1507" s="67">
        <f t="shared" si="562"/>
        <v>0</v>
      </c>
      <c r="L1507" s="67">
        <f t="shared" si="563"/>
        <v>0</v>
      </c>
      <c r="M1507" s="77">
        <f t="shared" si="564"/>
        <v>0</v>
      </c>
      <c r="N1507" s="76">
        <f t="shared" si="565"/>
        <v>1</v>
      </c>
      <c r="O1507" s="77">
        <f t="shared" si="566"/>
        <v>0.90882385120350118</v>
      </c>
      <c r="P1507" s="76">
        <f t="shared" si="567"/>
        <v>0</v>
      </c>
      <c r="Q1507" s="76">
        <f t="shared" si="568"/>
        <v>1</v>
      </c>
      <c r="R1507" s="76">
        <f t="shared" si="569"/>
        <v>0</v>
      </c>
      <c r="S1507" s="76">
        <f t="shared" si="570"/>
        <v>0.98785201217771867</v>
      </c>
      <c r="T1507" s="76">
        <f t="shared" si="571"/>
        <v>0.99219270288269434</v>
      </c>
      <c r="U1507" s="76">
        <f t="shared" si="572"/>
        <v>1</v>
      </c>
    </row>
    <row r="1508" spans="1:21" x14ac:dyDescent="0.25">
      <c r="A1508" s="71">
        <v>26</v>
      </c>
      <c r="B1508" s="72">
        <f t="shared" si="573"/>
        <v>46419</v>
      </c>
      <c r="C1508" s="73">
        <f t="shared" si="554"/>
        <v>46446</v>
      </c>
      <c r="D1508" s="67">
        <f t="shared" si="555"/>
        <v>28</v>
      </c>
      <c r="E1508" s="67">
        <f t="shared" si="556"/>
        <v>2</v>
      </c>
      <c r="F1508" s="74">
        <f t="shared" si="557"/>
        <v>46433</v>
      </c>
      <c r="G1508" s="67">
        <f t="shared" si="558"/>
        <v>24325</v>
      </c>
      <c r="H1508" s="75">
        <f t="shared" si="559"/>
        <v>1</v>
      </c>
      <c r="I1508" s="76">
        <f t="shared" si="560"/>
        <v>1</v>
      </c>
      <c r="J1508" s="76">
        <f t="shared" si="561"/>
        <v>1</v>
      </c>
      <c r="K1508" s="67">
        <f t="shared" si="562"/>
        <v>0</v>
      </c>
      <c r="L1508" s="67">
        <f t="shared" si="563"/>
        <v>0</v>
      </c>
      <c r="M1508" s="77">
        <f t="shared" si="564"/>
        <v>0</v>
      </c>
      <c r="N1508" s="76">
        <f t="shared" si="565"/>
        <v>1</v>
      </c>
      <c r="O1508" s="77">
        <f t="shared" si="566"/>
        <v>0.90850109409190372</v>
      </c>
      <c r="P1508" s="76">
        <f t="shared" si="567"/>
        <v>0</v>
      </c>
      <c r="Q1508" s="76">
        <f t="shared" si="568"/>
        <v>1</v>
      </c>
      <c r="R1508" s="76">
        <f t="shared" si="569"/>
        <v>0</v>
      </c>
      <c r="S1508" s="76">
        <f t="shared" si="570"/>
        <v>0.98750118923033003</v>
      </c>
      <c r="T1508" s="76">
        <f t="shared" si="571"/>
        <v>0.99184187993530581</v>
      </c>
      <c r="U1508" s="76">
        <f t="shared" si="572"/>
        <v>1</v>
      </c>
    </row>
    <row r="1509" spans="1:21" x14ac:dyDescent="0.25">
      <c r="A1509" s="71">
        <v>27</v>
      </c>
      <c r="B1509" s="72">
        <f t="shared" si="573"/>
        <v>46447</v>
      </c>
      <c r="C1509" s="73">
        <f t="shared" si="554"/>
        <v>46477</v>
      </c>
      <c r="D1509" s="67">
        <f t="shared" si="555"/>
        <v>31</v>
      </c>
      <c r="E1509" s="67">
        <f t="shared" si="556"/>
        <v>3</v>
      </c>
      <c r="F1509" s="74">
        <f t="shared" si="557"/>
        <v>46462.5</v>
      </c>
      <c r="G1509" s="67">
        <f t="shared" si="558"/>
        <v>24326</v>
      </c>
      <c r="H1509" s="75">
        <f t="shared" si="559"/>
        <v>1</v>
      </c>
      <c r="I1509" s="76">
        <f t="shared" si="560"/>
        <v>1</v>
      </c>
      <c r="J1509" s="76">
        <f t="shared" si="561"/>
        <v>1</v>
      </c>
      <c r="K1509" s="67">
        <f t="shared" si="562"/>
        <v>0</v>
      </c>
      <c r="L1509" s="67">
        <f t="shared" si="563"/>
        <v>0</v>
      </c>
      <c r="M1509" s="77">
        <f t="shared" si="564"/>
        <v>0</v>
      </c>
      <c r="N1509" s="76">
        <f t="shared" si="565"/>
        <v>1</v>
      </c>
      <c r="O1509" s="77">
        <f t="shared" si="566"/>
        <v>0.90817833698030637</v>
      </c>
      <c r="P1509" s="76">
        <f t="shared" si="567"/>
        <v>0</v>
      </c>
      <c r="Q1509" s="76">
        <f t="shared" si="568"/>
        <v>1</v>
      </c>
      <c r="R1509" s="76">
        <f t="shared" si="569"/>
        <v>0</v>
      </c>
      <c r="S1509" s="76">
        <f t="shared" si="570"/>
        <v>0.98715036628294162</v>
      </c>
      <c r="T1509" s="76">
        <f t="shared" si="571"/>
        <v>0.9914910569879174</v>
      </c>
      <c r="U1509" s="76">
        <f t="shared" si="572"/>
        <v>1</v>
      </c>
    </row>
    <row r="1510" spans="1:21" x14ac:dyDescent="0.25">
      <c r="A1510" s="71">
        <v>28</v>
      </c>
      <c r="B1510" s="72">
        <f t="shared" si="573"/>
        <v>46478</v>
      </c>
      <c r="C1510" s="73">
        <f t="shared" si="554"/>
        <v>46507</v>
      </c>
      <c r="D1510" s="67">
        <f t="shared" si="555"/>
        <v>30</v>
      </c>
      <c r="E1510" s="67">
        <f t="shared" si="556"/>
        <v>4</v>
      </c>
      <c r="F1510" s="74">
        <f t="shared" si="557"/>
        <v>46493</v>
      </c>
      <c r="G1510" s="67">
        <f t="shared" si="558"/>
        <v>24327</v>
      </c>
      <c r="H1510" s="75">
        <f t="shared" si="559"/>
        <v>1</v>
      </c>
      <c r="I1510" s="76">
        <f t="shared" si="560"/>
        <v>1</v>
      </c>
      <c r="J1510" s="76">
        <f t="shared" si="561"/>
        <v>1</v>
      </c>
      <c r="K1510" s="67">
        <f t="shared" si="562"/>
        <v>0</v>
      </c>
      <c r="L1510" s="67">
        <f t="shared" si="563"/>
        <v>0</v>
      </c>
      <c r="M1510" s="77">
        <f t="shared" si="564"/>
        <v>0</v>
      </c>
      <c r="N1510" s="76">
        <f t="shared" si="565"/>
        <v>1</v>
      </c>
      <c r="O1510" s="77">
        <f t="shared" si="566"/>
        <v>0.90784463894967182</v>
      </c>
      <c r="P1510" s="76">
        <f t="shared" si="567"/>
        <v>0</v>
      </c>
      <c r="Q1510" s="76">
        <f t="shared" si="568"/>
        <v>1</v>
      </c>
      <c r="R1510" s="76">
        <f t="shared" si="569"/>
        <v>0</v>
      </c>
      <c r="S1510" s="76">
        <f t="shared" si="570"/>
        <v>0.98678765103225197</v>
      </c>
      <c r="T1510" s="76">
        <f t="shared" si="571"/>
        <v>0.99112834173722764</v>
      </c>
      <c r="U1510" s="76">
        <f t="shared" si="572"/>
        <v>1</v>
      </c>
    </row>
    <row r="1511" spans="1:21" x14ac:dyDescent="0.25">
      <c r="A1511" s="71">
        <v>29</v>
      </c>
      <c r="B1511" s="72">
        <f t="shared" si="573"/>
        <v>46508</v>
      </c>
      <c r="C1511" s="73">
        <f t="shared" si="554"/>
        <v>46538</v>
      </c>
      <c r="D1511" s="67">
        <f t="shared" si="555"/>
        <v>31</v>
      </c>
      <c r="E1511" s="67">
        <f t="shared" si="556"/>
        <v>5</v>
      </c>
      <c r="F1511" s="74">
        <f t="shared" si="557"/>
        <v>46523.5</v>
      </c>
      <c r="G1511" s="67">
        <f t="shared" si="558"/>
        <v>24328</v>
      </c>
      <c r="H1511" s="75">
        <f t="shared" si="559"/>
        <v>1</v>
      </c>
      <c r="I1511" s="76">
        <f t="shared" si="560"/>
        <v>1</v>
      </c>
      <c r="J1511" s="76">
        <f t="shared" si="561"/>
        <v>1</v>
      </c>
      <c r="K1511" s="67">
        <f t="shared" si="562"/>
        <v>0</v>
      </c>
      <c r="L1511" s="67">
        <f t="shared" si="563"/>
        <v>0</v>
      </c>
      <c r="M1511" s="77">
        <f t="shared" si="564"/>
        <v>0</v>
      </c>
      <c r="N1511" s="76">
        <f t="shared" si="565"/>
        <v>1</v>
      </c>
      <c r="O1511" s="77">
        <f t="shared" si="566"/>
        <v>0.90751094091903728</v>
      </c>
      <c r="P1511" s="76">
        <f t="shared" si="567"/>
        <v>0</v>
      </c>
      <c r="Q1511" s="76">
        <f t="shared" si="568"/>
        <v>1</v>
      </c>
      <c r="R1511" s="76">
        <f t="shared" si="569"/>
        <v>0</v>
      </c>
      <c r="S1511" s="76">
        <f t="shared" si="570"/>
        <v>0.98642493578156221</v>
      </c>
      <c r="T1511" s="76">
        <f t="shared" si="571"/>
        <v>0.99076562648653799</v>
      </c>
      <c r="U1511" s="76">
        <f t="shared" si="572"/>
        <v>1</v>
      </c>
    </row>
    <row r="1512" spans="1:21" x14ac:dyDescent="0.25">
      <c r="A1512" s="71">
        <v>30</v>
      </c>
      <c r="B1512" s="72">
        <f t="shared" si="573"/>
        <v>46539</v>
      </c>
      <c r="C1512" s="73">
        <f t="shared" si="554"/>
        <v>46568</v>
      </c>
      <c r="D1512" s="67">
        <f t="shared" si="555"/>
        <v>30</v>
      </c>
      <c r="E1512" s="67">
        <f t="shared" si="556"/>
        <v>6</v>
      </c>
      <c r="F1512" s="74">
        <f t="shared" si="557"/>
        <v>46554</v>
      </c>
      <c r="G1512" s="67">
        <f t="shared" si="558"/>
        <v>24329</v>
      </c>
      <c r="H1512" s="75">
        <f t="shared" si="559"/>
        <v>1</v>
      </c>
      <c r="I1512" s="76">
        <f t="shared" si="560"/>
        <v>1</v>
      </c>
      <c r="J1512" s="76">
        <f t="shared" si="561"/>
        <v>1</v>
      </c>
      <c r="K1512" s="67">
        <f t="shared" si="562"/>
        <v>0</v>
      </c>
      <c r="L1512" s="67">
        <f t="shared" si="563"/>
        <v>0</v>
      </c>
      <c r="M1512" s="77">
        <f t="shared" si="564"/>
        <v>0</v>
      </c>
      <c r="N1512" s="76">
        <f t="shared" si="565"/>
        <v>1</v>
      </c>
      <c r="O1512" s="77">
        <f t="shared" si="566"/>
        <v>0.90717724288840262</v>
      </c>
      <c r="P1512" s="76">
        <f t="shared" si="567"/>
        <v>0</v>
      </c>
      <c r="Q1512" s="76">
        <f t="shared" si="568"/>
        <v>1</v>
      </c>
      <c r="R1512" s="76">
        <f t="shared" si="569"/>
        <v>0</v>
      </c>
      <c r="S1512" s="76">
        <f t="shared" si="570"/>
        <v>0.98606222053087234</v>
      </c>
      <c r="T1512" s="76">
        <f t="shared" si="571"/>
        <v>0.99040291123584812</v>
      </c>
      <c r="U1512" s="76">
        <f t="shared" si="572"/>
        <v>1</v>
      </c>
    </row>
    <row r="1513" spans="1:21" x14ac:dyDescent="0.25">
      <c r="A1513" s="71">
        <v>31</v>
      </c>
      <c r="B1513" s="72">
        <f t="shared" si="573"/>
        <v>46569</v>
      </c>
      <c r="C1513" s="73">
        <f t="shared" si="554"/>
        <v>46599</v>
      </c>
      <c r="D1513" s="67">
        <f t="shared" si="555"/>
        <v>31</v>
      </c>
      <c r="E1513" s="67">
        <f t="shared" si="556"/>
        <v>7</v>
      </c>
      <c r="F1513" s="74">
        <f t="shared" si="557"/>
        <v>46584.5</v>
      </c>
      <c r="G1513" s="67">
        <f t="shared" si="558"/>
        <v>24330</v>
      </c>
      <c r="H1513" s="75">
        <f t="shared" si="559"/>
        <v>1</v>
      </c>
      <c r="I1513" s="76">
        <f t="shared" si="560"/>
        <v>1</v>
      </c>
      <c r="J1513" s="76">
        <f t="shared" si="561"/>
        <v>1</v>
      </c>
      <c r="K1513" s="67">
        <f t="shared" si="562"/>
        <v>0</v>
      </c>
      <c r="L1513" s="67">
        <f t="shared" si="563"/>
        <v>0</v>
      </c>
      <c r="M1513" s="77">
        <f t="shared" si="564"/>
        <v>0</v>
      </c>
      <c r="N1513" s="76">
        <f t="shared" si="565"/>
        <v>1</v>
      </c>
      <c r="O1513" s="77">
        <f t="shared" si="566"/>
        <v>0.90684354485776808</v>
      </c>
      <c r="P1513" s="76">
        <f t="shared" si="567"/>
        <v>0</v>
      </c>
      <c r="Q1513" s="76">
        <f t="shared" si="568"/>
        <v>0.91666666666666663</v>
      </c>
      <c r="R1513" s="76">
        <f t="shared" si="569"/>
        <v>8.333333333333337E-2</v>
      </c>
      <c r="S1513" s="76">
        <f t="shared" si="570"/>
        <v>0.98569950528018269</v>
      </c>
      <c r="T1513" s="76">
        <f t="shared" si="571"/>
        <v>0.99004019598515836</v>
      </c>
      <c r="U1513" s="76">
        <f t="shared" si="572"/>
        <v>1</v>
      </c>
    </row>
    <row r="1514" spans="1:21" x14ac:dyDescent="0.25">
      <c r="A1514" s="71">
        <v>32</v>
      </c>
      <c r="B1514" s="72">
        <f t="shared" si="573"/>
        <v>46600</v>
      </c>
      <c r="C1514" s="73">
        <f t="shared" si="554"/>
        <v>46630</v>
      </c>
      <c r="D1514" s="67">
        <f t="shared" si="555"/>
        <v>31</v>
      </c>
      <c r="E1514" s="67">
        <f t="shared" si="556"/>
        <v>8</v>
      </c>
      <c r="F1514" s="74">
        <f t="shared" si="557"/>
        <v>46615.5</v>
      </c>
      <c r="G1514" s="67">
        <f t="shared" si="558"/>
        <v>24331</v>
      </c>
      <c r="H1514" s="75">
        <f t="shared" si="559"/>
        <v>1</v>
      </c>
      <c r="I1514" s="76">
        <f t="shared" si="560"/>
        <v>1</v>
      </c>
      <c r="J1514" s="76">
        <f t="shared" si="561"/>
        <v>1</v>
      </c>
      <c r="K1514" s="67">
        <f t="shared" si="562"/>
        <v>0</v>
      </c>
      <c r="L1514" s="67">
        <f t="shared" si="563"/>
        <v>0</v>
      </c>
      <c r="M1514" s="77">
        <f t="shared" si="564"/>
        <v>0</v>
      </c>
      <c r="N1514" s="76">
        <f t="shared" si="565"/>
        <v>1</v>
      </c>
      <c r="O1514" s="77">
        <f t="shared" si="566"/>
        <v>0.90650437636761494</v>
      </c>
      <c r="P1514" s="76">
        <f t="shared" si="567"/>
        <v>0</v>
      </c>
      <c r="Q1514" s="76">
        <f t="shared" si="568"/>
        <v>0.75</v>
      </c>
      <c r="R1514" s="76">
        <f t="shared" si="569"/>
        <v>0.25</v>
      </c>
      <c r="S1514" s="76">
        <f t="shared" si="570"/>
        <v>0.98533084387784231</v>
      </c>
      <c r="T1514" s="76">
        <f t="shared" si="571"/>
        <v>0.98967153458281798</v>
      </c>
      <c r="U1514" s="76">
        <f t="shared" si="572"/>
        <v>1</v>
      </c>
    </row>
    <row r="1515" spans="1:21" x14ac:dyDescent="0.25">
      <c r="A1515" s="71">
        <v>33</v>
      </c>
      <c r="B1515" s="72">
        <f t="shared" si="573"/>
        <v>46631</v>
      </c>
      <c r="C1515" s="73">
        <f t="shared" si="554"/>
        <v>46660</v>
      </c>
      <c r="D1515" s="67">
        <f t="shared" si="555"/>
        <v>30</v>
      </c>
      <c r="E1515" s="67">
        <f t="shared" si="556"/>
        <v>9</v>
      </c>
      <c r="F1515" s="74">
        <f t="shared" si="557"/>
        <v>46646</v>
      </c>
      <c r="G1515" s="67">
        <f t="shared" si="558"/>
        <v>24332</v>
      </c>
      <c r="H1515" s="75">
        <f t="shared" si="559"/>
        <v>1</v>
      </c>
      <c r="I1515" s="76">
        <f t="shared" si="560"/>
        <v>1</v>
      </c>
      <c r="J1515" s="76">
        <f t="shared" si="561"/>
        <v>1</v>
      </c>
      <c r="K1515" s="67">
        <f t="shared" si="562"/>
        <v>0</v>
      </c>
      <c r="L1515" s="67">
        <f t="shared" si="563"/>
        <v>0</v>
      </c>
      <c r="M1515" s="77">
        <f t="shared" si="564"/>
        <v>0</v>
      </c>
      <c r="N1515" s="76">
        <f t="shared" si="565"/>
        <v>1</v>
      </c>
      <c r="O1515" s="77">
        <f t="shared" si="566"/>
        <v>0.90617067833698028</v>
      </c>
      <c r="P1515" s="76">
        <f t="shared" si="567"/>
        <v>0</v>
      </c>
      <c r="Q1515" s="76">
        <f t="shared" si="568"/>
        <v>0.58333333333333337</v>
      </c>
      <c r="R1515" s="76">
        <f t="shared" si="569"/>
        <v>0.41666666666666663</v>
      </c>
      <c r="S1515" s="76">
        <f t="shared" si="570"/>
        <v>0.98496812862715244</v>
      </c>
      <c r="T1515" s="76">
        <f t="shared" si="571"/>
        <v>0.98930881933212833</v>
      </c>
      <c r="U1515" s="76">
        <f t="shared" si="572"/>
        <v>1</v>
      </c>
    </row>
    <row r="1516" spans="1:21" x14ac:dyDescent="0.25">
      <c r="A1516" s="71">
        <v>34</v>
      </c>
      <c r="B1516" s="72">
        <f t="shared" si="573"/>
        <v>46661</v>
      </c>
      <c r="C1516" s="73">
        <f t="shared" si="554"/>
        <v>46691</v>
      </c>
      <c r="D1516" s="67">
        <f t="shared" si="555"/>
        <v>31</v>
      </c>
      <c r="E1516" s="67">
        <f t="shared" si="556"/>
        <v>10</v>
      </c>
      <c r="F1516" s="74">
        <f t="shared" si="557"/>
        <v>46676.5</v>
      </c>
      <c r="G1516" s="67">
        <f t="shared" si="558"/>
        <v>24333</v>
      </c>
      <c r="H1516" s="75">
        <f t="shared" si="559"/>
        <v>1</v>
      </c>
      <c r="I1516" s="76">
        <f t="shared" si="560"/>
        <v>1</v>
      </c>
      <c r="J1516" s="76">
        <f t="shared" si="561"/>
        <v>1</v>
      </c>
      <c r="K1516" s="67">
        <f t="shared" si="562"/>
        <v>0</v>
      </c>
      <c r="L1516" s="67">
        <f t="shared" si="563"/>
        <v>0</v>
      </c>
      <c r="M1516" s="77">
        <f t="shared" si="564"/>
        <v>0</v>
      </c>
      <c r="N1516" s="76">
        <f t="shared" si="565"/>
        <v>1</v>
      </c>
      <c r="O1516" s="77">
        <f t="shared" si="566"/>
        <v>0.90583698030634574</v>
      </c>
      <c r="P1516" s="76">
        <f t="shared" si="567"/>
        <v>0</v>
      </c>
      <c r="Q1516" s="76">
        <f t="shared" si="568"/>
        <v>0.41666666666666669</v>
      </c>
      <c r="R1516" s="76">
        <f t="shared" si="569"/>
        <v>0.58333333333333326</v>
      </c>
      <c r="S1516" s="76">
        <f t="shared" si="570"/>
        <v>0.98460541337646268</v>
      </c>
      <c r="T1516" s="76">
        <f t="shared" si="571"/>
        <v>0.98894610408143846</v>
      </c>
      <c r="U1516" s="76">
        <f t="shared" si="572"/>
        <v>1</v>
      </c>
    </row>
    <row r="1517" spans="1:21" x14ac:dyDescent="0.25">
      <c r="A1517" s="71">
        <v>35</v>
      </c>
      <c r="B1517" s="72">
        <f t="shared" si="573"/>
        <v>46692</v>
      </c>
      <c r="C1517" s="73">
        <f t="shared" si="554"/>
        <v>46721</v>
      </c>
      <c r="D1517" s="67">
        <f t="shared" si="555"/>
        <v>30</v>
      </c>
      <c r="E1517" s="67">
        <f t="shared" si="556"/>
        <v>11</v>
      </c>
      <c r="F1517" s="74">
        <f t="shared" si="557"/>
        <v>46707</v>
      </c>
      <c r="G1517" s="67">
        <f t="shared" si="558"/>
        <v>24334</v>
      </c>
      <c r="H1517" s="75">
        <f t="shared" si="559"/>
        <v>1</v>
      </c>
      <c r="I1517" s="76">
        <f t="shared" si="560"/>
        <v>1</v>
      </c>
      <c r="J1517" s="76">
        <f t="shared" si="561"/>
        <v>1</v>
      </c>
      <c r="K1517" s="67">
        <f t="shared" si="562"/>
        <v>0</v>
      </c>
      <c r="L1517" s="67">
        <f t="shared" si="563"/>
        <v>0</v>
      </c>
      <c r="M1517" s="77">
        <f t="shared" si="564"/>
        <v>0</v>
      </c>
      <c r="N1517" s="76">
        <f t="shared" si="565"/>
        <v>1</v>
      </c>
      <c r="O1517" s="77">
        <f t="shared" si="566"/>
        <v>0.9055032822757112</v>
      </c>
      <c r="P1517" s="76">
        <f t="shared" si="567"/>
        <v>0</v>
      </c>
      <c r="Q1517" s="76">
        <f t="shared" si="568"/>
        <v>0.25</v>
      </c>
      <c r="R1517" s="76">
        <f t="shared" si="569"/>
        <v>0.75</v>
      </c>
      <c r="S1517" s="76">
        <f t="shared" si="570"/>
        <v>0.98424269812577303</v>
      </c>
      <c r="T1517" s="76">
        <f t="shared" si="571"/>
        <v>0.9885833888307487</v>
      </c>
      <c r="U1517" s="76">
        <f t="shared" si="572"/>
        <v>1</v>
      </c>
    </row>
    <row r="1518" spans="1:21" x14ac:dyDescent="0.25">
      <c r="A1518" s="71">
        <v>36</v>
      </c>
      <c r="B1518" s="72">
        <f t="shared" si="573"/>
        <v>46722</v>
      </c>
      <c r="C1518" s="73">
        <f t="shared" si="554"/>
        <v>46752</v>
      </c>
      <c r="D1518" s="67">
        <f t="shared" si="555"/>
        <v>31</v>
      </c>
      <c r="E1518" s="67">
        <f t="shared" si="556"/>
        <v>12</v>
      </c>
      <c r="F1518" s="74">
        <f t="shared" si="557"/>
        <v>46737.5</v>
      </c>
      <c r="G1518" s="67">
        <f t="shared" si="558"/>
        <v>24335</v>
      </c>
      <c r="H1518" s="75">
        <f t="shared" si="559"/>
        <v>1</v>
      </c>
      <c r="I1518" s="76">
        <f t="shared" si="560"/>
        <v>1</v>
      </c>
      <c r="J1518" s="76">
        <f t="shared" si="561"/>
        <v>1</v>
      </c>
      <c r="K1518" s="67">
        <f t="shared" si="562"/>
        <v>0</v>
      </c>
      <c r="L1518" s="67">
        <f t="shared" si="563"/>
        <v>0</v>
      </c>
      <c r="M1518" s="77">
        <f t="shared" si="564"/>
        <v>0</v>
      </c>
      <c r="N1518" s="76">
        <f t="shared" si="565"/>
        <v>1</v>
      </c>
      <c r="O1518" s="77">
        <f t="shared" si="566"/>
        <v>0.90516958424507665</v>
      </c>
      <c r="P1518" s="76">
        <f t="shared" si="567"/>
        <v>0</v>
      </c>
      <c r="Q1518" s="76">
        <f t="shared" si="568"/>
        <v>8.3333333333333329E-2</v>
      </c>
      <c r="R1518" s="76">
        <f t="shared" si="569"/>
        <v>0.91666666666666663</v>
      </c>
      <c r="S1518" s="76">
        <f t="shared" si="570"/>
        <v>0.98387998287508327</v>
      </c>
      <c r="T1518" s="76">
        <f t="shared" si="571"/>
        <v>0.98822067358005905</v>
      </c>
      <c r="U1518" s="76">
        <f t="shared" si="572"/>
        <v>1</v>
      </c>
    </row>
    <row r="1519" spans="1:21" x14ac:dyDescent="0.25">
      <c r="A1519" s="71">
        <v>37</v>
      </c>
      <c r="B1519" s="72">
        <f t="shared" si="573"/>
        <v>46753</v>
      </c>
      <c r="C1519" s="73">
        <f t="shared" si="554"/>
        <v>46783</v>
      </c>
      <c r="D1519" s="67">
        <f t="shared" si="555"/>
        <v>31</v>
      </c>
      <c r="E1519" s="67">
        <f t="shared" si="556"/>
        <v>1</v>
      </c>
      <c r="F1519" s="74">
        <f t="shared" si="557"/>
        <v>46768.5</v>
      </c>
      <c r="G1519" s="67">
        <f t="shared" si="558"/>
        <v>24336</v>
      </c>
      <c r="H1519" s="75">
        <f t="shared" si="559"/>
        <v>1</v>
      </c>
      <c r="I1519" s="76">
        <f t="shared" si="560"/>
        <v>1</v>
      </c>
      <c r="J1519" s="76">
        <f t="shared" si="561"/>
        <v>1</v>
      </c>
      <c r="K1519" s="67">
        <f t="shared" si="562"/>
        <v>0</v>
      </c>
      <c r="L1519" s="67">
        <f t="shared" si="563"/>
        <v>0</v>
      </c>
      <c r="M1519" s="77">
        <f t="shared" si="564"/>
        <v>0</v>
      </c>
      <c r="N1519" s="76">
        <f t="shared" si="565"/>
        <v>1</v>
      </c>
      <c r="O1519" s="77">
        <f t="shared" si="566"/>
        <v>0.90500000000000003</v>
      </c>
      <c r="P1519" s="76">
        <f t="shared" si="567"/>
        <v>0</v>
      </c>
      <c r="Q1519" s="76">
        <f t="shared" si="568"/>
        <v>0</v>
      </c>
      <c r="R1519" s="76">
        <f t="shared" si="569"/>
        <v>1</v>
      </c>
      <c r="S1519" s="76">
        <f t="shared" si="570"/>
        <v>0.98369565217391308</v>
      </c>
      <c r="T1519" s="76">
        <f t="shared" si="571"/>
        <v>0.99219270288269434</v>
      </c>
      <c r="U1519" s="76">
        <f t="shared" si="572"/>
        <v>1</v>
      </c>
    </row>
    <row r="1520" spans="1:21" x14ac:dyDescent="0.25">
      <c r="A1520" s="71">
        <v>38</v>
      </c>
      <c r="B1520" s="72">
        <f t="shared" si="573"/>
        <v>46784</v>
      </c>
      <c r="C1520" s="73">
        <f t="shared" si="554"/>
        <v>46812</v>
      </c>
      <c r="D1520" s="67">
        <f t="shared" si="555"/>
        <v>29</v>
      </c>
      <c r="E1520" s="67">
        <f t="shared" si="556"/>
        <v>2</v>
      </c>
      <c r="F1520" s="74">
        <f t="shared" si="557"/>
        <v>46798.5</v>
      </c>
      <c r="G1520" s="67">
        <f t="shared" si="558"/>
        <v>24337</v>
      </c>
      <c r="H1520" s="75">
        <f t="shared" si="559"/>
        <v>1</v>
      </c>
      <c r="I1520" s="76">
        <f t="shared" si="560"/>
        <v>1</v>
      </c>
      <c r="J1520" s="76">
        <f t="shared" si="561"/>
        <v>1</v>
      </c>
      <c r="K1520" s="67">
        <f t="shared" si="562"/>
        <v>0</v>
      </c>
      <c r="L1520" s="67">
        <f t="shared" si="563"/>
        <v>0</v>
      </c>
      <c r="M1520" s="77">
        <f t="shared" si="564"/>
        <v>0</v>
      </c>
      <c r="N1520" s="76">
        <f t="shared" si="565"/>
        <v>1</v>
      </c>
      <c r="O1520" s="77">
        <f t="shared" si="566"/>
        <v>0.90500000000000003</v>
      </c>
      <c r="P1520" s="76">
        <f t="shared" si="567"/>
        <v>0</v>
      </c>
      <c r="Q1520" s="76">
        <f t="shared" si="568"/>
        <v>0</v>
      </c>
      <c r="R1520" s="76">
        <f t="shared" si="569"/>
        <v>1</v>
      </c>
      <c r="S1520" s="76">
        <f t="shared" si="570"/>
        <v>0.98369565217391308</v>
      </c>
      <c r="T1520" s="76">
        <f t="shared" si="571"/>
        <v>0.99184187993530581</v>
      </c>
      <c r="U1520" s="76">
        <f t="shared" si="572"/>
        <v>1</v>
      </c>
    </row>
    <row r="1521" spans="1:21" x14ac:dyDescent="0.25">
      <c r="A1521" s="71">
        <v>39</v>
      </c>
      <c r="B1521" s="72">
        <f t="shared" si="573"/>
        <v>46813</v>
      </c>
      <c r="C1521" s="73">
        <f t="shared" si="554"/>
        <v>46843</v>
      </c>
      <c r="D1521" s="67">
        <f t="shared" si="555"/>
        <v>31</v>
      </c>
      <c r="E1521" s="67">
        <f t="shared" si="556"/>
        <v>3</v>
      </c>
      <c r="F1521" s="74">
        <f t="shared" si="557"/>
        <v>46828.5</v>
      </c>
      <c r="G1521" s="67">
        <f t="shared" si="558"/>
        <v>24338</v>
      </c>
      <c r="H1521" s="75">
        <f t="shared" si="559"/>
        <v>1</v>
      </c>
      <c r="I1521" s="76">
        <f t="shared" si="560"/>
        <v>1</v>
      </c>
      <c r="J1521" s="76">
        <f t="shared" si="561"/>
        <v>1</v>
      </c>
      <c r="K1521" s="67">
        <f t="shared" si="562"/>
        <v>0</v>
      </c>
      <c r="L1521" s="67">
        <f t="shared" si="563"/>
        <v>0</v>
      </c>
      <c r="M1521" s="77">
        <f t="shared" si="564"/>
        <v>0</v>
      </c>
      <c r="N1521" s="76">
        <f t="shared" si="565"/>
        <v>1</v>
      </c>
      <c r="O1521" s="77">
        <f t="shared" si="566"/>
        <v>0.90500000000000003</v>
      </c>
      <c r="P1521" s="76">
        <f t="shared" si="567"/>
        <v>0</v>
      </c>
      <c r="Q1521" s="76">
        <f t="shared" si="568"/>
        <v>0</v>
      </c>
      <c r="R1521" s="76">
        <f t="shared" si="569"/>
        <v>1</v>
      </c>
      <c r="S1521" s="76">
        <f t="shared" si="570"/>
        <v>0.98369565217391308</v>
      </c>
      <c r="T1521" s="76">
        <f t="shared" si="571"/>
        <v>0.9914910569879174</v>
      </c>
      <c r="U1521" s="76">
        <f t="shared" si="572"/>
        <v>1</v>
      </c>
    </row>
    <row r="1522" spans="1:21" x14ac:dyDescent="0.25">
      <c r="A1522" s="71">
        <v>40</v>
      </c>
      <c r="B1522" s="72">
        <f t="shared" si="573"/>
        <v>46844</v>
      </c>
      <c r="C1522" s="73">
        <f t="shared" si="554"/>
        <v>46873</v>
      </c>
      <c r="D1522" s="67">
        <f t="shared" si="555"/>
        <v>30</v>
      </c>
      <c r="E1522" s="67">
        <f t="shared" si="556"/>
        <v>4</v>
      </c>
      <c r="F1522" s="74">
        <f t="shared" si="557"/>
        <v>46859</v>
      </c>
      <c r="G1522" s="67">
        <f t="shared" si="558"/>
        <v>24339</v>
      </c>
      <c r="H1522" s="75">
        <f t="shared" si="559"/>
        <v>1</v>
      </c>
      <c r="I1522" s="76">
        <f t="shared" si="560"/>
        <v>1</v>
      </c>
      <c r="J1522" s="76">
        <f t="shared" si="561"/>
        <v>1</v>
      </c>
      <c r="K1522" s="67">
        <f t="shared" si="562"/>
        <v>0</v>
      </c>
      <c r="L1522" s="67">
        <f t="shared" si="563"/>
        <v>0</v>
      </c>
      <c r="M1522" s="77">
        <f t="shared" si="564"/>
        <v>0</v>
      </c>
      <c r="N1522" s="76">
        <f t="shared" si="565"/>
        <v>1</v>
      </c>
      <c r="O1522" s="77">
        <f t="shared" si="566"/>
        <v>0.90500000000000003</v>
      </c>
      <c r="P1522" s="76">
        <f t="shared" si="567"/>
        <v>0</v>
      </c>
      <c r="Q1522" s="76">
        <f t="shared" si="568"/>
        <v>0</v>
      </c>
      <c r="R1522" s="76">
        <f t="shared" si="569"/>
        <v>1</v>
      </c>
      <c r="S1522" s="76">
        <f t="shared" si="570"/>
        <v>0.98369565217391308</v>
      </c>
      <c r="T1522" s="76">
        <f t="shared" si="571"/>
        <v>0.99112834173722764</v>
      </c>
      <c r="U1522" s="76">
        <f t="shared" si="572"/>
        <v>1</v>
      </c>
    </row>
    <row r="1523" spans="1:21" x14ac:dyDescent="0.25">
      <c r="A1523" s="71">
        <v>41</v>
      </c>
      <c r="B1523" s="72">
        <f t="shared" si="573"/>
        <v>46874</v>
      </c>
      <c r="C1523" s="73">
        <f t="shared" si="554"/>
        <v>46904</v>
      </c>
      <c r="D1523" s="67">
        <f t="shared" si="555"/>
        <v>31</v>
      </c>
      <c r="E1523" s="67">
        <f t="shared" si="556"/>
        <v>5</v>
      </c>
      <c r="F1523" s="74">
        <f t="shared" si="557"/>
        <v>46889.5</v>
      </c>
      <c r="G1523" s="67">
        <f t="shared" si="558"/>
        <v>24340</v>
      </c>
      <c r="H1523" s="75">
        <f t="shared" si="559"/>
        <v>1</v>
      </c>
      <c r="I1523" s="76">
        <f t="shared" si="560"/>
        <v>1</v>
      </c>
      <c r="J1523" s="76">
        <f t="shared" si="561"/>
        <v>1</v>
      </c>
      <c r="K1523" s="67">
        <f t="shared" si="562"/>
        <v>0</v>
      </c>
      <c r="L1523" s="67">
        <f t="shared" si="563"/>
        <v>0</v>
      </c>
      <c r="M1523" s="77">
        <f t="shared" si="564"/>
        <v>0</v>
      </c>
      <c r="N1523" s="76">
        <f t="shared" si="565"/>
        <v>1</v>
      </c>
      <c r="O1523" s="77">
        <f t="shared" si="566"/>
        <v>0.90500000000000003</v>
      </c>
      <c r="P1523" s="76">
        <f t="shared" si="567"/>
        <v>0</v>
      </c>
      <c r="Q1523" s="76">
        <f t="shared" si="568"/>
        <v>0</v>
      </c>
      <c r="R1523" s="76">
        <f t="shared" si="569"/>
        <v>1</v>
      </c>
      <c r="S1523" s="76">
        <f t="shared" si="570"/>
        <v>0.98369565217391308</v>
      </c>
      <c r="T1523" s="76">
        <f t="shared" si="571"/>
        <v>0.99076562648653799</v>
      </c>
      <c r="U1523" s="76">
        <f t="shared" si="572"/>
        <v>1</v>
      </c>
    </row>
    <row r="1524" spans="1:21" x14ac:dyDescent="0.25">
      <c r="A1524" s="71">
        <v>42</v>
      </c>
      <c r="B1524" s="72">
        <f t="shared" si="573"/>
        <v>46905</v>
      </c>
      <c r="C1524" s="73">
        <f t="shared" si="554"/>
        <v>46934</v>
      </c>
      <c r="D1524" s="67">
        <f t="shared" si="555"/>
        <v>30</v>
      </c>
      <c r="E1524" s="67">
        <f t="shared" si="556"/>
        <v>6</v>
      </c>
      <c r="F1524" s="74">
        <f t="shared" si="557"/>
        <v>46920</v>
      </c>
      <c r="G1524" s="67">
        <f t="shared" si="558"/>
        <v>24341</v>
      </c>
      <c r="H1524" s="75">
        <f t="shared" si="559"/>
        <v>1</v>
      </c>
      <c r="I1524" s="76">
        <f t="shared" si="560"/>
        <v>1</v>
      </c>
      <c r="J1524" s="76">
        <f t="shared" si="561"/>
        <v>1</v>
      </c>
      <c r="K1524" s="67">
        <f t="shared" si="562"/>
        <v>0</v>
      </c>
      <c r="L1524" s="67">
        <f t="shared" si="563"/>
        <v>0</v>
      </c>
      <c r="M1524" s="77">
        <f t="shared" si="564"/>
        <v>0</v>
      </c>
      <c r="N1524" s="76">
        <f t="shared" si="565"/>
        <v>1</v>
      </c>
      <c r="O1524" s="77">
        <f t="shared" si="566"/>
        <v>0.90500000000000003</v>
      </c>
      <c r="P1524" s="76">
        <f t="shared" si="567"/>
        <v>0</v>
      </c>
      <c r="Q1524" s="76">
        <f t="shared" si="568"/>
        <v>0</v>
      </c>
      <c r="R1524" s="76">
        <f t="shared" si="569"/>
        <v>1</v>
      </c>
      <c r="S1524" s="76">
        <f t="shared" si="570"/>
        <v>0.98369565217391308</v>
      </c>
      <c r="T1524" s="76">
        <f t="shared" si="571"/>
        <v>0.99040291123584812</v>
      </c>
      <c r="U1524" s="76">
        <f t="shared" si="572"/>
        <v>1</v>
      </c>
    </row>
    <row r="1525" spans="1:21" x14ac:dyDescent="0.25">
      <c r="A1525" s="71">
        <v>43</v>
      </c>
      <c r="B1525" s="72">
        <f t="shared" si="573"/>
        <v>46935</v>
      </c>
      <c r="C1525" s="73">
        <f t="shared" si="554"/>
        <v>46965</v>
      </c>
      <c r="D1525" s="67">
        <f t="shared" si="555"/>
        <v>31</v>
      </c>
      <c r="E1525" s="67">
        <f t="shared" si="556"/>
        <v>7</v>
      </c>
      <c r="F1525" s="74">
        <f t="shared" si="557"/>
        <v>46950.5</v>
      </c>
      <c r="G1525" s="67">
        <f t="shared" si="558"/>
        <v>24342</v>
      </c>
      <c r="H1525" s="75">
        <f t="shared" si="559"/>
        <v>1</v>
      </c>
      <c r="I1525" s="76">
        <f t="shared" si="560"/>
        <v>1</v>
      </c>
      <c r="J1525" s="76">
        <f t="shared" si="561"/>
        <v>1</v>
      </c>
      <c r="K1525" s="67">
        <f t="shared" si="562"/>
        <v>0</v>
      </c>
      <c r="L1525" s="67">
        <f t="shared" si="563"/>
        <v>0</v>
      </c>
      <c r="M1525" s="77">
        <f t="shared" si="564"/>
        <v>0</v>
      </c>
      <c r="N1525" s="76">
        <f t="shared" si="565"/>
        <v>1</v>
      </c>
      <c r="O1525" s="77">
        <f t="shared" si="566"/>
        <v>0.90500000000000003</v>
      </c>
      <c r="P1525" s="76">
        <f t="shared" si="567"/>
        <v>0</v>
      </c>
      <c r="Q1525" s="76">
        <f t="shared" si="568"/>
        <v>0</v>
      </c>
      <c r="R1525" s="76">
        <f t="shared" si="569"/>
        <v>0.91666666666666663</v>
      </c>
      <c r="S1525" s="76">
        <f t="shared" si="570"/>
        <v>0.98369565217391308</v>
      </c>
      <c r="T1525" s="76">
        <f t="shared" si="571"/>
        <v>0.99004019598515836</v>
      </c>
      <c r="U1525" s="76">
        <f t="shared" si="572"/>
        <v>1</v>
      </c>
    </row>
    <row r="1526" spans="1:21" x14ac:dyDescent="0.25">
      <c r="A1526" s="71">
        <v>44</v>
      </c>
      <c r="B1526" s="72">
        <f t="shared" si="573"/>
        <v>46966</v>
      </c>
      <c r="C1526" s="73">
        <f t="shared" si="554"/>
        <v>46996</v>
      </c>
      <c r="D1526" s="67">
        <f t="shared" si="555"/>
        <v>31</v>
      </c>
      <c r="E1526" s="67">
        <f t="shared" si="556"/>
        <v>8</v>
      </c>
      <c r="F1526" s="74">
        <f t="shared" si="557"/>
        <v>46981.5</v>
      </c>
      <c r="G1526" s="67">
        <f t="shared" si="558"/>
        <v>24343</v>
      </c>
      <c r="H1526" s="75">
        <f t="shared" si="559"/>
        <v>1</v>
      </c>
      <c r="I1526" s="76">
        <f t="shared" si="560"/>
        <v>1</v>
      </c>
      <c r="J1526" s="76">
        <f t="shared" si="561"/>
        <v>1</v>
      </c>
      <c r="K1526" s="67">
        <f t="shared" si="562"/>
        <v>0</v>
      </c>
      <c r="L1526" s="67">
        <f t="shared" si="563"/>
        <v>0</v>
      </c>
      <c r="M1526" s="77">
        <f t="shared" si="564"/>
        <v>0</v>
      </c>
      <c r="N1526" s="76">
        <f t="shared" si="565"/>
        <v>1</v>
      </c>
      <c r="O1526" s="77">
        <f t="shared" si="566"/>
        <v>0.90500000000000003</v>
      </c>
      <c r="P1526" s="76">
        <f t="shared" si="567"/>
        <v>0</v>
      </c>
      <c r="Q1526" s="76">
        <f t="shared" si="568"/>
        <v>0</v>
      </c>
      <c r="R1526" s="76">
        <f t="shared" si="569"/>
        <v>0.75</v>
      </c>
      <c r="S1526" s="76">
        <f t="shared" si="570"/>
        <v>0.98369565217391308</v>
      </c>
      <c r="T1526" s="76">
        <f t="shared" si="571"/>
        <v>0.98967153458281798</v>
      </c>
      <c r="U1526" s="76">
        <f t="shared" si="572"/>
        <v>1</v>
      </c>
    </row>
    <row r="1527" spans="1:21" x14ac:dyDescent="0.25">
      <c r="A1527" s="71">
        <v>45</v>
      </c>
      <c r="B1527" s="72">
        <f t="shared" si="573"/>
        <v>46997</v>
      </c>
      <c r="C1527" s="73">
        <f t="shared" si="554"/>
        <v>47026</v>
      </c>
      <c r="D1527" s="67">
        <f t="shared" si="555"/>
        <v>30</v>
      </c>
      <c r="E1527" s="67">
        <f t="shared" si="556"/>
        <v>9</v>
      </c>
      <c r="F1527" s="74">
        <f t="shared" si="557"/>
        <v>47012</v>
      </c>
      <c r="G1527" s="67">
        <f t="shared" si="558"/>
        <v>24344</v>
      </c>
      <c r="H1527" s="75">
        <f t="shared" si="559"/>
        <v>1</v>
      </c>
      <c r="I1527" s="76">
        <f t="shared" si="560"/>
        <v>1</v>
      </c>
      <c r="J1527" s="76">
        <f t="shared" si="561"/>
        <v>1</v>
      </c>
      <c r="K1527" s="67">
        <f t="shared" si="562"/>
        <v>0</v>
      </c>
      <c r="L1527" s="67">
        <f t="shared" si="563"/>
        <v>0</v>
      </c>
      <c r="M1527" s="77">
        <f t="shared" si="564"/>
        <v>0</v>
      </c>
      <c r="N1527" s="76">
        <f t="shared" si="565"/>
        <v>1</v>
      </c>
      <c r="O1527" s="77">
        <f t="shared" si="566"/>
        <v>0.90500000000000003</v>
      </c>
      <c r="P1527" s="76">
        <f t="shared" si="567"/>
        <v>0</v>
      </c>
      <c r="Q1527" s="76">
        <f t="shared" si="568"/>
        <v>0</v>
      </c>
      <c r="R1527" s="76">
        <f t="shared" si="569"/>
        <v>0.58333333333333337</v>
      </c>
      <c r="S1527" s="76">
        <f t="shared" si="570"/>
        <v>0.98369565217391308</v>
      </c>
      <c r="T1527" s="76">
        <f t="shared" si="571"/>
        <v>0.98930881933212833</v>
      </c>
      <c r="U1527" s="76">
        <f t="shared" si="572"/>
        <v>1</v>
      </c>
    </row>
    <row r="1528" spans="1:21" x14ac:dyDescent="0.25">
      <c r="A1528" s="71">
        <v>46</v>
      </c>
      <c r="B1528" s="72">
        <f t="shared" si="573"/>
        <v>47027</v>
      </c>
      <c r="C1528" s="73">
        <f t="shared" si="554"/>
        <v>47057</v>
      </c>
      <c r="D1528" s="67">
        <f t="shared" si="555"/>
        <v>31</v>
      </c>
      <c r="E1528" s="67">
        <f t="shared" si="556"/>
        <v>10</v>
      </c>
      <c r="F1528" s="74">
        <f t="shared" si="557"/>
        <v>47042.5</v>
      </c>
      <c r="G1528" s="67">
        <f t="shared" si="558"/>
        <v>24345</v>
      </c>
      <c r="H1528" s="75">
        <f t="shared" si="559"/>
        <v>1</v>
      </c>
      <c r="I1528" s="76">
        <f t="shared" si="560"/>
        <v>1</v>
      </c>
      <c r="J1528" s="76">
        <f t="shared" si="561"/>
        <v>1</v>
      </c>
      <c r="K1528" s="67">
        <f t="shared" si="562"/>
        <v>0</v>
      </c>
      <c r="L1528" s="67">
        <f t="shared" si="563"/>
        <v>0</v>
      </c>
      <c r="M1528" s="77">
        <f t="shared" si="564"/>
        <v>0</v>
      </c>
      <c r="N1528" s="76">
        <f t="shared" si="565"/>
        <v>1</v>
      </c>
      <c r="O1528" s="77">
        <f t="shared" si="566"/>
        <v>0.90500000000000003</v>
      </c>
      <c r="P1528" s="76">
        <f t="shared" si="567"/>
        <v>0</v>
      </c>
      <c r="Q1528" s="76">
        <f t="shared" si="568"/>
        <v>0</v>
      </c>
      <c r="R1528" s="76">
        <f t="shared" si="569"/>
        <v>0.41666666666666669</v>
      </c>
      <c r="S1528" s="76">
        <f t="shared" si="570"/>
        <v>0.98369565217391308</v>
      </c>
      <c r="T1528" s="76">
        <f t="shared" si="571"/>
        <v>0.98894610408143846</v>
      </c>
      <c r="U1528" s="76">
        <f t="shared" si="572"/>
        <v>1</v>
      </c>
    </row>
    <row r="1529" spans="1:21" x14ac:dyDescent="0.25">
      <c r="A1529" s="71">
        <v>47</v>
      </c>
      <c r="B1529" s="72">
        <f t="shared" si="573"/>
        <v>47058</v>
      </c>
      <c r="C1529" s="73">
        <f t="shared" si="554"/>
        <v>47087</v>
      </c>
      <c r="D1529" s="67">
        <f t="shared" si="555"/>
        <v>30</v>
      </c>
      <c r="E1529" s="67">
        <f t="shared" si="556"/>
        <v>11</v>
      </c>
      <c r="F1529" s="74">
        <f t="shared" si="557"/>
        <v>47073</v>
      </c>
      <c r="G1529" s="67">
        <f t="shared" si="558"/>
        <v>24346</v>
      </c>
      <c r="H1529" s="75">
        <f t="shared" si="559"/>
        <v>1</v>
      </c>
      <c r="I1529" s="76">
        <f t="shared" si="560"/>
        <v>1</v>
      </c>
      <c r="J1529" s="76">
        <f t="shared" si="561"/>
        <v>1</v>
      </c>
      <c r="K1529" s="67">
        <f t="shared" si="562"/>
        <v>0</v>
      </c>
      <c r="L1529" s="67">
        <f t="shared" si="563"/>
        <v>0</v>
      </c>
      <c r="M1529" s="77">
        <f t="shared" si="564"/>
        <v>0</v>
      </c>
      <c r="N1529" s="76">
        <f t="shared" si="565"/>
        <v>1</v>
      </c>
      <c r="O1529" s="77">
        <f t="shared" si="566"/>
        <v>0.90500000000000003</v>
      </c>
      <c r="P1529" s="76">
        <f t="shared" si="567"/>
        <v>0</v>
      </c>
      <c r="Q1529" s="76">
        <f t="shared" si="568"/>
        <v>0</v>
      </c>
      <c r="R1529" s="76">
        <f t="shared" si="569"/>
        <v>0.25</v>
      </c>
      <c r="S1529" s="76">
        <f t="shared" si="570"/>
        <v>0.98369565217391308</v>
      </c>
      <c r="T1529" s="76">
        <f t="shared" si="571"/>
        <v>0.9885833888307487</v>
      </c>
      <c r="U1529" s="76">
        <f t="shared" si="572"/>
        <v>1</v>
      </c>
    </row>
    <row r="1530" spans="1:21" x14ac:dyDescent="0.25">
      <c r="A1530" s="71">
        <v>48</v>
      </c>
      <c r="B1530" s="72">
        <f t="shared" si="573"/>
        <v>47088</v>
      </c>
      <c r="C1530" s="73">
        <f t="shared" si="554"/>
        <v>47118</v>
      </c>
      <c r="D1530" s="67">
        <f t="shared" si="555"/>
        <v>31</v>
      </c>
      <c r="E1530" s="67">
        <f t="shared" si="556"/>
        <v>12</v>
      </c>
      <c r="F1530" s="74">
        <f t="shared" si="557"/>
        <v>47103.5</v>
      </c>
      <c r="G1530" s="67">
        <f t="shared" si="558"/>
        <v>24347</v>
      </c>
      <c r="H1530" s="75">
        <f t="shared" si="559"/>
        <v>1</v>
      </c>
      <c r="I1530" s="76">
        <f t="shared" si="560"/>
        <v>1</v>
      </c>
      <c r="J1530" s="76">
        <f t="shared" si="561"/>
        <v>1</v>
      </c>
      <c r="K1530" s="67">
        <f t="shared" si="562"/>
        <v>0</v>
      </c>
      <c r="L1530" s="67">
        <f t="shared" si="563"/>
        <v>0</v>
      </c>
      <c r="M1530" s="77">
        <f t="shared" si="564"/>
        <v>0</v>
      </c>
      <c r="N1530" s="76">
        <f t="shared" si="565"/>
        <v>1</v>
      </c>
      <c r="O1530" s="77">
        <f t="shared" si="566"/>
        <v>0.90500000000000003</v>
      </c>
      <c r="P1530" s="76">
        <f t="shared" si="567"/>
        <v>0</v>
      </c>
      <c r="Q1530" s="76">
        <f t="shared" si="568"/>
        <v>0</v>
      </c>
      <c r="R1530" s="76">
        <f t="shared" si="569"/>
        <v>8.3333333333333329E-2</v>
      </c>
      <c r="S1530" s="76">
        <f t="shared" si="570"/>
        <v>0.98369565217391308</v>
      </c>
      <c r="T1530" s="76">
        <f t="shared" si="571"/>
        <v>0.98822067358005905</v>
      </c>
      <c r="U1530" s="76">
        <f t="shared" si="572"/>
        <v>1</v>
      </c>
    </row>
    <row r="1531" spans="1:21" x14ac:dyDescent="0.25">
      <c r="A1531" s="81" t="s">
        <v>1187</v>
      </c>
      <c r="B1531" s="53">
        <f>EXP(SUMPRODUCT((rl_key=$A$1480)*(rl_cons="Y")*rl_ln1p))</f>
        <v>1</v>
      </c>
      <c r="C1531" s="53">
        <f>SUMPRODUCT($H$1483:$H$1530,$P$1483:$P$1530,$U$1483:$U$1530)/SUMPRODUCT($H$1483:$H$1530,$P$1483:$P$1530)</f>
        <v>1</v>
      </c>
      <c r="D1531" s="53">
        <f>SUMPRODUCT($H$1483:$H$1530,$Q$1483:$Q$1530,$U$1483:$U$1530)/SUMPRODUCT($H$1483:$H$1530,$Q$1483:$Q$1530)</f>
        <v>1</v>
      </c>
      <c r="E1531" s="53">
        <f>SUMPRODUCT($H$1483:$H$1530,$R$1483:$R$1530,$U$1483:$U$1530)/SUMPRODUCT($H$1483:$H$1530,$R$1483:$R$1530)</f>
        <v>1</v>
      </c>
      <c r="F1531" s="172">
        <f>SUMPRODUCT($H$1483:$H$1530,$Q$1483:$Q$1530,$O$1483:$O$1530)/SUMPRODUCT($H$1483:$H$1530,$Q$1483:$Q$1530)</f>
        <v>0.9080037381473377</v>
      </c>
      <c r="G1531" s="172">
        <f>SUMPRODUCT($H$1483:$H$1530,$R$1483:$R$1530,$O$1483:$O$1530)/SUMPRODUCT($H$1483:$H$1530,$R$1483:$R$1530)</f>
        <v>0.90516988815949428</v>
      </c>
    </row>
    <row r="1534" spans="1:21" x14ac:dyDescent="0.25">
      <c r="A1534" s="81" t="str">
        <f>INDEX(lr_key,28)</f>
        <v>BU-B|IL</v>
      </c>
      <c r="B1534" s="81" t="str">
        <f>INDEX(lr_state,28)</f>
        <v>IL</v>
      </c>
      <c r="C1534" s="55">
        <f>nr_TermMonths</f>
        <v>6</v>
      </c>
      <c r="D1534" s="55">
        <f>IF(COUNTIF(se_state,$B1534)=0,0,MATCH($B1534,se_state,0))</f>
        <v>1</v>
      </c>
      <c r="E1534" s="57">
        <f>IF($D1534=0,0,INDEX(se_sum,$D1534))</f>
        <v>11.999999999999998</v>
      </c>
      <c r="F1534" s="172">
        <f>IF(N(INDEX(lr_mind,28))=0,1,INDEX(lr_mind,28))</f>
        <v>0.92</v>
      </c>
      <c r="G1534" s="172">
        <f>IF(N(INDEX(lr_m0,28))=0,1,INDEX(lr_m0,28))</f>
        <v>0.91</v>
      </c>
      <c r="H1534" s="54">
        <f>IF(N(INDEX(lr_m0asof,28))=0,DATE(nr_PlanYear-1,10,1),INDEX(lr_m0asof,28))</f>
        <v>46295</v>
      </c>
      <c r="I1534" s="172">
        <f>IF(N(INDEX(lr_m1,28))=0,1,INDEX(lr_m1,28))</f>
        <v>0.92</v>
      </c>
      <c r="J1534" s="172">
        <f>INDEX(lr_mprior,28)</f>
        <v>0</v>
      </c>
      <c r="K1534" s="172">
        <f>INDEX(lr_m2,28)</f>
        <v>0</v>
      </c>
      <c r="L1534" s="81" t="b">
        <f>NOT(ISBLANK(INDEX(lr_netp,28)))</f>
        <v>0</v>
      </c>
      <c r="M1534" s="52">
        <f>N(INDEX(lr_netp,28))</f>
        <v>0</v>
      </c>
      <c r="N1534" s="52">
        <f>IF(ISBLANK(INDEX(lr_netp1,28)),$M$1534,N(INDEX(lr_netp1,28)))</f>
        <v>0</v>
      </c>
      <c r="O1534" s="55">
        <f>IF(AND(nr_ModAdjMaster="ON",INDEX(lr_modadj,28)="ON"),1,0)</f>
        <v>1</v>
      </c>
    </row>
    <row r="1535" spans="1:21" x14ac:dyDescent="0.25">
      <c r="A1535" s="81">
        <f>EDATE($H$1534,-12)+1</f>
        <v>45931</v>
      </c>
      <c r="B1535" s="81">
        <f>$H$1534+1</f>
        <v>46296</v>
      </c>
      <c r="C1535" s="81">
        <f>DATE(nr_PlanYear,12,31)+1</f>
        <v>46753</v>
      </c>
      <c r="D1535" s="81">
        <f>DATE(nr_PlanYear+1,12,31)+1</f>
        <v>47119</v>
      </c>
      <c r="E1535" s="81">
        <f>IF(N($J$1534)=0,$F$1535-($G$1535-$F$1535)/($C$1535-$B$1535)*($B$1535-$A$1535),$J$1534)</f>
        <v>0.9020131291028447</v>
      </c>
      <c r="F1535" s="81">
        <f>$G$1534</f>
        <v>0.91</v>
      </c>
      <c r="G1535" s="81">
        <f>$I$1534</f>
        <v>0.92</v>
      </c>
      <c r="H1535" s="81">
        <f>IF(N($K$1534)=0,$I$1534,$K$1534)</f>
        <v>0.92</v>
      </c>
      <c r="I1535" s="81">
        <f>($F$1535-$E$1535)/($B$1535-$A$1535)</f>
        <v>2.1881838074398162E-5</v>
      </c>
      <c r="J1535" s="81">
        <f>($G$1535-$F$1535)/($C$1535-$B$1535)</f>
        <v>2.188183807439827E-5</v>
      </c>
      <c r="K1535" s="81">
        <f>($H$1535-$G$1535)/($D$1535-$C$1535)</f>
        <v>0</v>
      </c>
    </row>
    <row r="1536" spans="1:21" ht="36" x14ac:dyDescent="0.25">
      <c r="A1536" s="50" t="s">
        <v>211</v>
      </c>
      <c r="B1536" s="50" t="s">
        <v>212</v>
      </c>
      <c r="C1536" s="50" t="s">
        <v>213</v>
      </c>
      <c r="D1536" s="50" t="s">
        <v>214</v>
      </c>
      <c r="E1536" s="50" t="s">
        <v>215</v>
      </c>
      <c r="F1536" s="50" t="s">
        <v>216</v>
      </c>
      <c r="G1536" s="50" t="s">
        <v>217</v>
      </c>
      <c r="H1536" s="50" t="s">
        <v>218</v>
      </c>
      <c r="I1536" s="50" t="s">
        <v>219</v>
      </c>
      <c r="J1536" s="50" t="s">
        <v>220</v>
      </c>
      <c r="K1536" s="50" t="s">
        <v>221</v>
      </c>
      <c r="L1536" s="50" t="s">
        <v>222</v>
      </c>
      <c r="M1536" s="50" t="s">
        <v>223</v>
      </c>
      <c r="N1536" s="50" t="s">
        <v>224</v>
      </c>
      <c r="O1536" s="50" t="s">
        <v>225</v>
      </c>
      <c r="P1536" s="50" t="s">
        <v>226</v>
      </c>
      <c r="Q1536" s="50" t="s">
        <v>227</v>
      </c>
      <c r="R1536" s="50" t="s">
        <v>228</v>
      </c>
      <c r="S1536" s="50" t="s">
        <v>229</v>
      </c>
      <c r="T1536" s="50" t="s">
        <v>230</v>
      </c>
      <c r="U1536" s="50" t="s">
        <v>231</v>
      </c>
    </row>
    <row r="1537" spans="1:21" x14ac:dyDescent="0.25">
      <c r="A1537" s="71">
        <v>1</v>
      </c>
      <c r="B1537" s="72">
        <f>DATE(nr_PlanYear-2,1,1)</f>
        <v>45658</v>
      </c>
      <c r="C1537" s="73">
        <f t="shared" ref="C1537:C1584" si="574">EOMONTH($B1537,0)</f>
        <v>45688</v>
      </c>
      <c r="D1537" s="67">
        <f t="shared" ref="D1537:D1584" si="575">$C1537-$B1537+1</f>
        <v>31</v>
      </c>
      <c r="E1537" s="67">
        <f t="shared" ref="E1537:E1584" si="576">MONTH($B1537)</f>
        <v>1</v>
      </c>
      <c r="F1537" s="74">
        <f t="shared" ref="F1537:F1584" si="577">($B1537+$C1537+1)/2</f>
        <v>45673.5</v>
      </c>
      <c r="G1537" s="67">
        <f t="shared" ref="G1537:G1584" si="578">YEAR($B1537)*12+MONTH($B1537)-1</f>
        <v>24300</v>
      </c>
      <c r="H1537" s="75">
        <f t="shared" ref="H1537:H1584" si="579">IF(OR(nr_SeasonOn="OFF",$D$1534=0,$E$1534=0),1,12*INDEX(se_block,$D$1534,$E1537)/$E$1534)</f>
        <v>1</v>
      </c>
      <c r="I1537" s="76">
        <f t="shared" ref="I1537:I1584" si="580">EXP(SUMPRODUCT((rl_eff&lt;$B1537)*(rl_key=$A$1534)*rl_ln1p))</f>
        <v>1</v>
      </c>
      <c r="J1537" s="76">
        <f t="shared" ref="J1537:J1584" si="581">EXP(SUMPRODUCT((rl_eff&lt;=$C1537)*(rl_key=$A$1534)*rl_ln1p))</f>
        <v>1</v>
      </c>
      <c r="K1537" s="67">
        <f t="shared" ref="K1537:K1584" si="582">COUNTIFS(rl_key,$A$1534,rl_eff,"&gt;="&amp;$B1537,rl_eff,"&lt;="&amp;$C1537)</f>
        <v>0</v>
      </c>
      <c r="L1537" s="67">
        <f t="shared" ref="L1537:L1584" si="583">SUMIFS(rl_daysafter,rl_key,$A$1534,rl_effmonth,$B1537,rl_first,1)</f>
        <v>0</v>
      </c>
      <c r="M1537" s="77">
        <f t="shared" ref="M1537:M1584" si="584">IF($K1537=0,0,MIN(1,$L1537/$D1537))</f>
        <v>0</v>
      </c>
      <c r="N1537" s="76">
        <f t="shared" ref="N1537:N1584" si="585">IF($K1537=0,$J1537,(1-$M1537)*$I1537+$M1537*$J1537)</f>
        <v>1</v>
      </c>
      <c r="O1537" s="77">
        <f t="shared" ref="O1537:O1584" si="586">IF($F1537&lt;$B$1535,$E$1535+$I$1535*($F1537-$A$1535),IF($F1537&lt;$C$1535,$F$1535+$J$1535*($F1537-$B$1535),$G$1535+$K$1535*($F1537-$C$1535)))</f>
        <v>0.89637855579868719</v>
      </c>
      <c r="P1537" s="76">
        <f t="shared" ref="P1537:P1584" si="587">MIN(1,MAX(0,(nr_MEndPm1-$G1537+0.5)/$C$1534))-MIN(1,MAX(0,(nr_MStartPm1-1-$G1537+0.5)/$C$1534))</f>
        <v>0</v>
      </c>
      <c r="Q1537" s="76">
        <f t="shared" ref="Q1537:Q1584" si="588">MIN(1,MAX(0,(nr_MEndP-$G1537+0.5)/$C$1534))-MIN(1,MAX(0,(nr_MStartP-1-$G1537+0.5)/$C$1534))</f>
        <v>0</v>
      </c>
      <c r="R1537" s="76">
        <f t="shared" ref="R1537:R1584" si="589">MIN(1,MAX(0,(nr_MEndP1-$G1537+0.5)/$C$1534))-MIN(1,MAX(0,(nr_MStartP1-1-$G1537+0.5)/$C$1534))</f>
        <v>0</v>
      </c>
      <c r="S1537" s="76">
        <f t="shared" ref="S1537:S1584" si="590">$N1537*IF($O$1534=1,$O1537/$F$1534,1)</f>
        <v>0.97432451717248603</v>
      </c>
      <c r="T1537" s="76">
        <f t="shared" ref="T1537:T1584" si="591">IF($G1537&lt;nr_MStartP,$S1537,$T1525*(1+IF($G1537&lt;nr_MStartP1,$M$1534,$N$1534)))</f>
        <v>0.97432451717248603</v>
      </c>
      <c r="U1537" s="76">
        <f t="shared" ref="U1537:U1584" si="592">IF($L$1534,$T1537,$N1537)</f>
        <v>1</v>
      </c>
    </row>
    <row r="1538" spans="1:21" x14ac:dyDescent="0.25">
      <c r="A1538" s="71">
        <v>2</v>
      </c>
      <c r="B1538" s="72">
        <f t="shared" ref="B1538:B1584" si="593">EDATE($B1537,1)</f>
        <v>45689</v>
      </c>
      <c r="C1538" s="73">
        <f t="shared" si="574"/>
        <v>45716</v>
      </c>
      <c r="D1538" s="67">
        <f t="shared" si="575"/>
        <v>28</v>
      </c>
      <c r="E1538" s="67">
        <f t="shared" si="576"/>
        <v>2</v>
      </c>
      <c r="F1538" s="74">
        <f t="shared" si="577"/>
        <v>45703</v>
      </c>
      <c r="G1538" s="67">
        <f t="shared" si="578"/>
        <v>24301</v>
      </c>
      <c r="H1538" s="75">
        <f t="shared" si="579"/>
        <v>1</v>
      </c>
      <c r="I1538" s="76">
        <f t="shared" si="580"/>
        <v>1</v>
      </c>
      <c r="J1538" s="76">
        <f t="shared" si="581"/>
        <v>1</v>
      </c>
      <c r="K1538" s="67">
        <f t="shared" si="582"/>
        <v>0</v>
      </c>
      <c r="L1538" s="67">
        <f t="shared" si="583"/>
        <v>0</v>
      </c>
      <c r="M1538" s="77">
        <f t="shared" si="584"/>
        <v>0</v>
      </c>
      <c r="N1538" s="76">
        <f t="shared" si="585"/>
        <v>1</v>
      </c>
      <c r="O1538" s="77">
        <f t="shared" si="586"/>
        <v>0.89702407002188189</v>
      </c>
      <c r="P1538" s="76">
        <f t="shared" si="587"/>
        <v>0</v>
      </c>
      <c r="Q1538" s="76">
        <f t="shared" si="588"/>
        <v>0</v>
      </c>
      <c r="R1538" s="76">
        <f t="shared" si="589"/>
        <v>0</v>
      </c>
      <c r="S1538" s="76">
        <f t="shared" si="590"/>
        <v>0.97502616306726286</v>
      </c>
      <c r="T1538" s="76">
        <f t="shared" si="591"/>
        <v>0.97502616306726286</v>
      </c>
      <c r="U1538" s="76">
        <f t="shared" si="592"/>
        <v>1</v>
      </c>
    </row>
    <row r="1539" spans="1:21" x14ac:dyDescent="0.25">
      <c r="A1539" s="71">
        <v>3</v>
      </c>
      <c r="B1539" s="72">
        <f t="shared" si="593"/>
        <v>45717</v>
      </c>
      <c r="C1539" s="73">
        <f t="shared" si="574"/>
        <v>45747</v>
      </c>
      <c r="D1539" s="67">
        <f t="shared" si="575"/>
        <v>31</v>
      </c>
      <c r="E1539" s="67">
        <f t="shared" si="576"/>
        <v>3</v>
      </c>
      <c r="F1539" s="74">
        <f t="shared" si="577"/>
        <v>45732.5</v>
      </c>
      <c r="G1539" s="67">
        <f t="shared" si="578"/>
        <v>24302</v>
      </c>
      <c r="H1539" s="75">
        <f t="shared" si="579"/>
        <v>1</v>
      </c>
      <c r="I1539" s="76">
        <f t="shared" si="580"/>
        <v>1</v>
      </c>
      <c r="J1539" s="76">
        <f t="shared" si="581"/>
        <v>1</v>
      </c>
      <c r="K1539" s="67">
        <f t="shared" si="582"/>
        <v>0</v>
      </c>
      <c r="L1539" s="67">
        <f t="shared" si="583"/>
        <v>0</v>
      </c>
      <c r="M1539" s="77">
        <f t="shared" si="584"/>
        <v>0</v>
      </c>
      <c r="N1539" s="76">
        <f t="shared" si="585"/>
        <v>1</v>
      </c>
      <c r="O1539" s="77">
        <f t="shared" si="586"/>
        <v>0.8976695842450767</v>
      </c>
      <c r="P1539" s="76">
        <f t="shared" si="587"/>
        <v>0</v>
      </c>
      <c r="Q1539" s="76">
        <f t="shared" si="588"/>
        <v>0</v>
      </c>
      <c r="R1539" s="76">
        <f t="shared" si="589"/>
        <v>0</v>
      </c>
      <c r="S1539" s="76">
        <f t="shared" si="590"/>
        <v>0.97572780896203981</v>
      </c>
      <c r="T1539" s="76">
        <f t="shared" si="591"/>
        <v>0.97572780896203981</v>
      </c>
      <c r="U1539" s="76">
        <f t="shared" si="592"/>
        <v>1</v>
      </c>
    </row>
    <row r="1540" spans="1:21" x14ac:dyDescent="0.25">
      <c r="A1540" s="71">
        <v>4</v>
      </c>
      <c r="B1540" s="72">
        <f t="shared" si="593"/>
        <v>45748</v>
      </c>
      <c r="C1540" s="73">
        <f t="shared" si="574"/>
        <v>45777</v>
      </c>
      <c r="D1540" s="67">
        <f t="shared" si="575"/>
        <v>30</v>
      </c>
      <c r="E1540" s="67">
        <f t="shared" si="576"/>
        <v>4</v>
      </c>
      <c r="F1540" s="74">
        <f t="shared" si="577"/>
        <v>45763</v>
      </c>
      <c r="G1540" s="67">
        <f t="shared" si="578"/>
        <v>24303</v>
      </c>
      <c r="H1540" s="75">
        <f t="shared" si="579"/>
        <v>1</v>
      </c>
      <c r="I1540" s="76">
        <f t="shared" si="580"/>
        <v>1</v>
      </c>
      <c r="J1540" s="76">
        <f t="shared" si="581"/>
        <v>1</v>
      </c>
      <c r="K1540" s="67">
        <f t="shared" si="582"/>
        <v>0</v>
      </c>
      <c r="L1540" s="67">
        <f t="shared" si="583"/>
        <v>0</v>
      </c>
      <c r="M1540" s="77">
        <f t="shared" si="584"/>
        <v>0</v>
      </c>
      <c r="N1540" s="76">
        <f t="shared" si="585"/>
        <v>1</v>
      </c>
      <c r="O1540" s="77">
        <f t="shared" si="586"/>
        <v>0.89833698030634579</v>
      </c>
      <c r="P1540" s="76">
        <f t="shared" si="587"/>
        <v>0</v>
      </c>
      <c r="Q1540" s="76">
        <f t="shared" si="588"/>
        <v>0</v>
      </c>
      <c r="R1540" s="76">
        <f t="shared" si="589"/>
        <v>0</v>
      </c>
      <c r="S1540" s="76">
        <f t="shared" si="590"/>
        <v>0.97645323946341933</v>
      </c>
      <c r="T1540" s="76">
        <f t="shared" si="591"/>
        <v>0.97645323946341933</v>
      </c>
      <c r="U1540" s="76">
        <f t="shared" si="592"/>
        <v>1</v>
      </c>
    </row>
    <row r="1541" spans="1:21" x14ac:dyDescent="0.25">
      <c r="A1541" s="71">
        <v>5</v>
      </c>
      <c r="B1541" s="72">
        <f t="shared" si="593"/>
        <v>45778</v>
      </c>
      <c r="C1541" s="73">
        <f t="shared" si="574"/>
        <v>45808</v>
      </c>
      <c r="D1541" s="67">
        <f t="shared" si="575"/>
        <v>31</v>
      </c>
      <c r="E1541" s="67">
        <f t="shared" si="576"/>
        <v>5</v>
      </c>
      <c r="F1541" s="74">
        <f t="shared" si="577"/>
        <v>45793.5</v>
      </c>
      <c r="G1541" s="67">
        <f t="shared" si="578"/>
        <v>24304</v>
      </c>
      <c r="H1541" s="75">
        <f t="shared" si="579"/>
        <v>1</v>
      </c>
      <c r="I1541" s="76">
        <f t="shared" si="580"/>
        <v>1</v>
      </c>
      <c r="J1541" s="76">
        <f t="shared" si="581"/>
        <v>1</v>
      </c>
      <c r="K1541" s="67">
        <f t="shared" si="582"/>
        <v>0</v>
      </c>
      <c r="L1541" s="67">
        <f t="shared" si="583"/>
        <v>0</v>
      </c>
      <c r="M1541" s="77">
        <f t="shared" si="584"/>
        <v>0</v>
      </c>
      <c r="N1541" s="76">
        <f t="shared" si="585"/>
        <v>1</v>
      </c>
      <c r="O1541" s="77">
        <f t="shared" si="586"/>
        <v>0.89900437636761499</v>
      </c>
      <c r="P1541" s="76">
        <f t="shared" si="587"/>
        <v>0</v>
      </c>
      <c r="Q1541" s="76">
        <f t="shared" si="588"/>
        <v>0</v>
      </c>
      <c r="R1541" s="76">
        <f t="shared" si="589"/>
        <v>0</v>
      </c>
      <c r="S1541" s="76">
        <f t="shared" si="590"/>
        <v>0.97717866996479885</v>
      </c>
      <c r="T1541" s="76">
        <f t="shared" si="591"/>
        <v>0.97717866996479885</v>
      </c>
      <c r="U1541" s="76">
        <f t="shared" si="592"/>
        <v>1</v>
      </c>
    </row>
    <row r="1542" spans="1:21" x14ac:dyDescent="0.25">
      <c r="A1542" s="71">
        <v>6</v>
      </c>
      <c r="B1542" s="72">
        <f t="shared" si="593"/>
        <v>45809</v>
      </c>
      <c r="C1542" s="73">
        <f t="shared" si="574"/>
        <v>45838</v>
      </c>
      <c r="D1542" s="67">
        <f t="shared" si="575"/>
        <v>30</v>
      </c>
      <c r="E1542" s="67">
        <f t="shared" si="576"/>
        <v>6</v>
      </c>
      <c r="F1542" s="74">
        <f t="shared" si="577"/>
        <v>45824</v>
      </c>
      <c r="G1542" s="67">
        <f t="shared" si="578"/>
        <v>24305</v>
      </c>
      <c r="H1542" s="75">
        <f t="shared" si="579"/>
        <v>1</v>
      </c>
      <c r="I1542" s="76">
        <f t="shared" si="580"/>
        <v>1</v>
      </c>
      <c r="J1542" s="76">
        <f t="shared" si="581"/>
        <v>1</v>
      </c>
      <c r="K1542" s="67">
        <f t="shared" si="582"/>
        <v>0</v>
      </c>
      <c r="L1542" s="67">
        <f t="shared" si="583"/>
        <v>0</v>
      </c>
      <c r="M1542" s="77">
        <f t="shared" si="584"/>
        <v>0</v>
      </c>
      <c r="N1542" s="76">
        <f t="shared" si="585"/>
        <v>1</v>
      </c>
      <c r="O1542" s="77">
        <f t="shared" si="586"/>
        <v>0.89967177242888408</v>
      </c>
      <c r="P1542" s="76">
        <f t="shared" si="587"/>
        <v>0</v>
      </c>
      <c r="Q1542" s="76">
        <f t="shared" si="588"/>
        <v>0</v>
      </c>
      <c r="R1542" s="76">
        <f t="shared" si="589"/>
        <v>0</v>
      </c>
      <c r="S1542" s="76">
        <f t="shared" si="590"/>
        <v>0.97790410046617826</v>
      </c>
      <c r="T1542" s="76">
        <f t="shared" si="591"/>
        <v>0.97790410046617826</v>
      </c>
      <c r="U1542" s="76">
        <f t="shared" si="592"/>
        <v>1</v>
      </c>
    </row>
    <row r="1543" spans="1:21" x14ac:dyDescent="0.25">
      <c r="A1543" s="71">
        <v>7</v>
      </c>
      <c r="B1543" s="72">
        <f t="shared" si="593"/>
        <v>45839</v>
      </c>
      <c r="C1543" s="73">
        <f t="shared" si="574"/>
        <v>45869</v>
      </c>
      <c r="D1543" s="67">
        <f t="shared" si="575"/>
        <v>31</v>
      </c>
      <c r="E1543" s="67">
        <f t="shared" si="576"/>
        <v>7</v>
      </c>
      <c r="F1543" s="74">
        <f t="shared" si="577"/>
        <v>45854.5</v>
      </c>
      <c r="G1543" s="67">
        <f t="shared" si="578"/>
        <v>24306</v>
      </c>
      <c r="H1543" s="75">
        <f t="shared" si="579"/>
        <v>1</v>
      </c>
      <c r="I1543" s="76">
        <f t="shared" si="580"/>
        <v>1</v>
      </c>
      <c r="J1543" s="76">
        <f t="shared" si="581"/>
        <v>1</v>
      </c>
      <c r="K1543" s="67">
        <f t="shared" si="582"/>
        <v>0</v>
      </c>
      <c r="L1543" s="67">
        <f t="shared" si="583"/>
        <v>0</v>
      </c>
      <c r="M1543" s="77">
        <f t="shared" si="584"/>
        <v>0</v>
      </c>
      <c r="N1543" s="76">
        <f t="shared" si="585"/>
        <v>1</v>
      </c>
      <c r="O1543" s="77">
        <f t="shared" si="586"/>
        <v>0.90033916849015327</v>
      </c>
      <c r="P1543" s="76">
        <f t="shared" si="587"/>
        <v>8.333333333333337E-2</v>
      </c>
      <c r="Q1543" s="76">
        <f t="shared" si="588"/>
        <v>0</v>
      </c>
      <c r="R1543" s="76">
        <f t="shared" si="589"/>
        <v>0</v>
      </c>
      <c r="S1543" s="76">
        <f t="shared" si="590"/>
        <v>0.97862953096755789</v>
      </c>
      <c r="T1543" s="76">
        <f t="shared" si="591"/>
        <v>0.97862953096755789</v>
      </c>
      <c r="U1543" s="76">
        <f t="shared" si="592"/>
        <v>1</v>
      </c>
    </row>
    <row r="1544" spans="1:21" x14ac:dyDescent="0.25">
      <c r="A1544" s="71">
        <v>8</v>
      </c>
      <c r="B1544" s="72">
        <f t="shared" si="593"/>
        <v>45870</v>
      </c>
      <c r="C1544" s="73">
        <f t="shared" si="574"/>
        <v>45900</v>
      </c>
      <c r="D1544" s="67">
        <f t="shared" si="575"/>
        <v>31</v>
      </c>
      <c r="E1544" s="67">
        <f t="shared" si="576"/>
        <v>8</v>
      </c>
      <c r="F1544" s="74">
        <f t="shared" si="577"/>
        <v>45885.5</v>
      </c>
      <c r="G1544" s="67">
        <f t="shared" si="578"/>
        <v>24307</v>
      </c>
      <c r="H1544" s="75">
        <f t="shared" si="579"/>
        <v>1</v>
      </c>
      <c r="I1544" s="76">
        <f t="shared" si="580"/>
        <v>1</v>
      </c>
      <c r="J1544" s="76">
        <f t="shared" si="581"/>
        <v>1</v>
      </c>
      <c r="K1544" s="67">
        <f t="shared" si="582"/>
        <v>0</v>
      </c>
      <c r="L1544" s="67">
        <f t="shared" si="583"/>
        <v>0</v>
      </c>
      <c r="M1544" s="77">
        <f t="shared" si="584"/>
        <v>0</v>
      </c>
      <c r="N1544" s="76">
        <f t="shared" si="585"/>
        <v>1</v>
      </c>
      <c r="O1544" s="77">
        <f t="shared" si="586"/>
        <v>0.90101750547045956</v>
      </c>
      <c r="P1544" s="76">
        <f t="shared" si="587"/>
        <v>0.25</v>
      </c>
      <c r="Q1544" s="76">
        <f t="shared" si="588"/>
        <v>0</v>
      </c>
      <c r="R1544" s="76">
        <f t="shared" si="589"/>
        <v>0</v>
      </c>
      <c r="S1544" s="76">
        <f t="shared" si="590"/>
        <v>0.97936685377223864</v>
      </c>
      <c r="T1544" s="76">
        <f t="shared" si="591"/>
        <v>0.97936685377223864</v>
      </c>
      <c r="U1544" s="76">
        <f t="shared" si="592"/>
        <v>1</v>
      </c>
    </row>
    <row r="1545" spans="1:21" x14ac:dyDescent="0.25">
      <c r="A1545" s="71">
        <v>9</v>
      </c>
      <c r="B1545" s="72">
        <f t="shared" si="593"/>
        <v>45901</v>
      </c>
      <c r="C1545" s="73">
        <f t="shared" si="574"/>
        <v>45930</v>
      </c>
      <c r="D1545" s="67">
        <f t="shared" si="575"/>
        <v>30</v>
      </c>
      <c r="E1545" s="67">
        <f t="shared" si="576"/>
        <v>9</v>
      </c>
      <c r="F1545" s="74">
        <f t="shared" si="577"/>
        <v>45916</v>
      </c>
      <c r="G1545" s="67">
        <f t="shared" si="578"/>
        <v>24308</v>
      </c>
      <c r="H1545" s="75">
        <f t="shared" si="579"/>
        <v>1</v>
      </c>
      <c r="I1545" s="76">
        <f t="shared" si="580"/>
        <v>1</v>
      </c>
      <c r="J1545" s="76">
        <f t="shared" si="581"/>
        <v>1</v>
      </c>
      <c r="K1545" s="67">
        <f t="shared" si="582"/>
        <v>0</v>
      </c>
      <c r="L1545" s="67">
        <f t="shared" si="583"/>
        <v>0</v>
      </c>
      <c r="M1545" s="77">
        <f t="shared" si="584"/>
        <v>0</v>
      </c>
      <c r="N1545" s="76">
        <f t="shared" si="585"/>
        <v>1</v>
      </c>
      <c r="O1545" s="77">
        <f t="shared" si="586"/>
        <v>0.90168490153172876</v>
      </c>
      <c r="P1545" s="76">
        <f t="shared" si="587"/>
        <v>0.41666666666666663</v>
      </c>
      <c r="Q1545" s="76">
        <f t="shared" si="588"/>
        <v>0</v>
      </c>
      <c r="R1545" s="76">
        <f t="shared" si="589"/>
        <v>0</v>
      </c>
      <c r="S1545" s="76">
        <f t="shared" si="590"/>
        <v>0.98009228427361816</v>
      </c>
      <c r="T1545" s="76">
        <f t="shared" si="591"/>
        <v>0.98009228427361816</v>
      </c>
      <c r="U1545" s="76">
        <f t="shared" si="592"/>
        <v>1</v>
      </c>
    </row>
    <row r="1546" spans="1:21" x14ac:dyDescent="0.25">
      <c r="A1546" s="71">
        <v>10</v>
      </c>
      <c r="B1546" s="72">
        <f t="shared" si="593"/>
        <v>45931</v>
      </c>
      <c r="C1546" s="73">
        <f t="shared" si="574"/>
        <v>45961</v>
      </c>
      <c r="D1546" s="67">
        <f t="shared" si="575"/>
        <v>31</v>
      </c>
      <c r="E1546" s="67">
        <f t="shared" si="576"/>
        <v>10</v>
      </c>
      <c r="F1546" s="74">
        <f t="shared" si="577"/>
        <v>45946.5</v>
      </c>
      <c r="G1546" s="67">
        <f t="shared" si="578"/>
        <v>24309</v>
      </c>
      <c r="H1546" s="75">
        <f t="shared" si="579"/>
        <v>1</v>
      </c>
      <c r="I1546" s="76">
        <f t="shared" si="580"/>
        <v>1</v>
      </c>
      <c r="J1546" s="76">
        <f t="shared" si="581"/>
        <v>1</v>
      </c>
      <c r="K1546" s="67">
        <f t="shared" si="582"/>
        <v>0</v>
      </c>
      <c r="L1546" s="67">
        <f t="shared" si="583"/>
        <v>0</v>
      </c>
      <c r="M1546" s="77">
        <f t="shared" si="584"/>
        <v>0</v>
      </c>
      <c r="N1546" s="76">
        <f t="shared" si="585"/>
        <v>1</v>
      </c>
      <c r="O1546" s="77">
        <f t="shared" si="586"/>
        <v>0.90235229759299784</v>
      </c>
      <c r="P1546" s="76">
        <f t="shared" si="587"/>
        <v>0.58333333333333326</v>
      </c>
      <c r="Q1546" s="76">
        <f t="shared" si="588"/>
        <v>0</v>
      </c>
      <c r="R1546" s="76">
        <f t="shared" si="589"/>
        <v>0</v>
      </c>
      <c r="S1546" s="76">
        <f t="shared" si="590"/>
        <v>0.98081771477499757</v>
      </c>
      <c r="T1546" s="76">
        <f t="shared" si="591"/>
        <v>0.98081771477499757</v>
      </c>
      <c r="U1546" s="76">
        <f t="shared" si="592"/>
        <v>1</v>
      </c>
    </row>
    <row r="1547" spans="1:21" x14ac:dyDescent="0.25">
      <c r="A1547" s="71">
        <v>11</v>
      </c>
      <c r="B1547" s="72">
        <f t="shared" si="593"/>
        <v>45962</v>
      </c>
      <c r="C1547" s="73">
        <f t="shared" si="574"/>
        <v>45991</v>
      </c>
      <c r="D1547" s="67">
        <f t="shared" si="575"/>
        <v>30</v>
      </c>
      <c r="E1547" s="67">
        <f t="shared" si="576"/>
        <v>11</v>
      </c>
      <c r="F1547" s="74">
        <f t="shared" si="577"/>
        <v>45977</v>
      </c>
      <c r="G1547" s="67">
        <f t="shared" si="578"/>
        <v>24310</v>
      </c>
      <c r="H1547" s="75">
        <f t="shared" si="579"/>
        <v>1</v>
      </c>
      <c r="I1547" s="76">
        <f t="shared" si="580"/>
        <v>1</v>
      </c>
      <c r="J1547" s="76">
        <f t="shared" si="581"/>
        <v>1</v>
      </c>
      <c r="K1547" s="67">
        <f t="shared" si="582"/>
        <v>0</v>
      </c>
      <c r="L1547" s="67">
        <f t="shared" si="583"/>
        <v>0</v>
      </c>
      <c r="M1547" s="77">
        <f t="shared" si="584"/>
        <v>0</v>
      </c>
      <c r="N1547" s="76">
        <f t="shared" si="585"/>
        <v>1</v>
      </c>
      <c r="O1547" s="77">
        <f t="shared" si="586"/>
        <v>0.90301969365426704</v>
      </c>
      <c r="P1547" s="76">
        <f t="shared" si="587"/>
        <v>0.75</v>
      </c>
      <c r="Q1547" s="76">
        <f t="shared" si="588"/>
        <v>0</v>
      </c>
      <c r="R1547" s="76">
        <f t="shared" si="589"/>
        <v>0</v>
      </c>
      <c r="S1547" s="76">
        <f t="shared" si="590"/>
        <v>0.9815431452763772</v>
      </c>
      <c r="T1547" s="76">
        <f t="shared" si="591"/>
        <v>0.9815431452763772</v>
      </c>
      <c r="U1547" s="76">
        <f t="shared" si="592"/>
        <v>1</v>
      </c>
    </row>
    <row r="1548" spans="1:21" x14ac:dyDescent="0.25">
      <c r="A1548" s="71">
        <v>12</v>
      </c>
      <c r="B1548" s="72">
        <f t="shared" si="593"/>
        <v>45992</v>
      </c>
      <c r="C1548" s="73">
        <f t="shared" si="574"/>
        <v>46022</v>
      </c>
      <c r="D1548" s="67">
        <f t="shared" si="575"/>
        <v>31</v>
      </c>
      <c r="E1548" s="67">
        <f t="shared" si="576"/>
        <v>12</v>
      </c>
      <c r="F1548" s="74">
        <f t="shared" si="577"/>
        <v>46007.5</v>
      </c>
      <c r="G1548" s="67">
        <f t="shared" si="578"/>
        <v>24311</v>
      </c>
      <c r="H1548" s="75">
        <f t="shared" si="579"/>
        <v>1</v>
      </c>
      <c r="I1548" s="76">
        <f t="shared" si="580"/>
        <v>1</v>
      </c>
      <c r="J1548" s="76">
        <f t="shared" si="581"/>
        <v>1</v>
      </c>
      <c r="K1548" s="67">
        <f t="shared" si="582"/>
        <v>0</v>
      </c>
      <c r="L1548" s="67">
        <f t="shared" si="583"/>
        <v>0</v>
      </c>
      <c r="M1548" s="77">
        <f t="shared" si="584"/>
        <v>0</v>
      </c>
      <c r="N1548" s="76">
        <f t="shared" si="585"/>
        <v>1</v>
      </c>
      <c r="O1548" s="77">
        <f t="shared" si="586"/>
        <v>0.90368708971553613</v>
      </c>
      <c r="P1548" s="76">
        <f t="shared" si="587"/>
        <v>0.91666666666666663</v>
      </c>
      <c r="Q1548" s="76">
        <f t="shared" si="588"/>
        <v>0</v>
      </c>
      <c r="R1548" s="76">
        <f t="shared" si="589"/>
        <v>0</v>
      </c>
      <c r="S1548" s="76">
        <f t="shared" si="590"/>
        <v>0.98226857577775661</v>
      </c>
      <c r="T1548" s="76">
        <f t="shared" si="591"/>
        <v>0.98226857577775661</v>
      </c>
      <c r="U1548" s="76">
        <f t="shared" si="592"/>
        <v>1</v>
      </c>
    </row>
    <row r="1549" spans="1:21" x14ac:dyDescent="0.25">
      <c r="A1549" s="71">
        <v>13</v>
      </c>
      <c r="B1549" s="72">
        <f t="shared" si="593"/>
        <v>46023</v>
      </c>
      <c r="C1549" s="73">
        <f t="shared" si="574"/>
        <v>46053</v>
      </c>
      <c r="D1549" s="67">
        <f t="shared" si="575"/>
        <v>31</v>
      </c>
      <c r="E1549" s="67">
        <f t="shared" si="576"/>
        <v>1</v>
      </c>
      <c r="F1549" s="74">
        <f t="shared" si="577"/>
        <v>46038.5</v>
      </c>
      <c r="G1549" s="67">
        <f t="shared" si="578"/>
        <v>24312</v>
      </c>
      <c r="H1549" s="75">
        <f t="shared" si="579"/>
        <v>1</v>
      </c>
      <c r="I1549" s="76">
        <f t="shared" si="580"/>
        <v>1</v>
      </c>
      <c r="J1549" s="76">
        <f t="shared" si="581"/>
        <v>1</v>
      </c>
      <c r="K1549" s="67">
        <f t="shared" si="582"/>
        <v>0</v>
      </c>
      <c r="L1549" s="67">
        <f t="shared" si="583"/>
        <v>0</v>
      </c>
      <c r="M1549" s="77">
        <f t="shared" si="584"/>
        <v>0</v>
      </c>
      <c r="N1549" s="76">
        <f t="shared" si="585"/>
        <v>1</v>
      </c>
      <c r="O1549" s="77">
        <f t="shared" si="586"/>
        <v>0.90436542669584252</v>
      </c>
      <c r="P1549" s="76">
        <f t="shared" si="587"/>
        <v>1</v>
      </c>
      <c r="Q1549" s="76">
        <f t="shared" si="588"/>
        <v>0</v>
      </c>
      <c r="R1549" s="76">
        <f t="shared" si="589"/>
        <v>0</v>
      </c>
      <c r="S1549" s="76">
        <f t="shared" si="590"/>
        <v>0.98300589858243748</v>
      </c>
      <c r="T1549" s="76">
        <f t="shared" si="591"/>
        <v>0.98300589858243748</v>
      </c>
      <c r="U1549" s="76">
        <f t="shared" si="592"/>
        <v>1</v>
      </c>
    </row>
    <row r="1550" spans="1:21" x14ac:dyDescent="0.25">
      <c r="A1550" s="71">
        <v>14</v>
      </c>
      <c r="B1550" s="72">
        <f t="shared" si="593"/>
        <v>46054</v>
      </c>
      <c r="C1550" s="73">
        <f t="shared" si="574"/>
        <v>46081</v>
      </c>
      <c r="D1550" s="67">
        <f t="shared" si="575"/>
        <v>28</v>
      </c>
      <c r="E1550" s="67">
        <f t="shared" si="576"/>
        <v>2</v>
      </c>
      <c r="F1550" s="74">
        <f t="shared" si="577"/>
        <v>46068</v>
      </c>
      <c r="G1550" s="67">
        <f t="shared" si="578"/>
        <v>24313</v>
      </c>
      <c r="H1550" s="75">
        <f t="shared" si="579"/>
        <v>1</v>
      </c>
      <c r="I1550" s="76">
        <f t="shared" si="580"/>
        <v>1</v>
      </c>
      <c r="J1550" s="76">
        <f t="shared" si="581"/>
        <v>1</v>
      </c>
      <c r="K1550" s="67">
        <f t="shared" si="582"/>
        <v>0</v>
      </c>
      <c r="L1550" s="67">
        <f t="shared" si="583"/>
        <v>0</v>
      </c>
      <c r="M1550" s="77">
        <f t="shared" si="584"/>
        <v>0</v>
      </c>
      <c r="N1550" s="76">
        <f t="shared" si="585"/>
        <v>1</v>
      </c>
      <c r="O1550" s="77">
        <f t="shared" si="586"/>
        <v>0.90501094091903722</v>
      </c>
      <c r="P1550" s="76">
        <f t="shared" si="587"/>
        <v>1</v>
      </c>
      <c r="Q1550" s="76">
        <f t="shared" si="588"/>
        <v>0</v>
      </c>
      <c r="R1550" s="76">
        <f t="shared" si="589"/>
        <v>0</v>
      </c>
      <c r="S1550" s="76">
        <f t="shared" si="590"/>
        <v>0.98370754447721431</v>
      </c>
      <c r="T1550" s="76">
        <f t="shared" si="591"/>
        <v>0.98370754447721431</v>
      </c>
      <c r="U1550" s="76">
        <f t="shared" si="592"/>
        <v>1</v>
      </c>
    </row>
    <row r="1551" spans="1:21" x14ac:dyDescent="0.25">
      <c r="A1551" s="71">
        <v>15</v>
      </c>
      <c r="B1551" s="72">
        <f t="shared" si="593"/>
        <v>46082</v>
      </c>
      <c r="C1551" s="73">
        <f t="shared" si="574"/>
        <v>46112</v>
      </c>
      <c r="D1551" s="67">
        <f t="shared" si="575"/>
        <v>31</v>
      </c>
      <c r="E1551" s="67">
        <f t="shared" si="576"/>
        <v>3</v>
      </c>
      <c r="F1551" s="74">
        <f t="shared" si="577"/>
        <v>46097.5</v>
      </c>
      <c r="G1551" s="67">
        <f t="shared" si="578"/>
        <v>24314</v>
      </c>
      <c r="H1551" s="75">
        <f t="shared" si="579"/>
        <v>1</v>
      </c>
      <c r="I1551" s="76">
        <f t="shared" si="580"/>
        <v>1</v>
      </c>
      <c r="J1551" s="76">
        <f t="shared" si="581"/>
        <v>1</v>
      </c>
      <c r="K1551" s="67">
        <f t="shared" si="582"/>
        <v>0</v>
      </c>
      <c r="L1551" s="67">
        <f t="shared" si="583"/>
        <v>0</v>
      </c>
      <c r="M1551" s="77">
        <f t="shared" si="584"/>
        <v>0</v>
      </c>
      <c r="N1551" s="76">
        <f t="shared" si="585"/>
        <v>1</v>
      </c>
      <c r="O1551" s="77">
        <f t="shared" si="586"/>
        <v>0.90565645514223203</v>
      </c>
      <c r="P1551" s="76">
        <f t="shared" si="587"/>
        <v>1</v>
      </c>
      <c r="Q1551" s="76">
        <f t="shared" si="588"/>
        <v>0</v>
      </c>
      <c r="R1551" s="76">
        <f t="shared" si="589"/>
        <v>0</v>
      </c>
      <c r="S1551" s="76">
        <f t="shared" si="590"/>
        <v>0.98440919037199126</v>
      </c>
      <c r="T1551" s="76">
        <f t="shared" si="591"/>
        <v>0.98440919037199126</v>
      </c>
      <c r="U1551" s="76">
        <f t="shared" si="592"/>
        <v>1</v>
      </c>
    </row>
    <row r="1552" spans="1:21" x14ac:dyDescent="0.25">
      <c r="A1552" s="71">
        <v>16</v>
      </c>
      <c r="B1552" s="72">
        <f t="shared" si="593"/>
        <v>46113</v>
      </c>
      <c r="C1552" s="73">
        <f t="shared" si="574"/>
        <v>46142</v>
      </c>
      <c r="D1552" s="67">
        <f t="shared" si="575"/>
        <v>30</v>
      </c>
      <c r="E1552" s="67">
        <f t="shared" si="576"/>
        <v>4</v>
      </c>
      <c r="F1552" s="74">
        <f t="shared" si="577"/>
        <v>46128</v>
      </c>
      <c r="G1552" s="67">
        <f t="shared" si="578"/>
        <v>24315</v>
      </c>
      <c r="H1552" s="75">
        <f t="shared" si="579"/>
        <v>1</v>
      </c>
      <c r="I1552" s="76">
        <f t="shared" si="580"/>
        <v>1</v>
      </c>
      <c r="J1552" s="76">
        <f t="shared" si="581"/>
        <v>1.04</v>
      </c>
      <c r="K1552" s="67">
        <f t="shared" si="582"/>
        <v>1</v>
      </c>
      <c r="L1552" s="67">
        <f t="shared" si="583"/>
        <v>30</v>
      </c>
      <c r="M1552" s="77">
        <f t="shared" si="584"/>
        <v>1</v>
      </c>
      <c r="N1552" s="76">
        <f t="shared" si="585"/>
        <v>1.04</v>
      </c>
      <c r="O1552" s="77">
        <f t="shared" si="586"/>
        <v>0.90632385120350112</v>
      </c>
      <c r="P1552" s="76">
        <f t="shared" si="587"/>
        <v>1</v>
      </c>
      <c r="Q1552" s="76">
        <f t="shared" si="588"/>
        <v>0</v>
      </c>
      <c r="R1552" s="76">
        <f t="shared" si="589"/>
        <v>0</v>
      </c>
      <c r="S1552" s="76">
        <f t="shared" si="590"/>
        <v>1.0245400057083056</v>
      </c>
      <c r="T1552" s="76">
        <f t="shared" si="591"/>
        <v>1.0245400057083056</v>
      </c>
      <c r="U1552" s="76">
        <f t="shared" si="592"/>
        <v>1.04</v>
      </c>
    </row>
    <row r="1553" spans="1:21" x14ac:dyDescent="0.25">
      <c r="A1553" s="71">
        <v>17</v>
      </c>
      <c r="B1553" s="72">
        <f t="shared" si="593"/>
        <v>46143</v>
      </c>
      <c r="C1553" s="73">
        <f t="shared" si="574"/>
        <v>46173</v>
      </c>
      <c r="D1553" s="67">
        <f t="shared" si="575"/>
        <v>31</v>
      </c>
      <c r="E1553" s="67">
        <f t="shared" si="576"/>
        <v>5</v>
      </c>
      <c r="F1553" s="74">
        <f t="shared" si="577"/>
        <v>46158.5</v>
      </c>
      <c r="G1553" s="67">
        <f t="shared" si="578"/>
        <v>24316</v>
      </c>
      <c r="H1553" s="75">
        <f t="shared" si="579"/>
        <v>1</v>
      </c>
      <c r="I1553" s="76">
        <f t="shared" si="580"/>
        <v>1.04</v>
      </c>
      <c r="J1553" s="76">
        <f t="shared" si="581"/>
        <v>1.04</v>
      </c>
      <c r="K1553" s="67">
        <f t="shared" si="582"/>
        <v>0</v>
      </c>
      <c r="L1553" s="67">
        <f t="shared" si="583"/>
        <v>0</v>
      </c>
      <c r="M1553" s="77">
        <f t="shared" si="584"/>
        <v>0</v>
      </c>
      <c r="N1553" s="76">
        <f t="shared" si="585"/>
        <v>1.04</v>
      </c>
      <c r="O1553" s="77">
        <f t="shared" si="586"/>
        <v>0.90699124726477032</v>
      </c>
      <c r="P1553" s="76">
        <f t="shared" si="587"/>
        <v>1</v>
      </c>
      <c r="Q1553" s="76">
        <f t="shared" si="588"/>
        <v>0</v>
      </c>
      <c r="R1553" s="76">
        <f t="shared" si="589"/>
        <v>0</v>
      </c>
      <c r="S1553" s="76">
        <f t="shared" si="590"/>
        <v>1.0252944534297403</v>
      </c>
      <c r="T1553" s="76">
        <f t="shared" si="591"/>
        <v>1.0252944534297403</v>
      </c>
      <c r="U1553" s="76">
        <f t="shared" si="592"/>
        <v>1.04</v>
      </c>
    </row>
    <row r="1554" spans="1:21" x14ac:dyDescent="0.25">
      <c r="A1554" s="71">
        <v>18</v>
      </c>
      <c r="B1554" s="72">
        <f t="shared" si="593"/>
        <v>46174</v>
      </c>
      <c r="C1554" s="73">
        <f t="shared" si="574"/>
        <v>46203</v>
      </c>
      <c r="D1554" s="67">
        <f t="shared" si="575"/>
        <v>30</v>
      </c>
      <c r="E1554" s="67">
        <f t="shared" si="576"/>
        <v>6</v>
      </c>
      <c r="F1554" s="74">
        <f t="shared" si="577"/>
        <v>46189</v>
      </c>
      <c r="G1554" s="67">
        <f t="shared" si="578"/>
        <v>24317</v>
      </c>
      <c r="H1554" s="75">
        <f t="shared" si="579"/>
        <v>1</v>
      </c>
      <c r="I1554" s="76">
        <f t="shared" si="580"/>
        <v>1.04</v>
      </c>
      <c r="J1554" s="76">
        <f t="shared" si="581"/>
        <v>1.04</v>
      </c>
      <c r="K1554" s="67">
        <f t="shared" si="582"/>
        <v>0</v>
      </c>
      <c r="L1554" s="67">
        <f t="shared" si="583"/>
        <v>0</v>
      </c>
      <c r="M1554" s="77">
        <f t="shared" si="584"/>
        <v>0</v>
      </c>
      <c r="N1554" s="76">
        <f t="shared" si="585"/>
        <v>1.04</v>
      </c>
      <c r="O1554" s="77">
        <f t="shared" si="586"/>
        <v>0.9076586433260394</v>
      </c>
      <c r="P1554" s="76">
        <f t="shared" si="587"/>
        <v>1</v>
      </c>
      <c r="Q1554" s="76">
        <f t="shared" si="588"/>
        <v>0</v>
      </c>
      <c r="R1554" s="76">
        <f t="shared" si="589"/>
        <v>0</v>
      </c>
      <c r="S1554" s="76">
        <f t="shared" si="590"/>
        <v>1.0260489011511749</v>
      </c>
      <c r="T1554" s="76">
        <f t="shared" si="591"/>
        <v>1.0260489011511749</v>
      </c>
      <c r="U1554" s="76">
        <f t="shared" si="592"/>
        <v>1.04</v>
      </c>
    </row>
    <row r="1555" spans="1:21" x14ac:dyDescent="0.25">
      <c r="A1555" s="71">
        <v>19</v>
      </c>
      <c r="B1555" s="72">
        <f t="shared" si="593"/>
        <v>46204</v>
      </c>
      <c r="C1555" s="73">
        <f t="shared" si="574"/>
        <v>46234</v>
      </c>
      <c r="D1555" s="67">
        <f t="shared" si="575"/>
        <v>31</v>
      </c>
      <c r="E1555" s="67">
        <f t="shared" si="576"/>
        <v>7</v>
      </c>
      <c r="F1555" s="74">
        <f t="shared" si="577"/>
        <v>46219.5</v>
      </c>
      <c r="G1555" s="67">
        <f t="shared" si="578"/>
        <v>24318</v>
      </c>
      <c r="H1555" s="75">
        <f t="shared" si="579"/>
        <v>1</v>
      </c>
      <c r="I1555" s="76">
        <f t="shared" si="580"/>
        <v>1.04</v>
      </c>
      <c r="J1555" s="76">
        <f t="shared" si="581"/>
        <v>1.04</v>
      </c>
      <c r="K1555" s="67">
        <f t="shared" si="582"/>
        <v>0</v>
      </c>
      <c r="L1555" s="67">
        <f t="shared" si="583"/>
        <v>0</v>
      </c>
      <c r="M1555" s="77">
        <f t="shared" si="584"/>
        <v>0</v>
      </c>
      <c r="N1555" s="76">
        <f t="shared" si="585"/>
        <v>1.04</v>
      </c>
      <c r="O1555" s="77">
        <f t="shared" si="586"/>
        <v>0.9083260393873086</v>
      </c>
      <c r="P1555" s="76">
        <f t="shared" si="587"/>
        <v>0.91666666666666663</v>
      </c>
      <c r="Q1555" s="76">
        <f t="shared" si="588"/>
        <v>8.333333333333337E-2</v>
      </c>
      <c r="R1555" s="76">
        <f t="shared" si="589"/>
        <v>0</v>
      </c>
      <c r="S1555" s="76">
        <f t="shared" si="590"/>
        <v>1.0268033488726098</v>
      </c>
      <c r="T1555" s="76">
        <f t="shared" si="591"/>
        <v>1.0268033488726098</v>
      </c>
      <c r="U1555" s="76">
        <f t="shared" si="592"/>
        <v>1.04</v>
      </c>
    </row>
    <row r="1556" spans="1:21" x14ac:dyDescent="0.25">
      <c r="A1556" s="71">
        <v>20</v>
      </c>
      <c r="B1556" s="72">
        <f t="shared" si="593"/>
        <v>46235</v>
      </c>
      <c r="C1556" s="73">
        <f t="shared" si="574"/>
        <v>46265</v>
      </c>
      <c r="D1556" s="67">
        <f t="shared" si="575"/>
        <v>31</v>
      </c>
      <c r="E1556" s="67">
        <f t="shared" si="576"/>
        <v>8</v>
      </c>
      <c r="F1556" s="74">
        <f t="shared" si="577"/>
        <v>46250.5</v>
      </c>
      <c r="G1556" s="67">
        <f t="shared" si="578"/>
        <v>24319</v>
      </c>
      <c r="H1556" s="75">
        <f t="shared" si="579"/>
        <v>1</v>
      </c>
      <c r="I1556" s="76">
        <f t="shared" si="580"/>
        <v>1.04</v>
      </c>
      <c r="J1556" s="76">
        <f t="shared" si="581"/>
        <v>1.04</v>
      </c>
      <c r="K1556" s="67">
        <f t="shared" si="582"/>
        <v>0</v>
      </c>
      <c r="L1556" s="67">
        <f t="shared" si="583"/>
        <v>0</v>
      </c>
      <c r="M1556" s="77">
        <f t="shared" si="584"/>
        <v>0</v>
      </c>
      <c r="N1556" s="76">
        <f t="shared" si="585"/>
        <v>1.04</v>
      </c>
      <c r="O1556" s="77">
        <f t="shared" si="586"/>
        <v>0.90900437636761489</v>
      </c>
      <c r="P1556" s="76">
        <f t="shared" si="587"/>
        <v>0.75</v>
      </c>
      <c r="Q1556" s="76">
        <f t="shared" si="588"/>
        <v>0.25</v>
      </c>
      <c r="R1556" s="76">
        <f t="shared" si="589"/>
        <v>0</v>
      </c>
      <c r="S1556" s="76">
        <f t="shared" si="590"/>
        <v>1.0275701645894777</v>
      </c>
      <c r="T1556" s="76">
        <f t="shared" si="591"/>
        <v>1.0275701645894777</v>
      </c>
      <c r="U1556" s="76">
        <f t="shared" si="592"/>
        <v>1.04</v>
      </c>
    </row>
    <row r="1557" spans="1:21" x14ac:dyDescent="0.25">
      <c r="A1557" s="71">
        <v>21</v>
      </c>
      <c r="B1557" s="72">
        <f t="shared" si="593"/>
        <v>46266</v>
      </c>
      <c r="C1557" s="73">
        <f t="shared" si="574"/>
        <v>46295</v>
      </c>
      <c r="D1557" s="67">
        <f t="shared" si="575"/>
        <v>30</v>
      </c>
      <c r="E1557" s="67">
        <f t="shared" si="576"/>
        <v>9</v>
      </c>
      <c r="F1557" s="74">
        <f t="shared" si="577"/>
        <v>46281</v>
      </c>
      <c r="G1557" s="67">
        <f t="shared" si="578"/>
        <v>24320</v>
      </c>
      <c r="H1557" s="75">
        <f t="shared" si="579"/>
        <v>1</v>
      </c>
      <c r="I1557" s="76">
        <f t="shared" si="580"/>
        <v>1.04</v>
      </c>
      <c r="J1557" s="76">
        <f t="shared" si="581"/>
        <v>1.04</v>
      </c>
      <c r="K1557" s="67">
        <f t="shared" si="582"/>
        <v>0</v>
      </c>
      <c r="L1557" s="67">
        <f t="shared" si="583"/>
        <v>0</v>
      </c>
      <c r="M1557" s="77">
        <f t="shared" si="584"/>
        <v>0</v>
      </c>
      <c r="N1557" s="76">
        <f t="shared" si="585"/>
        <v>1.04</v>
      </c>
      <c r="O1557" s="77">
        <f t="shared" si="586"/>
        <v>0.90967177242888408</v>
      </c>
      <c r="P1557" s="76">
        <f t="shared" si="587"/>
        <v>0.58333333333333337</v>
      </c>
      <c r="Q1557" s="76">
        <f t="shared" si="588"/>
        <v>0.41666666666666663</v>
      </c>
      <c r="R1557" s="76">
        <f t="shared" si="589"/>
        <v>0</v>
      </c>
      <c r="S1557" s="76">
        <f t="shared" si="590"/>
        <v>1.0283246123109124</v>
      </c>
      <c r="T1557" s="76">
        <f t="shared" si="591"/>
        <v>1.0283246123109124</v>
      </c>
      <c r="U1557" s="76">
        <f t="shared" si="592"/>
        <v>1.04</v>
      </c>
    </row>
    <row r="1558" spans="1:21" x14ac:dyDescent="0.25">
      <c r="A1558" s="71">
        <v>22</v>
      </c>
      <c r="B1558" s="72">
        <f t="shared" si="593"/>
        <v>46296</v>
      </c>
      <c r="C1558" s="73">
        <f t="shared" si="574"/>
        <v>46326</v>
      </c>
      <c r="D1558" s="67">
        <f t="shared" si="575"/>
        <v>31</v>
      </c>
      <c r="E1558" s="67">
        <f t="shared" si="576"/>
        <v>10</v>
      </c>
      <c r="F1558" s="74">
        <f t="shared" si="577"/>
        <v>46311.5</v>
      </c>
      <c r="G1558" s="67">
        <f t="shared" si="578"/>
        <v>24321</v>
      </c>
      <c r="H1558" s="75">
        <f t="shared" si="579"/>
        <v>1</v>
      </c>
      <c r="I1558" s="76">
        <f t="shared" si="580"/>
        <v>1.04</v>
      </c>
      <c r="J1558" s="76">
        <f t="shared" si="581"/>
        <v>1.04</v>
      </c>
      <c r="K1558" s="67">
        <f t="shared" si="582"/>
        <v>0</v>
      </c>
      <c r="L1558" s="67">
        <f t="shared" si="583"/>
        <v>0</v>
      </c>
      <c r="M1558" s="77">
        <f t="shared" si="584"/>
        <v>0</v>
      </c>
      <c r="N1558" s="76">
        <f t="shared" si="585"/>
        <v>1.04</v>
      </c>
      <c r="O1558" s="77">
        <f t="shared" si="586"/>
        <v>0.91033916849015317</v>
      </c>
      <c r="P1558" s="76">
        <f t="shared" si="587"/>
        <v>0.41666666666666669</v>
      </c>
      <c r="Q1558" s="76">
        <f t="shared" si="588"/>
        <v>0.58333333333333326</v>
      </c>
      <c r="R1558" s="76">
        <f t="shared" si="589"/>
        <v>0</v>
      </c>
      <c r="S1558" s="76">
        <f t="shared" si="590"/>
        <v>1.0290790600323469</v>
      </c>
      <c r="T1558" s="76">
        <f t="shared" si="591"/>
        <v>1.0290790600323469</v>
      </c>
      <c r="U1558" s="76">
        <f t="shared" si="592"/>
        <v>1.04</v>
      </c>
    </row>
    <row r="1559" spans="1:21" x14ac:dyDescent="0.25">
      <c r="A1559" s="71">
        <v>23</v>
      </c>
      <c r="B1559" s="72">
        <f t="shared" si="593"/>
        <v>46327</v>
      </c>
      <c r="C1559" s="73">
        <f t="shared" si="574"/>
        <v>46356</v>
      </c>
      <c r="D1559" s="67">
        <f t="shared" si="575"/>
        <v>30</v>
      </c>
      <c r="E1559" s="67">
        <f t="shared" si="576"/>
        <v>11</v>
      </c>
      <c r="F1559" s="74">
        <f t="shared" si="577"/>
        <v>46342</v>
      </c>
      <c r="G1559" s="67">
        <f t="shared" si="578"/>
        <v>24322</v>
      </c>
      <c r="H1559" s="75">
        <f t="shared" si="579"/>
        <v>1</v>
      </c>
      <c r="I1559" s="76">
        <f t="shared" si="580"/>
        <v>1.04</v>
      </c>
      <c r="J1559" s="76">
        <f t="shared" si="581"/>
        <v>1.04</v>
      </c>
      <c r="K1559" s="67">
        <f t="shared" si="582"/>
        <v>0</v>
      </c>
      <c r="L1559" s="67">
        <f t="shared" si="583"/>
        <v>0</v>
      </c>
      <c r="M1559" s="77">
        <f t="shared" si="584"/>
        <v>0</v>
      </c>
      <c r="N1559" s="76">
        <f t="shared" si="585"/>
        <v>1.04</v>
      </c>
      <c r="O1559" s="77">
        <f t="shared" si="586"/>
        <v>0.91100656455142237</v>
      </c>
      <c r="P1559" s="76">
        <f t="shared" si="587"/>
        <v>0.25</v>
      </c>
      <c r="Q1559" s="76">
        <f t="shared" si="588"/>
        <v>0.75</v>
      </c>
      <c r="R1559" s="76">
        <f t="shared" si="589"/>
        <v>0</v>
      </c>
      <c r="S1559" s="76">
        <f t="shared" si="590"/>
        <v>1.0298335077537819</v>
      </c>
      <c r="T1559" s="76">
        <f t="shared" si="591"/>
        <v>1.0298335077537819</v>
      </c>
      <c r="U1559" s="76">
        <f t="shared" si="592"/>
        <v>1.04</v>
      </c>
    </row>
    <row r="1560" spans="1:21" x14ac:dyDescent="0.25">
      <c r="A1560" s="71">
        <v>24</v>
      </c>
      <c r="B1560" s="72">
        <f t="shared" si="593"/>
        <v>46357</v>
      </c>
      <c r="C1560" s="73">
        <f t="shared" si="574"/>
        <v>46387</v>
      </c>
      <c r="D1560" s="67">
        <f t="shared" si="575"/>
        <v>31</v>
      </c>
      <c r="E1560" s="67">
        <f t="shared" si="576"/>
        <v>12</v>
      </c>
      <c r="F1560" s="74">
        <f t="shared" si="577"/>
        <v>46372.5</v>
      </c>
      <c r="G1560" s="67">
        <f t="shared" si="578"/>
        <v>24323</v>
      </c>
      <c r="H1560" s="75">
        <f t="shared" si="579"/>
        <v>1</v>
      </c>
      <c r="I1560" s="76">
        <f t="shared" si="580"/>
        <v>1.04</v>
      </c>
      <c r="J1560" s="76">
        <f t="shared" si="581"/>
        <v>1.04</v>
      </c>
      <c r="K1560" s="67">
        <f t="shared" si="582"/>
        <v>0</v>
      </c>
      <c r="L1560" s="67">
        <f t="shared" si="583"/>
        <v>0</v>
      </c>
      <c r="M1560" s="77">
        <f t="shared" si="584"/>
        <v>0</v>
      </c>
      <c r="N1560" s="76">
        <f t="shared" si="585"/>
        <v>1.04</v>
      </c>
      <c r="O1560" s="77">
        <f t="shared" si="586"/>
        <v>0.91167396061269146</v>
      </c>
      <c r="P1560" s="76">
        <f t="shared" si="587"/>
        <v>8.3333333333333329E-2</v>
      </c>
      <c r="Q1560" s="76">
        <f t="shared" si="588"/>
        <v>0.91666666666666663</v>
      </c>
      <c r="R1560" s="76">
        <f t="shared" si="589"/>
        <v>0</v>
      </c>
      <c r="S1560" s="76">
        <f t="shared" si="590"/>
        <v>1.0305879554752164</v>
      </c>
      <c r="T1560" s="76">
        <f t="shared" si="591"/>
        <v>1.0305879554752164</v>
      </c>
      <c r="U1560" s="76">
        <f t="shared" si="592"/>
        <v>1.04</v>
      </c>
    </row>
    <row r="1561" spans="1:21" x14ac:dyDescent="0.25">
      <c r="A1561" s="71">
        <v>25</v>
      </c>
      <c r="B1561" s="72">
        <f t="shared" si="593"/>
        <v>46388</v>
      </c>
      <c r="C1561" s="73">
        <f t="shared" si="574"/>
        <v>46418</v>
      </c>
      <c r="D1561" s="67">
        <f t="shared" si="575"/>
        <v>31</v>
      </c>
      <c r="E1561" s="67">
        <f t="shared" si="576"/>
        <v>1</v>
      </c>
      <c r="F1561" s="74">
        <f t="shared" si="577"/>
        <v>46403.5</v>
      </c>
      <c r="G1561" s="67">
        <f t="shared" si="578"/>
        <v>24324</v>
      </c>
      <c r="H1561" s="75">
        <f t="shared" si="579"/>
        <v>1</v>
      </c>
      <c r="I1561" s="76">
        <f t="shared" si="580"/>
        <v>1.04</v>
      </c>
      <c r="J1561" s="76">
        <f t="shared" si="581"/>
        <v>1.04</v>
      </c>
      <c r="K1561" s="67">
        <f t="shared" si="582"/>
        <v>0</v>
      </c>
      <c r="L1561" s="67">
        <f t="shared" si="583"/>
        <v>0</v>
      </c>
      <c r="M1561" s="77">
        <f t="shared" si="584"/>
        <v>0</v>
      </c>
      <c r="N1561" s="76">
        <f t="shared" si="585"/>
        <v>1.04</v>
      </c>
      <c r="O1561" s="77">
        <f t="shared" si="586"/>
        <v>0.91235229759299785</v>
      </c>
      <c r="P1561" s="76">
        <f t="shared" si="587"/>
        <v>0</v>
      </c>
      <c r="Q1561" s="76">
        <f t="shared" si="588"/>
        <v>1</v>
      </c>
      <c r="R1561" s="76">
        <f t="shared" si="589"/>
        <v>0</v>
      </c>
      <c r="S1561" s="76">
        <f t="shared" si="590"/>
        <v>1.0313547711920845</v>
      </c>
      <c r="T1561" s="76">
        <f t="shared" si="591"/>
        <v>0.98300589858243748</v>
      </c>
      <c r="U1561" s="76">
        <f t="shared" si="592"/>
        <v>1.04</v>
      </c>
    </row>
    <row r="1562" spans="1:21" x14ac:dyDescent="0.25">
      <c r="A1562" s="71">
        <v>26</v>
      </c>
      <c r="B1562" s="72">
        <f t="shared" si="593"/>
        <v>46419</v>
      </c>
      <c r="C1562" s="73">
        <f t="shared" si="574"/>
        <v>46446</v>
      </c>
      <c r="D1562" s="67">
        <f t="shared" si="575"/>
        <v>28</v>
      </c>
      <c r="E1562" s="67">
        <f t="shared" si="576"/>
        <v>2</v>
      </c>
      <c r="F1562" s="74">
        <f t="shared" si="577"/>
        <v>46433</v>
      </c>
      <c r="G1562" s="67">
        <f t="shared" si="578"/>
        <v>24325</v>
      </c>
      <c r="H1562" s="75">
        <f t="shared" si="579"/>
        <v>1</v>
      </c>
      <c r="I1562" s="76">
        <f t="shared" si="580"/>
        <v>1.04</v>
      </c>
      <c r="J1562" s="76">
        <f t="shared" si="581"/>
        <v>1.04</v>
      </c>
      <c r="K1562" s="67">
        <f t="shared" si="582"/>
        <v>0</v>
      </c>
      <c r="L1562" s="67">
        <f t="shared" si="583"/>
        <v>0</v>
      </c>
      <c r="M1562" s="77">
        <f t="shared" si="584"/>
        <v>0</v>
      </c>
      <c r="N1562" s="76">
        <f t="shared" si="585"/>
        <v>1.04</v>
      </c>
      <c r="O1562" s="77">
        <f t="shared" si="586"/>
        <v>0.91299781181619255</v>
      </c>
      <c r="P1562" s="76">
        <f t="shared" si="587"/>
        <v>0</v>
      </c>
      <c r="Q1562" s="76">
        <f t="shared" si="588"/>
        <v>1</v>
      </c>
      <c r="R1562" s="76">
        <f t="shared" si="589"/>
        <v>0</v>
      </c>
      <c r="S1562" s="76">
        <f t="shared" si="590"/>
        <v>1.0320844829226525</v>
      </c>
      <c r="T1562" s="76">
        <f t="shared" si="591"/>
        <v>0.98370754447721431</v>
      </c>
      <c r="U1562" s="76">
        <f t="shared" si="592"/>
        <v>1.04</v>
      </c>
    </row>
    <row r="1563" spans="1:21" x14ac:dyDescent="0.25">
      <c r="A1563" s="71">
        <v>27</v>
      </c>
      <c r="B1563" s="72">
        <f t="shared" si="593"/>
        <v>46447</v>
      </c>
      <c r="C1563" s="73">
        <f t="shared" si="574"/>
        <v>46477</v>
      </c>
      <c r="D1563" s="67">
        <f t="shared" si="575"/>
        <v>31</v>
      </c>
      <c r="E1563" s="67">
        <f t="shared" si="576"/>
        <v>3</v>
      </c>
      <c r="F1563" s="74">
        <f t="shared" si="577"/>
        <v>46462.5</v>
      </c>
      <c r="G1563" s="67">
        <f t="shared" si="578"/>
        <v>24326</v>
      </c>
      <c r="H1563" s="75">
        <f t="shared" si="579"/>
        <v>1</v>
      </c>
      <c r="I1563" s="76">
        <f t="shared" si="580"/>
        <v>1.04</v>
      </c>
      <c r="J1563" s="76">
        <f t="shared" si="581"/>
        <v>1.04</v>
      </c>
      <c r="K1563" s="67">
        <f t="shared" si="582"/>
        <v>0</v>
      </c>
      <c r="L1563" s="67">
        <f t="shared" si="583"/>
        <v>0</v>
      </c>
      <c r="M1563" s="77">
        <f t="shared" si="584"/>
        <v>0</v>
      </c>
      <c r="N1563" s="76">
        <f t="shared" si="585"/>
        <v>1.04</v>
      </c>
      <c r="O1563" s="77">
        <f t="shared" si="586"/>
        <v>0.91364332603938736</v>
      </c>
      <c r="P1563" s="76">
        <f t="shared" si="587"/>
        <v>0</v>
      </c>
      <c r="Q1563" s="76">
        <f t="shared" si="588"/>
        <v>1</v>
      </c>
      <c r="R1563" s="76">
        <f t="shared" si="589"/>
        <v>0</v>
      </c>
      <c r="S1563" s="76">
        <f t="shared" si="590"/>
        <v>1.0328141946532206</v>
      </c>
      <c r="T1563" s="76">
        <f t="shared" si="591"/>
        <v>0.98440919037199126</v>
      </c>
      <c r="U1563" s="76">
        <f t="shared" si="592"/>
        <v>1.04</v>
      </c>
    </row>
    <row r="1564" spans="1:21" x14ac:dyDescent="0.25">
      <c r="A1564" s="71">
        <v>28</v>
      </c>
      <c r="B1564" s="72">
        <f t="shared" si="593"/>
        <v>46478</v>
      </c>
      <c r="C1564" s="73">
        <f t="shared" si="574"/>
        <v>46507</v>
      </c>
      <c r="D1564" s="67">
        <f t="shared" si="575"/>
        <v>30</v>
      </c>
      <c r="E1564" s="67">
        <f t="shared" si="576"/>
        <v>4</v>
      </c>
      <c r="F1564" s="74">
        <f t="shared" si="577"/>
        <v>46493</v>
      </c>
      <c r="G1564" s="67">
        <f t="shared" si="578"/>
        <v>24327</v>
      </c>
      <c r="H1564" s="75">
        <f t="shared" si="579"/>
        <v>1</v>
      </c>
      <c r="I1564" s="76">
        <f t="shared" si="580"/>
        <v>1.04</v>
      </c>
      <c r="J1564" s="76">
        <f t="shared" si="581"/>
        <v>1.04</v>
      </c>
      <c r="K1564" s="67">
        <f t="shared" si="582"/>
        <v>0</v>
      </c>
      <c r="L1564" s="67">
        <f t="shared" si="583"/>
        <v>0</v>
      </c>
      <c r="M1564" s="77">
        <f t="shared" si="584"/>
        <v>0</v>
      </c>
      <c r="N1564" s="76">
        <f t="shared" si="585"/>
        <v>1.04</v>
      </c>
      <c r="O1564" s="77">
        <f t="shared" si="586"/>
        <v>0.91431072210065645</v>
      </c>
      <c r="P1564" s="76">
        <f t="shared" si="587"/>
        <v>0</v>
      </c>
      <c r="Q1564" s="76">
        <f t="shared" si="588"/>
        <v>1</v>
      </c>
      <c r="R1564" s="76">
        <f t="shared" si="589"/>
        <v>0</v>
      </c>
      <c r="S1564" s="76">
        <f t="shared" si="590"/>
        <v>1.0335686423746551</v>
      </c>
      <c r="T1564" s="76">
        <f t="shared" si="591"/>
        <v>1.0245400057083056</v>
      </c>
      <c r="U1564" s="76">
        <f t="shared" si="592"/>
        <v>1.04</v>
      </c>
    </row>
    <row r="1565" spans="1:21" x14ac:dyDescent="0.25">
      <c r="A1565" s="71">
        <v>29</v>
      </c>
      <c r="B1565" s="72">
        <f t="shared" si="593"/>
        <v>46508</v>
      </c>
      <c r="C1565" s="73">
        <f t="shared" si="574"/>
        <v>46538</v>
      </c>
      <c r="D1565" s="67">
        <f t="shared" si="575"/>
        <v>31</v>
      </c>
      <c r="E1565" s="67">
        <f t="shared" si="576"/>
        <v>5</v>
      </c>
      <c r="F1565" s="74">
        <f t="shared" si="577"/>
        <v>46523.5</v>
      </c>
      <c r="G1565" s="67">
        <f t="shared" si="578"/>
        <v>24328</v>
      </c>
      <c r="H1565" s="75">
        <f t="shared" si="579"/>
        <v>1</v>
      </c>
      <c r="I1565" s="76">
        <f t="shared" si="580"/>
        <v>1.04</v>
      </c>
      <c r="J1565" s="76">
        <f t="shared" si="581"/>
        <v>1.04</v>
      </c>
      <c r="K1565" s="67">
        <f t="shared" si="582"/>
        <v>0</v>
      </c>
      <c r="L1565" s="67">
        <f t="shared" si="583"/>
        <v>0</v>
      </c>
      <c r="M1565" s="77">
        <f t="shared" si="584"/>
        <v>0</v>
      </c>
      <c r="N1565" s="76">
        <f t="shared" si="585"/>
        <v>1.04</v>
      </c>
      <c r="O1565" s="77">
        <f t="shared" si="586"/>
        <v>0.91497811816192565</v>
      </c>
      <c r="P1565" s="76">
        <f t="shared" si="587"/>
        <v>0</v>
      </c>
      <c r="Q1565" s="76">
        <f t="shared" si="588"/>
        <v>1</v>
      </c>
      <c r="R1565" s="76">
        <f t="shared" si="589"/>
        <v>0</v>
      </c>
      <c r="S1565" s="76">
        <f t="shared" si="590"/>
        <v>1.0343230900960898</v>
      </c>
      <c r="T1565" s="76">
        <f t="shared" si="591"/>
        <v>1.0252944534297403</v>
      </c>
      <c r="U1565" s="76">
        <f t="shared" si="592"/>
        <v>1.04</v>
      </c>
    </row>
    <row r="1566" spans="1:21" x14ac:dyDescent="0.25">
      <c r="A1566" s="71">
        <v>30</v>
      </c>
      <c r="B1566" s="72">
        <f t="shared" si="593"/>
        <v>46539</v>
      </c>
      <c r="C1566" s="73">
        <f t="shared" si="574"/>
        <v>46568</v>
      </c>
      <c r="D1566" s="67">
        <f t="shared" si="575"/>
        <v>30</v>
      </c>
      <c r="E1566" s="67">
        <f t="shared" si="576"/>
        <v>6</v>
      </c>
      <c r="F1566" s="74">
        <f t="shared" si="577"/>
        <v>46554</v>
      </c>
      <c r="G1566" s="67">
        <f t="shared" si="578"/>
        <v>24329</v>
      </c>
      <c r="H1566" s="75">
        <f t="shared" si="579"/>
        <v>1</v>
      </c>
      <c r="I1566" s="76">
        <f t="shared" si="580"/>
        <v>1.04</v>
      </c>
      <c r="J1566" s="76">
        <f t="shared" si="581"/>
        <v>1.04</v>
      </c>
      <c r="K1566" s="67">
        <f t="shared" si="582"/>
        <v>0</v>
      </c>
      <c r="L1566" s="67">
        <f t="shared" si="583"/>
        <v>0</v>
      </c>
      <c r="M1566" s="77">
        <f t="shared" si="584"/>
        <v>0</v>
      </c>
      <c r="N1566" s="76">
        <f t="shared" si="585"/>
        <v>1.04</v>
      </c>
      <c r="O1566" s="77">
        <f t="shared" si="586"/>
        <v>0.91564551422319473</v>
      </c>
      <c r="P1566" s="76">
        <f t="shared" si="587"/>
        <v>0</v>
      </c>
      <c r="Q1566" s="76">
        <f t="shared" si="588"/>
        <v>1</v>
      </c>
      <c r="R1566" s="76">
        <f t="shared" si="589"/>
        <v>0</v>
      </c>
      <c r="S1566" s="76">
        <f t="shared" si="590"/>
        <v>1.0350775378175245</v>
      </c>
      <c r="T1566" s="76">
        <f t="shared" si="591"/>
        <v>1.0260489011511749</v>
      </c>
      <c r="U1566" s="76">
        <f t="shared" si="592"/>
        <v>1.04</v>
      </c>
    </row>
    <row r="1567" spans="1:21" x14ac:dyDescent="0.25">
      <c r="A1567" s="71">
        <v>31</v>
      </c>
      <c r="B1567" s="72">
        <f t="shared" si="593"/>
        <v>46569</v>
      </c>
      <c r="C1567" s="73">
        <f t="shared" si="574"/>
        <v>46599</v>
      </c>
      <c r="D1567" s="67">
        <f t="shared" si="575"/>
        <v>31</v>
      </c>
      <c r="E1567" s="67">
        <f t="shared" si="576"/>
        <v>7</v>
      </c>
      <c r="F1567" s="74">
        <f t="shared" si="577"/>
        <v>46584.5</v>
      </c>
      <c r="G1567" s="67">
        <f t="shared" si="578"/>
        <v>24330</v>
      </c>
      <c r="H1567" s="75">
        <f t="shared" si="579"/>
        <v>1</v>
      </c>
      <c r="I1567" s="76">
        <f t="shared" si="580"/>
        <v>1.04</v>
      </c>
      <c r="J1567" s="76">
        <f t="shared" si="581"/>
        <v>1.04</v>
      </c>
      <c r="K1567" s="67">
        <f t="shared" si="582"/>
        <v>0</v>
      </c>
      <c r="L1567" s="67">
        <f t="shared" si="583"/>
        <v>0</v>
      </c>
      <c r="M1567" s="77">
        <f t="shared" si="584"/>
        <v>0</v>
      </c>
      <c r="N1567" s="76">
        <f t="shared" si="585"/>
        <v>1.04</v>
      </c>
      <c r="O1567" s="77">
        <f t="shared" si="586"/>
        <v>0.91631291028446393</v>
      </c>
      <c r="P1567" s="76">
        <f t="shared" si="587"/>
        <v>0</v>
      </c>
      <c r="Q1567" s="76">
        <f t="shared" si="588"/>
        <v>0.91666666666666663</v>
      </c>
      <c r="R1567" s="76">
        <f t="shared" si="589"/>
        <v>8.333333333333337E-2</v>
      </c>
      <c r="S1567" s="76">
        <f t="shared" si="590"/>
        <v>1.0358319855389593</v>
      </c>
      <c r="T1567" s="76">
        <f t="shared" si="591"/>
        <v>1.0268033488726098</v>
      </c>
      <c r="U1567" s="76">
        <f t="shared" si="592"/>
        <v>1.04</v>
      </c>
    </row>
    <row r="1568" spans="1:21" x14ac:dyDescent="0.25">
      <c r="A1568" s="71">
        <v>32</v>
      </c>
      <c r="B1568" s="72">
        <f t="shared" si="593"/>
        <v>46600</v>
      </c>
      <c r="C1568" s="73">
        <f t="shared" si="574"/>
        <v>46630</v>
      </c>
      <c r="D1568" s="67">
        <f t="shared" si="575"/>
        <v>31</v>
      </c>
      <c r="E1568" s="67">
        <f t="shared" si="576"/>
        <v>8</v>
      </c>
      <c r="F1568" s="74">
        <f t="shared" si="577"/>
        <v>46615.5</v>
      </c>
      <c r="G1568" s="67">
        <f t="shared" si="578"/>
        <v>24331</v>
      </c>
      <c r="H1568" s="75">
        <f t="shared" si="579"/>
        <v>1</v>
      </c>
      <c r="I1568" s="76">
        <f t="shared" si="580"/>
        <v>1.04</v>
      </c>
      <c r="J1568" s="76">
        <f t="shared" si="581"/>
        <v>1.04</v>
      </c>
      <c r="K1568" s="67">
        <f t="shared" si="582"/>
        <v>0</v>
      </c>
      <c r="L1568" s="67">
        <f t="shared" si="583"/>
        <v>0</v>
      </c>
      <c r="M1568" s="77">
        <f t="shared" si="584"/>
        <v>0</v>
      </c>
      <c r="N1568" s="76">
        <f t="shared" si="585"/>
        <v>1.04</v>
      </c>
      <c r="O1568" s="77">
        <f t="shared" si="586"/>
        <v>0.91699124726477033</v>
      </c>
      <c r="P1568" s="76">
        <f t="shared" si="587"/>
        <v>0</v>
      </c>
      <c r="Q1568" s="76">
        <f t="shared" si="588"/>
        <v>0.75</v>
      </c>
      <c r="R1568" s="76">
        <f t="shared" si="589"/>
        <v>0.25</v>
      </c>
      <c r="S1568" s="76">
        <f t="shared" si="590"/>
        <v>1.0365988012558274</v>
      </c>
      <c r="T1568" s="76">
        <f t="shared" si="591"/>
        <v>1.0275701645894777</v>
      </c>
      <c r="U1568" s="76">
        <f t="shared" si="592"/>
        <v>1.04</v>
      </c>
    </row>
    <row r="1569" spans="1:21" x14ac:dyDescent="0.25">
      <c r="A1569" s="71">
        <v>33</v>
      </c>
      <c r="B1569" s="72">
        <f t="shared" si="593"/>
        <v>46631</v>
      </c>
      <c r="C1569" s="73">
        <f t="shared" si="574"/>
        <v>46660</v>
      </c>
      <c r="D1569" s="67">
        <f t="shared" si="575"/>
        <v>30</v>
      </c>
      <c r="E1569" s="67">
        <f t="shared" si="576"/>
        <v>9</v>
      </c>
      <c r="F1569" s="74">
        <f t="shared" si="577"/>
        <v>46646</v>
      </c>
      <c r="G1569" s="67">
        <f t="shared" si="578"/>
        <v>24332</v>
      </c>
      <c r="H1569" s="75">
        <f t="shared" si="579"/>
        <v>1</v>
      </c>
      <c r="I1569" s="76">
        <f t="shared" si="580"/>
        <v>1.04</v>
      </c>
      <c r="J1569" s="76">
        <f t="shared" si="581"/>
        <v>1.04</v>
      </c>
      <c r="K1569" s="67">
        <f t="shared" si="582"/>
        <v>0</v>
      </c>
      <c r="L1569" s="67">
        <f t="shared" si="583"/>
        <v>0</v>
      </c>
      <c r="M1569" s="77">
        <f t="shared" si="584"/>
        <v>0</v>
      </c>
      <c r="N1569" s="76">
        <f t="shared" si="585"/>
        <v>1.04</v>
      </c>
      <c r="O1569" s="77">
        <f t="shared" si="586"/>
        <v>0.91765864332603941</v>
      </c>
      <c r="P1569" s="76">
        <f t="shared" si="587"/>
        <v>0</v>
      </c>
      <c r="Q1569" s="76">
        <f t="shared" si="588"/>
        <v>0.58333333333333337</v>
      </c>
      <c r="R1569" s="76">
        <f t="shared" si="589"/>
        <v>0.41666666666666663</v>
      </c>
      <c r="S1569" s="76">
        <f t="shared" si="590"/>
        <v>1.0373532489772619</v>
      </c>
      <c r="T1569" s="76">
        <f t="shared" si="591"/>
        <v>1.0283246123109124</v>
      </c>
      <c r="U1569" s="76">
        <f t="shared" si="592"/>
        <v>1.04</v>
      </c>
    </row>
    <row r="1570" spans="1:21" x14ac:dyDescent="0.25">
      <c r="A1570" s="71">
        <v>34</v>
      </c>
      <c r="B1570" s="72">
        <f t="shared" si="593"/>
        <v>46661</v>
      </c>
      <c r="C1570" s="73">
        <f t="shared" si="574"/>
        <v>46691</v>
      </c>
      <c r="D1570" s="67">
        <f t="shared" si="575"/>
        <v>31</v>
      </c>
      <c r="E1570" s="67">
        <f t="shared" si="576"/>
        <v>10</v>
      </c>
      <c r="F1570" s="74">
        <f t="shared" si="577"/>
        <v>46676.5</v>
      </c>
      <c r="G1570" s="67">
        <f t="shared" si="578"/>
        <v>24333</v>
      </c>
      <c r="H1570" s="75">
        <f t="shared" si="579"/>
        <v>1</v>
      </c>
      <c r="I1570" s="76">
        <f t="shared" si="580"/>
        <v>1.04</v>
      </c>
      <c r="J1570" s="76">
        <f t="shared" si="581"/>
        <v>1.04</v>
      </c>
      <c r="K1570" s="67">
        <f t="shared" si="582"/>
        <v>0</v>
      </c>
      <c r="L1570" s="67">
        <f t="shared" si="583"/>
        <v>0</v>
      </c>
      <c r="M1570" s="77">
        <f t="shared" si="584"/>
        <v>0</v>
      </c>
      <c r="N1570" s="76">
        <f t="shared" si="585"/>
        <v>1.04</v>
      </c>
      <c r="O1570" s="77">
        <f t="shared" si="586"/>
        <v>0.91832603938730861</v>
      </c>
      <c r="P1570" s="76">
        <f t="shared" si="587"/>
        <v>0</v>
      </c>
      <c r="Q1570" s="76">
        <f t="shared" si="588"/>
        <v>0.41666666666666669</v>
      </c>
      <c r="R1570" s="76">
        <f t="shared" si="589"/>
        <v>0.58333333333333326</v>
      </c>
      <c r="S1570" s="76">
        <f t="shared" si="590"/>
        <v>1.0381076966986966</v>
      </c>
      <c r="T1570" s="76">
        <f t="shared" si="591"/>
        <v>1.0290790600323469</v>
      </c>
      <c r="U1570" s="76">
        <f t="shared" si="592"/>
        <v>1.04</v>
      </c>
    </row>
    <row r="1571" spans="1:21" x14ac:dyDescent="0.25">
      <c r="A1571" s="71">
        <v>35</v>
      </c>
      <c r="B1571" s="72">
        <f t="shared" si="593"/>
        <v>46692</v>
      </c>
      <c r="C1571" s="73">
        <f t="shared" si="574"/>
        <v>46721</v>
      </c>
      <c r="D1571" s="67">
        <f t="shared" si="575"/>
        <v>30</v>
      </c>
      <c r="E1571" s="67">
        <f t="shared" si="576"/>
        <v>11</v>
      </c>
      <c r="F1571" s="74">
        <f t="shared" si="577"/>
        <v>46707</v>
      </c>
      <c r="G1571" s="67">
        <f t="shared" si="578"/>
        <v>24334</v>
      </c>
      <c r="H1571" s="75">
        <f t="shared" si="579"/>
        <v>1</v>
      </c>
      <c r="I1571" s="76">
        <f t="shared" si="580"/>
        <v>1.04</v>
      </c>
      <c r="J1571" s="76">
        <f t="shared" si="581"/>
        <v>1.04</v>
      </c>
      <c r="K1571" s="67">
        <f t="shared" si="582"/>
        <v>0</v>
      </c>
      <c r="L1571" s="67">
        <f t="shared" si="583"/>
        <v>0</v>
      </c>
      <c r="M1571" s="77">
        <f t="shared" si="584"/>
        <v>0</v>
      </c>
      <c r="N1571" s="76">
        <f t="shared" si="585"/>
        <v>1.04</v>
      </c>
      <c r="O1571" s="77">
        <f t="shared" si="586"/>
        <v>0.9189934354485777</v>
      </c>
      <c r="P1571" s="76">
        <f t="shared" si="587"/>
        <v>0</v>
      </c>
      <c r="Q1571" s="76">
        <f t="shared" si="588"/>
        <v>0.25</v>
      </c>
      <c r="R1571" s="76">
        <f t="shared" si="589"/>
        <v>0.75</v>
      </c>
      <c r="S1571" s="76">
        <f t="shared" si="590"/>
        <v>1.0388621444201314</v>
      </c>
      <c r="T1571" s="76">
        <f t="shared" si="591"/>
        <v>1.0298335077537819</v>
      </c>
      <c r="U1571" s="76">
        <f t="shared" si="592"/>
        <v>1.04</v>
      </c>
    </row>
    <row r="1572" spans="1:21" x14ac:dyDescent="0.25">
      <c r="A1572" s="71">
        <v>36</v>
      </c>
      <c r="B1572" s="72">
        <f t="shared" si="593"/>
        <v>46722</v>
      </c>
      <c r="C1572" s="73">
        <f t="shared" si="574"/>
        <v>46752</v>
      </c>
      <c r="D1572" s="67">
        <f t="shared" si="575"/>
        <v>31</v>
      </c>
      <c r="E1572" s="67">
        <f t="shared" si="576"/>
        <v>12</v>
      </c>
      <c r="F1572" s="74">
        <f t="shared" si="577"/>
        <v>46737.5</v>
      </c>
      <c r="G1572" s="67">
        <f t="shared" si="578"/>
        <v>24335</v>
      </c>
      <c r="H1572" s="75">
        <f t="shared" si="579"/>
        <v>1</v>
      </c>
      <c r="I1572" s="76">
        <f t="shared" si="580"/>
        <v>1.04</v>
      </c>
      <c r="J1572" s="76">
        <f t="shared" si="581"/>
        <v>1.04</v>
      </c>
      <c r="K1572" s="67">
        <f t="shared" si="582"/>
        <v>0</v>
      </c>
      <c r="L1572" s="67">
        <f t="shared" si="583"/>
        <v>0</v>
      </c>
      <c r="M1572" s="77">
        <f t="shared" si="584"/>
        <v>0</v>
      </c>
      <c r="N1572" s="76">
        <f t="shared" si="585"/>
        <v>1.04</v>
      </c>
      <c r="O1572" s="77">
        <f t="shared" si="586"/>
        <v>0.9196608315098469</v>
      </c>
      <c r="P1572" s="76">
        <f t="shared" si="587"/>
        <v>0</v>
      </c>
      <c r="Q1572" s="76">
        <f t="shared" si="588"/>
        <v>8.3333333333333329E-2</v>
      </c>
      <c r="R1572" s="76">
        <f t="shared" si="589"/>
        <v>0.91666666666666663</v>
      </c>
      <c r="S1572" s="76">
        <f t="shared" si="590"/>
        <v>1.0396165921415661</v>
      </c>
      <c r="T1572" s="76">
        <f t="shared" si="591"/>
        <v>1.0305879554752164</v>
      </c>
      <c r="U1572" s="76">
        <f t="shared" si="592"/>
        <v>1.04</v>
      </c>
    </row>
    <row r="1573" spans="1:21" x14ac:dyDescent="0.25">
      <c r="A1573" s="71">
        <v>37</v>
      </c>
      <c r="B1573" s="72">
        <f t="shared" si="593"/>
        <v>46753</v>
      </c>
      <c r="C1573" s="73">
        <f t="shared" si="574"/>
        <v>46783</v>
      </c>
      <c r="D1573" s="67">
        <f t="shared" si="575"/>
        <v>31</v>
      </c>
      <c r="E1573" s="67">
        <f t="shared" si="576"/>
        <v>1</v>
      </c>
      <c r="F1573" s="74">
        <f t="shared" si="577"/>
        <v>46768.5</v>
      </c>
      <c r="G1573" s="67">
        <f t="shared" si="578"/>
        <v>24336</v>
      </c>
      <c r="H1573" s="75">
        <f t="shared" si="579"/>
        <v>1</v>
      </c>
      <c r="I1573" s="76">
        <f t="shared" si="580"/>
        <v>1.04</v>
      </c>
      <c r="J1573" s="76">
        <f t="shared" si="581"/>
        <v>1.04</v>
      </c>
      <c r="K1573" s="67">
        <f t="shared" si="582"/>
        <v>0</v>
      </c>
      <c r="L1573" s="67">
        <f t="shared" si="583"/>
        <v>0</v>
      </c>
      <c r="M1573" s="77">
        <f t="shared" si="584"/>
        <v>0</v>
      </c>
      <c r="N1573" s="76">
        <f t="shared" si="585"/>
        <v>1.04</v>
      </c>
      <c r="O1573" s="77">
        <f t="shared" si="586"/>
        <v>0.92</v>
      </c>
      <c r="P1573" s="76">
        <f t="shared" si="587"/>
        <v>0</v>
      </c>
      <c r="Q1573" s="76">
        <f t="shared" si="588"/>
        <v>0</v>
      </c>
      <c r="R1573" s="76">
        <f t="shared" si="589"/>
        <v>1</v>
      </c>
      <c r="S1573" s="76">
        <f t="shared" si="590"/>
        <v>1.04</v>
      </c>
      <c r="T1573" s="76">
        <f t="shared" si="591"/>
        <v>0.98300589858243748</v>
      </c>
      <c r="U1573" s="76">
        <f t="shared" si="592"/>
        <v>1.04</v>
      </c>
    </row>
    <row r="1574" spans="1:21" x14ac:dyDescent="0.25">
      <c r="A1574" s="71">
        <v>38</v>
      </c>
      <c r="B1574" s="72">
        <f t="shared" si="593"/>
        <v>46784</v>
      </c>
      <c r="C1574" s="73">
        <f t="shared" si="574"/>
        <v>46812</v>
      </c>
      <c r="D1574" s="67">
        <f t="shared" si="575"/>
        <v>29</v>
      </c>
      <c r="E1574" s="67">
        <f t="shared" si="576"/>
        <v>2</v>
      </c>
      <c r="F1574" s="74">
        <f t="shared" si="577"/>
        <v>46798.5</v>
      </c>
      <c r="G1574" s="67">
        <f t="shared" si="578"/>
        <v>24337</v>
      </c>
      <c r="H1574" s="75">
        <f t="shared" si="579"/>
        <v>1</v>
      </c>
      <c r="I1574" s="76">
        <f t="shared" si="580"/>
        <v>1.04</v>
      </c>
      <c r="J1574" s="76">
        <f t="shared" si="581"/>
        <v>1.04</v>
      </c>
      <c r="K1574" s="67">
        <f t="shared" si="582"/>
        <v>0</v>
      </c>
      <c r="L1574" s="67">
        <f t="shared" si="583"/>
        <v>0</v>
      </c>
      <c r="M1574" s="77">
        <f t="shared" si="584"/>
        <v>0</v>
      </c>
      <c r="N1574" s="76">
        <f t="shared" si="585"/>
        <v>1.04</v>
      </c>
      <c r="O1574" s="77">
        <f t="shared" si="586"/>
        <v>0.92</v>
      </c>
      <c r="P1574" s="76">
        <f t="shared" si="587"/>
        <v>0</v>
      </c>
      <c r="Q1574" s="76">
        <f t="shared" si="588"/>
        <v>0</v>
      </c>
      <c r="R1574" s="76">
        <f t="shared" si="589"/>
        <v>1</v>
      </c>
      <c r="S1574" s="76">
        <f t="shared" si="590"/>
        <v>1.04</v>
      </c>
      <c r="T1574" s="76">
        <f t="shared" si="591"/>
        <v>0.98370754447721431</v>
      </c>
      <c r="U1574" s="76">
        <f t="shared" si="592"/>
        <v>1.04</v>
      </c>
    </row>
    <row r="1575" spans="1:21" x14ac:dyDescent="0.25">
      <c r="A1575" s="71">
        <v>39</v>
      </c>
      <c r="B1575" s="72">
        <f t="shared" si="593"/>
        <v>46813</v>
      </c>
      <c r="C1575" s="73">
        <f t="shared" si="574"/>
        <v>46843</v>
      </c>
      <c r="D1575" s="67">
        <f t="shared" si="575"/>
        <v>31</v>
      </c>
      <c r="E1575" s="67">
        <f t="shared" si="576"/>
        <v>3</v>
      </c>
      <c r="F1575" s="74">
        <f t="shared" si="577"/>
        <v>46828.5</v>
      </c>
      <c r="G1575" s="67">
        <f t="shared" si="578"/>
        <v>24338</v>
      </c>
      <c r="H1575" s="75">
        <f t="shared" si="579"/>
        <v>1</v>
      </c>
      <c r="I1575" s="76">
        <f t="shared" si="580"/>
        <v>1.04</v>
      </c>
      <c r="J1575" s="76">
        <f t="shared" si="581"/>
        <v>1.04</v>
      </c>
      <c r="K1575" s="67">
        <f t="shared" si="582"/>
        <v>0</v>
      </c>
      <c r="L1575" s="67">
        <f t="shared" si="583"/>
        <v>0</v>
      </c>
      <c r="M1575" s="77">
        <f t="shared" si="584"/>
        <v>0</v>
      </c>
      <c r="N1575" s="76">
        <f t="shared" si="585"/>
        <v>1.04</v>
      </c>
      <c r="O1575" s="77">
        <f t="shared" si="586"/>
        <v>0.92</v>
      </c>
      <c r="P1575" s="76">
        <f t="shared" si="587"/>
        <v>0</v>
      </c>
      <c r="Q1575" s="76">
        <f t="shared" si="588"/>
        <v>0</v>
      </c>
      <c r="R1575" s="76">
        <f t="shared" si="589"/>
        <v>1</v>
      </c>
      <c r="S1575" s="76">
        <f t="shared" si="590"/>
        <v>1.04</v>
      </c>
      <c r="T1575" s="76">
        <f t="shared" si="591"/>
        <v>0.98440919037199126</v>
      </c>
      <c r="U1575" s="76">
        <f t="shared" si="592"/>
        <v>1.04</v>
      </c>
    </row>
    <row r="1576" spans="1:21" x14ac:dyDescent="0.25">
      <c r="A1576" s="71">
        <v>40</v>
      </c>
      <c r="B1576" s="72">
        <f t="shared" si="593"/>
        <v>46844</v>
      </c>
      <c r="C1576" s="73">
        <f t="shared" si="574"/>
        <v>46873</v>
      </c>
      <c r="D1576" s="67">
        <f t="shared" si="575"/>
        <v>30</v>
      </c>
      <c r="E1576" s="67">
        <f t="shared" si="576"/>
        <v>4</v>
      </c>
      <c r="F1576" s="74">
        <f t="shared" si="577"/>
        <v>46859</v>
      </c>
      <c r="G1576" s="67">
        <f t="shared" si="578"/>
        <v>24339</v>
      </c>
      <c r="H1576" s="75">
        <f t="shared" si="579"/>
        <v>1</v>
      </c>
      <c r="I1576" s="76">
        <f t="shared" si="580"/>
        <v>1.04</v>
      </c>
      <c r="J1576" s="76">
        <f t="shared" si="581"/>
        <v>1.04</v>
      </c>
      <c r="K1576" s="67">
        <f t="shared" si="582"/>
        <v>0</v>
      </c>
      <c r="L1576" s="67">
        <f t="shared" si="583"/>
        <v>0</v>
      </c>
      <c r="M1576" s="77">
        <f t="shared" si="584"/>
        <v>0</v>
      </c>
      <c r="N1576" s="76">
        <f t="shared" si="585"/>
        <v>1.04</v>
      </c>
      <c r="O1576" s="77">
        <f t="shared" si="586"/>
        <v>0.92</v>
      </c>
      <c r="P1576" s="76">
        <f t="shared" si="587"/>
        <v>0</v>
      </c>
      <c r="Q1576" s="76">
        <f t="shared" si="588"/>
        <v>0</v>
      </c>
      <c r="R1576" s="76">
        <f t="shared" si="589"/>
        <v>1</v>
      </c>
      <c r="S1576" s="76">
        <f t="shared" si="590"/>
        <v>1.04</v>
      </c>
      <c r="T1576" s="76">
        <f t="shared" si="591"/>
        <v>1.0245400057083056</v>
      </c>
      <c r="U1576" s="76">
        <f t="shared" si="592"/>
        <v>1.04</v>
      </c>
    </row>
    <row r="1577" spans="1:21" x14ac:dyDescent="0.25">
      <c r="A1577" s="71">
        <v>41</v>
      </c>
      <c r="B1577" s="72">
        <f t="shared" si="593"/>
        <v>46874</v>
      </c>
      <c r="C1577" s="73">
        <f t="shared" si="574"/>
        <v>46904</v>
      </c>
      <c r="D1577" s="67">
        <f t="shared" si="575"/>
        <v>31</v>
      </c>
      <c r="E1577" s="67">
        <f t="shared" si="576"/>
        <v>5</v>
      </c>
      <c r="F1577" s="74">
        <f t="shared" si="577"/>
        <v>46889.5</v>
      </c>
      <c r="G1577" s="67">
        <f t="shared" si="578"/>
        <v>24340</v>
      </c>
      <c r="H1577" s="75">
        <f t="shared" si="579"/>
        <v>1</v>
      </c>
      <c r="I1577" s="76">
        <f t="shared" si="580"/>
        <v>1.04</v>
      </c>
      <c r="J1577" s="76">
        <f t="shared" si="581"/>
        <v>1.04</v>
      </c>
      <c r="K1577" s="67">
        <f t="shared" si="582"/>
        <v>0</v>
      </c>
      <c r="L1577" s="67">
        <f t="shared" si="583"/>
        <v>0</v>
      </c>
      <c r="M1577" s="77">
        <f t="shared" si="584"/>
        <v>0</v>
      </c>
      <c r="N1577" s="76">
        <f t="shared" si="585"/>
        <v>1.04</v>
      </c>
      <c r="O1577" s="77">
        <f t="shared" si="586"/>
        <v>0.92</v>
      </c>
      <c r="P1577" s="76">
        <f t="shared" si="587"/>
        <v>0</v>
      </c>
      <c r="Q1577" s="76">
        <f t="shared" si="588"/>
        <v>0</v>
      </c>
      <c r="R1577" s="76">
        <f t="shared" si="589"/>
        <v>1</v>
      </c>
      <c r="S1577" s="76">
        <f t="shared" si="590"/>
        <v>1.04</v>
      </c>
      <c r="T1577" s="76">
        <f t="shared" si="591"/>
        <v>1.0252944534297403</v>
      </c>
      <c r="U1577" s="76">
        <f t="shared" si="592"/>
        <v>1.04</v>
      </c>
    </row>
    <row r="1578" spans="1:21" x14ac:dyDescent="0.25">
      <c r="A1578" s="71">
        <v>42</v>
      </c>
      <c r="B1578" s="72">
        <f t="shared" si="593"/>
        <v>46905</v>
      </c>
      <c r="C1578" s="73">
        <f t="shared" si="574"/>
        <v>46934</v>
      </c>
      <c r="D1578" s="67">
        <f t="shared" si="575"/>
        <v>30</v>
      </c>
      <c r="E1578" s="67">
        <f t="shared" si="576"/>
        <v>6</v>
      </c>
      <c r="F1578" s="74">
        <f t="shared" si="577"/>
        <v>46920</v>
      </c>
      <c r="G1578" s="67">
        <f t="shared" si="578"/>
        <v>24341</v>
      </c>
      <c r="H1578" s="75">
        <f t="shared" si="579"/>
        <v>1</v>
      </c>
      <c r="I1578" s="76">
        <f t="shared" si="580"/>
        <v>1.04</v>
      </c>
      <c r="J1578" s="76">
        <f t="shared" si="581"/>
        <v>1.04</v>
      </c>
      <c r="K1578" s="67">
        <f t="shared" si="582"/>
        <v>0</v>
      </c>
      <c r="L1578" s="67">
        <f t="shared" si="583"/>
        <v>0</v>
      </c>
      <c r="M1578" s="77">
        <f t="shared" si="584"/>
        <v>0</v>
      </c>
      <c r="N1578" s="76">
        <f t="shared" si="585"/>
        <v>1.04</v>
      </c>
      <c r="O1578" s="77">
        <f t="shared" si="586"/>
        <v>0.92</v>
      </c>
      <c r="P1578" s="76">
        <f t="shared" si="587"/>
        <v>0</v>
      </c>
      <c r="Q1578" s="76">
        <f t="shared" si="588"/>
        <v>0</v>
      </c>
      <c r="R1578" s="76">
        <f t="shared" si="589"/>
        <v>1</v>
      </c>
      <c r="S1578" s="76">
        <f t="shared" si="590"/>
        <v>1.04</v>
      </c>
      <c r="T1578" s="76">
        <f t="shared" si="591"/>
        <v>1.0260489011511749</v>
      </c>
      <c r="U1578" s="76">
        <f t="shared" si="592"/>
        <v>1.04</v>
      </c>
    </row>
    <row r="1579" spans="1:21" x14ac:dyDescent="0.25">
      <c r="A1579" s="71">
        <v>43</v>
      </c>
      <c r="B1579" s="72">
        <f t="shared" si="593"/>
        <v>46935</v>
      </c>
      <c r="C1579" s="73">
        <f t="shared" si="574"/>
        <v>46965</v>
      </c>
      <c r="D1579" s="67">
        <f t="shared" si="575"/>
        <v>31</v>
      </c>
      <c r="E1579" s="67">
        <f t="shared" si="576"/>
        <v>7</v>
      </c>
      <c r="F1579" s="74">
        <f t="shared" si="577"/>
        <v>46950.5</v>
      </c>
      <c r="G1579" s="67">
        <f t="shared" si="578"/>
        <v>24342</v>
      </c>
      <c r="H1579" s="75">
        <f t="shared" si="579"/>
        <v>1</v>
      </c>
      <c r="I1579" s="76">
        <f t="shared" si="580"/>
        <v>1.04</v>
      </c>
      <c r="J1579" s="76">
        <f t="shared" si="581"/>
        <v>1.04</v>
      </c>
      <c r="K1579" s="67">
        <f t="shared" si="582"/>
        <v>0</v>
      </c>
      <c r="L1579" s="67">
        <f t="shared" si="583"/>
        <v>0</v>
      </c>
      <c r="M1579" s="77">
        <f t="shared" si="584"/>
        <v>0</v>
      </c>
      <c r="N1579" s="76">
        <f t="shared" si="585"/>
        <v>1.04</v>
      </c>
      <c r="O1579" s="77">
        <f t="shared" si="586"/>
        <v>0.92</v>
      </c>
      <c r="P1579" s="76">
        <f t="shared" si="587"/>
        <v>0</v>
      </c>
      <c r="Q1579" s="76">
        <f t="shared" si="588"/>
        <v>0</v>
      </c>
      <c r="R1579" s="76">
        <f t="shared" si="589"/>
        <v>0.91666666666666663</v>
      </c>
      <c r="S1579" s="76">
        <f t="shared" si="590"/>
        <v>1.04</v>
      </c>
      <c r="T1579" s="76">
        <f t="shared" si="591"/>
        <v>1.0268033488726098</v>
      </c>
      <c r="U1579" s="76">
        <f t="shared" si="592"/>
        <v>1.04</v>
      </c>
    </row>
    <row r="1580" spans="1:21" x14ac:dyDescent="0.25">
      <c r="A1580" s="71">
        <v>44</v>
      </c>
      <c r="B1580" s="72">
        <f t="shared" si="593"/>
        <v>46966</v>
      </c>
      <c r="C1580" s="73">
        <f t="shared" si="574"/>
        <v>46996</v>
      </c>
      <c r="D1580" s="67">
        <f t="shared" si="575"/>
        <v>31</v>
      </c>
      <c r="E1580" s="67">
        <f t="shared" si="576"/>
        <v>8</v>
      </c>
      <c r="F1580" s="74">
        <f t="shared" si="577"/>
        <v>46981.5</v>
      </c>
      <c r="G1580" s="67">
        <f t="shared" si="578"/>
        <v>24343</v>
      </c>
      <c r="H1580" s="75">
        <f t="shared" si="579"/>
        <v>1</v>
      </c>
      <c r="I1580" s="76">
        <f t="shared" si="580"/>
        <v>1.04</v>
      </c>
      <c r="J1580" s="76">
        <f t="shared" si="581"/>
        <v>1.04</v>
      </c>
      <c r="K1580" s="67">
        <f t="shared" si="582"/>
        <v>0</v>
      </c>
      <c r="L1580" s="67">
        <f t="shared" si="583"/>
        <v>0</v>
      </c>
      <c r="M1580" s="77">
        <f t="shared" si="584"/>
        <v>0</v>
      </c>
      <c r="N1580" s="76">
        <f t="shared" si="585"/>
        <v>1.04</v>
      </c>
      <c r="O1580" s="77">
        <f t="shared" si="586"/>
        <v>0.92</v>
      </c>
      <c r="P1580" s="76">
        <f t="shared" si="587"/>
        <v>0</v>
      </c>
      <c r="Q1580" s="76">
        <f t="shared" si="588"/>
        <v>0</v>
      </c>
      <c r="R1580" s="76">
        <f t="shared" si="589"/>
        <v>0.75</v>
      </c>
      <c r="S1580" s="76">
        <f t="shared" si="590"/>
        <v>1.04</v>
      </c>
      <c r="T1580" s="76">
        <f t="shared" si="591"/>
        <v>1.0275701645894777</v>
      </c>
      <c r="U1580" s="76">
        <f t="shared" si="592"/>
        <v>1.04</v>
      </c>
    </row>
    <row r="1581" spans="1:21" x14ac:dyDescent="0.25">
      <c r="A1581" s="71">
        <v>45</v>
      </c>
      <c r="B1581" s="72">
        <f t="shared" si="593"/>
        <v>46997</v>
      </c>
      <c r="C1581" s="73">
        <f t="shared" si="574"/>
        <v>47026</v>
      </c>
      <c r="D1581" s="67">
        <f t="shared" si="575"/>
        <v>30</v>
      </c>
      <c r="E1581" s="67">
        <f t="shared" si="576"/>
        <v>9</v>
      </c>
      <c r="F1581" s="74">
        <f t="shared" si="577"/>
        <v>47012</v>
      </c>
      <c r="G1581" s="67">
        <f t="shared" si="578"/>
        <v>24344</v>
      </c>
      <c r="H1581" s="75">
        <f t="shared" si="579"/>
        <v>1</v>
      </c>
      <c r="I1581" s="76">
        <f t="shared" si="580"/>
        <v>1.04</v>
      </c>
      <c r="J1581" s="76">
        <f t="shared" si="581"/>
        <v>1.04</v>
      </c>
      <c r="K1581" s="67">
        <f t="shared" si="582"/>
        <v>0</v>
      </c>
      <c r="L1581" s="67">
        <f t="shared" si="583"/>
        <v>0</v>
      </c>
      <c r="M1581" s="77">
        <f t="shared" si="584"/>
        <v>0</v>
      </c>
      <c r="N1581" s="76">
        <f t="shared" si="585"/>
        <v>1.04</v>
      </c>
      <c r="O1581" s="77">
        <f t="shared" si="586"/>
        <v>0.92</v>
      </c>
      <c r="P1581" s="76">
        <f t="shared" si="587"/>
        <v>0</v>
      </c>
      <c r="Q1581" s="76">
        <f t="shared" si="588"/>
        <v>0</v>
      </c>
      <c r="R1581" s="76">
        <f t="shared" si="589"/>
        <v>0.58333333333333337</v>
      </c>
      <c r="S1581" s="76">
        <f t="shared" si="590"/>
        <v>1.04</v>
      </c>
      <c r="T1581" s="76">
        <f t="shared" si="591"/>
        <v>1.0283246123109124</v>
      </c>
      <c r="U1581" s="76">
        <f t="shared" si="592"/>
        <v>1.04</v>
      </c>
    </row>
    <row r="1582" spans="1:21" x14ac:dyDescent="0.25">
      <c r="A1582" s="71">
        <v>46</v>
      </c>
      <c r="B1582" s="72">
        <f t="shared" si="593"/>
        <v>47027</v>
      </c>
      <c r="C1582" s="73">
        <f t="shared" si="574"/>
        <v>47057</v>
      </c>
      <c r="D1582" s="67">
        <f t="shared" si="575"/>
        <v>31</v>
      </c>
      <c r="E1582" s="67">
        <f t="shared" si="576"/>
        <v>10</v>
      </c>
      <c r="F1582" s="74">
        <f t="shared" si="577"/>
        <v>47042.5</v>
      </c>
      <c r="G1582" s="67">
        <f t="shared" si="578"/>
        <v>24345</v>
      </c>
      <c r="H1582" s="75">
        <f t="shared" si="579"/>
        <v>1</v>
      </c>
      <c r="I1582" s="76">
        <f t="shared" si="580"/>
        <v>1.04</v>
      </c>
      <c r="J1582" s="76">
        <f t="shared" si="581"/>
        <v>1.04</v>
      </c>
      <c r="K1582" s="67">
        <f t="shared" si="582"/>
        <v>0</v>
      </c>
      <c r="L1582" s="67">
        <f t="shared" si="583"/>
        <v>0</v>
      </c>
      <c r="M1582" s="77">
        <f t="shared" si="584"/>
        <v>0</v>
      </c>
      <c r="N1582" s="76">
        <f t="shared" si="585"/>
        <v>1.04</v>
      </c>
      <c r="O1582" s="77">
        <f t="shared" si="586"/>
        <v>0.92</v>
      </c>
      <c r="P1582" s="76">
        <f t="shared" si="587"/>
        <v>0</v>
      </c>
      <c r="Q1582" s="76">
        <f t="shared" si="588"/>
        <v>0</v>
      </c>
      <c r="R1582" s="76">
        <f t="shared" si="589"/>
        <v>0.41666666666666669</v>
      </c>
      <c r="S1582" s="76">
        <f t="shared" si="590"/>
        <v>1.04</v>
      </c>
      <c r="T1582" s="76">
        <f t="shared" si="591"/>
        <v>1.0290790600323469</v>
      </c>
      <c r="U1582" s="76">
        <f t="shared" si="592"/>
        <v>1.04</v>
      </c>
    </row>
    <row r="1583" spans="1:21" x14ac:dyDescent="0.25">
      <c r="A1583" s="71">
        <v>47</v>
      </c>
      <c r="B1583" s="72">
        <f t="shared" si="593"/>
        <v>47058</v>
      </c>
      <c r="C1583" s="73">
        <f t="shared" si="574"/>
        <v>47087</v>
      </c>
      <c r="D1583" s="67">
        <f t="shared" si="575"/>
        <v>30</v>
      </c>
      <c r="E1583" s="67">
        <f t="shared" si="576"/>
        <v>11</v>
      </c>
      <c r="F1583" s="74">
        <f t="shared" si="577"/>
        <v>47073</v>
      </c>
      <c r="G1583" s="67">
        <f t="shared" si="578"/>
        <v>24346</v>
      </c>
      <c r="H1583" s="75">
        <f t="shared" si="579"/>
        <v>1</v>
      </c>
      <c r="I1583" s="76">
        <f t="shared" si="580"/>
        <v>1.04</v>
      </c>
      <c r="J1583" s="76">
        <f t="shared" si="581"/>
        <v>1.04</v>
      </c>
      <c r="K1583" s="67">
        <f t="shared" si="582"/>
        <v>0</v>
      </c>
      <c r="L1583" s="67">
        <f t="shared" si="583"/>
        <v>0</v>
      </c>
      <c r="M1583" s="77">
        <f t="shared" si="584"/>
        <v>0</v>
      </c>
      <c r="N1583" s="76">
        <f t="shared" si="585"/>
        <v>1.04</v>
      </c>
      <c r="O1583" s="77">
        <f t="shared" si="586"/>
        <v>0.92</v>
      </c>
      <c r="P1583" s="76">
        <f t="shared" si="587"/>
        <v>0</v>
      </c>
      <c r="Q1583" s="76">
        <f t="shared" si="588"/>
        <v>0</v>
      </c>
      <c r="R1583" s="76">
        <f t="shared" si="589"/>
        <v>0.25</v>
      </c>
      <c r="S1583" s="76">
        <f t="shared" si="590"/>
        <v>1.04</v>
      </c>
      <c r="T1583" s="76">
        <f t="shared" si="591"/>
        <v>1.0298335077537819</v>
      </c>
      <c r="U1583" s="76">
        <f t="shared" si="592"/>
        <v>1.04</v>
      </c>
    </row>
    <row r="1584" spans="1:21" x14ac:dyDescent="0.25">
      <c r="A1584" s="71">
        <v>48</v>
      </c>
      <c r="B1584" s="72">
        <f t="shared" si="593"/>
        <v>47088</v>
      </c>
      <c r="C1584" s="73">
        <f t="shared" si="574"/>
        <v>47118</v>
      </c>
      <c r="D1584" s="67">
        <f t="shared" si="575"/>
        <v>31</v>
      </c>
      <c r="E1584" s="67">
        <f t="shared" si="576"/>
        <v>12</v>
      </c>
      <c r="F1584" s="74">
        <f t="shared" si="577"/>
        <v>47103.5</v>
      </c>
      <c r="G1584" s="67">
        <f t="shared" si="578"/>
        <v>24347</v>
      </c>
      <c r="H1584" s="75">
        <f t="shared" si="579"/>
        <v>1</v>
      </c>
      <c r="I1584" s="76">
        <f t="shared" si="580"/>
        <v>1.04</v>
      </c>
      <c r="J1584" s="76">
        <f t="shared" si="581"/>
        <v>1.04</v>
      </c>
      <c r="K1584" s="67">
        <f t="shared" si="582"/>
        <v>0</v>
      </c>
      <c r="L1584" s="67">
        <f t="shared" si="583"/>
        <v>0</v>
      </c>
      <c r="M1584" s="77">
        <f t="shared" si="584"/>
        <v>0</v>
      </c>
      <c r="N1584" s="76">
        <f t="shared" si="585"/>
        <v>1.04</v>
      </c>
      <c r="O1584" s="77">
        <f t="shared" si="586"/>
        <v>0.92</v>
      </c>
      <c r="P1584" s="76">
        <f t="shared" si="587"/>
        <v>0</v>
      </c>
      <c r="Q1584" s="76">
        <f t="shared" si="588"/>
        <v>0</v>
      </c>
      <c r="R1584" s="76">
        <f t="shared" si="589"/>
        <v>8.3333333333333329E-2</v>
      </c>
      <c r="S1584" s="76">
        <f t="shared" si="590"/>
        <v>1.04</v>
      </c>
      <c r="T1584" s="76">
        <f t="shared" si="591"/>
        <v>1.0305879554752164</v>
      </c>
      <c r="U1584" s="76">
        <f t="shared" si="592"/>
        <v>1.04</v>
      </c>
    </row>
    <row r="1585" spans="1:21" x14ac:dyDescent="0.25">
      <c r="A1585" s="81" t="s">
        <v>1187</v>
      </c>
      <c r="B1585" s="53">
        <f>EXP(SUMPRODUCT((rl_key=$A$1534)*(rl_cons="Y")*rl_ln1p))</f>
        <v>1.04</v>
      </c>
      <c r="C1585" s="53">
        <f>SUMPRODUCT($H$1537:$H$1584,$P$1537:$P$1584,$U$1537:$U$1584)/SUMPRODUCT($H$1537:$H$1584,$P$1537:$P$1584)</f>
        <v>1.02</v>
      </c>
      <c r="D1585" s="53">
        <f>SUMPRODUCT($H$1537:$H$1584,$Q$1537:$Q$1584,$U$1537:$U$1584)/SUMPRODUCT($H$1537:$H$1584,$Q$1537:$Q$1584)</f>
        <v>1.0399999999999998</v>
      </c>
      <c r="E1585" s="53">
        <f>SUMPRODUCT($H$1537:$H$1584,$R$1537:$R$1584,$U$1537:$U$1584)/SUMPRODUCT($H$1537:$H$1584,$R$1537:$R$1584)</f>
        <v>1.0399999999999998</v>
      </c>
      <c r="F1585" s="172">
        <f>SUMPRODUCT($H$1537:$H$1584,$Q$1537:$Q$1584,$O$1537:$O$1584)/SUMPRODUCT($H$1537:$H$1584,$Q$1537:$Q$1584)</f>
        <v>0.91399252370532447</v>
      </c>
      <c r="G1585" s="172">
        <f>SUMPRODUCT($H$1537:$H$1584,$R$1537:$R$1584,$O$1537:$O$1584)/SUMPRODUCT($H$1537:$H$1584,$R$1537:$R$1584)</f>
        <v>0.91966022368101141</v>
      </c>
    </row>
    <row r="1588" spans="1:21" x14ac:dyDescent="0.25">
      <c r="A1588" s="81" t="str">
        <f>INDEX(lr_key,29)</f>
        <v>BU-B|IN</v>
      </c>
      <c r="B1588" s="81" t="str">
        <f>INDEX(lr_state,29)</f>
        <v>IN</v>
      </c>
      <c r="C1588" s="55">
        <f>nr_TermMonths</f>
        <v>6</v>
      </c>
      <c r="D1588" s="55">
        <f>IF(COUNTIF(se_state,$B1588)=0,0,MATCH($B1588,se_state,0))</f>
        <v>2</v>
      </c>
      <c r="E1588" s="57">
        <f>IF($D1588=0,0,INDEX(se_sum,$D1588))</f>
        <v>11.999999999999998</v>
      </c>
      <c r="F1588" s="172">
        <f>IF(N(INDEX(lr_mind,29))=0,1,INDEX(lr_mind,29))</f>
        <v>0.92</v>
      </c>
      <c r="G1588" s="172">
        <f>IF(N(INDEX(lr_m0,29))=0,1,INDEX(lr_m0,29))</f>
        <v>0.91</v>
      </c>
      <c r="H1588" s="54">
        <f>IF(N(INDEX(lr_m0asof,29))=0,DATE(nr_PlanYear-1,10,1),INDEX(lr_m0asof,29))</f>
        <v>46295</v>
      </c>
      <c r="I1588" s="172">
        <f>IF(N(INDEX(lr_m1,29))=0,1,INDEX(lr_m1,29))</f>
        <v>0.9</v>
      </c>
      <c r="J1588" s="172">
        <f>INDEX(lr_mprior,29)</f>
        <v>0</v>
      </c>
      <c r="K1588" s="172">
        <f>INDEX(lr_m2,29)</f>
        <v>0</v>
      </c>
      <c r="L1588" s="81" t="b">
        <f>NOT(ISBLANK(INDEX(lr_netp,29)))</f>
        <v>0</v>
      </c>
      <c r="M1588" s="52">
        <f>N(INDEX(lr_netp,29))</f>
        <v>0</v>
      </c>
      <c r="N1588" s="52">
        <f>IF(ISBLANK(INDEX(lr_netp1,29)),$M$1588,N(INDEX(lr_netp1,29)))</f>
        <v>0</v>
      </c>
      <c r="O1588" s="55">
        <f>IF(AND(nr_ModAdjMaster="ON",INDEX(lr_modadj,29)="ON"),1,0)</f>
        <v>1</v>
      </c>
    </row>
    <row r="1589" spans="1:21" x14ac:dyDescent="0.25">
      <c r="A1589" s="81">
        <f>EDATE($H$1588,-12)+1</f>
        <v>45931</v>
      </c>
      <c r="B1589" s="81">
        <f>$H$1588+1</f>
        <v>46296</v>
      </c>
      <c r="C1589" s="81">
        <f>DATE(nr_PlanYear,12,31)+1</f>
        <v>46753</v>
      </c>
      <c r="D1589" s="81">
        <f>DATE(nr_PlanYear+1,12,31)+1</f>
        <v>47119</v>
      </c>
      <c r="E1589" s="81">
        <f>IF(N($J$1588)=0,$F$1589-($G$1589-$F$1589)/($C$1589-$B$1589)*($B$1589-$A$1589),$J$1588)</f>
        <v>0.91798687089715536</v>
      </c>
      <c r="F1589" s="81">
        <f>$G$1588</f>
        <v>0.91</v>
      </c>
      <c r="G1589" s="81">
        <f>$I$1588</f>
        <v>0.9</v>
      </c>
      <c r="H1589" s="81">
        <f>IF(N($K$1588)=0,$I$1588,$K$1588)</f>
        <v>0.9</v>
      </c>
      <c r="I1589" s="81">
        <f>($F$1589-$E$1589)/($B$1589-$A$1589)</f>
        <v>-2.1881838074398162E-5</v>
      </c>
      <c r="J1589" s="81">
        <f>($G$1589-$F$1589)/($C$1589-$B$1589)</f>
        <v>-2.188183807439827E-5</v>
      </c>
      <c r="K1589" s="81">
        <f>($H$1589-$G$1589)/($D$1589-$C$1589)</f>
        <v>0</v>
      </c>
    </row>
    <row r="1590" spans="1:21" ht="36" x14ac:dyDescent="0.25">
      <c r="A1590" s="50" t="s">
        <v>211</v>
      </c>
      <c r="B1590" s="50" t="s">
        <v>212</v>
      </c>
      <c r="C1590" s="50" t="s">
        <v>213</v>
      </c>
      <c r="D1590" s="50" t="s">
        <v>214</v>
      </c>
      <c r="E1590" s="50" t="s">
        <v>215</v>
      </c>
      <c r="F1590" s="50" t="s">
        <v>216</v>
      </c>
      <c r="G1590" s="50" t="s">
        <v>217</v>
      </c>
      <c r="H1590" s="50" t="s">
        <v>218</v>
      </c>
      <c r="I1590" s="50" t="s">
        <v>219</v>
      </c>
      <c r="J1590" s="50" t="s">
        <v>220</v>
      </c>
      <c r="K1590" s="50" t="s">
        <v>221</v>
      </c>
      <c r="L1590" s="50" t="s">
        <v>222</v>
      </c>
      <c r="M1590" s="50" t="s">
        <v>223</v>
      </c>
      <c r="N1590" s="50" t="s">
        <v>224</v>
      </c>
      <c r="O1590" s="50" t="s">
        <v>225</v>
      </c>
      <c r="P1590" s="50" t="s">
        <v>226</v>
      </c>
      <c r="Q1590" s="50" t="s">
        <v>227</v>
      </c>
      <c r="R1590" s="50" t="s">
        <v>228</v>
      </c>
      <c r="S1590" s="50" t="s">
        <v>229</v>
      </c>
      <c r="T1590" s="50" t="s">
        <v>230</v>
      </c>
      <c r="U1590" s="50" t="s">
        <v>231</v>
      </c>
    </row>
    <row r="1591" spans="1:21" x14ac:dyDescent="0.25">
      <c r="A1591" s="71">
        <v>1</v>
      </c>
      <c r="B1591" s="72">
        <f>DATE(nr_PlanYear-2,1,1)</f>
        <v>45658</v>
      </c>
      <c r="C1591" s="73">
        <f t="shared" ref="C1591:C1638" si="594">EOMONTH($B1591,0)</f>
        <v>45688</v>
      </c>
      <c r="D1591" s="67">
        <f t="shared" ref="D1591:D1638" si="595">$C1591-$B1591+1</f>
        <v>31</v>
      </c>
      <c r="E1591" s="67">
        <f t="shared" ref="E1591:E1638" si="596">MONTH($B1591)</f>
        <v>1</v>
      </c>
      <c r="F1591" s="74">
        <f t="shared" ref="F1591:F1638" si="597">($B1591+$C1591+1)/2</f>
        <v>45673.5</v>
      </c>
      <c r="G1591" s="67">
        <f t="shared" ref="G1591:G1638" si="598">YEAR($B1591)*12+MONTH($B1591)-1</f>
        <v>24300</v>
      </c>
      <c r="H1591" s="75">
        <f t="shared" ref="H1591:H1638" si="599">IF(OR(nr_SeasonOn="OFF",$D$1588=0,$E$1588=0),1,12*INDEX(se_block,$D$1588,$E1591)/$E$1588)</f>
        <v>1</v>
      </c>
      <c r="I1591" s="76">
        <f t="shared" ref="I1591:I1638" si="600">EXP(SUMPRODUCT((rl_eff&lt;$B1591)*(rl_key=$A$1588)*rl_ln1p))</f>
        <v>1</v>
      </c>
      <c r="J1591" s="76">
        <f t="shared" ref="J1591:J1638" si="601">EXP(SUMPRODUCT((rl_eff&lt;=$C1591)*(rl_key=$A$1588)*rl_ln1p))</f>
        <v>1</v>
      </c>
      <c r="K1591" s="67">
        <f t="shared" ref="K1591:K1638" si="602">COUNTIFS(rl_key,$A$1588,rl_eff,"&gt;="&amp;$B1591,rl_eff,"&lt;="&amp;$C1591)</f>
        <v>0</v>
      </c>
      <c r="L1591" s="67">
        <f t="shared" ref="L1591:L1638" si="603">SUMIFS(rl_daysafter,rl_key,$A$1588,rl_effmonth,$B1591,rl_first,1)</f>
        <v>0</v>
      </c>
      <c r="M1591" s="77">
        <f t="shared" ref="M1591:M1638" si="604">IF($K1591=0,0,MIN(1,$L1591/$D1591))</f>
        <v>0</v>
      </c>
      <c r="N1591" s="76">
        <f t="shared" ref="N1591:N1638" si="605">IF($K1591=0,$J1591,(1-$M1591)*$I1591+$M1591*$J1591)</f>
        <v>1</v>
      </c>
      <c r="O1591" s="77">
        <f t="shared" ref="O1591:O1638" si="606">IF($F1591&lt;$B$1589,$E$1589+$I$1589*($F1591-$A$1589),IF($F1591&lt;$C$1589,$F$1589+$J$1589*($F1591-$B$1589),$G$1589+$K$1589*($F1591-$C$1589)))</f>
        <v>0.92362144420131287</v>
      </c>
      <c r="P1591" s="76">
        <f t="shared" ref="P1591:P1638" si="607">MIN(1,MAX(0,(nr_MEndPm1-$G1591+0.5)/$C$1588))-MIN(1,MAX(0,(nr_MStartPm1-1-$G1591+0.5)/$C$1588))</f>
        <v>0</v>
      </c>
      <c r="Q1591" s="76">
        <f t="shared" ref="Q1591:Q1638" si="608">MIN(1,MAX(0,(nr_MEndP-$G1591+0.5)/$C$1588))-MIN(1,MAX(0,(nr_MStartP-1-$G1591+0.5)/$C$1588))</f>
        <v>0</v>
      </c>
      <c r="R1591" s="76">
        <f t="shared" ref="R1591:R1638" si="609">MIN(1,MAX(0,(nr_MEndP1-$G1591+0.5)/$C$1588))-MIN(1,MAX(0,(nr_MStartP1-1-$G1591+0.5)/$C$1588))</f>
        <v>0</v>
      </c>
      <c r="S1591" s="76">
        <f t="shared" ref="S1591:S1638" si="610">$N1591*IF($O$1588=1,$O1591/$F$1588,1)</f>
        <v>1.0039363523927314</v>
      </c>
      <c r="T1591" s="76">
        <f t="shared" ref="T1591:T1638" si="611">IF($G1591&lt;nr_MStartP,$S1591,$T1579*(1+IF($G1591&lt;nr_MStartP1,$M$1588,$N$1588)))</f>
        <v>1.0039363523927314</v>
      </c>
      <c r="U1591" s="76">
        <f t="shared" ref="U1591:U1638" si="612">IF($L$1588,$T1591,$N1591)</f>
        <v>1</v>
      </c>
    </row>
    <row r="1592" spans="1:21" x14ac:dyDescent="0.25">
      <c r="A1592" s="71">
        <v>2</v>
      </c>
      <c r="B1592" s="72">
        <f t="shared" ref="B1592:B1638" si="613">EDATE($B1591,1)</f>
        <v>45689</v>
      </c>
      <c r="C1592" s="73">
        <f t="shared" si="594"/>
        <v>45716</v>
      </c>
      <c r="D1592" s="67">
        <f t="shared" si="595"/>
        <v>28</v>
      </c>
      <c r="E1592" s="67">
        <f t="shared" si="596"/>
        <v>2</v>
      </c>
      <c r="F1592" s="74">
        <f t="shared" si="597"/>
        <v>45703</v>
      </c>
      <c r="G1592" s="67">
        <f t="shared" si="598"/>
        <v>24301</v>
      </c>
      <c r="H1592" s="75">
        <f t="shared" si="599"/>
        <v>1</v>
      </c>
      <c r="I1592" s="76">
        <f t="shared" si="600"/>
        <v>1</v>
      </c>
      <c r="J1592" s="76">
        <f t="shared" si="601"/>
        <v>1</v>
      </c>
      <c r="K1592" s="67">
        <f t="shared" si="602"/>
        <v>0</v>
      </c>
      <c r="L1592" s="67">
        <f t="shared" si="603"/>
        <v>0</v>
      </c>
      <c r="M1592" s="77">
        <f t="shared" si="604"/>
        <v>0</v>
      </c>
      <c r="N1592" s="76">
        <f t="shared" si="605"/>
        <v>1</v>
      </c>
      <c r="O1592" s="77">
        <f t="shared" si="606"/>
        <v>0.92297592997811817</v>
      </c>
      <c r="P1592" s="76">
        <f t="shared" si="607"/>
        <v>0</v>
      </c>
      <c r="Q1592" s="76">
        <f t="shared" si="608"/>
        <v>0</v>
      </c>
      <c r="R1592" s="76">
        <f t="shared" si="609"/>
        <v>0</v>
      </c>
      <c r="S1592" s="76">
        <f t="shared" si="610"/>
        <v>1.0032347064979545</v>
      </c>
      <c r="T1592" s="76">
        <f t="shared" si="611"/>
        <v>1.0032347064979545</v>
      </c>
      <c r="U1592" s="76">
        <f t="shared" si="612"/>
        <v>1</v>
      </c>
    </row>
    <row r="1593" spans="1:21" x14ac:dyDescent="0.25">
      <c r="A1593" s="71">
        <v>3</v>
      </c>
      <c r="B1593" s="72">
        <f t="shared" si="613"/>
        <v>45717</v>
      </c>
      <c r="C1593" s="73">
        <f t="shared" si="594"/>
        <v>45747</v>
      </c>
      <c r="D1593" s="67">
        <f t="shared" si="595"/>
        <v>31</v>
      </c>
      <c r="E1593" s="67">
        <f t="shared" si="596"/>
        <v>3</v>
      </c>
      <c r="F1593" s="74">
        <f t="shared" si="597"/>
        <v>45732.5</v>
      </c>
      <c r="G1593" s="67">
        <f t="shared" si="598"/>
        <v>24302</v>
      </c>
      <c r="H1593" s="75">
        <f t="shared" si="599"/>
        <v>1</v>
      </c>
      <c r="I1593" s="76">
        <f t="shared" si="600"/>
        <v>1</v>
      </c>
      <c r="J1593" s="76">
        <f t="shared" si="601"/>
        <v>1</v>
      </c>
      <c r="K1593" s="67">
        <f t="shared" si="602"/>
        <v>0</v>
      </c>
      <c r="L1593" s="67">
        <f t="shared" si="603"/>
        <v>0</v>
      </c>
      <c r="M1593" s="77">
        <f t="shared" si="604"/>
        <v>0</v>
      </c>
      <c r="N1593" s="76">
        <f t="shared" si="605"/>
        <v>1</v>
      </c>
      <c r="O1593" s="77">
        <f t="shared" si="606"/>
        <v>0.92233041575492336</v>
      </c>
      <c r="P1593" s="76">
        <f t="shared" si="607"/>
        <v>0</v>
      </c>
      <c r="Q1593" s="76">
        <f t="shared" si="608"/>
        <v>0</v>
      </c>
      <c r="R1593" s="76">
        <f t="shared" si="609"/>
        <v>0</v>
      </c>
      <c r="S1593" s="76">
        <f t="shared" si="610"/>
        <v>1.0025330606031775</v>
      </c>
      <c r="T1593" s="76">
        <f t="shared" si="611"/>
        <v>1.0025330606031775</v>
      </c>
      <c r="U1593" s="76">
        <f t="shared" si="612"/>
        <v>1</v>
      </c>
    </row>
    <row r="1594" spans="1:21" x14ac:dyDescent="0.25">
      <c r="A1594" s="71">
        <v>4</v>
      </c>
      <c r="B1594" s="72">
        <f t="shared" si="613"/>
        <v>45748</v>
      </c>
      <c r="C1594" s="73">
        <f t="shared" si="594"/>
        <v>45777</v>
      </c>
      <c r="D1594" s="67">
        <f t="shared" si="595"/>
        <v>30</v>
      </c>
      <c r="E1594" s="67">
        <f t="shared" si="596"/>
        <v>4</v>
      </c>
      <c r="F1594" s="74">
        <f t="shared" si="597"/>
        <v>45763</v>
      </c>
      <c r="G1594" s="67">
        <f t="shared" si="598"/>
        <v>24303</v>
      </c>
      <c r="H1594" s="75">
        <f t="shared" si="599"/>
        <v>1</v>
      </c>
      <c r="I1594" s="76">
        <f t="shared" si="600"/>
        <v>1</v>
      </c>
      <c r="J1594" s="76">
        <f t="shared" si="601"/>
        <v>1</v>
      </c>
      <c r="K1594" s="67">
        <f t="shared" si="602"/>
        <v>0</v>
      </c>
      <c r="L1594" s="67">
        <f t="shared" si="603"/>
        <v>0</v>
      </c>
      <c r="M1594" s="77">
        <f t="shared" si="604"/>
        <v>0</v>
      </c>
      <c r="N1594" s="76">
        <f t="shared" si="605"/>
        <v>1</v>
      </c>
      <c r="O1594" s="77">
        <f t="shared" si="606"/>
        <v>0.92166301969365427</v>
      </c>
      <c r="P1594" s="76">
        <f t="shared" si="607"/>
        <v>0</v>
      </c>
      <c r="Q1594" s="76">
        <f t="shared" si="608"/>
        <v>0</v>
      </c>
      <c r="R1594" s="76">
        <f t="shared" si="609"/>
        <v>0</v>
      </c>
      <c r="S1594" s="76">
        <f t="shared" si="610"/>
        <v>1.0018076301017982</v>
      </c>
      <c r="T1594" s="76">
        <f t="shared" si="611"/>
        <v>1.0018076301017982</v>
      </c>
      <c r="U1594" s="76">
        <f t="shared" si="612"/>
        <v>1</v>
      </c>
    </row>
    <row r="1595" spans="1:21" x14ac:dyDescent="0.25">
      <c r="A1595" s="71">
        <v>5</v>
      </c>
      <c r="B1595" s="72">
        <f t="shared" si="613"/>
        <v>45778</v>
      </c>
      <c r="C1595" s="73">
        <f t="shared" si="594"/>
        <v>45808</v>
      </c>
      <c r="D1595" s="67">
        <f t="shared" si="595"/>
        <v>31</v>
      </c>
      <c r="E1595" s="67">
        <f t="shared" si="596"/>
        <v>5</v>
      </c>
      <c r="F1595" s="74">
        <f t="shared" si="597"/>
        <v>45793.5</v>
      </c>
      <c r="G1595" s="67">
        <f t="shared" si="598"/>
        <v>24304</v>
      </c>
      <c r="H1595" s="75">
        <f t="shared" si="599"/>
        <v>1</v>
      </c>
      <c r="I1595" s="76">
        <f t="shared" si="600"/>
        <v>1</v>
      </c>
      <c r="J1595" s="76">
        <f t="shared" si="601"/>
        <v>1</v>
      </c>
      <c r="K1595" s="67">
        <f t="shared" si="602"/>
        <v>0</v>
      </c>
      <c r="L1595" s="67">
        <f t="shared" si="603"/>
        <v>0</v>
      </c>
      <c r="M1595" s="77">
        <f t="shared" si="604"/>
        <v>0</v>
      </c>
      <c r="N1595" s="76">
        <f t="shared" si="605"/>
        <v>1</v>
      </c>
      <c r="O1595" s="77">
        <f t="shared" si="606"/>
        <v>0.92099562363238507</v>
      </c>
      <c r="P1595" s="76">
        <f t="shared" si="607"/>
        <v>0</v>
      </c>
      <c r="Q1595" s="76">
        <f t="shared" si="608"/>
        <v>0</v>
      </c>
      <c r="R1595" s="76">
        <f t="shared" si="609"/>
        <v>0</v>
      </c>
      <c r="S1595" s="76">
        <f t="shared" si="610"/>
        <v>1.0010821996004184</v>
      </c>
      <c r="T1595" s="76">
        <f t="shared" si="611"/>
        <v>1.0010821996004184</v>
      </c>
      <c r="U1595" s="76">
        <f t="shared" si="612"/>
        <v>1</v>
      </c>
    </row>
    <row r="1596" spans="1:21" x14ac:dyDescent="0.25">
      <c r="A1596" s="71">
        <v>6</v>
      </c>
      <c r="B1596" s="72">
        <f t="shared" si="613"/>
        <v>45809</v>
      </c>
      <c r="C1596" s="73">
        <f t="shared" si="594"/>
        <v>45838</v>
      </c>
      <c r="D1596" s="67">
        <f t="shared" si="595"/>
        <v>30</v>
      </c>
      <c r="E1596" s="67">
        <f t="shared" si="596"/>
        <v>6</v>
      </c>
      <c r="F1596" s="74">
        <f t="shared" si="597"/>
        <v>45824</v>
      </c>
      <c r="G1596" s="67">
        <f t="shared" si="598"/>
        <v>24305</v>
      </c>
      <c r="H1596" s="75">
        <f t="shared" si="599"/>
        <v>1</v>
      </c>
      <c r="I1596" s="76">
        <f t="shared" si="600"/>
        <v>1</v>
      </c>
      <c r="J1596" s="76">
        <f t="shared" si="601"/>
        <v>1</v>
      </c>
      <c r="K1596" s="67">
        <f t="shared" si="602"/>
        <v>0</v>
      </c>
      <c r="L1596" s="67">
        <f t="shared" si="603"/>
        <v>0</v>
      </c>
      <c r="M1596" s="77">
        <f t="shared" si="604"/>
        <v>0</v>
      </c>
      <c r="N1596" s="76">
        <f t="shared" si="605"/>
        <v>1</v>
      </c>
      <c r="O1596" s="77">
        <f t="shared" si="606"/>
        <v>0.92032822757111599</v>
      </c>
      <c r="P1596" s="76">
        <f t="shared" si="607"/>
        <v>0</v>
      </c>
      <c r="Q1596" s="76">
        <f t="shared" si="608"/>
        <v>0</v>
      </c>
      <c r="R1596" s="76">
        <f t="shared" si="609"/>
        <v>0</v>
      </c>
      <c r="S1596" s="76">
        <f t="shared" si="610"/>
        <v>1.0003567690990391</v>
      </c>
      <c r="T1596" s="76">
        <f t="shared" si="611"/>
        <v>1.0003567690990391</v>
      </c>
      <c r="U1596" s="76">
        <f t="shared" si="612"/>
        <v>1</v>
      </c>
    </row>
    <row r="1597" spans="1:21" x14ac:dyDescent="0.25">
      <c r="A1597" s="71">
        <v>7</v>
      </c>
      <c r="B1597" s="72">
        <f t="shared" si="613"/>
        <v>45839</v>
      </c>
      <c r="C1597" s="73">
        <f t="shared" si="594"/>
        <v>45869</v>
      </c>
      <c r="D1597" s="67">
        <f t="shared" si="595"/>
        <v>31</v>
      </c>
      <c r="E1597" s="67">
        <f t="shared" si="596"/>
        <v>7</v>
      </c>
      <c r="F1597" s="74">
        <f t="shared" si="597"/>
        <v>45854.5</v>
      </c>
      <c r="G1597" s="67">
        <f t="shared" si="598"/>
        <v>24306</v>
      </c>
      <c r="H1597" s="75">
        <f t="shared" si="599"/>
        <v>1</v>
      </c>
      <c r="I1597" s="76">
        <f t="shared" si="600"/>
        <v>1</v>
      </c>
      <c r="J1597" s="76">
        <f t="shared" si="601"/>
        <v>1</v>
      </c>
      <c r="K1597" s="67">
        <f t="shared" si="602"/>
        <v>0</v>
      </c>
      <c r="L1597" s="67">
        <f t="shared" si="603"/>
        <v>0</v>
      </c>
      <c r="M1597" s="77">
        <f t="shared" si="604"/>
        <v>0</v>
      </c>
      <c r="N1597" s="76">
        <f t="shared" si="605"/>
        <v>1</v>
      </c>
      <c r="O1597" s="77">
        <f t="shared" si="606"/>
        <v>0.91966083150984679</v>
      </c>
      <c r="P1597" s="76">
        <f t="shared" si="607"/>
        <v>8.333333333333337E-2</v>
      </c>
      <c r="Q1597" s="76">
        <f t="shared" si="608"/>
        <v>0</v>
      </c>
      <c r="R1597" s="76">
        <f t="shared" si="609"/>
        <v>0</v>
      </c>
      <c r="S1597" s="76">
        <f t="shared" si="610"/>
        <v>0.99963133859765951</v>
      </c>
      <c r="T1597" s="76">
        <f t="shared" si="611"/>
        <v>0.99963133859765951</v>
      </c>
      <c r="U1597" s="76">
        <f t="shared" si="612"/>
        <v>1</v>
      </c>
    </row>
    <row r="1598" spans="1:21" x14ac:dyDescent="0.25">
      <c r="A1598" s="71">
        <v>8</v>
      </c>
      <c r="B1598" s="72">
        <f t="shared" si="613"/>
        <v>45870</v>
      </c>
      <c r="C1598" s="73">
        <f t="shared" si="594"/>
        <v>45900</v>
      </c>
      <c r="D1598" s="67">
        <f t="shared" si="595"/>
        <v>31</v>
      </c>
      <c r="E1598" s="67">
        <f t="shared" si="596"/>
        <v>8</v>
      </c>
      <c r="F1598" s="74">
        <f t="shared" si="597"/>
        <v>45885.5</v>
      </c>
      <c r="G1598" s="67">
        <f t="shared" si="598"/>
        <v>24307</v>
      </c>
      <c r="H1598" s="75">
        <f t="shared" si="599"/>
        <v>1</v>
      </c>
      <c r="I1598" s="76">
        <f t="shared" si="600"/>
        <v>1</v>
      </c>
      <c r="J1598" s="76">
        <f t="shared" si="601"/>
        <v>1</v>
      </c>
      <c r="K1598" s="67">
        <f t="shared" si="602"/>
        <v>0</v>
      </c>
      <c r="L1598" s="67">
        <f t="shared" si="603"/>
        <v>0</v>
      </c>
      <c r="M1598" s="77">
        <f t="shared" si="604"/>
        <v>0</v>
      </c>
      <c r="N1598" s="76">
        <f t="shared" si="605"/>
        <v>1</v>
      </c>
      <c r="O1598" s="77">
        <f t="shared" si="606"/>
        <v>0.91898249452954051</v>
      </c>
      <c r="P1598" s="76">
        <f t="shared" si="607"/>
        <v>0.25</v>
      </c>
      <c r="Q1598" s="76">
        <f t="shared" si="608"/>
        <v>0</v>
      </c>
      <c r="R1598" s="76">
        <f t="shared" si="609"/>
        <v>0</v>
      </c>
      <c r="S1598" s="76">
        <f t="shared" si="610"/>
        <v>0.99889401579297876</v>
      </c>
      <c r="T1598" s="76">
        <f t="shared" si="611"/>
        <v>0.99889401579297876</v>
      </c>
      <c r="U1598" s="76">
        <f t="shared" si="612"/>
        <v>1</v>
      </c>
    </row>
    <row r="1599" spans="1:21" x14ac:dyDescent="0.25">
      <c r="A1599" s="71">
        <v>9</v>
      </c>
      <c r="B1599" s="72">
        <f t="shared" si="613"/>
        <v>45901</v>
      </c>
      <c r="C1599" s="73">
        <f t="shared" si="594"/>
        <v>45930</v>
      </c>
      <c r="D1599" s="67">
        <f t="shared" si="595"/>
        <v>30</v>
      </c>
      <c r="E1599" s="67">
        <f t="shared" si="596"/>
        <v>9</v>
      </c>
      <c r="F1599" s="74">
        <f t="shared" si="597"/>
        <v>45916</v>
      </c>
      <c r="G1599" s="67">
        <f t="shared" si="598"/>
        <v>24308</v>
      </c>
      <c r="H1599" s="75">
        <f t="shared" si="599"/>
        <v>1</v>
      </c>
      <c r="I1599" s="76">
        <f t="shared" si="600"/>
        <v>1</v>
      </c>
      <c r="J1599" s="76">
        <f t="shared" si="601"/>
        <v>1</v>
      </c>
      <c r="K1599" s="67">
        <f t="shared" si="602"/>
        <v>0</v>
      </c>
      <c r="L1599" s="67">
        <f t="shared" si="603"/>
        <v>0</v>
      </c>
      <c r="M1599" s="77">
        <f t="shared" si="604"/>
        <v>0</v>
      </c>
      <c r="N1599" s="76">
        <f t="shared" si="605"/>
        <v>1</v>
      </c>
      <c r="O1599" s="77">
        <f t="shared" si="606"/>
        <v>0.91831509846827131</v>
      </c>
      <c r="P1599" s="76">
        <f t="shared" si="607"/>
        <v>0.41666666666666663</v>
      </c>
      <c r="Q1599" s="76">
        <f t="shared" si="608"/>
        <v>0</v>
      </c>
      <c r="R1599" s="76">
        <f t="shared" si="609"/>
        <v>0</v>
      </c>
      <c r="S1599" s="76">
        <f t="shared" si="610"/>
        <v>0.99816858529159924</v>
      </c>
      <c r="T1599" s="76">
        <f t="shared" si="611"/>
        <v>0.99816858529159924</v>
      </c>
      <c r="U1599" s="76">
        <f t="shared" si="612"/>
        <v>1</v>
      </c>
    </row>
    <row r="1600" spans="1:21" x14ac:dyDescent="0.25">
      <c r="A1600" s="71">
        <v>10</v>
      </c>
      <c r="B1600" s="72">
        <f t="shared" si="613"/>
        <v>45931</v>
      </c>
      <c r="C1600" s="73">
        <f t="shared" si="594"/>
        <v>45961</v>
      </c>
      <c r="D1600" s="67">
        <f t="shared" si="595"/>
        <v>31</v>
      </c>
      <c r="E1600" s="67">
        <f t="shared" si="596"/>
        <v>10</v>
      </c>
      <c r="F1600" s="74">
        <f t="shared" si="597"/>
        <v>45946.5</v>
      </c>
      <c r="G1600" s="67">
        <f t="shared" si="598"/>
        <v>24309</v>
      </c>
      <c r="H1600" s="75">
        <f t="shared" si="599"/>
        <v>1</v>
      </c>
      <c r="I1600" s="76">
        <f t="shared" si="600"/>
        <v>1</v>
      </c>
      <c r="J1600" s="76">
        <f t="shared" si="601"/>
        <v>1</v>
      </c>
      <c r="K1600" s="67">
        <f t="shared" si="602"/>
        <v>0</v>
      </c>
      <c r="L1600" s="67">
        <f t="shared" si="603"/>
        <v>0</v>
      </c>
      <c r="M1600" s="77">
        <f t="shared" si="604"/>
        <v>0</v>
      </c>
      <c r="N1600" s="76">
        <f t="shared" si="605"/>
        <v>1</v>
      </c>
      <c r="O1600" s="77">
        <f t="shared" si="606"/>
        <v>0.91764770240700222</v>
      </c>
      <c r="P1600" s="76">
        <f t="shared" si="607"/>
        <v>0.58333333333333326</v>
      </c>
      <c r="Q1600" s="76">
        <f t="shared" si="608"/>
        <v>0</v>
      </c>
      <c r="R1600" s="76">
        <f t="shared" si="609"/>
        <v>0</v>
      </c>
      <c r="S1600" s="76">
        <f t="shared" si="610"/>
        <v>0.99744315479021972</v>
      </c>
      <c r="T1600" s="76">
        <f t="shared" si="611"/>
        <v>0.99744315479021972</v>
      </c>
      <c r="U1600" s="76">
        <f t="shared" si="612"/>
        <v>1</v>
      </c>
    </row>
    <row r="1601" spans="1:21" x14ac:dyDescent="0.25">
      <c r="A1601" s="71">
        <v>11</v>
      </c>
      <c r="B1601" s="72">
        <f t="shared" si="613"/>
        <v>45962</v>
      </c>
      <c r="C1601" s="73">
        <f t="shared" si="594"/>
        <v>45991</v>
      </c>
      <c r="D1601" s="67">
        <f t="shared" si="595"/>
        <v>30</v>
      </c>
      <c r="E1601" s="67">
        <f t="shared" si="596"/>
        <v>11</v>
      </c>
      <c r="F1601" s="74">
        <f t="shared" si="597"/>
        <v>45977</v>
      </c>
      <c r="G1601" s="67">
        <f t="shared" si="598"/>
        <v>24310</v>
      </c>
      <c r="H1601" s="75">
        <f t="shared" si="599"/>
        <v>1</v>
      </c>
      <c r="I1601" s="76">
        <f t="shared" si="600"/>
        <v>1</v>
      </c>
      <c r="J1601" s="76">
        <f t="shared" si="601"/>
        <v>1</v>
      </c>
      <c r="K1601" s="67">
        <f t="shared" si="602"/>
        <v>0</v>
      </c>
      <c r="L1601" s="67">
        <f t="shared" si="603"/>
        <v>0</v>
      </c>
      <c r="M1601" s="77">
        <f t="shared" si="604"/>
        <v>0</v>
      </c>
      <c r="N1601" s="76">
        <f t="shared" si="605"/>
        <v>1</v>
      </c>
      <c r="O1601" s="77">
        <f t="shared" si="606"/>
        <v>0.91698030634573302</v>
      </c>
      <c r="P1601" s="76">
        <f t="shared" si="607"/>
        <v>0.75</v>
      </c>
      <c r="Q1601" s="76">
        <f t="shared" si="608"/>
        <v>0</v>
      </c>
      <c r="R1601" s="76">
        <f t="shared" si="609"/>
        <v>0</v>
      </c>
      <c r="S1601" s="76">
        <f t="shared" si="610"/>
        <v>0.9967177242888402</v>
      </c>
      <c r="T1601" s="76">
        <f t="shared" si="611"/>
        <v>0.9967177242888402</v>
      </c>
      <c r="U1601" s="76">
        <f t="shared" si="612"/>
        <v>1</v>
      </c>
    </row>
    <row r="1602" spans="1:21" x14ac:dyDescent="0.25">
      <c r="A1602" s="71">
        <v>12</v>
      </c>
      <c r="B1602" s="72">
        <f t="shared" si="613"/>
        <v>45992</v>
      </c>
      <c r="C1602" s="73">
        <f t="shared" si="594"/>
        <v>46022</v>
      </c>
      <c r="D1602" s="67">
        <f t="shared" si="595"/>
        <v>31</v>
      </c>
      <c r="E1602" s="67">
        <f t="shared" si="596"/>
        <v>12</v>
      </c>
      <c r="F1602" s="74">
        <f t="shared" si="597"/>
        <v>46007.5</v>
      </c>
      <c r="G1602" s="67">
        <f t="shared" si="598"/>
        <v>24311</v>
      </c>
      <c r="H1602" s="75">
        <f t="shared" si="599"/>
        <v>1</v>
      </c>
      <c r="I1602" s="76">
        <f t="shared" si="600"/>
        <v>1</v>
      </c>
      <c r="J1602" s="76">
        <f t="shared" si="601"/>
        <v>1</v>
      </c>
      <c r="K1602" s="67">
        <f t="shared" si="602"/>
        <v>0</v>
      </c>
      <c r="L1602" s="67">
        <f t="shared" si="603"/>
        <v>0</v>
      </c>
      <c r="M1602" s="77">
        <f t="shared" si="604"/>
        <v>0</v>
      </c>
      <c r="N1602" s="76">
        <f t="shared" si="605"/>
        <v>1</v>
      </c>
      <c r="O1602" s="77">
        <f t="shared" si="606"/>
        <v>0.91631291028446393</v>
      </c>
      <c r="P1602" s="76">
        <f t="shared" si="607"/>
        <v>0.91666666666666663</v>
      </c>
      <c r="Q1602" s="76">
        <f t="shared" si="608"/>
        <v>0</v>
      </c>
      <c r="R1602" s="76">
        <f t="shared" si="609"/>
        <v>0</v>
      </c>
      <c r="S1602" s="76">
        <f t="shared" si="610"/>
        <v>0.99599229378746079</v>
      </c>
      <c r="T1602" s="76">
        <f t="shared" si="611"/>
        <v>0.99599229378746079</v>
      </c>
      <c r="U1602" s="76">
        <f t="shared" si="612"/>
        <v>1</v>
      </c>
    </row>
    <row r="1603" spans="1:21" x14ac:dyDescent="0.25">
      <c r="A1603" s="71">
        <v>13</v>
      </c>
      <c r="B1603" s="72">
        <f t="shared" si="613"/>
        <v>46023</v>
      </c>
      <c r="C1603" s="73">
        <f t="shared" si="594"/>
        <v>46053</v>
      </c>
      <c r="D1603" s="67">
        <f t="shared" si="595"/>
        <v>31</v>
      </c>
      <c r="E1603" s="67">
        <f t="shared" si="596"/>
        <v>1</v>
      </c>
      <c r="F1603" s="74">
        <f t="shared" si="597"/>
        <v>46038.5</v>
      </c>
      <c r="G1603" s="67">
        <f t="shared" si="598"/>
        <v>24312</v>
      </c>
      <c r="H1603" s="75">
        <f t="shared" si="599"/>
        <v>1</v>
      </c>
      <c r="I1603" s="76">
        <f t="shared" si="600"/>
        <v>1</v>
      </c>
      <c r="J1603" s="76">
        <f t="shared" si="601"/>
        <v>1</v>
      </c>
      <c r="K1603" s="67">
        <f t="shared" si="602"/>
        <v>0</v>
      </c>
      <c r="L1603" s="67">
        <f t="shared" si="603"/>
        <v>0</v>
      </c>
      <c r="M1603" s="77">
        <f t="shared" si="604"/>
        <v>0</v>
      </c>
      <c r="N1603" s="76">
        <f t="shared" si="605"/>
        <v>1</v>
      </c>
      <c r="O1603" s="77">
        <f t="shared" si="606"/>
        <v>0.91563457330415754</v>
      </c>
      <c r="P1603" s="76">
        <f t="shared" si="607"/>
        <v>1</v>
      </c>
      <c r="Q1603" s="76">
        <f t="shared" si="608"/>
        <v>0</v>
      </c>
      <c r="R1603" s="76">
        <f t="shared" si="609"/>
        <v>0</v>
      </c>
      <c r="S1603" s="76">
        <f t="shared" si="610"/>
        <v>0.99525497098277993</v>
      </c>
      <c r="T1603" s="76">
        <f t="shared" si="611"/>
        <v>0.99525497098277993</v>
      </c>
      <c r="U1603" s="76">
        <f t="shared" si="612"/>
        <v>1</v>
      </c>
    </row>
    <row r="1604" spans="1:21" x14ac:dyDescent="0.25">
      <c r="A1604" s="71">
        <v>14</v>
      </c>
      <c r="B1604" s="72">
        <f t="shared" si="613"/>
        <v>46054</v>
      </c>
      <c r="C1604" s="73">
        <f t="shared" si="594"/>
        <v>46081</v>
      </c>
      <c r="D1604" s="67">
        <f t="shared" si="595"/>
        <v>28</v>
      </c>
      <c r="E1604" s="67">
        <f t="shared" si="596"/>
        <v>2</v>
      </c>
      <c r="F1604" s="74">
        <f t="shared" si="597"/>
        <v>46068</v>
      </c>
      <c r="G1604" s="67">
        <f t="shared" si="598"/>
        <v>24313</v>
      </c>
      <c r="H1604" s="75">
        <f t="shared" si="599"/>
        <v>1</v>
      </c>
      <c r="I1604" s="76">
        <f t="shared" si="600"/>
        <v>1</v>
      </c>
      <c r="J1604" s="76">
        <f t="shared" si="601"/>
        <v>1</v>
      </c>
      <c r="K1604" s="67">
        <f t="shared" si="602"/>
        <v>0</v>
      </c>
      <c r="L1604" s="67">
        <f t="shared" si="603"/>
        <v>0</v>
      </c>
      <c r="M1604" s="77">
        <f t="shared" si="604"/>
        <v>0</v>
      </c>
      <c r="N1604" s="76">
        <f t="shared" si="605"/>
        <v>1</v>
      </c>
      <c r="O1604" s="77">
        <f t="shared" si="606"/>
        <v>0.91498905908096284</v>
      </c>
      <c r="P1604" s="76">
        <f t="shared" si="607"/>
        <v>1</v>
      </c>
      <c r="Q1604" s="76">
        <f t="shared" si="608"/>
        <v>0</v>
      </c>
      <c r="R1604" s="76">
        <f t="shared" si="609"/>
        <v>0</v>
      </c>
      <c r="S1604" s="76">
        <f t="shared" si="610"/>
        <v>0.99455332508800309</v>
      </c>
      <c r="T1604" s="76">
        <f t="shared" si="611"/>
        <v>0.99455332508800309</v>
      </c>
      <c r="U1604" s="76">
        <f t="shared" si="612"/>
        <v>1</v>
      </c>
    </row>
    <row r="1605" spans="1:21" x14ac:dyDescent="0.25">
      <c r="A1605" s="71">
        <v>15</v>
      </c>
      <c r="B1605" s="72">
        <f t="shared" si="613"/>
        <v>46082</v>
      </c>
      <c r="C1605" s="73">
        <f t="shared" si="594"/>
        <v>46112</v>
      </c>
      <c r="D1605" s="67">
        <f t="shared" si="595"/>
        <v>31</v>
      </c>
      <c r="E1605" s="67">
        <f t="shared" si="596"/>
        <v>3</v>
      </c>
      <c r="F1605" s="74">
        <f t="shared" si="597"/>
        <v>46097.5</v>
      </c>
      <c r="G1605" s="67">
        <f t="shared" si="598"/>
        <v>24314</v>
      </c>
      <c r="H1605" s="75">
        <f t="shared" si="599"/>
        <v>1</v>
      </c>
      <c r="I1605" s="76">
        <f t="shared" si="600"/>
        <v>1</v>
      </c>
      <c r="J1605" s="76">
        <f t="shared" si="601"/>
        <v>1</v>
      </c>
      <c r="K1605" s="67">
        <f t="shared" si="602"/>
        <v>0</v>
      </c>
      <c r="L1605" s="67">
        <f t="shared" si="603"/>
        <v>0</v>
      </c>
      <c r="M1605" s="77">
        <f t="shared" si="604"/>
        <v>0</v>
      </c>
      <c r="N1605" s="76">
        <f t="shared" si="605"/>
        <v>1</v>
      </c>
      <c r="O1605" s="77">
        <f t="shared" si="606"/>
        <v>0.91434354485776803</v>
      </c>
      <c r="P1605" s="76">
        <f t="shared" si="607"/>
        <v>1</v>
      </c>
      <c r="Q1605" s="76">
        <f t="shared" si="608"/>
        <v>0</v>
      </c>
      <c r="R1605" s="76">
        <f t="shared" si="609"/>
        <v>0</v>
      </c>
      <c r="S1605" s="76">
        <f t="shared" si="610"/>
        <v>0.99385167919322603</v>
      </c>
      <c r="T1605" s="76">
        <f t="shared" si="611"/>
        <v>0.99385167919322603</v>
      </c>
      <c r="U1605" s="76">
        <f t="shared" si="612"/>
        <v>1</v>
      </c>
    </row>
    <row r="1606" spans="1:21" x14ac:dyDescent="0.25">
      <c r="A1606" s="71">
        <v>16</v>
      </c>
      <c r="B1606" s="72">
        <f t="shared" si="613"/>
        <v>46113</v>
      </c>
      <c r="C1606" s="73">
        <f t="shared" si="594"/>
        <v>46142</v>
      </c>
      <c r="D1606" s="67">
        <f t="shared" si="595"/>
        <v>30</v>
      </c>
      <c r="E1606" s="67">
        <f t="shared" si="596"/>
        <v>4</v>
      </c>
      <c r="F1606" s="74">
        <f t="shared" si="597"/>
        <v>46128</v>
      </c>
      <c r="G1606" s="67">
        <f t="shared" si="598"/>
        <v>24315</v>
      </c>
      <c r="H1606" s="75">
        <f t="shared" si="599"/>
        <v>1</v>
      </c>
      <c r="I1606" s="76">
        <f t="shared" si="600"/>
        <v>1</v>
      </c>
      <c r="J1606" s="76">
        <f t="shared" si="601"/>
        <v>1</v>
      </c>
      <c r="K1606" s="67">
        <f t="shared" si="602"/>
        <v>0</v>
      </c>
      <c r="L1606" s="67">
        <f t="shared" si="603"/>
        <v>0</v>
      </c>
      <c r="M1606" s="77">
        <f t="shared" si="604"/>
        <v>0</v>
      </c>
      <c r="N1606" s="76">
        <f t="shared" si="605"/>
        <v>1</v>
      </c>
      <c r="O1606" s="77">
        <f t="shared" si="606"/>
        <v>0.91367614879649894</v>
      </c>
      <c r="P1606" s="76">
        <f t="shared" si="607"/>
        <v>1</v>
      </c>
      <c r="Q1606" s="76">
        <f t="shared" si="608"/>
        <v>0</v>
      </c>
      <c r="R1606" s="76">
        <f t="shared" si="609"/>
        <v>0</v>
      </c>
      <c r="S1606" s="76">
        <f t="shared" si="610"/>
        <v>0.99312624869184662</v>
      </c>
      <c r="T1606" s="76">
        <f t="shared" si="611"/>
        <v>0.99312624869184662</v>
      </c>
      <c r="U1606" s="76">
        <f t="shared" si="612"/>
        <v>1</v>
      </c>
    </row>
    <row r="1607" spans="1:21" x14ac:dyDescent="0.25">
      <c r="A1607" s="71">
        <v>17</v>
      </c>
      <c r="B1607" s="72">
        <f t="shared" si="613"/>
        <v>46143</v>
      </c>
      <c r="C1607" s="73">
        <f t="shared" si="594"/>
        <v>46173</v>
      </c>
      <c r="D1607" s="67">
        <f t="shared" si="595"/>
        <v>31</v>
      </c>
      <c r="E1607" s="67">
        <f t="shared" si="596"/>
        <v>5</v>
      </c>
      <c r="F1607" s="74">
        <f t="shared" si="597"/>
        <v>46158.5</v>
      </c>
      <c r="G1607" s="67">
        <f t="shared" si="598"/>
        <v>24316</v>
      </c>
      <c r="H1607" s="75">
        <f t="shared" si="599"/>
        <v>1</v>
      </c>
      <c r="I1607" s="76">
        <f t="shared" si="600"/>
        <v>1</v>
      </c>
      <c r="J1607" s="76">
        <f t="shared" si="601"/>
        <v>1.05</v>
      </c>
      <c r="K1607" s="67">
        <f t="shared" si="602"/>
        <v>1</v>
      </c>
      <c r="L1607" s="67">
        <f t="shared" si="603"/>
        <v>31</v>
      </c>
      <c r="M1607" s="77">
        <f t="shared" si="604"/>
        <v>1</v>
      </c>
      <c r="N1607" s="76">
        <f t="shared" si="605"/>
        <v>1.05</v>
      </c>
      <c r="O1607" s="77">
        <f t="shared" si="606"/>
        <v>0.91300875273522974</v>
      </c>
      <c r="P1607" s="76">
        <f t="shared" si="607"/>
        <v>1</v>
      </c>
      <c r="Q1607" s="76">
        <f t="shared" si="608"/>
        <v>0</v>
      </c>
      <c r="R1607" s="76">
        <f t="shared" si="609"/>
        <v>0</v>
      </c>
      <c r="S1607" s="76">
        <f t="shared" si="610"/>
        <v>1.0420208590999904</v>
      </c>
      <c r="T1607" s="76">
        <f t="shared" si="611"/>
        <v>1.0420208590999904</v>
      </c>
      <c r="U1607" s="76">
        <f t="shared" si="612"/>
        <v>1.05</v>
      </c>
    </row>
    <row r="1608" spans="1:21" x14ac:dyDescent="0.25">
      <c r="A1608" s="71">
        <v>18</v>
      </c>
      <c r="B1608" s="72">
        <f t="shared" si="613"/>
        <v>46174</v>
      </c>
      <c r="C1608" s="73">
        <f t="shared" si="594"/>
        <v>46203</v>
      </c>
      <c r="D1608" s="67">
        <f t="shared" si="595"/>
        <v>30</v>
      </c>
      <c r="E1608" s="67">
        <f t="shared" si="596"/>
        <v>6</v>
      </c>
      <c r="F1608" s="74">
        <f t="shared" si="597"/>
        <v>46189</v>
      </c>
      <c r="G1608" s="67">
        <f t="shared" si="598"/>
        <v>24317</v>
      </c>
      <c r="H1608" s="75">
        <f t="shared" si="599"/>
        <v>1</v>
      </c>
      <c r="I1608" s="76">
        <f t="shared" si="600"/>
        <v>1.05</v>
      </c>
      <c r="J1608" s="76">
        <f t="shared" si="601"/>
        <v>1.05</v>
      </c>
      <c r="K1608" s="67">
        <f t="shared" si="602"/>
        <v>0</v>
      </c>
      <c r="L1608" s="67">
        <f t="shared" si="603"/>
        <v>0</v>
      </c>
      <c r="M1608" s="77">
        <f t="shared" si="604"/>
        <v>0</v>
      </c>
      <c r="N1608" s="76">
        <f t="shared" si="605"/>
        <v>1.05</v>
      </c>
      <c r="O1608" s="77">
        <f t="shared" si="606"/>
        <v>0.91234135667396066</v>
      </c>
      <c r="P1608" s="76">
        <f t="shared" si="607"/>
        <v>1</v>
      </c>
      <c r="Q1608" s="76">
        <f t="shared" si="608"/>
        <v>0</v>
      </c>
      <c r="R1608" s="76">
        <f t="shared" si="609"/>
        <v>0</v>
      </c>
      <c r="S1608" s="76">
        <f t="shared" si="610"/>
        <v>1.0412591570735421</v>
      </c>
      <c r="T1608" s="76">
        <f t="shared" si="611"/>
        <v>1.0412591570735421</v>
      </c>
      <c r="U1608" s="76">
        <f t="shared" si="612"/>
        <v>1.05</v>
      </c>
    </row>
    <row r="1609" spans="1:21" x14ac:dyDescent="0.25">
      <c r="A1609" s="71">
        <v>19</v>
      </c>
      <c r="B1609" s="72">
        <f t="shared" si="613"/>
        <v>46204</v>
      </c>
      <c r="C1609" s="73">
        <f t="shared" si="594"/>
        <v>46234</v>
      </c>
      <c r="D1609" s="67">
        <f t="shared" si="595"/>
        <v>31</v>
      </c>
      <c r="E1609" s="67">
        <f t="shared" si="596"/>
        <v>7</v>
      </c>
      <c r="F1609" s="74">
        <f t="shared" si="597"/>
        <v>46219.5</v>
      </c>
      <c r="G1609" s="67">
        <f t="shared" si="598"/>
        <v>24318</v>
      </c>
      <c r="H1609" s="75">
        <f t="shared" si="599"/>
        <v>1</v>
      </c>
      <c r="I1609" s="76">
        <f t="shared" si="600"/>
        <v>1.05</v>
      </c>
      <c r="J1609" s="76">
        <f t="shared" si="601"/>
        <v>1.05</v>
      </c>
      <c r="K1609" s="67">
        <f t="shared" si="602"/>
        <v>0</v>
      </c>
      <c r="L1609" s="67">
        <f t="shared" si="603"/>
        <v>0</v>
      </c>
      <c r="M1609" s="77">
        <f t="shared" si="604"/>
        <v>0</v>
      </c>
      <c r="N1609" s="76">
        <f t="shared" si="605"/>
        <v>1.05</v>
      </c>
      <c r="O1609" s="77">
        <f t="shared" si="606"/>
        <v>0.91167396061269146</v>
      </c>
      <c r="P1609" s="76">
        <f t="shared" si="607"/>
        <v>0.91666666666666663</v>
      </c>
      <c r="Q1609" s="76">
        <f t="shared" si="608"/>
        <v>8.333333333333337E-2</v>
      </c>
      <c r="R1609" s="76">
        <f t="shared" si="609"/>
        <v>0</v>
      </c>
      <c r="S1609" s="76">
        <f t="shared" si="610"/>
        <v>1.0404974550470936</v>
      </c>
      <c r="T1609" s="76">
        <f t="shared" si="611"/>
        <v>1.0404974550470936</v>
      </c>
      <c r="U1609" s="76">
        <f t="shared" si="612"/>
        <v>1.05</v>
      </c>
    </row>
    <row r="1610" spans="1:21" x14ac:dyDescent="0.25">
      <c r="A1610" s="71">
        <v>20</v>
      </c>
      <c r="B1610" s="72">
        <f t="shared" si="613"/>
        <v>46235</v>
      </c>
      <c r="C1610" s="73">
        <f t="shared" si="594"/>
        <v>46265</v>
      </c>
      <c r="D1610" s="67">
        <f t="shared" si="595"/>
        <v>31</v>
      </c>
      <c r="E1610" s="67">
        <f t="shared" si="596"/>
        <v>8</v>
      </c>
      <c r="F1610" s="74">
        <f t="shared" si="597"/>
        <v>46250.5</v>
      </c>
      <c r="G1610" s="67">
        <f t="shared" si="598"/>
        <v>24319</v>
      </c>
      <c r="H1610" s="75">
        <f t="shared" si="599"/>
        <v>1</v>
      </c>
      <c r="I1610" s="76">
        <f t="shared" si="600"/>
        <v>1.05</v>
      </c>
      <c r="J1610" s="76">
        <f t="shared" si="601"/>
        <v>1.05</v>
      </c>
      <c r="K1610" s="67">
        <f t="shared" si="602"/>
        <v>0</v>
      </c>
      <c r="L1610" s="67">
        <f t="shared" si="603"/>
        <v>0</v>
      </c>
      <c r="M1610" s="77">
        <f t="shared" si="604"/>
        <v>0</v>
      </c>
      <c r="N1610" s="76">
        <f t="shared" si="605"/>
        <v>1.05</v>
      </c>
      <c r="O1610" s="77">
        <f t="shared" si="606"/>
        <v>0.91099562363238518</v>
      </c>
      <c r="P1610" s="76">
        <f t="shared" si="607"/>
        <v>0.75</v>
      </c>
      <c r="Q1610" s="76">
        <f t="shared" si="608"/>
        <v>0.25</v>
      </c>
      <c r="R1610" s="76">
        <f t="shared" si="609"/>
        <v>0</v>
      </c>
      <c r="S1610" s="76">
        <f t="shared" si="610"/>
        <v>1.0397232661021787</v>
      </c>
      <c r="T1610" s="76">
        <f t="shared" si="611"/>
        <v>1.0397232661021787</v>
      </c>
      <c r="U1610" s="76">
        <f t="shared" si="612"/>
        <v>1.05</v>
      </c>
    </row>
    <row r="1611" spans="1:21" x14ac:dyDescent="0.25">
      <c r="A1611" s="71">
        <v>21</v>
      </c>
      <c r="B1611" s="72">
        <f t="shared" si="613"/>
        <v>46266</v>
      </c>
      <c r="C1611" s="73">
        <f t="shared" si="594"/>
        <v>46295</v>
      </c>
      <c r="D1611" s="67">
        <f t="shared" si="595"/>
        <v>30</v>
      </c>
      <c r="E1611" s="67">
        <f t="shared" si="596"/>
        <v>9</v>
      </c>
      <c r="F1611" s="74">
        <f t="shared" si="597"/>
        <v>46281</v>
      </c>
      <c r="G1611" s="67">
        <f t="shared" si="598"/>
        <v>24320</v>
      </c>
      <c r="H1611" s="75">
        <f t="shared" si="599"/>
        <v>1</v>
      </c>
      <c r="I1611" s="76">
        <f t="shared" si="600"/>
        <v>1.05</v>
      </c>
      <c r="J1611" s="76">
        <f t="shared" si="601"/>
        <v>1.05</v>
      </c>
      <c r="K1611" s="67">
        <f t="shared" si="602"/>
        <v>0</v>
      </c>
      <c r="L1611" s="67">
        <f t="shared" si="603"/>
        <v>0</v>
      </c>
      <c r="M1611" s="77">
        <f t="shared" si="604"/>
        <v>0</v>
      </c>
      <c r="N1611" s="76">
        <f t="shared" si="605"/>
        <v>1.05</v>
      </c>
      <c r="O1611" s="77">
        <f t="shared" si="606"/>
        <v>0.91032822757111598</v>
      </c>
      <c r="P1611" s="76">
        <f t="shared" si="607"/>
        <v>0.58333333333333337</v>
      </c>
      <c r="Q1611" s="76">
        <f t="shared" si="608"/>
        <v>0.41666666666666663</v>
      </c>
      <c r="R1611" s="76">
        <f t="shared" si="609"/>
        <v>0</v>
      </c>
      <c r="S1611" s="76">
        <f t="shared" si="610"/>
        <v>1.0389615640757301</v>
      </c>
      <c r="T1611" s="76">
        <f t="shared" si="611"/>
        <v>1.0389615640757301</v>
      </c>
      <c r="U1611" s="76">
        <f t="shared" si="612"/>
        <v>1.05</v>
      </c>
    </row>
    <row r="1612" spans="1:21" x14ac:dyDescent="0.25">
      <c r="A1612" s="71">
        <v>22</v>
      </c>
      <c r="B1612" s="72">
        <f t="shared" si="613"/>
        <v>46296</v>
      </c>
      <c r="C1612" s="73">
        <f t="shared" si="594"/>
        <v>46326</v>
      </c>
      <c r="D1612" s="67">
        <f t="shared" si="595"/>
        <v>31</v>
      </c>
      <c r="E1612" s="67">
        <f t="shared" si="596"/>
        <v>10</v>
      </c>
      <c r="F1612" s="74">
        <f t="shared" si="597"/>
        <v>46311.5</v>
      </c>
      <c r="G1612" s="67">
        <f t="shared" si="598"/>
        <v>24321</v>
      </c>
      <c r="H1612" s="75">
        <f t="shared" si="599"/>
        <v>1</v>
      </c>
      <c r="I1612" s="76">
        <f t="shared" si="600"/>
        <v>1.05</v>
      </c>
      <c r="J1612" s="76">
        <f t="shared" si="601"/>
        <v>1.05</v>
      </c>
      <c r="K1612" s="67">
        <f t="shared" si="602"/>
        <v>0</v>
      </c>
      <c r="L1612" s="67">
        <f t="shared" si="603"/>
        <v>0</v>
      </c>
      <c r="M1612" s="77">
        <f t="shared" si="604"/>
        <v>0</v>
      </c>
      <c r="N1612" s="76">
        <f t="shared" si="605"/>
        <v>1.05</v>
      </c>
      <c r="O1612" s="77">
        <f t="shared" si="606"/>
        <v>0.90966083150984689</v>
      </c>
      <c r="P1612" s="76">
        <f t="shared" si="607"/>
        <v>0.41666666666666669</v>
      </c>
      <c r="Q1612" s="76">
        <f t="shared" si="608"/>
        <v>0.58333333333333326</v>
      </c>
      <c r="R1612" s="76">
        <f t="shared" si="609"/>
        <v>0</v>
      </c>
      <c r="S1612" s="76">
        <f t="shared" si="610"/>
        <v>1.0381998620492818</v>
      </c>
      <c r="T1612" s="76">
        <f t="shared" si="611"/>
        <v>1.0381998620492818</v>
      </c>
      <c r="U1612" s="76">
        <f t="shared" si="612"/>
        <v>1.05</v>
      </c>
    </row>
    <row r="1613" spans="1:21" x14ac:dyDescent="0.25">
      <c r="A1613" s="71">
        <v>23</v>
      </c>
      <c r="B1613" s="72">
        <f t="shared" si="613"/>
        <v>46327</v>
      </c>
      <c r="C1613" s="73">
        <f t="shared" si="594"/>
        <v>46356</v>
      </c>
      <c r="D1613" s="67">
        <f t="shared" si="595"/>
        <v>30</v>
      </c>
      <c r="E1613" s="67">
        <f t="shared" si="596"/>
        <v>11</v>
      </c>
      <c r="F1613" s="74">
        <f t="shared" si="597"/>
        <v>46342</v>
      </c>
      <c r="G1613" s="67">
        <f t="shared" si="598"/>
        <v>24322</v>
      </c>
      <c r="H1613" s="75">
        <f t="shared" si="599"/>
        <v>1</v>
      </c>
      <c r="I1613" s="76">
        <f t="shared" si="600"/>
        <v>1.05</v>
      </c>
      <c r="J1613" s="76">
        <f t="shared" si="601"/>
        <v>1.05</v>
      </c>
      <c r="K1613" s="67">
        <f t="shared" si="602"/>
        <v>0</v>
      </c>
      <c r="L1613" s="67">
        <f t="shared" si="603"/>
        <v>0</v>
      </c>
      <c r="M1613" s="77">
        <f t="shared" si="604"/>
        <v>0</v>
      </c>
      <c r="N1613" s="76">
        <f t="shared" si="605"/>
        <v>1.05</v>
      </c>
      <c r="O1613" s="77">
        <f t="shared" si="606"/>
        <v>0.90899343544857769</v>
      </c>
      <c r="P1613" s="76">
        <f t="shared" si="607"/>
        <v>0.25</v>
      </c>
      <c r="Q1613" s="76">
        <f t="shared" si="608"/>
        <v>0.75</v>
      </c>
      <c r="R1613" s="76">
        <f t="shared" si="609"/>
        <v>0</v>
      </c>
      <c r="S1613" s="76">
        <f t="shared" si="610"/>
        <v>1.0374381600228333</v>
      </c>
      <c r="T1613" s="76">
        <f t="shared" si="611"/>
        <v>1.0374381600228333</v>
      </c>
      <c r="U1613" s="76">
        <f t="shared" si="612"/>
        <v>1.05</v>
      </c>
    </row>
    <row r="1614" spans="1:21" x14ac:dyDescent="0.25">
      <c r="A1614" s="71">
        <v>24</v>
      </c>
      <c r="B1614" s="72">
        <f t="shared" si="613"/>
        <v>46357</v>
      </c>
      <c r="C1614" s="73">
        <f t="shared" si="594"/>
        <v>46387</v>
      </c>
      <c r="D1614" s="67">
        <f t="shared" si="595"/>
        <v>31</v>
      </c>
      <c r="E1614" s="67">
        <f t="shared" si="596"/>
        <v>12</v>
      </c>
      <c r="F1614" s="74">
        <f t="shared" si="597"/>
        <v>46372.5</v>
      </c>
      <c r="G1614" s="67">
        <f t="shared" si="598"/>
        <v>24323</v>
      </c>
      <c r="H1614" s="75">
        <f t="shared" si="599"/>
        <v>1</v>
      </c>
      <c r="I1614" s="76">
        <f t="shared" si="600"/>
        <v>1.05</v>
      </c>
      <c r="J1614" s="76">
        <f t="shared" si="601"/>
        <v>1.05</v>
      </c>
      <c r="K1614" s="67">
        <f t="shared" si="602"/>
        <v>0</v>
      </c>
      <c r="L1614" s="67">
        <f t="shared" si="603"/>
        <v>0</v>
      </c>
      <c r="M1614" s="77">
        <f t="shared" si="604"/>
        <v>0</v>
      </c>
      <c r="N1614" s="76">
        <f t="shared" si="605"/>
        <v>1.05</v>
      </c>
      <c r="O1614" s="77">
        <f t="shared" si="606"/>
        <v>0.9083260393873086</v>
      </c>
      <c r="P1614" s="76">
        <f t="shared" si="607"/>
        <v>8.3333333333333329E-2</v>
      </c>
      <c r="Q1614" s="76">
        <f t="shared" si="608"/>
        <v>0.91666666666666663</v>
      </c>
      <c r="R1614" s="76">
        <f t="shared" si="609"/>
        <v>0</v>
      </c>
      <c r="S1614" s="76">
        <f t="shared" si="610"/>
        <v>1.0366764579963847</v>
      </c>
      <c r="T1614" s="76">
        <f t="shared" si="611"/>
        <v>1.0366764579963847</v>
      </c>
      <c r="U1614" s="76">
        <f t="shared" si="612"/>
        <v>1.05</v>
      </c>
    </row>
    <row r="1615" spans="1:21" x14ac:dyDescent="0.25">
      <c r="A1615" s="71">
        <v>25</v>
      </c>
      <c r="B1615" s="72">
        <f t="shared" si="613"/>
        <v>46388</v>
      </c>
      <c r="C1615" s="73">
        <f t="shared" si="594"/>
        <v>46418</v>
      </c>
      <c r="D1615" s="67">
        <f t="shared" si="595"/>
        <v>31</v>
      </c>
      <c r="E1615" s="67">
        <f t="shared" si="596"/>
        <v>1</v>
      </c>
      <c r="F1615" s="74">
        <f t="shared" si="597"/>
        <v>46403.5</v>
      </c>
      <c r="G1615" s="67">
        <f t="shared" si="598"/>
        <v>24324</v>
      </c>
      <c r="H1615" s="75">
        <f t="shared" si="599"/>
        <v>1</v>
      </c>
      <c r="I1615" s="76">
        <f t="shared" si="600"/>
        <v>1.05</v>
      </c>
      <c r="J1615" s="76">
        <f t="shared" si="601"/>
        <v>1.05</v>
      </c>
      <c r="K1615" s="67">
        <f t="shared" si="602"/>
        <v>0</v>
      </c>
      <c r="L1615" s="67">
        <f t="shared" si="603"/>
        <v>0</v>
      </c>
      <c r="M1615" s="77">
        <f t="shared" si="604"/>
        <v>0</v>
      </c>
      <c r="N1615" s="76">
        <f t="shared" si="605"/>
        <v>1.05</v>
      </c>
      <c r="O1615" s="77">
        <f t="shared" si="606"/>
        <v>0.90764770240700221</v>
      </c>
      <c r="P1615" s="76">
        <f t="shared" si="607"/>
        <v>0</v>
      </c>
      <c r="Q1615" s="76">
        <f t="shared" si="608"/>
        <v>1</v>
      </c>
      <c r="R1615" s="76">
        <f t="shared" si="609"/>
        <v>0</v>
      </c>
      <c r="S1615" s="76">
        <f t="shared" si="610"/>
        <v>1.0359022690514699</v>
      </c>
      <c r="T1615" s="76">
        <f t="shared" si="611"/>
        <v>0.99525497098277993</v>
      </c>
      <c r="U1615" s="76">
        <f t="shared" si="612"/>
        <v>1.05</v>
      </c>
    </row>
    <row r="1616" spans="1:21" x14ac:dyDescent="0.25">
      <c r="A1616" s="71">
        <v>26</v>
      </c>
      <c r="B1616" s="72">
        <f t="shared" si="613"/>
        <v>46419</v>
      </c>
      <c r="C1616" s="73">
        <f t="shared" si="594"/>
        <v>46446</v>
      </c>
      <c r="D1616" s="67">
        <f t="shared" si="595"/>
        <v>28</v>
      </c>
      <c r="E1616" s="67">
        <f t="shared" si="596"/>
        <v>2</v>
      </c>
      <c r="F1616" s="74">
        <f t="shared" si="597"/>
        <v>46433</v>
      </c>
      <c r="G1616" s="67">
        <f t="shared" si="598"/>
        <v>24325</v>
      </c>
      <c r="H1616" s="75">
        <f t="shared" si="599"/>
        <v>1</v>
      </c>
      <c r="I1616" s="76">
        <f t="shared" si="600"/>
        <v>1.05</v>
      </c>
      <c r="J1616" s="76">
        <f t="shared" si="601"/>
        <v>1.05</v>
      </c>
      <c r="K1616" s="67">
        <f t="shared" si="602"/>
        <v>0</v>
      </c>
      <c r="L1616" s="67">
        <f t="shared" si="603"/>
        <v>0</v>
      </c>
      <c r="M1616" s="77">
        <f t="shared" si="604"/>
        <v>0</v>
      </c>
      <c r="N1616" s="76">
        <f t="shared" si="605"/>
        <v>1.05</v>
      </c>
      <c r="O1616" s="77">
        <f t="shared" si="606"/>
        <v>0.90700218818380751</v>
      </c>
      <c r="P1616" s="76">
        <f t="shared" si="607"/>
        <v>0</v>
      </c>
      <c r="Q1616" s="76">
        <f t="shared" si="608"/>
        <v>1</v>
      </c>
      <c r="R1616" s="76">
        <f t="shared" si="609"/>
        <v>0</v>
      </c>
      <c r="S1616" s="76">
        <f t="shared" si="610"/>
        <v>1.0351655408619542</v>
      </c>
      <c r="T1616" s="76">
        <f t="shared" si="611"/>
        <v>0.99455332508800309</v>
      </c>
      <c r="U1616" s="76">
        <f t="shared" si="612"/>
        <v>1.05</v>
      </c>
    </row>
    <row r="1617" spans="1:21" x14ac:dyDescent="0.25">
      <c r="A1617" s="71">
        <v>27</v>
      </c>
      <c r="B1617" s="72">
        <f t="shared" si="613"/>
        <v>46447</v>
      </c>
      <c r="C1617" s="73">
        <f t="shared" si="594"/>
        <v>46477</v>
      </c>
      <c r="D1617" s="67">
        <f t="shared" si="595"/>
        <v>31</v>
      </c>
      <c r="E1617" s="67">
        <f t="shared" si="596"/>
        <v>3</v>
      </c>
      <c r="F1617" s="74">
        <f t="shared" si="597"/>
        <v>46462.5</v>
      </c>
      <c r="G1617" s="67">
        <f t="shared" si="598"/>
        <v>24326</v>
      </c>
      <c r="H1617" s="75">
        <f t="shared" si="599"/>
        <v>1</v>
      </c>
      <c r="I1617" s="76">
        <f t="shared" si="600"/>
        <v>1.05</v>
      </c>
      <c r="J1617" s="76">
        <f t="shared" si="601"/>
        <v>1.05</v>
      </c>
      <c r="K1617" s="67">
        <f t="shared" si="602"/>
        <v>0</v>
      </c>
      <c r="L1617" s="67">
        <f t="shared" si="603"/>
        <v>0</v>
      </c>
      <c r="M1617" s="77">
        <f t="shared" si="604"/>
        <v>0</v>
      </c>
      <c r="N1617" s="76">
        <f t="shared" si="605"/>
        <v>1.05</v>
      </c>
      <c r="O1617" s="77">
        <f t="shared" si="606"/>
        <v>0.9063566739606127</v>
      </c>
      <c r="P1617" s="76">
        <f t="shared" si="607"/>
        <v>0</v>
      </c>
      <c r="Q1617" s="76">
        <f t="shared" si="608"/>
        <v>1</v>
      </c>
      <c r="R1617" s="76">
        <f t="shared" si="609"/>
        <v>0</v>
      </c>
      <c r="S1617" s="76">
        <f t="shared" si="610"/>
        <v>1.0344288126724384</v>
      </c>
      <c r="T1617" s="76">
        <f t="shared" si="611"/>
        <v>0.99385167919322603</v>
      </c>
      <c r="U1617" s="76">
        <f t="shared" si="612"/>
        <v>1.05</v>
      </c>
    </row>
    <row r="1618" spans="1:21" x14ac:dyDescent="0.25">
      <c r="A1618" s="71">
        <v>28</v>
      </c>
      <c r="B1618" s="72">
        <f t="shared" si="613"/>
        <v>46478</v>
      </c>
      <c r="C1618" s="73">
        <f t="shared" si="594"/>
        <v>46507</v>
      </c>
      <c r="D1618" s="67">
        <f t="shared" si="595"/>
        <v>30</v>
      </c>
      <c r="E1618" s="67">
        <f t="shared" si="596"/>
        <v>4</v>
      </c>
      <c r="F1618" s="74">
        <f t="shared" si="597"/>
        <v>46493</v>
      </c>
      <c r="G1618" s="67">
        <f t="shared" si="598"/>
        <v>24327</v>
      </c>
      <c r="H1618" s="75">
        <f t="shared" si="599"/>
        <v>1</v>
      </c>
      <c r="I1618" s="76">
        <f t="shared" si="600"/>
        <v>1.05</v>
      </c>
      <c r="J1618" s="76">
        <f t="shared" si="601"/>
        <v>1.05</v>
      </c>
      <c r="K1618" s="67">
        <f t="shared" si="602"/>
        <v>0</v>
      </c>
      <c r="L1618" s="67">
        <f t="shared" si="603"/>
        <v>0</v>
      </c>
      <c r="M1618" s="77">
        <f t="shared" si="604"/>
        <v>0</v>
      </c>
      <c r="N1618" s="76">
        <f t="shared" si="605"/>
        <v>1.05</v>
      </c>
      <c r="O1618" s="77">
        <f t="shared" si="606"/>
        <v>0.90568927789934361</v>
      </c>
      <c r="P1618" s="76">
        <f t="shared" si="607"/>
        <v>0</v>
      </c>
      <c r="Q1618" s="76">
        <f t="shared" si="608"/>
        <v>1</v>
      </c>
      <c r="R1618" s="76">
        <f t="shared" si="609"/>
        <v>0</v>
      </c>
      <c r="S1618" s="76">
        <f t="shared" si="610"/>
        <v>1.03366711064599</v>
      </c>
      <c r="T1618" s="76">
        <f t="shared" si="611"/>
        <v>0.99312624869184662</v>
      </c>
      <c r="U1618" s="76">
        <f t="shared" si="612"/>
        <v>1.05</v>
      </c>
    </row>
    <row r="1619" spans="1:21" x14ac:dyDescent="0.25">
      <c r="A1619" s="71">
        <v>29</v>
      </c>
      <c r="B1619" s="72">
        <f t="shared" si="613"/>
        <v>46508</v>
      </c>
      <c r="C1619" s="73">
        <f t="shared" si="594"/>
        <v>46538</v>
      </c>
      <c r="D1619" s="67">
        <f t="shared" si="595"/>
        <v>31</v>
      </c>
      <c r="E1619" s="67">
        <f t="shared" si="596"/>
        <v>5</v>
      </c>
      <c r="F1619" s="74">
        <f t="shared" si="597"/>
        <v>46523.5</v>
      </c>
      <c r="G1619" s="67">
        <f t="shared" si="598"/>
        <v>24328</v>
      </c>
      <c r="H1619" s="75">
        <f t="shared" si="599"/>
        <v>1</v>
      </c>
      <c r="I1619" s="76">
        <f t="shared" si="600"/>
        <v>1.05</v>
      </c>
      <c r="J1619" s="76">
        <f t="shared" si="601"/>
        <v>1.05</v>
      </c>
      <c r="K1619" s="67">
        <f t="shared" si="602"/>
        <v>0</v>
      </c>
      <c r="L1619" s="67">
        <f t="shared" si="603"/>
        <v>0</v>
      </c>
      <c r="M1619" s="77">
        <f t="shared" si="604"/>
        <v>0</v>
      </c>
      <c r="N1619" s="76">
        <f t="shared" si="605"/>
        <v>1.05</v>
      </c>
      <c r="O1619" s="77">
        <f t="shared" si="606"/>
        <v>0.90502188183807442</v>
      </c>
      <c r="P1619" s="76">
        <f t="shared" si="607"/>
        <v>0</v>
      </c>
      <c r="Q1619" s="76">
        <f t="shared" si="608"/>
        <v>1</v>
      </c>
      <c r="R1619" s="76">
        <f t="shared" si="609"/>
        <v>0</v>
      </c>
      <c r="S1619" s="76">
        <f t="shared" si="610"/>
        <v>1.0329054086195415</v>
      </c>
      <c r="T1619" s="76">
        <f t="shared" si="611"/>
        <v>1.0420208590999904</v>
      </c>
      <c r="U1619" s="76">
        <f t="shared" si="612"/>
        <v>1.05</v>
      </c>
    </row>
    <row r="1620" spans="1:21" x14ac:dyDescent="0.25">
      <c r="A1620" s="71">
        <v>30</v>
      </c>
      <c r="B1620" s="72">
        <f t="shared" si="613"/>
        <v>46539</v>
      </c>
      <c r="C1620" s="73">
        <f t="shared" si="594"/>
        <v>46568</v>
      </c>
      <c r="D1620" s="67">
        <f t="shared" si="595"/>
        <v>30</v>
      </c>
      <c r="E1620" s="67">
        <f t="shared" si="596"/>
        <v>6</v>
      </c>
      <c r="F1620" s="74">
        <f t="shared" si="597"/>
        <v>46554</v>
      </c>
      <c r="G1620" s="67">
        <f t="shared" si="598"/>
        <v>24329</v>
      </c>
      <c r="H1620" s="75">
        <f t="shared" si="599"/>
        <v>1</v>
      </c>
      <c r="I1620" s="76">
        <f t="shared" si="600"/>
        <v>1.05</v>
      </c>
      <c r="J1620" s="76">
        <f t="shared" si="601"/>
        <v>1.05</v>
      </c>
      <c r="K1620" s="67">
        <f t="shared" si="602"/>
        <v>0</v>
      </c>
      <c r="L1620" s="67">
        <f t="shared" si="603"/>
        <v>0</v>
      </c>
      <c r="M1620" s="77">
        <f t="shared" si="604"/>
        <v>0</v>
      </c>
      <c r="N1620" s="76">
        <f t="shared" si="605"/>
        <v>1.05</v>
      </c>
      <c r="O1620" s="77">
        <f t="shared" si="606"/>
        <v>0.90435448577680533</v>
      </c>
      <c r="P1620" s="76">
        <f t="shared" si="607"/>
        <v>0</v>
      </c>
      <c r="Q1620" s="76">
        <f t="shared" si="608"/>
        <v>1</v>
      </c>
      <c r="R1620" s="76">
        <f t="shared" si="609"/>
        <v>0</v>
      </c>
      <c r="S1620" s="76">
        <f t="shared" si="610"/>
        <v>1.032143706593093</v>
      </c>
      <c r="T1620" s="76">
        <f t="shared" si="611"/>
        <v>1.0412591570735421</v>
      </c>
      <c r="U1620" s="76">
        <f t="shared" si="612"/>
        <v>1.05</v>
      </c>
    </row>
    <row r="1621" spans="1:21" x14ac:dyDescent="0.25">
      <c r="A1621" s="71">
        <v>31</v>
      </c>
      <c r="B1621" s="72">
        <f t="shared" si="613"/>
        <v>46569</v>
      </c>
      <c r="C1621" s="73">
        <f t="shared" si="594"/>
        <v>46599</v>
      </c>
      <c r="D1621" s="67">
        <f t="shared" si="595"/>
        <v>31</v>
      </c>
      <c r="E1621" s="67">
        <f t="shared" si="596"/>
        <v>7</v>
      </c>
      <c r="F1621" s="74">
        <f t="shared" si="597"/>
        <v>46584.5</v>
      </c>
      <c r="G1621" s="67">
        <f t="shared" si="598"/>
        <v>24330</v>
      </c>
      <c r="H1621" s="75">
        <f t="shared" si="599"/>
        <v>1</v>
      </c>
      <c r="I1621" s="76">
        <f t="shared" si="600"/>
        <v>1.05</v>
      </c>
      <c r="J1621" s="76">
        <f t="shared" si="601"/>
        <v>1.05</v>
      </c>
      <c r="K1621" s="67">
        <f t="shared" si="602"/>
        <v>0</v>
      </c>
      <c r="L1621" s="67">
        <f t="shared" si="603"/>
        <v>0</v>
      </c>
      <c r="M1621" s="77">
        <f t="shared" si="604"/>
        <v>0</v>
      </c>
      <c r="N1621" s="76">
        <f t="shared" si="605"/>
        <v>1.05</v>
      </c>
      <c r="O1621" s="77">
        <f t="shared" si="606"/>
        <v>0.90368708971553613</v>
      </c>
      <c r="P1621" s="76">
        <f t="shared" si="607"/>
        <v>0</v>
      </c>
      <c r="Q1621" s="76">
        <f t="shared" si="608"/>
        <v>0.91666666666666663</v>
      </c>
      <c r="R1621" s="76">
        <f t="shared" si="609"/>
        <v>8.333333333333337E-2</v>
      </c>
      <c r="S1621" s="76">
        <f t="shared" si="610"/>
        <v>1.0313820045666444</v>
      </c>
      <c r="T1621" s="76">
        <f t="shared" si="611"/>
        <v>1.0404974550470936</v>
      </c>
      <c r="U1621" s="76">
        <f t="shared" si="612"/>
        <v>1.05</v>
      </c>
    </row>
    <row r="1622" spans="1:21" x14ac:dyDescent="0.25">
      <c r="A1622" s="71">
        <v>32</v>
      </c>
      <c r="B1622" s="72">
        <f t="shared" si="613"/>
        <v>46600</v>
      </c>
      <c r="C1622" s="73">
        <f t="shared" si="594"/>
        <v>46630</v>
      </c>
      <c r="D1622" s="67">
        <f t="shared" si="595"/>
        <v>31</v>
      </c>
      <c r="E1622" s="67">
        <f t="shared" si="596"/>
        <v>8</v>
      </c>
      <c r="F1622" s="74">
        <f t="shared" si="597"/>
        <v>46615.5</v>
      </c>
      <c r="G1622" s="67">
        <f t="shared" si="598"/>
        <v>24331</v>
      </c>
      <c r="H1622" s="75">
        <f t="shared" si="599"/>
        <v>1</v>
      </c>
      <c r="I1622" s="76">
        <f t="shared" si="600"/>
        <v>1.05</v>
      </c>
      <c r="J1622" s="76">
        <f t="shared" si="601"/>
        <v>1.05</v>
      </c>
      <c r="K1622" s="67">
        <f t="shared" si="602"/>
        <v>0</v>
      </c>
      <c r="L1622" s="67">
        <f t="shared" si="603"/>
        <v>0</v>
      </c>
      <c r="M1622" s="77">
        <f t="shared" si="604"/>
        <v>0</v>
      </c>
      <c r="N1622" s="76">
        <f t="shared" si="605"/>
        <v>1.05</v>
      </c>
      <c r="O1622" s="77">
        <f t="shared" si="606"/>
        <v>0.90300875273522974</v>
      </c>
      <c r="P1622" s="76">
        <f t="shared" si="607"/>
        <v>0</v>
      </c>
      <c r="Q1622" s="76">
        <f t="shared" si="608"/>
        <v>0.75</v>
      </c>
      <c r="R1622" s="76">
        <f t="shared" si="609"/>
        <v>0.25</v>
      </c>
      <c r="S1622" s="76">
        <f t="shared" si="610"/>
        <v>1.0306078156217295</v>
      </c>
      <c r="T1622" s="76">
        <f t="shared" si="611"/>
        <v>1.0397232661021787</v>
      </c>
      <c r="U1622" s="76">
        <f t="shared" si="612"/>
        <v>1.05</v>
      </c>
    </row>
    <row r="1623" spans="1:21" x14ac:dyDescent="0.25">
      <c r="A1623" s="71">
        <v>33</v>
      </c>
      <c r="B1623" s="72">
        <f t="shared" si="613"/>
        <v>46631</v>
      </c>
      <c r="C1623" s="73">
        <f t="shared" si="594"/>
        <v>46660</v>
      </c>
      <c r="D1623" s="67">
        <f t="shared" si="595"/>
        <v>30</v>
      </c>
      <c r="E1623" s="67">
        <f t="shared" si="596"/>
        <v>9</v>
      </c>
      <c r="F1623" s="74">
        <f t="shared" si="597"/>
        <v>46646</v>
      </c>
      <c r="G1623" s="67">
        <f t="shared" si="598"/>
        <v>24332</v>
      </c>
      <c r="H1623" s="75">
        <f t="shared" si="599"/>
        <v>1</v>
      </c>
      <c r="I1623" s="76">
        <f t="shared" si="600"/>
        <v>1.05</v>
      </c>
      <c r="J1623" s="76">
        <f t="shared" si="601"/>
        <v>1.05</v>
      </c>
      <c r="K1623" s="67">
        <f t="shared" si="602"/>
        <v>0</v>
      </c>
      <c r="L1623" s="67">
        <f t="shared" si="603"/>
        <v>0</v>
      </c>
      <c r="M1623" s="77">
        <f t="shared" si="604"/>
        <v>0</v>
      </c>
      <c r="N1623" s="76">
        <f t="shared" si="605"/>
        <v>1.05</v>
      </c>
      <c r="O1623" s="77">
        <f t="shared" si="606"/>
        <v>0.90234135667396065</v>
      </c>
      <c r="P1623" s="76">
        <f t="shared" si="607"/>
        <v>0</v>
      </c>
      <c r="Q1623" s="76">
        <f t="shared" si="608"/>
        <v>0.58333333333333337</v>
      </c>
      <c r="R1623" s="76">
        <f t="shared" si="609"/>
        <v>0.41666666666666663</v>
      </c>
      <c r="S1623" s="76">
        <f t="shared" si="610"/>
        <v>1.0298461135952812</v>
      </c>
      <c r="T1623" s="76">
        <f t="shared" si="611"/>
        <v>1.0389615640757301</v>
      </c>
      <c r="U1623" s="76">
        <f t="shared" si="612"/>
        <v>1.05</v>
      </c>
    </row>
    <row r="1624" spans="1:21" x14ac:dyDescent="0.25">
      <c r="A1624" s="71">
        <v>34</v>
      </c>
      <c r="B1624" s="72">
        <f t="shared" si="613"/>
        <v>46661</v>
      </c>
      <c r="C1624" s="73">
        <f t="shared" si="594"/>
        <v>46691</v>
      </c>
      <c r="D1624" s="67">
        <f t="shared" si="595"/>
        <v>31</v>
      </c>
      <c r="E1624" s="67">
        <f t="shared" si="596"/>
        <v>10</v>
      </c>
      <c r="F1624" s="74">
        <f t="shared" si="597"/>
        <v>46676.5</v>
      </c>
      <c r="G1624" s="67">
        <f t="shared" si="598"/>
        <v>24333</v>
      </c>
      <c r="H1624" s="75">
        <f t="shared" si="599"/>
        <v>1</v>
      </c>
      <c r="I1624" s="76">
        <f t="shared" si="600"/>
        <v>1.05</v>
      </c>
      <c r="J1624" s="76">
        <f t="shared" si="601"/>
        <v>1.05</v>
      </c>
      <c r="K1624" s="67">
        <f t="shared" si="602"/>
        <v>0</v>
      </c>
      <c r="L1624" s="67">
        <f t="shared" si="603"/>
        <v>0</v>
      </c>
      <c r="M1624" s="77">
        <f t="shared" si="604"/>
        <v>0</v>
      </c>
      <c r="N1624" s="76">
        <f t="shared" si="605"/>
        <v>1.05</v>
      </c>
      <c r="O1624" s="77">
        <f t="shared" si="606"/>
        <v>0.90167396061269145</v>
      </c>
      <c r="P1624" s="76">
        <f t="shared" si="607"/>
        <v>0</v>
      </c>
      <c r="Q1624" s="76">
        <f t="shared" si="608"/>
        <v>0.41666666666666669</v>
      </c>
      <c r="R1624" s="76">
        <f t="shared" si="609"/>
        <v>0.58333333333333326</v>
      </c>
      <c r="S1624" s="76">
        <f t="shared" si="610"/>
        <v>1.0290844115688327</v>
      </c>
      <c r="T1624" s="76">
        <f t="shared" si="611"/>
        <v>1.0381998620492818</v>
      </c>
      <c r="U1624" s="76">
        <f t="shared" si="612"/>
        <v>1.05</v>
      </c>
    </row>
    <row r="1625" spans="1:21" x14ac:dyDescent="0.25">
      <c r="A1625" s="71">
        <v>35</v>
      </c>
      <c r="B1625" s="72">
        <f t="shared" si="613"/>
        <v>46692</v>
      </c>
      <c r="C1625" s="73">
        <f t="shared" si="594"/>
        <v>46721</v>
      </c>
      <c r="D1625" s="67">
        <f t="shared" si="595"/>
        <v>30</v>
      </c>
      <c r="E1625" s="67">
        <f t="shared" si="596"/>
        <v>11</v>
      </c>
      <c r="F1625" s="74">
        <f t="shared" si="597"/>
        <v>46707</v>
      </c>
      <c r="G1625" s="67">
        <f t="shared" si="598"/>
        <v>24334</v>
      </c>
      <c r="H1625" s="75">
        <f t="shared" si="599"/>
        <v>1</v>
      </c>
      <c r="I1625" s="76">
        <f t="shared" si="600"/>
        <v>1.05</v>
      </c>
      <c r="J1625" s="76">
        <f t="shared" si="601"/>
        <v>1.05</v>
      </c>
      <c r="K1625" s="67">
        <f t="shared" si="602"/>
        <v>0</v>
      </c>
      <c r="L1625" s="67">
        <f t="shared" si="603"/>
        <v>0</v>
      </c>
      <c r="M1625" s="77">
        <f t="shared" si="604"/>
        <v>0</v>
      </c>
      <c r="N1625" s="76">
        <f t="shared" si="605"/>
        <v>1.05</v>
      </c>
      <c r="O1625" s="77">
        <f t="shared" si="606"/>
        <v>0.90100656455142236</v>
      </c>
      <c r="P1625" s="76">
        <f t="shared" si="607"/>
        <v>0</v>
      </c>
      <c r="Q1625" s="76">
        <f t="shared" si="608"/>
        <v>0.25</v>
      </c>
      <c r="R1625" s="76">
        <f t="shared" si="609"/>
        <v>0.75</v>
      </c>
      <c r="S1625" s="76">
        <f t="shared" si="610"/>
        <v>1.0283227095423841</v>
      </c>
      <c r="T1625" s="76">
        <f t="shared" si="611"/>
        <v>1.0374381600228333</v>
      </c>
      <c r="U1625" s="76">
        <f t="shared" si="612"/>
        <v>1.05</v>
      </c>
    </row>
    <row r="1626" spans="1:21" x14ac:dyDescent="0.25">
      <c r="A1626" s="71">
        <v>36</v>
      </c>
      <c r="B1626" s="72">
        <f t="shared" si="613"/>
        <v>46722</v>
      </c>
      <c r="C1626" s="73">
        <f t="shared" si="594"/>
        <v>46752</v>
      </c>
      <c r="D1626" s="67">
        <f t="shared" si="595"/>
        <v>31</v>
      </c>
      <c r="E1626" s="67">
        <f t="shared" si="596"/>
        <v>12</v>
      </c>
      <c r="F1626" s="74">
        <f t="shared" si="597"/>
        <v>46737.5</v>
      </c>
      <c r="G1626" s="67">
        <f t="shared" si="598"/>
        <v>24335</v>
      </c>
      <c r="H1626" s="75">
        <f t="shared" si="599"/>
        <v>1</v>
      </c>
      <c r="I1626" s="76">
        <f t="shared" si="600"/>
        <v>1.05</v>
      </c>
      <c r="J1626" s="76">
        <f t="shared" si="601"/>
        <v>1.05</v>
      </c>
      <c r="K1626" s="67">
        <f t="shared" si="602"/>
        <v>0</v>
      </c>
      <c r="L1626" s="67">
        <f t="shared" si="603"/>
        <v>0</v>
      </c>
      <c r="M1626" s="77">
        <f t="shared" si="604"/>
        <v>0</v>
      </c>
      <c r="N1626" s="76">
        <f t="shared" si="605"/>
        <v>1.05</v>
      </c>
      <c r="O1626" s="77">
        <f t="shared" si="606"/>
        <v>0.90033916849015316</v>
      </c>
      <c r="P1626" s="76">
        <f t="shared" si="607"/>
        <v>0</v>
      </c>
      <c r="Q1626" s="76">
        <f t="shared" si="608"/>
        <v>8.3333333333333329E-2</v>
      </c>
      <c r="R1626" s="76">
        <f t="shared" si="609"/>
        <v>0.91666666666666663</v>
      </c>
      <c r="S1626" s="76">
        <f t="shared" si="610"/>
        <v>1.0275610075159358</v>
      </c>
      <c r="T1626" s="76">
        <f t="shared" si="611"/>
        <v>1.0366764579963847</v>
      </c>
      <c r="U1626" s="76">
        <f t="shared" si="612"/>
        <v>1.05</v>
      </c>
    </row>
    <row r="1627" spans="1:21" x14ac:dyDescent="0.25">
      <c r="A1627" s="71">
        <v>37</v>
      </c>
      <c r="B1627" s="72">
        <f t="shared" si="613"/>
        <v>46753</v>
      </c>
      <c r="C1627" s="73">
        <f t="shared" si="594"/>
        <v>46783</v>
      </c>
      <c r="D1627" s="67">
        <f t="shared" si="595"/>
        <v>31</v>
      </c>
      <c r="E1627" s="67">
        <f t="shared" si="596"/>
        <v>1</v>
      </c>
      <c r="F1627" s="74">
        <f t="shared" si="597"/>
        <v>46768.5</v>
      </c>
      <c r="G1627" s="67">
        <f t="shared" si="598"/>
        <v>24336</v>
      </c>
      <c r="H1627" s="75">
        <f t="shared" si="599"/>
        <v>1</v>
      </c>
      <c r="I1627" s="76">
        <f t="shared" si="600"/>
        <v>1.05</v>
      </c>
      <c r="J1627" s="76">
        <f t="shared" si="601"/>
        <v>1.05</v>
      </c>
      <c r="K1627" s="67">
        <f t="shared" si="602"/>
        <v>0</v>
      </c>
      <c r="L1627" s="67">
        <f t="shared" si="603"/>
        <v>0</v>
      </c>
      <c r="M1627" s="77">
        <f t="shared" si="604"/>
        <v>0</v>
      </c>
      <c r="N1627" s="76">
        <f t="shared" si="605"/>
        <v>1.05</v>
      </c>
      <c r="O1627" s="77">
        <f t="shared" si="606"/>
        <v>0.9</v>
      </c>
      <c r="P1627" s="76">
        <f t="shared" si="607"/>
        <v>0</v>
      </c>
      <c r="Q1627" s="76">
        <f t="shared" si="608"/>
        <v>0</v>
      </c>
      <c r="R1627" s="76">
        <f t="shared" si="609"/>
        <v>1</v>
      </c>
      <c r="S1627" s="76">
        <f t="shared" si="610"/>
        <v>1.0271739130434783</v>
      </c>
      <c r="T1627" s="76">
        <f t="shared" si="611"/>
        <v>0.99525497098277993</v>
      </c>
      <c r="U1627" s="76">
        <f t="shared" si="612"/>
        <v>1.05</v>
      </c>
    </row>
    <row r="1628" spans="1:21" x14ac:dyDescent="0.25">
      <c r="A1628" s="71">
        <v>38</v>
      </c>
      <c r="B1628" s="72">
        <f t="shared" si="613"/>
        <v>46784</v>
      </c>
      <c r="C1628" s="73">
        <f t="shared" si="594"/>
        <v>46812</v>
      </c>
      <c r="D1628" s="67">
        <f t="shared" si="595"/>
        <v>29</v>
      </c>
      <c r="E1628" s="67">
        <f t="shared" si="596"/>
        <v>2</v>
      </c>
      <c r="F1628" s="74">
        <f t="shared" si="597"/>
        <v>46798.5</v>
      </c>
      <c r="G1628" s="67">
        <f t="shared" si="598"/>
        <v>24337</v>
      </c>
      <c r="H1628" s="75">
        <f t="shared" si="599"/>
        <v>1</v>
      </c>
      <c r="I1628" s="76">
        <f t="shared" si="600"/>
        <v>1.05</v>
      </c>
      <c r="J1628" s="76">
        <f t="shared" si="601"/>
        <v>1.05</v>
      </c>
      <c r="K1628" s="67">
        <f t="shared" si="602"/>
        <v>0</v>
      </c>
      <c r="L1628" s="67">
        <f t="shared" si="603"/>
        <v>0</v>
      </c>
      <c r="M1628" s="77">
        <f t="shared" si="604"/>
        <v>0</v>
      </c>
      <c r="N1628" s="76">
        <f t="shared" si="605"/>
        <v>1.05</v>
      </c>
      <c r="O1628" s="77">
        <f t="shared" si="606"/>
        <v>0.9</v>
      </c>
      <c r="P1628" s="76">
        <f t="shared" si="607"/>
        <v>0</v>
      </c>
      <c r="Q1628" s="76">
        <f t="shared" si="608"/>
        <v>0</v>
      </c>
      <c r="R1628" s="76">
        <f t="shared" si="609"/>
        <v>1</v>
      </c>
      <c r="S1628" s="76">
        <f t="shared" si="610"/>
        <v>1.0271739130434783</v>
      </c>
      <c r="T1628" s="76">
        <f t="shared" si="611"/>
        <v>0.99455332508800309</v>
      </c>
      <c r="U1628" s="76">
        <f t="shared" si="612"/>
        <v>1.05</v>
      </c>
    </row>
    <row r="1629" spans="1:21" x14ac:dyDescent="0.25">
      <c r="A1629" s="71">
        <v>39</v>
      </c>
      <c r="B1629" s="72">
        <f t="shared" si="613"/>
        <v>46813</v>
      </c>
      <c r="C1629" s="73">
        <f t="shared" si="594"/>
        <v>46843</v>
      </c>
      <c r="D1629" s="67">
        <f t="shared" si="595"/>
        <v>31</v>
      </c>
      <c r="E1629" s="67">
        <f t="shared" si="596"/>
        <v>3</v>
      </c>
      <c r="F1629" s="74">
        <f t="shared" si="597"/>
        <v>46828.5</v>
      </c>
      <c r="G1629" s="67">
        <f t="shared" si="598"/>
        <v>24338</v>
      </c>
      <c r="H1629" s="75">
        <f t="shared" si="599"/>
        <v>1</v>
      </c>
      <c r="I1629" s="76">
        <f t="shared" si="600"/>
        <v>1.05</v>
      </c>
      <c r="J1629" s="76">
        <f t="shared" si="601"/>
        <v>1.05</v>
      </c>
      <c r="K1629" s="67">
        <f t="shared" si="602"/>
        <v>0</v>
      </c>
      <c r="L1629" s="67">
        <f t="shared" si="603"/>
        <v>0</v>
      </c>
      <c r="M1629" s="77">
        <f t="shared" si="604"/>
        <v>0</v>
      </c>
      <c r="N1629" s="76">
        <f t="shared" si="605"/>
        <v>1.05</v>
      </c>
      <c r="O1629" s="77">
        <f t="shared" si="606"/>
        <v>0.9</v>
      </c>
      <c r="P1629" s="76">
        <f t="shared" si="607"/>
        <v>0</v>
      </c>
      <c r="Q1629" s="76">
        <f t="shared" si="608"/>
        <v>0</v>
      </c>
      <c r="R1629" s="76">
        <f t="shared" si="609"/>
        <v>1</v>
      </c>
      <c r="S1629" s="76">
        <f t="shared" si="610"/>
        <v>1.0271739130434783</v>
      </c>
      <c r="T1629" s="76">
        <f t="shared" si="611"/>
        <v>0.99385167919322603</v>
      </c>
      <c r="U1629" s="76">
        <f t="shared" si="612"/>
        <v>1.05</v>
      </c>
    </row>
    <row r="1630" spans="1:21" x14ac:dyDescent="0.25">
      <c r="A1630" s="71">
        <v>40</v>
      </c>
      <c r="B1630" s="72">
        <f t="shared" si="613"/>
        <v>46844</v>
      </c>
      <c r="C1630" s="73">
        <f t="shared" si="594"/>
        <v>46873</v>
      </c>
      <c r="D1630" s="67">
        <f t="shared" si="595"/>
        <v>30</v>
      </c>
      <c r="E1630" s="67">
        <f t="shared" si="596"/>
        <v>4</v>
      </c>
      <c r="F1630" s="74">
        <f t="shared" si="597"/>
        <v>46859</v>
      </c>
      <c r="G1630" s="67">
        <f t="shared" si="598"/>
        <v>24339</v>
      </c>
      <c r="H1630" s="75">
        <f t="shared" si="599"/>
        <v>1</v>
      </c>
      <c r="I1630" s="76">
        <f t="shared" si="600"/>
        <v>1.05</v>
      </c>
      <c r="J1630" s="76">
        <f t="shared" si="601"/>
        <v>1.05</v>
      </c>
      <c r="K1630" s="67">
        <f t="shared" si="602"/>
        <v>0</v>
      </c>
      <c r="L1630" s="67">
        <f t="shared" si="603"/>
        <v>0</v>
      </c>
      <c r="M1630" s="77">
        <f t="shared" si="604"/>
        <v>0</v>
      </c>
      <c r="N1630" s="76">
        <f t="shared" si="605"/>
        <v>1.05</v>
      </c>
      <c r="O1630" s="77">
        <f t="shared" si="606"/>
        <v>0.9</v>
      </c>
      <c r="P1630" s="76">
        <f t="shared" si="607"/>
        <v>0</v>
      </c>
      <c r="Q1630" s="76">
        <f t="shared" si="608"/>
        <v>0</v>
      </c>
      <c r="R1630" s="76">
        <f t="shared" si="609"/>
        <v>1</v>
      </c>
      <c r="S1630" s="76">
        <f t="shared" si="610"/>
        <v>1.0271739130434783</v>
      </c>
      <c r="T1630" s="76">
        <f t="shared" si="611"/>
        <v>0.99312624869184662</v>
      </c>
      <c r="U1630" s="76">
        <f t="shared" si="612"/>
        <v>1.05</v>
      </c>
    </row>
    <row r="1631" spans="1:21" x14ac:dyDescent="0.25">
      <c r="A1631" s="71">
        <v>41</v>
      </c>
      <c r="B1631" s="72">
        <f t="shared" si="613"/>
        <v>46874</v>
      </c>
      <c r="C1631" s="73">
        <f t="shared" si="594"/>
        <v>46904</v>
      </c>
      <c r="D1631" s="67">
        <f t="shared" si="595"/>
        <v>31</v>
      </c>
      <c r="E1631" s="67">
        <f t="shared" si="596"/>
        <v>5</v>
      </c>
      <c r="F1631" s="74">
        <f t="shared" si="597"/>
        <v>46889.5</v>
      </c>
      <c r="G1631" s="67">
        <f t="shared" si="598"/>
        <v>24340</v>
      </c>
      <c r="H1631" s="75">
        <f t="shared" si="599"/>
        <v>1</v>
      </c>
      <c r="I1631" s="76">
        <f t="shared" si="600"/>
        <v>1.05</v>
      </c>
      <c r="J1631" s="76">
        <f t="shared" si="601"/>
        <v>1.05</v>
      </c>
      <c r="K1631" s="67">
        <f t="shared" si="602"/>
        <v>0</v>
      </c>
      <c r="L1631" s="67">
        <f t="shared" si="603"/>
        <v>0</v>
      </c>
      <c r="M1631" s="77">
        <f t="shared" si="604"/>
        <v>0</v>
      </c>
      <c r="N1631" s="76">
        <f t="shared" si="605"/>
        <v>1.05</v>
      </c>
      <c r="O1631" s="77">
        <f t="shared" si="606"/>
        <v>0.9</v>
      </c>
      <c r="P1631" s="76">
        <f t="shared" si="607"/>
        <v>0</v>
      </c>
      <c r="Q1631" s="76">
        <f t="shared" si="608"/>
        <v>0</v>
      </c>
      <c r="R1631" s="76">
        <f t="shared" si="609"/>
        <v>1</v>
      </c>
      <c r="S1631" s="76">
        <f t="shared" si="610"/>
        <v>1.0271739130434783</v>
      </c>
      <c r="T1631" s="76">
        <f t="shared" si="611"/>
        <v>1.0420208590999904</v>
      </c>
      <c r="U1631" s="76">
        <f t="shared" si="612"/>
        <v>1.05</v>
      </c>
    </row>
    <row r="1632" spans="1:21" x14ac:dyDescent="0.25">
      <c r="A1632" s="71">
        <v>42</v>
      </c>
      <c r="B1632" s="72">
        <f t="shared" si="613"/>
        <v>46905</v>
      </c>
      <c r="C1632" s="73">
        <f t="shared" si="594"/>
        <v>46934</v>
      </c>
      <c r="D1632" s="67">
        <f t="shared" si="595"/>
        <v>30</v>
      </c>
      <c r="E1632" s="67">
        <f t="shared" si="596"/>
        <v>6</v>
      </c>
      <c r="F1632" s="74">
        <f t="shared" si="597"/>
        <v>46920</v>
      </c>
      <c r="G1632" s="67">
        <f t="shared" si="598"/>
        <v>24341</v>
      </c>
      <c r="H1632" s="75">
        <f t="shared" si="599"/>
        <v>1</v>
      </c>
      <c r="I1632" s="76">
        <f t="shared" si="600"/>
        <v>1.05</v>
      </c>
      <c r="J1632" s="76">
        <f t="shared" si="601"/>
        <v>1.05</v>
      </c>
      <c r="K1632" s="67">
        <f t="shared" si="602"/>
        <v>0</v>
      </c>
      <c r="L1632" s="67">
        <f t="shared" si="603"/>
        <v>0</v>
      </c>
      <c r="M1632" s="77">
        <f t="shared" si="604"/>
        <v>0</v>
      </c>
      <c r="N1632" s="76">
        <f t="shared" si="605"/>
        <v>1.05</v>
      </c>
      <c r="O1632" s="77">
        <f t="shared" si="606"/>
        <v>0.9</v>
      </c>
      <c r="P1632" s="76">
        <f t="shared" si="607"/>
        <v>0</v>
      </c>
      <c r="Q1632" s="76">
        <f t="shared" si="608"/>
        <v>0</v>
      </c>
      <c r="R1632" s="76">
        <f t="shared" si="609"/>
        <v>1</v>
      </c>
      <c r="S1632" s="76">
        <f t="shared" si="610"/>
        <v>1.0271739130434783</v>
      </c>
      <c r="T1632" s="76">
        <f t="shared" si="611"/>
        <v>1.0412591570735421</v>
      </c>
      <c r="U1632" s="76">
        <f t="shared" si="612"/>
        <v>1.05</v>
      </c>
    </row>
    <row r="1633" spans="1:21" x14ac:dyDescent="0.25">
      <c r="A1633" s="71">
        <v>43</v>
      </c>
      <c r="B1633" s="72">
        <f t="shared" si="613"/>
        <v>46935</v>
      </c>
      <c r="C1633" s="73">
        <f t="shared" si="594"/>
        <v>46965</v>
      </c>
      <c r="D1633" s="67">
        <f t="shared" si="595"/>
        <v>31</v>
      </c>
      <c r="E1633" s="67">
        <f t="shared" si="596"/>
        <v>7</v>
      </c>
      <c r="F1633" s="74">
        <f t="shared" si="597"/>
        <v>46950.5</v>
      </c>
      <c r="G1633" s="67">
        <f t="shared" si="598"/>
        <v>24342</v>
      </c>
      <c r="H1633" s="75">
        <f t="shared" si="599"/>
        <v>1</v>
      </c>
      <c r="I1633" s="76">
        <f t="shared" si="600"/>
        <v>1.05</v>
      </c>
      <c r="J1633" s="76">
        <f t="shared" si="601"/>
        <v>1.05</v>
      </c>
      <c r="K1633" s="67">
        <f t="shared" si="602"/>
        <v>0</v>
      </c>
      <c r="L1633" s="67">
        <f t="shared" si="603"/>
        <v>0</v>
      </c>
      <c r="M1633" s="77">
        <f t="shared" si="604"/>
        <v>0</v>
      </c>
      <c r="N1633" s="76">
        <f t="shared" si="605"/>
        <v>1.05</v>
      </c>
      <c r="O1633" s="77">
        <f t="shared" si="606"/>
        <v>0.9</v>
      </c>
      <c r="P1633" s="76">
        <f t="shared" si="607"/>
        <v>0</v>
      </c>
      <c r="Q1633" s="76">
        <f t="shared" si="608"/>
        <v>0</v>
      </c>
      <c r="R1633" s="76">
        <f t="shared" si="609"/>
        <v>0.91666666666666663</v>
      </c>
      <c r="S1633" s="76">
        <f t="shared" si="610"/>
        <v>1.0271739130434783</v>
      </c>
      <c r="T1633" s="76">
        <f t="shared" si="611"/>
        <v>1.0404974550470936</v>
      </c>
      <c r="U1633" s="76">
        <f t="shared" si="612"/>
        <v>1.05</v>
      </c>
    </row>
    <row r="1634" spans="1:21" x14ac:dyDescent="0.25">
      <c r="A1634" s="71">
        <v>44</v>
      </c>
      <c r="B1634" s="72">
        <f t="shared" si="613"/>
        <v>46966</v>
      </c>
      <c r="C1634" s="73">
        <f t="shared" si="594"/>
        <v>46996</v>
      </c>
      <c r="D1634" s="67">
        <f t="shared" si="595"/>
        <v>31</v>
      </c>
      <c r="E1634" s="67">
        <f t="shared" si="596"/>
        <v>8</v>
      </c>
      <c r="F1634" s="74">
        <f t="shared" si="597"/>
        <v>46981.5</v>
      </c>
      <c r="G1634" s="67">
        <f t="shared" si="598"/>
        <v>24343</v>
      </c>
      <c r="H1634" s="75">
        <f t="shared" si="599"/>
        <v>1</v>
      </c>
      <c r="I1634" s="76">
        <f t="shared" si="600"/>
        <v>1.05</v>
      </c>
      <c r="J1634" s="76">
        <f t="shared" si="601"/>
        <v>1.05</v>
      </c>
      <c r="K1634" s="67">
        <f t="shared" si="602"/>
        <v>0</v>
      </c>
      <c r="L1634" s="67">
        <f t="shared" si="603"/>
        <v>0</v>
      </c>
      <c r="M1634" s="77">
        <f t="shared" si="604"/>
        <v>0</v>
      </c>
      <c r="N1634" s="76">
        <f t="shared" si="605"/>
        <v>1.05</v>
      </c>
      <c r="O1634" s="77">
        <f t="shared" si="606"/>
        <v>0.9</v>
      </c>
      <c r="P1634" s="76">
        <f t="shared" si="607"/>
        <v>0</v>
      </c>
      <c r="Q1634" s="76">
        <f t="shared" si="608"/>
        <v>0</v>
      </c>
      <c r="R1634" s="76">
        <f t="shared" si="609"/>
        <v>0.75</v>
      </c>
      <c r="S1634" s="76">
        <f t="shared" si="610"/>
        <v>1.0271739130434783</v>
      </c>
      <c r="T1634" s="76">
        <f t="shared" si="611"/>
        <v>1.0397232661021787</v>
      </c>
      <c r="U1634" s="76">
        <f t="shared" si="612"/>
        <v>1.05</v>
      </c>
    </row>
    <row r="1635" spans="1:21" x14ac:dyDescent="0.25">
      <c r="A1635" s="71">
        <v>45</v>
      </c>
      <c r="B1635" s="72">
        <f t="shared" si="613"/>
        <v>46997</v>
      </c>
      <c r="C1635" s="73">
        <f t="shared" si="594"/>
        <v>47026</v>
      </c>
      <c r="D1635" s="67">
        <f t="shared" si="595"/>
        <v>30</v>
      </c>
      <c r="E1635" s="67">
        <f t="shared" si="596"/>
        <v>9</v>
      </c>
      <c r="F1635" s="74">
        <f t="shared" si="597"/>
        <v>47012</v>
      </c>
      <c r="G1635" s="67">
        <f t="shared" si="598"/>
        <v>24344</v>
      </c>
      <c r="H1635" s="75">
        <f t="shared" si="599"/>
        <v>1</v>
      </c>
      <c r="I1635" s="76">
        <f t="shared" si="600"/>
        <v>1.05</v>
      </c>
      <c r="J1635" s="76">
        <f t="shared" si="601"/>
        <v>1.05</v>
      </c>
      <c r="K1635" s="67">
        <f t="shared" si="602"/>
        <v>0</v>
      </c>
      <c r="L1635" s="67">
        <f t="shared" si="603"/>
        <v>0</v>
      </c>
      <c r="M1635" s="77">
        <f t="shared" si="604"/>
        <v>0</v>
      </c>
      <c r="N1635" s="76">
        <f t="shared" si="605"/>
        <v>1.05</v>
      </c>
      <c r="O1635" s="77">
        <f t="shared" si="606"/>
        <v>0.9</v>
      </c>
      <c r="P1635" s="76">
        <f t="shared" si="607"/>
        <v>0</v>
      </c>
      <c r="Q1635" s="76">
        <f t="shared" si="608"/>
        <v>0</v>
      </c>
      <c r="R1635" s="76">
        <f t="shared" si="609"/>
        <v>0.58333333333333337</v>
      </c>
      <c r="S1635" s="76">
        <f t="shared" si="610"/>
        <v>1.0271739130434783</v>
      </c>
      <c r="T1635" s="76">
        <f t="shared" si="611"/>
        <v>1.0389615640757301</v>
      </c>
      <c r="U1635" s="76">
        <f t="shared" si="612"/>
        <v>1.05</v>
      </c>
    </row>
    <row r="1636" spans="1:21" x14ac:dyDescent="0.25">
      <c r="A1636" s="71">
        <v>46</v>
      </c>
      <c r="B1636" s="72">
        <f t="shared" si="613"/>
        <v>47027</v>
      </c>
      <c r="C1636" s="73">
        <f t="shared" si="594"/>
        <v>47057</v>
      </c>
      <c r="D1636" s="67">
        <f t="shared" si="595"/>
        <v>31</v>
      </c>
      <c r="E1636" s="67">
        <f t="shared" si="596"/>
        <v>10</v>
      </c>
      <c r="F1636" s="74">
        <f t="shared" si="597"/>
        <v>47042.5</v>
      </c>
      <c r="G1636" s="67">
        <f t="shared" si="598"/>
        <v>24345</v>
      </c>
      <c r="H1636" s="75">
        <f t="shared" si="599"/>
        <v>1</v>
      </c>
      <c r="I1636" s="76">
        <f t="shared" si="600"/>
        <v>1.05</v>
      </c>
      <c r="J1636" s="76">
        <f t="shared" si="601"/>
        <v>1.05</v>
      </c>
      <c r="K1636" s="67">
        <f t="shared" si="602"/>
        <v>0</v>
      </c>
      <c r="L1636" s="67">
        <f t="shared" si="603"/>
        <v>0</v>
      </c>
      <c r="M1636" s="77">
        <f t="shared" si="604"/>
        <v>0</v>
      </c>
      <c r="N1636" s="76">
        <f t="shared" si="605"/>
        <v>1.05</v>
      </c>
      <c r="O1636" s="77">
        <f t="shared" si="606"/>
        <v>0.9</v>
      </c>
      <c r="P1636" s="76">
        <f t="shared" si="607"/>
        <v>0</v>
      </c>
      <c r="Q1636" s="76">
        <f t="shared" si="608"/>
        <v>0</v>
      </c>
      <c r="R1636" s="76">
        <f t="shared" si="609"/>
        <v>0.41666666666666669</v>
      </c>
      <c r="S1636" s="76">
        <f t="shared" si="610"/>
        <v>1.0271739130434783</v>
      </c>
      <c r="T1636" s="76">
        <f t="shared" si="611"/>
        <v>1.0381998620492818</v>
      </c>
      <c r="U1636" s="76">
        <f t="shared" si="612"/>
        <v>1.05</v>
      </c>
    </row>
    <row r="1637" spans="1:21" x14ac:dyDescent="0.25">
      <c r="A1637" s="71">
        <v>47</v>
      </c>
      <c r="B1637" s="72">
        <f t="shared" si="613"/>
        <v>47058</v>
      </c>
      <c r="C1637" s="73">
        <f t="shared" si="594"/>
        <v>47087</v>
      </c>
      <c r="D1637" s="67">
        <f t="shared" si="595"/>
        <v>30</v>
      </c>
      <c r="E1637" s="67">
        <f t="shared" si="596"/>
        <v>11</v>
      </c>
      <c r="F1637" s="74">
        <f t="shared" si="597"/>
        <v>47073</v>
      </c>
      <c r="G1637" s="67">
        <f t="shared" si="598"/>
        <v>24346</v>
      </c>
      <c r="H1637" s="75">
        <f t="shared" si="599"/>
        <v>1</v>
      </c>
      <c r="I1637" s="76">
        <f t="shared" si="600"/>
        <v>1.05</v>
      </c>
      <c r="J1637" s="76">
        <f t="shared" si="601"/>
        <v>1.05</v>
      </c>
      <c r="K1637" s="67">
        <f t="shared" si="602"/>
        <v>0</v>
      </c>
      <c r="L1637" s="67">
        <f t="shared" si="603"/>
        <v>0</v>
      </c>
      <c r="M1637" s="77">
        <f t="shared" si="604"/>
        <v>0</v>
      </c>
      <c r="N1637" s="76">
        <f t="shared" si="605"/>
        <v>1.05</v>
      </c>
      <c r="O1637" s="77">
        <f t="shared" si="606"/>
        <v>0.9</v>
      </c>
      <c r="P1637" s="76">
        <f t="shared" si="607"/>
        <v>0</v>
      </c>
      <c r="Q1637" s="76">
        <f t="shared" si="608"/>
        <v>0</v>
      </c>
      <c r="R1637" s="76">
        <f t="shared" si="609"/>
        <v>0.25</v>
      </c>
      <c r="S1637" s="76">
        <f t="shared" si="610"/>
        <v>1.0271739130434783</v>
      </c>
      <c r="T1637" s="76">
        <f t="shared" si="611"/>
        <v>1.0374381600228333</v>
      </c>
      <c r="U1637" s="76">
        <f t="shared" si="612"/>
        <v>1.05</v>
      </c>
    </row>
    <row r="1638" spans="1:21" x14ac:dyDescent="0.25">
      <c r="A1638" s="71">
        <v>48</v>
      </c>
      <c r="B1638" s="72">
        <f t="shared" si="613"/>
        <v>47088</v>
      </c>
      <c r="C1638" s="73">
        <f t="shared" si="594"/>
        <v>47118</v>
      </c>
      <c r="D1638" s="67">
        <f t="shared" si="595"/>
        <v>31</v>
      </c>
      <c r="E1638" s="67">
        <f t="shared" si="596"/>
        <v>12</v>
      </c>
      <c r="F1638" s="74">
        <f t="shared" si="597"/>
        <v>47103.5</v>
      </c>
      <c r="G1638" s="67">
        <f t="shared" si="598"/>
        <v>24347</v>
      </c>
      <c r="H1638" s="75">
        <f t="shared" si="599"/>
        <v>1</v>
      </c>
      <c r="I1638" s="76">
        <f t="shared" si="600"/>
        <v>1.05</v>
      </c>
      <c r="J1638" s="76">
        <f t="shared" si="601"/>
        <v>1.05</v>
      </c>
      <c r="K1638" s="67">
        <f t="shared" si="602"/>
        <v>0</v>
      </c>
      <c r="L1638" s="67">
        <f t="shared" si="603"/>
        <v>0</v>
      </c>
      <c r="M1638" s="77">
        <f t="shared" si="604"/>
        <v>0</v>
      </c>
      <c r="N1638" s="76">
        <f t="shared" si="605"/>
        <v>1.05</v>
      </c>
      <c r="O1638" s="77">
        <f t="shared" si="606"/>
        <v>0.9</v>
      </c>
      <c r="P1638" s="76">
        <f t="shared" si="607"/>
        <v>0</v>
      </c>
      <c r="Q1638" s="76">
        <f t="shared" si="608"/>
        <v>0</v>
      </c>
      <c r="R1638" s="76">
        <f t="shared" si="609"/>
        <v>8.3333333333333329E-2</v>
      </c>
      <c r="S1638" s="76">
        <f t="shared" si="610"/>
        <v>1.0271739130434783</v>
      </c>
      <c r="T1638" s="76">
        <f t="shared" si="611"/>
        <v>1.0366764579963847</v>
      </c>
      <c r="U1638" s="76">
        <f t="shared" si="612"/>
        <v>1.05</v>
      </c>
    </row>
    <row r="1639" spans="1:21" x14ac:dyDescent="0.25">
      <c r="A1639" s="81" t="s">
        <v>1187</v>
      </c>
      <c r="B1639" s="53">
        <f>EXP(SUMPRODUCT((rl_key=$A$1588)*(rl_cons="Y")*rl_ln1p))</f>
        <v>1.05</v>
      </c>
      <c r="C1639" s="53">
        <f>SUMPRODUCT($H$1591:$H$1638,$P$1591:$P$1638,$U$1591:$U$1638)/SUMPRODUCT($H$1591:$H$1638,$P$1591:$P$1638)</f>
        <v>1.0208333333333335</v>
      </c>
      <c r="D1639" s="53">
        <f>SUMPRODUCT($H$1591:$H$1638,$Q$1591:$Q$1638,$U$1591:$U$1638)/SUMPRODUCT($H$1591:$H$1638,$Q$1591:$Q$1638)</f>
        <v>1.05</v>
      </c>
      <c r="E1639" s="53">
        <f>SUMPRODUCT($H$1591:$H$1638,$R$1591:$R$1638,$U$1591:$U$1638)/SUMPRODUCT($H$1591:$H$1638,$R$1591:$R$1638)</f>
        <v>1.05</v>
      </c>
      <c r="F1639" s="172">
        <f>SUMPRODUCT($H$1591:$H$1638,$Q$1591:$Q$1638,$O$1591:$O$1638)/SUMPRODUCT($H$1591:$H$1638,$Q$1591:$Q$1638)</f>
        <v>0.90600747629467537</v>
      </c>
      <c r="G1639" s="172">
        <f>SUMPRODUCT($H$1591:$H$1638,$R$1591:$R$1638,$O$1591:$O$1638)/SUMPRODUCT($H$1591:$H$1638,$R$1591:$R$1638)</f>
        <v>0.90033977631898854</v>
      </c>
    </row>
    <row r="1642" spans="1:21" x14ac:dyDescent="0.25">
      <c r="A1642" s="81" t="str">
        <f>INDEX(lr_key,30)</f>
        <v>BU-B|IA</v>
      </c>
      <c r="B1642" s="81" t="str">
        <f>INDEX(lr_state,30)</f>
        <v>IA</v>
      </c>
      <c r="C1642" s="55">
        <f>nr_TermMonths</f>
        <v>6</v>
      </c>
      <c r="D1642" s="55">
        <f>IF(COUNTIF(se_state,$B1642)=0,0,MATCH($B1642,se_state,0))</f>
        <v>0</v>
      </c>
      <c r="E1642" s="57">
        <f>IF($D1642=0,0,INDEX(se_sum,$D1642))</f>
        <v>0</v>
      </c>
      <c r="F1642" s="172">
        <f>IF(N(INDEX(lr_mind,30))=0,1,INDEX(lr_mind,30))</f>
        <v>0.92</v>
      </c>
      <c r="G1642" s="172">
        <f>IF(N(INDEX(lr_m0,30))=0,1,INDEX(lr_m0,30))</f>
        <v>0.91</v>
      </c>
      <c r="H1642" s="54">
        <f>IF(N(INDEX(lr_m0asof,30))=0,DATE(nr_PlanYear-1,10,1),INDEX(lr_m0asof,30))</f>
        <v>46295</v>
      </c>
      <c r="I1642" s="172">
        <f>IF(N(INDEX(lr_m1,30))=0,1,INDEX(lr_m1,30))</f>
        <v>0.91500000000000004</v>
      </c>
      <c r="J1642" s="172">
        <f>INDEX(lr_mprior,30)</f>
        <v>0</v>
      </c>
      <c r="K1642" s="172">
        <f>INDEX(lr_m2,30)</f>
        <v>0</v>
      </c>
      <c r="L1642" s="81" t="b">
        <f>NOT(ISBLANK(INDEX(lr_netp,30)))</f>
        <v>0</v>
      </c>
      <c r="M1642" s="52">
        <f>N(INDEX(lr_netp,30))</f>
        <v>0</v>
      </c>
      <c r="N1642" s="52">
        <f>IF(ISBLANK(INDEX(lr_netp1,30)),$M$1642,N(INDEX(lr_netp1,30)))</f>
        <v>0</v>
      </c>
      <c r="O1642" s="55">
        <f>IF(AND(nr_ModAdjMaster="ON",INDEX(lr_modadj,30)="ON"),1,0)</f>
        <v>1</v>
      </c>
    </row>
    <row r="1643" spans="1:21" x14ac:dyDescent="0.25">
      <c r="A1643" s="81">
        <f>EDATE($H$1642,-12)+1</f>
        <v>45931</v>
      </c>
      <c r="B1643" s="81">
        <f>$H$1642+1</f>
        <v>46296</v>
      </c>
      <c r="C1643" s="81">
        <f>DATE(nr_PlanYear,12,31)+1</f>
        <v>46753</v>
      </c>
      <c r="D1643" s="81">
        <f>DATE(nr_PlanYear+1,12,31)+1</f>
        <v>47119</v>
      </c>
      <c r="E1643" s="81">
        <f>IF(N($J$1642)=0,$F$1643-($G$1643-$F$1643)/($C$1643-$B$1643)*($B$1643-$A$1643),$J$1642)</f>
        <v>0.90600656455142237</v>
      </c>
      <c r="F1643" s="81">
        <f>$G$1642</f>
        <v>0.91</v>
      </c>
      <c r="G1643" s="81">
        <f>$I$1642</f>
        <v>0.91500000000000004</v>
      </c>
      <c r="H1643" s="81">
        <f>IF(N($K$1642)=0,$I$1642,$K$1642)</f>
        <v>0.91500000000000004</v>
      </c>
      <c r="I1643" s="81">
        <f>($F$1643-$E$1643)/($B$1643-$A$1643)</f>
        <v>1.0940919037199081E-5</v>
      </c>
      <c r="J1643" s="81">
        <f>($G$1643-$F$1643)/($C$1643-$B$1643)</f>
        <v>1.0940919037199135E-5</v>
      </c>
      <c r="K1643" s="81">
        <f>($H$1643-$G$1643)/($D$1643-$C$1643)</f>
        <v>0</v>
      </c>
    </row>
    <row r="1644" spans="1:21" ht="36" x14ac:dyDescent="0.25">
      <c r="A1644" s="50" t="s">
        <v>211</v>
      </c>
      <c r="B1644" s="50" t="s">
        <v>212</v>
      </c>
      <c r="C1644" s="50" t="s">
        <v>213</v>
      </c>
      <c r="D1644" s="50" t="s">
        <v>214</v>
      </c>
      <c r="E1644" s="50" t="s">
        <v>215</v>
      </c>
      <c r="F1644" s="50" t="s">
        <v>216</v>
      </c>
      <c r="G1644" s="50" t="s">
        <v>217</v>
      </c>
      <c r="H1644" s="50" t="s">
        <v>218</v>
      </c>
      <c r="I1644" s="50" t="s">
        <v>219</v>
      </c>
      <c r="J1644" s="50" t="s">
        <v>220</v>
      </c>
      <c r="K1644" s="50" t="s">
        <v>221</v>
      </c>
      <c r="L1644" s="50" t="s">
        <v>222</v>
      </c>
      <c r="M1644" s="50" t="s">
        <v>223</v>
      </c>
      <c r="N1644" s="50" t="s">
        <v>224</v>
      </c>
      <c r="O1644" s="50" t="s">
        <v>225</v>
      </c>
      <c r="P1644" s="50" t="s">
        <v>226</v>
      </c>
      <c r="Q1644" s="50" t="s">
        <v>227</v>
      </c>
      <c r="R1644" s="50" t="s">
        <v>228</v>
      </c>
      <c r="S1644" s="50" t="s">
        <v>229</v>
      </c>
      <c r="T1644" s="50" t="s">
        <v>230</v>
      </c>
      <c r="U1644" s="50" t="s">
        <v>231</v>
      </c>
    </row>
    <row r="1645" spans="1:21" x14ac:dyDescent="0.25">
      <c r="A1645" s="71">
        <v>1</v>
      </c>
      <c r="B1645" s="72">
        <f>DATE(nr_PlanYear-2,1,1)</f>
        <v>45658</v>
      </c>
      <c r="C1645" s="73">
        <f t="shared" ref="C1645:C1692" si="614">EOMONTH($B1645,0)</f>
        <v>45688</v>
      </c>
      <c r="D1645" s="67">
        <f t="shared" ref="D1645:D1692" si="615">$C1645-$B1645+1</f>
        <v>31</v>
      </c>
      <c r="E1645" s="67">
        <f t="shared" ref="E1645:E1692" si="616">MONTH($B1645)</f>
        <v>1</v>
      </c>
      <c r="F1645" s="74">
        <f t="shared" ref="F1645:F1692" si="617">($B1645+$C1645+1)/2</f>
        <v>45673.5</v>
      </c>
      <c r="G1645" s="67">
        <f t="shared" ref="G1645:G1692" si="618">YEAR($B1645)*12+MONTH($B1645)-1</f>
        <v>24300</v>
      </c>
      <c r="H1645" s="75">
        <f t="shared" ref="H1645:H1692" si="619">IF(OR(nr_SeasonOn="OFF",$D$1642=0,$E$1642=0),1,12*INDEX(se_block,$D$1642,$E1645)/$E$1642)</f>
        <v>1</v>
      </c>
      <c r="I1645" s="76">
        <f t="shared" ref="I1645:I1692" si="620">EXP(SUMPRODUCT((rl_eff&lt;$B1645)*(rl_key=$A$1642)*rl_ln1p))</f>
        <v>1</v>
      </c>
      <c r="J1645" s="76">
        <f t="shared" ref="J1645:J1692" si="621">EXP(SUMPRODUCT((rl_eff&lt;=$C1645)*(rl_key=$A$1642)*rl_ln1p))</f>
        <v>1</v>
      </c>
      <c r="K1645" s="67">
        <f t="shared" ref="K1645:K1692" si="622">COUNTIFS(rl_key,$A$1642,rl_eff,"&gt;="&amp;$B1645,rl_eff,"&lt;="&amp;$C1645)</f>
        <v>0</v>
      </c>
      <c r="L1645" s="67">
        <f t="shared" ref="L1645:L1692" si="623">SUMIFS(rl_daysafter,rl_key,$A$1642,rl_effmonth,$B1645,rl_first,1)</f>
        <v>0</v>
      </c>
      <c r="M1645" s="77">
        <f t="shared" ref="M1645:M1692" si="624">IF($K1645=0,0,MIN(1,$L1645/$D1645))</f>
        <v>0</v>
      </c>
      <c r="N1645" s="76">
        <f t="shared" ref="N1645:N1692" si="625">IF($K1645=0,$J1645,(1-$M1645)*$I1645+$M1645*$J1645)</f>
        <v>1</v>
      </c>
      <c r="O1645" s="77">
        <f t="shared" ref="O1645:O1692" si="626">IF($F1645&lt;$B$1643,$E$1643+$I$1643*($F1645-$A$1643),IF($F1645&lt;$C$1643,$F$1643+$J$1643*($F1645-$B$1643),$G$1643+$K$1643*($F1645-$C$1643)))</f>
        <v>0.90318927789934356</v>
      </c>
      <c r="P1645" s="76">
        <f t="shared" ref="P1645:P1692" si="627">MIN(1,MAX(0,(nr_MEndPm1-$G1645+0.5)/$C$1642))-MIN(1,MAX(0,(nr_MStartPm1-1-$G1645+0.5)/$C$1642))</f>
        <v>0</v>
      </c>
      <c r="Q1645" s="76">
        <f t="shared" ref="Q1645:Q1692" si="628">MIN(1,MAX(0,(nr_MEndP-$G1645+0.5)/$C$1642))-MIN(1,MAX(0,(nr_MStartP-1-$G1645+0.5)/$C$1642))</f>
        <v>0</v>
      </c>
      <c r="R1645" s="76">
        <f t="shared" ref="R1645:R1692" si="629">MIN(1,MAX(0,(nr_MEndP1-$G1645+0.5)/$C$1642))-MIN(1,MAX(0,(nr_MStartP1-1-$G1645+0.5)/$C$1642))</f>
        <v>0</v>
      </c>
      <c r="S1645" s="76">
        <f t="shared" ref="S1645:S1692" si="630">$N1645*IF($O$1642=1,$O1645/$F$1642,1)</f>
        <v>0.98172747597754728</v>
      </c>
      <c r="T1645" s="76">
        <f t="shared" ref="T1645:T1692" si="631">IF($G1645&lt;nr_MStartP,$S1645,$T1633*(1+IF($G1645&lt;nr_MStartP1,$M$1642,$N$1642)))</f>
        <v>0.98172747597754728</v>
      </c>
      <c r="U1645" s="76">
        <f t="shared" ref="U1645:U1692" si="632">IF($L$1642,$T1645,$N1645)</f>
        <v>1</v>
      </c>
    </row>
    <row r="1646" spans="1:21" x14ac:dyDescent="0.25">
      <c r="A1646" s="71">
        <v>2</v>
      </c>
      <c r="B1646" s="72">
        <f t="shared" ref="B1646:B1692" si="633">EDATE($B1645,1)</f>
        <v>45689</v>
      </c>
      <c r="C1646" s="73">
        <f t="shared" si="614"/>
        <v>45716</v>
      </c>
      <c r="D1646" s="67">
        <f t="shared" si="615"/>
        <v>28</v>
      </c>
      <c r="E1646" s="67">
        <f t="shared" si="616"/>
        <v>2</v>
      </c>
      <c r="F1646" s="74">
        <f t="shared" si="617"/>
        <v>45703</v>
      </c>
      <c r="G1646" s="67">
        <f t="shared" si="618"/>
        <v>24301</v>
      </c>
      <c r="H1646" s="75">
        <f t="shared" si="619"/>
        <v>1</v>
      </c>
      <c r="I1646" s="76">
        <f t="shared" si="620"/>
        <v>1</v>
      </c>
      <c r="J1646" s="76">
        <f t="shared" si="621"/>
        <v>1</v>
      </c>
      <c r="K1646" s="67">
        <f t="shared" si="622"/>
        <v>0</v>
      </c>
      <c r="L1646" s="67">
        <f t="shared" si="623"/>
        <v>0</v>
      </c>
      <c r="M1646" s="77">
        <f t="shared" si="624"/>
        <v>0</v>
      </c>
      <c r="N1646" s="76">
        <f t="shared" si="625"/>
        <v>1</v>
      </c>
      <c r="O1646" s="77">
        <f t="shared" si="626"/>
        <v>0.90351203501094102</v>
      </c>
      <c r="P1646" s="76">
        <f t="shared" si="627"/>
        <v>0</v>
      </c>
      <c r="Q1646" s="76">
        <f t="shared" si="628"/>
        <v>0</v>
      </c>
      <c r="R1646" s="76">
        <f t="shared" si="629"/>
        <v>0</v>
      </c>
      <c r="S1646" s="76">
        <f t="shared" si="630"/>
        <v>0.98207829892493581</v>
      </c>
      <c r="T1646" s="76">
        <f t="shared" si="631"/>
        <v>0.98207829892493581</v>
      </c>
      <c r="U1646" s="76">
        <f t="shared" si="632"/>
        <v>1</v>
      </c>
    </row>
    <row r="1647" spans="1:21" x14ac:dyDescent="0.25">
      <c r="A1647" s="71">
        <v>3</v>
      </c>
      <c r="B1647" s="72">
        <f t="shared" si="633"/>
        <v>45717</v>
      </c>
      <c r="C1647" s="73">
        <f t="shared" si="614"/>
        <v>45747</v>
      </c>
      <c r="D1647" s="67">
        <f t="shared" si="615"/>
        <v>31</v>
      </c>
      <c r="E1647" s="67">
        <f t="shared" si="616"/>
        <v>3</v>
      </c>
      <c r="F1647" s="74">
        <f t="shared" si="617"/>
        <v>45732.5</v>
      </c>
      <c r="G1647" s="67">
        <f t="shared" si="618"/>
        <v>24302</v>
      </c>
      <c r="H1647" s="75">
        <f t="shared" si="619"/>
        <v>1</v>
      </c>
      <c r="I1647" s="76">
        <f t="shared" si="620"/>
        <v>1</v>
      </c>
      <c r="J1647" s="76">
        <f t="shared" si="621"/>
        <v>1</v>
      </c>
      <c r="K1647" s="67">
        <f t="shared" si="622"/>
        <v>0</v>
      </c>
      <c r="L1647" s="67">
        <f t="shared" si="623"/>
        <v>0</v>
      </c>
      <c r="M1647" s="77">
        <f t="shared" si="624"/>
        <v>0</v>
      </c>
      <c r="N1647" s="76">
        <f t="shared" si="625"/>
        <v>1</v>
      </c>
      <c r="O1647" s="77">
        <f t="shared" si="626"/>
        <v>0.90383479212253837</v>
      </c>
      <c r="P1647" s="76">
        <f t="shared" si="627"/>
        <v>0</v>
      </c>
      <c r="Q1647" s="76">
        <f t="shared" si="628"/>
        <v>0</v>
      </c>
      <c r="R1647" s="76">
        <f t="shared" si="629"/>
        <v>0</v>
      </c>
      <c r="S1647" s="76">
        <f t="shared" si="630"/>
        <v>0.98242912187232423</v>
      </c>
      <c r="T1647" s="76">
        <f t="shared" si="631"/>
        <v>0.98242912187232423</v>
      </c>
      <c r="U1647" s="76">
        <f t="shared" si="632"/>
        <v>1</v>
      </c>
    </row>
    <row r="1648" spans="1:21" x14ac:dyDescent="0.25">
      <c r="A1648" s="71">
        <v>4</v>
      </c>
      <c r="B1648" s="72">
        <f t="shared" si="633"/>
        <v>45748</v>
      </c>
      <c r="C1648" s="73">
        <f t="shared" si="614"/>
        <v>45777</v>
      </c>
      <c r="D1648" s="67">
        <f t="shared" si="615"/>
        <v>30</v>
      </c>
      <c r="E1648" s="67">
        <f t="shared" si="616"/>
        <v>4</v>
      </c>
      <c r="F1648" s="74">
        <f t="shared" si="617"/>
        <v>45763</v>
      </c>
      <c r="G1648" s="67">
        <f t="shared" si="618"/>
        <v>24303</v>
      </c>
      <c r="H1648" s="75">
        <f t="shared" si="619"/>
        <v>1</v>
      </c>
      <c r="I1648" s="76">
        <f t="shared" si="620"/>
        <v>1</v>
      </c>
      <c r="J1648" s="76">
        <f t="shared" si="621"/>
        <v>1</v>
      </c>
      <c r="K1648" s="67">
        <f t="shared" si="622"/>
        <v>0</v>
      </c>
      <c r="L1648" s="67">
        <f t="shared" si="623"/>
        <v>0</v>
      </c>
      <c r="M1648" s="77">
        <f t="shared" si="624"/>
        <v>0</v>
      </c>
      <c r="N1648" s="76">
        <f t="shared" si="625"/>
        <v>1</v>
      </c>
      <c r="O1648" s="77">
        <f t="shared" si="626"/>
        <v>0.90416849015317291</v>
      </c>
      <c r="P1648" s="76">
        <f t="shared" si="627"/>
        <v>0</v>
      </c>
      <c r="Q1648" s="76">
        <f t="shared" si="628"/>
        <v>0</v>
      </c>
      <c r="R1648" s="76">
        <f t="shared" si="629"/>
        <v>0</v>
      </c>
      <c r="S1648" s="76">
        <f t="shared" si="630"/>
        <v>0.98279183712301399</v>
      </c>
      <c r="T1648" s="76">
        <f t="shared" si="631"/>
        <v>0.98279183712301399</v>
      </c>
      <c r="U1648" s="76">
        <f t="shared" si="632"/>
        <v>1</v>
      </c>
    </row>
    <row r="1649" spans="1:21" x14ac:dyDescent="0.25">
      <c r="A1649" s="71">
        <v>5</v>
      </c>
      <c r="B1649" s="72">
        <f t="shared" si="633"/>
        <v>45778</v>
      </c>
      <c r="C1649" s="73">
        <f t="shared" si="614"/>
        <v>45808</v>
      </c>
      <c r="D1649" s="67">
        <f t="shared" si="615"/>
        <v>31</v>
      </c>
      <c r="E1649" s="67">
        <f t="shared" si="616"/>
        <v>5</v>
      </c>
      <c r="F1649" s="74">
        <f t="shared" si="617"/>
        <v>45793.5</v>
      </c>
      <c r="G1649" s="67">
        <f t="shared" si="618"/>
        <v>24304</v>
      </c>
      <c r="H1649" s="75">
        <f t="shared" si="619"/>
        <v>1</v>
      </c>
      <c r="I1649" s="76">
        <f t="shared" si="620"/>
        <v>1</v>
      </c>
      <c r="J1649" s="76">
        <f t="shared" si="621"/>
        <v>1</v>
      </c>
      <c r="K1649" s="67">
        <f t="shared" si="622"/>
        <v>0</v>
      </c>
      <c r="L1649" s="67">
        <f t="shared" si="623"/>
        <v>0</v>
      </c>
      <c r="M1649" s="77">
        <f t="shared" si="624"/>
        <v>0</v>
      </c>
      <c r="N1649" s="76">
        <f t="shared" si="625"/>
        <v>1</v>
      </c>
      <c r="O1649" s="77">
        <f t="shared" si="626"/>
        <v>0.90450218818380745</v>
      </c>
      <c r="P1649" s="76">
        <f t="shared" si="627"/>
        <v>0</v>
      </c>
      <c r="Q1649" s="76">
        <f t="shared" si="628"/>
        <v>0</v>
      </c>
      <c r="R1649" s="76">
        <f t="shared" si="629"/>
        <v>0</v>
      </c>
      <c r="S1649" s="76">
        <f t="shared" si="630"/>
        <v>0.98315455237370375</v>
      </c>
      <c r="T1649" s="76">
        <f t="shared" si="631"/>
        <v>0.98315455237370375</v>
      </c>
      <c r="U1649" s="76">
        <f t="shared" si="632"/>
        <v>1</v>
      </c>
    </row>
    <row r="1650" spans="1:21" x14ac:dyDescent="0.25">
      <c r="A1650" s="71">
        <v>6</v>
      </c>
      <c r="B1650" s="72">
        <f t="shared" si="633"/>
        <v>45809</v>
      </c>
      <c r="C1650" s="73">
        <f t="shared" si="614"/>
        <v>45838</v>
      </c>
      <c r="D1650" s="67">
        <f t="shared" si="615"/>
        <v>30</v>
      </c>
      <c r="E1650" s="67">
        <f t="shared" si="616"/>
        <v>6</v>
      </c>
      <c r="F1650" s="74">
        <f t="shared" si="617"/>
        <v>45824</v>
      </c>
      <c r="G1650" s="67">
        <f t="shared" si="618"/>
        <v>24305</v>
      </c>
      <c r="H1650" s="75">
        <f t="shared" si="619"/>
        <v>1</v>
      </c>
      <c r="I1650" s="76">
        <f t="shared" si="620"/>
        <v>1</v>
      </c>
      <c r="J1650" s="76">
        <f t="shared" si="621"/>
        <v>1</v>
      </c>
      <c r="K1650" s="67">
        <f t="shared" si="622"/>
        <v>0</v>
      </c>
      <c r="L1650" s="67">
        <f t="shared" si="623"/>
        <v>0</v>
      </c>
      <c r="M1650" s="77">
        <f t="shared" si="624"/>
        <v>0</v>
      </c>
      <c r="N1650" s="76">
        <f t="shared" si="625"/>
        <v>1</v>
      </c>
      <c r="O1650" s="77">
        <f t="shared" si="626"/>
        <v>0.90483588621444211</v>
      </c>
      <c r="P1650" s="76">
        <f t="shared" si="627"/>
        <v>0</v>
      </c>
      <c r="Q1650" s="76">
        <f t="shared" si="628"/>
        <v>0</v>
      </c>
      <c r="R1650" s="76">
        <f t="shared" si="629"/>
        <v>0</v>
      </c>
      <c r="S1650" s="76">
        <f t="shared" si="630"/>
        <v>0.98351726762439351</v>
      </c>
      <c r="T1650" s="76">
        <f t="shared" si="631"/>
        <v>0.98351726762439351</v>
      </c>
      <c r="U1650" s="76">
        <f t="shared" si="632"/>
        <v>1</v>
      </c>
    </row>
    <row r="1651" spans="1:21" x14ac:dyDescent="0.25">
      <c r="A1651" s="71">
        <v>7</v>
      </c>
      <c r="B1651" s="72">
        <f t="shared" si="633"/>
        <v>45839</v>
      </c>
      <c r="C1651" s="73">
        <f t="shared" si="614"/>
        <v>45869</v>
      </c>
      <c r="D1651" s="67">
        <f t="shared" si="615"/>
        <v>31</v>
      </c>
      <c r="E1651" s="67">
        <f t="shared" si="616"/>
        <v>7</v>
      </c>
      <c r="F1651" s="74">
        <f t="shared" si="617"/>
        <v>45854.5</v>
      </c>
      <c r="G1651" s="67">
        <f t="shared" si="618"/>
        <v>24306</v>
      </c>
      <c r="H1651" s="75">
        <f t="shared" si="619"/>
        <v>1</v>
      </c>
      <c r="I1651" s="76">
        <f t="shared" si="620"/>
        <v>1</v>
      </c>
      <c r="J1651" s="76">
        <f t="shared" si="621"/>
        <v>1</v>
      </c>
      <c r="K1651" s="67">
        <f t="shared" si="622"/>
        <v>0</v>
      </c>
      <c r="L1651" s="67">
        <f t="shared" si="623"/>
        <v>0</v>
      </c>
      <c r="M1651" s="77">
        <f t="shared" si="624"/>
        <v>0</v>
      </c>
      <c r="N1651" s="76">
        <f t="shared" si="625"/>
        <v>1</v>
      </c>
      <c r="O1651" s="77">
        <f t="shared" si="626"/>
        <v>0.90516958424507665</v>
      </c>
      <c r="P1651" s="76">
        <f t="shared" si="627"/>
        <v>8.333333333333337E-2</v>
      </c>
      <c r="Q1651" s="76">
        <f t="shared" si="628"/>
        <v>0</v>
      </c>
      <c r="R1651" s="76">
        <f t="shared" si="629"/>
        <v>0</v>
      </c>
      <c r="S1651" s="76">
        <f t="shared" si="630"/>
        <v>0.98387998287508327</v>
      </c>
      <c r="T1651" s="76">
        <f t="shared" si="631"/>
        <v>0.98387998287508327</v>
      </c>
      <c r="U1651" s="76">
        <f t="shared" si="632"/>
        <v>1</v>
      </c>
    </row>
    <row r="1652" spans="1:21" x14ac:dyDescent="0.25">
      <c r="A1652" s="71">
        <v>8</v>
      </c>
      <c r="B1652" s="72">
        <f t="shared" si="633"/>
        <v>45870</v>
      </c>
      <c r="C1652" s="73">
        <f t="shared" si="614"/>
        <v>45900</v>
      </c>
      <c r="D1652" s="67">
        <f t="shared" si="615"/>
        <v>31</v>
      </c>
      <c r="E1652" s="67">
        <f t="shared" si="616"/>
        <v>8</v>
      </c>
      <c r="F1652" s="74">
        <f t="shared" si="617"/>
        <v>45885.5</v>
      </c>
      <c r="G1652" s="67">
        <f t="shared" si="618"/>
        <v>24307</v>
      </c>
      <c r="H1652" s="75">
        <f t="shared" si="619"/>
        <v>1</v>
      </c>
      <c r="I1652" s="76">
        <f t="shared" si="620"/>
        <v>1</v>
      </c>
      <c r="J1652" s="76">
        <f t="shared" si="621"/>
        <v>1</v>
      </c>
      <c r="K1652" s="67">
        <f t="shared" si="622"/>
        <v>0</v>
      </c>
      <c r="L1652" s="67">
        <f t="shared" si="623"/>
        <v>0</v>
      </c>
      <c r="M1652" s="77">
        <f t="shared" si="624"/>
        <v>0</v>
      </c>
      <c r="N1652" s="76">
        <f t="shared" si="625"/>
        <v>1</v>
      </c>
      <c r="O1652" s="77">
        <f t="shared" si="626"/>
        <v>0.90550875273522979</v>
      </c>
      <c r="P1652" s="76">
        <f t="shared" si="627"/>
        <v>0.25</v>
      </c>
      <c r="Q1652" s="76">
        <f t="shared" si="628"/>
        <v>0</v>
      </c>
      <c r="R1652" s="76">
        <f t="shared" si="629"/>
        <v>0</v>
      </c>
      <c r="S1652" s="76">
        <f t="shared" si="630"/>
        <v>0.98424864427742365</v>
      </c>
      <c r="T1652" s="76">
        <f t="shared" si="631"/>
        <v>0.98424864427742365</v>
      </c>
      <c r="U1652" s="76">
        <f t="shared" si="632"/>
        <v>1</v>
      </c>
    </row>
    <row r="1653" spans="1:21" x14ac:dyDescent="0.25">
      <c r="A1653" s="71">
        <v>9</v>
      </c>
      <c r="B1653" s="72">
        <f t="shared" si="633"/>
        <v>45901</v>
      </c>
      <c r="C1653" s="73">
        <f t="shared" si="614"/>
        <v>45930</v>
      </c>
      <c r="D1653" s="67">
        <f t="shared" si="615"/>
        <v>30</v>
      </c>
      <c r="E1653" s="67">
        <f t="shared" si="616"/>
        <v>9</v>
      </c>
      <c r="F1653" s="74">
        <f t="shared" si="617"/>
        <v>45916</v>
      </c>
      <c r="G1653" s="67">
        <f t="shared" si="618"/>
        <v>24308</v>
      </c>
      <c r="H1653" s="75">
        <f t="shared" si="619"/>
        <v>1</v>
      </c>
      <c r="I1653" s="76">
        <f t="shared" si="620"/>
        <v>1</v>
      </c>
      <c r="J1653" s="76">
        <f t="shared" si="621"/>
        <v>1</v>
      </c>
      <c r="K1653" s="67">
        <f t="shared" si="622"/>
        <v>0</v>
      </c>
      <c r="L1653" s="67">
        <f t="shared" si="623"/>
        <v>0</v>
      </c>
      <c r="M1653" s="77">
        <f t="shared" si="624"/>
        <v>0</v>
      </c>
      <c r="N1653" s="76">
        <f t="shared" si="625"/>
        <v>1</v>
      </c>
      <c r="O1653" s="77">
        <f t="shared" si="626"/>
        <v>0.90584245076586434</v>
      </c>
      <c r="P1653" s="76">
        <f t="shared" si="627"/>
        <v>0.41666666666666663</v>
      </c>
      <c r="Q1653" s="76">
        <f t="shared" si="628"/>
        <v>0</v>
      </c>
      <c r="R1653" s="76">
        <f t="shared" si="629"/>
        <v>0</v>
      </c>
      <c r="S1653" s="76">
        <f t="shared" si="630"/>
        <v>0.98461135952811341</v>
      </c>
      <c r="T1653" s="76">
        <f t="shared" si="631"/>
        <v>0.98461135952811341</v>
      </c>
      <c r="U1653" s="76">
        <f t="shared" si="632"/>
        <v>1</v>
      </c>
    </row>
    <row r="1654" spans="1:21" x14ac:dyDescent="0.25">
      <c r="A1654" s="71">
        <v>10</v>
      </c>
      <c r="B1654" s="72">
        <f t="shared" si="633"/>
        <v>45931</v>
      </c>
      <c r="C1654" s="73">
        <f t="shared" si="614"/>
        <v>45961</v>
      </c>
      <c r="D1654" s="67">
        <f t="shared" si="615"/>
        <v>31</v>
      </c>
      <c r="E1654" s="67">
        <f t="shared" si="616"/>
        <v>10</v>
      </c>
      <c r="F1654" s="74">
        <f t="shared" si="617"/>
        <v>45946.5</v>
      </c>
      <c r="G1654" s="67">
        <f t="shared" si="618"/>
        <v>24309</v>
      </c>
      <c r="H1654" s="75">
        <f t="shared" si="619"/>
        <v>1</v>
      </c>
      <c r="I1654" s="76">
        <f t="shared" si="620"/>
        <v>1</v>
      </c>
      <c r="J1654" s="76">
        <f t="shared" si="621"/>
        <v>1</v>
      </c>
      <c r="K1654" s="67">
        <f t="shared" si="622"/>
        <v>0</v>
      </c>
      <c r="L1654" s="67">
        <f t="shared" si="623"/>
        <v>0</v>
      </c>
      <c r="M1654" s="77">
        <f t="shared" si="624"/>
        <v>0</v>
      </c>
      <c r="N1654" s="76">
        <f t="shared" si="625"/>
        <v>1</v>
      </c>
      <c r="O1654" s="77">
        <f t="shared" si="626"/>
        <v>0.90617614879649899</v>
      </c>
      <c r="P1654" s="76">
        <f t="shared" si="627"/>
        <v>0.58333333333333326</v>
      </c>
      <c r="Q1654" s="76">
        <f t="shared" si="628"/>
        <v>0</v>
      </c>
      <c r="R1654" s="76">
        <f t="shared" si="629"/>
        <v>0</v>
      </c>
      <c r="S1654" s="76">
        <f t="shared" si="630"/>
        <v>0.98497407477880317</v>
      </c>
      <c r="T1654" s="76">
        <f t="shared" si="631"/>
        <v>0.98497407477880317</v>
      </c>
      <c r="U1654" s="76">
        <f t="shared" si="632"/>
        <v>1</v>
      </c>
    </row>
    <row r="1655" spans="1:21" x14ac:dyDescent="0.25">
      <c r="A1655" s="71">
        <v>11</v>
      </c>
      <c r="B1655" s="72">
        <f t="shared" si="633"/>
        <v>45962</v>
      </c>
      <c r="C1655" s="73">
        <f t="shared" si="614"/>
        <v>45991</v>
      </c>
      <c r="D1655" s="67">
        <f t="shared" si="615"/>
        <v>30</v>
      </c>
      <c r="E1655" s="67">
        <f t="shared" si="616"/>
        <v>11</v>
      </c>
      <c r="F1655" s="74">
        <f t="shared" si="617"/>
        <v>45977</v>
      </c>
      <c r="G1655" s="67">
        <f t="shared" si="618"/>
        <v>24310</v>
      </c>
      <c r="H1655" s="75">
        <f t="shared" si="619"/>
        <v>1</v>
      </c>
      <c r="I1655" s="76">
        <f t="shared" si="620"/>
        <v>1</v>
      </c>
      <c r="J1655" s="76">
        <f t="shared" si="621"/>
        <v>1</v>
      </c>
      <c r="K1655" s="67">
        <f t="shared" si="622"/>
        <v>0</v>
      </c>
      <c r="L1655" s="67">
        <f t="shared" si="623"/>
        <v>0</v>
      </c>
      <c r="M1655" s="77">
        <f t="shared" si="624"/>
        <v>0</v>
      </c>
      <c r="N1655" s="76">
        <f t="shared" si="625"/>
        <v>1</v>
      </c>
      <c r="O1655" s="77">
        <f t="shared" si="626"/>
        <v>0.90650984682713354</v>
      </c>
      <c r="P1655" s="76">
        <f t="shared" si="627"/>
        <v>0.75</v>
      </c>
      <c r="Q1655" s="76">
        <f t="shared" si="628"/>
        <v>0</v>
      </c>
      <c r="R1655" s="76">
        <f t="shared" si="629"/>
        <v>0</v>
      </c>
      <c r="S1655" s="76">
        <f t="shared" si="630"/>
        <v>0.98533679002949293</v>
      </c>
      <c r="T1655" s="76">
        <f t="shared" si="631"/>
        <v>0.98533679002949293</v>
      </c>
      <c r="U1655" s="76">
        <f t="shared" si="632"/>
        <v>1</v>
      </c>
    </row>
    <row r="1656" spans="1:21" x14ac:dyDescent="0.25">
      <c r="A1656" s="71">
        <v>12</v>
      </c>
      <c r="B1656" s="72">
        <f t="shared" si="633"/>
        <v>45992</v>
      </c>
      <c r="C1656" s="73">
        <f t="shared" si="614"/>
        <v>46022</v>
      </c>
      <c r="D1656" s="67">
        <f t="shared" si="615"/>
        <v>31</v>
      </c>
      <c r="E1656" s="67">
        <f t="shared" si="616"/>
        <v>12</v>
      </c>
      <c r="F1656" s="74">
        <f t="shared" si="617"/>
        <v>46007.5</v>
      </c>
      <c r="G1656" s="67">
        <f t="shared" si="618"/>
        <v>24311</v>
      </c>
      <c r="H1656" s="75">
        <f t="shared" si="619"/>
        <v>1</v>
      </c>
      <c r="I1656" s="76">
        <f t="shared" si="620"/>
        <v>1</v>
      </c>
      <c r="J1656" s="76">
        <f t="shared" si="621"/>
        <v>1</v>
      </c>
      <c r="K1656" s="67">
        <f t="shared" si="622"/>
        <v>0</v>
      </c>
      <c r="L1656" s="67">
        <f t="shared" si="623"/>
        <v>0</v>
      </c>
      <c r="M1656" s="77">
        <f t="shared" si="624"/>
        <v>0</v>
      </c>
      <c r="N1656" s="76">
        <f t="shared" si="625"/>
        <v>1</v>
      </c>
      <c r="O1656" s="77">
        <f t="shared" si="626"/>
        <v>0.90684354485776808</v>
      </c>
      <c r="P1656" s="76">
        <f t="shared" si="627"/>
        <v>0.91666666666666663</v>
      </c>
      <c r="Q1656" s="76">
        <f t="shared" si="628"/>
        <v>0</v>
      </c>
      <c r="R1656" s="76">
        <f t="shared" si="629"/>
        <v>0</v>
      </c>
      <c r="S1656" s="76">
        <f t="shared" si="630"/>
        <v>0.98569950528018269</v>
      </c>
      <c r="T1656" s="76">
        <f t="shared" si="631"/>
        <v>0.98569950528018269</v>
      </c>
      <c r="U1656" s="76">
        <f t="shared" si="632"/>
        <v>1</v>
      </c>
    </row>
    <row r="1657" spans="1:21" x14ac:dyDescent="0.25">
      <c r="A1657" s="71">
        <v>13</v>
      </c>
      <c r="B1657" s="72">
        <f t="shared" si="633"/>
        <v>46023</v>
      </c>
      <c r="C1657" s="73">
        <f t="shared" si="614"/>
        <v>46053</v>
      </c>
      <c r="D1657" s="67">
        <f t="shared" si="615"/>
        <v>31</v>
      </c>
      <c r="E1657" s="67">
        <f t="shared" si="616"/>
        <v>1</v>
      </c>
      <c r="F1657" s="74">
        <f t="shared" si="617"/>
        <v>46038.5</v>
      </c>
      <c r="G1657" s="67">
        <f t="shared" si="618"/>
        <v>24312</v>
      </c>
      <c r="H1657" s="75">
        <f t="shared" si="619"/>
        <v>1</v>
      </c>
      <c r="I1657" s="76">
        <f t="shared" si="620"/>
        <v>1</v>
      </c>
      <c r="J1657" s="76">
        <f t="shared" si="621"/>
        <v>1</v>
      </c>
      <c r="K1657" s="67">
        <f t="shared" si="622"/>
        <v>0</v>
      </c>
      <c r="L1657" s="67">
        <f t="shared" si="623"/>
        <v>0</v>
      </c>
      <c r="M1657" s="77">
        <f t="shared" si="624"/>
        <v>0</v>
      </c>
      <c r="N1657" s="76">
        <f t="shared" si="625"/>
        <v>1</v>
      </c>
      <c r="O1657" s="77">
        <f t="shared" si="626"/>
        <v>0.90718271334792122</v>
      </c>
      <c r="P1657" s="76">
        <f t="shared" si="627"/>
        <v>1</v>
      </c>
      <c r="Q1657" s="76">
        <f t="shared" si="628"/>
        <v>0</v>
      </c>
      <c r="R1657" s="76">
        <f t="shared" si="629"/>
        <v>0</v>
      </c>
      <c r="S1657" s="76">
        <f t="shared" si="630"/>
        <v>0.98606816668252306</v>
      </c>
      <c r="T1657" s="76">
        <f t="shared" si="631"/>
        <v>0.98606816668252306</v>
      </c>
      <c r="U1657" s="76">
        <f t="shared" si="632"/>
        <v>1</v>
      </c>
    </row>
    <row r="1658" spans="1:21" x14ac:dyDescent="0.25">
      <c r="A1658" s="71">
        <v>14</v>
      </c>
      <c r="B1658" s="72">
        <f t="shared" si="633"/>
        <v>46054</v>
      </c>
      <c r="C1658" s="73">
        <f t="shared" si="614"/>
        <v>46081</v>
      </c>
      <c r="D1658" s="67">
        <f t="shared" si="615"/>
        <v>28</v>
      </c>
      <c r="E1658" s="67">
        <f t="shared" si="616"/>
        <v>2</v>
      </c>
      <c r="F1658" s="74">
        <f t="shared" si="617"/>
        <v>46068</v>
      </c>
      <c r="G1658" s="67">
        <f t="shared" si="618"/>
        <v>24313</v>
      </c>
      <c r="H1658" s="75">
        <f t="shared" si="619"/>
        <v>1</v>
      </c>
      <c r="I1658" s="76">
        <f t="shared" si="620"/>
        <v>1</v>
      </c>
      <c r="J1658" s="76">
        <f t="shared" si="621"/>
        <v>1</v>
      </c>
      <c r="K1658" s="67">
        <f t="shared" si="622"/>
        <v>0</v>
      </c>
      <c r="L1658" s="67">
        <f t="shared" si="623"/>
        <v>0</v>
      </c>
      <c r="M1658" s="77">
        <f t="shared" si="624"/>
        <v>0</v>
      </c>
      <c r="N1658" s="76">
        <f t="shared" si="625"/>
        <v>1</v>
      </c>
      <c r="O1658" s="77">
        <f t="shared" si="626"/>
        <v>0.90750547045951868</v>
      </c>
      <c r="P1658" s="76">
        <f t="shared" si="627"/>
        <v>1</v>
      </c>
      <c r="Q1658" s="76">
        <f t="shared" si="628"/>
        <v>0</v>
      </c>
      <c r="R1658" s="76">
        <f t="shared" si="629"/>
        <v>0</v>
      </c>
      <c r="S1658" s="76">
        <f t="shared" si="630"/>
        <v>0.98641898962991159</v>
      </c>
      <c r="T1658" s="76">
        <f t="shared" si="631"/>
        <v>0.98641898962991159</v>
      </c>
      <c r="U1658" s="76">
        <f t="shared" si="632"/>
        <v>1</v>
      </c>
    </row>
    <row r="1659" spans="1:21" x14ac:dyDescent="0.25">
      <c r="A1659" s="71">
        <v>15</v>
      </c>
      <c r="B1659" s="72">
        <f t="shared" si="633"/>
        <v>46082</v>
      </c>
      <c r="C1659" s="73">
        <f t="shared" si="614"/>
        <v>46112</v>
      </c>
      <c r="D1659" s="67">
        <f t="shared" si="615"/>
        <v>31</v>
      </c>
      <c r="E1659" s="67">
        <f t="shared" si="616"/>
        <v>3</v>
      </c>
      <c r="F1659" s="74">
        <f t="shared" si="617"/>
        <v>46097.5</v>
      </c>
      <c r="G1659" s="67">
        <f t="shared" si="618"/>
        <v>24314</v>
      </c>
      <c r="H1659" s="75">
        <f t="shared" si="619"/>
        <v>1</v>
      </c>
      <c r="I1659" s="76">
        <f t="shared" si="620"/>
        <v>1</v>
      </c>
      <c r="J1659" s="76">
        <f t="shared" si="621"/>
        <v>1</v>
      </c>
      <c r="K1659" s="67">
        <f t="shared" si="622"/>
        <v>0</v>
      </c>
      <c r="L1659" s="67">
        <f t="shared" si="623"/>
        <v>0</v>
      </c>
      <c r="M1659" s="77">
        <f t="shared" si="624"/>
        <v>0</v>
      </c>
      <c r="N1659" s="76">
        <f t="shared" si="625"/>
        <v>1</v>
      </c>
      <c r="O1659" s="77">
        <f t="shared" si="626"/>
        <v>0.90782822757111603</v>
      </c>
      <c r="P1659" s="76">
        <f t="shared" si="627"/>
        <v>1</v>
      </c>
      <c r="Q1659" s="76">
        <f t="shared" si="628"/>
        <v>0</v>
      </c>
      <c r="R1659" s="76">
        <f t="shared" si="629"/>
        <v>0</v>
      </c>
      <c r="S1659" s="76">
        <f t="shared" si="630"/>
        <v>0.98676981257730001</v>
      </c>
      <c r="T1659" s="76">
        <f t="shared" si="631"/>
        <v>0.98676981257730001</v>
      </c>
      <c r="U1659" s="76">
        <f t="shared" si="632"/>
        <v>1</v>
      </c>
    </row>
    <row r="1660" spans="1:21" x14ac:dyDescent="0.25">
      <c r="A1660" s="71">
        <v>16</v>
      </c>
      <c r="B1660" s="72">
        <f t="shared" si="633"/>
        <v>46113</v>
      </c>
      <c r="C1660" s="73">
        <f t="shared" si="614"/>
        <v>46142</v>
      </c>
      <c r="D1660" s="67">
        <f t="shared" si="615"/>
        <v>30</v>
      </c>
      <c r="E1660" s="67">
        <f t="shared" si="616"/>
        <v>4</v>
      </c>
      <c r="F1660" s="74">
        <f t="shared" si="617"/>
        <v>46128</v>
      </c>
      <c r="G1660" s="67">
        <f t="shared" si="618"/>
        <v>24315</v>
      </c>
      <c r="H1660" s="75">
        <f t="shared" si="619"/>
        <v>1</v>
      </c>
      <c r="I1660" s="76">
        <f t="shared" si="620"/>
        <v>1</v>
      </c>
      <c r="J1660" s="76">
        <f t="shared" si="621"/>
        <v>1</v>
      </c>
      <c r="K1660" s="67">
        <f t="shared" si="622"/>
        <v>0</v>
      </c>
      <c r="L1660" s="67">
        <f t="shared" si="623"/>
        <v>0</v>
      </c>
      <c r="M1660" s="77">
        <f t="shared" si="624"/>
        <v>0</v>
      </c>
      <c r="N1660" s="76">
        <f t="shared" si="625"/>
        <v>1</v>
      </c>
      <c r="O1660" s="77">
        <f t="shared" si="626"/>
        <v>0.90816192560175057</v>
      </c>
      <c r="P1660" s="76">
        <f t="shared" si="627"/>
        <v>1</v>
      </c>
      <c r="Q1660" s="76">
        <f t="shared" si="628"/>
        <v>0</v>
      </c>
      <c r="R1660" s="76">
        <f t="shared" si="629"/>
        <v>0</v>
      </c>
      <c r="S1660" s="76">
        <f t="shared" si="630"/>
        <v>0.98713252782798966</v>
      </c>
      <c r="T1660" s="76">
        <f t="shared" si="631"/>
        <v>0.98713252782798966</v>
      </c>
      <c r="U1660" s="76">
        <f t="shared" si="632"/>
        <v>1</v>
      </c>
    </row>
    <row r="1661" spans="1:21" x14ac:dyDescent="0.25">
      <c r="A1661" s="71">
        <v>17</v>
      </c>
      <c r="B1661" s="72">
        <f t="shared" si="633"/>
        <v>46143</v>
      </c>
      <c r="C1661" s="73">
        <f t="shared" si="614"/>
        <v>46173</v>
      </c>
      <c r="D1661" s="67">
        <f t="shared" si="615"/>
        <v>31</v>
      </c>
      <c r="E1661" s="67">
        <f t="shared" si="616"/>
        <v>5</v>
      </c>
      <c r="F1661" s="74">
        <f t="shared" si="617"/>
        <v>46158.5</v>
      </c>
      <c r="G1661" s="67">
        <f t="shared" si="618"/>
        <v>24316</v>
      </c>
      <c r="H1661" s="75">
        <f t="shared" si="619"/>
        <v>1</v>
      </c>
      <c r="I1661" s="76">
        <f t="shared" si="620"/>
        <v>1</v>
      </c>
      <c r="J1661" s="76">
        <f t="shared" si="621"/>
        <v>1</v>
      </c>
      <c r="K1661" s="67">
        <f t="shared" si="622"/>
        <v>0</v>
      </c>
      <c r="L1661" s="67">
        <f t="shared" si="623"/>
        <v>0</v>
      </c>
      <c r="M1661" s="77">
        <f t="shared" si="624"/>
        <v>0</v>
      </c>
      <c r="N1661" s="76">
        <f t="shared" si="625"/>
        <v>1</v>
      </c>
      <c r="O1661" s="77">
        <f t="shared" si="626"/>
        <v>0.90849562363238512</v>
      </c>
      <c r="P1661" s="76">
        <f t="shared" si="627"/>
        <v>1</v>
      </c>
      <c r="Q1661" s="76">
        <f t="shared" si="628"/>
        <v>0</v>
      </c>
      <c r="R1661" s="76">
        <f t="shared" si="629"/>
        <v>0</v>
      </c>
      <c r="S1661" s="76">
        <f t="shared" si="630"/>
        <v>0.98749524307867942</v>
      </c>
      <c r="T1661" s="76">
        <f t="shared" si="631"/>
        <v>0.98749524307867942</v>
      </c>
      <c r="U1661" s="76">
        <f t="shared" si="632"/>
        <v>1</v>
      </c>
    </row>
    <row r="1662" spans="1:21" x14ac:dyDescent="0.25">
      <c r="A1662" s="71">
        <v>18</v>
      </c>
      <c r="B1662" s="72">
        <f t="shared" si="633"/>
        <v>46174</v>
      </c>
      <c r="C1662" s="73">
        <f t="shared" si="614"/>
        <v>46203</v>
      </c>
      <c r="D1662" s="67">
        <f t="shared" si="615"/>
        <v>30</v>
      </c>
      <c r="E1662" s="67">
        <f t="shared" si="616"/>
        <v>6</v>
      </c>
      <c r="F1662" s="74">
        <f t="shared" si="617"/>
        <v>46189</v>
      </c>
      <c r="G1662" s="67">
        <f t="shared" si="618"/>
        <v>24317</v>
      </c>
      <c r="H1662" s="75">
        <f t="shared" si="619"/>
        <v>1</v>
      </c>
      <c r="I1662" s="76">
        <f t="shared" si="620"/>
        <v>1</v>
      </c>
      <c r="J1662" s="76">
        <f t="shared" si="621"/>
        <v>1</v>
      </c>
      <c r="K1662" s="67">
        <f t="shared" si="622"/>
        <v>0</v>
      </c>
      <c r="L1662" s="67">
        <f t="shared" si="623"/>
        <v>0</v>
      </c>
      <c r="M1662" s="77">
        <f t="shared" si="624"/>
        <v>0</v>
      </c>
      <c r="N1662" s="76">
        <f t="shared" si="625"/>
        <v>1</v>
      </c>
      <c r="O1662" s="77">
        <f t="shared" si="626"/>
        <v>0.90882932166301977</v>
      </c>
      <c r="P1662" s="76">
        <f t="shared" si="627"/>
        <v>1</v>
      </c>
      <c r="Q1662" s="76">
        <f t="shared" si="628"/>
        <v>0</v>
      </c>
      <c r="R1662" s="76">
        <f t="shared" si="629"/>
        <v>0</v>
      </c>
      <c r="S1662" s="76">
        <f t="shared" si="630"/>
        <v>0.98785795832936929</v>
      </c>
      <c r="T1662" s="76">
        <f t="shared" si="631"/>
        <v>0.98785795832936929</v>
      </c>
      <c r="U1662" s="76">
        <f t="shared" si="632"/>
        <v>1</v>
      </c>
    </row>
    <row r="1663" spans="1:21" x14ac:dyDescent="0.25">
      <c r="A1663" s="71">
        <v>19</v>
      </c>
      <c r="B1663" s="72">
        <f t="shared" si="633"/>
        <v>46204</v>
      </c>
      <c r="C1663" s="73">
        <f t="shared" si="614"/>
        <v>46234</v>
      </c>
      <c r="D1663" s="67">
        <f t="shared" si="615"/>
        <v>31</v>
      </c>
      <c r="E1663" s="67">
        <f t="shared" si="616"/>
        <v>7</v>
      </c>
      <c r="F1663" s="74">
        <f t="shared" si="617"/>
        <v>46219.5</v>
      </c>
      <c r="G1663" s="67">
        <f t="shared" si="618"/>
        <v>24318</v>
      </c>
      <c r="H1663" s="75">
        <f t="shared" si="619"/>
        <v>1</v>
      </c>
      <c r="I1663" s="76">
        <f t="shared" si="620"/>
        <v>1</v>
      </c>
      <c r="J1663" s="76">
        <f t="shared" si="621"/>
        <v>1</v>
      </c>
      <c r="K1663" s="67">
        <f t="shared" si="622"/>
        <v>0</v>
      </c>
      <c r="L1663" s="67">
        <f t="shared" si="623"/>
        <v>0</v>
      </c>
      <c r="M1663" s="77">
        <f t="shared" si="624"/>
        <v>0</v>
      </c>
      <c r="N1663" s="76">
        <f t="shared" si="625"/>
        <v>1</v>
      </c>
      <c r="O1663" s="77">
        <f t="shared" si="626"/>
        <v>0.90916301969365432</v>
      </c>
      <c r="P1663" s="76">
        <f t="shared" si="627"/>
        <v>0.91666666666666663</v>
      </c>
      <c r="Q1663" s="76">
        <f t="shared" si="628"/>
        <v>8.333333333333337E-2</v>
      </c>
      <c r="R1663" s="76">
        <f t="shared" si="629"/>
        <v>0</v>
      </c>
      <c r="S1663" s="76">
        <f t="shared" si="630"/>
        <v>0.98822067358005905</v>
      </c>
      <c r="T1663" s="76">
        <f t="shared" si="631"/>
        <v>0.98822067358005905</v>
      </c>
      <c r="U1663" s="76">
        <f t="shared" si="632"/>
        <v>1</v>
      </c>
    </row>
    <row r="1664" spans="1:21" x14ac:dyDescent="0.25">
      <c r="A1664" s="71">
        <v>20</v>
      </c>
      <c r="B1664" s="72">
        <f t="shared" si="633"/>
        <v>46235</v>
      </c>
      <c r="C1664" s="73">
        <f t="shared" si="614"/>
        <v>46265</v>
      </c>
      <c r="D1664" s="67">
        <f t="shared" si="615"/>
        <v>31</v>
      </c>
      <c r="E1664" s="67">
        <f t="shared" si="616"/>
        <v>8</v>
      </c>
      <c r="F1664" s="74">
        <f t="shared" si="617"/>
        <v>46250.5</v>
      </c>
      <c r="G1664" s="67">
        <f t="shared" si="618"/>
        <v>24319</v>
      </c>
      <c r="H1664" s="75">
        <f t="shared" si="619"/>
        <v>1</v>
      </c>
      <c r="I1664" s="76">
        <f t="shared" si="620"/>
        <v>1</v>
      </c>
      <c r="J1664" s="76">
        <f t="shared" si="621"/>
        <v>1</v>
      </c>
      <c r="K1664" s="67">
        <f t="shared" si="622"/>
        <v>0</v>
      </c>
      <c r="L1664" s="67">
        <f t="shared" si="623"/>
        <v>0</v>
      </c>
      <c r="M1664" s="77">
        <f t="shared" si="624"/>
        <v>0</v>
      </c>
      <c r="N1664" s="76">
        <f t="shared" si="625"/>
        <v>1</v>
      </c>
      <c r="O1664" s="77">
        <f t="shared" si="626"/>
        <v>0.90950218818380746</v>
      </c>
      <c r="P1664" s="76">
        <f t="shared" si="627"/>
        <v>0.75</v>
      </c>
      <c r="Q1664" s="76">
        <f t="shared" si="628"/>
        <v>0.25</v>
      </c>
      <c r="R1664" s="76">
        <f t="shared" si="629"/>
        <v>0</v>
      </c>
      <c r="S1664" s="76">
        <f t="shared" si="630"/>
        <v>0.98858933498239931</v>
      </c>
      <c r="T1664" s="76">
        <f t="shared" si="631"/>
        <v>0.98858933498239931</v>
      </c>
      <c r="U1664" s="76">
        <f t="shared" si="632"/>
        <v>1</v>
      </c>
    </row>
    <row r="1665" spans="1:21" x14ac:dyDescent="0.25">
      <c r="A1665" s="71">
        <v>21</v>
      </c>
      <c r="B1665" s="72">
        <f t="shared" si="633"/>
        <v>46266</v>
      </c>
      <c r="C1665" s="73">
        <f t="shared" si="614"/>
        <v>46295</v>
      </c>
      <c r="D1665" s="67">
        <f t="shared" si="615"/>
        <v>30</v>
      </c>
      <c r="E1665" s="67">
        <f t="shared" si="616"/>
        <v>9</v>
      </c>
      <c r="F1665" s="74">
        <f t="shared" si="617"/>
        <v>46281</v>
      </c>
      <c r="G1665" s="67">
        <f t="shared" si="618"/>
        <v>24320</v>
      </c>
      <c r="H1665" s="75">
        <f t="shared" si="619"/>
        <v>1</v>
      </c>
      <c r="I1665" s="76">
        <f t="shared" si="620"/>
        <v>1</v>
      </c>
      <c r="J1665" s="76">
        <f t="shared" si="621"/>
        <v>1</v>
      </c>
      <c r="K1665" s="67">
        <f t="shared" si="622"/>
        <v>0</v>
      </c>
      <c r="L1665" s="67">
        <f t="shared" si="623"/>
        <v>0</v>
      </c>
      <c r="M1665" s="77">
        <f t="shared" si="624"/>
        <v>0</v>
      </c>
      <c r="N1665" s="76">
        <f t="shared" si="625"/>
        <v>1</v>
      </c>
      <c r="O1665" s="77">
        <f t="shared" si="626"/>
        <v>0.909835886214442</v>
      </c>
      <c r="P1665" s="76">
        <f t="shared" si="627"/>
        <v>0.58333333333333337</v>
      </c>
      <c r="Q1665" s="76">
        <f t="shared" si="628"/>
        <v>0.41666666666666663</v>
      </c>
      <c r="R1665" s="76">
        <f t="shared" si="629"/>
        <v>0</v>
      </c>
      <c r="S1665" s="76">
        <f t="shared" si="630"/>
        <v>0.98895205023308907</v>
      </c>
      <c r="T1665" s="76">
        <f t="shared" si="631"/>
        <v>0.98895205023308907</v>
      </c>
      <c r="U1665" s="76">
        <f t="shared" si="632"/>
        <v>1</v>
      </c>
    </row>
    <row r="1666" spans="1:21" x14ac:dyDescent="0.25">
      <c r="A1666" s="71">
        <v>22</v>
      </c>
      <c r="B1666" s="72">
        <f t="shared" si="633"/>
        <v>46296</v>
      </c>
      <c r="C1666" s="73">
        <f t="shared" si="614"/>
        <v>46326</v>
      </c>
      <c r="D1666" s="67">
        <f t="shared" si="615"/>
        <v>31</v>
      </c>
      <c r="E1666" s="67">
        <f t="shared" si="616"/>
        <v>10</v>
      </c>
      <c r="F1666" s="74">
        <f t="shared" si="617"/>
        <v>46311.5</v>
      </c>
      <c r="G1666" s="67">
        <f t="shared" si="618"/>
        <v>24321</v>
      </c>
      <c r="H1666" s="75">
        <f t="shared" si="619"/>
        <v>1</v>
      </c>
      <c r="I1666" s="76">
        <f t="shared" si="620"/>
        <v>1</v>
      </c>
      <c r="J1666" s="76">
        <f t="shared" si="621"/>
        <v>1</v>
      </c>
      <c r="K1666" s="67">
        <f t="shared" si="622"/>
        <v>0</v>
      </c>
      <c r="L1666" s="67">
        <f t="shared" si="623"/>
        <v>0</v>
      </c>
      <c r="M1666" s="77">
        <f t="shared" si="624"/>
        <v>0</v>
      </c>
      <c r="N1666" s="76">
        <f t="shared" si="625"/>
        <v>1</v>
      </c>
      <c r="O1666" s="77">
        <f t="shared" si="626"/>
        <v>0.91016958424507666</v>
      </c>
      <c r="P1666" s="76">
        <f t="shared" si="627"/>
        <v>0.41666666666666669</v>
      </c>
      <c r="Q1666" s="76">
        <f t="shared" si="628"/>
        <v>0.58333333333333326</v>
      </c>
      <c r="R1666" s="76">
        <f t="shared" si="629"/>
        <v>0</v>
      </c>
      <c r="S1666" s="76">
        <f t="shared" si="630"/>
        <v>0.98931476548377895</v>
      </c>
      <c r="T1666" s="76">
        <f t="shared" si="631"/>
        <v>0.98931476548377895</v>
      </c>
      <c r="U1666" s="76">
        <f t="shared" si="632"/>
        <v>1</v>
      </c>
    </row>
    <row r="1667" spans="1:21" x14ac:dyDescent="0.25">
      <c r="A1667" s="71">
        <v>23</v>
      </c>
      <c r="B1667" s="72">
        <f t="shared" si="633"/>
        <v>46327</v>
      </c>
      <c r="C1667" s="73">
        <f t="shared" si="614"/>
        <v>46356</v>
      </c>
      <c r="D1667" s="67">
        <f t="shared" si="615"/>
        <v>30</v>
      </c>
      <c r="E1667" s="67">
        <f t="shared" si="616"/>
        <v>11</v>
      </c>
      <c r="F1667" s="74">
        <f t="shared" si="617"/>
        <v>46342</v>
      </c>
      <c r="G1667" s="67">
        <f t="shared" si="618"/>
        <v>24322</v>
      </c>
      <c r="H1667" s="75">
        <f t="shared" si="619"/>
        <v>1</v>
      </c>
      <c r="I1667" s="76">
        <f t="shared" si="620"/>
        <v>1</v>
      </c>
      <c r="J1667" s="76">
        <f t="shared" si="621"/>
        <v>1</v>
      </c>
      <c r="K1667" s="67">
        <f t="shared" si="622"/>
        <v>0</v>
      </c>
      <c r="L1667" s="67">
        <f t="shared" si="623"/>
        <v>0</v>
      </c>
      <c r="M1667" s="77">
        <f t="shared" si="624"/>
        <v>0</v>
      </c>
      <c r="N1667" s="76">
        <f t="shared" si="625"/>
        <v>1</v>
      </c>
      <c r="O1667" s="77">
        <f t="shared" si="626"/>
        <v>0.9105032822757112</v>
      </c>
      <c r="P1667" s="76">
        <f t="shared" si="627"/>
        <v>0.25</v>
      </c>
      <c r="Q1667" s="76">
        <f t="shared" si="628"/>
        <v>0.75</v>
      </c>
      <c r="R1667" s="76">
        <f t="shared" si="629"/>
        <v>0</v>
      </c>
      <c r="S1667" s="76">
        <f t="shared" si="630"/>
        <v>0.98967748073446871</v>
      </c>
      <c r="T1667" s="76">
        <f t="shared" si="631"/>
        <v>0.98967748073446871</v>
      </c>
      <c r="U1667" s="76">
        <f t="shared" si="632"/>
        <v>1</v>
      </c>
    </row>
    <row r="1668" spans="1:21" x14ac:dyDescent="0.25">
      <c r="A1668" s="71">
        <v>24</v>
      </c>
      <c r="B1668" s="72">
        <f t="shared" si="633"/>
        <v>46357</v>
      </c>
      <c r="C1668" s="73">
        <f t="shared" si="614"/>
        <v>46387</v>
      </c>
      <c r="D1668" s="67">
        <f t="shared" si="615"/>
        <v>31</v>
      </c>
      <c r="E1668" s="67">
        <f t="shared" si="616"/>
        <v>12</v>
      </c>
      <c r="F1668" s="74">
        <f t="shared" si="617"/>
        <v>46372.5</v>
      </c>
      <c r="G1668" s="67">
        <f t="shared" si="618"/>
        <v>24323</v>
      </c>
      <c r="H1668" s="75">
        <f t="shared" si="619"/>
        <v>1</v>
      </c>
      <c r="I1668" s="76">
        <f t="shared" si="620"/>
        <v>1</v>
      </c>
      <c r="J1668" s="76">
        <f t="shared" si="621"/>
        <v>1</v>
      </c>
      <c r="K1668" s="67">
        <f t="shared" si="622"/>
        <v>0</v>
      </c>
      <c r="L1668" s="67">
        <f t="shared" si="623"/>
        <v>0</v>
      </c>
      <c r="M1668" s="77">
        <f t="shared" si="624"/>
        <v>0</v>
      </c>
      <c r="N1668" s="76">
        <f t="shared" si="625"/>
        <v>1</v>
      </c>
      <c r="O1668" s="77">
        <f t="shared" si="626"/>
        <v>0.91083698030634574</v>
      </c>
      <c r="P1668" s="76">
        <f t="shared" si="627"/>
        <v>8.3333333333333329E-2</v>
      </c>
      <c r="Q1668" s="76">
        <f t="shared" si="628"/>
        <v>0.91666666666666663</v>
      </c>
      <c r="R1668" s="76">
        <f t="shared" si="629"/>
        <v>0</v>
      </c>
      <c r="S1668" s="76">
        <f t="shared" si="630"/>
        <v>0.99004019598515836</v>
      </c>
      <c r="T1668" s="76">
        <f t="shared" si="631"/>
        <v>0.99004019598515836</v>
      </c>
      <c r="U1668" s="76">
        <f t="shared" si="632"/>
        <v>1</v>
      </c>
    </row>
    <row r="1669" spans="1:21" x14ac:dyDescent="0.25">
      <c r="A1669" s="71">
        <v>25</v>
      </c>
      <c r="B1669" s="72">
        <f t="shared" si="633"/>
        <v>46388</v>
      </c>
      <c r="C1669" s="73">
        <f t="shared" si="614"/>
        <v>46418</v>
      </c>
      <c r="D1669" s="67">
        <f t="shared" si="615"/>
        <v>31</v>
      </c>
      <c r="E1669" s="67">
        <f t="shared" si="616"/>
        <v>1</v>
      </c>
      <c r="F1669" s="74">
        <f t="shared" si="617"/>
        <v>46403.5</v>
      </c>
      <c r="G1669" s="67">
        <f t="shared" si="618"/>
        <v>24324</v>
      </c>
      <c r="H1669" s="75">
        <f t="shared" si="619"/>
        <v>1</v>
      </c>
      <c r="I1669" s="76">
        <f t="shared" si="620"/>
        <v>1</v>
      </c>
      <c r="J1669" s="76">
        <f t="shared" si="621"/>
        <v>1</v>
      </c>
      <c r="K1669" s="67">
        <f t="shared" si="622"/>
        <v>0</v>
      </c>
      <c r="L1669" s="67">
        <f t="shared" si="623"/>
        <v>0</v>
      </c>
      <c r="M1669" s="77">
        <f t="shared" si="624"/>
        <v>0</v>
      </c>
      <c r="N1669" s="76">
        <f t="shared" si="625"/>
        <v>1</v>
      </c>
      <c r="O1669" s="77">
        <f t="shared" si="626"/>
        <v>0.91117614879649889</v>
      </c>
      <c r="P1669" s="76">
        <f t="shared" si="627"/>
        <v>0</v>
      </c>
      <c r="Q1669" s="76">
        <f t="shared" si="628"/>
        <v>1</v>
      </c>
      <c r="R1669" s="76">
        <f t="shared" si="629"/>
        <v>0</v>
      </c>
      <c r="S1669" s="76">
        <f t="shared" si="630"/>
        <v>0.99040885738749873</v>
      </c>
      <c r="T1669" s="76">
        <f t="shared" si="631"/>
        <v>0.98606816668252306</v>
      </c>
      <c r="U1669" s="76">
        <f t="shared" si="632"/>
        <v>1</v>
      </c>
    </row>
    <row r="1670" spans="1:21" x14ac:dyDescent="0.25">
      <c r="A1670" s="71">
        <v>26</v>
      </c>
      <c r="B1670" s="72">
        <f t="shared" si="633"/>
        <v>46419</v>
      </c>
      <c r="C1670" s="73">
        <f t="shared" si="614"/>
        <v>46446</v>
      </c>
      <c r="D1670" s="67">
        <f t="shared" si="615"/>
        <v>28</v>
      </c>
      <c r="E1670" s="67">
        <f t="shared" si="616"/>
        <v>2</v>
      </c>
      <c r="F1670" s="74">
        <f t="shared" si="617"/>
        <v>46433</v>
      </c>
      <c r="G1670" s="67">
        <f t="shared" si="618"/>
        <v>24325</v>
      </c>
      <c r="H1670" s="75">
        <f t="shared" si="619"/>
        <v>1</v>
      </c>
      <c r="I1670" s="76">
        <f t="shared" si="620"/>
        <v>1</v>
      </c>
      <c r="J1670" s="76">
        <f t="shared" si="621"/>
        <v>1</v>
      </c>
      <c r="K1670" s="67">
        <f t="shared" si="622"/>
        <v>0</v>
      </c>
      <c r="L1670" s="67">
        <f t="shared" si="623"/>
        <v>0</v>
      </c>
      <c r="M1670" s="77">
        <f t="shared" si="624"/>
        <v>0</v>
      </c>
      <c r="N1670" s="76">
        <f t="shared" si="625"/>
        <v>1</v>
      </c>
      <c r="O1670" s="77">
        <f t="shared" si="626"/>
        <v>0.91149890590809635</v>
      </c>
      <c r="P1670" s="76">
        <f t="shared" si="627"/>
        <v>0</v>
      </c>
      <c r="Q1670" s="76">
        <f t="shared" si="628"/>
        <v>1</v>
      </c>
      <c r="R1670" s="76">
        <f t="shared" si="629"/>
        <v>0</v>
      </c>
      <c r="S1670" s="76">
        <f t="shared" si="630"/>
        <v>0.99075968033488726</v>
      </c>
      <c r="T1670" s="76">
        <f t="shared" si="631"/>
        <v>0.98641898962991159</v>
      </c>
      <c r="U1670" s="76">
        <f t="shared" si="632"/>
        <v>1</v>
      </c>
    </row>
    <row r="1671" spans="1:21" x14ac:dyDescent="0.25">
      <c r="A1671" s="71">
        <v>27</v>
      </c>
      <c r="B1671" s="72">
        <f t="shared" si="633"/>
        <v>46447</v>
      </c>
      <c r="C1671" s="73">
        <f t="shared" si="614"/>
        <v>46477</v>
      </c>
      <c r="D1671" s="67">
        <f t="shared" si="615"/>
        <v>31</v>
      </c>
      <c r="E1671" s="67">
        <f t="shared" si="616"/>
        <v>3</v>
      </c>
      <c r="F1671" s="74">
        <f t="shared" si="617"/>
        <v>46462.5</v>
      </c>
      <c r="G1671" s="67">
        <f t="shared" si="618"/>
        <v>24326</v>
      </c>
      <c r="H1671" s="75">
        <f t="shared" si="619"/>
        <v>1</v>
      </c>
      <c r="I1671" s="76">
        <f t="shared" si="620"/>
        <v>1</v>
      </c>
      <c r="J1671" s="76">
        <f t="shared" si="621"/>
        <v>1</v>
      </c>
      <c r="K1671" s="67">
        <f t="shared" si="622"/>
        <v>0</v>
      </c>
      <c r="L1671" s="67">
        <f t="shared" si="623"/>
        <v>0</v>
      </c>
      <c r="M1671" s="77">
        <f t="shared" si="624"/>
        <v>0</v>
      </c>
      <c r="N1671" s="76">
        <f t="shared" si="625"/>
        <v>1</v>
      </c>
      <c r="O1671" s="77">
        <f t="shared" si="626"/>
        <v>0.9118216630196937</v>
      </c>
      <c r="P1671" s="76">
        <f t="shared" si="627"/>
        <v>0</v>
      </c>
      <c r="Q1671" s="76">
        <f t="shared" si="628"/>
        <v>1</v>
      </c>
      <c r="R1671" s="76">
        <f t="shared" si="629"/>
        <v>0</v>
      </c>
      <c r="S1671" s="76">
        <f t="shared" si="630"/>
        <v>0.99111050328227568</v>
      </c>
      <c r="T1671" s="76">
        <f t="shared" si="631"/>
        <v>0.98676981257730001</v>
      </c>
      <c r="U1671" s="76">
        <f t="shared" si="632"/>
        <v>1</v>
      </c>
    </row>
    <row r="1672" spans="1:21" x14ac:dyDescent="0.25">
      <c r="A1672" s="71">
        <v>28</v>
      </c>
      <c r="B1672" s="72">
        <f t="shared" si="633"/>
        <v>46478</v>
      </c>
      <c r="C1672" s="73">
        <f t="shared" si="614"/>
        <v>46507</v>
      </c>
      <c r="D1672" s="67">
        <f t="shared" si="615"/>
        <v>30</v>
      </c>
      <c r="E1672" s="67">
        <f t="shared" si="616"/>
        <v>4</v>
      </c>
      <c r="F1672" s="74">
        <f t="shared" si="617"/>
        <v>46493</v>
      </c>
      <c r="G1672" s="67">
        <f t="shared" si="618"/>
        <v>24327</v>
      </c>
      <c r="H1672" s="75">
        <f t="shared" si="619"/>
        <v>1</v>
      </c>
      <c r="I1672" s="76">
        <f t="shared" si="620"/>
        <v>1</v>
      </c>
      <c r="J1672" s="76">
        <f t="shared" si="621"/>
        <v>1</v>
      </c>
      <c r="K1672" s="67">
        <f t="shared" si="622"/>
        <v>0</v>
      </c>
      <c r="L1672" s="67">
        <f t="shared" si="623"/>
        <v>0</v>
      </c>
      <c r="M1672" s="77">
        <f t="shared" si="624"/>
        <v>0</v>
      </c>
      <c r="N1672" s="76">
        <f t="shared" si="625"/>
        <v>1</v>
      </c>
      <c r="O1672" s="77">
        <f t="shared" si="626"/>
        <v>0.91215536105032824</v>
      </c>
      <c r="P1672" s="76">
        <f t="shared" si="627"/>
        <v>0</v>
      </c>
      <c r="Q1672" s="76">
        <f t="shared" si="628"/>
        <v>1</v>
      </c>
      <c r="R1672" s="76">
        <f t="shared" si="629"/>
        <v>0</v>
      </c>
      <c r="S1672" s="76">
        <f t="shared" si="630"/>
        <v>0.99147321853296544</v>
      </c>
      <c r="T1672" s="76">
        <f t="shared" si="631"/>
        <v>0.98713252782798966</v>
      </c>
      <c r="U1672" s="76">
        <f t="shared" si="632"/>
        <v>1</v>
      </c>
    </row>
    <row r="1673" spans="1:21" x14ac:dyDescent="0.25">
      <c r="A1673" s="71">
        <v>29</v>
      </c>
      <c r="B1673" s="72">
        <f t="shared" si="633"/>
        <v>46508</v>
      </c>
      <c r="C1673" s="73">
        <f t="shared" si="614"/>
        <v>46538</v>
      </c>
      <c r="D1673" s="67">
        <f t="shared" si="615"/>
        <v>31</v>
      </c>
      <c r="E1673" s="67">
        <f t="shared" si="616"/>
        <v>5</v>
      </c>
      <c r="F1673" s="74">
        <f t="shared" si="617"/>
        <v>46523.5</v>
      </c>
      <c r="G1673" s="67">
        <f t="shared" si="618"/>
        <v>24328</v>
      </c>
      <c r="H1673" s="75">
        <f t="shared" si="619"/>
        <v>1</v>
      </c>
      <c r="I1673" s="76">
        <f t="shared" si="620"/>
        <v>1</v>
      </c>
      <c r="J1673" s="76">
        <f t="shared" si="621"/>
        <v>1</v>
      </c>
      <c r="K1673" s="67">
        <f t="shared" si="622"/>
        <v>0</v>
      </c>
      <c r="L1673" s="67">
        <f t="shared" si="623"/>
        <v>0</v>
      </c>
      <c r="M1673" s="77">
        <f t="shared" si="624"/>
        <v>0</v>
      </c>
      <c r="N1673" s="76">
        <f t="shared" si="625"/>
        <v>1</v>
      </c>
      <c r="O1673" s="77">
        <f t="shared" si="626"/>
        <v>0.91248905908096278</v>
      </c>
      <c r="P1673" s="76">
        <f t="shared" si="627"/>
        <v>0</v>
      </c>
      <c r="Q1673" s="76">
        <f t="shared" si="628"/>
        <v>1</v>
      </c>
      <c r="R1673" s="76">
        <f t="shared" si="629"/>
        <v>0</v>
      </c>
      <c r="S1673" s="76">
        <f t="shared" si="630"/>
        <v>0.9918359337836552</v>
      </c>
      <c r="T1673" s="76">
        <f t="shared" si="631"/>
        <v>0.98749524307867942</v>
      </c>
      <c r="U1673" s="76">
        <f t="shared" si="632"/>
        <v>1</v>
      </c>
    </row>
    <row r="1674" spans="1:21" x14ac:dyDescent="0.25">
      <c r="A1674" s="71">
        <v>30</v>
      </c>
      <c r="B1674" s="72">
        <f t="shared" si="633"/>
        <v>46539</v>
      </c>
      <c r="C1674" s="73">
        <f t="shared" si="614"/>
        <v>46568</v>
      </c>
      <c r="D1674" s="67">
        <f t="shared" si="615"/>
        <v>30</v>
      </c>
      <c r="E1674" s="67">
        <f t="shared" si="616"/>
        <v>6</v>
      </c>
      <c r="F1674" s="74">
        <f t="shared" si="617"/>
        <v>46554</v>
      </c>
      <c r="G1674" s="67">
        <f t="shared" si="618"/>
        <v>24329</v>
      </c>
      <c r="H1674" s="75">
        <f t="shared" si="619"/>
        <v>1</v>
      </c>
      <c r="I1674" s="76">
        <f t="shared" si="620"/>
        <v>1</v>
      </c>
      <c r="J1674" s="76">
        <f t="shared" si="621"/>
        <v>1</v>
      </c>
      <c r="K1674" s="67">
        <f t="shared" si="622"/>
        <v>0</v>
      </c>
      <c r="L1674" s="67">
        <f t="shared" si="623"/>
        <v>0</v>
      </c>
      <c r="M1674" s="77">
        <f t="shared" si="624"/>
        <v>0</v>
      </c>
      <c r="N1674" s="76">
        <f t="shared" si="625"/>
        <v>1</v>
      </c>
      <c r="O1674" s="77">
        <f t="shared" si="626"/>
        <v>0.91282275711159744</v>
      </c>
      <c r="P1674" s="76">
        <f t="shared" si="627"/>
        <v>0</v>
      </c>
      <c r="Q1674" s="76">
        <f t="shared" si="628"/>
        <v>1</v>
      </c>
      <c r="R1674" s="76">
        <f t="shared" si="629"/>
        <v>0</v>
      </c>
      <c r="S1674" s="76">
        <f t="shared" si="630"/>
        <v>0.99219864903434496</v>
      </c>
      <c r="T1674" s="76">
        <f t="shared" si="631"/>
        <v>0.98785795832936929</v>
      </c>
      <c r="U1674" s="76">
        <f t="shared" si="632"/>
        <v>1</v>
      </c>
    </row>
    <row r="1675" spans="1:21" x14ac:dyDescent="0.25">
      <c r="A1675" s="71">
        <v>31</v>
      </c>
      <c r="B1675" s="72">
        <f t="shared" si="633"/>
        <v>46569</v>
      </c>
      <c r="C1675" s="73">
        <f t="shared" si="614"/>
        <v>46599</v>
      </c>
      <c r="D1675" s="67">
        <f t="shared" si="615"/>
        <v>31</v>
      </c>
      <c r="E1675" s="67">
        <f t="shared" si="616"/>
        <v>7</v>
      </c>
      <c r="F1675" s="74">
        <f t="shared" si="617"/>
        <v>46584.5</v>
      </c>
      <c r="G1675" s="67">
        <f t="shared" si="618"/>
        <v>24330</v>
      </c>
      <c r="H1675" s="75">
        <f t="shared" si="619"/>
        <v>1</v>
      </c>
      <c r="I1675" s="76">
        <f t="shared" si="620"/>
        <v>1</v>
      </c>
      <c r="J1675" s="76">
        <f t="shared" si="621"/>
        <v>1</v>
      </c>
      <c r="K1675" s="67">
        <f t="shared" si="622"/>
        <v>0</v>
      </c>
      <c r="L1675" s="67">
        <f t="shared" si="623"/>
        <v>0</v>
      </c>
      <c r="M1675" s="77">
        <f t="shared" si="624"/>
        <v>0</v>
      </c>
      <c r="N1675" s="76">
        <f t="shared" si="625"/>
        <v>1</v>
      </c>
      <c r="O1675" s="77">
        <f t="shared" si="626"/>
        <v>0.91315645514223198</v>
      </c>
      <c r="P1675" s="76">
        <f t="shared" si="627"/>
        <v>0</v>
      </c>
      <c r="Q1675" s="76">
        <f t="shared" si="628"/>
        <v>0.91666666666666663</v>
      </c>
      <c r="R1675" s="76">
        <f t="shared" si="629"/>
        <v>8.333333333333337E-2</v>
      </c>
      <c r="S1675" s="76">
        <f t="shared" si="630"/>
        <v>0.99256136428503472</v>
      </c>
      <c r="T1675" s="76">
        <f t="shared" si="631"/>
        <v>0.98822067358005905</v>
      </c>
      <c r="U1675" s="76">
        <f t="shared" si="632"/>
        <v>1</v>
      </c>
    </row>
    <row r="1676" spans="1:21" x14ac:dyDescent="0.25">
      <c r="A1676" s="71">
        <v>32</v>
      </c>
      <c r="B1676" s="72">
        <f t="shared" si="633"/>
        <v>46600</v>
      </c>
      <c r="C1676" s="73">
        <f t="shared" si="614"/>
        <v>46630</v>
      </c>
      <c r="D1676" s="67">
        <f t="shared" si="615"/>
        <v>31</v>
      </c>
      <c r="E1676" s="67">
        <f t="shared" si="616"/>
        <v>8</v>
      </c>
      <c r="F1676" s="74">
        <f t="shared" si="617"/>
        <v>46615.5</v>
      </c>
      <c r="G1676" s="67">
        <f t="shared" si="618"/>
        <v>24331</v>
      </c>
      <c r="H1676" s="75">
        <f t="shared" si="619"/>
        <v>1</v>
      </c>
      <c r="I1676" s="76">
        <f t="shared" si="620"/>
        <v>1</v>
      </c>
      <c r="J1676" s="76">
        <f t="shared" si="621"/>
        <v>1</v>
      </c>
      <c r="K1676" s="67">
        <f t="shared" si="622"/>
        <v>0</v>
      </c>
      <c r="L1676" s="67">
        <f t="shared" si="623"/>
        <v>0</v>
      </c>
      <c r="M1676" s="77">
        <f t="shared" si="624"/>
        <v>0</v>
      </c>
      <c r="N1676" s="76">
        <f t="shared" si="625"/>
        <v>1</v>
      </c>
      <c r="O1676" s="77">
        <f t="shared" si="626"/>
        <v>0.91349562363238512</v>
      </c>
      <c r="P1676" s="76">
        <f t="shared" si="627"/>
        <v>0</v>
      </c>
      <c r="Q1676" s="76">
        <f t="shared" si="628"/>
        <v>0.75</v>
      </c>
      <c r="R1676" s="76">
        <f t="shared" si="629"/>
        <v>0.25</v>
      </c>
      <c r="S1676" s="76">
        <f t="shared" si="630"/>
        <v>0.9929300256873751</v>
      </c>
      <c r="T1676" s="76">
        <f t="shared" si="631"/>
        <v>0.98858933498239931</v>
      </c>
      <c r="U1676" s="76">
        <f t="shared" si="632"/>
        <v>1</v>
      </c>
    </row>
    <row r="1677" spans="1:21" x14ac:dyDescent="0.25">
      <c r="A1677" s="71">
        <v>33</v>
      </c>
      <c r="B1677" s="72">
        <f t="shared" si="633"/>
        <v>46631</v>
      </c>
      <c r="C1677" s="73">
        <f t="shared" si="614"/>
        <v>46660</v>
      </c>
      <c r="D1677" s="67">
        <f t="shared" si="615"/>
        <v>30</v>
      </c>
      <c r="E1677" s="67">
        <f t="shared" si="616"/>
        <v>9</v>
      </c>
      <c r="F1677" s="74">
        <f t="shared" si="617"/>
        <v>46646</v>
      </c>
      <c r="G1677" s="67">
        <f t="shared" si="618"/>
        <v>24332</v>
      </c>
      <c r="H1677" s="75">
        <f t="shared" si="619"/>
        <v>1</v>
      </c>
      <c r="I1677" s="76">
        <f t="shared" si="620"/>
        <v>1</v>
      </c>
      <c r="J1677" s="76">
        <f t="shared" si="621"/>
        <v>1</v>
      </c>
      <c r="K1677" s="67">
        <f t="shared" si="622"/>
        <v>0</v>
      </c>
      <c r="L1677" s="67">
        <f t="shared" si="623"/>
        <v>0</v>
      </c>
      <c r="M1677" s="77">
        <f t="shared" si="624"/>
        <v>0</v>
      </c>
      <c r="N1677" s="76">
        <f t="shared" si="625"/>
        <v>1</v>
      </c>
      <c r="O1677" s="77">
        <f t="shared" si="626"/>
        <v>0.91382932166301978</v>
      </c>
      <c r="P1677" s="76">
        <f t="shared" si="627"/>
        <v>0</v>
      </c>
      <c r="Q1677" s="76">
        <f t="shared" si="628"/>
        <v>0.58333333333333337</v>
      </c>
      <c r="R1677" s="76">
        <f t="shared" si="629"/>
        <v>0.41666666666666663</v>
      </c>
      <c r="S1677" s="76">
        <f t="shared" si="630"/>
        <v>0.99329274093806497</v>
      </c>
      <c r="T1677" s="76">
        <f t="shared" si="631"/>
        <v>0.98895205023308907</v>
      </c>
      <c r="U1677" s="76">
        <f t="shared" si="632"/>
        <v>1</v>
      </c>
    </row>
    <row r="1678" spans="1:21" x14ac:dyDescent="0.25">
      <c r="A1678" s="71">
        <v>34</v>
      </c>
      <c r="B1678" s="72">
        <f t="shared" si="633"/>
        <v>46661</v>
      </c>
      <c r="C1678" s="73">
        <f t="shared" si="614"/>
        <v>46691</v>
      </c>
      <c r="D1678" s="67">
        <f t="shared" si="615"/>
        <v>31</v>
      </c>
      <c r="E1678" s="67">
        <f t="shared" si="616"/>
        <v>10</v>
      </c>
      <c r="F1678" s="74">
        <f t="shared" si="617"/>
        <v>46676.5</v>
      </c>
      <c r="G1678" s="67">
        <f t="shared" si="618"/>
        <v>24333</v>
      </c>
      <c r="H1678" s="75">
        <f t="shared" si="619"/>
        <v>1</v>
      </c>
      <c r="I1678" s="76">
        <f t="shared" si="620"/>
        <v>1</v>
      </c>
      <c r="J1678" s="76">
        <f t="shared" si="621"/>
        <v>1.04</v>
      </c>
      <c r="K1678" s="67">
        <f t="shared" si="622"/>
        <v>1</v>
      </c>
      <c r="L1678" s="67">
        <f t="shared" si="623"/>
        <v>31</v>
      </c>
      <c r="M1678" s="77">
        <f t="shared" si="624"/>
        <v>1</v>
      </c>
      <c r="N1678" s="76">
        <f t="shared" si="625"/>
        <v>1.04</v>
      </c>
      <c r="O1678" s="77">
        <f t="shared" si="626"/>
        <v>0.91416301969365432</v>
      </c>
      <c r="P1678" s="76">
        <f t="shared" si="627"/>
        <v>0</v>
      </c>
      <c r="Q1678" s="76">
        <f t="shared" si="628"/>
        <v>0.41666666666666669</v>
      </c>
      <c r="R1678" s="76">
        <f t="shared" si="629"/>
        <v>0.58333333333333326</v>
      </c>
      <c r="S1678" s="76">
        <f t="shared" si="630"/>
        <v>1.0334016744363048</v>
      </c>
      <c r="T1678" s="76">
        <f t="shared" si="631"/>
        <v>0.98931476548377895</v>
      </c>
      <c r="U1678" s="76">
        <f t="shared" si="632"/>
        <v>1.04</v>
      </c>
    </row>
    <row r="1679" spans="1:21" x14ac:dyDescent="0.25">
      <c r="A1679" s="71">
        <v>35</v>
      </c>
      <c r="B1679" s="72">
        <f t="shared" si="633"/>
        <v>46692</v>
      </c>
      <c r="C1679" s="73">
        <f t="shared" si="614"/>
        <v>46721</v>
      </c>
      <c r="D1679" s="67">
        <f t="shared" si="615"/>
        <v>30</v>
      </c>
      <c r="E1679" s="67">
        <f t="shared" si="616"/>
        <v>11</v>
      </c>
      <c r="F1679" s="74">
        <f t="shared" si="617"/>
        <v>46707</v>
      </c>
      <c r="G1679" s="67">
        <f t="shared" si="618"/>
        <v>24334</v>
      </c>
      <c r="H1679" s="75">
        <f t="shared" si="619"/>
        <v>1</v>
      </c>
      <c r="I1679" s="76">
        <f t="shared" si="620"/>
        <v>1.04</v>
      </c>
      <c r="J1679" s="76">
        <f t="shared" si="621"/>
        <v>1.04</v>
      </c>
      <c r="K1679" s="67">
        <f t="shared" si="622"/>
        <v>0</v>
      </c>
      <c r="L1679" s="67">
        <f t="shared" si="623"/>
        <v>0</v>
      </c>
      <c r="M1679" s="77">
        <f t="shared" si="624"/>
        <v>0</v>
      </c>
      <c r="N1679" s="76">
        <f t="shared" si="625"/>
        <v>1.04</v>
      </c>
      <c r="O1679" s="77">
        <f t="shared" si="626"/>
        <v>0.91449671772428887</v>
      </c>
      <c r="P1679" s="76">
        <f t="shared" si="627"/>
        <v>0</v>
      </c>
      <c r="Q1679" s="76">
        <f t="shared" si="628"/>
        <v>0.25</v>
      </c>
      <c r="R1679" s="76">
        <f t="shared" si="629"/>
        <v>0.75</v>
      </c>
      <c r="S1679" s="76">
        <f t="shared" si="630"/>
        <v>1.0337788982970222</v>
      </c>
      <c r="T1679" s="76">
        <f t="shared" si="631"/>
        <v>0.98967748073446871</v>
      </c>
      <c r="U1679" s="76">
        <f t="shared" si="632"/>
        <v>1.04</v>
      </c>
    </row>
    <row r="1680" spans="1:21" x14ac:dyDescent="0.25">
      <c r="A1680" s="71">
        <v>36</v>
      </c>
      <c r="B1680" s="72">
        <f t="shared" si="633"/>
        <v>46722</v>
      </c>
      <c r="C1680" s="73">
        <f t="shared" si="614"/>
        <v>46752</v>
      </c>
      <c r="D1680" s="67">
        <f t="shared" si="615"/>
        <v>31</v>
      </c>
      <c r="E1680" s="67">
        <f t="shared" si="616"/>
        <v>12</v>
      </c>
      <c r="F1680" s="74">
        <f t="shared" si="617"/>
        <v>46737.5</v>
      </c>
      <c r="G1680" s="67">
        <f t="shared" si="618"/>
        <v>24335</v>
      </c>
      <c r="H1680" s="75">
        <f t="shared" si="619"/>
        <v>1</v>
      </c>
      <c r="I1680" s="76">
        <f t="shared" si="620"/>
        <v>1.04</v>
      </c>
      <c r="J1680" s="76">
        <f t="shared" si="621"/>
        <v>1.04</v>
      </c>
      <c r="K1680" s="67">
        <f t="shared" si="622"/>
        <v>0</v>
      </c>
      <c r="L1680" s="67">
        <f t="shared" si="623"/>
        <v>0</v>
      </c>
      <c r="M1680" s="77">
        <f t="shared" si="624"/>
        <v>0</v>
      </c>
      <c r="N1680" s="76">
        <f t="shared" si="625"/>
        <v>1.04</v>
      </c>
      <c r="O1680" s="77">
        <f t="shared" si="626"/>
        <v>0.91483041575492341</v>
      </c>
      <c r="P1680" s="76">
        <f t="shared" si="627"/>
        <v>0</v>
      </c>
      <c r="Q1680" s="76">
        <f t="shared" si="628"/>
        <v>8.3333333333333329E-2</v>
      </c>
      <c r="R1680" s="76">
        <f t="shared" si="629"/>
        <v>0.91666666666666663</v>
      </c>
      <c r="S1680" s="76">
        <f t="shared" si="630"/>
        <v>1.0341561221577396</v>
      </c>
      <c r="T1680" s="76">
        <f t="shared" si="631"/>
        <v>0.99004019598515836</v>
      </c>
      <c r="U1680" s="76">
        <f t="shared" si="632"/>
        <v>1.04</v>
      </c>
    </row>
    <row r="1681" spans="1:21" x14ac:dyDescent="0.25">
      <c r="A1681" s="71">
        <v>37</v>
      </c>
      <c r="B1681" s="72">
        <f t="shared" si="633"/>
        <v>46753</v>
      </c>
      <c r="C1681" s="73">
        <f t="shared" si="614"/>
        <v>46783</v>
      </c>
      <c r="D1681" s="67">
        <f t="shared" si="615"/>
        <v>31</v>
      </c>
      <c r="E1681" s="67">
        <f t="shared" si="616"/>
        <v>1</v>
      </c>
      <c r="F1681" s="74">
        <f t="shared" si="617"/>
        <v>46768.5</v>
      </c>
      <c r="G1681" s="67">
        <f t="shared" si="618"/>
        <v>24336</v>
      </c>
      <c r="H1681" s="75">
        <f t="shared" si="619"/>
        <v>1</v>
      </c>
      <c r="I1681" s="76">
        <f t="shared" si="620"/>
        <v>1.04</v>
      </c>
      <c r="J1681" s="76">
        <f t="shared" si="621"/>
        <v>1.04</v>
      </c>
      <c r="K1681" s="67">
        <f t="shared" si="622"/>
        <v>0</v>
      </c>
      <c r="L1681" s="67">
        <f t="shared" si="623"/>
        <v>0</v>
      </c>
      <c r="M1681" s="77">
        <f t="shared" si="624"/>
        <v>0</v>
      </c>
      <c r="N1681" s="76">
        <f t="shared" si="625"/>
        <v>1.04</v>
      </c>
      <c r="O1681" s="77">
        <f t="shared" si="626"/>
        <v>0.91500000000000004</v>
      </c>
      <c r="P1681" s="76">
        <f t="shared" si="627"/>
        <v>0</v>
      </c>
      <c r="Q1681" s="76">
        <f t="shared" si="628"/>
        <v>0</v>
      </c>
      <c r="R1681" s="76">
        <f t="shared" si="629"/>
        <v>1</v>
      </c>
      <c r="S1681" s="76">
        <f t="shared" si="630"/>
        <v>1.0343478260869565</v>
      </c>
      <c r="T1681" s="76">
        <f t="shared" si="631"/>
        <v>0.98606816668252306</v>
      </c>
      <c r="U1681" s="76">
        <f t="shared" si="632"/>
        <v>1.04</v>
      </c>
    </row>
    <row r="1682" spans="1:21" x14ac:dyDescent="0.25">
      <c r="A1682" s="71">
        <v>38</v>
      </c>
      <c r="B1682" s="72">
        <f t="shared" si="633"/>
        <v>46784</v>
      </c>
      <c r="C1682" s="73">
        <f t="shared" si="614"/>
        <v>46812</v>
      </c>
      <c r="D1682" s="67">
        <f t="shared" si="615"/>
        <v>29</v>
      </c>
      <c r="E1682" s="67">
        <f t="shared" si="616"/>
        <v>2</v>
      </c>
      <c r="F1682" s="74">
        <f t="shared" si="617"/>
        <v>46798.5</v>
      </c>
      <c r="G1682" s="67">
        <f t="shared" si="618"/>
        <v>24337</v>
      </c>
      <c r="H1682" s="75">
        <f t="shared" si="619"/>
        <v>1</v>
      </c>
      <c r="I1682" s="76">
        <f t="shared" si="620"/>
        <v>1.04</v>
      </c>
      <c r="J1682" s="76">
        <f t="shared" si="621"/>
        <v>1.04</v>
      </c>
      <c r="K1682" s="67">
        <f t="shared" si="622"/>
        <v>0</v>
      </c>
      <c r="L1682" s="67">
        <f t="shared" si="623"/>
        <v>0</v>
      </c>
      <c r="M1682" s="77">
        <f t="shared" si="624"/>
        <v>0</v>
      </c>
      <c r="N1682" s="76">
        <f t="shared" si="625"/>
        <v>1.04</v>
      </c>
      <c r="O1682" s="77">
        <f t="shared" si="626"/>
        <v>0.91500000000000004</v>
      </c>
      <c r="P1682" s="76">
        <f t="shared" si="627"/>
        <v>0</v>
      </c>
      <c r="Q1682" s="76">
        <f t="shared" si="628"/>
        <v>0</v>
      </c>
      <c r="R1682" s="76">
        <f t="shared" si="629"/>
        <v>1</v>
      </c>
      <c r="S1682" s="76">
        <f t="shared" si="630"/>
        <v>1.0343478260869565</v>
      </c>
      <c r="T1682" s="76">
        <f t="shared" si="631"/>
        <v>0.98641898962991159</v>
      </c>
      <c r="U1682" s="76">
        <f t="shared" si="632"/>
        <v>1.04</v>
      </c>
    </row>
    <row r="1683" spans="1:21" x14ac:dyDescent="0.25">
      <c r="A1683" s="71">
        <v>39</v>
      </c>
      <c r="B1683" s="72">
        <f t="shared" si="633"/>
        <v>46813</v>
      </c>
      <c r="C1683" s="73">
        <f t="shared" si="614"/>
        <v>46843</v>
      </c>
      <c r="D1683" s="67">
        <f t="shared" si="615"/>
        <v>31</v>
      </c>
      <c r="E1683" s="67">
        <f t="shared" si="616"/>
        <v>3</v>
      </c>
      <c r="F1683" s="74">
        <f t="shared" si="617"/>
        <v>46828.5</v>
      </c>
      <c r="G1683" s="67">
        <f t="shared" si="618"/>
        <v>24338</v>
      </c>
      <c r="H1683" s="75">
        <f t="shared" si="619"/>
        <v>1</v>
      </c>
      <c r="I1683" s="76">
        <f t="shared" si="620"/>
        <v>1.04</v>
      </c>
      <c r="J1683" s="76">
        <f t="shared" si="621"/>
        <v>1.04</v>
      </c>
      <c r="K1683" s="67">
        <f t="shared" si="622"/>
        <v>0</v>
      </c>
      <c r="L1683" s="67">
        <f t="shared" si="623"/>
        <v>0</v>
      </c>
      <c r="M1683" s="77">
        <f t="shared" si="624"/>
        <v>0</v>
      </c>
      <c r="N1683" s="76">
        <f t="shared" si="625"/>
        <v>1.04</v>
      </c>
      <c r="O1683" s="77">
        <f t="shared" si="626"/>
        <v>0.91500000000000004</v>
      </c>
      <c r="P1683" s="76">
        <f t="shared" si="627"/>
        <v>0</v>
      </c>
      <c r="Q1683" s="76">
        <f t="shared" si="628"/>
        <v>0</v>
      </c>
      <c r="R1683" s="76">
        <f t="shared" si="629"/>
        <v>1</v>
      </c>
      <c r="S1683" s="76">
        <f t="shared" si="630"/>
        <v>1.0343478260869565</v>
      </c>
      <c r="T1683" s="76">
        <f t="shared" si="631"/>
        <v>0.98676981257730001</v>
      </c>
      <c r="U1683" s="76">
        <f t="shared" si="632"/>
        <v>1.04</v>
      </c>
    </row>
    <row r="1684" spans="1:21" x14ac:dyDescent="0.25">
      <c r="A1684" s="71">
        <v>40</v>
      </c>
      <c r="B1684" s="72">
        <f t="shared" si="633"/>
        <v>46844</v>
      </c>
      <c r="C1684" s="73">
        <f t="shared" si="614"/>
        <v>46873</v>
      </c>
      <c r="D1684" s="67">
        <f t="shared" si="615"/>
        <v>30</v>
      </c>
      <c r="E1684" s="67">
        <f t="shared" si="616"/>
        <v>4</v>
      </c>
      <c r="F1684" s="74">
        <f t="shared" si="617"/>
        <v>46859</v>
      </c>
      <c r="G1684" s="67">
        <f t="shared" si="618"/>
        <v>24339</v>
      </c>
      <c r="H1684" s="75">
        <f t="shared" si="619"/>
        <v>1</v>
      </c>
      <c r="I1684" s="76">
        <f t="shared" si="620"/>
        <v>1.04</v>
      </c>
      <c r="J1684" s="76">
        <f t="shared" si="621"/>
        <v>1.04</v>
      </c>
      <c r="K1684" s="67">
        <f t="shared" si="622"/>
        <v>0</v>
      </c>
      <c r="L1684" s="67">
        <f t="shared" si="623"/>
        <v>0</v>
      </c>
      <c r="M1684" s="77">
        <f t="shared" si="624"/>
        <v>0</v>
      </c>
      <c r="N1684" s="76">
        <f t="shared" si="625"/>
        <v>1.04</v>
      </c>
      <c r="O1684" s="77">
        <f t="shared" si="626"/>
        <v>0.91500000000000004</v>
      </c>
      <c r="P1684" s="76">
        <f t="shared" si="627"/>
        <v>0</v>
      </c>
      <c r="Q1684" s="76">
        <f t="shared" si="628"/>
        <v>0</v>
      </c>
      <c r="R1684" s="76">
        <f t="shared" si="629"/>
        <v>1</v>
      </c>
      <c r="S1684" s="76">
        <f t="shared" si="630"/>
        <v>1.0343478260869565</v>
      </c>
      <c r="T1684" s="76">
        <f t="shared" si="631"/>
        <v>0.98713252782798966</v>
      </c>
      <c r="U1684" s="76">
        <f t="shared" si="632"/>
        <v>1.04</v>
      </c>
    </row>
    <row r="1685" spans="1:21" x14ac:dyDescent="0.25">
      <c r="A1685" s="71">
        <v>41</v>
      </c>
      <c r="B1685" s="72">
        <f t="shared" si="633"/>
        <v>46874</v>
      </c>
      <c r="C1685" s="73">
        <f t="shared" si="614"/>
        <v>46904</v>
      </c>
      <c r="D1685" s="67">
        <f t="shared" si="615"/>
        <v>31</v>
      </c>
      <c r="E1685" s="67">
        <f t="shared" si="616"/>
        <v>5</v>
      </c>
      <c r="F1685" s="74">
        <f t="shared" si="617"/>
        <v>46889.5</v>
      </c>
      <c r="G1685" s="67">
        <f t="shared" si="618"/>
        <v>24340</v>
      </c>
      <c r="H1685" s="75">
        <f t="shared" si="619"/>
        <v>1</v>
      </c>
      <c r="I1685" s="76">
        <f t="shared" si="620"/>
        <v>1.04</v>
      </c>
      <c r="J1685" s="76">
        <f t="shared" si="621"/>
        <v>1.04</v>
      </c>
      <c r="K1685" s="67">
        <f t="shared" si="622"/>
        <v>0</v>
      </c>
      <c r="L1685" s="67">
        <f t="shared" si="623"/>
        <v>0</v>
      </c>
      <c r="M1685" s="77">
        <f t="shared" si="624"/>
        <v>0</v>
      </c>
      <c r="N1685" s="76">
        <f t="shared" si="625"/>
        <v>1.04</v>
      </c>
      <c r="O1685" s="77">
        <f t="shared" si="626"/>
        <v>0.91500000000000004</v>
      </c>
      <c r="P1685" s="76">
        <f t="shared" si="627"/>
        <v>0</v>
      </c>
      <c r="Q1685" s="76">
        <f t="shared" si="628"/>
        <v>0</v>
      </c>
      <c r="R1685" s="76">
        <f t="shared" si="629"/>
        <v>1</v>
      </c>
      <c r="S1685" s="76">
        <f t="shared" si="630"/>
        <v>1.0343478260869565</v>
      </c>
      <c r="T1685" s="76">
        <f t="shared" si="631"/>
        <v>0.98749524307867942</v>
      </c>
      <c r="U1685" s="76">
        <f t="shared" si="632"/>
        <v>1.04</v>
      </c>
    </row>
    <row r="1686" spans="1:21" x14ac:dyDescent="0.25">
      <c r="A1686" s="71">
        <v>42</v>
      </c>
      <c r="B1686" s="72">
        <f t="shared" si="633"/>
        <v>46905</v>
      </c>
      <c r="C1686" s="73">
        <f t="shared" si="614"/>
        <v>46934</v>
      </c>
      <c r="D1686" s="67">
        <f t="shared" si="615"/>
        <v>30</v>
      </c>
      <c r="E1686" s="67">
        <f t="shared" si="616"/>
        <v>6</v>
      </c>
      <c r="F1686" s="74">
        <f t="shared" si="617"/>
        <v>46920</v>
      </c>
      <c r="G1686" s="67">
        <f t="shared" si="618"/>
        <v>24341</v>
      </c>
      <c r="H1686" s="75">
        <f t="shared" si="619"/>
        <v>1</v>
      </c>
      <c r="I1686" s="76">
        <f t="shared" si="620"/>
        <v>1.04</v>
      </c>
      <c r="J1686" s="76">
        <f t="shared" si="621"/>
        <v>1.04</v>
      </c>
      <c r="K1686" s="67">
        <f t="shared" si="622"/>
        <v>0</v>
      </c>
      <c r="L1686" s="67">
        <f t="shared" si="623"/>
        <v>0</v>
      </c>
      <c r="M1686" s="77">
        <f t="shared" si="624"/>
        <v>0</v>
      </c>
      <c r="N1686" s="76">
        <f t="shared" si="625"/>
        <v>1.04</v>
      </c>
      <c r="O1686" s="77">
        <f t="shared" si="626"/>
        <v>0.91500000000000004</v>
      </c>
      <c r="P1686" s="76">
        <f t="shared" si="627"/>
        <v>0</v>
      </c>
      <c r="Q1686" s="76">
        <f t="shared" si="628"/>
        <v>0</v>
      </c>
      <c r="R1686" s="76">
        <f t="shared" si="629"/>
        <v>1</v>
      </c>
      <c r="S1686" s="76">
        <f t="shared" si="630"/>
        <v>1.0343478260869565</v>
      </c>
      <c r="T1686" s="76">
        <f t="shared" si="631"/>
        <v>0.98785795832936929</v>
      </c>
      <c r="U1686" s="76">
        <f t="shared" si="632"/>
        <v>1.04</v>
      </c>
    </row>
    <row r="1687" spans="1:21" x14ac:dyDescent="0.25">
      <c r="A1687" s="71">
        <v>43</v>
      </c>
      <c r="B1687" s="72">
        <f t="shared" si="633"/>
        <v>46935</v>
      </c>
      <c r="C1687" s="73">
        <f t="shared" si="614"/>
        <v>46965</v>
      </c>
      <c r="D1687" s="67">
        <f t="shared" si="615"/>
        <v>31</v>
      </c>
      <c r="E1687" s="67">
        <f t="shared" si="616"/>
        <v>7</v>
      </c>
      <c r="F1687" s="74">
        <f t="shared" si="617"/>
        <v>46950.5</v>
      </c>
      <c r="G1687" s="67">
        <f t="shared" si="618"/>
        <v>24342</v>
      </c>
      <c r="H1687" s="75">
        <f t="shared" si="619"/>
        <v>1</v>
      </c>
      <c r="I1687" s="76">
        <f t="shared" si="620"/>
        <v>1.04</v>
      </c>
      <c r="J1687" s="76">
        <f t="shared" si="621"/>
        <v>1.04</v>
      </c>
      <c r="K1687" s="67">
        <f t="shared" si="622"/>
        <v>0</v>
      </c>
      <c r="L1687" s="67">
        <f t="shared" si="623"/>
        <v>0</v>
      </c>
      <c r="M1687" s="77">
        <f t="shared" si="624"/>
        <v>0</v>
      </c>
      <c r="N1687" s="76">
        <f t="shared" si="625"/>
        <v>1.04</v>
      </c>
      <c r="O1687" s="77">
        <f t="shared" si="626"/>
        <v>0.91500000000000004</v>
      </c>
      <c r="P1687" s="76">
        <f t="shared" si="627"/>
        <v>0</v>
      </c>
      <c r="Q1687" s="76">
        <f t="shared" si="628"/>
        <v>0</v>
      </c>
      <c r="R1687" s="76">
        <f t="shared" si="629"/>
        <v>0.91666666666666663</v>
      </c>
      <c r="S1687" s="76">
        <f t="shared" si="630"/>
        <v>1.0343478260869565</v>
      </c>
      <c r="T1687" s="76">
        <f t="shared" si="631"/>
        <v>0.98822067358005905</v>
      </c>
      <c r="U1687" s="76">
        <f t="shared" si="632"/>
        <v>1.04</v>
      </c>
    </row>
    <row r="1688" spans="1:21" x14ac:dyDescent="0.25">
      <c r="A1688" s="71">
        <v>44</v>
      </c>
      <c r="B1688" s="72">
        <f t="shared" si="633"/>
        <v>46966</v>
      </c>
      <c r="C1688" s="73">
        <f t="shared" si="614"/>
        <v>46996</v>
      </c>
      <c r="D1688" s="67">
        <f t="shared" si="615"/>
        <v>31</v>
      </c>
      <c r="E1688" s="67">
        <f t="shared" si="616"/>
        <v>8</v>
      </c>
      <c r="F1688" s="74">
        <f t="shared" si="617"/>
        <v>46981.5</v>
      </c>
      <c r="G1688" s="67">
        <f t="shared" si="618"/>
        <v>24343</v>
      </c>
      <c r="H1688" s="75">
        <f t="shared" si="619"/>
        <v>1</v>
      </c>
      <c r="I1688" s="76">
        <f t="shared" si="620"/>
        <v>1.04</v>
      </c>
      <c r="J1688" s="76">
        <f t="shared" si="621"/>
        <v>1.04</v>
      </c>
      <c r="K1688" s="67">
        <f t="shared" si="622"/>
        <v>0</v>
      </c>
      <c r="L1688" s="67">
        <f t="shared" si="623"/>
        <v>0</v>
      </c>
      <c r="M1688" s="77">
        <f t="shared" si="624"/>
        <v>0</v>
      </c>
      <c r="N1688" s="76">
        <f t="shared" si="625"/>
        <v>1.04</v>
      </c>
      <c r="O1688" s="77">
        <f t="shared" si="626"/>
        <v>0.91500000000000004</v>
      </c>
      <c r="P1688" s="76">
        <f t="shared" si="627"/>
        <v>0</v>
      </c>
      <c r="Q1688" s="76">
        <f t="shared" si="628"/>
        <v>0</v>
      </c>
      <c r="R1688" s="76">
        <f t="shared" si="629"/>
        <v>0.75</v>
      </c>
      <c r="S1688" s="76">
        <f t="shared" si="630"/>
        <v>1.0343478260869565</v>
      </c>
      <c r="T1688" s="76">
        <f t="shared" si="631"/>
        <v>0.98858933498239931</v>
      </c>
      <c r="U1688" s="76">
        <f t="shared" si="632"/>
        <v>1.04</v>
      </c>
    </row>
    <row r="1689" spans="1:21" x14ac:dyDescent="0.25">
      <c r="A1689" s="71">
        <v>45</v>
      </c>
      <c r="B1689" s="72">
        <f t="shared" si="633"/>
        <v>46997</v>
      </c>
      <c r="C1689" s="73">
        <f t="shared" si="614"/>
        <v>47026</v>
      </c>
      <c r="D1689" s="67">
        <f t="shared" si="615"/>
        <v>30</v>
      </c>
      <c r="E1689" s="67">
        <f t="shared" si="616"/>
        <v>9</v>
      </c>
      <c r="F1689" s="74">
        <f t="shared" si="617"/>
        <v>47012</v>
      </c>
      <c r="G1689" s="67">
        <f t="shared" si="618"/>
        <v>24344</v>
      </c>
      <c r="H1689" s="75">
        <f t="shared" si="619"/>
        <v>1</v>
      </c>
      <c r="I1689" s="76">
        <f t="shared" si="620"/>
        <v>1.04</v>
      </c>
      <c r="J1689" s="76">
        <f t="shared" si="621"/>
        <v>1.04</v>
      </c>
      <c r="K1689" s="67">
        <f t="shared" si="622"/>
        <v>0</v>
      </c>
      <c r="L1689" s="67">
        <f t="shared" si="623"/>
        <v>0</v>
      </c>
      <c r="M1689" s="77">
        <f t="shared" si="624"/>
        <v>0</v>
      </c>
      <c r="N1689" s="76">
        <f t="shared" si="625"/>
        <v>1.04</v>
      </c>
      <c r="O1689" s="77">
        <f t="shared" si="626"/>
        <v>0.91500000000000004</v>
      </c>
      <c r="P1689" s="76">
        <f t="shared" si="627"/>
        <v>0</v>
      </c>
      <c r="Q1689" s="76">
        <f t="shared" si="628"/>
        <v>0</v>
      </c>
      <c r="R1689" s="76">
        <f t="shared" si="629"/>
        <v>0.58333333333333337</v>
      </c>
      <c r="S1689" s="76">
        <f t="shared" si="630"/>
        <v>1.0343478260869565</v>
      </c>
      <c r="T1689" s="76">
        <f t="shared" si="631"/>
        <v>0.98895205023308907</v>
      </c>
      <c r="U1689" s="76">
        <f t="shared" si="632"/>
        <v>1.04</v>
      </c>
    </row>
    <row r="1690" spans="1:21" x14ac:dyDescent="0.25">
      <c r="A1690" s="71">
        <v>46</v>
      </c>
      <c r="B1690" s="72">
        <f t="shared" si="633"/>
        <v>47027</v>
      </c>
      <c r="C1690" s="73">
        <f t="shared" si="614"/>
        <v>47057</v>
      </c>
      <c r="D1690" s="67">
        <f t="shared" si="615"/>
        <v>31</v>
      </c>
      <c r="E1690" s="67">
        <f t="shared" si="616"/>
        <v>10</v>
      </c>
      <c r="F1690" s="74">
        <f t="shared" si="617"/>
        <v>47042.5</v>
      </c>
      <c r="G1690" s="67">
        <f t="shared" si="618"/>
        <v>24345</v>
      </c>
      <c r="H1690" s="75">
        <f t="shared" si="619"/>
        <v>1</v>
      </c>
      <c r="I1690" s="76">
        <f t="shared" si="620"/>
        <v>1.04</v>
      </c>
      <c r="J1690" s="76">
        <f t="shared" si="621"/>
        <v>1.04</v>
      </c>
      <c r="K1690" s="67">
        <f t="shared" si="622"/>
        <v>0</v>
      </c>
      <c r="L1690" s="67">
        <f t="shared" si="623"/>
        <v>0</v>
      </c>
      <c r="M1690" s="77">
        <f t="shared" si="624"/>
        <v>0</v>
      </c>
      <c r="N1690" s="76">
        <f t="shared" si="625"/>
        <v>1.04</v>
      </c>
      <c r="O1690" s="77">
        <f t="shared" si="626"/>
        <v>0.91500000000000004</v>
      </c>
      <c r="P1690" s="76">
        <f t="shared" si="627"/>
        <v>0</v>
      </c>
      <c r="Q1690" s="76">
        <f t="shared" si="628"/>
        <v>0</v>
      </c>
      <c r="R1690" s="76">
        <f t="shared" si="629"/>
        <v>0.41666666666666669</v>
      </c>
      <c r="S1690" s="76">
        <f t="shared" si="630"/>
        <v>1.0343478260869565</v>
      </c>
      <c r="T1690" s="76">
        <f t="shared" si="631"/>
        <v>0.98931476548377895</v>
      </c>
      <c r="U1690" s="76">
        <f t="shared" si="632"/>
        <v>1.04</v>
      </c>
    </row>
    <row r="1691" spans="1:21" x14ac:dyDescent="0.25">
      <c r="A1691" s="71">
        <v>47</v>
      </c>
      <c r="B1691" s="72">
        <f t="shared" si="633"/>
        <v>47058</v>
      </c>
      <c r="C1691" s="73">
        <f t="shared" si="614"/>
        <v>47087</v>
      </c>
      <c r="D1691" s="67">
        <f t="shared" si="615"/>
        <v>30</v>
      </c>
      <c r="E1691" s="67">
        <f t="shared" si="616"/>
        <v>11</v>
      </c>
      <c r="F1691" s="74">
        <f t="shared" si="617"/>
        <v>47073</v>
      </c>
      <c r="G1691" s="67">
        <f t="shared" si="618"/>
        <v>24346</v>
      </c>
      <c r="H1691" s="75">
        <f t="shared" si="619"/>
        <v>1</v>
      </c>
      <c r="I1691" s="76">
        <f t="shared" si="620"/>
        <v>1.04</v>
      </c>
      <c r="J1691" s="76">
        <f t="shared" si="621"/>
        <v>1.04</v>
      </c>
      <c r="K1691" s="67">
        <f t="shared" si="622"/>
        <v>0</v>
      </c>
      <c r="L1691" s="67">
        <f t="shared" si="623"/>
        <v>0</v>
      </c>
      <c r="M1691" s="77">
        <f t="shared" si="624"/>
        <v>0</v>
      </c>
      <c r="N1691" s="76">
        <f t="shared" si="625"/>
        <v>1.04</v>
      </c>
      <c r="O1691" s="77">
        <f t="shared" si="626"/>
        <v>0.91500000000000004</v>
      </c>
      <c r="P1691" s="76">
        <f t="shared" si="627"/>
        <v>0</v>
      </c>
      <c r="Q1691" s="76">
        <f t="shared" si="628"/>
        <v>0</v>
      </c>
      <c r="R1691" s="76">
        <f t="shared" si="629"/>
        <v>0.25</v>
      </c>
      <c r="S1691" s="76">
        <f t="shared" si="630"/>
        <v>1.0343478260869565</v>
      </c>
      <c r="T1691" s="76">
        <f t="shared" si="631"/>
        <v>0.98967748073446871</v>
      </c>
      <c r="U1691" s="76">
        <f t="shared" si="632"/>
        <v>1.04</v>
      </c>
    </row>
    <row r="1692" spans="1:21" x14ac:dyDescent="0.25">
      <c r="A1692" s="71">
        <v>48</v>
      </c>
      <c r="B1692" s="72">
        <f t="shared" si="633"/>
        <v>47088</v>
      </c>
      <c r="C1692" s="73">
        <f t="shared" si="614"/>
        <v>47118</v>
      </c>
      <c r="D1692" s="67">
        <f t="shared" si="615"/>
        <v>31</v>
      </c>
      <c r="E1692" s="67">
        <f t="shared" si="616"/>
        <v>12</v>
      </c>
      <c r="F1692" s="74">
        <f t="shared" si="617"/>
        <v>47103.5</v>
      </c>
      <c r="G1692" s="67">
        <f t="shared" si="618"/>
        <v>24347</v>
      </c>
      <c r="H1692" s="75">
        <f t="shared" si="619"/>
        <v>1</v>
      </c>
      <c r="I1692" s="76">
        <f t="shared" si="620"/>
        <v>1.04</v>
      </c>
      <c r="J1692" s="76">
        <f t="shared" si="621"/>
        <v>1.04</v>
      </c>
      <c r="K1692" s="67">
        <f t="shared" si="622"/>
        <v>0</v>
      </c>
      <c r="L1692" s="67">
        <f t="shared" si="623"/>
        <v>0</v>
      </c>
      <c r="M1692" s="77">
        <f t="shared" si="624"/>
        <v>0</v>
      </c>
      <c r="N1692" s="76">
        <f t="shared" si="625"/>
        <v>1.04</v>
      </c>
      <c r="O1692" s="77">
        <f t="shared" si="626"/>
        <v>0.91500000000000004</v>
      </c>
      <c r="P1692" s="76">
        <f t="shared" si="627"/>
        <v>0</v>
      </c>
      <c r="Q1692" s="76">
        <f t="shared" si="628"/>
        <v>0</v>
      </c>
      <c r="R1692" s="76">
        <f t="shared" si="629"/>
        <v>8.3333333333333329E-2</v>
      </c>
      <c r="S1692" s="76">
        <f t="shared" si="630"/>
        <v>1.0343478260869565</v>
      </c>
      <c r="T1692" s="76">
        <f t="shared" si="631"/>
        <v>0.99004019598515836</v>
      </c>
      <c r="U1692" s="76">
        <f t="shared" si="632"/>
        <v>1.04</v>
      </c>
    </row>
    <row r="1693" spans="1:21" x14ac:dyDescent="0.25">
      <c r="A1693" s="81" t="s">
        <v>1187</v>
      </c>
      <c r="B1693" s="53">
        <f>EXP(SUMPRODUCT((rl_key=$A$1642)*(rl_cons="Y")*rl_ln1p))</f>
        <v>1</v>
      </c>
      <c r="C1693" s="53">
        <f>SUMPRODUCT($H$1645:$H$1692,$P$1645:$P$1692,$U$1645:$U$1692)/SUMPRODUCT($H$1645:$H$1692,$P$1645:$P$1692)</f>
        <v>1</v>
      </c>
      <c r="D1693" s="53">
        <f>SUMPRODUCT($H$1645:$H$1692,$Q$1645:$Q$1692,$U$1645:$U$1692)/SUMPRODUCT($H$1645:$H$1692,$Q$1645:$Q$1692)</f>
        <v>1.0024999999999999</v>
      </c>
      <c r="E1693" s="53">
        <f>SUMPRODUCT($H$1645:$H$1692,$R$1645:$R$1692,$U$1645:$U$1692)/SUMPRODUCT($H$1645:$H$1692,$R$1645:$R$1692)</f>
        <v>1.0374999999999999</v>
      </c>
      <c r="F1693" s="172">
        <f>SUMPRODUCT($H$1645:$H$1692,$Q$1645:$Q$1692,$O$1645:$O$1692)/SUMPRODUCT($H$1645:$H$1692,$Q$1645:$Q$1692)</f>
        <v>0.91199626185266247</v>
      </c>
      <c r="G1693" s="172">
        <f>SUMPRODUCT($H$1645:$H$1692,$R$1645:$R$1692,$O$1645:$O$1692)/SUMPRODUCT($H$1645:$H$1692,$R$1645:$R$1692)</f>
        <v>0.91483011184050556</v>
      </c>
    </row>
    <row r="1696" spans="1:21" x14ac:dyDescent="0.25">
      <c r="A1696" s="81" t="str">
        <f>INDEX(lr_key,31)</f>
        <v>BU-B|KY</v>
      </c>
      <c r="B1696" s="81" t="str">
        <f>INDEX(lr_state,31)</f>
        <v>KY</v>
      </c>
      <c r="C1696" s="55">
        <f>nr_TermMonths</f>
        <v>6</v>
      </c>
      <c r="D1696" s="55">
        <f>IF(COUNTIF(se_state,$B1696)=0,0,MATCH($B1696,se_state,0))</f>
        <v>0</v>
      </c>
      <c r="E1696" s="57">
        <f>IF($D1696=0,0,INDEX(se_sum,$D1696))</f>
        <v>0</v>
      </c>
      <c r="F1696" s="172">
        <f>IF(N(INDEX(lr_mind,31))=0,1,INDEX(lr_mind,31))</f>
        <v>0.92</v>
      </c>
      <c r="G1696" s="172">
        <f>IF(N(INDEX(lr_m0,31))=0,1,INDEX(lr_m0,31))</f>
        <v>0.91</v>
      </c>
      <c r="H1696" s="54">
        <f>IF(N(INDEX(lr_m0asof,31))=0,DATE(nr_PlanYear-1,10,1),INDEX(lr_m0asof,31))</f>
        <v>46295</v>
      </c>
      <c r="I1696" s="172">
        <f>IF(N(INDEX(lr_m1,31))=0,1,INDEX(lr_m1,31))</f>
        <v>0.93</v>
      </c>
      <c r="J1696" s="172">
        <f>INDEX(lr_mprior,31)</f>
        <v>0</v>
      </c>
      <c r="K1696" s="172">
        <f>INDEX(lr_m2,31)</f>
        <v>0</v>
      </c>
      <c r="L1696" s="81" t="b">
        <f>NOT(ISBLANK(INDEX(lr_netp,31)))</f>
        <v>0</v>
      </c>
      <c r="M1696" s="52">
        <f>N(INDEX(lr_netp,31))</f>
        <v>0</v>
      </c>
      <c r="N1696" s="52">
        <f>IF(ISBLANK(INDEX(lr_netp1,31)),$M$1696,N(INDEX(lr_netp1,31)))</f>
        <v>0</v>
      </c>
      <c r="O1696" s="55">
        <f>IF(AND(nr_ModAdjMaster="ON",INDEX(lr_modadj,31)="ON"),1,0)</f>
        <v>1</v>
      </c>
    </row>
    <row r="1697" spans="1:21" x14ac:dyDescent="0.25">
      <c r="A1697" s="81">
        <f>EDATE($H$1696,-12)+1</f>
        <v>45931</v>
      </c>
      <c r="B1697" s="81">
        <f>$H$1696+1</f>
        <v>46296</v>
      </c>
      <c r="C1697" s="81">
        <f>DATE(nr_PlanYear,12,31)+1</f>
        <v>46753</v>
      </c>
      <c r="D1697" s="81">
        <f>DATE(nr_PlanYear+1,12,31)+1</f>
        <v>47119</v>
      </c>
      <c r="E1697" s="81">
        <f>IF(N($J$1696)=0,$F$1697-($G$1697-$F$1697)/($C$1697-$B$1697)*($B$1697-$A$1697),$J$1696)</f>
        <v>0.89402625820568926</v>
      </c>
      <c r="F1697" s="81">
        <f>$G$1696</f>
        <v>0.91</v>
      </c>
      <c r="G1697" s="81">
        <f>$I$1696</f>
        <v>0.93</v>
      </c>
      <c r="H1697" s="81">
        <f>IF(N($K$1696)=0,$I$1696,$K$1696)</f>
        <v>0.93</v>
      </c>
      <c r="I1697" s="81">
        <f>($F$1697-$E$1697)/($B$1697-$A$1697)</f>
        <v>4.3763676148796628E-5</v>
      </c>
      <c r="J1697" s="81">
        <f>($G$1697-$F$1697)/($C$1697-$B$1697)</f>
        <v>4.376367614879654E-5</v>
      </c>
      <c r="K1697" s="81">
        <f>($H$1697-$G$1697)/($D$1697-$C$1697)</f>
        <v>0</v>
      </c>
    </row>
    <row r="1698" spans="1:21" ht="36" x14ac:dyDescent="0.25">
      <c r="A1698" s="50" t="s">
        <v>211</v>
      </c>
      <c r="B1698" s="50" t="s">
        <v>212</v>
      </c>
      <c r="C1698" s="50" t="s">
        <v>213</v>
      </c>
      <c r="D1698" s="50" t="s">
        <v>214</v>
      </c>
      <c r="E1698" s="50" t="s">
        <v>215</v>
      </c>
      <c r="F1698" s="50" t="s">
        <v>216</v>
      </c>
      <c r="G1698" s="50" t="s">
        <v>217</v>
      </c>
      <c r="H1698" s="50" t="s">
        <v>218</v>
      </c>
      <c r="I1698" s="50" t="s">
        <v>219</v>
      </c>
      <c r="J1698" s="50" t="s">
        <v>220</v>
      </c>
      <c r="K1698" s="50" t="s">
        <v>221</v>
      </c>
      <c r="L1698" s="50" t="s">
        <v>222</v>
      </c>
      <c r="M1698" s="50" t="s">
        <v>223</v>
      </c>
      <c r="N1698" s="50" t="s">
        <v>224</v>
      </c>
      <c r="O1698" s="50" t="s">
        <v>225</v>
      </c>
      <c r="P1698" s="50" t="s">
        <v>226</v>
      </c>
      <c r="Q1698" s="50" t="s">
        <v>227</v>
      </c>
      <c r="R1698" s="50" t="s">
        <v>228</v>
      </c>
      <c r="S1698" s="50" t="s">
        <v>229</v>
      </c>
      <c r="T1698" s="50" t="s">
        <v>230</v>
      </c>
      <c r="U1698" s="50" t="s">
        <v>231</v>
      </c>
    </row>
    <row r="1699" spans="1:21" x14ac:dyDescent="0.25">
      <c r="A1699" s="71">
        <v>1</v>
      </c>
      <c r="B1699" s="72">
        <f>DATE(nr_PlanYear-2,1,1)</f>
        <v>45658</v>
      </c>
      <c r="C1699" s="73">
        <f t="shared" ref="C1699:C1746" si="634">EOMONTH($B1699,0)</f>
        <v>45688</v>
      </c>
      <c r="D1699" s="67">
        <f t="shared" ref="D1699:D1746" si="635">$C1699-$B1699+1</f>
        <v>31</v>
      </c>
      <c r="E1699" s="67">
        <f t="shared" ref="E1699:E1746" si="636">MONTH($B1699)</f>
        <v>1</v>
      </c>
      <c r="F1699" s="74">
        <f t="shared" ref="F1699:F1746" si="637">($B1699+$C1699+1)/2</f>
        <v>45673.5</v>
      </c>
      <c r="G1699" s="67">
        <f t="shared" ref="G1699:G1746" si="638">YEAR($B1699)*12+MONTH($B1699)-1</f>
        <v>24300</v>
      </c>
      <c r="H1699" s="75">
        <f t="shared" ref="H1699:H1746" si="639">IF(OR(nr_SeasonOn="OFF",$D$1696=0,$E$1696=0),1,12*INDEX(se_block,$D$1696,$E1699)/$E$1696)</f>
        <v>1</v>
      </c>
      <c r="I1699" s="76">
        <f t="shared" ref="I1699:I1746" si="640">EXP(SUMPRODUCT((rl_eff&lt;$B1699)*(rl_key=$A$1696)*rl_ln1p))</f>
        <v>1</v>
      </c>
      <c r="J1699" s="76">
        <f t="shared" ref="J1699:J1746" si="641">EXP(SUMPRODUCT((rl_eff&lt;=$C1699)*(rl_key=$A$1696)*rl_ln1p))</f>
        <v>1</v>
      </c>
      <c r="K1699" s="67">
        <f t="shared" ref="K1699:K1746" si="642">COUNTIFS(rl_key,$A$1696,rl_eff,"&gt;="&amp;$B1699,rl_eff,"&lt;="&amp;$C1699)</f>
        <v>0</v>
      </c>
      <c r="L1699" s="67">
        <f t="shared" ref="L1699:L1746" si="643">SUMIFS(rl_daysafter,rl_key,$A$1696,rl_effmonth,$B1699,rl_first,1)</f>
        <v>0</v>
      </c>
      <c r="M1699" s="77">
        <f t="shared" ref="M1699:M1746" si="644">IF($K1699=0,0,MIN(1,$L1699/$D1699))</f>
        <v>0</v>
      </c>
      <c r="N1699" s="76">
        <f t="shared" ref="N1699:N1746" si="645">IF($K1699=0,$J1699,(1-$M1699)*$I1699+$M1699*$J1699)</f>
        <v>1</v>
      </c>
      <c r="O1699" s="77">
        <f t="shared" ref="O1699:O1746" si="646">IF($F1699&lt;$B$1697,$E$1697+$I$1697*($F1699-$A$1697),IF($F1699&lt;$C$1697,$F$1697+$J$1697*($F1699-$B$1697),$G$1697+$K$1697*($F1699-$C$1697)))</f>
        <v>0.88275711159737413</v>
      </c>
      <c r="P1699" s="76">
        <f t="shared" ref="P1699:P1746" si="647">MIN(1,MAX(0,(nr_MEndPm1-$G1699+0.5)/$C$1696))-MIN(1,MAX(0,(nr_MStartPm1-1-$G1699+0.5)/$C$1696))</f>
        <v>0</v>
      </c>
      <c r="Q1699" s="76">
        <f t="shared" ref="Q1699:Q1746" si="648">MIN(1,MAX(0,(nr_MEndP-$G1699+0.5)/$C$1696))-MIN(1,MAX(0,(nr_MStartP-1-$G1699+0.5)/$C$1696))</f>
        <v>0</v>
      </c>
      <c r="R1699" s="76">
        <f t="shared" ref="R1699:R1746" si="649">MIN(1,MAX(0,(nr_MEndP1-$G1699+0.5)/$C$1696))-MIN(1,MAX(0,(nr_MStartP1-1-$G1699+0.5)/$C$1696))</f>
        <v>0</v>
      </c>
      <c r="S1699" s="76">
        <f t="shared" ref="S1699:S1746" si="650">$N1699*IF($O$1696=1,$O1699/$F$1696,1)</f>
        <v>0.95951859956236318</v>
      </c>
      <c r="T1699" s="76">
        <f t="shared" ref="T1699:T1746" si="651">IF($G1699&lt;nr_MStartP,$S1699,$T1687*(1+IF($G1699&lt;nr_MStartP1,$M$1696,$N$1696)))</f>
        <v>0.95951859956236318</v>
      </c>
      <c r="U1699" s="76">
        <f t="shared" ref="U1699:U1746" si="652">IF($L$1696,$T1699,$N1699)</f>
        <v>1</v>
      </c>
    </row>
    <row r="1700" spans="1:21" x14ac:dyDescent="0.25">
      <c r="A1700" s="71">
        <v>2</v>
      </c>
      <c r="B1700" s="72">
        <f t="shared" ref="B1700:B1746" si="653">EDATE($B1699,1)</f>
        <v>45689</v>
      </c>
      <c r="C1700" s="73">
        <f t="shared" si="634"/>
        <v>45716</v>
      </c>
      <c r="D1700" s="67">
        <f t="shared" si="635"/>
        <v>28</v>
      </c>
      <c r="E1700" s="67">
        <f t="shared" si="636"/>
        <v>2</v>
      </c>
      <c r="F1700" s="74">
        <f t="shared" si="637"/>
        <v>45703</v>
      </c>
      <c r="G1700" s="67">
        <f t="shared" si="638"/>
        <v>24301</v>
      </c>
      <c r="H1700" s="75">
        <f t="shared" si="639"/>
        <v>1</v>
      </c>
      <c r="I1700" s="76">
        <f t="shared" si="640"/>
        <v>1</v>
      </c>
      <c r="J1700" s="76">
        <f t="shared" si="641"/>
        <v>1</v>
      </c>
      <c r="K1700" s="67">
        <f t="shared" si="642"/>
        <v>0</v>
      </c>
      <c r="L1700" s="67">
        <f t="shared" si="643"/>
        <v>0</v>
      </c>
      <c r="M1700" s="77">
        <f t="shared" si="644"/>
        <v>0</v>
      </c>
      <c r="N1700" s="76">
        <f t="shared" si="645"/>
        <v>1</v>
      </c>
      <c r="O1700" s="77">
        <f t="shared" si="646"/>
        <v>0.88404814004376364</v>
      </c>
      <c r="P1700" s="76">
        <f t="shared" si="647"/>
        <v>0</v>
      </c>
      <c r="Q1700" s="76">
        <f t="shared" si="648"/>
        <v>0</v>
      </c>
      <c r="R1700" s="76">
        <f t="shared" si="649"/>
        <v>0</v>
      </c>
      <c r="S1700" s="76">
        <f t="shared" si="650"/>
        <v>0.96092189135191697</v>
      </c>
      <c r="T1700" s="76">
        <f t="shared" si="651"/>
        <v>0.96092189135191697</v>
      </c>
      <c r="U1700" s="76">
        <f t="shared" si="652"/>
        <v>1</v>
      </c>
    </row>
    <row r="1701" spans="1:21" x14ac:dyDescent="0.25">
      <c r="A1701" s="71">
        <v>3</v>
      </c>
      <c r="B1701" s="72">
        <f t="shared" si="653"/>
        <v>45717</v>
      </c>
      <c r="C1701" s="73">
        <f t="shared" si="634"/>
        <v>45747</v>
      </c>
      <c r="D1701" s="67">
        <f t="shared" si="635"/>
        <v>31</v>
      </c>
      <c r="E1701" s="67">
        <f t="shared" si="636"/>
        <v>3</v>
      </c>
      <c r="F1701" s="74">
        <f t="shared" si="637"/>
        <v>45732.5</v>
      </c>
      <c r="G1701" s="67">
        <f t="shared" si="638"/>
        <v>24302</v>
      </c>
      <c r="H1701" s="75">
        <f t="shared" si="639"/>
        <v>1</v>
      </c>
      <c r="I1701" s="76">
        <f t="shared" si="640"/>
        <v>1</v>
      </c>
      <c r="J1701" s="76">
        <f t="shared" si="641"/>
        <v>1</v>
      </c>
      <c r="K1701" s="67">
        <f t="shared" si="642"/>
        <v>0</v>
      </c>
      <c r="L1701" s="67">
        <f t="shared" si="643"/>
        <v>0</v>
      </c>
      <c r="M1701" s="77">
        <f t="shared" si="644"/>
        <v>0</v>
      </c>
      <c r="N1701" s="76">
        <f t="shared" si="645"/>
        <v>1</v>
      </c>
      <c r="O1701" s="77">
        <f t="shared" si="646"/>
        <v>0.88533916849015315</v>
      </c>
      <c r="P1701" s="76">
        <f t="shared" si="647"/>
        <v>0</v>
      </c>
      <c r="Q1701" s="76">
        <f t="shared" si="648"/>
        <v>0</v>
      </c>
      <c r="R1701" s="76">
        <f t="shared" si="649"/>
        <v>0</v>
      </c>
      <c r="S1701" s="76">
        <f t="shared" si="650"/>
        <v>0.96232518314147075</v>
      </c>
      <c r="T1701" s="76">
        <f t="shared" si="651"/>
        <v>0.96232518314147075</v>
      </c>
      <c r="U1701" s="76">
        <f t="shared" si="652"/>
        <v>1</v>
      </c>
    </row>
    <row r="1702" spans="1:21" x14ac:dyDescent="0.25">
      <c r="A1702" s="71">
        <v>4</v>
      </c>
      <c r="B1702" s="72">
        <f t="shared" si="653"/>
        <v>45748</v>
      </c>
      <c r="C1702" s="73">
        <f t="shared" si="634"/>
        <v>45777</v>
      </c>
      <c r="D1702" s="67">
        <f t="shared" si="635"/>
        <v>30</v>
      </c>
      <c r="E1702" s="67">
        <f t="shared" si="636"/>
        <v>4</v>
      </c>
      <c r="F1702" s="74">
        <f t="shared" si="637"/>
        <v>45763</v>
      </c>
      <c r="G1702" s="67">
        <f t="shared" si="638"/>
        <v>24303</v>
      </c>
      <c r="H1702" s="75">
        <f t="shared" si="639"/>
        <v>1</v>
      </c>
      <c r="I1702" s="76">
        <f t="shared" si="640"/>
        <v>1</v>
      </c>
      <c r="J1702" s="76">
        <f t="shared" si="641"/>
        <v>1</v>
      </c>
      <c r="K1702" s="67">
        <f t="shared" si="642"/>
        <v>0</v>
      </c>
      <c r="L1702" s="67">
        <f t="shared" si="643"/>
        <v>0</v>
      </c>
      <c r="M1702" s="77">
        <f t="shared" si="644"/>
        <v>0</v>
      </c>
      <c r="N1702" s="76">
        <f t="shared" si="645"/>
        <v>1</v>
      </c>
      <c r="O1702" s="77">
        <f t="shared" si="646"/>
        <v>0.88667396061269144</v>
      </c>
      <c r="P1702" s="76">
        <f t="shared" si="647"/>
        <v>0</v>
      </c>
      <c r="Q1702" s="76">
        <f t="shared" si="648"/>
        <v>0</v>
      </c>
      <c r="R1702" s="76">
        <f t="shared" si="649"/>
        <v>0</v>
      </c>
      <c r="S1702" s="76">
        <f t="shared" si="650"/>
        <v>0.96377604414422979</v>
      </c>
      <c r="T1702" s="76">
        <f t="shared" si="651"/>
        <v>0.96377604414422979</v>
      </c>
      <c r="U1702" s="76">
        <f t="shared" si="652"/>
        <v>1</v>
      </c>
    </row>
    <row r="1703" spans="1:21" x14ac:dyDescent="0.25">
      <c r="A1703" s="71">
        <v>5</v>
      </c>
      <c r="B1703" s="72">
        <f t="shared" si="653"/>
        <v>45778</v>
      </c>
      <c r="C1703" s="73">
        <f t="shared" si="634"/>
        <v>45808</v>
      </c>
      <c r="D1703" s="67">
        <f t="shared" si="635"/>
        <v>31</v>
      </c>
      <c r="E1703" s="67">
        <f t="shared" si="636"/>
        <v>5</v>
      </c>
      <c r="F1703" s="74">
        <f t="shared" si="637"/>
        <v>45793.5</v>
      </c>
      <c r="G1703" s="67">
        <f t="shared" si="638"/>
        <v>24304</v>
      </c>
      <c r="H1703" s="75">
        <f t="shared" si="639"/>
        <v>1</v>
      </c>
      <c r="I1703" s="76">
        <f t="shared" si="640"/>
        <v>1</v>
      </c>
      <c r="J1703" s="76">
        <f t="shared" si="641"/>
        <v>1</v>
      </c>
      <c r="K1703" s="67">
        <f t="shared" si="642"/>
        <v>0</v>
      </c>
      <c r="L1703" s="67">
        <f t="shared" si="643"/>
        <v>0</v>
      </c>
      <c r="M1703" s="77">
        <f t="shared" si="644"/>
        <v>0</v>
      </c>
      <c r="N1703" s="76">
        <f t="shared" si="645"/>
        <v>1</v>
      </c>
      <c r="O1703" s="77">
        <f t="shared" si="646"/>
        <v>0.88800875273522972</v>
      </c>
      <c r="P1703" s="76">
        <f t="shared" si="647"/>
        <v>0</v>
      </c>
      <c r="Q1703" s="76">
        <f t="shared" si="648"/>
        <v>0</v>
      </c>
      <c r="R1703" s="76">
        <f t="shared" si="649"/>
        <v>0</v>
      </c>
      <c r="S1703" s="76">
        <f t="shared" si="650"/>
        <v>0.96522690514698883</v>
      </c>
      <c r="T1703" s="76">
        <f t="shared" si="651"/>
        <v>0.96522690514698883</v>
      </c>
      <c r="U1703" s="76">
        <f t="shared" si="652"/>
        <v>1</v>
      </c>
    </row>
    <row r="1704" spans="1:21" x14ac:dyDescent="0.25">
      <c r="A1704" s="71">
        <v>6</v>
      </c>
      <c r="B1704" s="72">
        <f t="shared" si="653"/>
        <v>45809</v>
      </c>
      <c r="C1704" s="73">
        <f t="shared" si="634"/>
        <v>45838</v>
      </c>
      <c r="D1704" s="67">
        <f t="shared" si="635"/>
        <v>30</v>
      </c>
      <c r="E1704" s="67">
        <f t="shared" si="636"/>
        <v>6</v>
      </c>
      <c r="F1704" s="74">
        <f t="shared" si="637"/>
        <v>45824</v>
      </c>
      <c r="G1704" s="67">
        <f t="shared" si="638"/>
        <v>24305</v>
      </c>
      <c r="H1704" s="75">
        <f t="shared" si="639"/>
        <v>1</v>
      </c>
      <c r="I1704" s="76">
        <f t="shared" si="640"/>
        <v>1</v>
      </c>
      <c r="J1704" s="76">
        <f t="shared" si="641"/>
        <v>1</v>
      </c>
      <c r="K1704" s="67">
        <f t="shared" si="642"/>
        <v>0</v>
      </c>
      <c r="L1704" s="67">
        <f t="shared" si="643"/>
        <v>0</v>
      </c>
      <c r="M1704" s="77">
        <f t="shared" si="644"/>
        <v>0</v>
      </c>
      <c r="N1704" s="76">
        <f t="shared" si="645"/>
        <v>1</v>
      </c>
      <c r="O1704" s="77">
        <f t="shared" si="646"/>
        <v>0.88934354485776801</v>
      </c>
      <c r="P1704" s="76">
        <f t="shared" si="647"/>
        <v>0</v>
      </c>
      <c r="Q1704" s="76">
        <f t="shared" si="648"/>
        <v>0</v>
      </c>
      <c r="R1704" s="76">
        <f t="shared" si="649"/>
        <v>0</v>
      </c>
      <c r="S1704" s="76">
        <f t="shared" si="650"/>
        <v>0.96667776614974776</v>
      </c>
      <c r="T1704" s="76">
        <f t="shared" si="651"/>
        <v>0.96667776614974776</v>
      </c>
      <c r="U1704" s="76">
        <f t="shared" si="652"/>
        <v>1</v>
      </c>
    </row>
    <row r="1705" spans="1:21" x14ac:dyDescent="0.25">
      <c r="A1705" s="71">
        <v>7</v>
      </c>
      <c r="B1705" s="72">
        <f t="shared" si="653"/>
        <v>45839</v>
      </c>
      <c r="C1705" s="73">
        <f t="shared" si="634"/>
        <v>45869</v>
      </c>
      <c r="D1705" s="67">
        <f t="shared" si="635"/>
        <v>31</v>
      </c>
      <c r="E1705" s="67">
        <f t="shared" si="636"/>
        <v>7</v>
      </c>
      <c r="F1705" s="74">
        <f t="shared" si="637"/>
        <v>45854.5</v>
      </c>
      <c r="G1705" s="67">
        <f t="shared" si="638"/>
        <v>24306</v>
      </c>
      <c r="H1705" s="75">
        <f t="shared" si="639"/>
        <v>1</v>
      </c>
      <c r="I1705" s="76">
        <f t="shared" si="640"/>
        <v>1</v>
      </c>
      <c r="J1705" s="76">
        <f t="shared" si="641"/>
        <v>1</v>
      </c>
      <c r="K1705" s="67">
        <f t="shared" si="642"/>
        <v>0</v>
      </c>
      <c r="L1705" s="67">
        <f t="shared" si="643"/>
        <v>0</v>
      </c>
      <c r="M1705" s="77">
        <f t="shared" si="644"/>
        <v>0</v>
      </c>
      <c r="N1705" s="76">
        <f t="shared" si="645"/>
        <v>1</v>
      </c>
      <c r="O1705" s="77">
        <f t="shared" si="646"/>
        <v>0.8906783369803063</v>
      </c>
      <c r="P1705" s="76">
        <f t="shared" si="647"/>
        <v>8.333333333333337E-2</v>
      </c>
      <c r="Q1705" s="76">
        <f t="shared" si="648"/>
        <v>0</v>
      </c>
      <c r="R1705" s="76">
        <f t="shared" si="649"/>
        <v>0</v>
      </c>
      <c r="S1705" s="76">
        <f t="shared" si="650"/>
        <v>0.9681286271525068</v>
      </c>
      <c r="T1705" s="76">
        <f t="shared" si="651"/>
        <v>0.9681286271525068</v>
      </c>
      <c r="U1705" s="76">
        <f t="shared" si="652"/>
        <v>1</v>
      </c>
    </row>
    <row r="1706" spans="1:21" x14ac:dyDescent="0.25">
      <c r="A1706" s="71">
        <v>8</v>
      </c>
      <c r="B1706" s="72">
        <f t="shared" si="653"/>
        <v>45870</v>
      </c>
      <c r="C1706" s="73">
        <f t="shared" si="634"/>
        <v>45900</v>
      </c>
      <c r="D1706" s="67">
        <f t="shared" si="635"/>
        <v>31</v>
      </c>
      <c r="E1706" s="67">
        <f t="shared" si="636"/>
        <v>8</v>
      </c>
      <c r="F1706" s="74">
        <f t="shared" si="637"/>
        <v>45885.5</v>
      </c>
      <c r="G1706" s="67">
        <f t="shared" si="638"/>
        <v>24307</v>
      </c>
      <c r="H1706" s="75">
        <f t="shared" si="639"/>
        <v>1</v>
      </c>
      <c r="I1706" s="76">
        <f t="shared" si="640"/>
        <v>1</v>
      </c>
      <c r="J1706" s="76">
        <f t="shared" si="641"/>
        <v>1</v>
      </c>
      <c r="K1706" s="67">
        <f t="shared" si="642"/>
        <v>0</v>
      </c>
      <c r="L1706" s="67">
        <f t="shared" si="643"/>
        <v>0</v>
      </c>
      <c r="M1706" s="77">
        <f t="shared" si="644"/>
        <v>0</v>
      </c>
      <c r="N1706" s="76">
        <f t="shared" si="645"/>
        <v>1</v>
      </c>
      <c r="O1706" s="77">
        <f t="shared" si="646"/>
        <v>0.89203501094091897</v>
      </c>
      <c r="P1706" s="76">
        <f t="shared" si="647"/>
        <v>0.25</v>
      </c>
      <c r="Q1706" s="76">
        <f t="shared" si="648"/>
        <v>0</v>
      </c>
      <c r="R1706" s="76">
        <f t="shared" si="649"/>
        <v>0</v>
      </c>
      <c r="S1706" s="76">
        <f t="shared" si="650"/>
        <v>0.96960327276186842</v>
      </c>
      <c r="T1706" s="76">
        <f t="shared" si="651"/>
        <v>0.96960327276186842</v>
      </c>
      <c r="U1706" s="76">
        <f t="shared" si="652"/>
        <v>1</v>
      </c>
    </row>
    <row r="1707" spans="1:21" x14ac:dyDescent="0.25">
      <c r="A1707" s="71">
        <v>9</v>
      </c>
      <c r="B1707" s="72">
        <f t="shared" si="653"/>
        <v>45901</v>
      </c>
      <c r="C1707" s="73">
        <f t="shared" si="634"/>
        <v>45930</v>
      </c>
      <c r="D1707" s="67">
        <f t="shared" si="635"/>
        <v>30</v>
      </c>
      <c r="E1707" s="67">
        <f t="shared" si="636"/>
        <v>9</v>
      </c>
      <c r="F1707" s="74">
        <f t="shared" si="637"/>
        <v>45916</v>
      </c>
      <c r="G1707" s="67">
        <f t="shared" si="638"/>
        <v>24308</v>
      </c>
      <c r="H1707" s="75">
        <f t="shared" si="639"/>
        <v>1</v>
      </c>
      <c r="I1707" s="76">
        <f t="shared" si="640"/>
        <v>1</v>
      </c>
      <c r="J1707" s="76">
        <f t="shared" si="641"/>
        <v>1</v>
      </c>
      <c r="K1707" s="67">
        <f t="shared" si="642"/>
        <v>0</v>
      </c>
      <c r="L1707" s="67">
        <f t="shared" si="643"/>
        <v>0</v>
      </c>
      <c r="M1707" s="77">
        <f t="shared" si="644"/>
        <v>0</v>
      </c>
      <c r="N1707" s="76">
        <f t="shared" si="645"/>
        <v>1</v>
      </c>
      <c r="O1707" s="77">
        <f t="shared" si="646"/>
        <v>0.89336980306345726</v>
      </c>
      <c r="P1707" s="76">
        <f t="shared" si="647"/>
        <v>0.41666666666666663</v>
      </c>
      <c r="Q1707" s="76">
        <f t="shared" si="648"/>
        <v>0</v>
      </c>
      <c r="R1707" s="76">
        <f t="shared" si="649"/>
        <v>0</v>
      </c>
      <c r="S1707" s="76">
        <f t="shared" si="650"/>
        <v>0.97105413376462746</v>
      </c>
      <c r="T1707" s="76">
        <f t="shared" si="651"/>
        <v>0.97105413376462746</v>
      </c>
      <c r="U1707" s="76">
        <f t="shared" si="652"/>
        <v>1</v>
      </c>
    </row>
    <row r="1708" spans="1:21" x14ac:dyDescent="0.25">
      <c r="A1708" s="71">
        <v>10</v>
      </c>
      <c r="B1708" s="72">
        <f t="shared" si="653"/>
        <v>45931</v>
      </c>
      <c r="C1708" s="73">
        <f t="shared" si="634"/>
        <v>45961</v>
      </c>
      <c r="D1708" s="67">
        <f t="shared" si="635"/>
        <v>31</v>
      </c>
      <c r="E1708" s="67">
        <f t="shared" si="636"/>
        <v>10</v>
      </c>
      <c r="F1708" s="74">
        <f t="shared" si="637"/>
        <v>45946.5</v>
      </c>
      <c r="G1708" s="67">
        <f t="shared" si="638"/>
        <v>24309</v>
      </c>
      <c r="H1708" s="75">
        <f t="shared" si="639"/>
        <v>1</v>
      </c>
      <c r="I1708" s="76">
        <f t="shared" si="640"/>
        <v>1</v>
      </c>
      <c r="J1708" s="76">
        <f t="shared" si="641"/>
        <v>1</v>
      </c>
      <c r="K1708" s="67">
        <f t="shared" si="642"/>
        <v>0</v>
      </c>
      <c r="L1708" s="67">
        <f t="shared" si="643"/>
        <v>0</v>
      </c>
      <c r="M1708" s="77">
        <f t="shared" si="644"/>
        <v>0</v>
      </c>
      <c r="N1708" s="76">
        <f t="shared" si="645"/>
        <v>1</v>
      </c>
      <c r="O1708" s="77">
        <f t="shared" si="646"/>
        <v>0.89470459518599565</v>
      </c>
      <c r="P1708" s="76">
        <f t="shared" si="647"/>
        <v>0.58333333333333326</v>
      </c>
      <c r="Q1708" s="76">
        <f t="shared" si="648"/>
        <v>0</v>
      </c>
      <c r="R1708" s="76">
        <f t="shared" si="649"/>
        <v>0</v>
      </c>
      <c r="S1708" s="76">
        <f t="shared" si="650"/>
        <v>0.9725049947673865</v>
      </c>
      <c r="T1708" s="76">
        <f t="shared" si="651"/>
        <v>0.9725049947673865</v>
      </c>
      <c r="U1708" s="76">
        <f t="shared" si="652"/>
        <v>1</v>
      </c>
    </row>
    <row r="1709" spans="1:21" x14ac:dyDescent="0.25">
      <c r="A1709" s="71">
        <v>11</v>
      </c>
      <c r="B1709" s="72">
        <f t="shared" si="653"/>
        <v>45962</v>
      </c>
      <c r="C1709" s="73">
        <f t="shared" si="634"/>
        <v>45991</v>
      </c>
      <c r="D1709" s="67">
        <f t="shared" si="635"/>
        <v>30</v>
      </c>
      <c r="E1709" s="67">
        <f t="shared" si="636"/>
        <v>11</v>
      </c>
      <c r="F1709" s="74">
        <f t="shared" si="637"/>
        <v>45977</v>
      </c>
      <c r="G1709" s="67">
        <f t="shared" si="638"/>
        <v>24310</v>
      </c>
      <c r="H1709" s="75">
        <f t="shared" si="639"/>
        <v>1</v>
      </c>
      <c r="I1709" s="76">
        <f t="shared" si="640"/>
        <v>1</v>
      </c>
      <c r="J1709" s="76">
        <f t="shared" si="641"/>
        <v>1</v>
      </c>
      <c r="K1709" s="67">
        <f t="shared" si="642"/>
        <v>0</v>
      </c>
      <c r="L1709" s="67">
        <f t="shared" si="643"/>
        <v>0</v>
      </c>
      <c r="M1709" s="77">
        <f t="shared" si="644"/>
        <v>0</v>
      </c>
      <c r="N1709" s="76">
        <f t="shared" si="645"/>
        <v>1</v>
      </c>
      <c r="O1709" s="77">
        <f t="shared" si="646"/>
        <v>0.89603938730853394</v>
      </c>
      <c r="P1709" s="76">
        <f t="shared" si="647"/>
        <v>0.75</v>
      </c>
      <c r="Q1709" s="76">
        <f t="shared" si="648"/>
        <v>0</v>
      </c>
      <c r="R1709" s="76">
        <f t="shared" si="649"/>
        <v>0</v>
      </c>
      <c r="S1709" s="76">
        <f t="shared" si="650"/>
        <v>0.97395585577014554</v>
      </c>
      <c r="T1709" s="76">
        <f t="shared" si="651"/>
        <v>0.97395585577014554</v>
      </c>
      <c r="U1709" s="76">
        <f t="shared" si="652"/>
        <v>1</v>
      </c>
    </row>
    <row r="1710" spans="1:21" x14ac:dyDescent="0.25">
      <c r="A1710" s="71">
        <v>12</v>
      </c>
      <c r="B1710" s="72">
        <f t="shared" si="653"/>
        <v>45992</v>
      </c>
      <c r="C1710" s="73">
        <f t="shared" si="634"/>
        <v>46022</v>
      </c>
      <c r="D1710" s="67">
        <f t="shared" si="635"/>
        <v>31</v>
      </c>
      <c r="E1710" s="67">
        <f t="shared" si="636"/>
        <v>12</v>
      </c>
      <c r="F1710" s="74">
        <f t="shared" si="637"/>
        <v>46007.5</v>
      </c>
      <c r="G1710" s="67">
        <f t="shared" si="638"/>
        <v>24311</v>
      </c>
      <c r="H1710" s="75">
        <f t="shared" si="639"/>
        <v>1</v>
      </c>
      <c r="I1710" s="76">
        <f t="shared" si="640"/>
        <v>1</v>
      </c>
      <c r="J1710" s="76">
        <f t="shared" si="641"/>
        <v>1</v>
      </c>
      <c r="K1710" s="67">
        <f t="shared" si="642"/>
        <v>0</v>
      </c>
      <c r="L1710" s="67">
        <f t="shared" si="643"/>
        <v>0</v>
      </c>
      <c r="M1710" s="77">
        <f t="shared" si="644"/>
        <v>0</v>
      </c>
      <c r="N1710" s="76">
        <f t="shared" si="645"/>
        <v>1</v>
      </c>
      <c r="O1710" s="77">
        <f t="shared" si="646"/>
        <v>0.89737417943107223</v>
      </c>
      <c r="P1710" s="76">
        <f t="shared" si="647"/>
        <v>0.91666666666666663</v>
      </c>
      <c r="Q1710" s="76">
        <f t="shared" si="648"/>
        <v>0</v>
      </c>
      <c r="R1710" s="76">
        <f t="shared" si="649"/>
        <v>0</v>
      </c>
      <c r="S1710" s="76">
        <f t="shared" si="650"/>
        <v>0.97540671677290458</v>
      </c>
      <c r="T1710" s="76">
        <f t="shared" si="651"/>
        <v>0.97540671677290458</v>
      </c>
      <c r="U1710" s="76">
        <f t="shared" si="652"/>
        <v>1</v>
      </c>
    </row>
    <row r="1711" spans="1:21" x14ac:dyDescent="0.25">
      <c r="A1711" s="71">
        <v>13</v>
      </c>
      <c r="B1711" s="72">
        <f t="shared" si="653"/>
        <v>46023</v>
      </c>
      <c r="C1711" s="73">
        <f t="shared" si="634"/>
        <v>46053</v>
      </c>
      <c r="D1711" s="67">
        <f t="shared" si="635"/>
        <v>31</v>
      </c>
      <c r="E1711" s="67">
        <f t="shared" si="636"/>
        <v>1</v>
      </c>
      <c r="F1711" s="74">
        <f t="shared" si="637"/>
        <v>46038.5</v>
      </c>
      <c r="G1711" s="67">
        <f t="shared" si="638"/>
        <v>24312</v>
      </c>
      <c r="H1711" s="75">
        <f t="shared" si="639"/>
        <v>1</v>
      </c>
      <c r="I1711" s="76">
        <f t="shared" si="640"/>
        <v>1</v>
      </c>
      <c r="J1711" s="76">
        <f t="shared" si="641"/>
        <v>1</v>
      </c>
      <c r="K1711" s="67">
        <f t="shared" si="642"/>
        <v>0</v>
      </c>
      <c r="L1711" s="67">
        <f t="shared" si="643"/>
        <v>0</v>
      </c>
      <c r="M1711" s="77">
        <f t="shared" si="644"/>
        <v>0</v>
      </c>
      <c r="N1711" s="76">
        <f t="shared" si="645"/>
        <v>1</v>
      </c>
      <c r="O1711" s="77">
        <f t="shared" si="646"/>
        <v>0.8987308533916849</v>
      </c>
      <c r="P1711" s="76">
        <f t="shared" si="647"/>
        <v>1</v>
      </c>
      <c r="Q1711" s="76">
        <f t="shared" si="648"/>
        <v>0</v>
      </c>
      <c r="R1711" s="76">
        <f t="shared" si="649"/>
        <v>0</v>
      </c>
      <c r="S1711" s="76">
        <f t="shared" si="650"/>
        <v>0.97688136238226619</v>
      </c>
      <c r="T1711" s="76">
        <f t="shared" si="651"/>
        <v>0.97688136238226619</v>
      </c>
      <c r="U1711" s="76">
        <f t="shared" si="652"/>
        <v>1</v>
      </c>
    </row>
    <row r="1712" spans="1:21" x14ac:dyDescent="0.25">
      <c r="A1712" s="71">
        <v>14</v>
      </c>
      <c r="B1712" s="72">
        <f t="shared" si="653"/>
        <v>46054</v>
      </c>
      <c r="C1712" s="73">
        <f t="shared" si="634"/>
        <v>46081</v>
      </c>
      <c r="D1712" s="67">
        <f t="shared" si="635"/>
        <v>28</v>
      </c>
      <c r="E1712" s="67">
        <f t="shared" si="636"/>
        <v>2</v>
      </c>
      <c r="F1712" s="74">
        <f t="shared" si="637"/>
        <v>46068</v>
      </c>
      <c r="G1712" s="67">
        <f t="shared" si="638"/>
        <v>24313</v>
      </c>
      <c r="H1712" s="75">
        <f t="shared" si="639"/>
        <v>1</v>
      </c>
      <c r="I1712" s="76">
        <f t="shared" si="640"/>
        <v>1</v>
      </c>
      <c r="J1712" s="76">
        <f t="shared" si="641"/>
        <v>1</v>
      </c>
      <c r="K1712" s="67">
        <f t="shared" si="642"/>
        <v>0</v>
      </c>
      <c r="L1712" s="67">
        <f t="shared" si="643"/>
        <v>0</v>
      </c>
      <c r="M1712" s="77">
        <f t="shared" si="644"/>
        <v>0</v>
      </c>
      <c r="N1712" s="76">
        <f t="shared" si="645"/>
        <v>1</v>
      </c>
      <c r="O1712" s="77">
        <f t="shared" si="646"/>
        <v>0.90002188183807441</v>
      </c>
      <c r="P1712" s="76">
        <f t="shared" si="647"/>
        <v>1</v>
      </c>
      <c r="Q1712" s="76">
        <f t="shared" si="648"/>
        <v>0</v>
      </c>
      <c r="R1712" s="76">
        <f t="shared" si="649"/>
        <v>0</v>
      </c>
      <c r="S1712" s="76">
        <f t="shared" si="650"/>
        <v>0.97828465417181998</v>
      </c>
      <c r="T1712" s="76">
        <f t="shared" si="651"/>
        <v>0.97828465417181998</v>
      </c>
      <c r="U1712" s="76">
        <f t="shared" si="652"/>
        <v>1</v>
      </c>
    </row>
    <row r="1713" spans="1:21" x14ac:dyDescent="0.25">
      <c r="A1713" s="71">
        <v>15</v>
      </c>
      <c r="B1713" s="72">
        <f t="shared" si="653"/>
        <v>46082</v>
      </c>
      <c r="C1713" s="73">
        <f t="shared" si="634"/>
        <v>46112</v>
      </c>
      <c r="D1713" s="67">
        <f t="shared" si="635"/>
        <v>31</v>
      </c>
      <c r="E1713" s="67">
        <f t="shared" si="636"/>
        <v>3</v>
      </c>
      <c r="F1713" s="74">
        <f t="shared" si="637"/>
        <v>46097.5</v>
      </c>
      <c r="G1713" s="67">
        <f t="shared" si="638"/>
        <v>24314</v>
      </c>
      <c r="H1713" s="75">
        <f t="shared" si="639"/>
        <v>1</v>
      </c>
      <c r="I1713" s="76">
        <f t="shared" si="640"/>
        <v>1</v>
      </c>
      <c r="J1713" s="76">
        <f t="shared" si="641"/>
        <v>1</v>
      </c>
      <c r="K1713" s="67">
        <f t="shared" si="642"/>
        <v>0</v>
      </c>
      <c r="L1713" s="67">
        <f t="shared" si="643"/>
        <v>0</v>
      </c>
      <c r="M1713" s="77">
        <f t="shared" si="644"/>
        <v>0</v>
      </c>
      <c r="N1713" s="76">
        <f t="shared" si="645"/>
        <v>1</v>
      </c>
      <c r="O1713" s="77">
        <f t="shared" si="646"/>
        <v>0.90131291028446392</v>
      </c>
      <c r="P1713" s="76">
        <f t="shared" si="647"/>
        <v>1</v>
      </c>
      <c r="Q1713" s="76">
        <f t="shared" si="648"/>
        <v>0</v>
      </c>
      <c r="R1713" s="76">
        <f t="shared" si="649"/>
        <v>0</v>
      </c>
      <c r="S1713" s="76">
        <f t="shared" si="650"/>
        <v>0.97968794596137376</v>
      </c>
      <c r="T1713" s="76">
        <f t="shared" si="651"/>
        <v>0.97968794596137376</v>
      </c>
      <c r="U1713" s="76">
        <f t="shared" si="652"/>
        <v>1</v>
      </c>
    </row>
    <row r="1714" spans="1:21" x14ac:dyDescent="0.25">
      <c r="A1714" s="71">
        <v>16</v>
      </c>
      <c r="B1714" s="72">
        <f t="shared" si="653"/>
        <v>46113</v>
      </c>
      <c r="C1714" s="73">
        <f t="shared" si="634"/>
        <v>46142</v>
      </c>
      <c r="D1714" s="67">
        <f t="shared" si="635"/>
        <v>30</v>
      </c>
      <c r="E1714" s="67">
        <f t="shared" si="636"/>
        <v>4</v>
      </c>
      <c r="F1714" s="74">
        <f t="shared" si="637"/>
        <v>46128</v>
      </c>
      <c r="G1714" s="67">
        <f t="shared" si="638"/>
        <v>24315</v>
      </c>
      <c r="H1714" s="75">
        <f t="shared" si="639"/>
        <v>1</v>
      </c>
      <c r="I1714" s="76">
        <f t="shared" si="640"/>
        <v>1</v>
      </c>
      <c r="J1714" s="76">
        <f t="shared" si="641"/>
        <v>1</v>
      </c>
      <c r="K1714" s="67">
        <f t="shared" si="642"/>
        <v>0</v>
      </c>
      <c r="L1714" s="67">
        <f t="shared" si="643"/>
        <v>0</v>
      </c>
      <c r="M1714" s="77">
        <f t="shared" si="644"/>
        <v>0</v>
      </c>
      <c r="N1714" s="76">
        <f t="shared" si="645"/>
        <v>1</v>
      </c>
      <c r="O1714" s="77">
        <f t="shared" si="646"/>
        <v>0.90264770240700221</v>
      </c>
      <c r="P1714" s="76">
        <f t="shared" si="647"/>
        <v>1</v>
      </c>
      <c r="Q1714" s="76">
        <f t="shared" si="648"/>
        <v>0</v>
      </c>
      <c r="R1714" s="76">
        <f t="shared" si="649"/>
        <v>0</v>
      </c>
      <c r="S1714" s="76">
        <f t="shared" si="650"/>
        <v>0.9811388069641328</v>
      </c>
      <c r="T1714" s="76">
        <f t="shared" si="651"/>
        <v>0.9811388069641328</v>
      </c>
      <c r="U1714" s="76">
        <f t="shared" si="652"/>
        <v>1</v>
      </c>
    </row>
    <row r="1715" spans="1:21" x14ac:dyDescent="0.25">
      <c r="A1715" s="71">
        <v>17</v>
      </c>
      <c r="B1715" s="72">
        <f t="shared" si="653"/>
        <v>46143</v>
      </c>
      <c r="C1715" s="73">
        <f t="shared" si="634"/>
        <v>46173</v>
      </c>
      <c r="D1715" s="67">
        <f t="shared" si="635"/>
        <v>31</v>
      </c>
      <c r="E1715" s="67">
        <f t="shared" si="636"/>
        <v>5</v>
      </c>
      <c r="F1715" s="74">
        <f t="shared" si="637"/>
        <v>46158.5</v>
      </c>
      <c r="G1715" s="67">
        <f t="shared" si="638"/>
        <v>24316</v>
      </c>
      <c r="H1715" s="75">
        <f t="shared" si="639"/>
        <v>1</v>
      </c>
      <c r="I1715" s="76">
        <f t="shared" si="640"/>
        <v>1</v>
      </c>
      <c r="J1715" s="76">
        <f t="shared" si="641"/>
        <v>1</v>
      </c>
      <c r="K1715" s="67">
        <f t="shared" si="642"/>
        <v>0</v>
      </c>
      <c r="L1715" s="67">
        <f t="shared" si="643"/>
        <v>0</v>
      </c>
      <c r="M1715" s="77">
        <f t="shared" si="644"/>
        <v>0</v>
      </c>
      <c r="N1715" s="76">
        <f t="shared" si="645"/>
        <v>1</v>
      </c>
      <c r="O1715" s="77">
        <f t="shared" si="646"/>
        <v>0.90398249452954049</v>
      </c>
      <c r="P1715" s="76">
        <f t="shared" si="647"/>
        <v>1</v>
      </c>
      <c r="Q1715" s="76">
        <f t="shared" si="648"/>
        <v>0</v>
      </c>
      <c r="R1715" s="76">
        <f t="shared" si="649"/>
        <v>0</v>
      </c>
      <c r="S1715" s="76">
        <f t="shared" si="650"/>
        <v>0.98258966796689184</v>
      </c>
      <c r="T1715" s="76">
        <f t="shared" si="651"/>
        <v>0.98258966796689184</v>
      </c>
      <c r="U1715" s="76">
        <f t="shared" si="652"/>
        <v>1</v>
      </c>
    </row>
    <row r="1716" spans="1:21" x14ac:dyDescent="0.25">
      <c r="A1716" s="71">
        <v>18</v>
      </c>
      <c r="B1716" s="72">
        <f t="shared" si="653"/>
        <v>46174</v>
      </c>
      <c r="C1716" s="73">
        <f t="shared" si="634"/>
        <v>46203</v>
      </c>
      <c r="D1716" s="67">
        <f t="shared" si="635"/>
        <v>30</v>
      </c>
      <c r="E1716" s="67">
        <f t="shared" si="636"/>
        <v>6</v>
      </c>
      <c r="F1716" s="74">
        <f t="shared" si="637"/>
        <v>46189</v>
      </c>
      <c r="G1716" s="67">
        <f t="shared" si="638"/>
        <v>24317</v>
      </c>
      <c r="H1716" s="75">
        <f t="shared" si="639"/>
        <v>1</v>
      </c>
      <c r="I1716" s="76">
        <f t="shared" si="640"/>
        <v>1</v>
      </c>
      <c r="J1716" s="76">
        <f t="shared" si="641"/>
        <v>1</v>
      </c>
      <c r="K1716" s="67">
        <f t="shared" si="642"/>
        <v>0</v>
      </c>
      <c r="L1716" s="67">
        <f t="shared" si="643"/>
        <v>0</v>
      </c>
      <c r="M1716" s="77">
        <f t="shared" si="644"/>
        <v>0</v>
      </c>
      <c r="N1716" s="76">
        <f t="shared" si="645"/>
        <v>1</v>
      </c>
      <c r="O1716" s="77">
        <f t="shared" si="646"/>
        <v>0.90531728665207878</v>
      </c>
      <c r="P1716" s="76">
        <f t="shared" si="647"/>
        <v>1</v>
      </c>
      <c r="Q1716" s="76">
        <f t="shared" si="648"/>
        <v>0</v>
      </c>
      <c r="R1716" s="76">
        <f t="shared" si="649"/>
        <v>0</v>
      </c>
      <c r="S1716" s="76">
        <f t="shared" si="650"/>
        <v>0.98404052896965077</v>
      </c>
      <c r="T1716" s="76">
        <f t="shared" si="651"/>
        <v>0.98404052896965077</v>
      </c>
      <c r="U1716" s="76">
        <f t="shared" si="652"/>
        <v>1</v>
      </c>
    </row>
    <row r="1717" spans="1:21" x14ac:dyDescent="0.25">
      <c r="A1717" s="71">
        <v>19</v>
      </c>
      <c r="B1717" s="72">
        <f t="shared" si="653"/>
        <v>46204</v>
      </c>
      <c r="C1717" s="73">
        <f t="shared" si="634"/>
        <v>46234</v>
      </c>
      <c r="D1717" s="67">
        <f t="shared" si="635"/>
        <v>31</v>
      </c>
      <c r="E1717" s="67">
        <f t="shared" si="636"/>
        <v>7</v>
      </c>
      <c r="F1717" s="74">
        <f t="shared" si="637"/>
        <v>46219.5</v>
      </c>
      <c r="G1717" s="67">
        <f t="shared" si="638"/>
        <v>24318</v>
      </c>
      <c r="H1717" s="75">
        <f t="shared" si="639"/>
        <v>1</v>
      </c>
      <c r="I1717" s="76">
        <f t="shared" si="640"/>
        <v>1</v>
      </c>
      <c r="J1717" s="76">
        <f t="shared" si="641"/>
        <v>1.02</v>
      </c>
      <c r="K1717" s="67">
        <f t="shared" si="642"/>
        <v>1</v>
      </c>
      <c r="L1717" s="67">
        <f t="shared" si="643"/>
        <v>31</v>
      </c>
      <c r="M1717" s="77">
        <f t="shared" si="644"/>
        <v>1</v>
      </c>
      <c r="N1717" s="76">
        <f t="shared" si="645"/>
        <v>1.02</v>
      </c>
      <c r="O1717" s="77">
        <f t="shared" si="646"/>
        <v>0.90665207877461707</v>
      </c>
      <c r="P1717" s="76">
        <f t="shared" si="647"/>
        <v>0.91666666666666663</v>
      </c>
      <c r="Q1717" s="76">
        <f t="shared" si="648"/>
        <v>8.333333333333337E-2</v>
      </c>
      <c r="R1717" s="76">
        <f t="shared" si="649"/>
        <v>0</v>
      </c>
      <c r="S1717" s="76">
        <f t="shared" si="650"/>
        <v>1.0052012177718581</v>
      </c>
      <c r="T1717" s="76">
        <f t="shared" si="651"/>
        <v>1.0052012177718581</v>
      </c>
      <c r="U1717" s="76">
        <f t="shared" si="652"/>
        <v>1.02</v>
      </c>
    </row>
    <row r="1718" spans="1:21" x14ac:dyDescent="0.25">
      <c r="A1718" s="71">
        <v>20</v>
      </c>
      <c r="B1718" s="72">
        <f t="shared" si="653"/>
        <v>46235</v>
      </c>
      <c r="C1718" s="73">
        <f t="shared" si="634"/>
        <v>46265</v>
      </c>
      <c r="D1718" s="67">
        <f t="shared" si="635"/>
        <v>31</v>
      </c>
      <c r="E1718" s="67">
        <f t="shared" si="636"/>
        <v>8</v>
      </c>
      <c r="F1718" s="74">
        <f t="shared" si="637"/>
        <v>46250.5</v>
      </c>
      <c r="G1718" s="67">
        <f t="shared" si="638"/>
        <v>24319</v>
      </c>
      <c r="H1718" s="75">
        <f t="shared" si="639"/>
        <v>1</v>
      </c>
      <c r="I1718" s="76">
        <f t="shared" si="640"/>
        <v>1.02</v>
      </c>
      <c r="J1718" s="76">
        <f t="shared" si="641"/>
        <v>1.02</v>
      </c>
      <c r="K1718" s="67">
        <f t="shared" si="642"/>
        <v>0</v>
      </c>
      <c r="L1718" s="67">
        <f t="shared" si="643"/>
        <v>0</v>
      </c>
      <c r="M1718" s="77">
        <f t="shared" si="644"/>
        <v>0</v>
      </c>
      <c r="N1718" s="76">
        <f t="shared" si="645"/>
        <v>1.02</v>
      </c>
      <c r="O1718" s="77">
        <f t="shared" si="646"/>
        <v>0.90800875273522974</v>
      </c>
      <c r="P1718" s="76">
        <f t="shared" si="647"/>
        <v>0.75</v>
      </c>
      <c r="Q1718" s="76">
        <f t="shared" si="648"/>
        <v>0.25</v>
      </c>
      <c r="R1718" s="76">
        <f t="shared" si="649"/>
        <v>0</v>
      </c>
      <c r="S1718" s="76">
        <f t="shared" si="650"/>
        <v>1.006705356293407</v>
      </c>
      <c r="T1718" s="76">
        <f t="shared" si="651"/>
        <v>1.006705356293407</v>
      </c>
      <c r="U1718" s="76">
        <f t="shared" si="652"/>
        <v>1.02</v>
      </c>
    </row>
    <row r="1719" spans="1:21" x14ac:dyDescent="0.25">
      <c r="A1719" s="71">
        <v>21</v>
      </c>
      <c r="B1719" s="72">
        <f t="shared" si="653"/>
        <v>46266</v>
      </c>
      <c r="C1719" s="73">
        <f t="shared" si="634"/>
        <v>46295</v>
      </c>
      <c r="D1719" s="67">
        <f t="shared" si="635"/>
        <v>30</v>
      </c>
      <c r="E1719" s="67">
        <f t="shared" si="636"/>
        <v>9</v>
      </c>
      <c r="F1719" s="74">
        <f t="shared" si="637"/>
        <v>46281</v>
      </c>
      <c r="G1719" s="67">
        <f t="shared" si="638"/>
        <v>24320</v>
      </c>
      <c r="H1719" s="75">
        <f t="shared" si="639"/>
        <v>1</v>
      </c>
      <c r="I1719" s="76">
        <f t="shared" si="640"/>
        <v>1.02</v>
      </c>
      <c r="J1719" s="76">
        <f t="shared" si="641"/>
        <v>1.02</v>
      </c>
      <c r="K1719" s="67">
        <f t="shared" si="642"/>
        <v>0</v>
      </c>
      <c r="L1719" s="67">
        <f t="shared" si="643"/>
        <v>0</v>
      </c>
      <c r="M1719" s="77">
        <f t="shared" si="644"/>
        <v>0</v>
      </c>
      <c r="N1719" s="76">
        <f t="shared" si="645"/>
        <v>1.02</v>
      </c>
      <c r="O1719" s="77">
        <f t="shared" si="646"/>
        <v>0.90934354485776803</v>
      </c>
      <c r="P1719" s="76">
        <f t="shared" si="647"/>
        <v>0.58333333333333337</v>
      </c>
      <c r="Q1719" s="76">
        <f t="shared" si="648"/>
        <v>0.41666666666666663</v>
      </c>
      <c r="R1719" s="76">
        <f t="shared" si="649"/>
        <v>0</v>
      </c>
      <c r="S1719" s="76">
        <f t="shared" si="650"/>
        <v>1.008185234516221</v>
      </c>
      <c r="T1719" s="76">
        <f t="shared" si="651"/>
        <v>1.008185234516221</v>
      </c>
      <c r="U1719" s="76">
        <f t="shared" si="652"/>
        <v>1.02</v>
      </c>
    </row>
    <row r="1720" spans="1:21" x14ac:dyDescent="0.25">
      <c r="A1720" s="71">
        <v>22</v>
      </c>
      <c r="B1720" s="72">
        <f t="shared" si="653"/>
        <v>46296</v>
      </c>
      <c r="C1720" s="73">
        <f t="shared" si="634"/>
        <v>46326</v>
      </c>
      <c r="D1720" s="67">
        <f t="shared" si="635"/>
        <v>31</v>
      </c>
      <c r="E1720" s="67">
        <f t="shared" si="636"/>
        <v>10</v>
      </c>
      <c r="F1720" s="74">
        <f t="shared" si="637"/>
        <v>46311.5</v>
      </c>
      <c r="G1720" s="67">
        <f t="shared" si="638"/>
        <v>24321</v>
      </c>
      <c r="H1720" s="75">
        <f t="shared" si="639"/>
        <v>1</v>
      </c>
      <c r="I1720" s="76">
        <f t="shared" si="640"/>
        <v>1.02</v>
      </c>
      <c r="J1720" s="76">
        <f t="shared" si="641"/>
        <v>1.02</v>
      </c>
      <c r="K1720" s="67">
        <f t="shared" si="642"/>
        <v>0</v>
      </c>
      <c r="L1720" s="67">
        <f t="shared" si="643"/>
        <v>0</v>
      </c>
      <c r="M1720" s="77">
        <f t="shared" si="644"/>
        <v>0</v>
      </c>
      <c r="N1720" s="76">
        <f t="shared" si="645"/>
        <v>1.02</v>
      </c>
      <c r="O1720" s="77">
        <f t="shared" si="646"/>
        <v>0.91067833698030642</v>
      </c>
      <c r="P1720" s="76">
        <f t="shared" si="647"/>
        <v>0.41666666666666669</v>
      </c>
      <c r="Q1720" s="76">
        <f t="shared" si="648"/>
        <v>0.58333333333333326</v>
      </c>
      <c r="R1720" s="76">
        <f t="shared" si="649"/>
        <v>0</v>
      </c>
      <c r="S1720" s="76">
        <f t="shared" si="650"/>
        <v>1.0096651127390353</v>
      </c>
      <c r="T1720" s="76">
        <f t="shared" si="651"/>
        <v>1.0096651127390353</v>
      </c>
      <c r="U1720" s="76">
        <f t="shared" si="652"/>
        <v>1.02</v>
      </c>
    </row>
    <row r="1721" spans="1:21" x14ac:dyDescent="0.25">
      <c r="A1721" s="71">
        <v>23</v>
      </c>
      <c r="B1721" s="72">
        <f t="shared" si="653"/>
        <v>46327</v>
      </c>
      <c r="C1721" s="73">
        <f t="shared" si="634"/>
        <v>46356</v>
      </c>
      <c r="D1721" s="67">
        <f t="shared" si="635"/>
        <v>30</v>
      </c>
      <c r="E1721" s="67">
        <f t="shared" si="636"/>
        <v>11</v>
      </c>
      <c r="F1721" s="74">
        <f t="shared" si="637"/>
        <v>46342</v>
      </c>
      <c r="G1721" s="67">
        <f t="shared" si="638"/>
        <v>24322</v>
      </c>
      <c r="H1721" s="75">
        <f t="shared" si="639"/>
        <v>1</v>
      </c>
      <c r="I1721" s="76">
        <f t="shared" si="640"/>
        <v>1.02</v>
      </c>
      <c r="J1721" s="76">
        <f t="shared" si="641"/>
        <v>1.02</v>
      </c>
      <c r="K1721" s="67">
        <f t="shared" si="642"/>
        <v>0</v>
      </c>
      <c r="L1721" s="67">
        <f t="shared" si="643"/>
        <v>0</v>
      </c>
      <c r="M1721" s="77">
        <f t="shared" si="644"/>
        <v>0</v>
      </c>
      <c r="N1721" s="76">
        <f t="shared" si="645"/>
        <v>1.02</v>
      </c>
      <c r="O1721" s="77">
        <f t="shared" si="646"/>
        <v>0.91201312910284471</v>
      </c>
      <c r="P1721" s="76">
        <f t="shared" si="647"/>
        <v>0.25</v>
      </c>
      <c r="Q1721" s="76">
        <f t="shared" si="648"/>
        <v>0.75</v>
      </c>
      <c r="R1721" s="76">
        <f t="shared" si="649"/>
        <v>0</v>
      </c>
      <c r="S1721" s="76">
        <f t="shared" si="650"/>
        <v>1.0111449909618495</v>
      </c>
      <c r="T1721" s="76">
        <f t="shared" si="651"/>
        <v>1.0111449909618495</v>
      </c>
      <c r="U1721" s="76">
        <f t="shared" si="652"/>
        <v>1.02</v>
      </c>
    </row>
    <row r="1722" spans="1:21" x14ac:dyDescent="0.25">
      <c r="A1722" s="71">
        <v>24</v>
      </c>
      <c r="B1722" s="72">
        <f t="shared" si="653"/>
        <v>46357</v>
      </c>
      <c r="C1722" s="73">
        <f t="shared" si="634"/>
        <v>46387</v>
      </c>
      <c r="D1722" s="67">
        <f t="shared" si="635"/>
        <v>31</v>
      </c>
      <c r="E1722" s="67">
        <f t="shared" si="636"/>
        <v>12</v>
      </c>
      <c r="F1722" s="74">
        <f t="shared" si="637"/>
        <v>46372.5</v>
      </c>
      <c r="G1722" s="67">
        <f t="shared" si="638"/>
        <v>24323</v>
      </c>
      <c r="H1722" s="75">
        <f t="shared" si="639"/>
        <v>1</v>
      </c>
      <c r="I1722" s="76">
        <f t="shared" si="640"/>
        <v>1.02</v>
      </c>
      <c r="J1722" s="76">
        <f t="shared" si="641"/>
        <v>1.02</v>
      </c>
      <c r="K1722" s="67">
        <f t="shared" si="642"/>
        <v>0</v>
      </c>
      <c r="L1722" s="67">
        <f t="shared" si="643"/>
        <v>0</v>
      </c>
      <c r="M1722" s="77">
        <f t="shared" si="644"/>
        <v>0</v>
      </c>
      <c r="N1722" s="76">
        <f t="shared" si="645"/>
        <v>1.02</v>
      </c>
      <c r="O1722" s="77">
        <f t="shared" si="646"/>
        <v>0.913347921225383</v>
      </c>
      <c r="P1722" s="76">
        <f t="shared" si="647"/>
        <v>8.3333333333333329E-2</v>
      </c>
      <c r="Q1722" s="76">
        <f t="shared" si="648"/>
        <v>0.91666666666666663</v>
      </c>
      <c r="R1722" s="76">
        <f t="shared" si="649"/>
        <v>0</v>
      </c>
      <c r="S1722" s="76">
        <f t="shared" si="650"/>
        <v>1.0126248691846638</v>
      </c>
      <c r="T1722" s="76">
        <f t="shared" si="651"/>
        <v>1.0126248691846638</v>
      </c>
      <c r="U1722" s="76">
        <f t="shared" si="652"/>
        <v>1.02</v>
      </c>
    </row>
    <row r="1723" spans="1:21" x14ac:dyDescent="0.25">
      <c r="A1723" s="71">
        <v>25</v>
      </c>
      <c r="B1723" s="72">
        <f t="shared" si="653"/>
        <v>46388</v>
      </c>
      <c r="C1723" s="73">
        <f t="shared" si="634"/>
        <v>46418</v>
      </c>
      <c r="D1723" s="67">
        <f t="shared" si="635"/>
        <v>31</v>
      </c>
      <c r="E1723" s="67">
        <f t="shared" si="636"/>
        <v>1</v>
      </c>
      <c r="F1723" s="74">
        <f t="shared" si="637"/>
        <v>46403.5</v>
      </c>
      <c r="G1723" s="67">
        <f t="shared" si="638"/>
        <v>24324</v>
      </c>
      <c r="H1723" s="75">
        <f t="shared" si="639"/>
        <v>1</v>
      </c>
      <c r="I1723" s="76">
        <f t="shared" si="640"/>
        <v>1.02</v>
      </c>
      <c r="J1723" s="76">
        <f t="shared" si="641"/>
        <v>1.02</v>
      </c>
      <c r="K1723" s="67">
        <f t="shared" si="642"/>
        <v>0</v>
      </c>
      <c r="L1723" s="67">
        <f t="shared" si="643"/>
        <v>0</v>
      </c>
      <c r="M1723" s="77">
        <f t="shared" si="644"/>
        <v>0</v>
      </c>
      <c r="N1723" s="76">
        <f t="shared" si="645"/>
        <v>1.02</v>
      </c>
      <c r="O1723" s="77">
        <f t="shared" si="646"/>
        <v>0.91470459518599567</v>
      </c>
      <c r="P1723" s="76">
        <f t="shared" si="647"/>
        <v>0</v>
      </c>
      <c r="Q1723" s="76">
        <f t="shared" si="648"/>
        <v>1</v>
      </c>
      <c r="R1723" s="76">
        <f t="shared" si="649"/>
        <v>0</v>
      </c>
      <c r="S1723" s="76">
        <f t="shared" si="650"/>
        <v>1.0141290077062126</v>
      </c>
      <c r="T1723" s="76">
        <f t="shared" si="651"/>
        <v>0.97688136238226619</v>
      </c>
      <c r="U1723" s="76">
        <f t="shared" si="652"/>
        <v>1.02</v>
      </c>
    </row>
    <row r="1724" spans="1:21" x14ac:dyDescent="0.25">
      <c r="A1724" s="71">
        <v>26</v>
      </c>
      <c r="B1724" s="72">
        <f t="shared" si="653"/>
        <v>46419</v>
      </c>
      <c r="C1724" s="73">
        <f t="shared" si="634"/>
        <v>46446</v>
      </c>
      <c r="D1724" s="67">
        <f t="shared" si="635"/>
        <v>28</v>
      </c>
      <c r="E1724" s="67">
        <f t="shared" si="636"/>
        <v>2</v>
      </c>
      <c r="F1724" s="74">
        <f t="shared" si="637"/>
        <v>46433</v>
      </c>
      <c r="G1724" s="67">
        <f t="shared" si="638"/>
        <v>24325</v>
      </c>
      <c r="H1724" s="75">
        <f t="shared" si="639"/>
        <v>1</v>
      </c>
      <c r="I1724" s="76">
        <f t="shared" si="640"/>
        <v>1.02</v>
      </c>
      <c r="J1724" s="76">
        <f t="shared" si="641"/>
        <v>1.02</v>
      </c>
      <c r="K1724" s="67">
        <f t="shared" si="642"/>
        <v>0</v>
      </c>
      <c r="L1724" s="67">
        <f t="shared" si="643"/>
        <v>0</v>
      </c>
      <c r="M1724" s="77">
        <f t="shared" si="644"/>
        <v>0</v>
      </c>
      <c r="N1724" s="76">
        <f t="shared" si="645"/>
        <v>1.02</v>
      </c>
      <c r="O1724" s="77">
        <f t="shared" si="646"/>
        <v>0.91599562363238518</v>
      </c>
      <c r="P1724" s="76">
        <f t="shared" si="647"/>
        <v>0</v>
      </c>
      <c r="Q1724" s="76">
        <f t="shared" si="648"/>
        <v>1</v>
      </c>
      <c r="R1724" s="76">
        <f t="shared" si="649"/>
        <v>0</v>
      </c>
      <c r="S1724" s="76">
        <f t="shared" si="650"/>
        <v>1.0155603653315575</v>
      </c>
      <c r="T1724" s="76">
        <f t="shared" si="651"/>
        <v>0.97828465417181998</v>
      </c>
      <c r="U1724" s="76">
        <f t="shared" si="652"/>
        <v>1.02</v>
      </c>
    </row>
    <row r="1725" spans="1:21" x14ac:dyDescent="0.25">
      <c r="A1725" s="71">
        <v>27</v>
      </c>
      <c r="B1725" s="72">
        <f t="shared" si="653"/>
        <v>46447</v>
      </c>
      <c r="C1725" s="73">
        <f t="shared" si="634"/>
        <v>46477</v>
      </c>
      <c r="D1725" s="67">
        <f t="shared" si="635"/>
        <v>31</v>
      </c>
      <c r="E1725" s="67">
        <f t="shared" si="636"/>
        <v>3</v>
      </c>
      <c r="F1725" s="74">
        <f t="shared" si="637"/>
        <v>46462.5</v>
      </c>
      <c r="G1725" s="67">
        <f t="shared" si="638"/>
        <v>24326</v>
      </c>
      <c r="H1725" s="75">
        <f t="shared" si="639"/>
        <v>1</v>
      </c>
      <c r="I1725" s="76">
        <f t="shared" si="640"/>
        <v>1.02</v>
      </c>
      <c r="J1725" s="76">
        <f t="shared" si="641"/>
        <v>1.02</v>
      </c>
      <c r="K1725" s="67">
        <f t="shared" si="642"/>
        <v>0</v>
      </c>
      <c r="L1725" s="67">
        <f t="shared" si="643"/>
        <v>0</v>
      </c>
      <c r="M1725" s="77">
        <f t="shared" si="644"/>
        <v>0</v>
      </c>
      <c r="N1725" s="76">
        <f t="shared" si="645"/>
        <v>1.02</v>
      </c>
      <c r="O1725" s="77">
        <f t="shared" si="646"/>
        <v>0.91728665207877469</v>
      </c>
      <c r="P1725" s="76">
        <f t="shared" si="647"/>
        <v>0</v>
      </c>
      <c r="Q1725" s="76">
        <f t="shared" si="648"/>
        <v>1</v>
      </c>
      <c r="R1725" s="76">
        <f t="shared" si="649"/>
        <v>0</v>
      </c>
      <c r="S1725" s="76">
        <f t="shared" si="650"/>
        <v>1.0169917229569023</v>
      </c>
      <c r="T1725" s="76">
        <f t="shared" si="651"/>
        <v>0.97968794596137376</v>
      </c>
      <c r="U1725" s="76">
        <f t="shared" si="652"/>
        <v>1.02</v>
      </c>
    </row>
    <row r="1726" spans="1:21" x14ac:dyDescent="0.25">
      <c r="A1726" s="71">
        <v>28</v>
      </c>
      <c r="B1726" s="72">
        <f t="shared" si="653"/>
        <v>46478</v>
      </c>
      <c r="C1726" s="73">
        <f t="shared" si="634"/>
        <v>46507</v>
      </c>
      <c r="D1726" s="67">
        <f t="shared" si="635"/>
        <v>30</v>
      </c>
      <c r="E1726" s="67">
        <f t="shared" si="636"/>
        <v>4</v>
      </c>
      <c r="F1726" s="74">
        <f t="shared" si="637"/>
        <v>46493</v>
      </c>
      <c r="G1726" s="67">
        <f t="shared" si="638"/>
        <v>24327</v>
      </c>
      <c r="H1726" s="75">
        <f t="shared" si="639"/>
        <v>1</v>
      </c>
      <c r="I1726" s="76">
        <f t="shared" si="640"/>
        <v>1.02</v>
      </c>
      <c r="J1726" s="76">
        <f t="shared" si="641"/>
        <v>1.02</v>
      </c>
      <c r="K1726" s="67">
        <f t="shared" si="642"/>
        <v>0</v>
      </c>
      <c r="L1726" s="67">
        <f t="shared" si="643"/>
        <v>0</v>
      </c>
      <c r="M1726" s="77">
        <f t="shared" si="644"/>
        <v>0</v>
      </c>
      <c r="N1726" s="76">
        <f t="shared" si="645"/>
        <v>1.02</v>
      </c>
      <c r="O1726" s="77">
        <f t="shared" si="646"/>
        <v>0.91862144420131298</v>
      </c>
      <c r="P1726" s="76">
        <f t="shared" si="647"/>
        <v>0</v>
      </c>
      <c r="Q1726" s="76">
        <f t="shared" si="648"/>
        <v>1</v>
      </c>
      <c r="R1726" s="76">
        <f t="shared" si="649"/>
        <v>0</v>
      </c>
      <c r="S1726" s="76">
        <f t="shared" si="650"/>
        <v>1.0184716011797166</v>
      </c>
      <c r="T1726" s="76">
        <f t="shared" si="651"/>
        <v>0.9811388069641328</v>
      </c>
      <c r="U1726" s="76">
        <f t="shared" si="652"/>
        <v>1.02</v>
      </c>
    </row>
    <row r="1727" spans="1:21" x14ac:dyDescent="0.25">
      <c r="A1727" s="71">
        <v>29</v>
      </c>
      <c r="B1727" s="72">
        <f t="shared" si="653"/>
        <v>46508</v>
      </c>
      <c r="C1727" s="73">
        <f t="shared" si="634"/>
        <v>46538</v>
      </c>
      <c r="D1727" s="67">
        <f t="shared" si="635"/>
        <v>31</v>
      </c>
      <c r="E1727" s="67">
        <f t="shared" si="636"/>
        <v>5</v>
      </c>
      <c r="F1727" s="74">
        <f t="shared" si="637"/>
        <v>46523.5</v>
      </c>
      <c r="G1727" s="67">
        <f t="shared" si="638"/>
        <v>24328</v>
      </c>
      <c r="H1727" s="75">
        <f t="shared" si="639"/>
        <v>1</v>
      </c>
      <c r="I1727" s="76">
        <f t="shared" si="640"/>
        <v>1.02</v>
      </c>
      <c r="J1727" s="76">
        <f t="shared" si="641"/>
        <v>1.02</v>
      </c>
      <c r="K1727" s="67">
        <f t="shared" si="642"/>
        <v>0</v>
      </c>
      <c r="L1727" s="67">
        <f t="shared" si="643"/>
        <v>0</v>
      </c>
      <c r="M1727" s="77">
        <f t="shared" si="644"/>
        <v>0</v>
      </c>
      <c r="N1727" s="76">
        <f t="shared" si="645"/>
        <v>1.02</v>
      </c>
      <c r="O1727" s="77">
        <f t="shared" si="646"/>
        <v>0.91995623632385126</v>
      </c>
      <c r="P1727" s="76">
        <f t="shared" si="647"/>
        <v>0</v>
      </c>
      <c r="Q1727" s="76">
        <f t="shared" si="648"/>
        <v>1</v>
      </c>
      <c r="R1727" s="76">
        <f t="shared" si="649"/>
        <v>0</v>
      </c>
      <c r="S1727" s="76">
        <f t="shared" si="650"/>
        <v>1.0199514794025308</v>
      </c>
      <c r="T1727" s="76">
        <f t="shared" si="651"/>
        <v>0.98258966796689184</v>
      </c>
      <c r="U1727" s="76">
        <f t="shared" si="652"/>
        <v>1.02</v>
      </c>
    </row>
    <row r="1728" spans="1:21" x14ac:dyDescent="0.25">
      <c r="A1728" s="71">
        <v>30</v>
      </c>
      <c r="B1728" s="72">
        <f t="shared" si="653"/>
        <v>46539</v>
      </c>
      <c r="C1728" s="73">
        <f t="shared" si="634"/>
        <v>46568</v>
      </c>
      <c r="D1728" s="67">
        <f t="shared" si="635"/>
        <v>30</v>
      </c>
      <c r="E1728" s="67">
        <f t="shared" si="636"/>
        <v>6</v>
      </c>
      <c r="F1728" s="74">
        <f t="shared" si="637"/>
        <v>46554</v>
      </c>
      <c r="G1728" s="67">
        <f t="shared" si="638"/>
        <v>24329</v>
      </c>
      <c r="H1728" s="75">
        <f t="shared" si="639"/>
        <v>1</v>
      </c>
      <c r="I1728" s="76">
        <f t="shared" si="640"/>
        <v>1.02</v>
      </c>
      <c r="J1728" s="76">
        <f t="shared" si="641"/>
        <v>1.02</v>
      </c>
      <c r="K1728" s="67">
        <f t="shared" si="642"/>
        <v>0</v>
      </c>
      <c r="L1728" s="67">
        <f t="shared" si="643"/>
        <v>0</v>
      </c>
      <c r="M1728" s="77">
        <f t="shared" si="644"/>
        <v>0</v>
      </c>
      <c r="N1728" s="76">
        <f t="shared" si="645"/>
        <v>1.02</v>
      </c>
      <c r="O1728" s="77">
        <f t="shared" si="646"/>
        <v>0.92129102844638955</v>
      </c>
      <c r="P1728" s="76">
        <f t="shared" si="647"/>
        <v>0</v>
      </c>
      <c r="Q1728" s="76">
        <f t="shared" si="648"/>
        <v>1</v>
      </c>
      <c r="R1728" s="76">
        <f t="shared" si="649"/>
        <v>0</v>
      </c>
      <c r="S1728" s="76">
        <f t="shared" si="650"/>
        <v>1.0214313576253451</v>
      </c>
      <c r="T1728" s="76">
        <f t="shared" si="651"/>
        <v>0.98404052896965077</v>
      </c>
      <c r="U1728" s="76">
        <f t="shared" si="652"/>
        <v>1.02</v>
      </c>
    </row>
    <row r="1729" spans="1:21" x14ac:dyDescent="0.25">
      <c r="A1729" s="71">
        <v>31</v>
      </c>
      <c r="B1729" s="72">
        <f t="shared" si="653"/>
        <v>46569</v>
      </c>
      <c r="C1729" s="73">
        <f t="shared" si="634"/>
        <v>46599</v>
      </c>
      <c r="D1729" s="67">
        <f t="shared" si="635"/>
        <v>31</v>
      </c>
      <c r="E1729" s="67">
        <f t="shared" si="636"/>
        <v>7</v>
      </c>
      <c r="F1729" s="74">
        <f t="shared" si="637"/>
        <v>46584.5</v>
      </c>
      <c r="G1729" s="67">
        <f t="shared" si="638"/>
        <v>24330</v>
      </c>
      <c r="H1729" s="75">
        <f t="shared" si="639"/>
        <v>1</v>
      </c>
      <c r="I1729" s="76">
        <f t="shared" si="640"/>
        <v>1.02</v>
      </c>
      <c r="J1729" s="76">
        <f t="shared" si="641"/>
        <v>1.02</v>
      </c>
      <c r="K1729" s="67">
        <f t="shared" si="642"/>
        <v>0</v>
      </c>
      <c r="L1729" s="67">
        <f t="shared" si="643"/>
        <v>0</v>
      </c>
      <c r="M1729" s="77">
        <f t="shared" si="644"/>
        <v>0</v>
      </c>
      <c r="N1729" s="76">
        <f t="shared" si="645"/>
        <v>1.02</v>
      </c>
      <c r="O1729" s="77">
        <f t="shared" si="646"/>
        <v>0.92262582056892783</v>
      </c>
      <c r="P1729" s="76">
        <f t="shared" si="647"/>
        <v>0</v>
      </c>
      <c r="Q1729" s="76">
        <f t="shared" si="648"/>
        <v>0.91666666666666663</v>
      </c>
      <c r="R1729" s="76">
        <f t="shared" si="649"/>
        <v>8.333333333333337E-2</v>
      </c>
      <c r="S1729" s="76">
        <f t="shared" si="650"/>
        <v>1.0229112358481589</v>
      </c>
      <c r="T1729" s="76">
        <f t="shared" si="651"/>
        <v>1.0052012177718581</v>
      </c>
      <c r="U1729" s="76">
        <f t="shared" si="652"/>
        <v>1.02</v>
      </c>
    </row>
    <row r="1730" spans="1:21" x14ac:dyDescent="0.25">
      <c r="A1730" s="71">
        <v>32</v>
      </c>
      <c r="B1730" s="72">
        <f t="shared" si="653"/>
        <v>46600</v>
      </c>
      <c r="C1730" s="73">
        <f t="shared" si="634"/>
        <v>46630</v>
      </c>
      <c r="D1730" s="67">
        <f t="shared" si="635"/>
        <v>31</v>
      </c>
      <c r="E1730" s="67">
        <f t="shared" si="636"/>
        <v>8</v>
      </c>
      <c r="F1730" s="74">
        <f t="shared" si="637"/>
        <v>46615.5</v>
      </c>
      <c r="G1730" s="67">
        <f t="shared" si="638"/>
        <v>24331</v>
      </c>
      <c r="H1730" s="75">
        <f t="shared" si="639"/>
        <v>1</v>
      </c>
      <c r="I1730" s="76">
        <f t="shared" si="640"/>
        <v>1.02</v>
      </c>
      <c r="J1730" s="76">
        <f t="shared" si="641"/>
        <v>1.02</v>
      </c>
      <c r="K1730" s="67">
        <f t="shared" si="642"/>
        <v>0</v>
      </c>
      <c r="L1730" s="67">
        <f t="shared" si="643"/>
        <v>0</v>
      </c>
      <c r="M1730" s="77">
        <f t="shared" si="644"/>
        <v>0</v>
      </c>
      <c r="N1730" s="76">
        <f t="shared" si="645"/>
        <v>1.02</v>
      </c>
      <c r="O1730" s="77">
        <f t="shared" si="646"/>
        <v>0.92398249452954051</v>
      </c>
      <c r="P1730" s="76">
        <f t="shared" si="647"/>
        <v>0</v>
      </c>
      <c r="Q1730" s="76">
        <f t="shared" si="648"/>
        <v>0.75</v>
      </c>
      <c r="R1730" s="76">
        <f t="shared" si="649"/>
        <v>0.25</v>
      </c>
      <c r="S1730" s="76">
        <f t="shared" si="650"/>
        <v>1.024415374369708</v>
      </c>
      <c r="T1730" s="76">
        <f t="shared" si="651"/>
        <v>1.006705356293407</v>
      </c>
      <c r="U1730" s="76">
        <f t="shared" si="652"/>
        <v>1.02</v>
      </c>
    </row>
    <row r="1731" spans="1:21" x14ac:dyDescent="0.25">
      <c r="A1731" s="71">
        <v>33</v>
      </c>
      <c r="B1731" s="72">
        <f t="shared" si="653"/>
        <v>46631</v>
      </c>
      <c r="C1731" s="73">
        <f t="shared" si="634"/>
        <v>46660</v>
      </c>
      <c r="D1731" s="67">
        <f t="shared" si="635"/>
        <v>30</v>
      </c>
      <c r="E1731" s="67">
        <f t="shared" si="636"/>
        <v>9</v>
      </c>
      <c r="F1731" s="74">
        <f t="shared" si="637"/>
        <v>46646</v>
      </c>
      <c r="G1731" s="67">
        <f t="shared" si="638"/>
        <v>24332</v>
      </c>
      <c r="H1731" s="75">
        <f t="shared" si="639"/>
        <v>1</v>
      </c>
      <c r="I1731" s="76">
        <f t="shared" si="640"/>
        <v>1.02</v>
      </c>
      <c r="J1731" s="76">
        <f t="shared" si="641"/>
        <v>1.02</v>
      </c>
      <c r="K1731" s="67">
        <f t="shared" si="642"/>
        <v>0</v>
      </c>
      <c r="L1731" s="67">
        <f t="shared" si="643"/>
        <v>0</v>
      </c>
      <c r="M1731" s="77">
        <f t="shared" si="644"/>
        <v>0</v>
      </c>
      <c r="N1731" s="76">
        <f t="shared" si="645"/>
        <v>1.02</v>
      </c>
      <c r="O1731" s="77">
        <f t="shared" si="646"/>
        <v>0.9253172866520788</v>
      </c>
      <c r="P1731" s="76">
        <f t="shared" si="647"/>
        <v>0</v>
      </c>
      <c r="Q1731" s="76">
        <f t="shared" si="648"/>
        <v>0.58333333333333337</v>
      </c>
      <c r="R1731" s="76">
        <f t="shared" si="649"/>
        <v>0.41666666666666663</v>
      </c>
      <c r="S1731" s="76">
        <f t="shared" si="650"/>
        <v>1.0258952525925222</v>
      </c>
      <c r="T1731" s="76">
        <f t="shared" si="651"/>
        <v>1.008185234516221</v>
      </c>
      <c r="U1731" s="76">
        <f t="shared" si="652"/>
        <v>1.02</v>
      </c>
    </row>
    <row r="1732" spans="1:21" x14ac:dyDescent="0.25">
      <c r="A1732" s="71">
        <v>34</v>
      </c>
      <c r="B1732" s="72">
        <f t="shared" si="653"/>
        <v>46661</v>
      </c>
      <c r="C1732" s="73">
        <f t="shared" si="634"/>
        <v>46691</v>
      </c>
      <c r="D1732" s="67">
        <f t="shared" si="635"/>
        <v>31</v>
      </c>
      <c r="E1732" s="67">
        <f t="shared" si="636"/>
        <v>10</v>
      </c>
      <c r="F1732" s="74">
        <f t="shared" si="637"/>
        <v>46676.5</v>
      </c>
      <c r="G1732" s="67">
        <f t="shared" si="638"/>
        <v>24333</v>
      </c>
      <c r="H1732" s="75">
        <f t="shared" si="639"/>
        <v>1</v>
      </c>
      <c r="I1732" s="76">
        <f t="shared" si="640"/>
        <v>1.02</v>
      </c>
      <c r="J1732" s="76">
        <f t="shared" si="641"/>
        <v>1.02</v>
      </c>
      <c r="K1732" s="67">
        <f t="shared" si="642"/>
        <v>0</v>
      </c>
      <c r="L1732" s="67">
        <f t="shared" si="643"/>
        <v>0</v>
      </c>
      <c r="M1732" s="77">
        <f t="shared" si="644"/>
        <v>0</v>
      </c>
      <c r="N1732" s="76">
        <f t="shared" si="645"/>
        <v>1.02</v>
      </c>
      <c r="O1732" s="77">
        <f t="shared" si="646"/>
        <v>0.92665207877461708</v>
      </c>
      <c r="P1732" s="76">
        <f t="shared" si="647"/>
        <v>0</v>
      </c>
      <c r="Q1732" s="76">
        <f t="shared" si="648"/>
        <v>0.41666666666666669</v>
      </c>
      <c r="R1732" s="76">
        <f t="shared" si="649"/>
        <v>0.58333333333333326</v>
      </c>
      <c r="S1732" s="76">
        <f t="shared" si="650"/>
        <v>1.0273751308153365</v>
      </c>
      <c r="T1732" s="76">
        <f t="shared" si="651"/>
        <v>1.0096651127390353</v>
      </c>
      <c r="U1732" s="76">
        <f t="shared" si="652"/>
        <v>1.02</v>
      </c>
    </row>
    <row r="1733" spans="1:21" x14ac:dyDescent="0.25">
      <c r="A1733" s="71">
        <v>35</v>
      </c>
      <c r="B1733" s="72">
        <f t="shared" si="653"/>
        <v>46692</v>
      </c>
      <c r="C1733" s="73">
        <f t="shared" si="634"/>
        <v>46721</v>
      </c>
      <c r="D1733" s="67">
        <f t="shared" si="635"/>
        <v>30</v>
      </c>
      <c r="E1733" s="67">
        <f t="shared" si="636"/>
        <v>11</v>
      </c>
      <c r="F1733" s="74">
        <f t="shared" si="637"/>
        <v>46707</v>
      </c>
      <c r="G1733" s="67">
        <f t="shared" si="638"/>
        <v>24334</v>
      </c>
      <c r="H1733" s="75">
        <f t="shared" si="639"/>
        <v>1</v>
      </c>
      <c r="I1733" s="76">
        <f t="shared" si="640"/>
        <v>1.02</v>
      </c>
      <c r="J1733" s="76">
        <f t="shared" si="641"/>
        <v>1.02</v>
      </c>
      <c r="K1733" s="67">
        <f t="shared" si="642"/>
        <v>0</v>
      </c>
      <c r="L1733" s="67">
        <f t="shared" si="643"/>
        <v>0</v>
      </c>
      <c r="M1733" s="77">
        <f t="shared" si="644"/>
        <v>0</v>
      </c>
      <c r="N1733" s="76">
        <f t="shared" si="645"/>
        <v>1.02</v>
      </c>
      <c r="O1733" s="77">
        <f t="shared" si="646"/>
        <v>0.92798687089715537</v>
      </c>
      <c r="P1733" s="76">
        <f t="shared" si="647"/>
        <v>0</v>
      </c>
      <c r="Q1733" s="76">
        <f t="shared" si="648"/>
        <v>0.25</v>
      </c>
      <c r="R1733" s="76">
        <f t="shared" si="649"/>
        <v>0.75</v>
      </c>
      <c r="S1733" s="76">
        <f t="shared" si="650"/>
        <v>1.0288550090381503</v>
      </c>
      <c r="T1733" s="76">
        <f t="shared" si="651"/>
        <v>1.0111449909618495</v>
      </c>
      <c r="U1733" s="76">
        <f t="shared" si="652"/>
        <v>1.02</v>
      </c>
    </row>
    <row r="1734" spans="1:21" x14ac:dyDescent="0.25">
      <c r="A1734" s="71">
        <v>36</v>
      </c>
      <c r="B1734" s="72">
        <f t="shared" si="653"/>
        <v>46722</v>
      </c>
      <c r="C1734" s="73">
        <f t="shared" si="634"/>
        <v>46752</v>
      </c>
      <c r="D1734" s="67">
        <f t="shared" si="635"/>
        <v>31</v>
      </c>
      <c r="E1734" s="67">
        <f t="shared" si="636"/>
        <v>12</v>
      </c>
      <c r="F1734" s="74">
        <f t="shared" si="637"/>
        <v>46737.5</v>
      </c>
      <c r="G1734" s="67">
        <f t="shared" si="638"/>
        <v>24335</v>
      </c>
      <c r="H1734" s="75">
        <f t="shared" si="639"/>
        <v>1</v>
      </c>
      <c r="I1734" s="76">
        <f t="shared" si="640"/>
        <v>1.02</v>
      </c>
      <c r="J1734" s="76">
        <f t="shared" si="641"/>
        <v>1.02</v>
      </c>
      <c r="K1734" s="67">
        <f t="shared" si="642"/>
        <v>0</v>
      </c>
      <c r="L1734" s="67">
        <f t="shared" si="643"/>
        <v>0</v>
      </c>
      <c r="M1734" s="77">
        <f t="shared" si="644"/>
        <v>0</v>
      </c>
      <c r="N1734" s="76">
        <f t="shared" si="645"/>
        <v>1.02</v>
      </c>
      <c r="O1734" s="77">
        <f t="shared" si="646"/>
        <v>0.92932166301969366</v>
      </c>
      <c r="P1734" s="76">
        <f t="shared" si="647"/>
        <v>0</v>
      </c>
      <c r="Q1734" s="76">
        <f t="shared" si="648"/>
        <v>8.3333333333333329E-2</v>
      </c>
      <c r="R1734" s="76">
        <f t="shared" si="649"/>
        <v>0.91666666666666663</v>
      </c>
      <c r="S1734" s="76">
        <f t="shared" si="650"/>
        <v>1.0303348872609646</v>
      </c>
      <c r="T1734" s="76">
        <f t="shared" si="651"/>
        <v>1.0126248691846638</v>
      </c>
      <c r="U1734" s="76">
        <f t="shared" si="652"/>
        <v>1.02</v>
      </c>
    </row>
    <row r="1735" spans="1:21" x14ac:dyDescent="0.25">
      <c r="A1735" s="71">
        <v>37</v>
      </c>
      <c r="B1735" s="72">
        <f t="shared" si="653"/>
        <v>46753</v>
      </c>
      <c r="C1735" s="73">
        <f t="shared" si="634"/>
        <v>46783</v>
      </c>
      <c r="D1735" s="67">
        <f t="shared" si="635"/>
        <v>31</v>
      </c>
      <c r="E1735" s="67">
        <f t="shared" si="636"/>
        <v>1</v>
      </c>
      <c r="F1735" s="74">
        <f t="shared" si="637"/>
        <v>46768.5</v>
      </c>
      <c r="G1735" s="67">
        <f t="shared" si="638"/>
        <v>24336</v>
      </c>
      <c r="H1735" s="75">
        <f t="shared" si="639"/>
        <v>1</v>
      </c>
      <c r="I1735" s="76">
        <f t="shared" si="640"/>
        <v>1.02</v>
      </c>
      <c r="J1735" s="76">
        <f t="shared" si="641"/>
        <v>1.02</v>
      </c>
      <c r="K1735" s="67">
        <f t="shared" si="642"/>
        <v>0</v>
      </c>
      <c r="L1735" s="67">
        <f t="shared" si="643"/>
        <v>0</v>
      </c>
      <c r="M1735" s="77">
        <f t="shared" si="644"/>
        <v>0</v>
      </c>
      <c r="N1735" s="76">
        <f t="shared" si="645"/>
        <v>1.02</v>
      </c>
      <c r="O1735" s="77">
        <f t="shared" si="646"/>
        <v>0.93</v>
      </c>
      <c r="P1735" s="76">
        <f t="shared" si="647"/>
        <v>0</v>
      </c>
      <c r="Q1735" s="76">
        <f t="shared" si="648"/>
        <v>0</v>
      </c>
      <c r="R1735" s="76">
        <f t="shared" si="649"/>
        <v>1</v>
      </c>
      <c r="S1735" s="76">
        <f t="shared" si="650"/>
        <v>1.0310869565217391</v>
      </c>
      <c r="T1735" s="76">
        <f t="shared" si="651"/>
        <v>0.97688136238226619</v>
      </c>
      <c r="U1735" s="76">
        <f t="shared" si="652"/>
        <v>1.02</v>
      </c>
    </row>
    <row r="1736" spans="1:21" x14ac:dyDescent="0.25">
      <c r="A1736" s="71">
        <v>38</v>
      </c>
      <c r="B1736" s="72">
        <f t="shared" si="653"/>
        <v>46784</v>
      </c>
      <c r="C1736" s="73">
        <f t="shared" si="634"/>
        <v>46812</v>
      </c>
      <c r="D1736" s="67">
        <f t="shared" si="635"/>
        <v>29</v>
      </c>
      <c r="E1736" s="67">
        <f t="shared" si="636"/>
        <v>2</v>
      </c>
      <c r="F1736" s="74">
        <f t="shared" si="637"/>
        <v>46798.5</v>
      </c>
      <c r="G1736" s="67">
        <f t="shared" si="638"/>
        <v>24337</v>
      </c>
      <c r="H1736" s="75">
        <f t="shared" si="639"/>
        <v>1</v>
      </c>
      <c r="I1736" s="76">
        <f t="shared" si="640"/>
        <v>1.02</v>
      </c>
      <c r="J1736" s="76">
        <f t="shared" si="641"/>
        <v>1.02</v>
      </c>
      <c r="K1736" s="67">
        <f t="shared" si="642"/>
        <v>0</v>
      </c>
      <c r="L1736" s="67">
        <f t="shared" si="643"/>
        <v>0</v>
      </c>
      <c r="M1736" s="77">
        <f t="shared" si="644"/>
        <v>0</v>
      </c>
      <c r="N1736" s="76">
        <f t="shared" si="645"/>
        <v>1.02</v>
      </c>
      <c r="O1736" s="77">
        <f t="shared" si="646"/>
        <v>0.93</v>
      </c>
      <c r="P1736" s="76">
        <f t="shared" si="647"/>
        <v>0</v>
      </c>
      <c r="Q1736" s="76">
        <f t="shared" si="648"/>
        <v>0</v>
      </c>
      <c r="R1736" s="76">
        <f t="shared" si="649"/>
        <v>1</v>
      </c>
      <c r="S1736" s="76">
        <f t="shared" si="650"/>
        <v>1.0310869565217391</v>
      </c>
      <c r="T1736" s="76">
        <f t="shared" si="651"/>
        <v>0.97828465417181998</v>
      </c>
      <c r="U1736" s="76">
        <f t="shared" si="652"/>
        <v>1.02</v>
      </c>
    </row>
    <row r="1737" spans="1:21" x14ac:dyDescent="0.25">
      <c r="A1737" s="71">
        <v>39</v>
      </c>
      <c r="B1737" s="72">
        <f t="shared" si="653"/>
        <v>46813</v>
      </c>
      <c r="C1737" s="73">
        <f t="shared" si="634"/>
        <v>46843</v>
      </c>
      <c r="D1737" s="67">
        <f t="shared" si="635"/>
        <v>31</v>
      </c>
      <c r="E1737" s="67">
        <f t="shared" si="636"/>
        <v>3</v>
      </c>
      <c r="F1737" s="74">
        <f t="shared" si="637"/>
        <v>46828.5</v>
      </c>
      <c r="G1737" s="67">
        <f t="shared" si="638"/>
        <v>24338</v>
      </c>
      <c r="H1737" s="75">
        <f t="shared" si="639"/>
        <v>1</v>
      </c>
      <c r="I1737" s="76">
        <f t="shared" si="640"/>
        <v>1.02</v>
      </c>
      <c r="J1737" s="76">
        <f t="shared" si="641"/>
        <v>1.02</v>
      </c>
      <c r="K1737" s="67">
        <f t="shared" si="642"/>
        <v>0</v>
      </c>
      <c r="L1737" s="67">
        <f t="shared" si="643"/>
        <v>0</v>
      </c>
      <c r="M1737" s="77">
        <f t="shared" si="644"/>
        <v>0</v>
      </c>
      <c r="N1737" s="76">
        <f t="shared" si="645"/>
        <v>1.02</v>
      </c>
      <c r="O1737" s="77">
        <f t="shared" si="646"/>
        <v>0.93</v>
      </c>
      <c r="P1737" s="76">
        <f t="shared" si="647"/>
        <v>0</v>
      </c>
      <c r="Q1737" s="76">
        <f t="shared" si="648"/>
        <v>0</v>
      </c>
      <c r="R1737" s="76">
        <f t="shared" si="649"/>
        <v>1</v>
      </c>
      <c r="S1737" s="76">
        <f t="shared" si="650"/>
        <v>1.0310869565217391</v>
      </c>
      <c r="T1737" s="76">
        <f t="shared" si="651"/>
        <v>0.97968794596137376</v>
      </c>
      <c r="U1737" s="76">
        <f t="shared" si="652"/>
        <v>1.02</v>
      </c>
    </row>
    <row r="1738" spans="1:21" x14ac:dyDescent="0.25">
      <c r="A1738" s="71">
        <v>40</v>
      </c>
      <c r="B1738" s="72">
        <f t="shared" si="653"/>
        <v>46844</v>
      </c>
      <c r="C1738" s="73">
        <f t="shared" si="634"/>
        <v>46873</v>
      </c>
      <c r="D1738" s="67">
        <f t="shared" si="635"/>
        <v>30</v>
      </c>
      <c r="E1738" s="67">
        <f t="shared" si="636"/>
        <v>4</v>
      </c>
      <c r="F1738" s="74">
        <f t="shared" si="637"/>
        <v>46859</v>
      </c>
      <c r="G1738" s="67">
        <f t="shared" si="638"/>
        <v>24339</v>
      </c>
      <c r="H1738" s="75">
        <f t="shared" si="639"/>
        <v>1</v>
      </c>
      <c r="I1738" s="76">
        <f t="shared" si="640"/>
        <v>1.02</v>
      </c>
      <c r="J1738" s="76">
        <f t="shared" si="641"/>
        <v>1.02</v>
      </c>
      <c r="K1738" s="67">
        <f t="shared" si="642"/>
        <v>0</v>
      </c>
      <c r="L1738" s="67">
        <f t="shared" si="643"/>
        <v>0</v>
      </c>
      <c r="M1738" s="77">
        <f t="shared" si="644"/>
        <v>0</v>
      </c>
      <c r="N1738" s="76">
        <f t="shared" si="645"/>
        <v>1.02</v>
      </c>
      <c r="O1738" s="77">
        <f t="shared" si="646"/>
        <v>0.93</v>
      </c>
      <c r="P1738" s="76">
        <f t="shared" si="647"/>
        <v>0</v>
      </c>
      <c r="Q1738" s="76">
        <f t="shared" si="648"/>
        <v>0</v>
      </c>
      <c r="R1738" s="76">
        <f t="shared" si="649"/>
        <v>1</v>
      </c>
      <c r="S1738" s="76">
        <f t="shared" si="650"/>
        <v>1.0310869565217391</v>
      </c>
      <c r="T1738" s="76">
        <f t="shared" si="651"/>
        <v>0.9811388069641328</v>
      </c>
      <c r="U1738" s="76">
        <f t="shared" si="652"/>
        <v>1.02</v>
      </c>
    </row>
    <row r="1739" spans="1:21" x14ac:dyDescent="0.25">
      <c r="A1739" s="71">
        <v>41</v>
      </c>
      <c r="B1739" s="72">
        <f t="shared" si="653"/>
        <v>46874</v>
      </c>
      <c r="C1739" s="73">
        <f t="shared" si="634"/>
        <v>46904</v>
      </c>
      <c r="D1739" s="67">
        <f t="shared" si="635"/>
        <v>31</v>
      </c>
      <c r="E1739" s="67">
        <f t="shared" si="636"/>
        <v>5</v>
      </c>
      <c r="F1739" s="74">
        <f t="shared" si="637"/>
        <v>46889.5</v>
      </c>
      <c r="G1739" s="67">
        <f t="shared" si="638"/>
        <v>24340</v>
      </c>
      <c r="H1739" s="75">
        <f t="shared" si="639"/>
        <v>1</v>
      </c>
      <c r="I1739" s="76">
        <f t="shared" si="640"/>
        <v>1.02</v>
      </c>
      <c r="J1739" s="76">
        <f t="shared" si="641"/>
        <v>1.02</v>
      </c>
      <c r="K1739" s="67">
        <f t="shared" si="642"/>
        <v>0</v>
      </c>
      <c r="L1739" s="67">
        <f t="shared" si="643"/>
        <v>0</v>
      </c>
      <c r="M1739" s="77">
        <f t="shared" si="644"/>
        <v>0</v>
      </c>
      <c r="N1739" s="76">
        <f t="shared" si="645"/>
        <v>1.02</v>
      </c>
      <c r="O1739" s="77">
        <f t="shared" si="646"/>
        <v>0.93</v>
      </c>
      <c r="P1739" s="76">
        <f t="shared" si="647"/>
        <v>0</v>
      </c>
      <c r="Q1739" s="76">
        <f t="shared" si="648"/>
        <v>0</v>
      </c>
      <c r="R1739" s="76">
        <f t="shared" si="649"/>
        <v>1</v>
      </c>
      <c r="S1739" s="76">
        <f t="shared" si="650"/>
        <v>1.0310869565217391</v>
      </c>
      <c r="T1739" s="76">
        <f t="shared" si="651"/>
        <v>0.98258966796689184</v>
      </c>
      <c r="U1739" s="76">
        <f t="shared" si="652"/>
        <v>1.02</v>
      </c>
    </row>
    <row r="1740" spans="1:21" x14ac:dyDescent="0.25">
      <c r="A1740" s="71">
        <v>42</v>
      </c>
      <c r="B1740" s="72">
        <f t="shared" si="653"/>
        <v>46905</v>
      </c>
      <c r="C1740" s="73">
        <f t="shared" si="634"/>
        <v>46934</v>
      </c>
      <c r="D1740" s="67">
        <f t="shared" si="635"/>
        <v>30</v>
      </c>
      <c r="E1740" s="67">
        <f t="shared" si="636"/>
        <v>6</v>
      </c>
      <c r="F1740" s="74">
        <f t="shared" si="637"/>
        <v>46920</v>
      </c>
      <c r="G1740" s="67">
        <f t="shared" si="638"/>
        <v>24341</v>
      </c>
      <c r="H1740" s="75">
        <f t="shared" si="639"/>
        <v>1</v>
      </c>
      <c r="I1740" s="76">
        <f t="shared" si="640"/>
        <v>1.02</v>
      </c>
      <c r="J1740" s="76">
        <f t="shared" si="641"/>
        <v>1.02</v>
      </c>
      <c r="K1740" s="67">
        <f t="shared" si="642"/>
        <v>0</v>
      </c>
      <c r="L1740" s="67">
        <f t="shared" si="643"/>
        <v>0</v>
      </c>
      <c r="M1740" s="77">
        <f t="shared" si="644"/>
        <v>0</v>
      </c>
      <c r="N1740" s="76">
        <f t="shared" si="645"/>
        <v>1.02</v>
      </c>
      <c r="O1740" s="77">
        <f t="shared" si="646"/>
        <v>0.93</v>
      </c>
      <c r="P1740" s="76">
        <f t="shared" si="647"/>
        <v>0</v>
      </c>
      <c r="Q1740" s="76">
        <f t="shared" si="648"/>
        <v>0</v>
      </c>
      <c r="R1740" s="76">
        <f t="shared" si="649"/>
        <v>1</v>
      </c>
      <c r="S1740" s="76">
        <f t="shared" si="650"/>
        <v>1.0310869565217391</v>
      </c>
      <c r="T1740" s="76">
        <f t="shared" si="651"/>
        <v>0.98404052896965077</v>
      </c>
      <c r="U1740" s="76">
        <f t="shared" si="652"/>
        <v>1.02</v>
      </c>
    </row>
    <row r="1741" spans="1:21" x14ac:dyDescent="0.25">
      <c r="A1741" s="71">
        <v>43</v>
      </c>
      <c r="B1741" s="72">
        <f t="shared" si="653"/>
        <v>46935</v>
      </c>
      <c r="C1741" s="73">
        <f t="shared" si="634"/>
        <v>46965</v>
      </c>
      <c r="D1741" s="67">
        <f t="shared" si="635"/>
        <v>31</v>
      </c>
      <c r="E1741" s="67">
        <f t="shared" si="636"/>
        <v>7</v>
      </c>
      <c r="F1741" s="74">
        <f t="shared" si="637"/>
        <v>46950.5</v>
      </c>
      <c r="G1741" s="67">
        <f t="shared" si="638"/>
        <v>24342</v>
      </c>
      <c r="H1741" s="75">
        <f t="shared" si="639"/>
        <v>1</v>
      </c>
      <c r="I1741" s="76">
        <f t="shared" si="640"/>
        <v>1.02</v>
      </c>
      <c r="J1741" s="76">
        <f t="shared" si="641"/>
        <v>1.02</v>
      </c>
      <c r="K1741" s="67">
        <f t="shared" si="642"/>
        <v>0</v>
      </c>
      <c r="L1741" s="67">
        <f t="shared" si="643"/>
        <v>0</v>
      </c>
      <c r="M1741" s="77">
        <f t="shared" si="644"/>
        <v>0</v>
      </c>
      <c r="N1741" s="76">
        <f t="shared" si="645"/>
        <v>1.02</v>
      </c>
      <c r="O1741" s="77">
        <f t="shared" si="646"/>
        <v>0.93</v>
      </c>
      <c r="P1741" s="76">
        <f t="shared" si="647"/>
        <v>0</v>
      </c>
      <c r="Q1741" s="76">
        <f t="shared" si="648"/>
        <v>0</v>
      </c>
      <c r="R1741" s="76">
        <f t="shared" si="649"/>
        <v>0.91666666666666663</v>
      </c>
      <c r="S1741" s="76">
        <f t="shared" si="650"/>
        <v>1.0310869565217391</v>
      </c>
      <c r="T1741" s="76">
        <f t="shared" si="651"/>
        <v>1.0052012177718581</v>
      </c>
      <c r="U1741" s="76">
        <f t="shared" si="652"/>
        <v>1.02</v>
      </c>
    </row>
    <row r="1742" spans="1:21" x14ac:dyDescent="0.25">
      <c r="A1742" s="71">
        <v>44</v>
      </c>
      <c r="B1742" s="72">
        <f t="shared" si="653"/>
        <v>46966</v>
      </c>
      <c r="C1742" s="73">
        <f t="shared" si="634"/>
        <v>46996</v>
      </c>
      <c r="D1742" s="67">
        <f t="shared" si="635"/>
        <v>31</v>
      </c>
      <c r="E1742" s="67">
        <f t="shared" si="636"/>
        <v>8</v>
      </c>
      <c r="F1742" s="74">
        <f t="shared" si="637"/>
        <v>46981.5</v>
      </c>
      <c r="G1742" s="67">
        <f t="shared" si="638"/>
        <v>24343</v>
      </c>
      <c r="H1742" s="75">
        <f t="shared" si="639"/>
        <v>1</v>
      </c>
      <c r="I1742" s="76">
        <f t="shared" si="640"/>
        <v>1.02</v>
      </c>
      <c r="J1742" s="76">
        <f t="shared" si="641"/>
        <v>1.02</v>
      </c>
      <c r="K1742" s="67">
        <f t="shared" si="642"/>
        <v>0</v>
      </c>
      <c r="L1742" s="67">
        <f t="shared" si="643"/>
        <v>0</v>
      </c>
      <c r="M1742" s="77">
        <f t="shared" si="644"/>
        <v>0</v>
      </c>
      <c r="N1742" s="76">
        <f t="shared" si="645"/>
        <v>1.02</v>
      </c>
      <c r="O1742" s="77">
        <f t="shared" si="646"/>
        <v>0.93</v>
      </c>
      <c r="P1742" s="76">
        <f t="shared" si="647"/>
        <v>0</v>
      </c>
      <c r="Q1742" s="76">
        <f t="shared" si="648"/>
        <v>0</v>
      </c>
      <c r="R1742" s="76">
        <f t="shared" si="649"/>
        <v>0.75</v>
      </c>
      <c r="S1742" s="76">
        <f t="shared" si="650"/>
        <v>1.0310869565217391</v>
      </c>
      <c r="T1742" s="76">
        <f t="shared" si="651"/>
        <v>1.006705356293407</v>
      </c>
      <c r="U1742" s="76">
        <f t="shared" si="652"/>
        <v>1.02</v>
      </c>
    </row>
    <row r="1743" spans="1:21" x14ac:dyDescent="0.25">
      <c r="A1743" s="71">
        <v>45</v>
      </c>
      <c r="B1743" s="72">
        <f t="shared" si="653"/>
        <v>46997</v>
      </c>
      <c r="C1743" s="73">
        <f t="shared" si="634"/>
        <v>47026</v>
      </c>
      <c r="D1743" s="67">
        <f t="shared" si="635"/>
        <v>30</v>
      </c>
      <c r="E1743" s="67">
        <f t="shared" si="636"/>
        <v>9</v>
      </c>
      <c r="F1743" s="74">
        <f t="shared" si="637"/>
        <v>47012</v>
      </c>
      <c r="G1743" s="67">
        <f t="shared" si="638"/>
        <v>24344</v>
      </c>
      <c r="H1743" s="75">
        <f t="shared" si="639"/>
        <v>1</v>
      </c>
      <c r="I1743" s="76">
        <f t="shared" si="640"/>
        <v>1.02</v>
      </c>
      <c r="J1743" s="76">
        <f t="shared" si="641"/>
        <v>1.02</v>
      </c>
      <c r="K1743" s="67">
        <f t="shared" si="642"/>
        <v>0</v>
      </c>
      <c r="L1743" s="67">
        <f t="shared" si="643"/>
        <v>0</v>
      </c>
      <c r="M1743" s="77">
        <f t="shared" si="644"/>
        <v>0</v>
      </c>
      <c r="N1743" s="76">
        <f t="shared" si="645"/>
        <v>1.02</v>
      </c>
      <c r="O1743" s="77">
        <f t="shared" si="646"/>
        <v>0.93</v>
      </c>
      <c r="P1743" s="76">
        <f t="shared" si="647"/>
        <v>0</v>
      </c>
      <c r="Q1743" s="76">
        <f t="shared" si="648"/>
        <v>0</v>
      </c>
      <c r="R1743" s="76">
        <f t="shared" si="649"/>
        <v>0.58333333333333337</v>
      </c>
      <c r="S1743" s="76">
        <f t="shared" si="650"/>
        <v>1.0310869565217391</v>
      </c>
      <c r="T1743" s="76">
        <f t="shared" si="651"/>
        <v>1.008185234516221</v>
      </c>
      <c r="U1743" s="76">
        <f t="shared" si="652"/>
        <v>1.02</v>
      </c>
    </row>
    <row r="1744" spans="1:21" x14ac:dyDescent="0.25">
      <c r="A1744" s="71">
        <v>46</v>
      </c>
      <c r="B1744" s="72">
        <f t="shared" si="653"/>
        <v>47027</v>
      </c>
      <c r="C1744" s="73">
        <f t="shared" si="634"/>
        <v>47057</v>
      </c>
      <c r="D1744" s="67">
        <f t="shared" si="635"/>
        <v>31</v>
      </c>
      <c r="E1744" s="67">
        <f t="shared" si="636"/>
        <v>10</v>
      </c>
      <c r="F1744" s="74">
        <f t="shared" si="637"/>
        <v>47042.5</v>
      </c>
      <c r="G1744" s="67">
        <f t="shared" si="638"/>
        <v>24345</v>
      </c>
      <c r="H1744" s="75">
        <f t="shared" si="639"/>
        <v>1</v>
      </c>
      <c r="I1744" s="76">
        <f t="shared" si="640"/>
        <v>1.02</v>
      </c>
      <c r="J1744" s="76">
        <f t="shared" si="641"/>
        <v>1.02</v>
      </c>
      <c r="K1744" s="67">
        <f t="shared" si="642"/>
        <v>0</v>
      </c>
      <c r="L1744" s="67">
        <f t="shared" si="643"/>
        <v>0</v>
      </c>
      <c r="M1744" s="77">
        <f t="shared" si="644"/>
        <v>0</v>
      </c>
      <c r="N1744" s="76">
        <f t="shared" si="645"/>
        <v>1.02</v>
      </c>
      <c r="O1744" s="77">
        <f t="shared" si="646"/>
        <v>0.93</v>
      </c>
      <c r="P1744" s="76">
        <f t="shared" si="647"/>
        <v>0</v>
      </c>
      <c r="Q1744" s="76">
        <f t="shared" si="648"/>
        <v>0</v>
      </c>
      <c r="R1744" s="76">
        <f t="shared" si="649"/>
        <v>0.41666666666666669</v>
      </c>
      <c r="S1744" s="76">
        <f t="shared" si="650"/>
        <v>1.0310869565217391</v>
      </c>
      <c r="T1744" s="76">
        <f t="shared" si="651"/>
        <v>1.0096651127390353</v>
      </c>
      <c r="U1744" s="76">
        <f t="shared" si="652"/>
        <v>1.02</v>
      </c>
    </row>
    <row r="1745" spans="1:21" x14ac:dyDescent="0.25">
      <c r="A1745" s="71">
        <v>47</v>
      </c>
      <c r="B1745" s="72">
        <f t="shared" si="653"/>
        <v>47058</v>
      </c>
      <c r="C1745" s="73">
        <f t="shared" si="634"/>
        <v>47087</v>
      </c>
      <c r="D1745" s="67">
        <f t="shared" si="635"/>
        <v>30</v>
      </c>
      <c r="E1745" s="67">
        <f t="shared" si="636"/>
        <v>11</v>
      </c>
      <c r="F1745" s="74">
        <f t="shared" si="637"/>
        <v>47073</v>
      </c>
      <c r="G1745" s="67">
        <f t="shared" si="638"/>
        <v>24346</v>
      </c>
      <c r="H1745" s="75">
        <f t="shared" si="639"/>
        <v>1</v>
      </c>
      <c r="I1745" s="76">
        <f t="shared" si="640"/>
        <v>1.02</v>
      </c>
      <c r="J1745" s="76">
        <f t="shared" si="641"/>
        <v>1.02</v>
      </c>
      <c r="K1745" s="67">
        <f t="shared" si="642"/>
        <v>0</v>
      </c>
      <c r="L1745" s="67">
        <f t="shared" si="643"/>
        <v>0</v>
      </c>
      <c r="M1745" s="77">
        <f t="shared" si="644"/>
        <v>0</v>
      </c>
      <c r="N1745" s="76">
        <f t="shared" si="645"/>
        <v>1.02</v>
      </c>
      <c r="O1745" s="77">
        <f t="shared" si="646"/>
        <v>0.93</v>
      </c>
      <c r="P1745" s="76">
        <f t="shared" si="647"/>
        <v>0</v>
      </c>
      <c r="Q1745" s="76">
        <f t="shared" si="648"/>
        <v>0</v>
      </c>
      <c r="R1745" s="76">
        <f t="shared" si="649"/>
        <v>0.25</v>
      </c>
      <c r="S1745" s="76">
        <f t="shared" si="650"/>
        <v>1.0310869565217391</v>
      </c>
      <c r="T1745" s="76">
        <f t="shared" si="651"/>
        <v>1.0111449909618495</v>
      </c>
      <c r="U1745" s="76">
        <f t="shared" si="652"/>
        <v>1.02</v>
      </c>
    </row>
    <row r="1746" spans="1:21" x14ac:dyDescent="0.25">
      <c r="A1746" s="71">
        <v>48</v>
      </c>
      <c r="B1746" s="72">
        <f t="shared" si="653"/>
        <v>47088</v>
      </c>
      <c r="C1746" s="73">
        <f t="shared" si="634"/>
        <v>47118</v>
      </c>
      <c r="D1746" s="67">
        <f t="shared" si="635"/>
        <v>31</v>
      </c>
      <c r="E1746" s="67">
        <f t="shared" si="636"/>
        <v>12</v>
      </c>
      <c r="F1746" s="74">
        <f t="shared" si="637"/>
        <v>47103.5</v>
      </c>
      <c r="G1746" s="67">
        <f t="shared" si="638"/>
        <v>24347</v>
      </c>
      <c r="H1746" s="75">
        <f t="shared" si="639"/>
        <v>1</v>
      </c>
      <c r="I1746" s="76">
        <f t="shared" si="640"/>
        <v>1.02</v>
      </c>
      <c r="J1746" s="76">
        <f t="shared" si="641"/>
        <v>1.02</v>
      </c>
      <c r="K1746" s="67">
        <f t="shared" si="642"/>
        <v>0</v>
      </c>
      <c r="L1746" s="67">
        <f t="shared" si="643"/>
        <v>0</v>
      </c>
      <c r="M1746" s="77">
        <f t="shared" si="644"/>
        <v>0</v>
      </c>
      <c r="N1746" s="76">
        <f t="shared" si="645"/>
        <v>1.02</v>
      </c>
      <c r="O1746" s="77">
        <f t="shared" si="646"/>
        <v>0.93</v>
      </c>
      <c r="P1746" s="76">
        <f t="shared" si="647"/>
        <v>0</v>
      </c>
      <c r="Q1746" s="76">
        <f t="shared" si="648"/>
        <v>0</v>
      </c>
      <c r="R1746" s="76">
        <f t="shared" si="649"/>
        <v>8.3333333333333329E-2</v>
      </c>
      <c r="S1746" s="76">
        <f t="shared" si="650"/>
        <v>1.0310869565217391</v>
      </c>
      <c r="T1746" s="76">
        <f t="shared" si="651"/>
        <v>1.0126248691846638</v>
      </c>
      <c r="U1746" s="76">
        <f t="shared" si="652"/>
        <v>1.02</v>
      </c>
    </row>
    <row r="1747" spans="1:21" x14ac:dyDescent="0.25">
      <c r="A1747" s="81" t="s">
        <v>1187</v>
      </c>
      <c r="B1747" s="53">
        <f>EXP(SUMPRODUCT((rl_key=$A$1696)*(rl_cons="Y")*rl_ln1p))</f>
        <v>1.02</v>
      </c>
      <c r="C1747" s="53">
        <f>SUMPRODUCT($H$1699:$H$1746,$P$1699:$P$1746,$U$1699:$U$1746)/SUMPRODUCT($H$1699:$H$1746,$P$1699:$P$1746)</f>
        <v>1.0050000000000003</v>
      </c>
      <c r="D1747" s="53">
        <f>SUMPRODUCT($H$1699:$H$1746,$Q$1699:$Q$1746,$U$1699:$U$1746)/SUMPRODUCT($H$1699:$H$1746,$Q$1699:$Q$1746)</f>
        <v>1.0200000000000002</v>
      </c>
      <c r="E1747" s="53">
        <f>SUMPRODUCT($H$1699:$H$1746,$R$1699:$R$1746,$U$1699:$U$1746)/SUMPRODUCT($H$1699:$H$1746,$R$1699:$R$1746)</f>
        <v>1.0200000000000002</v>
      </c>
      <c r="F1747" s="172">
        <f>SUMPRODUCT($H$1699:$H$1746,$Q$1699:$Q$1746,$O$1699:$O$1746)/SUMPRODUCT($H$1699:$H$1746,$Q$1699:$Q$1746)</f>
        <v>0.91798504741064912</v>
      </c>
      <c r="G1747" s="172">
        <f>SUMPRODUCT($H$1699:$H$1746,$R$1699:$R$1746,$O$1699:$O$1746)/SUMPRODUCT($H$1699:$H$1746,$R$1699:$R$1746)</f>
        <v>0.92932044736202268</v>
      </c>
    </row>
    <row r="1750" spans="1:21" x14ac:dyDescent="0.25">
      <c r="A1750" s="81" t="str">
        <f>INDEX(lr_key,32)</f>
        <v>BU-B|MD</v>
      </c>
      <c r="B1750" s="81" t="str">
        <f>INDEX(lr_state,32)</f>
        <v>MD</v>
      </c>
      <c r="C1750" s="55">
        <f>nr_TermMonths</f>
        <v>6</v>
      </c>
      <c r="D1750" s="55">
        <f>IF(COUNTIF(se_state,$B1750)=0,0,MATCH($B1750,se_state,0))</f>
        <v>0</v>
      </c>
      <c r="E1750" s="57">
        <f>IF($D1750=0,0,INDEX(se_sum,$D1750))</f>
        <v>0</v>
      </c>
      <c r="F1750" s="172">
        <f>IF(N(INDEX(lr_mind,32))=0,1,INDEX(lr_mind,32))</f>
        <v>0.92</v>
      </c>
      <c r="G1750" s="172">
        <f>IF(N(INDEX(lr_m0,32))=0,1,INDEX(lr_m0,32))</f>
        <v>0.91</v>
      </c>
      <c r="H1750" s="54">
        <f>IF(N(INDEX(lr_m0asof,32))=0,DATE(nr_PlanYear-1,10,1),INDEX(lr_m0asof,32))</f>
        <v>46295</v>
      </c>
      <c r="I1750" s="172">
        <f>IF(N(INDEX(lr_m1,32))=0,1,INDEX(lr_m1,32))</f>
        <v>0.91</v>
      </c>
      <c r="J1750" s="172">
        <f>INDEX(lr_mprior,32)</f>
        <v>0</v>
      </c>
      <c r="K1750" s="172">
        <f>INDEX(lr_m2,32)</f>
        <v>0</v>
      </c>
      <c r="L1750" s="81" t="b">
        <f>NOT(ISBLANK(INDEX(lr_netp,32)))</f>
        <v>0</v>
      </c>
      <c r="M1750" s="52">
        <f>N(INDEX(lr_netp,32))</f>
        <v>0</v>
      </c>
      <c r="N1750" s="52">
        <f>IF(ISBLANK(INDEX(lr_netp1,32)),$M$1750,N(INDEX(lr_netp1,32)))</f>
        <v>0</v>
      </c>
      <c r="O1750" s="55">
        <f>IF(AND(nr_ModAdjMaster="ON",INDEX(lr_modadj,32)="ON"),1,0)</f>
        <v>1</v>
      </c>
    </row>
    <row r="1751" spans="1:21" x14ac:dyDescent="0.25">
      <c r="A1751" s="81">
        <f>EDATE($H$1750,-12)+1</f>
        <v>45931</v>
      </c>
      <c r="B1751" s="81">
        <f>$H$1750+1</f>
        <v>46296</v>
      </c>
      <c r="C1751" s="81">
        <f>DATE(nr_PlanYear,12,31)+1</f>
        <v>46753</v>
      </c>
      <c r="D1751" s="81">
        <f>DATE(nr_PlanYear+1,12,31)+1</f>
        <v>47119</v>
      </c>
      <c r="E1751" s="81">
        <f>IF(N($J$1750)=0,$F$1751-($G$1751-$F$1751)/($C$1751-$B$1751)*($B$1751-$A$1751),$J$1750)</f>
        <v>0.91</v>
      </c>
      <c r="F1751" s="81">
        <f>$G$1750</f>
        <v>0.91</v>
      </c>
      <c r="G1751" s="81">
        <f>$I$1750</f>
        <v>0.91</v>
      </c>
      <c r="H1751" s="81">
        <f>IF(N($K$1750)=0,$I$1750,$K$1750)</f>
        <v>0.91</v>
      </c>
      <c r="I1751" s="81">
        <f>($F$1751-$E$1751)/($B$1751-$A$1751)</f>
        <v>0</v>
      </c>
      <c r="J1751" s="81">
        <f>($G$1751-$F$1751)/($C$1751-$B$1751)</f>
        <v>0</v>
      </c>
      <c r="K1751" s="81">
        <f>($H$1751-$G$1751)/($D$1751-$C$1751)</f>
        <v>0</v>
      </c>
    </row>
    <row r="1752" spans="1:21" ht="36" x14ac:dyDescent="0.25">
      <c r="A1752" s="50" t="s">
        <v>211</v>
      </c>
      <c r="B1752" s="50" t="s">
        <v>212</v>
      </c>
      <c r="C1752" s="50" t="s">
        <v>213</v>
      </c>
      <c r="D1752" s="50" t="s">
        <v>214</v>
      </c>
      <c r="E1752" s="50" t="s">
        <v>215</v>
      </c>
      <c r="F1752" s="50" t="s">
        <v>216</v>
      </c>
      <c r="G1752" s="50" t="s">
        <v>217</v>
      </c>
      <c r="H1752" s="50" t="s">
        <v>218</v>
      </c>
      <c r="I1752" s="50" t="s">
        <v>219</v>
      </c>
      <c r="J1752" s="50" t="s">
        <v>220</v>
      </c>
      <c r="K1752" s="50" t="s">
        <v>221</v>
      </c>
      <c r="L1752" s="50" t="s">
        <v>222</v>
      </c>
      <c r="M1752" s="50" t="s">
        <v>223</v>
      </c>
      <c r="N1752" s="50" t="s">
        <v>224</v>
      </c>
      <c r="O1752" s="50" t="s">
        <v>225</v>
      </c>
      <c r="P1752" s="50" t="s">
        <v>226</v>
      </c>
      <c r="Q1752" s="50" t="s">
        <v>227</v>
      </c>
      <c r="R1752" s="50" t="s">
        <v>228</v>
      </c>
      <c r="S1752" s="50" t="s">
        <v>229</v>
      </c>
      <c r="T1752" s="50" t="s">
        <v>230</v>
      </c>
      <c r="U1752" s="50" t="s">
        <v>231</v>
      </c>
    </row>
    <row r="1753" spans="1:21" x14ac:dyDescent="0.25">
      <c r="A1753" s="71">
        <v>1</v>
      </c>
      <c r="B1753" s="72">
        <f>DATE(nr_PlanYear-2,1,1)</f>
        <v>45658</v>
      </c>
      <c r="C1753" s="73">
        <f t="shared" ref="C1753:C1800" si="654">EOMONTH($B1753,0)</f>
        <v>45688</v>
      </c>
      <c r="D1753" s="67">
        <f t="shared" ref="D1753:D1800" si="655">$C1753-$B1753+1</f>
        <v>31</v>
      </c>
      <c r="E1753" s="67">
        <f t="shared" ref="E1753:E1800" si="656">MONTH($B1753)</f>
        <v>1</v>
      </c>
      <c r="F1753" s="74">
        <f t="shared" ref="F1753:F1800" si="657">($B1753+$C1753+1)/2</f>
        <v>45673.5</v>
      </c>
      <c r="G1753" s="67">
        <f t="shared" ref="G1753:G1800" si="658">YEAR($B1753)*12+MONTH($B1753)-1</f>
        <v>24300</v>
      </c>
      <c r="H1753" s="75">
        <f t="shared" ref="H1753:H1800" si="659">IF(OR(nr_SeasonOn="OFF",$D$1750=0,$E$1750=0),1,12*INDEX(se_block,$D$1750,$E1753)/$E$1750)</f>
        <v>1</v>
      </c>
      <c r="I1753" s="76">
        <f t="shared" ref="I1753:I1800" si="660">EXP(SUMPRODUCT((rl_eff&lt;$B1753)*(rl_key=$A$1750)*rl_ln1p))</f>
        <v>1</v>
      </c>
      <c r="J1753" s="76">
        <f t="shared" ref="J1753:J1800" si="661">EXP(SUMPRODUCT((rl_eff&lt;=$C1753)*(rl_key=$A$1750)*rl_ln1p))</f>
        <v>1</v>
      </c>
      <c r="K1753" s="67">
        <f t="shared" ref="K1753:K1800" si="662">COUNTIFS(rl_key,$A$1750,rl_eff,"&gt;="&amp;$B1753,rl_eff,"&lt;="&amp;$C1753)</f>
        <v>0</v>
      </c>
      <c r="L1753" s="67">
        <f t="shared" ref="L1753:L1800" si="663">SUMIFS(rl_daysafter,rl_key,$A$1750,rl_effmonth,$B1753,rl_first,1)</f>
        <v>0</v>
      </c>
      <c r="M1753" s="77">
        <f t="shared" ref="M1753:M1800" si="664">IF($K1753=0,0,MIN(1,$L1753/$D1753))</f>
        <v>0</v>
      </c>
      <c r="N1753" s="76">
        <f t="shared" ref="N1753:N1800" si="665">IF($K1753=0,$J1753,(1-$M1753)*$I1753+$M1753*$J1753)</f>
        <v>1</v>
      </c>
      <c r="O1753" s="77">
        <f t="shared" ref="O1753:O1800" si="666">IF($F1753&lt;$B$1751,$E$1751+$I$1751*($F1753-$A$1751),IF($F1753&lt;$C$1751,$F$1751+$J$1751*($F1753-$B$1751),$G$1751+$K$1751*($F1753-$C$1751)))</f>
        <v>0.91</v>
      </c>
      <c r="P1753" s="76">
        <f t="shared" ref="P1753:P1800" si="667">MIN(1,MAX(0,(nr_MEndPm1-$G1753+0.5)/$C$1750))-MIN(1,MAX(0,(nr_MStartPm1-1-$G1753+0.5)/$C$1750))</f>
        <v>0</v>
      </c>
      <c r="Q1753" s="76">
        <f t="shared" ref="Q1753:Q1800" si="668">MIN(1,MAX(0,(nr_MEndP-$G1753+0.5)/$C$1750))-MIN(1,MAX(0,(nr_MStartP-1-$G1753+0.5)/$C$1750))</f>
        <v>0</v>
      </c>
      <c r="R1753" s="76">
        <f t="shared" ref="R1753:R1800" si="669">MIN(1,MAX(0,(nr_MEndP1-$G1753+0.5)/$C$1750))-MIN(1,MAX(0,(nr_MStartP1-1-$G1753+0.5)/$C$1750))</f>
        <v>0</v>
      </c>
      <c r="S1753" s="76">
        <f t="shared" ref="S1753:S1800" si="670">$N1753*IF($O$1750=1,$O1753/$F$1750,1)</f>
        <v>0.98913043478260865</v>
      </c>
      <c r="T1753" s="76">
        <f t="shared" ref="T1753:T1800" si="671">IF($G1753&lt;nr_MStartP,$S1753,$T1741*(1+IF($G1753&lt;nr_MStartP1,$M$1750,$N$1750)))</f>
        <v>0.98913043478260865</v>
      </c>
      <c r="U1753" s="76">
        <f t="shared" ref="U1753:U1800" si="672">IF($L$1750,$T1753,$N1753)</f>
        <v>1</v>
      </c>
    </row>
    <row r="1754" spans="1:21" x14ac:dyDescent="0.25">
      <c r="A1754" s="71">
        <v>2</v>
      </c>
      <c r="B1754" s="72">
        <f t="shared" ref="B1754:B1800" si="673">EDATE($B1753,1)</f>
        <v>45689</v>
      </c>
      <c r="C1754" s="73">
        <f t="shared" si="654"/>
        <v>45716</v>
      </c>
      <c r="D1754" s="67">
        <f t="shared" si="655"/>
        <v>28</v>
      </c>
      <c r="E1754" s="67">
        <f t="shared" si="656"/>
        <v>2</v>
      </c>
      <c r="F1754" s="74">
        <f t="shared" si="657"/>
        <v>45703</v>
      </c>
      <c r="G1754" s="67">
        <f t="shared" si="658"/>
        <v>24301</v>
      </c>
      <c r="H1754" s="75">
        <f t="shared" si="659"/>
        <v>1</v>
      </c>
      <c r="I1754" s="76">
        <f t="shared" si="660"/>
        <v>1</v>
      </c>
      <c r="J1754" s="76">
        <f t="shared" si="661"/>
        <v>1</v>
      </c>
      <c r="K1754" s="67">
        <f t="shared" si="662"/>
        <v>0</v>
      </c>
      <c r="L1754" s="67">
        <f t="shared" si="663"/>
        <v>0</v>
      </c>
      <c r="M1754" s="77">
        <f t="shared" si="664"/>
        <v>0</v>
      </c>
      <c r="N1754" s="76">
        <f t="shared" si="665"/>
        <v>1</v>
      </c>
      <c r="O1754" s="77">
        <f t="shared" si="666"/>
        <v>0.91</v>
      </c>
      <c r="P1754" s="76">
        <f t="shared" si="667"/>
        <v>0</v>
      </c>
      <c r="Q1754" s="76">
        <f t="shared" si="668"/>
        <v>0</v>
      </c>
      <c r="R1754" s="76">
        <f t="shared" si="669"/>
        <v>0</v>
      </c>
      <c r="S1754" s="76">
        <f t="shared" si="670"/>
        <v>0.98913043478260865</v>
      </c>
      <c r="T1754" s="76">
        <f t="shared" si="671"/>
        <v>0.98913043478260865</v>
      </c>
      <c r="U1754" s="76">
        <f t="shared" si="672"/>
        <v>1</v>
      </c>
    </row>
    <row r="1755" spans="1:21" x14ac:dyDescent="0.25">
      <c r="A1755" s="71">
        <v>3</v>
      </c>
      <c r="B1755" s="72">
        <f t="shared" si="673"/>
        <v>45717</v>
      </c>
      <c r="C1755" s="73">
        <f t="shared" si="654"/>
        <v>45747</v>
      </c>
      <c r="D1755" s="67">
        <f t="shared" si="655"/>
        <v>31</v>
      </c>
      <c r="E1755" s="67">
        <f t="shared" si="656"/>
        <v>3</v>
      </c>
      <c r="F1755" s="74">
        <f t="shared" si="657"/>
        <v>45732.5</v>
      </c>
      <c r="G1755" s="67">
        <f t="shared" si="658"/>
        <v>24302</v>
      </c>
      <c r="H1755" s="75">
        <f t="shared" si="659"/>
        <v>1</v>
      </c>
      <c r="I1755" s="76">
        <f t="shared" si="660"/>
        <v>1</v>
      </c>
      <c r="J1755" s="76">
        <f t="shared" si="661"/>
        <v>1</v>
      </c>
      <c r="K1755" s="67">
        <f t="shared" si="662"/>
        <v>0</v>
      </c>
      <c r="L1755" s="67">
        <f t="shared" si="663"/>
        <v>0</v>
      </c>
      <c r="M1755" s="77">
        <f t="shared" si="664"/>
        <v>0</v>
      </c>
      <c r="N1755" s="76">
        <f t="shared" si="665"/>
        <v>1</v>
      </c>
      <c r="O1755" s="77">
        <f t="shared" si="666"/>
        <v>0.91</v>
      </c>
      <c r="P1755" s="76">
        <f t="shared" si="667"/>
        <v>0</v>
      </c>
      <c r="Q1755" s="76">
        <f t="shared" si="668"/>
        <v>0</v>
      </c>
      <c r="R1755" s="76">
        <f t="shared" si="669"/>
        <v>0</v>
      </c>
      <c r="S1755" s="76">
        <f t="shared" si="670"/>
        <v>0.98913043478260865</v>
      </c>
      <c r="T1755" s="76">
        <f t="shared" si="671"/>
        <v>0.98913043478260865</v>
      </c>
      <c r="U1755" s="76">
        <f t="shared" si="672"/>
        <v>1</v>
      </c>
    </row>
    <row r="1756" spans="1:21" x14ac:dyDescent="0.25">
      <c r="A1756" s="71">
        <v>4</v>
      </c>
      <c r="B1756" s="72">
        <f t="shared" si="673"/>
        <v>45748</v>
      </c>
      <c r="C1756" s="73">
        <f t="shared" si="654"/>
        <v>45777</v>
      </c>
      <c r="D1756" s="67">
        <f t="shared" si="655"/>
        <v>30</v>
      </c>
      <c r="E1756" s="67">
        <f t="shared" si="656"/>
        <v>4</v>
      </c>
      <c r="F1756" s="74">
        <f t="shared" si="657"/>
        <v>45763</v>
      </c>
      <c r="G1756" s="67">
        <f t="shared" si="658"/>
        <v>24303</v>
      </c>
      <c r="H1756" s="75">
        <f t="shared" si="659"/>
        <v>1</v>
      </c>
      <c r="I1756" s="76">
        <f t="shared" si="660"/>
        <v>1</v>
      </c>
      <c r="J1756" s="76">
        <f t="shared" si="661"/>
        <v>1</v>
      </c>
      <c r="K1756" s="67">
        <f t="shared" si="662"/>
        <v>0</v>
      </c>
      <c r="L1756" s="67">
        <f t="shared" si="663"/>
        <v>0</v>
      </c>
      <c r="M1756" s="77">
        <f t="shared" si="664"/>
        <v>0</v>
      </c>
      <c r="N1756" s="76">
        <f t="shared" si="665"/>
        <v>1</v>
      </c>
      <c r="O1756" s="77">
        <f t="shared" si="666"/>
        <v>0.91</v>
      </c>
      <c r="P1756" s="76">
        <f t="shared" si="667"/>
        <v>0</v>
      </c>
      <c r="Q1756" s="76">
        <f t="shared" si="668"/>
        <v>0</v>
      </c>
      <c r="R1756" s="76">
        <f t="shared" si="669"/>
        <v>0</v>
      </c>
      <c r="S1756" s="76">
        <f t="shared" si="670"/>
        <v>0.98913043478260865</v>
      </c>
      <c r="T1756" s="76">
        <f t="shared" si="671"/>
        <v>0.98913043478260865</v>
      </c>
      <c r="U1756" s="76">
        <f t="shared" si="672"/>
        <v>1</v>
      </c>
    </row>
    <row r="1757" spans="1:21" x14ac:dyDescent="0.25">
      <c r="A1757" s="71">
        <v>5</v>
      </c>
      <c r="B1757" s="72">
        <f t="shared" si="673"/>
        <v>45778</v>
      </c>
      <c r="C1757" s="73">
        <f t="shared" si="654"/>
        <v>45808</v>
      </c>
      <c r="D1757" s="67">
        <f t="shared" si="655"/>
        <v>31</v>
      </c>
      <c r="E1757" s="67">
        <f t="shared" si="656"/>
        <v>5</v>
      </c>
      <c r="F1757" s="74">
        <f t="shared" si="657"/>
        <v>45793.5</v>
      </c>
      <c r="G1757" s="67">
        <f t="shared" si="658"/>
        <v>24304</v>
      </c>
      <c r="H1757" s="75">
        <f t="shared" si="659"/>
        <v>1</v>
      </c>
      <c r="I1757" s="76">
        <f t="shared" si="660"/>
        <v>1</v>
      </c>
      <c r="J1757" s="76">
        <f t="shared" si="661"/>
        <v>1</v>
      </c>
      <c r="K1757" s="67">
        <f t="shared" si="662"/>
        <v>0</v>
      </c>
      <c r="L1757" s="67">
        <f t="shared" si="663"/>
        <v>0</v>
      </c>
      <c r="M1757" s="77">
        <f t="shared" si="664"/>
        <v>0</v>
      </c>
      <c r="N1757" s="76">
        <f t="shared" si="665"/>
        <v>1</v>
      </c>
      <c r="O1757" s="77">
        <f t="shared" si="666"/>
        <v>0.91</v>
      </c>
      <c r="P1757" s="76">
        <f t="shared" si="667"/>
        <v>0</v>
      </c>
      <c r="Q1757" s="76">
        <f t="shared" si="668"/>
        <v>0</v>
      </c>
      <c r="R1757" s="76">
        <f t="shared" si="669"/>
        <v>0</v>
      </c>
      <c r="S1757" s="76">
        <f t="shared" si="670"/>
        <v>0.98913043478260865</v>
      </c>
      <c r="T1757" s="76">
        <f t="shared" si="671"/>
        <v>0.98913043478260865</v>
      </c>
      <c r="U1757" s="76">
        <f t="shared" si="672"/>
        <v>1</v>
      </c>
    </row>
    <row r="1758" spans="1:21" x14ac:dyDescent="0.25">
      <c r="A1758" s="71">
        <v>6</v>
      </c>
      <c r="B1758" s="72">
        <f t="shared" si="673"/>
        <v>45809</v>
      </c>
      <c r="C1758" s="73">
        <f t="shared" si="654"/>
        <v>45838</v>
      </c>
      <c r="D1758" s="67">
        <f t="shared" si="655"/>
        <v>30</v>
      </c>
      <c r="E1758" s="67">
        <f t="shared" si="656"/>
        <v>6</v>
      </c>
      <c r="F1758" s="74">
        <f t="shared" si="657"/>
        <v>45824</v>
      </c>
      <c r="G1758" s="67">
        <f t="shared" si="658"/>
        <v>24305</v>
      </c>
      <c r="H1758" s="75">
        <f t="shared" si="659"/>
        <v>1</v>
      </c>
      <c r="I1758" s="76">
        <f t="shared" si="660"/>
        <v>1</v>
      </c>
      <c r="J1758" s="76">
        <f t="shared" si="661"/>
        <v>1</v>
      </c>
      <c r="K1758" s="67">
        <f t="shared" si="662"/>
        <v>0</v>
      </c>
      <c r="L1758" s="67">
        <f t="shared" si="663"/>
        <v>0</v>
      </c>
      <c r="M1758" s="77">
        <f t="shared" si="664"/>
        <v>0</v>
      </c>
      <c r="N1758" s="76">
        <f t="shared" si="665"/>
        <v>1</v>
      </c>
      <c r="O1758" s="77">
        <f t="shared" si="666"/>
        <v>0.91</v>
      </c>
      <c r="P1758" s="76">
        <f t="shared" si="667"/>
        <v>0</v>
      </c>
      <c r="Q1758" s="76">
        <f t="shared" si="668"/>
        <v>0</v>
      </c>
      <c r="R1758" s="76">
        <f t="shared" si="669"/>
        <v>0</v>
      </c>
      <c r="S1758" s="76">
        <f t="shared" si="670"/>
        <v>0.98913043478260865</v>
      </c>
      <c r="T1758" s="76">
        <f t="shared" si="671"/>
        <v>0.98913043478260865</v>
      </c>
      <c r="U1758" s="76">
        <f t="shared" si="672"/>
        <v>1</v>
      </c>
    </row>
    <row r="1759" spans="1:21" x14ac:dyDescent="0.25">
      <c r="A1759" s="71">
        <v>7</v>
      </c>
      <c r="B1759" s="72">
        <f t="shared" si="673"/>
        <v>45839</v>
      </c>
      <c r="C1759" s="73">
        <f t="shared" si="654"/>
        <v>45869</v>
      </c>
      <c r="D1759" s="67">
        <f t="shared" si="655"/>
        <v>31</v>
      </c>
      <c r="E1759" s="67">
        <f t="shared" si="656"/>
        <v>7</v>
      </c>
      <c r="F1759" s="74">
        <f t="shared" si="657"/>
        <v>45854.5</v>
      </c>
      <c r="G1759" s="67">
        <f t="shared" si="658"/>
        <v>24306</v>
      </c>
      <c r="H1759" s="75">
        <f t="shared" si="659"/>
        <v>1</v>
      </c>
      <c r="I1759" s="76">
        <f t="shared" si="660"/>
        <v>1</v>
      </c>
      <c r="J1759" s="76">
        <f t="shared" si="661"/>
        <v>1</v>
      </c>
      <c r="K1759" s="67">
        <f t="shared" si="662"/>
        <v>0</v>
      </c>
      <c r="L1759" s="67">
        <f t="shared" si="663"/>
        <v>0</v>
      </c>
      <c r="M1759" s="77">
        <f t="shared" si="664"/>
        <v>0</v>
      </c>
      <c r="N1759" s="76">
        <f t="shared" si="665"/>
        <v>1</v>
      </c>
      <c r="O1759" s="77">
        <f t="shared" si="666"/>
        <v>0.91</v>
      </c>
      <c r="P1759" s="76">
        <f t="shared" si="667"/>
        <v>8.333333333333337E-2</v>
      </c>
      <c r="Q1759" s="76">
        <f t="shared" si="668"/>
        <v>0</v>
      </c>
      <c r="R1759" s="76">
        <f t="shared" si="669"/>
        <v>0</v>
      </c>
      <c r="S1759" s="76">
        <f t="shared" si="670"/>
        <v>0.98913043478260865</v>
      </c>
      <c r="T1759" s="76">
        <f t="shared" si="671"/>
        <v>0.98913043478260865</v>
      </c>
      <c r="U1759" s="76">
        <f t="shared" si="672"/>
        <v>1</v>
      </c>
    </row>
    <row r="1760" spans="1:21" x14ac:dyDescent="0.25">
      <c r="A1760" s="71">
        <v>8</v>
      </c>
      <c r="B1760" s="72">
        <f t="shared" si="673"/>
        <v>45870</v>
      </c>
      <c r="C1760" s="73">
        <f t="shared" si="654"/>
        <v>45900</v>
      </c>
      <c r="D1760" s="67">
        <f t="shared" si="655"/>
        <v>31</v>
      </c>
      <c r="E1760" s="67">
        <f t="shared" si="656"/>
        <v>8</v>
      </c>
      <c r="F1760" s="74">
        <f t="shared" si="657"/>
        <v>45885.5</v>
      </c>
      <c r="G1760" s="67">
        <f t="shared" si="658"/>
        <v>24307</v>
      </c>
      <c r="H1760" s="75">
        <f t="shared" si="659"/>
        <v>1</v>
      </c>
      <c r="I1760" s="76">
        <f t="shared" si="660"/>
        <v>1</v>
      </c>
      <c r="J1760" s="76">
        <f t="shared" si="661"/>
        <v>1</v>
      </c>
      <c r="K1760" s="67">
        <f t="shared" si="662"/>
        <v>0</v>
      </c>
      <c r="L1760" s="67">
        <f t="shared" si="663"/>
        <v>0</v>
      </c>
      <c r="M1760" s="77">
        <f t="shared" si="664"/>
        <v>0</v>
      </c>
      <c r="N1760" s="76">
        <f t="shared" si="665"/>
        <v>1</v>
      </c>
      <c r="O1760" s="77">
        <f t="shared" si="666"/>
        <v>0.91</v>
      </c>
      <c r="P1760" s="76">
        <f t="shared" si="667"/>
        <v>0.25</v>
      </c>
      <c r="Q1760" s="76">
        <f t="shared" si="668"/>
        <v>0</v>
      </c>
      <c r="R1760" s="76">
        <f t="shared" si="669"/>
        <v>0</v>
      </c>
      <c r="S1760" s="76">
        <f t="shared" si="670"/>
        <v>0.98913043478260865</v>
      </c>
      <c r="T1760" s="76">
        <f t="shared" si="671"/>
        <v>0.98913043478260865</v>
      </c>
      <c r="U1760" s="76">
        <f t="shared" si="672"/>
        <v>1</v>
      </c>
    </row>
    <row r="1761" spans="1:21" x14ac:dyDescent="0.25">
      <c r="A1761" s="71">
        <v>9</v>
      </c>
      <c r="B1761" s="72">
        <f t="shared" si="673"/>
        <v>45901</v>
      </c>
      <c r="C1761" s="73">
        <f t="shared" si="654"/>
        <v>45930</v>
      </c>
      <c r="D1761" s="67">
        <f t="shared" si="655"/>
        <v>30</v>
      </c>
      <c r="E1761" s="67">
        <f t="shared" si="656"/>
        <v>9</v>
      </c>
      <c r="F1761" s="74">
        <f t="shared" si="657"/>
        <v>45916</v>
      </c>
      <c r="G1761" s="67">
        <f t="shared" si="658"/>
        <v>24308</v>
      </c>
      <c r="H1761" s="75">
        <f t="shared" si="659"/>
        <v>1</v>
      </c>
      <c r="I1761" s="76">
        <f t="shared" si="660"/>
        <v>1</v>
      </c>
      <c r="J1761" s="76">
        <f t="shared" si="661"/>
        <v>1</v>
      </c>
      <c r="K1761" s="67">
        <f t="shared" si="662"/>
        <v>0</v>
      </c>
      <c r="L1761" s="67">
        <f t="shared" si="663"/>
        <v>0</v>
      </c>
      <c r="M1761" s="77">
        <f t="shared" si="664"/>
        <v>0</v>
      </c>
      <c r="N1761" s="76">
        <f t="shared" si="665"/>
        <v>1</v>
      </c>
      <c r="O1761" s="77">
        <f t="shared" si="666"/>
        <v>0.91</v>
      </c>
      <c r="P1761" s="76">
        <f t="shared" si="667"/>
        <v>0.41666666666666663</v>
      </c>
      <c r="Q1761" s="76">
        <f t="shared" si="668"/>
        <v>0</v>
      </c>
      <c r="R1761" s="76">
        <f t="shared" si="669"/>
        <v>0</v>
      </c>
      <c r="S1761" s="76">
        <f t="shared" si="670"/>
        <v>0.98913043478260865</v>
      </c>
      <c r="T1761" s="76">
        <f t="shared" si="671"/>
        <v>0.98913043478260865</v>
      </c>
      <c r="U1761" s="76">
        <f t="shared" si="672"/>
        <v>1</v>
      </c>
    </row>
    <row r="1762" spans="1:21" x14ac:dyDescent="0.25">
      <c r="A1762" s="71">
        <v>10</v>
      </c>
      <c r="B1762" s="72">
        <f t="shared" si="673"/>
        <v>45931</v>
      </c>
      <c r="C1762" s="73">
        <f t="shared" si="654"/>
        <v>45961</v>
      </c>
      <c r="D1762" s="67">
        <f t="shared" si="655"/>
        <v>31</v>
      </c>
      <c r="E1762" s="67">
        <f t="shared" si="656"/>
        <v>10</v>
      </c>
      <c r="F1762" s="74">
        <f t="shared" si="657"/>
        <v>45946.5</v>
      </c>
      <c r="G1762" s="67">
        <f t="shared" si="658"/>
        <v>24309</v>
      </c>
      <c r="H1762" s="75">
        <f t="shared" si="659"/>
        <v>1</v>
      </c>
      <c r="I1762" s="76">
        <f t="shared" si="660"/>
        <v>1</v>
      </c>
      <c r="J1762" s="76">
        <f t="shared" si="661"/>
        <v>1</v>
      </c>
      <c r="K1762" s="67">
        <f t="shared" si="662"/>
        <v>0</v>
      </c>
      <c r="L1762" s="67">
        <f t="shared" si="663"/>
        <v>0</v>
      </c>
      <c r="M1762" s="77">
        <f t="shared" si="664"/>
        <v>0</v>
      </c>
      <c r="N1762" s="76">
        <f t="shared" si="665"/>
        <v>1</v>
      </c>
      <c r="O1762" s="77">
        <f t="shared" si="666"/>
        <v>0.91</v>
      </c>
      <c r="P1762" s="76">
        <f t="shared" si="667"/>
        <v>0.58333333333333326</v>
      </c>
      <c r="Q1762" s="76">
        <f t="shared" si="668"/>
        <v>0</v>
      </c>
      <c r="R1762" s="76">
        <f t="shared" si="669"/>
        <v>0</v>
      </c>
      <c r="S1762" s="76">
        <f t="shared" si="670"/>
        <v>0.98913043478260865</v>
      </c>
      <c r="T1762" s="76">
        <f t="shared" si="671"/>
        <v>0.98913043478260865</v>
      </c>
      <c r="U1762" s="76">
        <f t="shared" si="672"/>
        <v>1</v>
      </c>
    </row>
    <row r="1763" spans="1:21" x14ac:dyDescent="0.25">
      <c r="A1763" s="71">
        <v>11</v>
      </c>
      <c r="B1763" s="72">
        <f t="shared" si="673"/>
        <v>45962</v>
      </c>
      <c r="C1763" s="73">
        <f t="shared" si="654"/>
        <v>45991</v>
      </c>
      <c r="D1763" s="67">
        <f t="shared" si="655"/>
        <v>30</v>
      </c>
      <c r="E1763" s="67">
        <f t="shared" si="656"/>
        <v>11</v>
      </c>
      <c r="F1763" s="74">
        <f t="shared" si="657"/>
        <v>45977</v>
      </c>
      <c r="G1763" s="67">
        <f t="shared" si="658"/>
        <v>24310</v>
      </c>
      <c r="H1763" s="75">
        <f t="shared" si="659"/>
        <v>1</v>
      </c>
      <c r="I1763" s="76">
        <f t="shared" si="660"/>
        <v>1</v>
      </c>
      <c r="J1763" s="76">
        <f t="shared" si="661"/>
        <v>1</v>
      </c>
      <c r="K1763" s="67">
        <f t="shared" si="662"/>
        <v>0</v>
      </c>
      <c r="L1763" s="67">
        <f t="shared" si="663"/>
        <v>0</v>
      </c>
      <c r="M1763" s="77">
        <f t="shared" si="664"/>
        <v>0</v>
      </c>
      <c r="N1763" s="76">
        <f t="shared" si="665"/>
        <v>1</v>
      </c>
      <c r="O1763" s="77">
        <f t="shared" si="666"/>
        <v>0.91</v>
      </c>
      <c r="P1763" s="76">
        <f t="shared" si="667"/>
        <v>0.75</v>
      </c>
      <c r="Q1763" s="76">
        <f t="shared" si="668"/>
        <v>0</v>
      </c>
      <c r="R1763" s="76">
        <f t="shared" si="669"/>
        <v>0</v>
      </c>
      <c r="S1763" s="76">
        <f t="shared" si="670"/>
        <v>0.98913043478260865</v>
      </c>
      <c r="T1763" s="76">
        <f t="shared" si="671"/>
        <v>0.98913043478260865</v>
      </c>
      <c r="U1763" s="76">
        <f t="shared" si="672"/>
        <v>1</v>
      </c>
    </row>
    <row r="1764" spans="1:21" x14ac:dyDescent="0.25">
      <c r="A1764" s="71">
        <v>12</v>
      </c>
      <c r="B1764" s="72">
        <f t="shared" si="673"/>
        <v>45992</v>
      </c>
      <c r="C1764" s="73">
        <f t="shared" si="654"/>
        <v>46022</v>
      </c>
      <c r="D1764" s="67">
        <f t="shared" si="655"/>
        <v>31</v>
      </c>
      <c r="E1764" s="67">
        <f t="shared" si="656"/>
        <v>12</v>
      </c>
      <c r="F1764" s="74">
        <f t="shared" si="657"/>
        <v>46007.5</v>
      </c>
      <c r="G1764" s="67">
        <f t="shared" si="658"/>
        <v>24311</v>
      </c>
      <c r="H1764" s="75">
        <f t="shared" si="659"/>
        <v>1</v>
      </c>
      <c r="I1764" s="76">
        <f t="shared" si="660"/>
        <v>1</v>
      </c>
      <c r="J1764" s="76">
        <f t="shared" si="661"/>
        <v>1</v>
      </c>
      <c r="K1764" s="67">
        <f t="shared" si="662"/>
        <v>0</v>
      </c>
      <c r="L1764" s="67">
        <f t="shared" si="663"/>
        <v>0</v>
      </c>
      <c r="M1764" s="77">
        <f t="shared" si="664"/>
        <v>0</v>
      </c>
      <c r="N1764" s="76">
        <f t="shared" si="665"/>
        <v>1</v>
      </c>
      <c r="O1764" s="77">
        <f t="shared" si="666"/>
        <v>0.91</v>
      </c>
      <c r="P1764" s="76">
        <f t="shared" si="667"/>
        <v>0.91666666666666663</v>
      </c>
      <c r="Q1764" s="76">
        <f t="shared" si="668"/>
        <v>0</v>
      </c>
      <c r="R1764" s="76">
        <f t="shared" si="669"/>
        <v>0</v>
      </c>
      <c r="S1764" s="76">
        <f t="shared" si="670"/>
        <v>0.98913043478260865</v>
      </c>
      <c r="T1764" s="76">
        <f t="shared" si="671"/>
        <v>0.98913043478260865</v>
      </c>
      <c r="U1764" s="76">
        <f t="shared" si="672"/>
        <v>1</v>
      </c>
    </row>
    <row r="1765" spans="1:21" x14ac:dyDescent="0.25">
      <c r="A1765" s="71">
        <v>13</v>
      </c>
      <c r="B1765" s="72">
        <f t="shared" si="673"/>
        <v>46023</v>
      </c>
      <c r="C1765" s="73">
        <f t="shared" si="654"/>
        <v>46053</v>
      </c>
      <c r="D1765" s="67">
        <f t="shared" si="655"/>
        <v>31</v>
      </c>
      <c r="E1765" s="67">
        <f t="shared" si="656"/>
        <v>1</v>
      </c>
      <c r="F1765" s="74">
        <f t="shared" si="657"/>
        <v>46038.5</v>
      </c>
      <c r="G1765" s="67">
        <f t="shared" si="658"/>
        <v>24312</v>
      </c>
      <c r="H1765" s="75">
        <f t="shared" si="659"/>
        <v>1</v>
      </c>
      <c r="I1765" s="76">
        <f t="shared" si="660"/>
        <v>1</v>
      </c>
      <c r="J1765" s="76">
        <f t="shared" si="661"/>
        <v>1</v>
      </c>
      <c r="K1765" s="67">
        <f t="shared" si="662"/>
        <v>0</v>
      </c>
      <c r="L1765" s="67">
        <f t="shared" si="663"/>
        <v>0</v>
      </c>
      <c r="M1765" s="77">
        <f t="shared" si="664"/>
        <v>0</v>
      </c>
      <c r="N1765" s="76">
        <f t="shared" si="665"/>
        <v>1</v>
      </c>
      <c r="O1765" s="77">
        <f t="shared" si="666"/>
        <v>0.91</v>
      </c>
      <c r="P1765" s="76">
        <f t="shared" si="667"/>
        <v>1</v>
      </c>
      <c r="Q1765" s="76">
        <f t="shared" si="668"/>
        <v>0</v>
      </c>
      <c r="R1765" s="76">
        <f t="shared" si="669"/>
        <v>0</v>
      </c>
      <c r="S1765" s="76">
        <f t="shared" si="670"/>
        <v>0.98913043478260865</v>
      </c>
      <c r="T1765" s="76">
        <f t="shared" si="671"/>
        <v>0.98913043478260865</v>
      </c>
      <c r="U1765" s="76">
        <f t="shared" si="672"/>
        <v>1</v>
      </c>
    </row>
    <row r="1766" spans="1:21" x14ac:dyDescent="0.25">
      <c r="A1766" s="71">
        <v>14</v>
      </c>
      <c r="B1766" s="72">
        <f t="shared" si="673"/>
        <v>46054</v>
      </c>
      <c r="C1766" s="73">
        <f t="shared" si="654"/>
        <v>46081</v>
      </c>
      <c r="D1766" s="67">
        <f t="shared" si="655"/>
        <v>28</v>
      </c>
      <c r="E1766" s="67">
        <f t="shared" si="656"/>
        <v>2</v>
      </c>
      <c r="F1766" s="74">
        <f t="shared" si="657"/>
        <v>46068</v>
      </c>
      <c r="G1766" s="67">
        <f t="shared" si="658"/>
        <v>24313</v>
      </c>
      <c r="H1766" s="75">
        <f t="shared" si="659"/>
        <v>1</v>
      </c>
      <c r="I1766" s="76">
        <f t="shared" si="660"/>
        <v>1</v>
      </c>
      <c r="J1766" s="76">
        <f t="shared" si="661"/>
        <v>1</v>
      </c>
      <c r="K1766" s="67">
        <f t="shared" si="662"/>
        <v>0</v>
      </c>
      <c r="L1766" s="67">
        <f t="shared" si="663"/>
        <v>0</v>
      </c>
      <c r="M1766" s="77">
        <f t="shared" si="664"/>
        <v>0</v>
      </c>
      <c r="N1766" s="76">
        <f t="shared" si="665"/>
        <v>1</v>
      </c>
      <c r="O1766" s="77">
        <f t="shared" si="666"/>
        <v>0.91</v>
      </c>
      <c r="P1766" s="76">
        <f t="shared" si="667"/>
        <v>1</v>
      </c>
      <c r="Q1766" s="76">
        <f t="shared" si="668"/>
        <v>0</v>
      </c>
      <c r="R1766" s="76">
        <f t="shared" si="669"/>
        <v>0</v>
      </c>
      <c r="S1766" s="76">
        <f t="shared" si="670"/>
        <v>0.98913043478260865</v>
      </c>
      <c r="T1766" s="76">
        <f t="shared" si="671"/>
        <v>0.98913043478260865</v>
      </c>
      <c r="U1766" s="76">
        <f t="shared" si="672"/>
        <v>1</v>
      </c>
    </row>
    <row r="1767" spans="1:21" x14ac:dyDescent="0.25">
      <c r="A1767" s="71">
        <v>15</v>
      </c>
      <c r="B1767" s="72">
        <f t="shared" si="673"/>
        <v>46082</v>
      </c>
      <c r="C1767" s="73">
        <f t="shared" si="654"/>
        <v>46112</v>
      </c>
      <c r="D1767" s="67">
        <f t="shared" si="655"/>
        <v>31</v>
      </c>
      <c r="E1767" s="67">
        <f t="shared" si="656"/>
        <v>3</v>
      </c>
      <c r="F1767" s="74">
        <f t="shared" si="657"/>
        <v>46097.5</v>
      </c>
      <c r="G1767" s="67">
        <f t="shared" si="658"/>
        <v>24314</v>
      </c>
      <c r="H1767" s="75">
        <f t="shared" si="659"/>
        <v>1</v>
      </c>
      <c r="I1767" s="76">
        <f t="shared" si="660"/>
        <v>1</v>
      </c>
      <c r="J1767" s="76">
        <f t="shared" si="661"/>
        <v>1</v>
      </c>
      <c r="K1767" s="67">
        <f t="shared" si="662"/>
        <v>0</v>
      </c>
      <c r="L1767" s="67">
        <f t="shared" si="663"/>
        <v>0</v>
      </c>
      <c r="M1767" s="77">
        <f t="shared" si="664"/>
        <v>0</v>
      </c>
      <c r="N1767" s="76">
        <f t="shared" si="665"/>
        <v>1</v>
      </c>
      <c r="O1767" s="77">
        <f t="shared" si="666"/>
        <v>0.91</v>
      </c>
      <c r="P1767" s="76">
        <f t="shared" si="667"/>
        <v>1</v>
      </c>
      <c r="Q1767" s="76">
        <f t="shared" si="668"/>
        <v>0</v>
      </c>
      <c r="R1767" s="76">
        <f t="shared" si="669"/>
        <v>0</v>
      </c>
      <c r="S1767" s="76">
        <f t="shared" si="670"/>
        <v>0.98913043478260865</v>
      </c>
      <c r="T1767" s="76">
        <f t="shared" si="671"/>
        <v>0.98913043478260865</v>
      </c>
      <c r="U1767" s="76">
        <f t="shared" si="672"/>
        <v>1</v>
      </c>
    </row>
    <row r="1768" spans="1:21" x14ac:dyDescent="0.25">
      <c r="A1768" s="71">
        <v>16</v>
      </c>
      <c r="B1768" s="72">
        <f t="shared" si="673"/>
        <v>46113</v>
      </c>
      <c r="C1768" s="73">
        <f t="shared" si="654"/>
        <v>46142</v>
      </c>
      <c r="D1768" s="67">
        <f t="shared" si="655"/>
        <v>30</v>
      </c>
      <c r="E1768" s="67">
        <f t="shared" si="656"/>
        <v>4</v>
      </c>
      <c r="F1768" s="74">
        <f t="shared" si="657"/>
        <v>46128</v>
      </c>
      <c r="G1768" s="67">
        <f t="shared" si="658"/>
        <v>24315</v>
      </c>
      <c r="H1768" s="75">
        <f t="shared" si="659"/>
        <v>1</v>
      </c>
      <c r="I1768" s="76">
        <f t="shared" si="660"/>
        <v>1</v>
      </c>
      <c r="J1768" s="76">
        <f t="shared" si="661"/>
        <v>1</v>
      </c>
      <c r="K1768" s="67">
        <f t="shared" si="662"/>
        <v>0</v>
      </c>
      <c r="L1768" s="67">
        <f t="shared" si="663"/>
        <v>0</v>
      </c>
      <c r="M1768" s="77">
        <f t="shared" si="664"/>
        <v>0</v>
      </c>
      <c r="N1768" s="76">
        <f t="shared" si="665"/>
        <v>1</v>
      </c>
      <c r="O1768" s="77">
        <f t="shared" si="666"/>
        <v>0.91</v>
      </c>
      <c r="P1768" s="76">
        <f t="shared" si="667"/>
        <v>1</v>
      </c>
      <c r="Q1768" s="76">
        <f t="shared" si="668"/>
        <v>0</v>
      </c>
      <c r="R1768" s="76">
        <f t="shared" si="669"/>
        <v>0</v>
      </c>
      <c r="S1768" s="76">
        <f t="shared" si="670"/>
        <v>0.98913043478260865</v>
      </c>
      <c r="T1768" s="76">
        <f t="shared" si="671"/>
        <v>0.98913043478260865</v>
      </c>
      <c r="U1768" s="76">
        <f t="shared" si="672"/>
        <v>1</v>
      </c>
    </row>
    <row r="1769" spans="1:21" x14ac:dyDescent="0.25">
      <c r="A1769" s="71">
        <v>17</v>
      </c>
      <c r="B1769" s="72">
        <f t="shared" si="673"/>
        <v>46143</v>
      </c>
      <c r="C1769" s="73">
        <f t="shared" si="654"/>
        <v>46173</v>
      </c>
      <c r="D1769" s="67">
        <f t="shared" si="655"/>
        <v>31</v>
      </c>
      <c r="E1769" s="67">
        <f t="shared" si="656"/>
        <v>5</v>
      </c>
      <c r="F1769" s="74">
        <f t="shared" si="657"/>
        <v>46158.5</v>
      </c>
      <c r="G1769" s="67">
        <f t="shared" si="658"/>
        <v>24316</v>
      </c>
      <c r="H1769" s="75">
        <f t="shared" si="659"/>
        <v>1</v>
      </c>
      <c r="I1769" s="76">
        <f t="shared" si="660"/>
        <v>1</v>
      </c>
      <c r="J1769" s="76">
        <f t="shared" si="661"/>
        <v>1</v>
      </c>
      <c r="K1769" s="67">
        <f t="shared" si="662"/>
        <v>0</v>
      </c>
      <c r="L1769" s="67">
        <f t="shared" si="663"/>
        <v>0</v>
      </c>
      <c r="M1769" s="77">
        <f t="shared" si="664"/>
        <v>0</v>
      </c>
      <c r="N1769" s="76">
        <f t="shared" si="665"/>
        <v>1</v>
      </c>
      <c r="O1769" s="77">
        <f t="shared" si="666"/>
        <v>0.91</v>
      </c>
      <c r="P1769" s="76">
        <f t="shared" si="667"/>
        <v>1</v>
      </c>
      <c r="Q1769" s="76">
        <f t="shared" si="668"/>
        <v>0</v>
      </c>
      <c r="R1769" s="76">
        <f t="shared" si="669"/>
        <v>0</v>
      </c>
      <c r="S1769" s="76">
        <f t="shared" si="670"/>
        <v>0.98913043478260865</v>
      </c>
      <c r="T1769" s="76">
        <f t="shared" si="671"/>
        <v>0.98913043478260865</v>
      </c>
      <c r="U1769" s="76">
        <f t="shared" si="672"/>
        <v>1</v>
      </c>
    </row>
    <row r="1770" spans="1:21" x14ac:dyDescent="0.25">
      <c r="A1770" s="71">
        <v>18</v>
      </c>
      <c r="B1770" s="72">
        <f t="shared" si="673"/>
        <v>46174</v>
      </c>
      <c r="C1770" s="73">
        <f t="shared" si="654"/>
        <v>46203</v>
      </c>
      <c r="D1770" s="67">
        <f t="shared" si="655"/>
        <v>30</v>
      </c>
      <c r="E1770" s="67">
        <f t="shared" si="656"/>
        <v>6</v>
      </c>
      <c r="F1770" s="74">
        <f t="shared" si="657"/>
        <v>46189</v>
      </c>
      <c r="G1770" s="67">
        <f t="shared" si="658"/>
        <v>24317</v>
      </c>
      <c r="H1770" s="75">
        <f t="shared" si="659"/>
        <v>1</v>
      </c>
      <c r="I1770" s="76">
        <f t="shared" si="660"/>
        <v>1</v>
      </c>
      <c r="J1770" s="76">
        <f t="shared" si="661"/>
        <v>1</v>
      </c>
      <c r="K1770" s="67">
        <f t="shared" si="662"/>
        <v>0</v>
      </c>
      <c r="L1770" s="67">
        <f t="shared" si="663"/>
        <v>0</v>
      </c>
      <c r="M1770" s="77">
        <f t="shared" si="664"/>
        <v>0</v>
      </c>
      <c r="N1770" s="76">
        <f t="shared" si="665"/>
        <v>1</v>
      </c>
      <c r="O1770" s="77">
        <f t="shared" si="666"/>
        <v>0.91</v>
      </c>
      <c r="P1770" s="76">
        <f t="shared" si="667"/>
        <v>1</v>
      </c>
      <c r="Q1770" s="76">
        <f t="shared" si="668"/>
        <v>0</v>
      </c>
      <c r="R1770" s="76">
        <f t="shared" si="669"/>
        <v>0</v>
      </c>
      <c r="S1770" s="76">
        <f t="shared" si="670"/>
        <v>0.98913043478260865</v>
      </c>
      <c r="T1770" s="76">
        <f t="shared" si="671"/>
        <v>0.98913043478260865</v>
      </c>
      <c r="U1770" s="76">
        <f t="shared" si="672"/>
        <v>1</v>
      </c>
    </row>
    <row r="1771" spans="1:21" x14ac:dyDescent="0.25">
      <c r="A1771" s="71">
        <v>19</v>
      </c>
      <c r="B1771" s="72">
        <f t="shared" si="673"/>
        <v>46204</v>
      </c>
      <c r="C1771" s="73">
        <f t="shared" si="654"/>
        <v>46234</v>
      </c>
      <c r="D1771" s="67">
        <f t="shared" si="655"/>
        <v>31</v>
      </c>
      <c r="E1771" s="67">
        <f t="shared" si="656"/>
        <v>7</v>
      </c>
      <c r="F1771" s="74">
        <f t="shared" si="657"/>
        <v>46219.5</v>
      </c>
      <c r="G1771" s="67">
        <f t="shared" si="658"/>
        <v>24318</v>
      </c>
      <c r="H1771" s="75">
        <f t="shared" si="659"/>
        <v>1</v>
      </c>
      <c r="I1771" s="76">
        <f t="shared" si="660"/>
        <v>1</v>
      </c>
      <c r="J1771" s="76">
        <f t="shared" si="661"/>
        <v>1</v>
      </c>
      <c r="K1771" s="67">
        <f t="shared" si="662"/>
        <v>0</v>
      </c>
      <c r="L1771" s="67">
        <f t="shared" si="663"/>
        <v>0</v>
      </c>
      <c r="M1771" s="77">
        <f t="shared" si="664"/>
        <v>0</v>
      </c>
      <c r="N1771" s="76">
        <f t="shared" si="665"/>
        <v>1</v>
      </c>
      <c r="O1771" s="77">
        <f t="shared" si="666"/>
        <v>0.91</v>
      </c>
      <c r="P1771" s="76">
        <f t="shared" si="667"/>
        <v>0.91666666666666663</v>
      </c>
      <c r="Q1771" s="76">
        <f t="shared" si="668"/>
        <v>8.333333333333337E-2</v>
      </c>
      <c r="R1771" s="76">
        <f t="shared" si="669"/>
        <v>0</v>
      </c>
      <c r="S1771" s="76">
        <f t="shared" si="670"/>
        <v>0.98913043478260865</v>
      </c>
      <c r="T1771" s="76">
        <f t="shared" si="671"/>
        <v>0.98913043478260865</v>
      </c>
      <c r="U1771" s="76">
        <f t="shared" si="672"/>
        <v>1</v>
      </c>
    </row>
    <row r="1772" spans="1:21" x14ac:dyDescent="0.25">
      <c r="A1772" s="71">
        <v>20</v>
      </c>
      <c r="B1772" s="72">
        <f t="shared" si="673"/>
        <v>46235</v>
      </c>
      <c r="C1772" s="73">
        <f t="shared" si="654"/>
        <v>46265</v>
      </c>
      <c r="D1772" s="67">
        <f t="shared" si="655"/>
        <v>31</v>
      </c>
      <c r="E1772" s="67">
        <f t="shared" si="656"/>
        <v>8</v>
      </c>
      <c r="F1772" s="74">
        <f t="shared" si="657"/>
        <v>46250.5</v>
      </c>
      <c r="G1772" s="67">
        <f t="shared" si="658"/>
        <v>24319</v>
      </c>
      <c r="H1772" s="75">
        <f t="shared" si="659"/>
        <v>1</v>
      </c>
      <c r="I1772" s="76">
        <f t="shared" si="660"/>
        <v>1</v>
      </c>
      <c r="J1772" s="76">
        <f t="shared" si="661"/>
        <v>1.03</v>
      </c>
      <c r="K1772" s="67">
        <f t="shared" si="662"/>
        <v>1</v>
      </c>
      <c r="L1772" s="67">
        <f t="shared" si="663"/>
        <v>31</v>
      </c>
      <c r="M1772" s="77">
        <f t="shared" si="664"/>
        <v>1</v>
      </c>
      <c r="N1772" s="76">
        <f t="shared" si="665"/>
        <v>1.03</v>
      </c>
      <c r="O1772" s="77">
        <f t="shared" si="666"/>
        <v>0.91</v>
      </c>
      <c r="P1772" s="76">
        <f t="shared" si="667"/>
        <v>0.75</v>
      </c>
      <c r="Q1772" s="76">
        <f t="shared" si="668"/>
        <v>0.25</v>
      </c>
      <c r="R1772" s="76">
        <f t="shared" si="669"/>
        <v>0</v>
      </c>
      <c r="S1772" s="76">
        <f t="shared" si="670"/>
        <v>1.0188043478260869</v>
      </c>
      <c r="T1772" s="76">
        <f t="shared" si="671"/>
        <v>1.0188043478260869</v>
      </c>
      <c r="U1772" s="76">
        <f t="shared" si="672"/>
        <v>1.03</v>
      </c>
    </row>
    <row r="1773" spans="1:21" x14ac:dyDescent="0.25">
      <c r="A1773" s="71">
        <v>21</v>
      </c>
      <c r="B1773" s="72">
        <f t="shared" si="673"/>
        <v>46266</v>
      </c>
      <c r="C1773" s="73">
        <f t="shared" si="654"/>
        <v>46295</v>
      </c>
      <c r="D1773" s="67">
        <f t="shared" si="655"/>
        <v>30</v>
      </c>
      <c r="E1773" s="67">
        <f t="shared" si="656"/>
        <v>9</v>
      </c>
      <c r="F1773" s="74">
        <f t="shared" si="657"/>
        <v>46281</v>
      </c>
      <c r="G1773" s="67">
        <f t="shared" si="658"/>
        <v>24320</v>
      </c>
      <c r="H1773" s="75">
        <f t="shared" si="659"/>
        <v>1</v>
      </c>
      <c r="I1773" s="76">
        <f t="shared" si="660"/>
        <v>1.03</v>
      </c>
      <c r="J1773" s="76">
        <f t="shared" si="661"/>
        <v>1.03</v>
      </c>
      <c r="K1773" s="67">
        <f t="shared" si="662"/>
        <v>0</v>
      </c>
      <c r="L1773" s="67">
        <f t="shared" si="663"/>
        <v>0</v>
      </c>
      <c r="M1773" s="77">
        <f t="shared" si="664"/>
        <v>0</v>
      </c>
      <c r="N1773" s="76">
        <f t="shared" si="665"/>
        <v>1.03</v>
      </c>
      <c r="O1773" s="77">
        <f t="shared" si="666"/>
        <v>0.91</v>
      </c>
      <c r="P1773" s="76">
        <f t="shared" si="667"/>
        <v>0.58333333333333337</v>
      </c>
      <c r="Q1773" s="76">
        <f t="shared" si="668"/>
        <v>0.41666666666666663</v>
      </c>
      <c r="R1773" s="76">
        <f t="shared" si="669"/>
        <v>0</v>
      </c>
      <c r="S1773" s="76">
        <f t="shared" si="670"/>
        <v>1.0188043478260869</v>
      </c>
      <c r="T1773" s="76">
        <f t="shared" si="671"/>
        <v>1.0188043478260869</v>
      </c>
      <c r="U1773" s="76">
        <f t="shared" si="672"/>
        <v>1.03</v>
      </c>
    </row>
    <row r="1774" spans="1:21" x14ac:dyDescent="0.25">
      <c r="A1774" s="71">
        <v>22</v>
      </c>
      <c r="B1774" s="72">
        <f t="shared" si="673"/>
        <v>46296</v>
      </c>
      <c r="C1774" s="73">
        <f t="shared" si="654"/>
        <v>46326</v>
      </c>
      <c r="D1774" s="67">
        <f t="shared" si="655"/>
        <v>31</v>
      </c>
      <c r="E1774" s="67">
        <f t="shared" si="656"/>
        <v>10</v>
      </c>
      <c r="F1774" s="74">
        <f t="shared" si="657"/>
        <v>46311.5</v>
      </c>
      <c r="G1774" s="67">
        <f t="shared" si="658"/>
        <v>24321</v>
      </c>
      <c r="H1774" s="75">
        <f t="shared" si="659"/>
        <v>1</v>
      </c>
      <c r="I1774" s="76">
        <f t="shared" si="660"/>
        <v>1.03</v>
      </c>
      <c r="J1774" s="76">
        <f t="shared" si="661"/>
        <v>1.03</v>
      </c>
      <c r="K1774" s="67">
        <f t="shared" si="662"/>
        <v>0</v>
      </c>
      <c r="L1774" s="67">
        <f t="shared" si="663"/>
        <v>0</v>
      </c>
      <c r="M1774" s="77">
        <f t="shared" si="664"/>
        <v>0</v>
      </c>
      <c r="N1774" s="76">
        <f t="shared" si="665"/>
        <v>1.03</v>
      </c>
      <c r="O1774" s="77">
        <f t="shared" si="666"/>
        <v>0.91</v>
      </c>
      <c r="P1774" s="76">
        <f t="shared" si="667"/>
        <v>0.41666666666666669</v>
      </c>
      <c r="Q1774" s="76">
        <f t="shared" si="668"/>
        <v>0.58333333333333326</v>
      </c>
      <c r="R1774" s="76">
        <f t="shared" si="669"/>
        <v>0</v>
      </c>
      <c r="S1774" s="76">
        <f t="shared" si="670"/>
        <v>1.0188043478260869</v>
      </c>
      <c r="T1774" s="76">
        <f t="shared" si="671"/>
        <v>1.0188043478260869</v>
      </c>
      <c r="U1774" s="76">
        <f t="shared" si="672"/>
        <v>1.03</v>
      </c>
    </row>
    <row r="1775" spans="1:21" x14ac:dyDescent="0.25">
      <c r="A1775" s="71">
        <v>23</v>
      </c>
      <c r="B1775" s="72">
        <f t="shared" si="673"/>
        <v>46327</v>
      </c>
      <c r="C1775" s="73">
        <f t="shared" si="654"/>
        <v>46356</v>
      </c>
      <c r="D1775" s="67">
        <f t="shared" si="655"/>
        <v>30</v>
      </c>
      <c r="E1775" s="67">
        <f t="shared" si="656"/>
        <v>11</v>
      </c>
      <c r="F1775" s="74">
        <f t="shared" si="657"/>
        <v>46342</v>
      </c>
      <c r="G1775" s="67">
        <f t="shared" si="658"/>
        <v>24322</v>
      </c>
      <c r="H1775" s="75">
        <f t="shared" si="659"/>
        <v>1</v>
      </c>
      <c r="I1775" s="76">
        <f t="shared" si="660"/>
        <v>1.03</v>
      </c>
      <c r="J1775" s="76">
        <f t="shared" si="661"/>
        <v>1.03</v>
      </c>
      <c r="K1775" s="67">
        <f t="shared" si="662"/>
        <v>0</v>
      </c>
      <c r="L1775" s="67">
        <f t="shared" si="663"/>
        <v>0</v>
      </c>
      <c r="M1775" s="77">
        <f t="shared" si="664"/>
        <v>0</v>
      </c>
      <c r="N1775" s="76">
        <f t="shared" si="665"/>
        <v>1.03</v>
      </c>
      <c r="O1775" s="77">
        <f t="shared" si="666"/>
        <v>0.91</v>
      </c>
      <c r="P1775" s="76">
        <f t="shared" si="667"/>
        <v>0.25</v>
      </c>
      <c r="Q1775" s="76">
        <f t="shared" si="668"/>
        <v>0.75</v>
      </c>
      <c r="R1775" s="76">
        <f t="shared" si="669"/>
        <v>0</v>
      </c>
      <c r="S1775" s="76">
        <f t="shared" si="670"/>
        <v>1.0188043478260869</v>
      </c>
      <c r="T1775" s="76">
        <f t="shared" si="671"/>
        <v>1.0188043478260869</v>
      </c>
      <c r="U1775" s="76">
        <f t="shared" si="672"/>
        <v>1.03</v>
      </c>
    </row>
    <row r="1776" spans="1:21" x14ac:dyDescent="0.25">
      <c r="A1776" s="71">
        <v>24</v>
      </c>
      <c r="B1776" s="72">
        <f t="shared" si="673"/>
        <v>46357</v>
      </c>
      <c r="C1776" s="73">
        <f t="shared" si="654"/>
        <v>46387</v>
      </c>
      <c r="D1776" s="67">
        <f t="shared" si="655"/>
        <v>31</v>
      </c>
      <c r="E1776" s="67">
        <f t="shared" si="656"/>
        <v>12</v>
      </c>
      <c r="F1776" s="74">
        <f t="shared" si="657"/>
        <v>46372.5</v>
      </c>
      <c r="G1776" s="67">
        <f t="shared" si="658"/>
        <v>24323</v>
      </c>
      <c r="H1776" s="75">
        <f t="shared" si="659"/>
        <v>1</v>
      </c>
      <c r="I1776" s="76">
        <f t="shared" si="660"/>
        <v>1.03</v>
      </c>
      <c r="J1776" s="76">
        <f t="shared" si="661"/>
        <v>1.03</v>
      </c>
      <c r="K1776" s="67">
        <f t="shared" si="662"/>
        <v>0</v>
      </c>
      <c r="L1776" s="67">
        <f t="shared" si="663"/>
        <v>0</v>
      </c>
      <c r="M1776" s="77">
        <f t="shared" si="664"/>
        <v>0</v>
      </c>
      <c r="N1776" s="76">
        <f t="shared" si="665"/>
        <v>1.03</v>
      </c>
      <c r="O1776" s="77">
        <f t="shared" si="666"/>
        <v>0.91</v>
      </c>
      <c r="P1776" s="76">
        <f t="shared" si="667"/>
        <v>8.3333333333333329E-2</v>
      </c>
      <c r="Q1776" s="76">
        <f t="shared" si="668"/>
        <v>0.91666666666666663</v>
      </c>
      <c r="R1776" s="76">
        <f t="shared" si="669"/>
        <v>0</v>
      </c>
      <c r="S1776" s="76">
        <f t="shared" si="670"/>
        <v>1.0188043478260869</v>
      </c>
      <c r="T1776" s="76">
        <f t="shared" si="671"/>
        <v>1.0188043478260869</v>
      </c>
      <c r="U1776" s="76">
        <f t="shared" si="672"/>
        <v>1.03</v>
      </c>
    </row>
    <row r="1777" spans="1:21" x14ac:dyDescent="0.25">
      <c r="A1777" s="71">
        <v>25</v>
      </c>
      <c r="B1777" s="72">
        <f t="shared" si="673"/>
        <v>46388</v>
      </c>
      <c r="C1777" s="73">
        <f t="shared" si="654"/>
        <v>46418</v>
      </c>
      <c r="D1777" s="67">
        <f t="shared" si="655"/>
        <v>31</v>
      </c>
      <c r="E1777" s="67">
        <f t="shared" si="656"/>
        <v>1</v>
      </c>
      <c r="F1777" s="74">
        <f t="shared" si="657"/>
        <v>46403.5</v>
      </c>
      <c r="G1777" s="67">
        <f t="shared" si="658"/>
        <v>24324</v>
      </c>
      <c r="H1777" s="75">
        <f t="shared" si="659"/>
        <v>1</v>
      </c>
      <c r="I1777" s="76">
        <f t="shared" si="660"/>
        <v>1.03</v>
      </c>
      <c r="J1777" s="76">
        <f t="shared" si="661"/>
        <v>1.03</v>
      </c>
      <c r="K1777" s="67">
        <f t="shared" si="662"/>
        <v>0</v>
      </c>
      <c r="L1777" s="67">
        <f t="shared" si="663"/>
        <v>0</v>
      </c>
      <c r="M1777" s="77">
        <f t="shared" si="664"/>
        <v>0</v>
      </c>
      <c r="N1777" s="76">
        <f t="shared" si="665"/>
        <v>1.03</v>
      </c>
      <c r="O1777" s="77">
        <f t="shared" si="666"/>
        <v>0.91</v>
      </c>
      <c r="P1777" s="76">
        <f t="shared" si="667"/>
        <v>0</v>
      </c>
      <c r="Q1777" s="76">
        <f t="shared" si="668"/>
        <v>1</v>
      </c>
      <c r="R1777" s="76">
        <f t="shared" si="669"/>
        <v>0</v>
      </c>
      <c r="S1777" s="76">
        <f t="shared" si="670"/>
        <v>1.0188043478260869</v>
      </c>
      <c r="T1777" s="76">
        <f t="shared" si="671"/>
        <v>0.98913043478260865</v>
      </c>
      <c r="U1777" s="76">
        <f t="shared" si="672"/>
        <v>1.03</v>
      </c>
    </row>
    <row r="1778" spans="1:21" x14ac:dyDescent="0.25">
      <c r="A1778" s="71">
        <v>26</v>
      </c>
      <c r="B1778" s="72">
        <f t="shared" si="673"/>
        <v>46419</v>
      </c>
      <c r="C1778" s="73">
        <f t="shared" si="654"/>
        <v>46446</v>
      </c>
      <c r="D1778" s="67">
        <f t="shared" si="655"/>
        <v>28</v>
      </c>
      <c r="E1778" s="67">
        <f t="shared" si="656"/>
        <v>2</v>
      </c>
      <c r="F1778" s="74">
        <f t="shared" si="657"/>
        <v>46433</v>
      </c>
      <c r="G1778" s="67">
        <f t="shared" si="658"/>
        <v>24325</v>
      </c>
      <c r="H1778" s="75">
        <f t="shared" si="659"/>
        <v>1</v>
      </c>
      <c r="I1778" s="76">
        <f t="shared" si="660"/>
        <v>1.03</v>
      </c>
      <c r="J1778" s="76">
        <f t="shared" si="661"/>
        <v>1.03</v>
      </c>
      <c r="K1778" s="67">
        <f t="shared" si="662"/>
        <v>0</v>
      </c>
      <c r="L1778" s="67">
        <f t="shared" si="663"/>
        <v>0</v>
      </c>
      <c r="M1778" s="77">
        <f t="shared" si="664"/>
        <v>0</v>
      </c>
      <c r="N1778" s="76">
        <f t="shared" si="665"/>
        <v>1.03</v>
      </c>
      <c r="O1778" s="77">
        <f t="shared" si="666"/>
        <v>0.91</v>
      </c>
      <c r="P1778" s="76">
        <f t="shared" si="667"/>
        <v>0</v>
      </c>
      <c r="Q1778" s="76">
        <f t="shared" si="668"/>
        <v>1</v>
      </c>
      <c r="R1778" s="76">
        <f t="shared" si="669"/>
        <v>0</v>
      </c>
      <c r="S1778" s="76">
        <f t="shared" si="670"/>
        <v>1.0188043478260869</v>
      </c>
      <c r="T1778" s="76">
        <f t="shared" si="671"/>
        <v>0.98913043478260865</v>
      </c>
      <c r="U1778" s="76">
        <f t="shared" si="672"/>
        <v>1.03</v>
      </c>
    </row>
    <row r="1779" spans="1:21" x14ac:dyDescent="0.25">
      <c r="A1779" s="71">
        <v>27</v>
      </c>
      <c r="B1779" s="72">
        <f t="shared" si="673"/>
        <v>46447</v>
      </c>
      <c r="C1779" s="73">
        <f t="shared" si="654"/>
        <v>46477</v>
      </c>
      <c r="D1779" s="67">
        <f t="shared" si="655"/>
        <v>31</v>
      </c>
      <c r="E1779" s="67">
        <f t="shared" si="656"/>
        <v>3</v>
      </c>
      <c r="F1779" s="74">
        <f t="shared" si="657"/>
        <v>46462.5</v>
      </c>
      <c r="G1779" s="67">
        <f t="shared" si="658"/>
        <v>24326</v>
      </c>
      <c r="H1779" s="75">
        <f t="shared" si="659"/>
        <v>1</v>
      </c>
      <c r="I1779" s="76">
        <f t="shared" si="660"/>
        <v>1.03</v>
      </c>
      <c r="J1779" s="76">
        <f t="shared" si="661"/>
        <v>1.03</v>
      </c>
      <c r="K1779" s="67">
        <f t="shared" si="662"/>
        <v>0</v>
      </c>
      <c r="L1779" s="67">
        <f t="shared" si="663"/>
        <v>0</v>
      </c>
      <c r="M1779" s="77">
        <f t="shared" si="664"/>
        <v>0</v>
      </c>
      <c r="N1779" s="76">
        <f t="shared" si="665"/>
        <v>1.03</v>
      </c>
      <c r="O1779" s="77">
        <f t="shared" si="666"/>
        <v>0.91</v>
      </c>
      <c r="P1779" s="76">
        <f t="shared" si="667"/>
        <v>0</v>
      </c>
      <c r="Q1779" s="76">
        <f t="shared" si="668"/>
        <v>1</v>
      </c>
      <c r="R1779" s="76">
        <f t="shared" si="669"/>
        <v>0</v>
      </c>
      <c r="S1779" s="76">
        <f t="shared" si="670"/>
        <v>1.0188043478260869</v>
      </c>
      <c r="T1779" s="76">
        <f t="shared" si="671"/>
        <v>0.98913043478260865</v>
      </c>
      <c r="U1779" s="76">
        <f t="shared" si="672"/>
        <v>1.03</v>
      </c>
    </row>
    <row r="1780" spans="1:21" x14ac:dyDescent="0.25">
      <c r="A1780" s="71">
        <v>28</v>
      </c>
      <c r="B1780" s="72">
        <f t="shared" si="673"/>
        <v>46478</v>
      </c>
      <c r="C1780" s="73">
        <f t="shared" si="654"/>
        <v>46507</v>
      </c>
      <c r="D1780" s="67">
        <f t="shared" si="655"/>
        <v>30</v>
      </c>
      <c r="E1780" s="67">
        <f t="shared" si="656"/>
        <v>4</v>
      </c>
      <c r="F1780" s="74">
        <f t="shared" si="657"/>
        <v>46493</v>
      </c>
      <c r="G1780" s="67">
        <f t="shared" si="658"/>
        <v>24327</v>
      </c>
      <c r="H1780" s="75">
        <f t="shared" si="659"/>
        <v>1</v>
      </c>
      <c r="I1780" s="76">
        <f t="shared" si="660"/>
        <v>1.03</v>
      </c>
      <c r="J1780" s="76">
        <f t="shared" si="661"/>
        <v>1.03</v>
      </c>
      <c r="K1780" s="67">
        <f t="shared" si="662"/>
        <v>0</v>
      </c>
      <c r="L1780" s="67">
        <f t="shared" si="663"/>
        <v>0</v>
      </c>
      <c r="M1780" s="77">
        <f t="shared" si="664"/>
        <v>0</v>
      </c>
      <c r="N1780" s="76">
        <f t="shared" si="665"/>
        <v>1.03</v>
      </c>
      <c r="O1780" s="77">
        <f t="shared" si="666"/>
        <v>0.91</v>
      </c>
      <c r="P1780" s="76">
        <f t="shared" si="667"/>
        <v>0</v>
      </c>
      <c r="Q1780" s="76">
        <f t="shared" si="668"/>
        <v>1</v>
      </c>
      <c r="R1780" s="76">
        <f t="shared" si="669"/>
        <v>0</v>
      </c>
      <c r="S1780" s="76">
        <f t="shared" si="670"/>
        <v>1.0188043478260869</v>
      </c>
      <c r="T1780" s="76">
        <f t="shared" si="671"/>
        <v>0.98913043478260865</v>
      </c>
      <c r="U1780" s="76">
        <f t="shared" si="672"/>
        <v>1.03</v>
      </c>
    </row>
    <row r="1781" spans="1:21" x14ac:dyDescent="0.25">
      <c r="A1781" s="71">
        <v>29</v>
      </c>
      <c r="B1781" s="72">
        <f t="shared" si="673"/>
        <v>46508</v>
      </c>
      <c r="C1781" s="73">
        <f t="shared" si="654"/>
        <v>46538</v>
      </c>
      <c r="D1781" s="67">
        <f t="shared" si="655"/>
        <v>31</v>
      </c>
      <c r="E1781" s="67">
        <f t="shared" si="656"/>
        <v>5</v>
      </c>
      <c r="F1781" s="74">
        <f t="shared" si="657"/>
        <v>46523.5</v>
      </c>
      <c r="G1781" s="67">
        <f t="shared" si="658"/>
        <v>24328</v>
      </c>
      <c r="H1781" s="75">
        <f t="shared" si="659"/>
        <v>1</v>
      </c>
      <c r="I1781" s="76">
        <f t="shared" si="660"/>
        <v>1.03</v>
      </c>
      <c r="J1781" s="76">
        <f t="shared" si="661"/>
        <v>1.03</v>
      </c>
      <c r="K1781" s="67">
        <f t="shared" si="662"/>
        <v>0</v>
      </c>
      <c r="L1781" s="67">
        <f t="shared" si="663"/>
        <v>0</v>
      </c>
      <c r="M1781" s="77">
        <f t="shared" si="664"/>
        <v>0</v>
      </c>
      <c r="N1781" s="76">
        <f t="shared" si="665"/>
        <v>1.03</v>
      </c>
      <c r="O1781" s="77">
        <f t="shared" si="666"/>
        <v>0.91</v>
      </c>
      <c r="P1781" s="76">
        <f t="shared" si="667"/>
        <v>0</v>
      </c>
      <c r="Q1781" s="76">
        <f t="shared" si="668"/>
        <v>1</v>
      </c>
      <c r="R1781" s="76">
        <f t="shared" si="669"/>
        <v>0</v>
      </c>
      <c r="S1781" s="76">
        <f t="shared" si="670"/>
        <v>1.0188043478260869</v>
      </c>
      <c r="T1781" s="76">
        <f t="shared" si="671"/>
        <v>0.98913043478260865</v>
      </c>
      <c r="U1781" s="76">
        <f t="shared" si="672"/>
        <v>1.03</v>
      </c>
    </row>
    <row r="1782" spans="1:21" x14ac:dyDescent="0.25">
      <c r="A1782" s="71">
        <v>30</v>
      </c>
      <c r="B1782" s="72">
        <f t="shared" si="673"/>
        <v>46539</v>
      </c>
      <c r="C1782" s="73">
        <f t="shared" si="654"/>
        <v>46568</v>
      </c>
      <c r="D1782" s="67">
        <f t="shared" si="655"/>
        <v>30</v>
      </c>
      <c r="E1782" s="67">
        <f t="shared" si="656"/>
        <v>6</v>
      </c>
      <c r="F1782" s="74">
        <f t="shared" si="657"/>
        <v>46554</v>
      </c>
      <c r="G1782" s="67">
        <f t="shared" si="658"/>
        <v>24329</v>
      </c>
      <c r="H1782" s="75">
        <f t="shared" si="659"/>
        <v>1</v>
      </c>
      <c r="I1782" s="76">
        <f t="shared" si="660"/>
        <v>1.03</v>
      </c>
      <c r="J1782" s="76">
        <f t="shared" si="661"/>
        <v>1.03</v>
      </c>
      <c r="K1782" s="67">
        <f t="shared" si="662"/>
        <v>0</v>
      </c>
      <c r="L1782" s="67">
        <f t="shared" si="663"/>
        <v>0</v>
      </c>
      <c r="M1782" s="77">
        <f t="shared" si="664"/>
        <v>0</v>
      </c>
      <c r="N1782" s="76">
        <f t="shared" si="665"/>
        <v>1.03</v>
      </c>
      <c r="O1782" s="77">
        <f t="shared" si="666"/>
        <v>0.91</v>
      </c>
      <c r="P1782" s="76">
        <f t="shared" si="667"/>
        <v>0</v>
      </c>
      <c r="Q1782" s="76">
        <f t="shared" si="668"/>
        <v>1</v>
      </c>
      <c r="R1782" s="76">
        <f t="shared" si="669"/>
        <v>0</v>
      </c>
      <c r="S1782" s="76">
        <f t="shared" si="670"/>
        <v>1.0188043478260869</v>
      </c>
      <c r="T1782" s="76">
        <f t="shared" si="671"/>
        <v>0.98913043478260865</v>
      </c>
      <c r="U1782" s="76">
        <f t="shared" si="672"/>
        <v>1.03</v>
      </c>
    </row>
    <row r="1783" spans="1:21" x14ac:dyDescent="0.25">
      <c r="A1783" s="71">
        <v>31</v>
      </c>
      <c r="B1783" s="72">
        <f t="shared" si="673"/>
        <v>46569</v>
      </c>
      <c r="C1783" s="73">
        <f t="shared" si="654"/>
        <v>46599</v>
      </c>
      <c r="D1783" s="67">
        <f t="shared" si="655"/>
        <v>31</v>
      </c>
      <c r="E1783" s="67">
        <f t="shared" si="656"/>
        <v>7</v>
      </c>
      <c r="F1783" s="74">
        <f t="shared" si="657"/>
        <v>46584.5</v>
      </c>
      <c r="G1783" s="67">
        <f t="shared" si="658"/>
        <v>24330</v>
      </c>
      <c r="H1783" s="75">
        <f t="shared" si="659"/>
        <v>1</v>
      </c>
      <c r="I1783" s="76">
        <f t="shared" si="660"/>
        <v>1.03</v>
      </c>
      <c r="J1783" s="76">
        <f t="shared" si="661"/>
        <v>1.03</v>
      </c>
      <c r="K1783" s="67">
        <f t="shared" si="662"/>
        <v>0</v>
      </c>
      <c r="L1783" s="67">
        <f t="shared" si="663"/>
        <v>0</v>
      </c>
      <c r="M1783" s="77">
        <f t="shared" si="664"/>
        <v>0</v>
      </c>
      <c r="N1783" s="76">
        <f t="shared" si="665"/>
        <v>1.03</v>
      </c>
      <c r="O1783" s="77">
        <f t="shared" si="666"/>
        <v>0.91</v>
      </c>
      <c r="P1783" s="76">
        <f t="shared" si="667"/>
        <v>0</v>
      </c>
      <c r="Q1783" s="76">
        <f t="shared" si="668"/>
        <v>0.91666666666666663</v>
      </c>
      <c r="R1783" s="76">
        <f t="shared" si="669"/>
        <v>8.333333333333337E-2</v>
      </c>
      <c r="S1783" s="76">
        <f t="shared" si="670"/>
        <v>1.0188043478260869</v>
      </c>
      <c r="T1783" s="76">
        <f t="shared" si="671"/>
        <v>0.98913043478260865</v>
      </c>
      <c r="U1783" s="76">
        <f t="shared" si="672"/>
        <v>1.03</v>
      </c>
    </row>
    <row r="1784" spans="1:21" x14ac:dyDescent="0.25">
      <c r="A1784" s="71">
        <v>32</v>
      </c>
      <c r="B1784" s="72">
        <f t="shared" si="673"/>
        <v>46600</v>
      </c>
      <c r="C1784" s="73">
        <f t="shared" si="654"/>
        <v>46630</v>
      </c>
      <c r="D1784" s="67">
        <f t="shared" si="655"/>
        <v>31</v>
      </c>
      <c r="E1784" s="67">
        <f t="shared" si="656"/>
        <v>8</v>
      </c>
      <c r="F1784" s="74">
        <f t="shared" si="657"/>
        <v>46615.5</v>
      </c>
      <c r="G1784" s="67">
        <f t="shared" si="658"/>
        <v>24331</v>
      </c>
      <c r="H1784" s="75">
        <f t="shared" si="659"/>
        <v>1</v>
      </c>
      <c r="I1784" s="76">
        <f t="shared" si="660"/>
        <v>1.03</v>
      </c>
      <c r="J1784" s="76">
        <f t="shared" si="661"/>
        <v>1.03</v>
      </c>
      <c r="K1784" s="67">
        <f t="shared" si="662"/>
        <v>0</v>
      </c>
      <c r="L1784" s="67">
        <f t="shared" si="663"/>
        <v>0</v>
      </c>
      <c r="M1784" s="77">
        <f t="shared" si="664"/>
        <v>0</v>
      </c>
      <c r="N1784" s="76">
        <f t="shared" si="665"/>
        <v>1.03</v>
      </c>
      <c r="O1784" s="77">
        <f t="shared" si="666"/>
        <v>0.91</v>
      </c>
      <c r="P1784" s="76">
        <f t="shared" si="667"/>
        <v>0</v>
      </c>
      <c r="Q1784" s="76">
        <f t="shared" si="668"/>
        <v>0.75</v>
      </c>
      <c r="R1784" s="76">
        <f t="shared" si="669"/>
        <v>0.25</v>
      </c>
      <c r="S1784" s="76">
        <f t="shared" si="670"/>
        <v>1.0188043478260869</v>
      </c>
      <c r="T1784" s="76">
        <f t="shared" si="671"/>
        <v>1.0188043478260869</v>
      </c>
      <c r="U1784" s="76">
        <f t="shared" si="672"/>
        <v>1.03</v>
      </c>
    </row>
    <row r="1785" spans="1:21" x14ac:dyDescent="0.25">
      <c r="A1785" s="71">
        <v>33</v>
      </c>
      <c r="B1785" s="72">
        <f t="shared" si="673"/>
        <v>46631</v>
      </c>
      <c r="C1785" s="73">
        <f t="shared" si="654"/>
        <v>46660</v>
      </c>
      <c r="D1785" s="67">
        <f t="shared" si="655"/>
        <v>30</v>
      </c>
      <c r="E1785" s="67">
        <f t="shared" si="656"/>
        <v>9</v>
      </c>
      <c r="F1785" s="74">
        <f t="shared" si="657"/>
        <v>46646</v>
      </c>
      <c r="G1785" s="67">
        <f t="shared" si="658"/>
        <v>24332</v>
      </c>
      <c r="H1785" s="75">
        <f t="shared" si="659"/>
        <v>1</v>
      </c>
      <c r="I1785" s="76">
        <f t="shared" si="660"/>
        <v>1.03</v>
      </c>
      <c r="J1785" s="76">
        <f t="shared" si="661"/>
        <v>1.03</v>
      </c>
      <c r="K1785" s="67">
        <f t="shared" si="662"/>
        <v>0</v>
      </c>
      <c r="L1785" s="67">
        <f t="shared" si="663"/>
        <v>0</v>
      </c>
      <c r="M1785" s="77">
        <f t="shared" si="664"/>
        <v>0</v>
      </c>
      <c r="N1785" s="76">
        <f t="shared" si="665"/>
        <v>1.03</v>
      </c>
      <c r="O1785" s="77">
        <f t="shared" si="666"/>
        <v>0.91</v>
      </c>
      <c r="P1785" s="76">
        <f t="shared" si="667"/>
        <v>0</v>
      </c>
      <c r="Q1785" s="76">
        <f t="shared" si="668"/>
        <v>0.58333333333333337</v>
      </c>
      <c r="R1785" s="76">
        <f t="shared" si="669"/>
        <v>0.41666666666666663</v>
      </c>
      <c r="S1785" s="76">
        <f t="shared" si="670"/>
        <v>1.0188043478260869</v>
      </c>
      <c r="T1785" s="76">
        <f t="shared" si="671"/>
        <v>1.0188043478260869</v>
      </c>
      <c r="U1785" s="76">
        <f t="shared" si="672"/>
        <v>1.03</v>
      </c>
    </row>
    <row r="1786" spans="1:21" x14ac:dyDescent="0.25">
      <c r="A1786" s="71">
        <v>34</v>
      </c>
      <c r="B1786" s="72">
        <f t="shared" si="673"/>
        <v>46661</v>
      </c>
      <c r="C1786" s="73">
        <f t="shared" si="654"/>
        <v>46691</v>
      </c>
      <c r="D1786" s="67">
        <f t="shared" si="655"/>
        <v>31</v>
      </c>
      <c r="E1786" s="67">
        <f t="shared" si="656"/>
        <v>10</v>
      </c>
      <c r="F1786" s="74">
        <f t="shared" si="657"/>
        <v>46676.5</v>
      </c>
      <c r="G1786" s="67">
        <f t="shared" si="658"/>
        <v>24333</v>
      </c>
      <c r="H1786" s="75">
        <f t="shared" si="659"/>
        <v>1</v>
      </c>
      <c r="I1786" s="76">
        <f t="shared" si="660"/>
        <v>1.03</v>
      </c>
      <c r="J1786" s="76">
        <f t="shared" si="661"/>
        <v>1.03</v>
      </c>
      <c r="K1786" s="67">
        <f t="shared" si="662"/>
        <v>0</v>
      </c>
      <c r="L1786" s="67">
        <f t="shared" si="663"/>
        <v>0</v>
      </c>
      <c r="M1786" s="77">
        <f t="shared" si="664"/>
        <v>0</v>
      </c>
      <c r="N1786" s="76">
        <f t="shared" si="665"/>
        <v>1.03</v>
      </c>
      <c r="O1786" s="77">
        <f t="shared" si="666"/>
        <v>0.91</v>
      </c>
      <c r="P1786" s="76">
        <f t="shared" si="667"/>
        <v>0</v>
      </c>
      <c r="Q1786" s="76">
        <f t="shared" si="668"/>
        <v>0.41666666666666669</v>
      </c>
      <c r="R1786" s="76">
        <f t="shared" si="669"/>
        <v>0.58333333333333326</v>
      </c>
      <c r="S1786" s="76">
        <f t="shared" si="670"/>
        <v>1.0188043478260869</v>
      </c>
      <c r="T1786" s="76">
        <f t="shared" si="671"/>
        <v>1.0188043478260869</v>
      </c>
      <c r="U1786" s="76">
        <f t="shared" si="672"/>
        <v>1.03</v>
      </c>
    </row>
    <row r="1787" spans="1:21" x14ac:dyDescent="0.25">
      <c r="A1787" s="71">
        <v>35</v>
      </c>
      <c r="B1787" s="72">
        <f t="shared" si="673"/>
        <v>46692</v>
      </c>
      <c r="C1787" s="73">
        <f t="shared" si="654"/>
        <v>46721</v>
      </c>
      <c r="D1787" s="67">
        <f t="shared" si="655"/>
        <v>30</v>
      </c>
      <c r="E1787" s="67">
        <f t="shared" si="656"/>
        <v>11</v>
      </c>
      <c r="F1787" s="74">
        <f t="shared" si="657"/>
        <v>46707</v>
      </c>
      <c r="G1787" s="67">
        <f t="shared" si="658"/>
        <v>24334</v>
      </c>
      <c r="H1787" s="75">
        <f t="shared" si="659"/>
        <v>1</v>
      </c>
      <c r="I1787" s="76">
        <f t="shared" si="660"/>
        <v>1.03</v>
      </c>
      <c r="J1787" s="76">
        <f t="shared" si="661"/>
        <v>1.03</v>
      </c>
      <c r="K1787" s="67">
        <f t="shared" si="662"/>
        <v>0</v>
      </c>
      <c r="L1787" s="67">
        <f t="shared" si="663"/>
        <v>0</v>
      </c>
      <c r="M1787" s="77">
        <f t="shared" si="664"/>
        <v>0</v>
      </c>
      <c r="N1787" s="76">
        <f t="shared" si="665"/>
        <v>1.03</v>
      </c>
      <c r="O1787" s="77">
        <f t="shared" si="666"/>
        <v>0.91</v>
      </c>
      <c r="P1787" s="76">
        <f t="shared" si="667"/>
        <v>0</v>
      </c>
      <c r="Q1787" s="76">
        <f t="shared" si="668"/>
        <v>0.25</v>
      </c>
      <c r="R1787" s="76">
        <f t="shared" si="669"/>
        <v>0.75</v>
      </c>
      <c r="S1787" s="76">
        <f t="shared" si="670"/>
        <v>1.0188043478260869</v>
      </c>
      <c r="T1787" s="76">
        <f t="shared" si="671"/>
        <v>1.0188043478260869</v>
      </c>
      <c r="U1787" s="76">
        <f t="shared" si="672"/>
        <v>1.03</v>
      </c>
    </row>
    <row r="1788" spans="1:21" x14ac:dyDescent="0.25">
      <c r="A1788" s="71">
        <v>36</v>
      </c>
      <c r="B1788" s="72">
        <f t="shared" si="673"/>
        <v>46722</v>
      </c>
      <c r="C1788" s="73">
        <f t="shared" si="654"/>
        <v>46752</v>
      </c>
      <c r="D1788" s="67">
        <f t="shared" si="655"/>
        <v>31</v>
      </c>
      <c r="E1788" s="67">
        <f t="shared" si="656"/>
        <v>12</v>
      </c>
      <c r="F1788" s="74">
        <f t="shared" si="657"/>
        <v>46737.5</v>
      </c>
      <c r="G1788" s="67">
        <f t="shared" si="658"/>
        <v>24335</v>
      </c>
      <c r="H1788" s="75">
        <f t="shared" si="659"/>
        <v>1</v>
      </c>
      <c r="I1788" s="76">
        <f t="shared" si="660"/>
        <v>1.03</v>
      </c>
      <c r="J1788" s="76">
        <f t="shared" si="661"/>
        <v>1.03</v>
      </c>
      <c r="K1788" s="67">
        <f t="shared" si="662"/>
        <v>0</v>
      </c>
      <c r="L1788" s="67">
        <f t="shared" si="663"/>
        <v>0</v>
      </c>
      <c r="M1788" s="77">
        <f t="shared" si="664"/>
        <v>0</v>
      </c>
      <c r="N1788" s="76">
        <f t="shared" si="665"/>
        <v>1.03</v>
      </c>
      <c r="O1788" s="77">
        <f t="shared" si="666"/>
        <v>0.91</v>
      </c>
      <c r="P1788" s="76">
        <f t="shared" si="667"/>
        <v>0</v>
      </c>
      <c r="Q1788" s="76">
        <f t="shared" si="668"/>
        <v>8.3333333333333329E-2</v>
      </c>
      <c r="R1788" s="76">
        <f t="shared" si="669"/>
        <v>0.91666666666666663</v>
      </c>
      <c r="S1788" s="76">
        <f t="shared" si="670"/>
        <v>1.0188043478260869</v>
      </c>
      <c r="T1788" s="76">
        <f t="shared" si="671"/>
        <v>1.0188043478260869</v>
      </c>
      <c r="U1788" s="76">
        <f t="shared" si="672"/>
        <v>1.03</v>
      </c>
    </row>
    <row r="1789" spans="1:21" x14ac:dyDescent="0.25">
      <c r="A1789" s="71">
        <v>37</v>
      </c>
      <c r="B1789" s="72">
        <f t="shared" si="673"/>
        <v>46753</v>
      </c>
      <c r="C1789" s="73">
        <f t="shared" si="654"/>
        <v>46783</v>
      </c>
      <c r="D1789" s="67">
        <f t="shared" si="655"/>
        <v>31</v>
      </c>
      <c r="E1789" s="67">
        <f t="shared" si="656"/>
        <v>1</v>
      </c>
      <c r="F1789" s="74">
        <f t="shared" si="657"/>
        <v>46768.5</v>
      </c>
      <c r="G1789" s="67">
        <f t="shared" si="658"/>
        <v>24336</v>
      </c>
      <c r="H1789" s="75">
        <f t="shared" si="659"/>
        <v>1</v>
      </c>
      <c r="I1789" s="76">
        <f t="shared" si="660"/>
        <v>1.03</v>
      </c>
      <c r="J1789" s="76">
        <f t="shared" si="661"/>
        <v>1.03</v>
      </c>
      <c r="K1789" s="67">
        <f t="shared" si="662"/>
        <v>0</v>
      </c>
      <c r="L1789" s="67">
        <f t="shared" si="663"/>
        <v>0</v>
      </c>
      <c r="M1789" s="77">
        <f t="shared" si="664"/>
        <v>0</v>
      </c>
      <c r="N1789" s="76">
        <f t="shared" si="665"/>
        <v>1.03</v>
      </c>
      <c r="O1789" s="77">
        <f t="shared" si="666"/>
        <v>0.91</v>
      </c>
      <c r="P1789" s="76">
        <f t="shared" si="667"/>
        <v>0</v>
      </c>
      <c r="Q1789" s="76">
        <f t="shared" si="668"/>
        <v>0</v>
      </c>
      <c r="R1789" s="76">
        <f t="shared" si="669"/>
        <v>1</v>
      </c>
      <c r="S1789" s="76">
        <f t="shared" si="670"/>
        <v>1.0188043478260869</v>
      </c>
      <c r="T1789" s="76">
        <f t="shared" si="671"/>
        <v>0.98913043478260865</v>
      </c>
      <c r="U1789" s="76">
        <f t="shared" si="672"/>
        <v>1.03</v>
      </c>
    </row>
    <row r="1790" spans="1:21" x14ac:dyDescent="0.25">
      <c r="A1790" s="71">
        <v>38</v>
      </c>
      <c r="B1790" s="72">
        <f t="shared" si="673"/>
        <v>46784</v>
      </c>
      <c r="C1790" s="73">
        <f t="shared" si="654"/>
        <v>46812</v>
      </c>
      <c r="D1790" s="67">
        <f t="shared" si="655"/>
        <v>29</v>
      </c>
      <c r="E1790" s="67">
        <f t="shared" si="656"/>
        <v>2</v>
      </c>
      <c r="F1790" s="74">
        <f t="shared" si="657"/>
        <v>46798.5</v>
      </c>
      <c r="G1790" s="67">
        <f t="shared" si="658"/>
        <v>24337</v>
      </c>
      <c r="H1790" s="75">
        <f t="shared" si="659"/>
        <v>1</v>
      </c>
      <c r="I1790" s="76">
        <f t="shared" si="660"/>
        <v>1.03</v>
      </c>
      <c r="J1790" s="76">
        <f t="shared" si="661"/>
        <v>1.03</v>
      </c>
      <c r="K1790" s="67">
        <f t="shared" si="662"/>
        <v>0</v>
      </c>
      <c r="L1790" s="67">
        <f t="shared" si="663"/>
        <v>0</v>
      </c>
      <c r="M1790" s="77">
        <f t="shared" si="664"/>
        <v>0</v>
      </c>
      <c r="N1790" s="76">
        <f t="shared" si="665"/>
        <v>1.03</v>
      </c>
      <c r="O1790" s="77">
        <f t="shared" si="666"/>
        <v>0.91</v>
      </c>
      <c r="P1790" s="76">
        <f t="shared" si="667"/>
        <v>0</v>
      </c>
      <c r="Q1790" s="76">
        <f t="shared" si="668"/>
        <v>0</v>
      </c>
      <c r="R1790" s="76">
        <f t="shared" si="669"/>
        <v>1</v>
      </c>
      <c r="S1790" s="76">
        <f t="shared" si="670"/>
        <v>1.0188043478260869</v>
      </c>
      <c r="T1790" s="76">
        <f t="shared" si="671"/>
        <v>0.98913043478260865</v>
      </c>
      <c r="U1790" s="76">
        <f t="shared" si="672"/>
        <v>1.03</v>
      </c>
    </row>
    <row r="1791" spans="1:21" x14ac:dyDescent="0.25">
      <c r="A1791" s="71">
        <v>39</v>
      </c>
      <c r="B1791" s="72">
        <f t="shared" si="673"/>
        <v>46813</v>
      </c>
      <c r="C1791" s="73">
        <f t="shared" si="654"/>
        <v>46843</v>
      </c>
      <c r="D1791" s="67">
        <f t="shared" si="655"/>
        <v>31</v>
      </c>
      <c r="E1791" s="67">
        <f t="shared" si="656"/>
        <v>3</v>
      </c>
      <c r="F1791" s="74">
        <f t="shared" si="657"/>
        <v>46828.5</v>
      </c>
      <c r="G1791" s="67">
        <f t="shared" si="658"/>
        <v>24338</v>
      </c>
      <c r="H1791" s="75">
        <f t="shared" si="659"/>
        <v>1</v>
      </c>
      <c r="I1791" s="76">
        <f t="shared" si="660"/>
        <v>1.03</v>
      </c>
      <c r="J1791" s="76">
        <f t="shared" si="661"/>
        <v>1.03</v>
      </c>
      <c r="K1791" s="67">
        <f t="shared" si="662"/>
        <v>0</v>
      </c>
      <c r="L1791" s="67">
        <f t="shared" si="663"/>
        <v>0</v>
      </c>
      <c r="M1791" s="77">
        <f t="shared" si="664"/>
        <v>0</v>
      </c>
      <c r="N1791" s="76">
        <f t="shared" si="665"/>
        <v>1.03</v>
      </c>
      <c r="O1791" s="77">
        <f t="shared" si="666"/>
        <v>0.91</v>
      </c>
      <c r="P1791" s="76">
        <f t="shared" si="667"/>
        <v>0</v>
      </c>
      <c r="Q1791" s="76">
        <f t="shared" si="668"/>
        <v>0</v>
      </c>
      <c r="R1791" s="76">
        <f t="shared" si="669"/>
        <v>1</v>
      </c>
      <c r="S1791" s="76">
        <f t="shared" si="670"/>
        <v>1.0188043478260869</v>
      </c>
      <c r="T1791" s="76">
        <f t="shared" si="671"/>
        <v>0.98913043478260865</v>
      </c>
      <c r="U1791" s="76">
        <f t="shared" si="672"/>
        <v>1.03</v>
      </c>
    </row>
    <row r="1792" spans="1:21" x14ac:dyDescent="0.25">
      <c r="A1792" s="71">
        <v>40</v>
      </c>
      <c r="B1792" s="72">
        <f t="shared" si="673"/>
        <v>46844</v>
      </c>
      <c r="C1792" s="73">
        <f t="shared" si="654"/>
        <v>46873</v>
      </c>
      <c r="D1792" s="67">
        <f t="shared" si="655"/>
        <v>30</v>
      </c>
      <c r="E1792" s="67">
        <f t="shared" si="656"/>
        <v>4</v>
      </c>
      <c r="F1792" s="74">
        <f t="shared" si="657"/>
        <v>46859</v>
      </c>
      <c r="G1792" s="67">
        <f t="shared" si="658"/>
        <v>24339</v>
      </c>
      <c r="H1792" s="75">
        <f t="shared" si="659"/>
        <v>1</v>
      </c>
      <c r="I1792" s="76">
        <f t="shared" si="660"/>
        <v>1.03</v>
      </c>
      <c r="J1792" s="76">
        <f t="shared" si="661"/>
        <v>1.03</v>
      </c>
      <c r="K1792" s="67">
        <f t="shared" si="662"/>
        <v>0</v>
      </c>
      <c r="L1792" s="67">
        <f t="shared" si="663"/>
        <v>0</v>
      </c>
      <c r="M1792" s="77">
        <f t="shared" si="664"/>
        <v>0</v>
      </c>
      <c r="N1792" s="76">
        <f t="shared" si="665"/>
        <v>1.03</v>
      </c>
      <c r="O1792" s="77">
        <f t="shared" si="666"/>
        <v>0.91</v>
      </c>
      <c r="P1792" s="76">
        <f t="shared" si="667"/>
        <v>0</v>
      </c>
      <c r="Q1792" s="76">
        <f t="shared" si="668"/>
        <v>0</v>
      </c>
      <c r="R1792" s="76">
        <f t="shared" si="669"/>
        <v>1</v>
      </c>
      <c r="S1792" s="76">
        <f t="shared" si="670"/>
        <v>1.0188043478260869</v>
      </c>
      <c r="T1792" s="76">
        <f t="shared" si="671"/>
        <v>0.98913043478260865</v>
      </c>
      <c r="U1792" s="76">
        <f t="shared" si="672"/>
        <v>1.03</v>
      </c>
    </row>
    <row r="1793" spans="1:21" x14ac:dyDescent="0.25">
      <c r="A1793" s="71">
        <v>41</v>
      </c>
      <c r="B1793" s="72">
        <f t="shared" si="673"/>
        <v>46874</v>
      </c>
      <c r="C1793" s="73">
        <f t="shared" si="654"/>
        <v>46904</v>
      </c>
      <c r="D1793" s="67">
        <f t="shared" si="655"/>
        <v>31</v>
      </c>
      <c r="E1793" s="67">
        <f t="shared" si="656"/>
        <v>5</v>
      </c>
      <c r="F1793" s="74">
        <f t="shared" si="657"/>
        <v>46889.5</v>
      </c>
      <c r="G1793" s="67">
        <f t="shared" si="658"/>
        <v>24340</v>
      </c>
      <c r="H1793" s="75">
        <f t="shared" si="659"/>
        <v>1</v>
      </c>
      <c r="I1793" s="76">
        <f t="shared" si="660"/>
        <v>1.03</v>
      </c>
      <c r="J1793" s="76">
        <f t="shared" si="661"/>
        <v>1.03</v>
      </c>
      <c r="K1793" s="67">
        <f t="shared" si="662"/>
        <v>0</v>
      </c>
      <c r="L1793" s="67">
        <f t="shared" si="663"/>
        <v>0</v>
      </c>
      <c r="M1793" s="77">
        <f t="shared" si="664"/>
        <v>0</v>
      </c>
      <c r="N1793" s="76">
        <f t="shared" si="665"/>
        <v>1.03</v>
      </c>
      <c r="O1793" s="77">
        <f t="shared" si="666"/>
        <v>0.91</v>
      </c>
      <c r="P1793" s="76">
        <f t="shared" si="667"/>
        <v>0</v>
      </c>
      <c r="Q1793" s="76">
        <f t="shared" si="668"/>
        <v>0</v>
      </c>
      <c r="R1793" s="76">
        <f t="shared" si="669"/>
        <v>1</v>
      </c>
      <c r="S1793" s="76">
        <f t="shared" si="670"/>
        <v>1.0188043478260869</v>
      </c>
      <c r="T1793" s="76">
        <f t="shared" si="671"/>
        <v>0.98913043478260865</v>
      </c>
      <c r="U1793" s="76">
        <f t="shared" si="672"/>
        <v>1.03</v>
      </c>
    </row>
    <row r="1794" spans="1:21" x14ac:dyDescent="0.25">
      <c r="A1794" s="71">
        <v>42</v>
      </c>
      <c r="B1794" s="72">
        <f t="shared" si="673"/>
        <v>46905</v>
      </c>
      <c r="C1794" s="73">
        <f t="shared" si="654"/>
        <v>46934</v>
      </c>
      <c r="D1794" s="67">
        <f t="shared" si="655"/>
        <v>30</v>
      </c>
      <c r="E1794" s="67">
        <f t="shared" si="656"/>
        <v>6</v>
      </c>
      <c r="F1794" s="74">
        <f t="shared" si="657"/>
        <v>46920</v>
      </c>
      <c r="G1794" s="67">
        <f t="shared" si="658"/>
        <v>24341</v>
      </c>
      <c r="H1794" s="75">
        <f t="shared" si="659"/>
        <v>1</v>
      </c>
      <c r="I1794" s="76">
        <f t="shared" si="660"/>
        <v>1.03</v>
      </c>
      <c r="J1794" s="76">
        <f t="shared" si="661"/>
        <v>1.03</v>
      </c>
      <c r="K1794" s="67">
        <f t="shared" si="662"/>
        <v>0</v>
      </c>
      <c r="L1794" s="67">
        <f t="shared" si="663"/>
        <v>0</v>
      </c>
      <c r="M1794" s="77">
        <f t="shared" si="664"/>
        <v>0</v>
      </c>
      <c r="N1794" s="76">
        <f t="shared" si="665"/>
        <v>1.03</v>
      </c>
      <c r="O1794" s="77">
        <f t="shared" si="666"/>
        <v>0.91</v>
      </c>
      <c r="P1794" s="76">
        <f t="shared" si="667"/>
        <v>0</v>
      </c>
      <c r="Q1794" s="76">
        <f t="shared" si="668"/>
        <v>0</v>
      </c>
      <c r="R1794" s="76">
        <f t="shared" si="669"/>
        <v>1</v>
      </c>
      <c r="S1794" s="76">
        <f t="shared" si="670"/>
        <v>1.0188043478260869</v>
      </c>
      <c r="T1794" s="76">
        <f t="shared" si="671"/>
        <v>0.98913043478260865</v>
      </c>
      <c r="U1794" s="76">
        <f t="shared" si="672"/>
        <v>1.03</v>
      </c>
    </row>
    <row r="1795" spans="1:21" x14ac:dyDescent="0.25">
      <c r="A1795" s="71">
        <v>43</v>
      </c>
      <c r="B1795" s="72">
        <f t="shared" si="673"/>
        <v>46935</v>
      </c>
      <c r="C1795" s="73">
        <f t="shared" si="654"/>
        <v>46965</v>
      </c>
      <c r="D1795" s="67">
        <f t="shared" si="655"/>
        <v>31</v>
      </c>
      <c r="E1795" s="67">
        <f t="shared" si="656"/>
        <v>7</v>
      </c>
      <c r="F1795" s="74">
        <f t="shared" si="657"/>
        <v>46950.5</v>
      </c>
      <c r="G1795" s="67">
        <f t="shared" si="658"/>
        <v>24342</v>
      </c>
      <c r="H1795" s="75">
        <f t="shared" si="659"/>
        <v>1</v>
      </c>
      <c r="I1795" s="76">
        <f t="shared" si="660"/>
        <v>1.03</v>
      </c>
      <c r="J1795" s="76">
        <f t="shared" si="661"/>
        <v>1.03</v>
      </c>
      <c r="K1795" s="67">
        <f t="shared" si="662"/>
        <v>0</v>
      </c>
      <c r="L1795" s="67">
        <f t="shared" si="663"/>
        <v>0</v>
      </c>
      <c r="M1795" s="77">
        <f t="shared" si="664"/>
        <v>0</v>
      </c>
      <c r="N1795" s="76">
        <f t="shared" si="665"/>
        <v>1.03</v>
      </c>
      <c r="O1795" s="77">
        <f t="shared" si="666"/>
        <v>0.91</v>
      </c>
      <c r="P1795" s="76">
        <f t="shared" si="667"/>
        <v>0</v>
      </c>
      <c r="Q1795" s="76">
        <f t="shared" si="668"/>
        <v>0</v>
      </c>
      <c r="R1795" s="76">
        <f t="shared" si="669"/>
        <v>0.91666666666666663</v>
      </c>
      <c r="S1795" s="76">
        <f t="shared" si="670"/>
        <v>1.0188043478260869</v>
      </c>
      <c r="T1795" s="76">
        <f t="shared" si="671"/>
        <v>0.98913043478260865</v>
      </c>
      <c r="U1795" s="76">
        <f t="shared" si="672"/>
        <v>1.03</v>
      </c>
    </row>
    <row r="1796" spans="1:21" x14ac:dyDescent="0.25">
      <c r="A1796" s="71">
        <v>44</v>
      </c>
      <c r="B1796" s="72">
        <f t="shared" si="673"/>
        <v>46966</v>
      </c>
      <c r="C1796" s="73">
        <f t="shared" si="654"/>
        <v>46996</v>
      </c>
      <c r="D1796" s="67">
        <f t="shared" si="655"/>
        <v>31</v>
      </c>
      <c r="E1796" s="67">
        <f t="shared" si="656"/>
        <v>8</v>
      </c>
      <c r="F1796" s="74">
        <f t="shared" si="657"/>
        <v>46981.5</v>
      </c>
      <c r="G1796" s="67">
        <f t="shared" si="658"/>
        <v>24343</v>
      </c>
      <c r="H1796" s="75">
        <f t="shared" si="659"/>
        <v>1</v>
      </c>
      <c r="I1796" s="76">
        <f t="shared" si="660"/>
        <v>1.03</v>
      </c>
      <c r="J1796" s="76">
        <f t="shared" si="661"/>
        <v>1.03</v>
      </c>
      <c r="K1796" s="67">
        <f t="shared" si="662"/>
        <v>0</v>
      </c>
      <c r="L1796" s="67">
        <f t="shared" si="663"/>
        <v>0</v>
      </c>
      <c r="M1796" s="77">
        <f t="shared" si="664"/>
        <v>0</v>
      </c>
      <c r="N1796" s="76">
        <f t="shared" si="665"/>
        <v>1.03</v>
      </c>
      <c r="O1796" s="77">
        <f t="shared" si="666"/>
        <v>0.91</v>
      </c>
      <c r="P1796" s="76">
        <f t="shared" si="667"/>
        <v>0</v>
      </c>
      <c r="Q1796" s="76">
        <f t="shared" si="668"/>
        <v>0</v>
      </c>
      <c r="R1796" s="76">
        <f t="shared" si="669"/>
        <v>0.75</v>
      </c>
      <c r="S1796" s="76">
        <f t="shared" si="670"/>
        <v>1.0188043478260869</v>
      </c>
      <c r="T1796" s="76">
        <f t="shared" si="671"/>
        <v>1.0188043478260869</v>
      </c>
      <c r="U1796" s="76">
        <f t="shared" si="672"/>
        <v>1.03</v>
      </c>
    </row>
    <row r="1797" spans="1:21" x14ac:dyDescent="0.25">
      <c r="A1797" s="71">
        <v>45</v>
      </c>
      <c r="B1797" s="72">
        <f t="shared" si="673"/>
        <v>46997</v>
      </c>
      <c r="C1797" s="73">
        <f t="shared" si="654"/>
        <v>47026</v>
      </c>
      <c r="D1797" s="67">
        <f t="shared" si="655"/>
        <v>30</v>
      </c>
      <c r="E1797" s="67">
        <f t="shared" si="656"/>
        <v>9</v>
      </c>
      <c r="F1797" s="74">
        <f t="shared" si="657"/>
        <v>47012</v>
      </c>
      <c r="G1797" s="67">
        <f t="shared" si="658"/>
        <v>24344</v>
      </c>
      <c r="H1797" s="75">
        <f t="shared" si="659"/>
        <v>1</v>
      </c>
      <c r="I1797" s="76">
        <f t="shared" si="660"/>
        <v>1.03</v>
      </c>
      <c r="J1797" s="76">
        <f t="shared" si="661"/>
        <v>1.03</v>
      </c>
      <c r="K1797" s="67">
        <f t="shared" si="662"/>
        <v>0</v>
      </c>
      <c r="L1797" s="67">
        <f t="shared" si="663"/>
        <v>0</v>
      </c>
      <c r="M1797" s="77">
        <f t="shared" si="664"/>
        <v>0</v>
      </c>
      <c r="N1797" s="76">
        <f t="shared" si="665"/>
        <v>1.03</v>
      </c>
      <c r="O1797" s="77">
        <f t="shared" si="666"/>
        <v>0.91</v>
      </c>
      <c r="P1797" s="76">
        <f t="shared" si="667"/>
        <v>0</v>
      </c>
      <c r="Q1797" s="76">
        <f t="shared" si="668"/>
        <v>0</v>
      </c>
      <c r="R1797" s="76">
        <f t="shared" si="669"/>
        <v>0.58333333333333337</v>
      </c>
      <c r="S1797" s="76">
        <f t="shared" si="670"/>
        <v>1.0188043478260869</v>
      </c>
      <c r="T1797" s="76">
        <f t="shared" si="671"/>
        <v>1.0188043478260869</v>
      </c>
      <c r="U1797" s="76">
        <f t="shared" si="672"/>
        <v>1.03</v>
      </c>
    </row>
    <row r="1798" spans="1:21" x14ac:dyDescent="0.25">
      <c r="A1798" s="71">
        <v>46</v>
      </c>
      <c r="B1798" s="72">
        <f t="shared" si="673"/>
        <v>47027</v>
      </c>
      <c r="C1798" s="73">
        <f t="shared" si="654"/>
        <v>47057</v>
      </c>
      <c r="D1798" s="67">
        <f t="shared" si="655"/>
        <v>31</v>
      </c>
      <c r="E1798" s="67">
        <f t="shared" si="656"/>
        <v>10</v>
      </c>
      <c r="F1798" s="74">
        <f t="shared" si="657"/>
        <v>47042.5</v>
      </c>
      <c r="G1798" s="67">
        <f t="shared" si="658"/>
        <v>24345</v>
      </c>
      <c r="H1798" s="75">
        <f t="shared" si="659"/>
        <v>1</v>
      </c>
      <c r="I1798" s="76">
        <f t="shared" si="660"/>
        <v>1.03</v>
      </c>
      <c r="J1798" s="76">
        <f t="shared" si="661"/>
        <v>1.03</v>
      </c>
      <c r="K1798" s="67">
        <f t="shared" si="662"/>
        <v>0</v>
      </c>
      <c r="L1798" s="67">
        <f t="shared" si="663"/>
        <v>0</v>
      </c>
      <c r="M1798" s="77">
        <f t="shared" si="664"/>
        <v>0</v>
      </c>
      <c r="N1798" s="76">
        <f t="shared" si="665"/>
        <v>1.03</v>
      </c>
      <c r="O1798" s="77">
        <f t="shared" si="666"/>
        <v>0.91</v>
      </c>
      <c r="P1798" s="76">
        <f t="shared" si="667"/>
        <v>0</v>
      </c>
      <c r="Q1798" s="76">
        <f t="shared" si="668"/>
        <v>0</v>
      </c>
      <c r="R1798" s="76">
        <f t="shared" si="669"/>
        <v>0.41666666666666669</v>
      </c>
      <c r="S1798" s="76">
        <f t="shared" si="670"/>
        <v>1.0188043478260869</v>
      </c>
      <c r="T1798" s="76">
        <f t="shared" si="671"/>
        <v>1.0188043478260869</v>
      </c>
      <c r="U1798" s="76">
        <f t="shared" si="672"/>
        <v>1.03</v>
      </c>
    </row>
    <row r="1799" spans="1:21" x14ac:dyDescent="0.25">
      <c r="A1799" s="71">
        <v>47</v>
      </c>
      <c r="B1799" s="72">
        <f t="shared" si="673"/>
        <v>47058</v>
      </c>
      <c r="C1799" s="73">
        <f t="shared" si="654"/>
        <v>47087</v>
      </c>
      <c r="D1799" s="67">
        <f t="shared" si="655"/>
        <v>30</v>
      </c>
      <c r="E1799" s="67">
        <f t="shared" si="656"/>
        <v>11</v>
      </c>
      <c r="F1799" s="74">
        <f t="shared" si="657"/>
        <v>47073</v>
      </c>
      <c r="G1799" s="67">
        <f t="shared" si="658"/>
        <v>24346</v>
      </c>
      <c r="H1799" s="75">
        <f t="shared" si="659"/>
        <v>1</v>
      </c>
      <c r="I1799" s="76">
        <f t="shared" si="660"/>
        <v>1.03</v>
      </c>
      <c r="J1799" s="76">
        <f t="shared" si="661"/>
        <v>1.03</v>
      </c>
      <c r="K1799" s="67">
        <f t="shared" si="662"/>
        <v>0</v>
      </c>
      <c r="L1799" s="67">
        <f t="shared" si="663"/>
        <v>0</v>
      </c>
      <c r="M1799" s="77">
        <f t="shared" si="664"/>
        <v>0</v>
      </c>
      <c r="N1799" s="76">
        <f t="shared" si="665"/>
        <v>1.03</v>
      </c>
      <c r="O1799" s="77">
        <f t="shared" si="666"/>
        <v>0.91</v>
      </c>
      <c r="P1799" s="76">
        <f t="shared" si="667"/>
        <v>0</v>
      </c>
      <c r="Q1799" s="76">
        <f t="shared" si="668"/>
        <v>0</v>
      </c>
      <c r="R1799" s="76">
        <f t="shared" si="669"/>
        <v>0.25</v>
      </c>
      <c r="S1799" s="76">
        <f t="shared" si="670"/>
        <v>1.0188043478260869</v>
      </c>
      <c r="T1799" s="76">
        <f t="shared" si="671"/>
        <v>1.0188043478260869</v>
      </c>
      <c r="U1799" s="76">
        <f t="shared" si="672"/>
        <v>1.03</v>
      </c>
    </row>
    <row r="1800" spans="1:21" x14ac:dyDescent="0.25">
      <c r="A1800" s="71">
        <v>48</v>
      </c>
      <c r="B1800" s="72">
        <f t="shared" si="673"/>
        <v>47088</v>
      </c>
      <c r="C1800" s="73">
        <f t="shared" si="654"/>
        <v>47118</v>
      </c>
      <c r="D1800" s="67">
        <f t="shared" si="655"/>
        <v>31</v>
      </c>
      <c r="E1800" s="67">
        <f t="shared" si="656"/>
        <v>12</v>
      </c>
      <c r="F1800" s="74">
        <f t="shared" si="657"/>
        <v>47103.5</v>
      </c>
      <c r="G1800" s="67">
        <f t="shared" si="658"/>
        <v>24347</v>
      </c>
      <c r="H1800" s="75">
        <f t="shared" si="659"/>
        <v>1</v>
      </c>
      <c r="I1800" s="76">
        <f t="shared" si="660"/>
        <v>1.03</v>
      </c>
      <c r="J1800" s="76">
        <f t="shared" si="661"/>
        <v>1.03</v>
      </c>
      <c r="K1800" s="67">
        <f t="shared" si="662"/>
        <v>0</v>
      </c>
      <c r="L1800" s="67">
        <f t="shared" si="663"/>
        <v>0</v>
      </c>
      <c r="M1800" s="77">
        <f t="shared" si="664"/>
        <v>0</v>
      </c>
      <c r="N1800" s="76">
        <f t="shared" si="665"/>
        <v>1.03</v>
      </c>
      <c r="O1800" s="77">
        <f t="shared" si="666"/>
        <v>0.91</v>
      </c>
      <c r="P1800" s="76">
        <f t="shared" si="667"/>
        <v>0</v>
      </c>
      <c r="Q1800" s="76">
        <f t="shared" si="668"/>
        <v>0</v>
      </c>
      <c r="R1800" s="76">
        <f t="shared" si="669"/>
        <v>8.3333333333333329E-2</v>
      </c>
      <c r="S1800" s="76">
        <f t="shared" si="670"/>
        <v>1.0188043478260869</v>
      </c>
      <c r="T1800" s="76">
        <f t="shared" si="671"/>
        <v>1.0188043478260869</v>
      </c>
      <c r="U1800" s="76">
        <f t="shared" si="672"/>
        <v>1.03</v>
      </c>
    </row>
    <row r="1801" spans="1:21" x14ac:dyDescent="0.25">
      <c r="A1801" s="81" t="s">
        <v>1187</v>
      </c>
      <c r="B1801" s="53">
        <f>EXP(SUMPRODUCT((rl_key=$A$1750)*(rl_cons="Y")*rl_ln1p))</f>
        <v>1.03</v>
      </c>
      <c r="C1801" s="53">
        <f>SUMPRODUCT($H$1753:$H$1800,$P$1753:$P$1800,$U$1753:$U$1800)/SUMPRODUCT($H$1753:$H$1800,$P$1753:$P$1800)</f>
        <v>1.0052083333333333</v>
      </c>
      <c r="D1801" s="53">
        <f>SUMPRODUCT($H$1753:$H$1800,$Q$1753:$Q$1800,$U$1753:$U$1800)/SUMPRODUCT($H$1753:$H$1800,$Q$1753:$Q$1800)</f>
        <v>1.0297916666666669</v>
      </c>
      <c r="E1801" s="53">
        <f>SUMPRODUCT($H$1753:$H$1800,$R$1753:$R$1800,$U$1753:$U$1800)/SUMPRODUCT($H$1753:$H$1800,$R$1753:$R$1800)</f>
        <v>1.03</v>
      </c>
      <c r="F1801" s="172">
        <f>SUMPRODUCT($H$1753:$H$1800,$Q$1753:$Q$1800,$O$1753:$O$1800)/SUMPRODUCT($H$1753:$H$1800,$Q$1753:$Q$1800)</f>
        <v>0.90999999999999981</v>
      </c>
      <c r="G1801" s="172">
        <f>SUMPRODUCT($H$1753:$H$1800,$R$1753:$R$1800,$O$1753:$O$1800)/SUMPRODUCT($H$1753:$H$1800,$R$1753:$R$1800)</f>
        <v>0.90999999999999981</v>
      </c>
    </row>
    <row r="1804" spans="1:21" x14ac:dyDescent="0.25">
      <c r="A1804" s="81" t="str">
        <f>INDEX(lr_key,33)</f>
        <v>BU-B|MI</v>
      </c>
      <c r="B1804" s="81" t="str">
        <f>INDEX(lr_state,33)</f>
        <v>MI</v>
      </c>
      <c r="C1804" s="55">
        <f>nr_TermMonths</f>
        <v>6</v>
      </c>
      <c r="D1804" s="55">
        <f>IF(COUNTIF(se_state,$B1804)=0,0,MATCH($B1804,se_state,0))</f>
        <v>0</v>
      </c>
      <c r="E1804" s="57">
        <f>IF($D1804=0,0,INDEX(se_sum,$D1804))</f>
        <v>0</v>
      </c>
      <c r="F1804" s="172">
        <f>IF(N(INDEX(lr_mind,33))=0,1,INDEX(lr_mind,33))</f>
        <v>0.92</v>
      </c>
      <c r="G1804" s="172">
        <f>IF(N(INDEX(lr_m0,33))=0,1,INDEX(lr_m0,33))</f>
        <v>0.91</v>
      </c>
      <c r="H1804" s="54">
        <f>IF(N(INDEX(lr_m0asof,33))=0,DATE(nr_PlanYear-1,10,1),INDEX(lr_m0asof,33))</f>
        <v>46295</v>
      </c>
      <c r="I1804" s="172">
        <f>IF(N(INDEX(lr_m1,33))=0,1,INDEX(lr_m1,33))</f>
        <v>0.92500000000000004</v>
      </c>
      <c r="J1804" s="172">
        <f>INDEX(lr_mprior,33)</f>
        <v>0</v>
      </c>
      <c r="K1804" s="172">
        <f>INDEX(lr_m2,33)</f>
        <v>0</v>
      </c>
      <c r="L1804" s="81" t="b">
        <f>NOT(ISBLANK(INDEX(lr_netp,33)))</f>
        <v>0</v>
      </c>
      <c r="M1804" s="52">
        <f>N(INDEX(lr_netp,33))</f>
        <v>0</v>
      </c>
      <c r="N1804" s="52">
        <f>IF(ISBLANK(INDEX(lr_netp1,33)),$M$1804,N(INDEX(lr_netp1,33)))</f>
        <v>0</v>
      </c>
      <c r="O1804" s="55">
        <f>IF(AND(nr_ModAdjMaster="ON",INDEX(lr_modadj,33)="ON"),1,0)</f>
        <v>1</v>
      </c>
    </row>
    <row r="1805" spans="1:21" x14ac:dyDescent="0.25">
      <c r="A1805" s="81">
        <f>EDATE($H$1804,-12)+1</f>
        <v>45931</v>
      </c>
      <c r="B1805" s="81">
        <f>$H$1804+1</f>
        <v>46296</v>
      </c>
      <c r="C1805" s="81">
        <f>DATE(nr_PlanYear,12,31)+1</f>
        <v>46753</v>
      </c>
      <c r="D1805" s="81">
        <f>DATE(nr_PlanYear+1,12,31)+1</f>
        <v>47119</v>
      </c>
      <c r="E1805" s="81">
        <f>IF(N($J$1804)=0,$F$1805-($G$1805-$F$1805)/($C$1805-$B$1805)*($B$1805-$A$1805),$J$1804)</f>
        <v>0.89801969365426693</v>
      </c>
      <c r="F1805" s="81">
        <f>$G$1804</f>
        <v>0.91</v>
      </c>
      <c r="G1805" s="81">
        <f>$I$1804</f>
        <v>0.92500000000000004</v>
      </c>
      <c r="H1805" s="81">
        <f>IF(N($K$1804)=0,$I$1804,$K$1804)</f>
        <v>0.92500000000000004</v>
      </c>
      <c r="I1805" s="81">
        <f>($F$1805-$E$1805)/($B$1805-$A$1805)</f>
        <v>3.2822757111597549E-5</v>
      </c>
      <c r="J1805" s="81">
        <f>($G$1805-$F$1805)/($C$1805-$B$1805)</f>
        <v>3.2822757111597407E-5</v>
      </c>
      <c r="K1805" s="81">
        <f>($H$1805-$G$1805)/($D$1805-$C$1805)</f>
        <v>0</v>
      </c>
    </row>
    <row r="1806" spans="1:21" ht="36" x14ac:dyDescent="0.25">
      <c r="A1806" s="50" t="s">
        <v>211</v>
      </c>
      <c r="B1806" s="50" t="s">
        <v>212</v>
      </c>
      <c r="C1806" s="50" t="s">
        <v>213</v>
      </c>
      <c r="D1806" s="50" t="s">
        <v>214</v>
      </c>
      <c r="E1806" s="50" t="s">
        <v>215</v>
      </c>
      <c r="F1806" s="50" t="s">
        <v>216</v>
      </c>
      <c r="G1806" s="50" t="s">
        <v>217</v>
      </c>
      <c r="H1806" s="50" t="s">
        <v>218</v>
      </c>
      <c r="I1806" s="50" t="s">
        <v>219</v>
      </c>
      <c r="J1806" s="50" t="s">
        <v>220</v>
      </c>
      <c r="K1806" s="50" t="s">
        <v>221</v>
      </c>
      <c r="L1806" s="50" t="s">
        <v>222</v>
      </c>
      <c r="M1806" s="50" t="s">
        <v>223</v>
      </c>
      <c r="N1806" s="50" t="s">
        <v>224</v>
      </c>
      <c r="O1806" s="50" t="s">
        <v>225</v>
      </c>
      <c r="P1806" s="50" t="s">
        <v>226</v>
      </c>
      <c r="Q1806" s="50" t="s">
        <v>227</v>
      </c>
      <c r="R1806" s="50" t="s">
        <v>228</v>
      </c>
      <c r="S1806" s="50" t="s">
        <v>229</v>
      </c>
      <c r="T1806" s="50" t="s">
        <v>230</v>
      </c>
      <c r="U1806" s="50" t="s">
        <v>231</v>
      </c>
    </row>
    <row r="1807" spans="1:21" x14ac:dyDescent="0.25">
      <c r="A1807" s="71">
        <v>1</v>
      </c>
      <c r="B1807" s="72">
        <f>DATE(nr_PlanYear-2,1,1)</f>
        <v>45658</v>
      </c>
      <c r="C1807" s="73">
        <f t="shared" ref="C1807:C1854" si="674">EOMONTH($B1807,0)</f>
        <v>45688</v>
      </c>
      <c r="D1807" s="67">
        <f t="shared" ref="D1807:D1854" si="675">$C1807-$B1807+1</f>
        <v>31</v>
      </c>
      <c r="E1807" s="67">
        <f t="shared" ref="E1807:E1854" si="676">MONTH($B1807)</f>
        <v>1</v>
      </c>
      <c r="F1807" s="74">
        <f t="shared" ref="F1807:F1854" si="677">($B1807+$C1807+1)/2</f>
        <v>45673.5</v>
      </c>
      <c r="G1807" s="67">
        <f t="shared" ref="G1807:G1854" si="678">YEAR($B1807)*12+MONTH($B1807)-1</f>
        <v>24300</v>
      </c>
      <c r="H1807" s="75">
        <f t="shared" ref="H1807:H1854" si="679">IF(OR(nr_SeasonOn="OFF",$D$1804=0,$E$1804=0),1,12*INDEX(se_block,$D$1804,$E1807)/$E$1804)</f>
        <v>1</v>
      </c>
      <c r="I1807" s="76">
        <f t="shared" ref="I1807:I1854" si="680">EXP(SUMPRODUCT((rl_eff&lt;$B1807)*(rl_key=$A$1804)*rl_ln1p))</f>
        <v>1</v>
      </c>
      <c r="J1807" s="76">
        <f t="shared" ref="J1807:J1854" si="681">EXP(SUMPRODUCT((rl_eff&lt;=$C1807)*(rl_key=$A$1804)*rl_ln1p))</f>
        <v>1</v>
      </c>
      <c r="K1807" s="67">
        <f t="shared" ref="K1807:K1854" si="682">COUNTIFS(rl_key,$A$1804,rl_eff,"&gt;="&amp;$B1807,rl_eff,"&lt;="&amp;$C1807)</f>
        <v>0</v>
      </c>
      <c r="L1807" s="67">
        <f t="shared" ref="L1807:L1854" si="683">SUMIFS(rl_daysafter,rl_key,$A$1804,rl_effmonth,$B1807,rl_first,1)</f>
        <v>0</v>
      </c>
      <c r="M1807" s="77">
        <f t="shared" ref="M1807:M1854" si="684">IF($K1807=0,0,MIN(1,$L1807/$D1807))</f>
        <v>0</v>
      </c>
      <c r="N1807" s="76">
        <f t="shared" ref="N1807:N1854" si="685">IF($K1807=0,$J1807,(1-$M1807)*$I1807+$M1807*$J1807)</f>
        <v>1</v>
      </c>
      <c r="O1807" s="77">
        <f t="shared" ref="O1807:O1854" si="686">IF($F1807&lt;$B$1805,$E$1805+$I$1805*($F1807-$A$1805),IF($F1807&lt;$C$1805,$F$1805+$J$1805*($F1807-$B$1805),$G$1805+$K$1805*($F1807-$C$1805)))</f>
        <v>0.88956783369803061</v>
      </c>
      <c r="P1807" s="76">
        <f t="shared" ref="P1807:P1854" si="687">MIN(1,MAX(0,(nr_MEndPm1-$G1807+0.5)/$C$1804))-MIN(1,MAX(0,(nr_MStartPm1-1-$G1807+0.5)/$C$1804))</f>
        <v>0</v>
      </c>
      <c r="Q1807" s="76">
        <f t="shared" ref="Q1807:Q1854" si="688">MIN(1,MAX(0,(nr_MEndP-$G1807+0.5)/$C$1804))-MIN(1,MAX(0,(nr_MStartP-1-$G1807+0.5)/$C$1804))</f>
        <v>0</v>
      </c>
      <c r="R1807" s="76">
        <f t="shared" ref="R1807:R1854" si="689">MIN(1,MAX(0,(nr_MEndP1-$G1807+0.5)/$C$1804))-MIN(1,MAX(0,(nr_MStartP1-1-$G1807+0.5)/$C$1804))</f>
        <v>0</v>
      </c>
      <c r="S1807" s="76">
        <f t="shared" ref="S1807:S1854" si="690">$N1807*IF($O$1804=1,$O1807/$F$1804,1)</f>
        <v>0.96692155836742455</v>
      </c>
      <c r="T1807" s="76">
        <f t="shared" ref="T1807:T1854" si="691">IF($G1807&lt;nr_MStartP,$S1807,$T1795*(1+IF($G1807&lt;nr_MStartP1,$M$1804,$N$1804)))</f>
        <v>0.96692155836742455</v>
      </c>
      <c r="U1807" s="76">
        <f t="shared" ref="U1807:U1854" si="692">IF($L$1804,$T1807,$N1807)</f>
        <v>1</v>
      </c>
    </row>
    <row r="1808" spans="1:21" x14ac:dyDescent="0.25">
      <c r="A1808" s="71">
        <v>2</v>
      </c>
      <c r="B1808" s="72">
        <f t="shared" ref="B1808:B1854" si="693">EDATE($B1807,1)</f>
        <v>45689</v>
      </c>
      <c r="C1808" s="73">
        <f t="shared" si="674"/>
        <v>45716</v>
      </c>
      <c r="D1808" s="67">
        <f t="shared" si="675"/>
        <v>28</v>
      </c>
      <c r="E1808" s="67">
        <f t="shared" si="676"/>
        <v>2</v>
      </c>
      <c r="F1808" s="74">
        <f t="shared" si="677"/>
        <v>45703</v>
      </c>
      <c r="G1808" s="67">
        <f t="shared" si="678"/>
        <v>24301</v>
      </c>
      <c r="H1808" s="75">
        <f t="shared" si="679"/>
        <v>1</v>
      </c>
      <c r="I1808" s="76">
        <f t="shared" si="680"/>
        <v>1</v>
      </c>
      <c r="J1808" s="76">
        <f t="shared" si="681"/>
        <v>1</v>
      </c>
      <c r="K1808" s="67">
        <f t="shared" si="682"/>
        <v>0</v>
      </c>
      <c r="L1808" s="67">
        <f t="shared" si="683"/>
        <v>0</v>
      </c>
      <c r="M1808" s="77">
        <f t="shared" si="684"/>
        <v>0</v>
      </c>
      <c r="N1808" s="76">
        <f t="shared" si="685"/>
        <v>1</v>
      </c>
      <c r="O1808" s="77">
        <f t="shared" si="686"/>
        <v>0.89053610503282266</v>
      </c>
      <c r="P1808" s="76">
        <f t="shared" si="687"/>
        <v>0</v>
      </c>
      <c r="Q1808" s="76">
        <f t="shared" si="688"/>
        <v>0</v>
      </c>
      <c r="R1808" s="76">
        <f t="shared" si="689"/>
        <v>0</v>
      </c>
      <c r="S1808" s="76">
        <f t="shared" si="690"/>
        <v>0.9679740272095898</v>
      </c>
      <c r="T1808" s="76">
        <f t="shared" si="691"/>
        <v>0.9679740272095898</v>
      </c>
      <c r="U1808" s="76">
        <f t="shared" si="692"/>
        <v>1</v>
      </c>
    </row>
    <row r="1809" spans="1:21" x14ac:dyDescent="0.25">
      <c r="A1809" s="71">
        <v>3</v>
      </c>
      <c r="B1809" s="72">
        <f t="shared" si="693"/>
        <v>45717</v>
      </c>
      <c r="C1809" s="73">
        <f t="shared" si="674"/>
        <v>45747</v>
      </c>
      <c r="D1809" s="67">
        <f t="shared" si="675"/>
        <v>31</v>
      </c>
      <c r="E1809" s="67">
        <f t="shared" si="676"/>
        <v>3</v>
      </c>
      <c r="F1809" s="74">
        <f t="shared" si="677"/>
        <v>45732.5</v>
      </c>
      <c r="G1809" s="67">
        <f t="shared" si="678"/>
        <v>24302</v>
      </c>
      <c r="H1809" s="75">
        <f t="shared" si="679"/>
        <v>1</v>
      </c>
      <c r="I1809" s="76">
        <f t="shared" si="680"/>
        <v>1</v>
      </c>
      <c r="J1809" s="76">
        <f t="shared" si="681"/>
        <v>1</v>
      </c>
      <c r="K1809" s="67">
        <f t="shared" si="682"/>
        <v>0</v>
      </c>
      <c r="L1809" s="67">
        <f t="shared" si="683"/>
        <v>0</v>
      </c>
      <c r="M1809" s="77">
        <f t="shared" si="684"/>
        <v>0</v>
      </c>
      <c r="N1809" s="76">
        <f t="shared" si="685"/>
        <v>1</v>
      </c>
      <c r="O1809" s="77">
        <f t="shared" si="686"/>
        <v>0.89150437636761481</v>
      </c>
      <c r="P1809" s="76">
        <f t="shared" si="687"/>
        <v>0</v>
      </c>
      <c r="Q1809" s="76">
        <f t="shared" si="688"/>
        <v>0</v>
      </c>
      <c r="R1809" s="76">
        <f t="shared" si="689"/>
        <v>0</v>
      </c>
      <c r="S1809" s="76">
        <f t="shared" si="690"/>
        <v>0.96902649605175517</v>
      </c>
      <c r="T1809" s="76">
        <f t="shared" si="691"/>
        <v>0.96902649605175517</v>
      </c>
      <c r="U1809" s="76">
        <f t="shared" si="692"/>
        <v>1</v>
      </c>
    </row>
    <row r="1810" spans="1:21" x14ac:dyDescent="0.25">
      <c r="A1810" s="71">
        <v>4</v>
      </c>
      <c r="B1810" s="72">
        <f t="shared" si="693"/>
        <v>45748</v>
      </c>
      <c r="C1810" s="73">
        <f t="shared" si="674"/>
        <v>45777</v>
      </c>
      <c r="D1810" s="67">
        <f t="shared" si="675"/>
        <v>30</v>
      </c>
      <c r="E1810" s="67">
        <f t="shared" si="676"/>
        <v>4</v>
      </c>
      <c r="F1810" s="74">
        <f t="shared" si="677"/>
        <v>45763</v>
      </c>
      <c r="G1810" s="67">
        <f t="shared" si="678"/>
        <v>24303</v>
      </c>
      <c r="H1810" s="75">
        <f t="shared" si="679"/>
        <v>1</v>
      </c>
      <c r="I1810" s="76">
        <f t="shared" si="680"/>
        <v>1</v>
      </c>
      <c r="J1810" s="76">
        <f t="shared" si="681"/>
        <v>1</v>
      </c>
      <c r="K1810" s="67">
        <f t="shared" si="682"/>
        <v>0</v>
      </c>
      <c r="L1810" s="67">
        <f t="shared" si="683"/>
        <v>0</v>
      </c>
      <c r="M1810" s="77">
        <f t="shared" si="684"/>
        <v>0</v>
      </c>
      <c r="N1810" s="76">
        <f t="shared" si="685"/>
        <v>1</v>
      </c>
      <c r="O1810" s="77">
        <f t="shared" si="686"/>
        <v>0.89250547045951856</v>
      </c>
      <c r="P1810" s="76">
        <f t="shared" si="687"/>
        <v>0</v>
      </c>
      <c r="Q1810" s="76">
        <f t="shared" si="688"/>
        <v>0</v>
      </c>
      <c r="R1810" s="76">
        <f t="shared" si="689"/>
        <v>0</v>
      </c>
      <c r="S1810" s="76">
        <f t="shared" si="690"/>
        <v>0.97011464180382445</v>
      </c>
      <c r="T1810" s="76">
        <f t="shared" si="691"/>
        <v>0.97011464180382445</v>
      </c>
      <c r="U1810" s="76">
        <f t="shared" si="692"/>
        <v>1</v>
      </c>
    </row>
    <row r="1811" spans="1:21" x14ac:dyDescent="0.25">
      <c r="A1811" s="71">
        <v>5</v>
      </c>
      <c r="B1811" s="72">
        <f t="shared" si="693"/>
        <v>45778</v>
      </c>
      <c r="C1811" s="73">
        <f t="shared" si="674"/>
        <v>45808</v>
      </c>
      <c r="D1811" s="67">
        <f t="shared" si="675"/>
        <v>31</v>
      </c>
      <c r="E1811" s="67">
        <f t="shared" si="676"/>
        <v>5</v>
      </c>
      <c r="F1811" s="74">
        <f t="shared" si="677"/>
        <v>45793.5</v>
      </c>
      <c r="G1811" s="67">
        <f t="shared" si="678"/>
        <v>24304</v>
      </c>
      <c r="H1811" s="75">
        <f t="shared" si="679"/>
        <v>1</v>
      </c>
      <c r="I1811" s="76">
        <f t="shared" si="680"/>
        <v>1</v>
      </c>
      <c r="J1811" s="76">
        <f t="shared" si="681"/>
        <v>1</v>
      </c>
      <c r="K1811" s="67">
        <f t="shared" si="682"/>
        <v>0</v>
      </c>
      <c r="L1811" s="67">
        <f t="shared" si="683"/>
        <v>0</v>
      </c>
      <c r="M1811" s="77">
        <f t="shared" si="684"/>
        <v>0</v>
      </c>
      <c r="N1811" s="76">
        <f t="shared" si="685"/>
        <v>1</v>
      </c>
      <c r="O1811" s="77">
        <f t="shared" si="686"/>
        <v>0.8935065645514223</v>
      </c>
      <c r="P1811" s="76">
        <f t="shared" si="687"/>
        <v>0</v>
      </c>
      <c r="Q1811" s="76">
        <f t="shared" si="688"/>
        <v>0</v>
      </c>
      <c r="R1811" s="76">
        <f t="shared" si="689"/>
        <v>0</v>
      </c>
      <c r="S1811" s="76">
        <f t="shared" si="690"/>
        <v>0.97120278755589373</v>
      </c>
      <c r="T1811" s="76">
        <f t="shared" si="691"/>
        <v>0.97120278755589373</v>
      </c>
      <c r="U1811" s="76">
        <f t="shared" si="692"/>
        <v>1</v>
      </c>
    </row>
    <row r="1812" spans="1:21" x14ac:dyDescent="0.25">
      <c r="A1812" s="71">
        <v>6</v>
      </c>
      <c r="B1812" s="72">
        <f t="shared" si="693"/>
        <v>45809</v>
      </c>
      <c r="C1812" s="73">
        <f t="shared" si="674"/>
        <v>45838</v>
      </c>
      <c r="D1812" s="67">
        <f t="shared" si="675"/>
        <v>30</v>
      </c>
      <c r="E1812" s="67">
        <f t="shared" si="676"/>
        <v>6</v>
      </c>
      <c r="F1812" s="74">
        <f t="shared" si="677"/>
        <v>45824</v>
      </c>
      <c r="G1812" s="67">
        <f t="shared" si="678"/>
        <v>24305</v>
      </c>
      <c r="H1812" s="75">
        <f t="shared" si="679"/>
        <v>1</v>
      </c>
      <c r="I1812" s="76">
        <f t="shared" si="680"/>
        <v>1</v>
      </c>
      <c r="J1812" s="76">
        <f t="shared" si="681"/>
        <v>1</v>
      </c>
      <c r="K1812" s="67">
        <f t="shared" si="682"/>
        <v>0</v>
      </c>
      <c r="L1812" s="67">
        <f t="shared" si="683"/>
        <v>0</v>
      </c>
      <c r="M1812" s="77">
        <f t="shared" si="684"/>
        <v>0</v>
      </c>
      <c r="N1812" s="76">
        <f t="shared" si="685"/>
        <v>1</v>
      </c>
      <c r="O1812" s="77">
        <f t="shared" si="686"/>
        <v>0.89450765864332604</v>
      </c>
      <c r="P1812" s="76">
        <f t="shared" si="687"/>
        <v>0</v>
      </c>
      <c r="Q1812" s="76">
        <f t="shared" si="688"/>
        <v>0</v>
      </c>
      <c r="R1812" s="76">
        <f t="shared" si="689"/>
        <v>0</v>
      </c>
      <c r="S1812" s="76">
        <f t="shared" si="690"/>
        <v>0.97229093330796301</v>
      </c>
      <c r="T1812" s="76">
        <f t="shared" si="691"/>
        <v>0.97229093330796301</v>
      </c>
      <c r="U1812" s="76">
        <f t="shared" si="692"/>
        <v>1</v>
      </c>
    </row>
    <row r="1813" spans="1:21" x14ac:dyDescent="0.25">
      <c r="A1813" s="71">
        <v>7</v>
      </c>
      <c r="B1813" s="72">
        <f t="shared" si="693"/>
        <v>45839</v>
      </c>
      <c r="C1813" s="73">
        <f t="shared" si="674"/>
        <v>45869</v>
      </c>
      <c r="D1813" s="67">
        <f t="shared" si="675"/>
        <v>31</v>
      </c>
      <c r="E1813" s="67">
        <f t="shared" si="676"/>
        <v>7</v>
      </c>
      <c r="F1813" s="74">
        <f t="shared" si="677"/>
        <v>45854.5</v>
      </c>
      <c r="G1813" s="67">
        <f t="shared" si="678"/>
        <v>24306</v>
      </c>
      <c r="H1813" s="75">
        <f t="shared" si="679"/>
        <v>1</v>
      </c>
      <c r="I1813" s="76">
        <f t="shared" si="680"/>
        <v>1</v>
      </c>
      <c r="J1813" s="76">
        <f t="shared" si="681"/>
        <v>1</v>
      </c>
      <c r="K1813" s="67">
        <f t="shared" si="682"/>
        <v>0</v>
      </c>
      <c r="L1813" s="67">
        <f t="shared" si="683"/>
        <v>0</v>
      </c>
      <c r="M1813" s="77">
        <f t="shared" si="684"/>
        <v>0</v>
      </c>
      <c r="N1813" s="76">
        <f t="shared" si="685"/>
        <v>1</v>
      </c>
      <c r="O1813" s="77">
        <f t="shared" si="686"/>
        <v>0.89550875273522967</v>
      </c>
      <c r="P1813" s="76">
        <f t="shared" si="687"/>
        <v>8.333333333333337E-2</v>
      </c>
      <c r="Q1813" s="76">
        <f t="shared" si="688"/>
        <v>0</v>
      </c>
      <c r="R1813" s="76">
        <f t="shared" si="689"/>
        <v>0</v>
      </c>
      <c r="S1813" s="76">
        <f t="shared" si="690"/>
        <v>0.97337907906003218</v>
      </c>
      <c r="T1813" s="76">
        <f t="shared" si="691"/>
        <v>0.97337907906003218</v>
      </c>
      <c r="U1813" s="76">
        <f t="shared" si="692"/>
        <v>1</v>
      </c>
    </row>
    <row r="1814" spans="1:21" x14ac:dyDescent="0.25">
      <c r="A1814" s="71">
        <v>8</v>
      </c>
      <c r="B1814" s="72">
        <f t="shared" si="693"/>
        <v>45870</v>
      </c>
      <c r="C1814" s="73">
        <f t="shared" si="674"/>
        <v>45900</v>
      </c>
      <c r="D1814" s="67">
        <f t="shared" si="675"/>
        <v>31</v>
      </c>
      <c r="E1814" s="67">
        <f t="shared" si="676"/>
        <v>8</v>
      </c>
      <c r="F1814" s="74">
        <f t="shared" si="677"/>
        <v>45885.5</v>
      </c>
      <c r="G1814" s="67">
        <f t="shared" si="678"/>
        <v>24307</v>
      </c>
      <c r="H1814" s="75">
        <f t="shared" si="679"/>
        <v>1</v>
      </c>
      <c r="I1814" s="76">
        <f t="shared" si="680"/>
        <v>1</v>
      </c>
      <c r="J1814" s="76">
        <f t="shared" si="681"/>
        <v>1</v>
      </c>
      <c r="K1814" s="67">
        <f t="shared" si="682"/>
        <v>0</v>
      </c>
      <c r="L1814" s="67">
        <f t="shared" si="683"/>
        <v>0</v>
      </c>
      <c r="M1814" s="77">
        <f t="shared" si="684"/>
        <v>0</v>
      </c>
      <c r="N1814" s="76">
        <f t="shared" si="685"/>
        <v>1</v>
      </c>
      <c r="O1814" s="77">
        <f t="shared" si="686"/>
        <v>0.89652625820568921</v>
      </c>
      <c r="P1814" s="76">
        <f t="shared" si="687"/>
        <v>0.25</v>
      </c>
      <c r="Q1814" s="76">
        <f t="shared" si="688"/>
        <v>0</v>
      </c>
      <c r="R1814" s="76">
        <f t="shared" si="689"/>
        <v>0</v>
      </c>
      <c r="S1814" s="76">
        <f t="shared" si="690"/>
        <v>0.97448506326705342</v>
      </c>
      <c r="T1814" s="76">
        <f t="shared" si="691"/>
        <v>0.97448506326705342</v>
      </c>
      <c r="U1814" s="76">
        <f t="shared" si="692"/>
        <v>1</v>
      </c>
    </row>
    <row r="1815" spans="1:21" x14ac:dyDescent="0.25">
      <c r="A1815" s="71">
        <v>9</v>
      </c>
      <c r="B1815" s="72">
        <f t="shared" si="693"/>
        <v>45901</v>
      </c>
      <c r="C1815" s="73">
        <f t="shared" si="674"/>
        <v>45930</v>
      </c>
      <c r="D1815" s="67">
        <f t="shared" si="675"/>
        <v>30</v>
      </c>
      <c r="E1815" s="67">
        <f t="shared" si="676"/>
        <v>9</v>
      </c>
      <c r="F1815" s="74">
        <f t="shared" si="677"/>
        <v>45916</v>
      </c>
      <c r="G1815" s="67">
        <f t="shared" si="678"/>
        <v>24308</v>
      </c>
      <c r="H1815" s="75">
        <f t="shared" si="679"/>
        <v>1</v>
      </c>
      <c r="I1815" s="76">
        <f t="shared" si="680"/>
        <v>1</v>
      </c>
      <c r="J1815" s="76">
        <f t="shared" si="681"/>
        <v>1</v>
      </c>
      <c r="K1815" s="67">
        <f t="shared" si="682"/>
        <v>0</v>
      </c>
      <c r="L1815" s="67">
        <f t="shared" si="683"/>
        <v>0</v>
      </c>
      <c r="M1815" s="77">
        <f t="shared" si="684"/>
        <v>0</v>
      </c>
      <c r="N1815" s="76">
        <f t="shared" si="685"/>
        <v>1</v>
      </c>
      <c r="O1815" s="77">
        <f t="shared" si="686"/>
        <v>0.89752735229759295</v>
      </c>
      <c r="P1815" s="76">
        <f t="shared" si="687"/>
        <v>0.41666666666666663</v>
      </c>
      <c r="Q1815" s="76">
        <f t="shared" si="688"/>
        <v>0</v>
      </c>
      <c r="R1815" s="76">
        <f t="shared" si="689"/>
        <v>0</v>
      </c>
      <c r="S1815" s="76">
        <f t="shared" si="690"/>
        <v>0.9755732090191227</v>
      </c>
      <c r="T1815" s="76">
        <f t="shared" si="691"/>
        <v>0.9755732090191227</v>
      </c>
      <c r="U1815" s="76">
        <f t="shared" si="692"/>
        <v>1</v>
      </c>
    </row>
    <row r="1816" spans="1:21" x14ac:dyDescent="0.25">
      <c r="A1816" s="71">
        <v>10</v>
      </c>
      <c r="B1816" s="72">
        <f t="shared" si="693"/>
        <v>45931</v>
      </c>
      <c r="C1816" s="73">
        <f t="shared" si="674"/>
        <v>45961</v>
      </c>
      <c r="D1816" s="67">
        <f t="shared" si="675"/>
        <v>31</v>
      </c>
      <c r="E1816" s="67">
        <f t="shared" si="676"/>
        <v>10</v>
      </c>
      <c r="F1816" s="74">
        <f t="shared" si="677"/>
        <v>45946.5</v>
      </c>
      <c r="G1816" s="67">
        <f t="shared" si="678"/>
        <v>24309</v>
      </c>
      <c r="H1816" s="75">
        <f t="shared" si="679"/>
        <v>1</v>
      </c>
      <c r="I1816" s="76">
        <f t="shared" si="680"/>
        <v>1</v>
      </c>
      <c r="J1816" s="76">
        <f t="shared" si="681"/>
        <v>1</v>
      </c>
      <c r="K1816" s="67">
        <f t="shared" si="682"/>
        <v>0</v>
      </c>
      <c r="L1816" s="67">
        <f t="shared" si="683"/>
        <v>0</v>
      </c>
      <c r="M1816" s="77">
        <f t="shared" si="684"/>
        <v>0</v>
      </c>
      <c r="N1816" s="76">
        <f t="shared" si="685"/>
        <v>1</v>
      </c>
      <c r="O1816" s="77">
        <f t="shared" si="686"/>
        <v>0.89852844638949669</v>
      </c>
      <c r="P1816" s="76">
        <f t="shared" si="687"/>
        <v>0.58333333333333326</v>
      </c>
      <c r="Q1816" s="76">
        <f t="shared" si="688"/>
        <v>0</v>
      </c>
      <c r="R1816" s="76">
        <f t="shared" si="689"/>
        <v>0</v>
      </c>
      <c r="S1816" s="76">
        <f t="shared" si="690"/>
        <v>0.97666135477119198</v>
      </c>
      <c r="T1816" s="76">
        <f t="shared" si="691"/>
        <v>0.97666135477119198</v>
      </c>
      <c r="U1816" s="76">
        <f t="shared" si="692"/>
        <v>1</v>
      </c>
    </row>
    <row r="1817" spans="1:21" x14ac:dyDescent="0.25">
      <c r="A1817" s="71">
        <v>11</v>
      </c>
      <c r="B1817" s="72">
        <f t="shared" si="693"/>
        <v>45962</v>
      </c>
      <c r="C1817" s="73">
        <f t="shared" si="674"/>
        <v>45991</v>
      </c>
      <c r="D1817" s="67">
        <f t="shared" si="675"/>
        <v>30</v>
      </c>
      <c r="E1817" s="67">
        <f t="shared" si="676"/>
        <v>11</v>
      </c>
      <c r="F1817" s="74">
        <f t="shared" si="677"/>
        <v>45977</v>
      </c>
      <c r="G1817" s="67">
        <f t="shared" si="678"/>
        <v>24310</v>
      </c>
      <c r="H1817" s="75">
        <f t="shared" si="679"/>
        <v>1</v>
      </c>
      <c r="I1817" s="76">
        <f t="shared" si="680"/>
        <v>1</v>
      </c>
      <c r="J1817" s="76">
        <f t="shared" si="681"/>
        <v>1</v>
      </c>
      <c r="K1817" s="67">
        <f t="shared" si="682"/>
        <v>0</v>
      </c>
      <c r="L1817" s="67">
        <f t="shared" si="683"/>
        <v>0</v>
      </c>
      <c r="M1817" s="77">
        <f t="shared" si="684"/>
        <v>0</v>
      </c>
      <c r="N1817" s="76">
        <f t="shared" si="685"/>
        <v>1</v>
      </c>
      <c r="O1817" s="77">
        <f t="shared" si="686"/>
        <v>0.89952954048140044</v>
      </c>
      <c r="P1817" s="76">
        <f t="shared" si="687"/>
        <v>0.75</v>
      </c>
      <c r="Q1817" s="76">
        <f t="shared" si="688"/>
        <v>0</v>
      </c>
      <c r="R1817" s="76">
        <f t="shared" si="689"/>
        <v>0</v>
      </c>
      <c r="S1817" s="76">
        <f t="shared" si="690"/>
        <v>0.97774950052326126</v>
      </c>
      <c r="T1817" s="76">
        <f t="shared" si="691"/>
        <v>0.97774950052326126</v>
      </c>
      <c r="U1817" s="76">
        <f t="shared" si="692"/>
        <v>1</v>
      </c>
    </row>
    <row r="1818" spans="1:21" x14ac:dyDescent="0.25">
      <c r="A1818" s="71">
        <v>12</v>
      </c>
      <c r="B1818" s="72">
        <f t="shared" si="693"/>
        <v>45992</v>
      </c>
      <c r="C1818" s="73">
        <f t="shared" si="674"/>
        <v>46022</v>
      </c>
      <c r="D1818" s="67">
        <f t="shared" si="675"/>
        <v>31</v>
      </c>
      <c r="E1818" s="67">
        <f t="shared" si="676"/>
        <v>12</v>
      </c>
      <c r="F1818" s="74">
        <f t="shared" si="677"/>
        <v>46007.5</v>
      </c>
      <c r="G1818" s="67">
        <f t="shared" si="678"/>
        <v>24311</v>
      </c>
      <c r="H1818" s="75">
        <f t="shared" si="679"/>
        <v>1</v>
      </c>
      <c r="I1818" s="76">
        <f t="shared" si="680"/>
        <v>1</v>
      </c>
      <c r="J1818" s="76">
        <f t="shared" si="681"/>
        <v>1</v>
      </c>
      <c r="K1818" s="67">
        <f t="shared" si="682"/>
        <v>0</v>
      </c>
      <c r="L1818" s="67">
        <f t="shared" si="683"/>
        <v>0</v>
      </c>
      <c r="M1818" s="77">
        <f t="shared" si="684"/>
        <v>0</v>
      </c>
      <c r="N1818" s="76">
        <f t="shared" si="685"/>
        <v>1</v>
      </c>
      <c r="O1818" s="77">
        <f t="shared" si="686"/>
        <v>0.90053063457330418</v>
      </c>
      <c r="P1818" s="76">
        <f t="shared" si="687"/>
        <v>0.91666666666666663</v>
      </c>
      <c r="Q1818" s="76">
        <f t="shared" si="688"/>
        <v>0</v>
      </c>
      <c r="R1818" s="76">
        <f t="shared" si="689"/>
        <v>0</v>
      </c>
      <c r="S1818" s="76">
        <f t="shared" si="690"/>
        <v>0.97883764627533054</v>
      </c>
      <c r="T1818" s="76">
        <f t="shared" si="691"/>
        <v>0.97883764627533054</v>
      </c>
      <c r="U1818" s="76">
        <f t="shared" si="692"/>
        <v>1</v>
      </c>
    </row>
    <row r="1819" spans="1:21" x14ac:dyDescent="0.25">
      <c r="A1819" s="71">
        <v>13</v>
      </c>
      <c r="B1819" s="72">
        <f t="shared" si="693"/>
        <v>46023</v>
      </c>
      <c r="C1819" s="73">
        <f t="shared" si="674"/>
        <v>46053</v>
      </c>
      <c r="D1819" s="67">
        <f t="shared" si="675"/>
        <v>31</v>
      </c>
      <c r="E1819" s="67">
        <f t="shared" si="676"/>
        <v>1</v>
      </c>
      <c r="F1819" s="74">
        <f t="shared" si="677"/>
        <v>46038.5</v>
      </c>
      <c r="G1819" s="67">
        <f t="shared" si="678"/>
        <v>24312</v>
      </c>
      <c r="H1819" s="75">
        <f t="shared" si="679"/>
        <v>1</v>
      </c>
      <c r="I1819" s="76">
        <f t="shared" si="680"/>
        <v>1</v>
      </c>
      <c r="J1819" s="76">
        <f t="shared" si="681"/>
        <v>1</v>
      </c>
      <c r="K1819" s="67">
        <f t="shared" si="682"/>
        <v>0</v>
      </c>
      <c r="L1819" s="67">
        <f t="shared" si="683"/>
        <v>0</v>
      </c>
      <c r="M1819" s="77">
        <f t="shared" si="684"/>
        <v>0</v>
      </c>
      <c r="N1819" s="76">
        <f t="shared" si="685"/>
        <v>1</v>
      </c>
      <c r="O1819" s="77">
        <f t="shared" si="686"/>
        <v>0.90154814004376371</v>
      </c>
      <c r="P1819" s="76">
        <f t="shared" si="687"/>
        <v>1</v>
      </c>
      <c r="Q1819" s="76">
        <f t="shared" si="688"/>
        <v>0</v>
      </c>
      <c r="R1819" s="76">
        <f t="shared" si="689"/>
        <v>0</v>
      </c>
      <c r="S1819" s="76">
        <f t="shared" si="690"/>
        <v>0.97994363048235178</v>
      </c>
      <c r="T1819" s="76">
        <f t="shared" si="691"/>
        <v>0.97994363048235178</v>
      </c>
      <c r="U1819" s="76">
        <f t="shared" si="692"/>
        <v>1</v>
      </c>
    </row>
    <row r="1820" spans="1:21" x14ac:dyDescent="0.25">
      <c r="A1820" s="71">
        <v>14</v>
      </c>
      <c r="B1820" s="72">
        <f t="shared" si="693"/>
        <v>46054</v>
      </c>
      <c r="C1820" s="73">
        <f t="shared" si="674"/>
        <v>46081</v>
      </c>
      <c r="D1820" s="67">
        <f t="shared" si="675"/>
        <v>28</v>
      </c>
      <c r="E1820" s="67">
        <f t="shared" si="676"/>
        <v>2</v>
      </c>
      <c r="F1820" s="74">
        <f t="shared" si="677"/>
        <v>46068</v>
      </c>
      <c r="G1820" s="67">
        <f t="shared" si="678"/>
        <v>24313</v>
      </c>
      <c r="H1820" s="75">
        <f t="shared" si="679"/>
        <v>1</v>
      </c>
      <c r="I1820" s="76">
        <f t="shared" si="680"/>
        <v>1</v>
      </c>
      <c r="J1820" s="76">
        <f t="shared" si="681"/>
        <v>1</v>
      </c>
      <c r="K1820" s="67">
        <f t="shared" si="682"/>
        <v>0</v>
      </c>
      <c r="L1820" s="67">
        <f t="shared" si="683"/>
        <v>0</v>
      </c>
      <c r="M1820" s="77">
        <f t="shared" si="684"/>
        <v>0</v>
      </c>
      <c r="N1820" s="76">
        <f t="shared" si="685"/>
        <v>1</v>
      </c>
      <c r="O1820" s="77">
        <f t="shared" si="686"/>
        <v>0.90251641137855576</v>
      </c>
      <c r="P1820" s="76">
        <f t="shared" si="687"/>
        <v>1</v>
      </c>
      <c r="Q1820" s="76">
        <f t="shared" si="688"/>
        <v>0</v>
      </c>
      <c r="R1820" s="76">
        <f t="shared" si="689"/>
        <v>0</v>
      </c>
      <c r="S1820" s="76">
        <f t="shared" si="690"/>
        <v>0.98099609932451703</v>
      </c>
      <c r="T1820" s="76">
        <f t="shared" si="691"/>
        <v>0.98099609932451703</v>
      </c>
      <c r="U1820" s="76">
        <f t="shared" si="692"/>
        <v>1</v>
      </c>
    </row>
    <row r="1821" spans="1:21" x14ac:dyDescent="0.25">
      <c r="A1821" s="71">
        <v>15</v>
      </c>
      <c r="B1821" s="72">
        <f t="shared" si="693"/>
        <v>46082</v>
      </c>
      <c r="C1821" s="73">
        <f t="shared" si="674"/>
        <v>46112</v>
      </c>
      <c r="D1821" s="67">
        <f t="shared" si="675"/>
        <v>31</v>
      </c>
      <c r="E1821" s="67">
        <f t="shared" si="676"/>
        <v>3</v>
      </c>
      <c r="F1821" s="74">
        <f t="shared" si="677"/>
        <v>46097.5</v>
      </c>
      <c r="G1821" s="67">
        <f t="shared" si="678"/>
        <v>24314</v>
      </c>
      <c r="H1821" s="75">
        <f t="shared" si="679"/>
        <v>1</v>
      </c>
      <c r="I1821" s="76">
        <f t="shared" si="680"/>
        <v>1</v>
      </c>
      <c r="J1821" s="76">
        <f t="shared" si="681"/>
        <v>1</v>
      </c>
      <c r="K1821" s="67">
        <f t="shared" si="682"/>
        <v>0</v>
      </c>
      <c r="L1821" s="67">
        <f t="shared" si="683"/>
        <v>0</v>
      </c>
      <c r="M1821" s="77">
        <f t="shared" si="684"/>
        <v>0</v>
      </c>
      <c r="N1821" s="76">
        <f t="shared" si="685"/>
        <v>1</v>
      </c>
      <c r="O1821" s="77">
        <f t="shared" si="686"/>
        <v>0.90348468271334792</v>
      </c>
      <c r="P1821" s="76">
        <f t="shared" si="687"/>
        <v>1</v>
      </c>
      <c r="Q1821" s="76">
        <f t="shared" si="688"/>
        <v>0</v>
      </c>
      <c r="R1821" s="76">
        <f t="shared" si="689"/>
        <v>0</v>
      </c>
      <c r="S1821" s="76">
        <f t="shared" si="690"/>
        <v>0.98204856816668251</v>
      </c>
      <c r="T1821" s="76">
        <f t="shared" si="691"/>
        <v>0.98204856816668251</v>
      </c>
      <c r="U1821" s="76">
        <f t="shared" si="692"/>
        <v>1</v>
      </c>
    </row>
    <row r="1822" spans="1:21" x14ac:dyDescent="0.25">
      <c r="A1822" s="71">
        <v>16</v>
      </c>
      <c r="B1822" s="72">
        <f t="shared" si="693"/>
        <v>46113</v>
      </c>
      <c r="C1822" s="73">
        <f t="shared" si="674"/>
        <v>46142</v>
      </c>
      <c r="D1822" s="67">
        <f t="shared" si="675"/>
        <v>30</v>
      </c>
      <c r="E1822" s="67">
        <f t="shared" si="676"/>
        <v>4</v>
      </c>
      <c r="F1822" s="74">
        <f t="shared" si="677"/>
        <v>46128</v>
      </c>
      <c r="G1822" s="67">
        <f t="shared" si="678"/>
        <v>24315</v>
      </c>
      <c r="H1822" s="75">
        <f t="shared" si="679"/>
        <v>1</v>
      </c>
      <c r="I1822" s="76">
        <f t="shared" si="680"/>
        <v>1</v>
      </c>
      <c r="J1822" s="76">
        <f t="shared" si="681"/>
        <v>1</v>
      </c>
      <c r="K1822" s="67">
        <f t="shared" si="682"/>
        <v>0</v>
      </c>
      <c r="L1822" s="67">
        <f t="shared" si="683"/>
        <v>0</v>
      </c>
      <c r="M1822" s="77">
        <f t="shared" si="684"/>
        <v>0</v>
      </c>
      <c r="N1822" s="76">
        <f t="shared" si="685"/>
        <v>1</v>
      </c>
      <c r="O1822" s="77">
        <f t="shared" si="686"/>
        <v>0.90448577680525166</v>
      </c>
      <c r="P1822" s="76">
        <f t="shared" si="687"/>
        <v>1</v>
      </c>
      <c r="Q1822" s="76">
        <f t="shared" si="688"/>
        <v>0</v>
      </c>
      <c r="R1822" s="76">
        <f t="shared" si="689"/>
        <v>0</v>
      </c>
      <c r="S1822" s="76">
        <f t="shared" si="690"/>
        <v>0.98313671391875179</v>
      </c>
      <c r="T1822" s="76">
        <f t="shared" si="691"/>
        <v>0.98313671391875179</v>
      </c>
      <c r="U1822" s="76">
        <f t="shared" si="692"/>
        <v>1</v>
      </c>
    </row>
    <row r="1823" spans="1:21" x14ac:dyDescent="0.25">
      <c r="A1823" s="71">
        <v>17</v>
      </c>
      <c r="B1823" s="72">
        <f t="shared" si="693"/>
        <v>46143</v>
      </c>
      <c r="C1823" s="73">
        <f t="shared" si="674"/>
        <v>46173</v>
      </c>
      <c r="D1823" s="67">
        <f t="shared" si="675"/>
        <v>31</v>
      </c>
      <c r="E1823" s="67">
        <f t="shared" si="676"/>
        <v>5</v>
      </c>
      <c r="F1823" s="74">
        <f t="shared" si="677"/>
        <v>46158.5</v>
      </c>
      <c r="G1823" s="67">
        <f t="shared" si="678"/>
        <v>24316</v>
      </c>
      <c r="H1823" s="75">
        <f t="shared" si="679"/>
        <v>1</v>
      </c>
      <c r="I1823" s="76">
        <f t="shared" si="680"/>
        <v>1</v>
      </c>
      <c r="J1823" s="76">
        <f t="shared" si="681"/>
        <v>1</v>
      </c>
      <c r="K1823" s="67">
        <f t="shared" si="682"/>
        <v>0</v>
      </c>
      <c r="L1823" s="67">
        <f t="shared" si="683"/>
        <v>0</v>
      </c>
      <c r="M1823" s="77">
        <f t="shared" si="684"/>
        <v>0</v>
      </c>
      <c r="N1823" s="76">
        <f t="shared" si="685"/>
        <v>1</v>
      </c>
      <c r="O1823" s="77">
        <f t="shared" si="686"/>
        <v>0.9054868708971554</v>
      </c>
      <c r="P1823" s="76">
        <f t="shared" si="687"/>
        <v>1</v>
      </c>
      <c r="Q1823" s="76">
        <f t="shared" si="688"/>
        <v>0</v>
      </c>
      <c r="R1823" s="76">
        <f t="shared" si="689"/>
        <v>0</v>
      </c>
      <c r="S1823" s="76">
        <f t="shared" si="690"/>
        <v>0.98422485967082107</v>
      </c>
      <c r="T1823" s="76">
        <f t="shared" si="691"/>
        <v>0.98422485967082107</v>
      </c>
      <c r="U1823" s="76">
        <f t="shared" si="692"/>
        <v>1</v>
      </c>
    </row>
    <row r="1824" spans="1:21" x14ac:dyDescent="0.25">
      <c r="A1824" s="71">
        <v>18</v>
      </c>
      <c r="B1824" s="72">
        <f t="shared" si="693"/>
        <v>46174</v>
      </c>
      <c r="C1824" s="73">
        <f t="shared" si="674"/>
        <v>46203</v>
      </c>
      <c r="D1824" s="67">
        <f t="shared" si="675"/>
        <v>30</v>
      </c>
      <c r="E1824" s="67">
        <f t="shared" si="676"/>
        <v>6</v>
      </c>
      <c r="F1824" s="74">
        <f t="shared" si="677"/>
        <v>46189</v>
      </c>
      <c r="G1824" s="67">
        <f t="shared" si="678"/>
        <v>24317</v>
      </c>
      <c r="H1824" s="75">
        <f t="shared" si="679"/>
        <v>1</v>
      </c>
      <c r="I1824" s="76">
        <f t="shared" si="680"/>
        <v>1</v>
      </c>
      <c r="J1824" s="76">
        <f t="shared" si="681"/>
        <v>1</v>
      </c>
      <c r="K1824" s="67">
        <f t="shared" si="682"/>
        <v>0</v>
      </c>
      <c r="L1824" s="67">
        <f t="shared" si="683"/>
        <v>0</v>
      </c>
      <c r="M1824" s="77">
        <f t="shared" si="684"/>
        <v>0</v>
      </c>
      <c r="N1824" s="76">
        <f t="shared" si="685"/>
        <v>1</v>
      </c>
      <c r="O1824" s="77">
        <f t="shared" si="686"/>
        <v>0.90648796498905915</v>
      </c>
      <c r="P1824" s="76">
        <f t="shared" si="687"/>
        <v>1</v>
      </c>
      <c r="Q1824" s="76">
        <f t="shared" si="688"/>
        <v>0</v>
      </c>
      <c r="R1824" s="76">
        <f t="shared" si="689"/>
        <v>0</v>
      </c>
      <c r="S1824" s="76">
        <f t="shared" si="690"/>
        <v>0.98531300542289035</v>
      </c>
      <c r="T1824" s="76">
        <f t="shared" si="691"/>
        <v>0.98531300542289035</v>
      </c>
      <c r="U1824" s="76">
        <f t="shared" si="692"/>
        <v>1</v>
      </c>
    </row>
    <row r="1825" spans="1:21" x14ac:dyDescent="0.25">
      <c r="A1825" s="71">
        <v>19</v>
      </c>
      <c r="B1825" s="72">
        <f t="shared" si="693"/>
        <v>46204</v>
      </c>
      <c r="C1825" s="73">
        <f t="shared" si="674"/>
        <v>46234</v>
      </c>
      <c r="D1825" s="67">
        <f t="shared" si="675"/>
        <v>31</v>
      </c>
      <c r="E1825" s="67">
        <f t="shared" si="676"/>
        <v>7</v>
      </c>
      <c r="F1825" s="74">
        <f t="shared" si="677"/>
        <v>46219.5</v>
      </c>
      <c r="G1825" s="67">
        <f t="shared" si="678"/>
        <v>24318</v>
      </c>
      <c r="H1825" s="75">
        <f t="shared" si="679"/>
        <v>1</v>
      </c>
      <c r="I1825" s="76">
        <f t="shared" si="680"/>
        <v>1</v>
      </c>
      <c r="J1825" s="76">
        <f t="shared" si="681"/>
        <v>1</v>
      </c>
      <c r="K1825" s="67">
        <f t="shared" si="682"/>
        <v>0</v>
      </c>
      <c r="L1825" s="67">
        <f t="shared" si="683"/>
        <v>0</v>
      </c>
      <c r="M1825" s="77">
        <f t="shared" si="684"/>
        <v>0</v>
      </c>
      <c r="N1825" s="76">
        <f t="shared" si="685"/>
        <v>1</v>
      </c>
      <c r="O1825" s="77">
        <f t="shared" si="686"/>
        <v>0.90748905908096278</v>
      </c>
      <c r="P1825" s="76">
        <f t="shared" si="687"/>
        <v>0.91666666666666663</v>
      </c>
      <c r="Q1825" s="76">
        <f t="shared" si="688"/>
        <v>8.333333333333337E-2</v>
      </c>
      <c r="R1825" s="76">
        <f t="shared" si="689"/>
        <v>0</v>
      </c>
      <c r="S1825" s="76">
        <f t="shared" si="690"/>
        <v>0.98640115117495952</v>
      </c>
      <c r="T1825" s="76">
        <f t="shared" si="691"/>
        <v>0.98640115117495952</v>
      </c>
      <c r="U1825" s="76">
        <f t="shared" si="692"/>
        <v>1</v>
      </c>
    </row>
    <row r="1826" spans="1:21" x14ac:dyDescent="0.25">
      <c r="A1826" s="71">
        <v>20</v>
      </c>
      <c r="B1826" s="72">
        <f t="shared" si="693"/>
        <v>46235</v>
      </c>
      <c r="C1826" s="73">
        <f t="shared" si="674"/>
        <v>46265</v>
      </c>
      <c r="D1826" s="67">
        <f t="shared" si="675"/>
        <v>31</v>
      </c>
      <c r="E1826" s="67">
        <f t="shared" si="676"/>
        <v>8</v>
      </c>
      <c r="F1826" s="74">
        <f t="shared" si="677"/>
        <v>46250.5</v>
      </c>
      <c r="G1826" s="67">
        <f t="shared" si="678"/>
        <v>24319</v>
      </c>
      <c r="H1826" s="75">
        <f t="shared" si="679"/>
        <v>1</v>
      </c>
      <c r="I1826" s="76">
        <f t="shared" si="680"/>
        <v>1</v>
      </c>
      <c r="J1826" s="76">
        <f t="shared" si="681"/>
        <v>1</v>
      </c>
      <c r="K1826" s="67">
        <f t="shared" si="682"/>
        <v>0</v>
      </c>
      <c r="L1826" s="67">
        <f t="shared" si="683"/>
        <v>0</v>
      </c>
      <c r="M1826" s="77">
        <f t="shared" si="684"/>
        <v>0</v>
      </c>
      <c r="N1826" s="76">
        <f t="shared" si="685"/>
        <v>1</v>
      </c>
      <c r="O1826" s="77">
        <f t="shared" si="686"/>
        <v>0.90850656455142231</v>
      </c>
      <c r="P1826" s="76">
        <f t="shared" si="687"/>
        <v>0.75</v>
      </c>
      <c r="Q1826" s="76">
        <f t="shared" si="688"/>
        <v>0.25</v>
      </c>
      <c r="R1826" s="76">
        <f t="shared" si="689"/>
        <v>0</v>
      </c>
      <c r="S1826" s="76">
        <f t="shared" si="690"/>
        <v>0.98750713538198076</v>
      </c>
      <c r="T1826" s="76">
        <f t="shared" si="691"/>
        <v>0.98750713538198076</v>
      </c>
      <c r="U1826" s="76">
        <f t="shared" si="692"/>
        <v>1</v>
      </c>
    </row>
    <row r="1827" spans="1:21" x14ac:dyDescent="0.25">
      <c r="A1827" s="71">
        <v>21</v>
      </c>
      <c r="B1827" s="72">
        <f t="shared" si="693"/>
        <v>46266</v>
      </c>
      <c r="C1827" s="73">
        <f t="shared" si="674"/>
        <v>46295</v>
      </c>
      <c r="D1827" s="67">
        <f t="shared" si="675"/>
        <v>30</v>
      </c>
      <c r="E1827" s="67">
        <f t="shared" si="676"/>
        <v>9</v>
      </c>
      <c r="F1827" s="74">
        <f t="shared" si="677"/>
        <v>46281</v>
      </c>
      <c r="G1827" s="67">
        <f t="shared" si="678"/>
        <v>24320</v>
      </c>
      <c r="H1827" s="75">
        <f t="shared" si="679"/>
        <v>1</v>
      </c>
      <c r="I1827" s="76">
        <f t="shared" si="680"/>
        <v>1</v>
      </c>
      <c r="J1827" s="76">
        <f t="shared" si="681"/>
        <v>1</v>
      </c>
      <c r="K1827" s="67">
        <f t="shared" si="682"/>
        <v>0</v>
      </c>
      <c r="L1827" s="67">
        <f t="shared" si="683"/>
        <v>0</v>
      </c>
      <c r="M1827" s="77">
        <f t="shared" si="684"/>
        <v>0</v>
      </c>
      <c r="N1827" s="76">
        <f t="shared" si="685"/>
        <v>1</v>
      </c>
      <c r="O1827" s="77">
        <f t="shared" si="686"/>
        <v>0.90950765864332606</v>
      </c>
      <c r="P1827" s="76">
        <f t="shared" si="687"/>
        <v>0.58333333333333337</v>
      </c>
      <c r="Q1827" s="76">
        <f t="shared" si="688"/>
        <v>0.41666666666666663</v>
      </c>
      <c r="R1827" s="76">
        <f t="shared" si="689"/>
        <v>0</v>
      </c>
      <c r="S1827" s="76">
        <f t="shared" si="690"/>
        <v>0.98859528113405004</v>
      </c>
      <c r="T1827" s="76">
        <f t="shared" si="691"/>
        <v>0.98859528113405004</v>
      </c>
      <c r="U1827" s="76">
        <f t="shared" si="692"/>
        <v>1</v>
      </c>
    </row>
    <row r="1828" spans="1:21" x14ac:dyDescent="0.25">
      <c r="A1828" s="71">
        <v>22</v>
      </c>
      <c r="B1828" s="72">
        <f t="shared" si="693"/>
        <v>46296</v>
      </c>
      <c r="C1828" s="73">
        <f t="shared" si="674"/>
        <v>46326</v>
      </c>
      <c r="D1828" s="67">
        <f t="shared" si="675"/>
        <v>31</v>
      </c>
      <c r="E1828" s="67">
        <f t="shared" si="676"/>
        <v>10</v>
      </c>
      <c r="F1828" s="74">
        <f t="shared" si="677"/>
        <v>46311.5</v>
      </c>
      <c r="G1828" s="67">
        <f t="shared" si="678"/>
        <v>24321</v>
      </c>
      <c r="H1828" s="75">
        <f t="shared" si="679"/>
        <v>1</v>
      </c>
      <c r="I1828" s="76">
        <f t="shared" si="680"/>
        <v>1</v>
      </c>
      <c r="J1828" s="76">
        <f t="shared" si="681"/>
        <v>1</v>
      </c>
      <c r="K1828" s="67">
        <f t="shared" si="682"/>
        <v>0</v>
      </c>
      <c r="L1828" s="67">
        <f t="shared" si="683"/>
        <v>0</v>
      </c>
      <c r="M1828" s="77">
        <f t="shared" si="684"/>
        <v>0</v>
      </c>
      <c r="N1828" s="76">
        <f t="shared" si="685"/>
        <v>1</v>
      </c>
      <c r="O1828" s="77">
        <f t="shared" si="686"/>
        <v>0.9105087527352298</v>
      </c>
      <c r="P1828" s="76">
        <f t="shared" si="687"/>
        <v>0.41666666666666669</v>
      </c>
      <c r="Q1828" s="76">
        <f t="shared" si="688"/>
        <v>0.58333333333333326</v>
      </c>
      <c r="R1828" s="76">
        <f t="shared" si="689"/>
        <v>0</v>
      </c>
      <c r="S1828" s="76">
        <f t="shared" si="690"/>
        <v>0.98968342688611932</v>
      </c>
      <c r="T1828" s="76">
        <f t="shared" si="691"/>
        <v>0.98968342688611932</v>
      </c>
      <c r="U1828" s="76">
        <f t="shared" si="692"/>
        <v>1</v>
      </c>
    </row>
    <row r="1829" spans="1:21" x14ac:dyDescent="0.25">
      <c r="A1829" s="71">
        <v>23</v>
      </c>
      <c r="B1829" s="72">
        <f t="shared" si="693"/>
        <v>46327</v>
      </c>
      <c r="C1829" s="73">
        <f t="shared" si="674"/>
        <v>46356</v>
      </c>
      <c r="D1829" s="67">
        <f t="shared" si="675"/>
        <v>30</v>
      </c>
      <c r="E1829" s="67">
        <f t="shared" si="676"/>
        <v>11</v>
      </c>
      <c r="F1829" s="74">
        <f t="shared" si="677"/>
        <v>46342</v>
      </c>
      <c r="G1829" s="67">
        <f t="shared" si="678"/>
        <v>24322</v>
      </c>
      <c r="H1829" s="75">
        <f t="shared" si="679"/>
        <v>1</v>
      </c>
      <c r="I1829" s="76">
        <f t="shared" si="680"/>
        <v>1</v>
      </c>
      <c r="J1829" s="76">
        <f t="shared" si="681"/>
        <v>1</v>
      </c>
      <c r="K1829" s="67">
        <f t="shared" si="682"/>
        <v>0</v>
      </c>
      <c r="L1829" s="67">
        <f t="shared" si="683"/>
        <v>0</v>
      </c>
      <c r="M1829" s="77">
        <f t="shared" si="684"/>
        <v>0</v>
      </c>
      <c r="N1829" s="76">
        <f t="shared" si="685"/>
        <v>1</v>
      </c>
      <c r="O1829" s="77">
        <f t="shared" si="686"/>
        <v>0.91150984682713354</v>
      </c>
      <c r="P1829" s="76">
        <f t="shared" si="687"/>
        <v>0.25</v>
      </c>
      <c r="Q1829" s="76">
        <f t="shared" si="688"/>
        <v>0.75</v>
      </c>
      <c r="R1829" s="76">
        <f t="shared" si="689"/>
        <v>0</v>
      </c>
      <c r="S1829" s="76">
        <f t="shared" si="690"/>
        <v>0.9907715726381886</v>
      </c>
      <c r="T1829" s="76">
        <f t="shared" si="691"/>
        <v>0.9907715726381886</v>
      </c>
      <c r="U1829" s="76">
        <f t="shared" si="692"/>
        <v>1</v>
      </c>
    </row>
    <row r="1830" spans="1:21" x14ac:dyDescent="0.25">
      <c r="A1830" s="71">
        <v>24</v>
      </c>
      <c r="B1830" s="72">
        <f t="shared" si="693"/>
        <v>46357</v>
      </c>
      <c r="C1830" s="73">
        <f t="shared" si="674"/>
        <v>46387</v>
      </c>
      <c r="D1830" s="67">
        <f t="shared" si="675"/>
        <v>31</v>
      </c>
      <c r="E1830" s="67">
        <f t="shared" si="676"/>
        <v>12</v>
      </c>
      <c r="F1830" s="74">
        <f t="shared" si="677"/>
        <v>46372.5</v>
      </c>
      <c r="G1830" s="67">
        <f t="shared" si="678"/>
        <v>24323</v>
      </c>
      <c r="H1830" s="75">
        <f t="shared" si="679"/>
        <v>1</v>
      </c>
      <c r="I1830" s="76">
        <f t="shared" si="680"/>
        <v>1</v>
      </c>
      <c r="J1830" s="76">
        <f t="shared" si="681"/>
        <v>1</v>
      </c>
      <c r="K1830" s="67">
        <f t="shared" si="682"/>
        <v>0</v>
      </c>
      <c r="L1830" s="67">
        <f t="shared" si="683"/>
        <v>0</v>
      </c>
      <c r="M1830" s="77">
        <f t="shared" si="684"/>
        <v>0</v>
      </c>
      <c r="N1830" s="76">
        <f t="shared" si="685"/>
        <v>1</v>
      </c>
      <c r="O1830" s="77">
        <f t="shared" si="686"/>
        <v>0.91251094091903728</v>
      </c>
      <c r="P1830" s="76">
        <f t="shared" si="687"/>
        <v>8.3333333333333329E-2</v>
      </c>
      <c r="Q1830" s="76">
        <f t="shared" si="688"/>
        <v>0.91666666666666663</v>
      </c>
      <c r="R1830" s="76">
        <f t="shared" si="689"/>
        <v>0</v>
      </c>
      <c r="S1830" s="76">
        <f t="shared" si="690"/>
        <v>0.99185971839025788</v>
      </c>
      <c r="T1830" s="76">
        <f t="shared" si="691"/>
        <v>0.99185971839025788</v>
      </c>
      <c r="U1830" s="76">
        <f t="shared" si="692"/>
        <v>1</v>
      </c>
    </row>
    <row r="1831" spans="1:21" x14ac:dyDescent="0.25">
      <c r="A1831" s="71">
        <v>25</v>
      </c>
      <c r="B1831" s="72">
        <f t="shared" si="693"/>
        <v>46388</v>
      </c>
      <c r="C1831" s="73">
        <f t="shared" si="674"/>
        <v>46418</v>
      </c>
      <c r="D1831" s="67">
        <f t="shared" si="675"/>
        <v>31</v>
      </c>
      <c r="E1831" s="67">
        <f t="shared" si="676"/>
        <v>1</v>
      </c>
      <c r="F1831" s="74">
        <f t="shared" si="677"/>
        <v>46403.5</v>
      </c>
      <c r="G1831" s="67">
        <f t="shared" si="678"/>
        <v>24324</v>
      </c>
      <c r="H1831" s="75">
        <f t="shared" si="679"/>
        <v>1</v>
      </c>
      <c r="I1831" s="76">
        <f t="shared" si="680"/>
        <v>1</v>
      </c>
      <c r="J1831" s="76">
        <f t="shared" si="681"/>
        <v>1</v>
      </c>
      <c r="K1831" s="67">
        <f t="shared" si="682"/>
        <v>0</v>
      </c>
      <c r="L1831" s="67">
        <f t="shared" si="683"/>
        <v>0</v>
      </c>
      <c r="M1831" s="77">
        <f t="shared" si="684"/>
        <v>0</v>
      </c>
      <c r="N1831" s="76">
        <f t="shared" si="685"/>
        <v>1</v>
      </c>
      <c r="O1831" s="77">
        <f t="shared" si="686"/>
        <v>0.91352844638949671</v>
      </c>
      <c r="P1831" s="76">
        <f t="shared" si="687"/>
        <v>0</v>
      </c>
      <c r="Q1831" s="76">
        <f t="shared" si="688"/>
        <v>1</v>
      </c>
      <c r="R1831" s="76">
        <f t="shared" si="689"/>
        <v>0</v>
      </c>
      <c r="S1831" s="76">
        <f t="shared" si="690"/>
        <v>0.99296570259727901</v>
      </c>
      <c r="T1831" s="76">
        <f t="shared" si="691"/>
        <v>0.97994363048235178</v>
      </c>
      <c r="U1831" s="76">
        <f t="shared" si="692"/>
        <v>1</v>
      </c>
    </row>
    <row r="1832" spans="1:21" x14ac:dyDescent="0.25">
      <c r="A1832" s="71">
        <v>26</v>
      </c>
      <c r="B1832" s="72">
        <f t="shared" si="693"/>
        <v>46419</v>
      </c>
      <c r="C1832" s="73">
        <f t="shared" si="674"/>
        <v>46446</v>
      </c>
      <c r="D1832" s="67">
        <f t="shared" si="675"/>
        <v>28</v>
      </c>
      <c r="E1832" s="67">
        <f t="shared" si="676"/>
        <v>2</v>
      </c>
      <c r="F1832" s="74">
        <f t="shared" si="677"/>
        <v>46433</v>
      </c>
      <c r="G1832" s="67">
        <f t="shared" si="678"/>
        <v>24325</v>
      </c>
      <c r="H1832" s="75">
        <f t="shared" si="679"/>
        <v>1</v>
      </c>
      <c r="I1832" s="76">
        <f t="shared" si="680"/>
        <v>1</v>
      </c>
      <c r="J1832" s="76">
        <f t="shared" si="681"/>
        <v>1</v>
      </c>
      <c r="K1832" s="67">
        <f t="shared" si="682"/>
        <v>0</v>
      </c>
      <c r="L1832" s="67">
        <f t="shared" si="683"/>
        <v>0</v>
      </c>
      <c r="M1832" s="77">
        <f t="shared" si="684"/>
        <v>0</v>
      </c>
      <c r="N1832" s="76">
        <f t="shared" si="685"/>
        <v>1</v>
      </c>
      <c r="O1832" s="77">
        <f t="shared" si="686"/>
        <v>0.91449671772428887</v>
      </c>
      <c r="P1832" s="76">
        <f t="shared" si="687"/>
        <v>0</v>
      </c>
      <c r="Q1832" s="76">
        <f t="shared" si="688"/>
        <v>1</v>
      </c>
      <c r="R1832" s="76">
        <f t="shared" si="689"/>
        <v>0</v>
      </c>
      <c r="S1832" s="76">
        <f t="shared" si="690"/>
        <v>0.99401817143944438</v>
      </c>
      <c r="T1832" s="76">
        <f t="shared" si="691"/>
        <v>0.98099609932451703</v>
      </c>
      <c r="U1832" s="76">
        <f t="shared" si="692"/>
        <v>1</v>
      </c>
    </row>
    <row r="1833" spans="1:21" x14ac:dyDescent="0.25">
      <c r="A1833" s="71">
        <v>27</v>
      </c>
      <c r="B1833" s="72">
        <f t="shared" si="693"/>
        <v>46447</v>
      </c>
      <c r="C1833" s="73">
        <f t="shared" si="674"/>
        <v>46477</v>
      </c>
      <c r="D1833" s="67">
        <f t="shared" si="675"/>
        <v>31</v>
      </c>
      <c r="E1833" s="67">
        <f t="shared" si="676"/>
        <v>3</v>
      </c>
      <c r="F1833" s="74">
        <f t="shared" si="677"/>
        <v>46462.5</v>
      </c>
      <c r="G1833" s="67">
        <f t="shared" si="678"/>
        <v>24326</v>
      </c>
      <c r="H1833" s="75">
        <f t="shared" si="679"/>
        <v>1</v>
      </c>
      <c r="I1833" s="76">
        <f t="shared" si="680"/>
        <v>1</v>
      </c>
      <c r="J1833" s="76">
        <f t="shared" si="681"/>
        <v>1</v>
      </c>
      <c r="K1833" s="67">
        <f t="shared" si="682"/>
        <v>0</v>
      </c>
      <c r="L1833" s="67">
        <f t="shared" si="683"/>
        <v>0</v>
      </c>
      <c r="M1833" s="77">
        <f t="shared" si="684"/>
        <v>0</v>
      </c>
      <c r="N1833" s="76">
        <f t="shared" si="685"/>
        <v>1</v>
      </c>
      <c r="O1833" s="77">
        <f t="shared" si="686"/>
        <v>0.91546498905908102</v>
      </c>
      <c r="P1833" s="76">
        <f t="shared" si="687"/>
        <v>0</v>
      </c>
      <c r="Q1833" s="76">
        <f t="shared" si="688"/>
        <v>1</v>
      </c>
      <c r="R1833" s="76">
        <f t="shared" si="689"/>
        <v>0</v>
      </c>
      <c r="S1833" s="76">
        <f t="shared" si="690"/>
        <v>0.99507064028160974</v>
      </c>
      <c r="T1833" s="76">
        <f t="shared" si="691"/>
        <v>0.98204856816668251</v>
      </c>
      <c r="U1833" s="76">
        <f t="shared" si="692"/>
        <v>1</v>
      </c>
    </row>
    <row r="1834" spans="1:21" x14ac:dyDescent="0.25">
      <c r="A1834" s="71">
        <v>28</v>
      </c>
      <c r="B1834" s="72">
        <f t="shared" si="693"/>
        <v>46478</v>
      </c>
      <c r="C1834" s="73">
        <f t="shared" si="674"/>
        <v>46507</v>
      </c>
      <c r="D1834" s="67">
        <f t="shared" si="675"/>
        <v>30</v>
      </c>
      <c r="E1834" s="67">
        <f t="shared" si="676"/>
        <v>4</v>
      </c>
      <c r="F1834" s="74">
        <f t="shared" si="677"/>
        <v>46493</v>
      </c>
      <c r="G1834" s="67">
        <f t="shared" si="678"/>
        <v>24327</v>
      </c>
      <c r="H1834" s="75">
        <f t="shared" si="679"/>
        <v>1</v>
      </c>
      <c r="I1834" s="76">
        <f t="shared" si="680"/>
        <v>1</v>
      </c>
      <c r="J1834" s="76">
        <f t="shared" si="681"/>
        <v>1</v>
      </c>
      <c r="K1834" s="67">
        <f t="shared" si="682"/>
        <v>0</v>
      </c>
      <c r="L1834" s="67">
        <f t="shared" si="683"/>
        <v>0</v>
      </c>
      <c r="M1834" s="77">
        <f t="shared" si="684"/>
        <v>0</v>
      </c>
      <c r="N1834" s="76">
        <f t="shared" si="685"/>
        <v>1</v>
      </c>
      <c r="O1834" s="77">
        <f t="shared" si="686"/>
        <v>0.91646608315098477</v>
      </c>
      <c r="P1834" s="76">
        <f t="shared" si="687"/>
        <v>0</v>
      </c>
      <c r="Q1834" s="76">
        <f t="shared" si="688"/>
        <v>1</v>
      </c>
      <c r="R1834" s="76">
        <f t="shared" si="689"/>
        <v>0</v>
      </c>
      <c r="S1834" s="76">
        <f t="shared" si="690"/>
        <v>0.99615878603367902</v>
      </c>
      <c r="T1834" s="76">
        <f t="shared" si="691"/>
        <v>0.98313671391875179</v>
      </c>
      <c r="U1834" s="76">
        <f t="shared" si="692"/>
        <v>1</v>
      </c>
    </row>
    <row r="1835" spans="1:21" x14ac:dyDescent="0.25">
      <c r="A1835" s="71">
        <v>29</v>
      </c>
      <c r="B1835" s="72">
        <f t="shared" si="693"/>
        <v>46508</v>
      </c>
      <c r="C1835" s="73">
        <f t="shared" si="674"/>
        <v>46538</v>
      </c>
      <c r="D1835" s="67">
        <f t="shared" si="675"/>
        <v>31</v>
      </c>
      <c r="E1835" s="67">
        <f t="shared" si="676"/>
        <v>5</v>
      </c>
      <c r="F1835" s="74">
        <f t="shared" si="677"/>
        <v>46523.5</v>
      </c>
      <c r="G1835" s="67">
        <f t="shared" si="678"/>
        <v>24328</v>
      </c>
      <c r="H1835" s="75">
        <f t="shared" si="679"/>
        <v>1</v>
      </c>
      <c r="I1835" s="76">
        <f t="shared" si="680"/>
        <v>1</v>
      </c>
      <c r="J1835" s="76">
        <f t="shared" si="681"/>
        <v>1</v>
      </c>
      <c r="K1835" s="67">
        <f t="shared" si="682"/>
        <v>0</v>
      </c>
      <c r="L1835" s="67">
        <f t="shared" si="683"/>
        <v>0</v>
      </c>
      <c r="M1835" s="77">
        <f t="shared" si="684"/>
        <v>0</v>
      </c>
      <c r="N1835" s="76">
        <f t="shared" si="685"/>
        <v>1</v>
      </c>
      <c r="O1835" s="77">
        <f t="shared" si="686"/>
        <v>0.9174671772428884</v>
      </c>
      <c r="P1835" s="76">
        <f t="shared" si="687"/>
        <v>0</v>
      </c>
      <c r="Q1835" s="76">
        <f t="shared" si="688"/>
        <v>1</v>
      </c>
      <c r="R1835" s="76">
        <f t="shared" si="689"/>
        <v>0</v>
      </c>
      <c r="S1835" s="76">
        <f t="shared" si="690"/>
        <v>0.99724693178574819</v>
      </c>
      <c r="T1835" s="76">
        <f t="shared" si="691"/>
        <v>0.98422485967082107</v>
      </c>
      <c r="U1835" s="76">
        <f t="shared" si="692"/>
        <v>1</v>
      </c>
    </row>
    <row r="1836" spans="1:21" x14ac:dyDescent="0.25">
      <c r="A1836" s="71">
        <v>30</v>
      </c>
      <c r="B1836" s="72">
        <f t="shared" si="693"/>
        <v>46539</v>
      </c>
      <c r="C1836" s="73">
        <f t="shared" si="674"/>
        <v>46568</v>
      </c>
      <c r="D1836" s="67">
        <f t="shared" si="675"/>
        <v>30</v>
      </c>
      <c r="E1836" s="67">
        <f t="shared" si="676"/>
        <v>6</v>
      </c>
      <c r="F1836" s="74">
        <f t="shared" si="677"/>
        <v>46554</v>
      </c>
      <c r="G1836" s="67">
        <f t="shared" si="678"/>
        <v>24329</v>
      </c>
      <c r="H1836" s="75">
        <f t="shared" si="679"/>
        <v>1</v>
      </c>
      <c r="I1836" s="76">
        <f t="shared" si="680"/>
        <v>1</v>
      </c>
      <c r="J1836" s="76">
        <f t="shared" si="681"/>
        <v>1</v>
      </c>
      <c r="K1836" s="67">
        <f t="shared" si="682"/>
        <v>0</v>
      </c>
      <c r="L1836" s="67">
        <f t="shared" si="683"/>
        <v>0</v>
      </c>
      <c r="M1836" s="77">
        <f t="shared" si="684"/>
        <v>0</v>
      </c>
      <c r="N1836" s="76">
        <f t="shared" si="685"/>
        <v>1</v>
      </c>
      <c r="O1836" s="77">
        <f t="shared" si="686"/>
        <v>0.91846827133479214</v>
      </c>
      <c r="P1836" s="76">
        <f t="shared" si="687"/>
        <v>0</v>
      </c>
      <c r="Q1836" s="76">
        <f t="shared" si="688"/>
        <v>1</v>
      </c>
      <c r="R1836" s="76">
        <f t="shared" si="689"/>
        <v>0</v>
      </c>
      <c r="S1836" s="76">
        <f t="shared" si="690"/>
        <v>0.99833507753781747</v>
      </c>
      <c r="T1836" s="76">
        <f t="shared" si="691"/>
        <v>0.98531300542289035</v>
      </c>
      <c r="U1836" s="76">
        <f t="shared" si="692"/>
        <v>1</v>
      </c>
    </row>
    <row r="1837" spans="1:21" x14ac:dyDescent="0.25">
      <c r="A1837" s="71">
        <v>31</v>
      </c>
      <c r="B1837" s="72">
        <f t="shared" si="693"/>
        <v>46569</v>
      </c>
      <c r="C1837" s="73">
        <f t="shared" si="674"/>
        <v>46599</v>
      </c>
      <c r="D1837" s="67">
        <f t="shared" si="675"/>
        <v>31</v>
      </c>
      <c r="E1837" s="67">
        <f t="shared" si="676"/>
        <v>7</v>
      </c>
      <c r="F1837" s="74">
        <f t="shared" si="677"/>
        <v>46584.5</v>
      </c>
      <c r="G1837" s="67">
        <f t="shared" si="678"/>
        <v>24330</v>
      </c>
      <c r="H1837" s="75">
        <f t="shared" si="679"/>
        <v>1</v>
      </c>
      <c r="I1837" s="76">
        <f t="shared" si="680"/>
        <v>1</v>
      </c>
      <c r="J1837" s="76">
        <f t="shared" si="681"/>
        <v>1</v>
      </c>
      <c r="K1837" s="67">
        <f t="shared" si="682"/>
        <v>0</v>
      </c>
      <c r="L1837" s="67">
        <f t="shared" si="683"/>
        <v>0</v>
      </c>
      <c r="M1837" s="77">
        <f t="shared" si="684"/>
        <v>0</v>
      </c>
      <c r="N1837" s="76">
        <f t="shared" si="685"/>
        <v>1</v>
      </c>
      <c r="O1837" s="77">
        <f t="shared" si="686"/>
        <v>0.91946936542669588</v>
      </c>
      <c r="P1837" s="76">
        <f t="shared" si="687"/>
        <v>0</v>
      </c>
      <c r="Q1837" s="76">
        <f t="shared" si="688"/>
        <v>0.91666666666666663</v>
      </c>
      <c r="R1837" s="76">
        <f t="shared" si="689"/>
        <v>8.333333333333337E-2</v>
      </c>
      <c r="S1837" s="76">
        <f t="shared" si="690"/>
        <v>0.99942322328988675</v>
      </c>
      <c r="T1837" s="76">
        <f t="shared" si="691"/>
        <v>0.98640115117495952</v>
      </c>
      <c r="U1837" s="76">
        <f t="shared" si="692"/>
        <v>1</v>
      </c>
    </row>
    <row r="1838" spans="1:21" x14ac:dyDescent="0.25">
      <c r="A1838" s="71">
        <v>32</v>
      </c>
      <c r="B1838" s="72">
        <f t="shared" si="693"/>
        <v>46600</v>
      </c>
      <c r="C1838" s="73">
        <f t="shared" si="674"/>
        <v>46630</v>
      </c>
      <c r="D1838" s="67">
        <f t="shared" si="675"/>
        <v>31</v>
      </c>
      <c r="E1838" s="67">
        <f t="shared" si="676"/>
        <v>8</v>
      </c>
      <c r="F1838" s="74">
        <f t="shared" si="677"/>
        <v>46615.5</v>
      </c>
      <c r="G1838" s="67">
        <f t="shared" si="678"/>
        <v>24331</v>
      </c>
      <c r="H1838" s="75">
        <f t="shared" si="679"/>
        <v>1</v>
      </c>
      <c r="I1838" s="76">
        <f t="shared" si="680"/>
        <v>1</v>
      </c>
      <c r="J1838" s="76">
        <f t="shared" si="681"/>
        <v>1</v>
      </c>
      <c r="K1838" s="67">
        <f t="shared" si="682"/>
        <v>0</v>
      </c>
      <c r="L1838" s="67">
        <f t="shared" si="683"/>
        <v>0</v>
      </c>
      <c r="M1838" s="77">
        <f t="shared" si="684"/>
        <v>0</v>
      </c>
      <c r="N1838" s="76">
        <f t="shared" si="685"/>
        <v>1</v>
      </c>
      <c r="O1838" s="77">
        <f t="shared" si="686"/>
        <v>0.92048687089715542</v>
      </c>
      <c r="P1838" s="76">
        <f t="shared" si="687"/>
        <v>0</v>
      </c>
      <c r="Q1838" s="76">
        <f t="shared" si="688"/>
        <v>0.75</v>
      </c>
      <c r="R1838" s="76">
        <f t="shared" si="689"/>
        <v>0.25</v>
      </c>
      <c r="S1838" s="76">
        <f t="shared" si="690"/>
        <v>1.0005292074969081</v>
      </c>
      <c r="T1838" s="76">
        <f t="shared" si="691"/>
        <v>0.98750713538198076</v>
      </c>
      <c r="U1838" s="76">
        <f t="shared" si="692"/>
        <v>1</v>
      </c>
    </row>
    <row r="1839" spans="1:21" x14ac:dyDescent="0.25">
      <c r="A1839" s="71">
        <v>33</v>
      </c>
      <c r="B1839" s="72">
        <f t="shared" si="693"/>
        <v>46631</v>
      </c>
      <c r="C1839" s="73">
        <f t="shared" si="674"/>
        <v>46660</v>
      </c>
      <c r="D1839" s="67">
        <f t="shared" si="675"/>
        <v>30</v>
      </c>
      <c r="E1839" s="67">
        <f t="shared" si="676"/>
        <v>9</v>
      </c>
      <c r="F1839" s="74">
        <f t="shared" si="677"/>
        <v>46646</v>
      </c>
      <c r="G1839" s="67">
        <f t="shared" si="678"/>
        <v>24332</v>
      </c>
      <c r="H1839" s="75">
        <f t="shared" si="679"/>
        <v>1</v>
      </c>
      <c r="I1839" s="76">
        <f t="shared" si="680"/>
        <v>1</v>
      </c>
      <c r="J1839" s="76">
        <f t="shared" si="681"/>
        <v>1</v>
      </c>
      <c r="K1839" s="67">
        <f t="shared" si="682"/>
        <v>0</v>
      </c>
      <c r="L1839" s="67">
        <f t="shared" si="683"/>
        <v>0</v>
      </c>
      <c r="M1839" s="77">
        <f t="shared" si="684"/>
        <v>0</v>
      </c>
      <c r="N1839" s="76">
        <f t="shared" si="685"/>
        <v>1</v>
      </c>
      <c r="O1839" s="77">
        <f t="shared" si="686"/>
        <v>0.92148796498905916</v>
      </c>
      <c r="P1839" s="76">
        <f t="shared" si="687"/>
        <v>0</v>
      </c>
      <c r="Q1839" s="76">
        <f t="shared" si="688"/>
        <v>0.58333333333333337</v>
      </c>
      <c r="R1839" s="76">
        <f t="shared" si="689"/>
        <v>0.41666666666666663</v>
      </c>
      <c r="S1839" s="76">
        <f t="shared" si="690"/>
        <v>1.0016173532489774</v>
      </c>
      <c r="T1839" s="76">
        <f t="shared" si="691"/>
        <v>0.98859528113405004</v>
      </c>
      <c r="U1839" s="76">
        <f t="shared" si="692"/>
        <v>1</v>
      </c>
    </row>
    <row r="1840" spans="1:21" x14ac:dyDescent="0.25">
      <c r="A1840" s="71">
        <v>34</v>
      </c>
      <c r="B1840" s="72">
        <f t="shared" si="693"/>
        <v>46661</v>
      </c>
      <c r="C1840" s="73">
        <f t="shared" si="674"/>
        <v>46691</v>
      </c>
      <c r="D1840" s="67">
        <f t="shared" si="675"/>
        <v>31</v>
      </c>
      <c r="E1840" s="67">
        <f t="shared" si="676"/>
        <v>10</v>
      </c>
      <c r="F1840" s="74">
        <f t="shared" si="677"/>
        <v>46676.5</v>
      </c>
      <c r="G1840" s="67">
        <f t="shared" si="678"/>
        <v>24333</v>
      </c>
      <c r="H1840" s="75">
        <f t="shared" si="679"/>
        <v>1</v>
      </c>
      <c r="I1840" s="76">
        <f t="shared" si="680"/>
        <v>1</v>
      </c>
      <c r="J1840" s="76">
        <f t="shared" si="681"/>
        <v>1</v>
      </c>
      <c r="K1840" s="67">
        <f t="shared" si="682"/>
        <v>0</v>
      </c>
      <c r="L1840" s="67">
        <f t="shared" si="683"/>
        <v>0</v>
      </c>
      <c r="M1840" s="77">
        <f t="shared" si="684"/>
        <v>0</v>
      </c>
      <c r="N1840" s="76">
        <f t="shared" si="685"/>
        <v>1</v>
      </c>
      <c r="O1840" s="77">
        <f t="shared" si="686"/>
        <v>0.92248905908096279</v>
      </c>
      <c r="P1840" s="76">
        <f t="shared" si="687"/>
        <v>0</v>
      </c>
      <c r="Q1840" s="76">
        <f t="shared" si="688"/>
        <v>0.41666666666666669</v>
      </c>
      <c r="R1840" s="76">
        <f t="shared" si="689"/>
        <v>0.58333333333333326</v>
      </c>
      <c r="S1840" s="76">
        <f t="shared" si="690"/>
        <v>1.0027054990010464</v>
      </c>
      <c r="T1840" s="76">
        <f t="shared" si="691"/>
        <v>0.98968342688611932</v>
      </c>
      <c r="U1840" s="76">
        <f t="shared" si="692"/>
        <v>1</v>
      </c>
    </row>
    <row r="1841" spans="1:21" x14ac:dyDescent="0.25">
      <c r="A1841" s="71">
        <v>35</v>
      </c>
      <c r="B1841" s="72">
        <f t="shared" si="693"/>
        <v>46692</v>
      </c>
      <c r="C1841" s="73">
        <f t="shared" si="674"/>
        <v>46721</v>
      </c>
      <c r="D1841" s="67">
        <f t="shared" si="675"/>
        <v>30</v>
      </c>
      <c r="E1841" s="67">
        <f t="shared" si="676"/>
        <v>11</v>
      </c>
      <c r="F1841" s="74">
        <f t="shared" si="677"/>
        <v>46707</v>
      </c>
      <c r="G1841" s="67">
        <f t="shared" si="678"/>
        <v>24334</v>
      </c>
      <c r="H1841" s="75">
        <f t="shared" si="679"/>
        <v>1</v>
      </c>
      <c r="I1841" s="76">
        <f t="shared" si="680"/>
        <v>1</v>
      </c>
      <c r="J1841" s="76">
        <f t="shared" si="681"/>
        <v>1</v>
      </c>
      <c r="K1841" s="67">
        <f t="shared" si="682"/>
        <v>0</v>
      </c>
      <c r="L1841" s="67">
        <f t="shared" si="683"/>
        <v>0</v>
      </c>
      <c r="M1841" s="77">
        <f t="shared" si="684"/>
        <v>0</v>
      </c>
      <c r="N1841" s="76">
        <f t="shared" si="685"/>
        <v>1</v>
      </c>
      <c r="O1841" s="77">
        <f t="shared" si="686"/>
        <v>0.92349015317286653</v>
      </c>
      <c r="P1841" s="76">
        <f t="shared" si="687"/>
        <v>0</v>
      </c>
      <c r="Q1841" s="76">
        <f t="shared" si="688"/>
        <v>0.25</v>
      </c>
      <c r="R1841" s="76">
        <f t="shared" si="689"/>
        <v>0.75</v>
      </c>
      <c r="S1841" s="76">
        <f t="shared" si="690"/>
        <v>1.0037936447531157</v>
      </c>
      <c r="T1841" s="76">
        <f t="shared" si="691"/>
        <v>0.9907715726381886</v>
      </c>
      <c r="U1841" s="76">
        <f t="shared" si="692"/>
        <v>1</v>
      </c>
    </row>
    <row r="1842" spans="1:21" x14ac:dyDescent="0.25">
      <c r="A1842" s="71">
        <v>36</v>
      </c>
      <c r="B1842" s="72">
        <f t="shared" si="693"/>
        <v>46722</v>
      </c>
      <c r="C1842" s="73">
        <f t="shared" si="674"/>
        <v>46752</v>
      </c>
      <c r="D1842" s="67">
        <f t="shared" si="675"/>
        <v>31</v>
      </c>
      <c r="E1842" s="67">
        <f t="shared" si="676"/>
        <v>12</v>
      </c>
      <c r="F1842" s="74">
        <f t="shared" si="677"/>
        <v>46737.5</v>
      </c>
      <c r="G1842" s="67">
        <f t="shared" si="678"/>
        <v>24335</v>
      </c>
      <c r="H1842" s="75">
        <f t="shared" si="679"/>
        <v>1</v>
      </c>
      <c r="I1842" s="76">
        <f t="shared" si="680"/>
        <v>1</v>
      </c>
      <c r="J1842" s="76">
        <f t="shared" si="681"/>
        <v>1</v>
      </c>
      <c r="K1842" s="67">
        <f t="shared" si="682"/>
        <v>0</v>
      </c>
      <c r="L1842" s="67">
        <f t="shared" si="683"/>
        <v>0</v>
      </c>
      <c r="M1842" s="77">
        <f t="shared" si="684"/>
        <v>0</v>
      </c>
      <c r="N1842" s="76">
        <f t="shared" si="685"/>
        <v>1</v>
      </c>
      <c r="O1842" s="77">
        <f t="shared" si="686"/>
        <v>0.92449124726477028</v>
      </c>
      <c r="P1842" s="76">
        <f t="shared" si="687"/>
        <v>0</v>
      </c>
      <c r="Q1842" s="76">
        <f t="shared" si="688"/>
        <v>8.3333333333333329E-2</v>
      </c>
      <c r="R1842" s="76">
        <f t="shared" si="689"/>
        <v>0.91666666666666663</v>
      </c>
      <c r="S1842" s="76">
        <f t="shared" si="690"/>
        <v>1.004881790505185</v>
      </c>
      <c r="T1842" s="76">
        <f t="shared" si="691"/>
        <v>0.99185971839025788</v>
      </c>
      <c r="U1842" s="76">
        <f t="shared" si="692"/>
        <v>1</v>
      </c>
    </row>
    <row r="1843" spans="1:21" x14ac:dyDescent="0.25">
      <c r="A1843" s="71">
        <v>37</v>
      </c>
      <c r="B1843" s="72">
        <f t="shared" si="693"/>
        <v>46753</v>
      </c>
      <c r="C1843" s="73">
        <f t="shared" si="674"/>
        <v>46783</v>
      </c>
      <c r="D1843" s="67">
        <f t="shared" si="675"/>
        <v>31</v>
      </c>
      <c r="E1843" s="67">
        <f t="shared" si="676"/>
        <v>1</v>
      </c>
      <c r="F1843" s="74">
        <f t="shared" si="677"/>
        <v>46768.5</v>
      </c>
      <c r="G1843" s="67">
        <f t="shared" si="678"/>
        <v>24336</v>
      </c>
      <c r="H1843" s="75">
        <f t="shared" si="679"/>
        <v>1</v>
      </c>
      <c r="I1843" s="76">
        <f t="shared" si="680"/>
        <v>1</v>
      </c>
      <c r="J1843" s="76">
        <f t="shared" si="681"/>
        <v>1</v>
      </c>
      <c r="K1843" s="67">
        <f t="shared" si="682"/>
        <v>0</v>
      </c>
      <c r="L1843" s="67">
        <f t="shared" si="683"/>
        <v>0</v>
      </c>
      <c r="M1843" s="77">
        <f t="shared" si="684"/>
        <v>0</v>
      </c>
      <c r="N1843" s="76">
        <f t="shared" si="685"/>
        <v>1</v>
      </c>
      <c r="O1843" s="77">
        <f t="shared" si="686"/>
        <v>0.92500000000000004</v>
      </c>
      <c r="P1843" s="76">
        <f t="shared" si="687"/>
        <v>0</v>
      </c>
      <c r="Q1843" s="76">
        <f t="shared" si="688"/>
        <v>0</v>
      </c>
      <c r="R1843" s="76">
        <f t="shared" si="689"/>
        <v>1</v>
      </c>
      <c r="S1843" s="76">
        <f t="shared" si="690"/>
        <v>1.0054347826086956</v>
      </c>
      <c r="T1843" s="76">
        <f t="shared" si="691"/>
        <v>0.97994363048235178</v>
      </c>
      <c r="U1843" s="76">
        <f t="shared" si="692"/>
        <v>1</v>
      </c>
    </row>
    <row r="1844" spans="1:21" x14ac:dyDescent="0.25">
      <c r="A1844" s="71">
        <v>38</v>
      </c>
      <c r="B1844" s="72">
        <f t="shared" si="693"/>
        <v>46784</v>
      </c>
      <c r="C1844" s="73">
        <f t="shared" si="674"/>
        <v>46812</v>
      </c>
      <c r="D1844" s="67">
        <f t="shared" si="675"/>
        <v>29</v>
      </c>
      <c r="E1844" s="67">
        <f t="shared" si="676"/>
        <v>2</v>
      </c>
      <c r="F1844" s="74">
        <f t="shared" si="677"/>
        <v>46798.5</v>
      </c>
      <c r="G1844" s="67">
        <f t="shared" si="678"/>
        <v>24337</v>
      </c>
      <c r="H1844" s="75">
        <f t="shared" si="679"/>
        <v>1</v>
      </c>
      <c r="I1844" s="76">
        <f t="shared" si="680"/>
        <v>1</v>
      </c>
      <c r="J1844" s="76">
        <f t="shared" si="681"/>
        <v>1</v>
      </c>
      <c r="K1844" s="67">
        <f t="shared" si="682"/>
        <v>0</v>
      </c>
      <c r="L1844" s="67">
        <f t="shared" si="683"/>
        <v>0</v>
      </c>
      <c r="M1844" s="77">
        <f t="shared" si="684"/>
        <v>0</v>
      </c>
      <c r="N1844" s="76">
        <f t="shared" si="685"/>
        <v>1</v>
      </c>
      <c r="O1844" s="77">
        <f t="shared" si="686"/>
        <v>0.92500000000000004</v>
      </c>
      <c r="P1844" s="76">
        <f t="shared" si="687"/>
        <v>0</v>
      </c>
      <c r="Q1844" s="76">
        <f t="shared" si="688"/>
        <v>0</v>
      </c>
      <c r="R1844" s="76">
        <f t="shared" si="689"/>
        <v>1</v>
      </c>
      <c r="S1844" s="76">
        <f t="shared" si="690"/>
        <v>1.0054347826086956</v>
      </c>
      <c r="T1844" s="76">
        <f t="shared" si="691"/>
        <v>0.98099609932451703</v>
      </c>
      <c r="U1844" s="76">
        <f t="shared" si="692"/>
        <v>1</v>
      </c>
    </row>
    <row r="1845" spans="1:21" x14ac:dyDescent="0.25">
      <c r="A1845" s="71">
        <v>39</v>
      </c>
      <c r="B1845" s="72">
        <f t="shared" si="693"/>
        <v>46813</v>
      </c>
      <c r="C1845" s="73">
        <f t="shared" si="674"/>
        <v>46843</v>
      </c>
      <c r="D1845" s="67">
        <f t="shared" si="675"/>
        <v>31</v>
      </c>
      <c r="E1845" s="67">
        <f t="shared" si="676"/>
        <v>3</v>
      </c>
      <c r="F1845" s="74">
        <f t="shared" si="677"/>
        <v>46828.5</v>
      </c>
      <c r="G1845" s="67">
        <f t="shared" si="678"/>
        <v>24338</v>
      </c>
      <c r="H1845" s="75">
        <f t="shared" si="679"/>
        <v>1</v>
      </c>
      <c r="I1845" s="76">
        <f t="shared" si="680"/>
        <v>1</v>
      </c>
      <c r="J1845" s="76">
        <f t="shared" si="681"/>
        <v>1</v>
      </c>
      <c r="K1845" s="67">
        <f t="shared" si="682"/>
        <v>0</v>
      </c>
      <c r="L1845" s="67">
        <f t="shared" si="683"/>
        <v>0</v>
      </c>
      <c r="M1845" s="77">
        <f t="shared" si="684"/>
        <v>0</v>
      </c>
      <c r="N1845" s="76">
        <f t="shared" si="685"/>
        <v>1</v>
      </c>
      <c r="O1845" s="77">
        <f t="shared" si="686"/>
        <v>0.92500000000000004</v>
      </c>
      <c r="P1845" s="76">
        <f t="shared" si="687"/>
        <v>0</v>
      </c>
      <c r="Q1845" s="76">
        <f t="shared" si="688"/>
        <v>0</v>
      </c>
      <c r="R1845" s="76">
        <f t="shared" si="689"/>
        <v>1</v>
      </c>
      <c r="S1845" s="76">
        <f t="shared" si="690"/>
        <v>1.0054347826086956</v>
      </c>
      <c r="T1845" s="76">
        <f t="shared" si="691"/>
        <v>0.98204856816668251</v>
      </c>
      <c r="U1845" s="76">
        <f t="shared" si="692"/>
        <v>1</v>
      </c>
    </row>
    <row r="1846" spans="1:21" x14ac:dyDescent="0.25">
      <c r="A1846" s="71">
        <v>40</v>
      </c>
      <c r="B1846" s="72">
        <f t="shared" si="693"/>
        <v>46844</v>
      </c>
      <c r="C1846" s="73">
        <f t="shared" si="674"/>
        <v>46873</v>
      </c>
      <c r="D1846" s="67">
        <f t="shared" si="675"/>
        <v>30</v>
      </c>
      <c r="E1846" s="67">
        <f t="shared" si="676"/>
        <v>4</v>
      </c>
      <c r="F1846" s="74">
        <f t="shared" si="677"/>
        <v>46859</v>
      </c>
      <c r="G1846" s="67">
        <f t="shared" si="678"/>
        <v>24339</v>
      </c>
      <c r="H1846" s="75">
        <f t="shared" si="679"/>
        <v>1</v>
      </c>
      <c r="I1846" s="76">
        <f t="shared" si="680"/>
        <v>1</v>
      </c>
      <c r="J1846" s="76">
        <f t="shared" si="681"/>
        <v>1</v>
      </c>
      <c r="K1846" s="67">
        <f t="shared" si="682"/>
        <v>0</v>
      </c>
      <c r="L1846" s="67">
        <f t="shared" si="683"/>
        <v>0</v>
      </c>
      <c r="M1846" s="77">
        <f t="shared" si="684"/>
        <v>0</v>
      </c>
      <c r="N1846" s="76">
        <f t="shared" si="685"/>
        <v>1</v>
      </c>
      <c r="O1846" s="77">
        <f t="shared" si="686"/>
        <v>0.92500000000000004</v>
      </c>
      <c r="P1846" s="76">
        <f t="shared" si="687"/>
        <v>0</v>
      </c>
      <c r="Q1846" s="76">
        <f t="shared" si="688"/>
        <v>0</v>
      </c>
      <c r="R1846" s="76">
        <f t="shared" si="689"/>
        <v>1</v>
      </c>
      <c r="S1846" s="76">
        <f t="shared" si="690"/>
        <v>1.0054347826086956</v>
      </c>
      <c r="T1846" s="76">
        <f t="shared" si="691"/>
        <v>0.98313671391875179</v>
      </c>
      <c r="U1846" s="76">
        <f t="shared" si="692"/>
        <v>1</v>
      </c>
    </row>
    <row r="1847" spans="1:21" x14ac:dyDescent="0.25">
      <c r="A1847" s="71">
        <v>41</v>
      </c>
      <c r="B1847" s="72">
        <f t="shared" si="693"/>
        <v>46874</v>
      </c>
      <c r="C1847" s="73">
        <f t="shared" si="674"/>
        <v>46904</v>
      </c>
      <c r="D1847" s="67">
        <f t="shared" si="675"/>
        <v>31</v>
      </c>
      <c r="E1847" s="67">
        <f t="shared" si="676"/>
        <v>5</v>
      </c>
      <c r="F1847" s="74">
        <f t="shared" si="677"/>
        <v>46889.5</v>
      </c>
      <c r="G1847" s="67">
        <f t="shared" si="678"/>
        <v>24340</v>
      </c>
      <c r="H1847" s="75">
        <f t="shared" si="679"/>
        <v>1</v>
      </c>
      <c r="I1847" s="76">
        <f t="shared" si="680"/>
        <v>1</v>
      </c>
      <c r="J1847" s="76">
        <f t="shared" si="681"/>
        <v>1</v>
      </c>
      <c r="K1847" s="67">
        <f t="shared" si="682"/>
        <v>0</v>
      </c>
      <c r="L1847" s="67">
        <f t="shared" si="683"/>
        <v>0</v>
      </c>
      <c r="M1847" s="77">
        <f t="shared" si="684"/>
        <v>0</v>
      </c>
      <c r="N1847" s="76">
        <f t="shared" si="685"/>
        <v>1</v>
      </c>
      <c r="O1847" s="77">
        <f t="shared" si="686"/>
        <v>0.92500000000000004</v>
      </c>
      <c r="P1847" s="76">
        <f t="shared" si="687"/>
        <v>0</v>
      </c>
      <c r="Q1847" s="76">
        <f t="shared" si="688"/>
        <v>0</v>
      </c>
      <c r="R1847" s="76">
        <f t="shared" si="689"/>
        <v>1</v>
      </c>
      <c r="S1847" s="76">
        <f t="shared" si="690"/>
        <v>1.0054347826086956</v>
      </c>
      <c r="T1847" s="76">
        <f t="shared" si="691"/>
        <v>0.98422485967082107</v>
      </c>
      <c r="U1847" s="76">
        <f t="shared" si="692"/>
        <v>1</v>
      </c>
    </row>
    <row r="1848" spans="1:21" x14ac:dyDescent="0.25">
      <c r="A1848" s="71">
        <v>42</v>
      </c>
      <c r="B1848" s="72">
        <f t="shared" si="693"/>
        <v>46905</v>
      </c>
      <c r="C1848" s="73">
        <f t="shared" si="674"/>
        <v>46934</v>
      </c>
      <c r="D1848" s="67">
        <f t="shared" si="675"/>
        <v>30</v>
      </c>
      <c r="E1848" s="67">
        <f t="shared" si="676"/>
        <v>6</v>
      </c>
      <c r="F1848" s="74">
        <f t="shared" si="677"/>
        <v>46920</v>
      </c>
      <c r="G1848" s="67">
        <f t="shared" si="678"/>
        <v>24341</v>
      </c>
      <c r="H1848" s="75">
        <f t="shared" si="679"/>
        <v>1</v>
      </c>
      <c r="I1848" s="76">
        <f t="shared" si="680"/>
        <v>1</v>
      </c>
      <c r="J1848" s="76">
        <f t="shared" si="681"/>
        <v>1</v>
      </c>
      <c r="K1848" s="67">
        <f t="shared" si="682"/>
        <v>0</v>
      </c>
      <c r="L1848" s="67">
        <f t="shared" si="683"/>
        <v>0</v>
      </c>
      <c r="M1848" s="77">
        <f t="shared" si="684"/>
        <v>0</v>
      </c>
      <c r="N1848" s="76">
        <f t="shared" si="685"/>
        <v>1</v>
      </c>
      <c r="O1848" s="77">
        <f t="shared" si="686"/>
        <v>0.92500000000000004</v>
      </c>
      <c r="P1848" s="76">
        <f t="shared" si="687"/>
        <v>0</v>
      </c>
      <c r="Q1848" s="76">
        <f t="shared" si="688"/>
        <v>0</v>
      </c>
      <c r="R1848" s="76">
        <f t="shared" si="689"/>
        <v>1</v>
      </c>
      <c r="S1848" s="76">
        <f t="shared" si="690"/>
        <v>1.0054347826086956</v>
      </c>
      <c r="T1848" s="76">
        <f t="shared" si="691"/>
        <v>0.98531300542289035</v>
      </c>
      <c r="U1848" s="76">
        <f t="shared" si="692"/>
        <v>1</v>
      </c>
    </row>
    <row r="1849" spans="1:21" x14ac:dyDescent="0.25">
      <c r="A1849" s="71">
        <v>43</v>
      </c>
      <c r="B1849" s="72">
        <f t="shared" si="693"/>
        <v>46935</v>
      </c>
      <c r="C1849" s="73">
        <f t="shared" si="674"/>
        <v>46965</v>
      </c>
      <c r="D1849" s="67">
        <f t="shared" si="675"/>
        <v>31</v>
      </c>
      <c r="E1849" s="67">
        <f t="shared" si="676"/>
        <v>7</v>
      </c>
      <c r="F1849" s="74">
        <f t="shared" si="677"/>
        <v>46950.5</v>
      </c>
      <c r="G1849" s="67">
        <f t="shared" si="678"/>
        <v>24342</v>
      </c>
      <c r="H1849" s="75">
        <f t="shared" si="679"/>
        <v>1</v>
      </c>
      <c r="I1849" s="76">
        <f t="shared" si="680"/>
        <v>1</v>
      </c>
      <c r="J1849" s="76">
        <f t="shared" si="681"/>
        <v>1</v>
      </c>
      <c r="K1849" s="67">
        <f t="shared" si="682"/>
        <v>0</v>
      </c>
      <c r="L1849" s="67">
        <f t="shared" si="683"/>
        <v>0</v>
      </c>
      <c r="M1849" s="77">
        <f t="shared" si="684"/>
        <v>0</v>
      </c>
      <c r="N1849" s="76">
        <f t="shared" si="685"/>
        <v>1</v>
      </c>
      <c r="O1849" s="77">
        <f t="shared" si="686"/>
        <v>0.92500000000000004</v>
      </c>
      <c r="P1849" s="76">
        <f t="shared" si="687"/>
        <v>0</v>
      </c>
      <c r="Q1849" s="76">
        <f t="shared" si="688"/>
        <v>0</v>
      </c>
      <c r="R1849" s="76">
        <f t="shared" si="689"/>
        <v>0.91666666666666663</v>
      </c>
      <c r="S1849" s="76">
        <f t="shared" si="690"/>
        <v>1.0054347826086956</v>
      </c>
      <c r="T1849" s="76">
        <f t="shared" si="691"/>
        <v>0.98640115117495952</v>
      </c>
      <c r="U1849" s="76">
        <f t="shared" si="692"/>
        <v>1</v>
      </c>
    </row>
    <row r="1850" spans="1:21" x14ac:dyDescent="0.25">
      <c r="A1850" s="71">
        <v>44</v>
      </c>
      <c r="B1850" s="72">
        <f t="shared" si="693"/>
        <v>46966</v>
      </c>
      <c r="C1850" s="73">
        <f t="shared" si="674"/>
        <v>46996</v>
      </c>
      <c r="D1850" s="67">
        <f t="shared" si="675"/>
        <v>31</v>
      </c>
      <c r="E1850" s="67">
        <f t="shared" si="676"/>
        <v>8</v>
      </c>
      <c r="F1850" s="74">
        <f t="shared" si="677"/>
        <v>46981.5</v>
      </c>
      <c r="G1850" s="67">
        <f t="shared" si="678"/>
        <v>24343</v>
      </c>
      <c r="H1850" s="75">
        <f t="shared" si="679"/>
        <v>1</v>
      </c>
      <c r="I1850" s="76">
        <f t="shared" si="680"/>
        <v>1</v>
      </c>
      <c r="J1850" s="76">
        <f t="shared" si="681"/>
        <v>1</v>
      </c>
      <c r="K1850" s="67">
        <f t="shared" si="682"/>
        <v>0</v>
      </c>
      <c r="L1850" s="67">
        <f t="shared" si="683"/>
        <v>0</v>
      </c>
      <c r="M1850" s="77">
        <f t="shared" si="684"/>
        <v>0</v>
      </c>
      <c r="N1850" s="76">
        <f t="shared" si="685"/>
        <v>1</v>
      </c>
      <c r="O1850" s="77">
        <f t="shared" si="686"/>
        <v>0.92500000000000004</v>
      </c>
      <c r="P1850" s="76">
        <f t="shared" si="687"/>
        <v>0</v>
      </c>
      <c r="Q1850" s="76">
        <f t="shared" si="688"/>
        <v>0</v>
      </c>
      <c r="R1850" s="76">
        <f t="shared" si="689"/>
        <v>0.75</v>
      </c>
      <c r="S1850" s="76">
        <f t="shared" si="690"/>
        <v>1.0054347826086956</v>
      </c>
      <c r="T1850" s="76">
        <f t="shared" si="691"/>
        <v>0.98750713538198076</v>
      </c>
      <c r="U1850" s="76">
        <f t="shared" si="692"/>
        <v>1</v>
      </c>
    </row>
    <row r="1851" spans="1:21" x14ac:dyDescent="0.25">
      <c r="A1851" s="71">
        <v>45</v>
      </c>
      <c r="B1851" s="72">
        <f t="shared" si="693"/>
        <v>46997</v>
      </c>
      <c r="C1851" s="73">
        <f t="shared" si="674"/>
        <v>47026</v>
      </c>
      <c r="D1851" s="67">
        <f t="shared" si="675"/>
        <v>30</v>
      </c>
      <c r="E1851" s="67">
        <f t="shared" si="676"/>
        <v>9</v>
      </c>
      <c r="F1851" s="74">
        <f t="shared" si="677"/>
        <v>47012</v>
      </c>
      <c r="G1851" s="67">
        <f t="shared" si="678"/>
        <v>24344</v>
      </c>
      <c r="H1851" s="75">
        <f t="shared" si="679"/>
        <v>1</v>
      </c>
      <c r="I1851" s="76">
        <f t="shared" si="680"/>
        <v>1</v>
      </c>
      <c r="J1851" s="76">
        <f t="shared" si="681"/>
        <v>1</v>
      </c>
      <c r="K1851" s="67">
        <f t="shared" si="682"/>
        <v>0</v>
      </c>
      <c r="L1851" s="67">
        <f t="shared" si="683"/>
        <v>0</v>
      </c>
      <c r="M1851" s="77">
        <f t="shared" si="684"/>
        <v>0</v>
      </c>
      <c r="N1851" s="76">
        <f t="shared" si="685"/>
        <v>1</v>
      </c>
      <c r="O1851" s="77">
        <f t="shared" si="686"/>
        <v>0.92500000000000004</v>
      </c>
      <c r="P1851" s="76">
        <f t="shared" si="687"/>
        <v>0</v>
      </c>
      <c r="Q1851" s="76">
        <f t="shared" si="688"/>
        <v>0</v>
      </c>
      <c r="R1851" s="76">
        <f t="shared" si="689"/>
        <v>0.58333333333333337</v>
      </c>
      <c r="S1851" s="76">
        <f t="shared" si="690"/>
        <v>1.0054347826086956</v>
      </c>
      <c r="T1851" s="76">
        <f t="shared" si="691"/>
        <v>0.98859528113405004</v>
      </c>
      <c r="U1851" s="76">
        <f t="shared" si="692"/>
        <v>1</v>
      </c>
    </row>
    <row r="1852" spans="1:21" x14ac:dyDescent="0.25">
      <c r="A1852" s="71">
        <v>46</v>
      </c>
      <c r="B1852" s="72">
        <f t="shared" si="693"/>
        <v>47027</v>
      </c>
      <c r="C1852" s="73">
        <f t="shared" si="674"/>
        <v>47057</v>
      </c>
      <c r="D1852" s="67">
        <f t="shared" si="675"/>
        <v>31</v>
      </c>
      <c r="E1852" s="67">
        <f t="shared" si="676"/>
        <v>10</v>
      </c>
      <c r="F1852" s="74">
        <f t="shared" si="677"/>
        <v>47042.5</v>
      </c>
      <c r="G1852" s="67">
        <f t="shared" si="678"/>
        <v>24345</v>
      </c>
      <c r="H1852" s="75">
        <f t="shared" si="679"/>
        <v>1</v>
      </c>
      <c r="I1852" s="76">
        <f t="shared" si="680"/>
        <v>1</v>
      </c>
      <c r="J1852" s="76">
        <f t="shared" si="681"/>
        <v>1</v>
      </c>
      <c r="K1852" s="67">
        <f t="shared" si="682"/>
        <v>0</v>
      </c>
      <c r="L1852" s="67">
        <f t="shared" si="683"/>
        <v>0</v>
      </c>
      <c r="M1852" s="77">
        <f t="shared" si="684"/>
        <v>0</v>
      </c>
      <c r="N1852" s="76">
        <f t="shared" si="685"/>
        <v>1</v>
      </c>
      <c r="O1852" s="77">
        <f t="shared" si="686"/>
        <v>0.92500000000000004</v>
      </c>
      <c r="P1852" s="76">
        <f t="shared" si="687"/>
        <v>0</v>
      </c>
      <c r="Q1852" s="76">
        <f t="shared" si="688"/>
        <v>0</v>
      </c>
      <c r="R1852" s="76">
        <f t="shared" si="689"/>
        <v>0.41666666666666669</v>
      </c>
      <c r="S1852" s="76">
        <f t="shared" si="690"/>
        <v>1.0054347826086956</v>
      </c>
      <c r="T1852" s="76">
        <f t="shared" si="691"/>
        <v>0.98968342688611932</v>
      </c>
      <c r="U1852" s="76">
        <f t="shared" si="692"/>
        <v>1</v>
      </c>
    </row>
    <row r="1853" spans="1:21" x14ac:dyDescent="0.25">
      <c r="A1853" s="71">
        <v>47</v>
      </c>
      <c r="B1853" s="72">
        <f t="shared" si="693"/>
        <v>47058</v>
      </c>
      <c r="C1853" s="73">
        <f t="shared" si="674"/>
        <v>47087</v>
      </c>
      <c r="D1853" s="67">
        <f t="shared" si="675"/>
        <v>30</v>
      </c>
      <c r="E1853" s="67">
        <f t="shared" si="676"/>
        <v>11</v>
      </c>
      <c r="F1853" s="74">
        <f t="shared" si="677"/>
        <v>47073</v>
      </c>
      <c r="G1853" s="67">
        <f t="shared" si="678"/>
        <v>24346</v>
      </c>
      <c r="H1853" s="75">
        <f t="shared" si="679"/>
        <v>1</v>
      </c>
      <c r="I1853" s="76">
        <f t="shared" si="680"/>
        <v>1</v>
      </c>
      <c r="J1853" s="76">
        <f t="shared" si="681"/>
        <v>1</v>
      </c>
      <c r="K1853" s="67">
        <f t="shared" si="682"/>
        <v>0</v>
      </c>
      <c r="L1853" s="67">
        <f t="shared" si="683"/>
        <v>0</v>
      </c>
      <c r="M1853" s="77">
        <f t="shared" si="684"/>
        <v>0</v>
      </c>
      <c r="N1853" s="76">
        <f t="shared" si="685"/>
        <v>1</v>
      </c>
      <c r="O1853" s="77">
        <f t="shared" si="686"/>
        <v>0.92500000000000004</v>
      </c>
      <c r="P1853" s="76">
        <f t="shared" si="687"/>
        <v>0</v>
      </c>
      <c r="Q1853" s="76">
        <f t="shared" si="688"/>
        <v>0</v>
      </c>
      <c r="R1853" s="76">
        <f t="shared" si="689"/>
        <v>0.25</v>
      </c>
      <c r="S1853" s="76">
        <f t="shared" si="690"/>
        <v>1.0054347826086956</v>
      </c>
      <c r="T1853" s="76">
        <f t="shared" si="691"/>
        <v>0.9907715726381886</v>
      </c>
      <c r="U1853" s="76">
        <f t="shared" si="692"/>
        <v>1</v>
      </c>
    </row>
    <row r="1854" spans="1:21" x14ac:dyDescent="0.25">
      <c r="A1854" s="71">
        <v>48</v>
      </c>
      <c r="B1854" s="72">
        <f t="shared" si="693"/>
        <v>47088</v>
      </c>
      <c r="C1854" s="73">
        <f t="shared" si="674"/>
        <v>47118</v>
      </c>
      <c r="D1854" s="67">
        <f t="shared" si="675"/>
        <v>31</v>
      </c>
      <c r="E1854" s="67">
        <f t="shared" si="676"/>
        <v>12</v>
      </c>
      <c r="F1854" s="74">
        <f t="shared" si="677"/>
        <v>47103.5</v>
      </c>
      <c r="G1854" s="67">
        <f t="shared" si="678"/>
        <v>24347</v>
      </c>
      <c r="H1854" s="75">
        <f t="shared" si="679"/>
        <v>1</v>
      </c>
      <c r="I1854" s="76">
        <f t="shared" si="680"/>
        <v>1</v>
      </c>
      <c r="J1854" s="76">
        <f t="shared" si="681"/>
        <v>1</v>
      </c>
      <c r="K1854" s="67">
        <f t="shared" si="682"/>
        <v>0</v>
      </c>
      <c r="L1854" s="67">
        <f t="shared" si="683"/>
        <v>0</v>
      </c>
      <c r="M1854" s="77">
        <f t="shared" si="684"/>
        <v>0</v>
      </c>
      <c r="N1854" s="76">
        <f t="shared" si="685"/>
        <v>1</v>
      </c>
      <c r="O1854" s="77">
        <f t="shared" si="686"/>
        <v>0.92500000000000004</v>
      </c>
      <c r="P1854" s="76">
        <f t="shared" si="687"/>
        <v>0</v>
      </c>
      <c r="Q1854" s="76">
        <f t="shared" si="688"/>
        <v>0</v>
      </c>
      <c r="R1854" s="76">
        <f t="shared" si="689"/>
        <v>8.3333333333333329E-2</v>
      </c>
      <c r="S1854" s="76">
        <f t="shared" si="690"/>
        <v>1.0054347826086956</v>
      </c>
      <c r="T1854" s="76">
        <f t="shared" si="691"/>
        <v>0.99185971839025788</v>
      </c>
      <c r="U1854" s="76">
        <f t="shared" si="692"/>
        <v>1</v>
      </c>
    </row>
    <row r="1855" spans="1:21" x14ac:dyDescent="0.25">
      <c r="A1855" s="81" t="s">
        <v>1187</v>
      </c>
      <c r="B1855" s="53">
        <f>EXP(SUMPRODUCT((rl_key=$A$1804)*(rl_cons="Y")*rl_ln1p))</f>
        <v>1</v>
      </c>
      <c r="C1855" s="53">
        <f>SUMPRODUCT($H$1807:$H$1854,$P$1807:$P$1854,$U$1807:$U$1854)/SUMPRODUCT($H$1807:$H$1854,$P$1807:$P$1854)</f>
        <v>1</v>
      </c>
      <c r="D1855" s="53">
        <f>SUMPRODUCT($H$1807:$H$1854,$Q$1807:$Q$1854,$U$1807:$U$1854)/SUMPRODUCT($H$1807:$H$1854,$Q$1807:$Q$1854)</f>
        <v>1</v>
      </c>
      <c r="E1855" s="53">
        <f>SUMPRODUCT($H$1807:$H$1854,$R$1807:$R$1854,$U$1807:$U$1854)/SUMPRODUCT($H$1807:$H$1854,$R$1807:$R$1854)</f>
        <v>1</v>
      </c>
      <c r="F1855" s="172">
        <f>SUMPRODUCT($H$1807:$H$1854,$Q$1807:$Q$1854,$O$1807:$O$1854)/SUMPRODUCT($H$1807:$H$1854,$Q$1807:$Q$1854)</f>
        <v>0.91598878555798668</v>
      </c>
      <c r="G1855" s="172">
        <f>SUMPRODUCT($H$1807:$H$1854,$R$1807:$R$1854,$O$1807:$O$1854)/SUMPRODUCT($H$1807:$H$1854,$R$1807:$R$1854)</f>
        <v>0.92449033552151683</v>
      </c>
    </row>
    <row r="1858" spans="1:21" x14ac:dyDescent="0.25">
      <c r="A1858" s="81" t="str">
        <f>INDEX(lr_key,34)</f>
        <v>BU-B|MN</v>
      </c>
      <c r="B1858" s="81" t="str">
        <f>INDEX(lr_state,34)</f>
        <v>MN</v>
      </c>
      <c r="C1858" s="55">
        <f>nr_TermMonths</f>
        <v>6</v>
      </c>
      <c r="D1858" s="55">
        <f>IF(COUNTIF(se_state,$B1858)=0,0,MATCH($B1858,se_state,0))</f>
        <v>0</v>
      </c>
      <c r="E1858" s="57">
        <f>IF($D1858=0,0,INDEX(se_sum,$D1858))</f>
        <v>0</v>
      </c>
      <c r="F1858" s="172">
        <f>IF(N(INDEX(lr_mind,34))=0,1,INDEX(lr_mind,34))</f>
        <v>0.92</v>
      </c>
      <c r="G1858" s="172">
        <f>IF(N(INDEX(lr_m0,34))=0,1,INDEX(lr_m0,34))</f>
        <v>0.91</v>
      </c>
      <c r="H1858" s="54">
        <f>IF(N(INDEX(lr_m0asof,34))=0,DATE(nr_PlanYear-1,10,1),INDEX(lr_m0asof,34))</f>
        <v>46295</v>
      </c>
      <c r="I1858" s="172">
        <f>IF(N(INDEX(lr_m1,34))=0,1,INDEX(lr_m1,34))</f>
        <v>0.90500000000000003</v>
      </c>
      <c r="J1858" s="172">
        <f>INDEX(lr_mprior,34)</f>
        <v>0</v>
      </c>
      <c r="K1858" s="172">
        <f>INDEX(lr_m2,34)</f>
        <v>0</v>
      </c>
      <c r="L1858" s="81" t="b">
        <f>NOT(ISBLANK(INDEX(lr_netp,34)))</f>
        <v>0</v>
      </c>
      <c r="M1858" s="52">
        <f>N(INDEX(lr_netp,34))</f>
        <v>0</v>
      </c>
      <c r="N1858" s="52">
        <f>IF(ISBLANK(INDEX(lr_netp1,34)),$M$1858,N(INDEX(lr_netp1,34)))</f>
        <v>0</v>
      </c>
      <c r="O1858" s="55">
        <f>IF(AND(nr_ModAdjMaster="ON",INDEX(lr_modadj,34)="ON"),1,0)</f>
        <v>1</v>
      </c>
    </row>
    <row r="1859" spans="1:21" x14ac:dyDescent="0.25">
      <c r="A1859" s="81">
        <f>EDATE($H$1858,-12)+1</f>
        <v>45931</v>
      </c>
      <c r="B1859" s="81">
        <f>$H$1858+1</f>
        <v>46296</v>
      </c>
      <c r="C1859" s="81">
        <f>DATE(nr_PlanYear,12,31)+1</f>
        <v>46753</v>
      </c>
      <c r="D1859" s="81">
        <f>DATE(nr_PlanYear+1,12,31)+1</f>
        <v>47119</v>
      </c>
      <c r="E1859" s="81">
        <f>IF(N($J$1858)=0,$F$1859-($G$1859-$F$1859)/($C$1859-$B$1859)*($B$1859-$A$1859),$J$1858)</f>
        <v>0.9139934354485777</v>
      </c>
      <c r="F1859" s="81">
        <f>$G$1858</f>
        <v>0.91</v>
      </c>
      <c r="G1859" s="81">
        <f>$I$1858</f>
        <v>0.90500000000000003</v>
      </c>
      <c r="H1859" s="81">
        <f>IF(N($K$1858)=0,$I$1858,$K$1858)</f>
        <v>0.90500000000000003</v>
      </c>
      <c r="I1859" s="81">
        <f>($F$1859-$E$1859)/($B$1859-$A$1859)</f>
        <v>-1.0940919037199081E-5</v>
      </c>
      <c r="J1859" s="81">
        <f>($G$1859-$F$1859)/($C$1859-$B$1859)</f>
        <v>-1.0940919037199135E-5</v>
      </c>
      <c r="K1859" s="81">
        <f>($H$1859-$G$1859)/($D$1859-$C$1859)</f>
        <v>0</v>
      </c>
    </row>
    <row r="1860" spans="1:21" ht="36" x14ac:dyDescent="0.25">
      <c r="A1860" s="50" t="s">
        <v>211</v>
      </c>
      <c r="B1860" s="50" t="s">
        <v>212</v>
      </c>
      <c r="C1860" s="50" t="s">
        <v>213</v>
      </c>
      <c r="D1860" s="50" t="s">
        <v>214</v>
      </c>
      <c r="E1860" s="50" t="s">
        <v>215</v>
      </c>
      <c r="F1860" s="50" t="s">
        <v>216</v>
      </c>
      <c r="G1860" s="50" t="s">
        <v>217</v>
      </c>
      <c r="H1860" s="50" t="s">
        <v>218</v>
      </c>
      <c r="I1860" s="50" t="s">
        <v>219</v>
      </c>
      <c r="J1860" s="50" t="s">
        <v>220</v>
      </c>
      <c r="K1860" s="50" t="s">
        <v>221</v>
      </c>
      <c r="L1860" s="50" t="s">
        <v>222</v>
      </c>
      <c r="M1860" s="50" t="s">
        <v>223</v>
      </c>
      <c r="N1860" s="50" t="s">
        <v>224</v>
      </c>
      <c r="O1860" s="50" t="s">
        <v>225</v>
      </c>
      <c r="P1860" s="50" t="s">
        <v>226</v>
      </c>
      <c r="Q1860" s="50" t="s">
        <v>227</v>
      </c>
      <c r="R1860" s="50" t="s">
        <v>228</v>
      </c>
      <c r="S1860" s="50" t="s">
        <v>229</v>
      </c>
      <c r="T1860" s="50" t="s">
        <v>230</v>
      </c>
      <c r="U1860" s="50" t="s">
        <v>231</v>
      </c>
    </row>
    <row r="1861" spans="1:21" x14ac:dyDescent="0.25">
      <c r="A1861" s="71">
        <v>1</v>
      </c>
      <c r="B1861" s="72">
        <f>DATE(nr_PlanYear-2,1,1)</f>
        <v>45658</v>
      </c>
      <c r="C1861" s="73">
        <f t="shared" ref="C1861:C1908" si="694">EOMONTH($B1861,0)</f>
        <v>45688</v>
      </c>
      <c r="D1861" s="67">
        <f t="shared" ref="D1861:D1908" si="695">$C1861-$B1861+1</f>
        <v>31</v>
      </c>
      <c r="E1861" s="67">
        <f t="shared" ref="E1861:E1908" si="696">MONTH($B1861)</f>
        <v>1</v>
      </c>
      <c r="F1861" s="74">
        <f t="shared" ref="F1861:F1908" si="697">($B1861+$C1861+1)/2</f>
        <v>45673.5</v>
      </c>
      <c r="G1861" s="67">
        <f t="shared" ref="G1861:G1908" si="698">YEAR($B1861)*12+MONTH($B1861)-1</f>
        <v>24300</v>
      </c>
      <c r="H1861" s="75">
        <f t="shared" ref="H1861:H1908" si="699">IF(OR(nr_SeasonOn="OFF",$D$1858=0,$E$1858=0),1,12*INDEX(se_block,$D$1858,$E1861)/$E$1858)</f>
        <v>1</v>
      </c>
      <c r="I1861" s="76">
        <f t="shared" ref="I1861:I1908" si="700">EXP(SUMPRODUCT((rl_eff&lt;$B1861)*(rl_key=$A$1858)*rl_ln1p))</f>
        <v>1</v>
      </c>
      <c r="J1861" s="76">
        <f t="shared" ref="J1861:J1908" si="701">EXP(SUMPRODUCT((rl_eff&lt;=$C1861)*(rl_key=$A$1858)*rl_ln1p))</f>
        <v>1</v>
      </c>
      <c r="K1861" s="67">
        <f t="shared" ref="K1861:K1908" si="702">COUNTIFS(rl_key,$A$1858,rl_eff,"&gt;="&amp;$B1861,rl_eff,"&lt;="&amp;$C1861)</f>
        <v>0</v>
      </c>
      <c r="L1861" s="67">
        <f t="shared" ref="L1861:L1908" si="703">SUMIFS(rl_daysafter,rl_key,$A$1858,rl_effmonth,$B1861,rl_first,1)</f>
        <v>0</v>
      </c>
      <c r="M1861" s="77">
        <f t="shared" ref="M1861:M1908" si="704">IF($K1861=0,0,MIN(1,$L1861/$D1861))</f>
        <v>0</v>
      </c>
      <c r="N1861" s="76">
        <f t="shared" ref="N1861:N1908" si="705">IF($K1861=0,$J1861,(1-$M1861)*$I1861+$M1861*$J1861)</f>
        <v>1</v>
      </c>
      <c r="O1861" s="77">
        <f t="shared" ref="O1861:O1908" si="706">IF($F1861&lt;$B$1859,$E$1859+$I$1859*($F1861-$A$1859),IF($F1861&lt;$C$1859,$F$1859+$J$1859*($F1861-$B$1859),$G$1859+$K$1859*($F1861-$C$1859)))</f>
        <v>0.91681072210065651</v>
      </c>
      <c r="P1861" s="76">
        <f t="shared" ref="P1861:P1908" si="707">MIN(1,MAX(0,(nr_MEndPm1-$G1861+0.5)/$C$1858))-MIN(1,MAX(0,(nr_MStartPm1-1-$G1861+0.5)/$C$1858))</f>
        <v>0</v>
      </c>
      <c r="Q1861" s="76">
        <f t="shared" ref="Q1861:Q1908" si="708">MIN(1,MAX(0,(nr_MEndP-$G1861+0.5)/$C$1858))-MIN(1,MAX(0,(nr_MStartP-1-$G1861+0.5)/$C$1858))</f>
        <v>0</v>
      </c>
      <c r="R1861" s="76">
        <f t="shared" ref="R1861:R1908" si="709">MIN(1,MAX(0,(nr_MEndP1-$G1861+0.5)/$C$1858))-MIN(1,MAX(0,(nr_MStartP1-1-$G1861+0.5)/$C$1858))</f>
        <v>0</v>
      </c>
      <c r="S1861" s="76">
        <f t="shared" ref="S1861:S1908" si="710">$N1861*IF($O$1858=1,$O1861/$F$1858,1)</f>
        <v>0.99653339358767012</v>
      </c>
      <c r="T1861" s="76">
        <f t="shared" ref="T1861:T1908" si="711">IF($G1861&lt;nr_MStartP,$S1861,$T1849*(1+IF($G1861&lt;nr_MStartP1,$M$1858,$N$1858)))</f>
        <v>0.99653339358767012</v>
      </c>
      <c r="U1861" s="76">
        <f t="shared" ref="U1861:U1908" si="712">IF($L$1858,$T1861,$N1861)</f>
        <v>1</v>
      </c>
    </row>
    <row r="1862" spans="1:21" x14ac:dyDescent="0.25">
      <c r="A1862" s="71">
        <v>2</v>
      </c>
      <c r="B1862" s="72">
        <f t="shared" ref="B1862:B1908" si="713">EDATE($B1861,1)</f>
        <v>45689</v>
      </c>
      <c r="C1862" s="73">
        <f t="shared" si="694"/>
        <v>45716</v>
      </c>
      <c r="D1862" s="67">
        <f t="shared" si="695"/>
        <v>28</v>
      </c>
      <c r="E1862" s="67">
        <f t="shared" si="696"/>
        <v>2</v>
      </c>
      <c r="F1862" s="74">
        <f t="shared" si="697"/>
        <v>45703</v>
      </c>
      <c r="G1862" s="67">
        <f t="shared" si="698"/>
        <v>24301</v>
      </c>
      <c r="H1862" s="75">
        <f t="shared" si="699"/>
        <v>1</v>
      </c>
      <c r="I1862" s="76">
        <f t="shared" si="700"/>
        <v>1</v>
      </c>
      <c r="J1862" s="76">
        <f t="shared" si="701"/>
        <v>1</v>
      </c>
      <c r="K1862" s="67">
        <f t="shared" si="702"/>
        <v>0</v>
      </c>
      <c r="L1862" s="67">
        <f t="shared" si="703"/>
        <v>0</v>
      </c>
      <c r="M1862" s="77">
        <f t="shared" si="704"/>
        <v>0</v>
      </c>
      <c r="N1862" s="76">
        <f t="shared" si="705"/>
        <v>1</v>
      </c>
      <c r="O1862" s="77">
        <f t="shared" si="706"/>
        <v>0.91648796498905905</v>
      </c>
      <c r="P1862" s="76">
        <f t="shared" si="707"/>
        <v>0</v>
      </c>
      <c r="Q1862" s="76">
        <f t="shared" si="708"/>
        <v>0</v>
      </c>
      <c r="R1862" s="76">
        <f t="shared" si="709"/>
        <v>0</v>
      </c>
      <c r="S1862" s="76">
        <f t="shared" si="710"/>
        <v>0.99618257064028148</v>
      </c>
      <c r="T1862" s="76">
        <f t="shared" si="711"/>
        <v>0.99618257064028148</v>
      </c>
      <c r="U1862" s="76">
        <f t="shared" si="712"/>
        <v>1</v>
      </c>
    </row>
    <row r="1863" spans="1:21" x14ac:dyDescent="0.25">
      <c r="A1863" s="71">
        <v>3</v>
      </c>
      <c r="B1863" s="72">
        <f t="shared" si="713"/>
        <v>45717</v>
      </c>
      <c r="C1863" s="73">
        <f t="shared" si="694"/>
        <v>45747</v>
      </c>
      <c r="D1863" s="67">
        <f t="shared" si="695"/>
        <v>31</v>
      </c>
      <c r="E1863" s="67">
        <f t="shared" si="696"/>
        <v>3</v>
      </c>
      <c r="F1863" s="74">
        <f t="shared" si="697"/>
        <v>45732.5</v>
      </c>
      <c r="G1863" s="67">
        <f t="shared" si="698"/>
        <v>24302</v>
      </c>
      <c r="H1863" s="75">
        <f t="shared" si="699"/>
        <v>1</v>
      </c>
      <c r="I1863" s="76">
        <f t="shared" si="700"/>
        <v>1</v>
      </c>
      <c r="J1863" s="76">
        <f t="shared" si="701"/>
        <v>1</v>
      </c>
      <c r="K1863" s="67">
        <f t="shared" si="702"/>
        <v>0</v>
      </c>
      <c r="L1863" s="67">
        <f t="shared" si="703"/>
        <v>0</v>
      </c>
      <c r="M1863" s="77">
        <f t="shared" si="704"/>
        <v>0</v>
      </c>
      <c r="N1863" s="76">
        <f t="shared" si="705"/>
        <v>1</v>
      </c>
      <c r="O1863" s="77">
        <f t="shared" si="706"/>
        <v>0.9161652078774617</v>
      </c>
      <c r="P1863" s="76">
        <f t="shared" si="707"/>
        <v>0</v>
      </c>
      <c r="Q1863" s="76">
        <f t="shared" si="708"/>
        <v>0</v>
      </c>
      <c r="R1863" s="76">
        <f t="shared" si="709"/>
        <v>0</v>
      </c>
      <c r="S1863" s="76">
        <f t="shared" si="710"/>
        <v>0.99583174769289307</v>
      </c>
      <c r="T1863" s="76">
        <f t="shared" si="711"/>
        <v>0.99583174769289307</v>
      </c>
      <c r="U1863" s="76">
        <f t="shared" si="712"/>
        <v>1</v>
      </c>
    </row>
    <row r="1864" spans="1:21" x14ac:dyDescent="0.25">
      <c r="A1864" s="71">
        <v>4</v>
      </c>
      <c r="B1864" s="72">
        <f t="shared" si="713"/>
        <v>45748</v>
      </c>
      <c r="C1864" s="73">
        <f t="shared" si="694"/>
        <v>45777</v>
      </c>
      <c r="D1864" s="67">
        <f t="shared" si="695"/>
        <v>30</v>
      </c>
      <c r="E1864" s="67">
        <f t="shared" si="696"/>
        <v>4</v>
      </c>
      <c r="F1864" s="74">
        <f t="shared" si="697"/>
        <v>45763</v>
      </c>
      <c r="G1864" s="67">
        <f t="shared" si="698"/>
        <v>24303</v>
      </c>
      <c r="H1864" s="75">
        <f t="shared" si="699"/>
        <v>1</v>
      </c>
      <c r="I1864" s="76">
        <f t="shared" si="700"/>
        <v>1</v>
      </c>
      <c r="J1864" s="76">
        <f t="shared" si="701"/>
        <v>1</v>
      </c>
      <c r="K1864" s="67">
        <f t="shared" si="702"/>
        <v>0</v>
      </c>
      <c r="L1864" s="67">
        <f t="shared" si="703"/>
        <v>0</v>
      </c>
      <c r="M1864" s="77">
        <f t="shared" si="704"/>
        <v>0</v>
      </c>
      <c r="N1864" s="76">
        <f t="shared" si="705"/>
        <v>1</v>
      </c>
      <c r="O1864" s="77">
        <f t="shared" si="706"/>
        <v>0.91583150984682715</v>
      </c>
      <c r="P1864" s="76">
        <f t="shared" si="707"/>
        <v>0</v>
      </c>
      <c r="Q1864" s="76">
        <f t="shared" si="708"/>
        <v>0</v>
      </c>
      <c r="R1864" s="76">
        <f t="shared" si="709"/>
        <v>0</v>
      </c>
      <c r="S1864" s="76">
        <f t="shared" si="710"/>
        <v>0.99546903244220342</v>
      </c>
      <c r="T1864" s="76">
        <f t="shared" si="711"/>
        <v>0.99546903244220342</v>
      </c>
      <c r="U1864" s="76">
        <f t="shared" si="712"/>
        <v>1</v>
      </c>
    </row>
    <row r="1865" spans="1:21" x14ac:dyDescent="0.25">
      <c r="A1865" s="71">
        <v>5</v>
      </c>
      <c r="B1865" s="72">
        <f t="shared" si="713"/>
        <v>45778</v>
      </c>
      <c r="C1865" s="73">
        <f t="shared" si="694"/>
        <v>45808</v>
      </c>
      <c r="D1865" s="67">
        <f t="shared" si="695"/>
        <v>31</v>
      </c>
      <c r="E1865" s="67">
        <f t="shared" si="696"/>
        <v>5</v>
      </c>
      <c r="F1865" s="74">
        <f t="shared" si="697"/>
        <v>45793.5</v>
      </c>
      <c r="G1865" s="67">
        <f t="shared" si="698"/>
        <v>24304</v>
      </c>
      <c r="H1865" s="75">
        <f t="shared" si="699"/>
        <v>1</v>
      </c>
      <c r="I1865" s="76">
        <f t="shared" si="700"/>
        <v>1</v>
      </c>
      <c r="J1865" s="76">
        <f t="shared" si="701"/>
        <v>1</v>
      </c>
      <c r="K1865" s="67">
        <f t="shared" si="702"/>
        <v>0</v>
      </c>
      <c r="L1865" s="67">
        <f t="shared" si="703"/>
        <v>0</v>
      </c>
      <c r="M1865" s="77">
        <f t="shared" si="704"/>
        <v>0</v>
      </c>
      <c r="N1865" s="76">
        <f t="shared" si="705"/>
        <v>1</v>
      </c>
      <c r="O1865" s="77">
        <f t="shared" si="706"/>
        <v>0.91549781181619261</v>
      </c>
      <c r="P1865" s="76">
        <f t="shared" si="707"/>
        <v>0</v>
      </c>
      <c r="Q1865" s="76">
        <f t="shared" si="708"/>
        <v>0</v>
      </c>
      <c r="R1865" s="76">
        <f t="shared" si="709"/>
        <v>0</v>
      </c>
      <c r="S1865" s="76">
        <f t="shared" si="710"/>
        <v>0.99510631719151366</v>
      </c>
      <c r="T1865" s="76">
        <f t="shared" si="711"/>
        <v>0.99510631719151366</v>
      </c>
      <c r="U1865" s="76">
        <f t="shared" si="712"/>
        <v>1</v>
      </c>
    </row>
    <row r="1866" spans="1:21" x14ac:dyDescent="0.25">
      <c r="A1866" s="71">
        <v>6</v>
      </c>
      <c r="B1866" s="72">
        <f t="shared" si="713"/>
        <v>45809</v>
      </c>
      <c r="C1866" s="73">
        <f t="shared" si="694"/>
        <v>45838</v>
      </c>
      <c r="D1866" s="67">
        <f t="shared" si="695"/>
        <v>30</v>
      </c>
      <c r="E1866" s="67">
        <f t="shared" si="696"/>
        <v>6</v>
      </c>
      <c r="F1866" s="74">
        <f t="shared" si="697"/>
        <v>45824</v>
      </c>
      <c r="G1866" s="67">
        <f t="shared" si="698"/>
        <v>24305</v>
      </c>
      <c r="H1866" s="75">
        <f t="shared" si="699"/>
        <v>1</v>
      </c>
      <c r="I1866" s="76">
        <f t="shared" si="700"/>
        <v>1</v>
      </c>
      <c r="J1866" s="76">
        <f t="shared" si="701"/>
        <v>1</v>
      </c>
      <c r="K1866" s="67">
        <f t="shared" si="702"/>
        <v>0</v>
      </c>
      <c r="L1866" s="67">
        <f t="shared" si="703"/>
        <v>0</v>
      </c>
      <c r="M1866" s="77">
        <f t="shared" si="704"/>
        <v>0</v>
      </c>
      <c r="N1866" s="76">
        <f t="shared" si="705"/>
        <v>1</v>
      </c>
      <c r="O1866" s="77">
        <f t="shared" si="706"/>
        <v>0.91516411378555795</v>
      </c>
      <c r="P1866" s="76">
        <f t="shared" si="707"/>
        <v>0</v>
      </c>
      <c r="Q1866" s="76">
        <f t="shared" si="708"/>
        <v>0</v>
      </c>
      <c r="R1866" s="76">
        <f t="shared" si="709"/>
        <v>0</v>
      </c>
      <c r="S1866" s="76">
        <f t="shared" si="710"/>
        <v>0.99474360194082379</v>
      </c>
      <c r="T1866" s="76">
        <f t="shared" si="711"/>
        <v>0.99474360194082379</v>
      </c>
      <c r="U1866" s="76">
        <f t="shared" si="712"/>
        <v>1</v>
      </c>
    </row>
    <row r="1867" spans="1:21" x14ac:dyDescent="0.25">
      <c r="A1867" s="71">
        <v>7</v>
      </c>
      <c r="B1867" s="72">
        <f t="shared" si="713"/>
        <v>45839</v>
      </c>
      <c r="C1867" s="73">
        <f t="shared" si="694"/>
        <v>45869</v>
      </c>
      <c r="D1867" s="67">
        <f t="shared" si="695"/>
        <v>31</v>
      </c>
      <c r="E1867" s="67">
        <f t="shared" si="696"/>
        <v>7</v>
      </c>
      <c r="F1867" s="74">
        <f t="shared" si="697"/>
        <v>45854.5</v>
      </c>
      <c r="G1867" s="67">
        <f t="shared" si="698"/>
        <v>24306</v>
      </c>
      <c r="H1867" s="75">
        <f t="shared" si="699"/>
        <v>1</v>
      </c>
      <c r="I1867" s="76">
        <f t="shared" si="700"/>
        <v>1</v>
      </c>
      <c r="J1867" s="76">
        <f t="shared" si="701"/>
        <v>1</v>
      </c>
      <c r="K1867" s="67">
        <f t="shared" si="702"/>
        <v>0</v>
      </c>
      <c r="L1867" s="67">
        <f t="shared" si="703"/>
        <v>0</v>
      </c>
      <c r="M1867" s="77">
        <f t="shared" si="704"/>
        <v>0</v>
      </c>
      <c r="N1867" s="76">
        <f t="shared" si="705"/>
        <v>1</v>
      </c>
      <c r="O1867" s="77">
        <f t="shared" si="706"/>
        <v>0.91483041575492341</v>
      </c>
      <c r="P1867" s="76">
        <f t="shared" si="707"/>
        <v>8.333333333333337E-2</v>
      </c>
      <c r="Q1867" s="76">
        <f t="shared" si="708"/>
        <v>0</v>
      </c>
      <c r="R1867" s="76">
        <f t="shared" si="709"/>
        <v>0</v>
      </c>
      <c r="S1867" s="76">
        <f t="shared" si="710"/>
        <v>0.99438088669013414</v>
      </c>
      <c r="T1867" s="76">
        <f t="shared" si="711"/>
        <v>0.99438088669013414</v>
      </c>
      <c r="U1867" s="76">
        <f t="shared" si="712"/>
        <v>1</v>
      </c>
    </row>
    <row r="1868" spans="1:21" x14ac:dyDescent="0.25">
      <c r="A1868" s="71">
        <v>8</v>
      </c>
      <c r="B1868" s="72">
        <f t="shared" si="713"/>
        <v>45870</v>
      </c>
      <c r="C1868" s="73">
        <f t="shared" si="694"/>
        <v>45900</v>
      </c>
      <c r="D1868" s="67">
        <f t="shared" si="695"/>
        <v>31</v>
      </c>
      <c r="E1868" s="67">
        <f t="shared" si="696"/>
        <v>8</v>
      </c>
      <c r="F1868" s="74">
        <f t="shared" si="697"/>
        <v>45885.5</v>
      </c>
      <c r="G1868" s="67">
        <f t="shared" si="698"/>
        <v>24307</v>
      </c>
      <c r="H1868" s="75">
        <f t="shared" si="699"/>
        <v>1</v>
      </c>
      <c r="I1868" s="76">
        <f t="shared" si="700"/>
        <v>1</v>
      </c>
      <c r="J1868" s="76">
        <f t="shared" si="701"/>
        <v>1</v>
      </c>
      <c r="K1868" s="67">
        <f t="shared" si="702"/>
        <v>0</v>
      </c>
      <c r="L1868" s="67">
        <f t="shared" si="703"/>
        <v>0</v>
      </c>
      <c r="M1868" s="77">
        <f t="shared" si="704"/>
        <v>0</v>
      </c>
      <c r="N1868" s="76">
        <f t="shared" si="705"/>
        <v>1</v>
      </c>
      <c r="O1868" s="77">
        <f t="shared" si="706"/>
        <v>0.91449124726477027</v>
      </c>
      <c r="P1868" s="76">
        <f t="shared" si="707"/>
        <v>0.25</v>
      </c>
      <c r="Q1868" s="76">
        <f t="shared" si="708"/>
        <v>0</v>
      </c>
      <c r="R1868" s="76">
        <f t="shared" si="709"/>
        <v>0</v>
      </c>
      <c r="S1868" s="76">
        <f t="shared" si="710"/>
        <v>0.99401222528779376</v>
      </c>
      <c r="T1868" s="76">
        <f t="shared" si="711"/>
        <v>0.99401222528779376</v>
      </c>
      <c r="U1868" s="76">
        <f t="shared" si="712"/>
        <v>1</v>
      </c>
    </row>
    <row r="1869" spans="1:21" x14ac:dyDescent="0.25">
      <c r="A1869" s="71">
        <v>9</v>
      </c>
      <c r="B1869" s="72">
        <f t="shared" si="713"/>
        <v>45901</v>
      </c>
      <c r="C1869" s="73">
        <f t="shared" si="694"/>
        <v>45930</v>
      </c>
      <c r="D1869" s="67">
        <f t="shared" si="695"/>
        <v>30</v>
      </c>
      <c r="E1869" s="67">
        <f t="shared" si="696"/>
        <v>9</v>
      </c>
      <c r="F1869" s="74">
        <f t="shared" si="697"/>
        <v>45916</v>
      </c>
      <c r="G1869" s="67">
        <f t="shared" si="698"/>
        <v>24308</v>
      </c>
      <c r="H1869" s="75">
        <f t="shared" si="699"/>
        <v>1</v>
      </c>
      <c r="I1869" s="76">
        <f t="shared" si="700"/>
        <v>1</v>
      </c>
      <c r="J1869" s="76">
        <f t="shared" si="701"/>
        <v>1</v>
      </c>
      <c r="K1869" s="67">
        <f t="shared" si="702"/>
        <v>0</v>
      </c>
      <c r="L1869" s="67">
        <f t="shared" si="703"/>
        <v>0</v>
      </c>
      <c r="M1869" s="77">
        <f t="shared" si="704"/>
        <v>0</v>
      </c>
      <c r="N1869" s="76">
        <f t="shared" si="705"/>
        <v>1</v>
      </c>
      <c r="O1869" s="77">
        <f t="shared" si="706"/>
        <v>0.91415754923413572</v>
      </c>
      <c r="P1869" s="76">
        <f t="shared" si="707"/>
        <v>0.41666666666666663</v>
      </c>
      <c r="Q1869" s="76">
        <f t="shared" si="708"/>
        <v>0</v>
      </c>
      <c r="R1869" s="76">
        <f t="shared" si="709"/>
        <v>0</v>
      </c>
      <c r="S1869" s="76">
        <f t="shared" si="710"/>
        <v>0.993649510037104</v>
      </c>
      <c r="T1869" s="76">
        <f t="shared" si="711"/>
        <v>0.993649510037104</v>
      </c>
      <c r="U1869" s="76">
        <f t="shared" si="712"/>
        <v>1</v>
      </c>
    </row>
    <row r="1870" spans="1:21" x14ac:dyDescent="0.25">
      <c r="A1870" s="71">
        <v>10</v>
      </c>
      <c r="B1870" s="72">
        <f t="shared" si="713"/>
        <v>45931</v>
      </c>
      <c r="C1870" s="73">
        <f t="shared" si="694"/>
        <v>45961</v>
      </c>
      <c r="D1870" s="67">
        <f t="shared" si="695"/>
        <v>31</v>
      </c>
      <c r="E1870" s="67">
        <f t="shared" si="696"/>
        <v>10</v>
      </c>
      <c r="F1870" s="74">
        <f t="shared" si="697"/>
        <v>45946.5</v>
      </c>
      <c r="G1870" s="67">
        <f t="shared" si="698"/>
        <v>24309</v>
      </c>
      <c r="H1870" s="75">
        <f t="shared" si="699"/>
        <v>1</v>
      </c>
      <c r="I1870" s="76">
        <f t="shared" si="700"/>
        <v>1</v>
      </c>
      <c r="J1870" s="76">
        <f t="shared" si="701"/>
        <v>1</v>
      </c>
      <c r="K1870" s="67">
        <f t="shared" si="702"/>
        <v>0</v>
      </c>
      <c r="L1870" s="67">
        <f t="shared" si="703"/>
        <v>0</v>
      </c>
      <c r="M1870" s="77">
        <f t="shared" si="704"/>
        <v>0</v>
      </c>
      <c r="N1870" s="76">
        <f t="shared" si="705"/>
        <v>1</v>
      </c>
      <c r="O1870" s="77">
        <f t="shared" si="706"/>
        <v>0.91382385120350107</v>
      </c>
      <c r="P1870" s="76">
        <f t="shared" si="707"/>
        <v>0.58333333333333326</v>
      </c>
      <c r="Q1870" s="76">
        <f t="shared" si="708"/>
        <v>0</v>
      </c>
      <c r="R1870" s="76">
        <f t="shared" si="709"/>
        <v>0</v>
      </c>
      <c r="S1870" s="76">
        <f t="shared" si="710"/>
        <v>0.99328679478641413</v>
      </c>
      <c r="T1870" s="76">
        <f t="shared" si="711"/>
        <v>0.99328679478641413</v>
      </c>
      <c r="U1870" s="76">
        <f t="shared" si="712"/>
        <v>1</v>
      </c>
    </row>
    <row r="1871" spans="1:21" x14ac:dyDescent="0.25">
      <c r="A1871" s="71">
        <v>11</v>
      </c>
      <c r="B1871" s="72">
        <f t="shared" si="713"/>
        <v>45962</v>
      </c>
      <c r="C1871" s="73">
        <f t="shared" si="694"/>
        <v>45991</v>
      </c>
      <c r="D1871" s="67">
        <f t="shared" si="695"/>
        <v>30</v>
      </c>
      <c r="E1871" s="67">
        <f t="shared" si="696"/>
        <v>11</v>
      </c>
      <c r="F1871" s="74">
        <f t="shared" si="697"/>
        <v>45977</v>
      </c>
      <c r="G1871" s="67">
        <f t="shared" si="698"/>
        <v>24310</v>
      </c>
      <c r="H1871" s="75">
        <f t="shared" si="699"/>
        <v>1</v>
      </c>
      <c r="I1871" s="76">
        <f t="shared" si="700"/>
        <v>1</v>
      </c>
      <c r="J1871" s="76">
        <f t="shared" si="701"/>
        <v>1</v>
      </c>
      <c r="K1871" s="67">
        <f t="shared" si="702"/>
        <v>0</v>
      </c>
      <c r="L1871" s="67">
        <f t="shared" si="703"/>
        <v>0</v>
      </c>
      <c r="M1871" s="77">
        <f t="shared" si="704"/>
        <v>0</v>
      </c>
      <c r="N1871" s="76">
        <f t="shared" si="705"/>
        <v>1</v>
      </c>
      <c r="O1871" s="77">
        <f t="shared" si="706"/>
        <v>0.91349015317286653</v>
      </c>
      <c r="P1871" s="76">
        <f t="shared" si="707"/>
        <v>0.75</v>
      </c>
      <c r="Q1871" s="76">
        <f t="shared" si="708"/>
        <v>0</v>
      </c>
      <c r="R1871" s="76">
        <f t="shared" si="709"/>
        <v>0</v>
      </c>
      <c r="S1871" s="76">
        <f t="shared" si="710"/>
        <v>0.99292407953572448</v>
      </c>
      <c r="T1871" s="76">
        <f t="shared" si="711"/>
        <v>0.99292407953572448</v>
      </c>
      <c r="U1871" s="76">
        <f t="shared" si="712"/>
        <v>1</v>
      </c>
    </row>
    <row r="1872" spans="1:21" x14ac:dyDescent="0.25">
      <c r="A1872" s="71">
        <v>12</v>
      </c>
      <c r="B1872" s="72">
        <f t="shared" si="713"/>
        <v>45992</v>
      </c>
      <c r="C1872" s="73">
        <f t="shared" si="694"/>
        <v>46022</v>
      </c>
      <c r="D1872" s="67">
        <f t="shared" si="695"/>
        <v>31</v>
      </c>
      <c r="E1872" s="67">
        <f t="shared" si="696"/>
        <v>12</v>
      </c>
      <c r="F1872" s="74">
        <f t="shared" si="697"/>
        <v>46007.5</v>
      </c>
      <c r="G1872" s="67">
        <f t="shared" si="698"/>
        <v>24311</v>
      </c>
      <c r="H1872" s="75">
        <f t="shared" si="699"/>
        <v>1</v>
      </c>
      <c r="I1872" s="76">
        <f t="shared" si="700"/>
        <v>1</v>
      </c>
      <c r="J1872" s="76">
        <f t="shared" si="701"/>
        <v>1</v>
      </c>
      <c r="K1872" s="67">
        <f t="shared" si="702"/>
        <v>0</v>
      </c>
      <c r="L1872" s="67">
        <f t="shared" si="703"/>
        <v>0</v>
      </c>
      <c r="M1872" s="77">
        <f t="shared" si="704"/>
        <v>0</v>
      </c>
      <c r="N1872" s="76">
        <f t="shared" si="705"/>
        <v>1</v>
      </c>
      <c r="O1872" s="77">
        <f t="shared" si="706"/>
        <v>0.91315645514223198</v>
      </c>
      <c r="P1872" s="76">
        <f t="shared" si="707"/>
        <v>0.91666666666666663</v>
      </c>
      <c r="Q1872" s="76">
        <f t="shared" si="708"/>
        <v>0</v>
      </c>
      <c r="R1872" s="76">
        <f t="shared" si="709"/>
        <v>0</v>
      </c>
      <c r="S1872" s="76">
        <f t="shared" si="710"/>
        <v>0.99256136428503472</v>
      </c>
      <c r="T1872" s="76">
        <f t="shared" si="711"/>
        <v>0.99256136428503472</v>
      </c>
      <c r="U1872" s="76">
        <f t="shared" si="712"/>
        <v>1</v>
      </c>
    </row>
    <row r="1873" spans="1:21" x14ac:dyDescent="0.25">
      <c r="A1873" s="71">
        <v>13</v>
      </c>
      <c r="B1873" s="72">
        <f t="shared" si="713"/>
        <v>46023</v>
      </c>
      <c r="C1873" s="73">
        <f t="shared" si="694"/>
        <v>46053</v>
      </c>
      <c r="D1873" s="67">
        <f t="shared" si="695"/>
        <v>31</v>
      </c>
      <c r="E1873" s="67">
        <f t="shared" si="696"/>
        <v>1</v>
      </c>
      <c r="F1873" s="74">
        <f t="shared" si="697"/>
        <v>46038.5</v>
      </c>
      <c r="G1873" s="67">
        <f t="shared" si="698"/>
        <v>24312</v>
      </c>
      <c r="H1873" s="75">
        <f t="shared" si="699"/>
        <v>1</v>
      </c>
      <c r="I1873" s="76">
        <f t="shared" si="700"/>
        <v>1</v>
      </c>
      <c r="J1873" s="76">
        <f t="shared" si="701"/>
        <v>1</v>
      </c>
      <c r="K1873" s="67">
        <f t="shared" si="702"/>
        <v>0</v>
      </c>
      <c r="L1873" s="67">
        <f t="shared" si="703"/>
        <v>0</v>
      </c>
      <c r="M1873" s="77">
        <f t="shared" si="704"/>
        <v>0</v>
      </c>
      <c r="N1873" s="76">
        <f t="shared" si="705"/>
        <v>1</v>
      </c>
      <c r="O1873" s="77">
        <f t="shared" si="706"/>
        <v>0.91281728665207884</v>
      </c>
      <c r="P1873" s="76">
        <f t="shared" si="707"/>
        <v>1</v>
      </c>
      <c r="Q1873" s="76">
        <f t="shared" si="708"/>
        <v>0</v>
      </c>
      <c r="R1873" s="76">
        <f t="shared" si="709"/>
        <v>0</v>
      </c>
      <c r="S1873" s="76">
        <f t="shared" si="710"/>
        <v>0.99219270288269434</v>
      </c>
      <c r="T1873" s="76">
        <f t="shared" si="711"/>
        <v>0.99219270288269434</v>
      </c>
      <c r="U1873" s="76">
        <f t="shared" si="712"/>
        <v>1</v>
      </c>
    </row>
    <row r="1874" spans="1:21" x14ac:dyDescent="0.25">
      <c r="A1874" s="71">
        <v>14</v>
      </c>
      <c r="B1874" s="72">
        <f t="shared" si="713"/>
        <v>46054</v>
      </c>
      <c r="C1874" s="73">
        <f t="shared" si="694"/>
        <v>46081</v>
      </c>
      <c r="D1874" s="67">
        <f t="shared" si="695"/>
        <v>28</v>
      </c>
      <c r="E1874" s="67">
        <f t="shared" si="696"/>
        <v>2</v>
      </c>
      <c r="F1874" s="74">
        <f t="shared" si="697"/>
        <v>46068</v>
      </c>
      <c r="G1874" s="67">
        <f t="shared" si="698"/>
        <v>24313</v>
      </c>
      <c r="H1874" s="75">
        <f t="shared" si="699"/>
        <v>1</v>
      </c>
      <c r="I1874" s="76">
        <f t="shared" si="700"/>
        <v>1</v>
      </c>
      <c r="J1874" s="76">
        <f t="shared" si="701"/>
        <v>1</v>
      </c>
      <c r="K1874" s="67">
        <f t="shared" si="702"/>
        <v>0</v>
      </c>
      <c r="L1874" s="67">
        <f t="shared" si="703"/>
        <v>0</v>
      </c>
      <c r="M1874" s="77">
        <f t="shared" si="704"/>
        <v>0</v>
      </c>
      <c r="N1874" s="76">
        <f t="shared" si="705"/>
        <v>1</v>
      </c>
      <c r="O1874" s="77">
        <f t="shared" si="706"/>
        <v>0.91249452954048138</v>
      </c>
      <c r="P1874" s="76">
        <f t="shared" si="707"/>
        <v>1</v>
      </c>
      <c r="Q1874" s="76">
        <f t="shared" si="708"/>
        <v>0</v>
      </c>
      <c r="R1874" s="76">
        <f t="shared" si="709"/>
        <v>0</v>
      </c>
      <c r="S1874" s="76">
        <f t="shared" si="710"/>
        <v>0.99184187993530581</v>
      </c>
      <c r="T1874" s="76">
        <f t="shared" si="711"/>
        <v>0.99184187993530581</v>
      </c>
      <c r="U1874" s="76">
        <f t="shared" si="712"/>
        <v>1</v>
      </c>
    </row>
    <row r="1875" spans="1:21" x14ac:dyDescent="0.25">
      <c r="A1875" s="71">
        <v>15</v>
      </c>
      <c r="B1875" s="72">
        <f t="shared" si="713"/>
        <v>46082</v>
      </c>
      <c r="C1875" s="73">
        <f t="shared" si="694"/>
        <v>46112</v>
      </c>
      <c r="D1875" s="67">
        <f t="shared" si="695"/>
        <v>31</v>
      </c>
      <c r="E1875" s="67">
        <f t="shared" si="696"/>
        <v>3</v>
      </c>
      <c r="F1875" s="74">
        <f t="shared" si="697"/>
        <v>46097.5</v>
      </c>
      <c r="G1875" s="67">
        <f t="shared" si="698"/>
        <v>24314</v>
      </c>
      <c r="H1875" s="75">
        <f t="shared" si="699"/>
        <v>1</v>
      </c>
      <c r="I1875" s="76">
        <f t="shared" si="700"/>
        <v>1</v>
      </c>
      <c r="J1875" s="76">
        <f t="shared" si="701"/>
        <v>1</v>
      </c>
      <c r="K1875" s="67">
        <f t="shared" si="702"/>
        <v>0</v>
      </c>
      <c r="L1875" s="67">
        <f t="shared" si="703"/>
        <v>0</v>
      </c>
      <c r="M1875" s="77">
        <f t="shared" si="704"/>
        <v>0</v>
      </c>
      <c r="N1875" s="76">
        <f t="shared" si="705"/>
        <v>1</v>
      </c>
      <c r="O1875" s="77">
        <f t="shared" si="706"/>
        <v>0.91217177242888403</v>
      </c>
      <c r="P1875" s="76">
        <f t="shared" si="707"/>
        <v>1</v>
      </c>
      <c r="Q1875" s="76">
        <f t="shared" si="708"/>
        <v>0</v>
      </c>
      <c r="R1875" s="76">
        <f t="shared" si="709"/>
        <v>0</v>
      </c>
      <c r="S1875" s="76">
        <f t="shared" si="710"/>
        <v>0.9914910569879174</v>
      </c>
      <c r="T1875" s="76">
        <f t="shared" si="711"/>
        <v>0.9914910569879174</v>
      </c>
      <c r="U1875" s="76">
        <f t="shared" si="712"/>
        <v>1</v>
      </c>
    </row>
    <row r="1876" spans="1:21" x14ac:dyDescent="0.25">
      <c r="A1876" s="71">
        <v>16</v>
      </c>
      <c r="B1876" s="72">
        <f t="shared" si="713"/>
        <v>46113</v>
      </c>
      <c r="C1876" s="73">
        <f t="shared" si="694"/>
        <v>46142</v>
      </c>
      <c r="D1876" s="67">
        <f t="shared" si="695"/>
        <v>30</v>
      </c>
      <c r="E1876" s="67">
        <f t="shared" si="696"/>
        <v>4</v>
      </c>
      <c r="F1876" s="74">
        <f t="shared" si="697"/>
        <v>46128</v>
      </c>
      <c r="G1876" s="67">
        <f t="shared" si="698"/>
        <v>24315</v>
      </c>
      <c r="H1876" s="75">
        <f t="shared" si="699"/>
        <v>1</v>
      </c>
      <c r="I1876" s="76">
        <f t="shared" si="700"/>
        <v>1</v>
      </c>
      <c r="J1876" s="76">
        <f t="shared" si="701"/>
        <v>1</v>
      </c>
      <c r="K1876" s="67">
        <f t="shared" si="702"/>
        <v>0</v>
      </c>
      <c r="L1876" s="67">
        <f t="shared" si="703"/>
        <v>0</v>
      </c>
      <c r="M1876" s="77">
        <f t="shared" si="704"/>
        <v>0</v>
      </c>
      <c r="N1876" s="76">
        <f t="shared" si="705"/>
        <v>1</v>
      </c>
      <c r="O1876" s="77">
        <f t="shared" si="706"/>
        <v>0.91183807439824949</v>
      </c>
      <c r="P1876" s="76">
        <f t="shared" si="707"/>
        <v>1</v>
      </c>
      <c r="Q1876" s="76">
        <f t="shared" si="708"/>
        <v>0</v>
      </c>
      <c r="R1876" s="76">
        <f t="shared" si="709"/>
        <v>0</v>
      </c>
      <c r="S1876" s="76">
        <f t="shared" si="710"/>
        <v>0.99112834173722764</v>
      </c>
      <c r="T1876" s="76">
        <f t="shared" si="711"/>
        <v>0.99112834173722764</v>
      </c>
      <c r="U1876" s="76">
        <f t="shared" si="712"/>
        <v>1</v>
      </c>
    </row>
    <row r="1877" spans="1:21" x14ac:dyDescent="0.25">
      <c r="A1877" s="71">
        <v>17</v>
      </c>
      <c r="B1877" s="72">
        <f t="shared" si="713"/>
        <v>46143</v>
      </c>
      <c r="C1877" s="73">
        <f t="shared" si="694"/>
        <v>46173</v>
      </c>
      <c r="D1877" s="67">
        <f t="shared" si="695"/>
        <v>31</v>
      </c>
      <c r="E1877" s="67">
        <f t="shared" si="696"/>
        <v>5</v>
      </c>
      <c r="F1877" s="74">
        <f t="shared" si="697"/>
        <v>46158.5</v>
      </c>
      <c r="G1877" s="67">
        <f t="shared" si="698"/>
        <v>24316</v>
      </c>
      <c r="H1877" s="75">
        <f t="shared" si="699"/>
        <v>1</v>
      </c>
      <c r="I1877" s="76">
        <f t="shared" si="700"/>
        <v>1</v>
      </c>
      <c r="J1877" s="76">
        <f t="shared" si="701"/>
        <v>1</v>
      </c>
      <c r="K1877" s="67">
        <f t="shared" si="702"/>
        <v>0</v>
      </c>
      <c r="L1877" s="67">
        <f t="shared" si="703"/>
        <v>0</v>
      </c>
      <c r="M1877" s="77">
        <f t="shared" si="704"/>
        <v>0</v>
      </c>
      <c r="N1877" s="76">
        <f t="shared" si="705"/>
        <v>1</v>
      </c>
      <c r="O1877" s="77">
        <f t="shared" si="706"/>
        <v>0.91150437636761494</v>
      </c>
      <c r="P1877" s="76">
        <f t="shared" si="707"/>
        <v>1</v>
      </c>
      <c r="Q1877" s="76">
        <f t="shared" si="708"/>
        <v>0</v>
      </c>
      <c r="R1877" s="76">
        <f t="shared" si="709"/>
        <v>0</v>
      </c>
      <c r="S1877" s="76">
        <f t="shared" si="710"/>
        <v>0.99076562648653799</v>
      </c>
      <c r="T1877" s="76">
        <f t="shared" si="711"/>
        <v>0.99076562648653799</v>
      </c>
      <c r="U1877" s="76">
        <f t="shared" si="712"/>
        <v>1</v>
      </c>
    </row>
    <row r="1878" spans="1:21" x14ac:dyDescent="0.25">
      <c r="A1878" s="71">
        <v>18</v>
      </c>
      <c r="B1878" s="72">
        <f t="shared" si="713"/>
        <v>46174</v>
      </c>
      <c r="C1878" s="73">
        <f t="shared" si="694"/>
        <v>46203</v>
      </c>
      <c r="D1878" s="67">
        <f t="shared" si="695"/>
        <v>30</v>
      </c>
      <c r="E1878" s="67">
        <f t="shared" si="696"/>
        <v>6</v>
      </c>
      <c r="F1878" s="74">
        <f t="shared" si="697"/>
        <v>46189</v>
      </c>
      <c r="G1878" s="67">
        <f t="shared" si="698"/>
        <v>24317</v>
      </c>
      <c r="H1878" s="75">
        <f t="shared" si="699"/>
        <v>1</v>
      </c>
      <c r="I1878" s="76">
        <f t="shared" si="700"/>
        <v>1</v>
      </c>
      <c r="J1878" s="76">
        <f t="shared" si="701"/>
        <v>1</v>
      </c>
      <c r="K1878" s="67">
        <f t="shared" si="702"/>
        <v>0</v>
      </c>
      <c r="L1878" s="67">
        <f t="shared" si="703"/>
        <v>0</v>
      </c>
      <c r="M1878" s="77">
        <f t="shared" si="704"/>
        <v>0</v>
      </c>
      <c r="N1878" s="76">
        <f t="shared" si="705"/>
        <v>1</v>
      </c>
      <c r="O1878" s="77">
        <f t="shared" si="706"/>
        <v>0.91117067833698029</v>
      </c>
      <c r="P1878" s="76">
        <f t="shared" si="707"/>
        <v>1</v>
      </c>
      <c r="Q1878" s="76">
        <f t="shared" si="708"/>
        <v>0</v>
      </c>
      <c r="R1878" s="76">
        <f t="shared" si="709"/>
        <v>0</v>
      </c>
      <c r="S1878" s="76">
        <f t="shared" si="710"/>
        <v>0.99040291123584812</v>
      </c>
      <c r="T1878" s="76">
        <f t="shared" si="711"/>
        <v>0.99040291123584812</v>
      </c>
      <c r="U1878" s="76">
        <f t="shared" si="712"/>
        <v>1</v>
      </c>
    </row>
    <row r="1879" spans="1:21" x14ac:dyDescent="0.25">
      <c r="A1879" s="71">
        <v>19</v>
      </c>
      <c r="B1879" s="72">
        <f t="shared" si="713"/>
        <v>46204</v>
      </c>
      <c r="C1879" s="73">
        <f t="shared" si="694"/>
        <v>46234</v>
      </c>
      <c r="D1879" s="67">
        <f t="shared" si="695"/>
        <v>31</v>
      </c>
      <c r="E1879" s="67">
        <f t="shared" si="696"/>
        <v>7</v>
      </c>
      <c r="F1879" s="74">
        <f t="shared" si="697"/>
        <v>46219.5</v>
      </c>
      <c r="G1879" s="67">
        <f t="shared" si="698"/>
        <v>24318</v>
      </c>
      <c r="H1879" s="75">
        <f t="shared" si="699"/>
        <v>1</v>
      </c>
      <c r="I1879" s="76">
        <f t="shared" si="700"/>
        <v>1</v>
      </c>
      <c r="J1879" s="76">
        <f t="shared" si="701"/>
        <v>1</v>
      </c>
      <c r="K1879" s="67">
        <f t="shared" si="702"/>
        <v>0</v>
      </c>
      <c r="L1879" s="67">
        <f t="shared" si="703"/>
        <v>0</v>
      </c>
      <c r="M1879" s="77">
        <f t="shared" si="704"/>
        <v>0</v>
      </c>
      <c r="N1879" s="76">
        <f t="shared" si="705"/>
        <v>1</v>
      </c>
      <c r="O1879" s="77">
        <f t="shared" si="706"/>
        <v>0.91083698030634574</v>
      </c>
      <c r="P1879" s="76">
        <f t="shared" si="707"/>
        <v>0.91666666666666663</v>
      </c>
      <c r="Q1879" s="76">
        <f t="shared" si="708"/>
        <v>8.333333333333337E-2</v>
      </c>
      <c r="R1879" s="76">
        <f t="shared" si="709"/>
        <v>0</v>
      </c>
      <c r="S1879" s="76">
        <f t="shared" si="710"/>
        <v>0.99004019598515836</v>
      </c>
      <c r="T1879" s="76">
        <f t="shared" si="711"/>
        <v>0.99004019598515836</v>
      </c>
      <c r="U1879" s="76">
        <f t="shared" si="712"/>
        <v>1</v>
      </c>
    </row>
    <row r="1880" spans="1:21" x14ac:dyDescent="0.25">
      <c r="A1880" s="71">
        <v>20</v>
      </c>
      <c r="B1880" s="72">
        <f t="shared" si="713"/>
        <v>46235</v>
      </c>
      <c r="C1880" s="73">
        <f t="shared" si="694"/>
        <v>46265</v>
      </c>
      <c r="D1880" s="67">
        <f t="shared" si="695"/>
        <v>31</v>
      </c>
      <c r="E1880" s="67">
        <f t="shared" si="696"/>
        <v>8</v>
      </c>
      <c r="F1880" s="74">
        <f t="shared" si="697"/>
        <v>46250.5</v>
      </c>
      <c r="G1880" s="67">
        <f t="shared" si="698"/>
        <v>24319</v>
      </c>
      <c r="H1880" s="75">
        <f t="shared" si="699"/>
        <v>1</v>
      </c>
      <c r="I1880" s="76">
        <f t="shared" si="700"/>
        <v>1</v>
      </c>
      <c r="J1880" s="76">
        <f t="shared" si="701"/>
        <v>1</v>
      </c>
      <c r="K1880" s="67">
        <f t="shared" si="702"/>
        <v>0</v>
      </c>
      <c r="L1880" s="67">
        <f t="shared" si="703"/>
        <v>0</v>
      </c>
      <c r="M1880" s="77">
        <f t="shared" si="704"/>
        <v>0</v>
      </c>
      <c r="N1880" s="76">
        <f t="shared" si="705"/>
        <v>1</v>
      </c>
      <c r="O1880" s="77">
        <f t="shared" si="706"/>
        <v>0.9104978118161926</v>
      </c>
      <c r="P1880" s="76">
        <f t="shared" si="707"/>
        <v>0.75</v>
      </c>
      <c r="Q1880" s="76">
        <f t="shared" si="708"/>
        <v>0.25</v>
      </c>
      <c r="R1880" s="76">
        <f t="shared" si="709"/>
        <v>0</v>
      </c>
      <c r="S1880" s="76">
        <f t="shared" si="710"/>
        <v>0.98967153458281798</v>
      </c>
      <c r="T1880" s="76">
        <f t="shared" si="711"/>
        <v>0.98967153458281798</v>
      </c>
      <c r="U1880" s="76">
        <f t="shared" si="712"/>
        <v>1</v>
      </c>
    </row>
    <row r="1881" spans="1:21" x14ac:dyDescent="0.25">
      <c r="A1881" s="71">
        <v>21</v>
      </c>
      <c r="B1881" s="72">
        <f t="shared" si="713"/>
        <v>46266</v>
      </c>
      <c r="C1881" s="73">
        <f t="shared" si="694"/>
        <v>46295</v>
      </c>
      <c r="D1881" s="67">
        <f t="shared" si="695"/>
        <v>30</v>
      </c>
      <c r="E1881" s="67">
        <f t="shared" si="696"/>
        <v>9</v>
      </c>
      <c r="F1881" s="74">
        <f t="shared" si="697"/>
        <v>46281</v>
      </c>
      <c r="G1881" s="67">
        <f t="shared" si="698"/>
        <v>24320</v>
      </c>
      <c r="H1881" s="75">
        <f t="shared" si="699"/>
        <v>1</v>
      </c>
      <c r="I1881" s="76">
        <f t="shared" si="700"/>
        <v>1</v>
      </c>
      <c r="J1881" s="76">
        <f t="shared" si="701"/>
        <v>1</v>
      </c>
      <c r="K1881" s="67">
        <f t="shared" si="702"/>
        <v>0</v>
      </c>
      <c r="L1881" s="67">
        <f t="shared" si="703"/>
        <v>0</v>
      </c>
      <c r="M1881" s="77">
        <f t="shared" si="704"/>
        <v>0</v>
      </c>
      <c r="N1881" s="76">
        <f t="shared" si="705"/>
        <v>1</v>
      </c>
      <c r="O1881" s="77">
        <f t="shared" si="706"/>
        <v>0.91016411378555806</v>
      </c>
      <c r="P1881" s="76">
        <f t="shared" si="707"/>
        <v>0.58333333333333337</v>
      </c>
      <c r="Q1881" s="76">
        <f t="shared" si="708"/>
        <v>0.41666666666666663</v>
      </c>
      <c r="R1881" s="76">
        <f t="shared" si="709"/>
        <v>0</v>
      </c>
      <c r="S1881" s="76">
        <f t="shared" si="710"/>
        <v>0.98930881933212833</v>
      </c>
      <c r="T1881" s="76">
        <f t="shared" si="711"/>
        <v>0.98930881933212833</v>
      </c>
      <c r="U1881" s="76">
        <f t="shared" si="712"/>
        <v>1</v>
      </c>
    </row>
    <row r="1882" spans="1:21" x14ac:dyDescent="0.25">
      <c r="A1882" s="71">
        <v>22</v>
      </c>
      <c r="B1882" s="72">
        <f t="shared" si="713"/>
        <v>46296</v>
      </c>
      <c r="C1882" s="73">
        <f t="shared" si="694"/>
        <v>46326</v>
      </c>
      <c r="D1882" s="67">
        <f t="shared" si="695"/>
        <v>31</v>
      </c>
      <c r="E1882" s="67">
        <f t="shared" si="696"/>
        <v>10</v>
      </c>
      <c r="F1882" s="74">
        <f t="shared" si="697"/>
        <v>46311.5</v>
      </c>
      <c r="G1882" s="67">
        <f t="shared" si="698"/>
        <v>24321</v>
      </c>
      <c r="H1882" s="75">
        <f t="shared" si="699"/>
        <v>1</v>
      </c>
      <c r="I1882" s="76">
        <f t="shared" si="700"/>
        <v>1</v>
      </c>
      <c r="J1882" s="76">
        <f t="shared" si="701"/>
        <v>1.05</v>
      </c>
      <c r="K1882" s="67">
        <f t="shared" si="702"/>
        <v>1</v>
      </c>
      <c r="L1882" s="67">
        <f t="shared" si="703"/>
        <v>31</v>
      </c>
      <c r="M1882" s="77">
        <f t="shared" si="704"/>
        <v>1</v>
      </c>
      <c r="N1882" s="76">
        <f t="shared" si="705"/>
        <v>1.05</v>
      </c>
      <c r="O1882" s="77">
        <f t="shared" si="706"/>
        <v>0.90983041575492341</v>
      </c>
      <c r="P1882" s="76">
        <f t="shared" si="707"/>
        <v>0.41666666666666669</v>
      </c>
      <c r="Q1882" s="76">
        <f t="shared" si="708"/>
        <v>0.58333333333333326</v>
      </c>
      <c r="R1882" s="76">
        <f t="shared" si="709"/>
        <v>0</v>
      </c>
      <c r="S1882" s="76">
        <f t="shared" si="710"/>
        <v>1.0383934092855105</v>
      </c>
      <c r="T1882" s="76">
        <f t="shared" si="711"/>
        <v>1.0383934092855105</v>
      </c>
      <c r="U1882" s="76">
        <f t="shared" si="712"/>
        <v>1.05</v>
      </c>
    </row>
    <row r="1883" spans="1:21" x14ac:dyDescent="0.25">
      <c r="A1883" s="71">
        <v>23</v>
      </c>
      <c r="B1883" s="72">
        <f t="shared" si="713"/>
        <v>46327</v>
      </c>
      <c r="C1883" s="73">
        <f t="shared" si="694"/>
        <v>46356</v>
      </c>
      <c r="D1883" s="67">
        <f t="shared" si="695"/>
        <v>30</v>
      </c>
      <c r="E1883" s="67">
        <f t="shared" si="696"/>
        <v>11</v>
      </c>
      <c r="F1883" s="74">
        <f t="shared" si="697"/>
        <v>46342</v>
      </c>
      <c r="G1883" s="67">
        <f t="shared" si="698"/>
        <v>24322</v>
      </c>
      <c r="H1883" s="75">
        <f t="shared" si="699"/>
        <v>1</v>
      </c>
      <c r="I1883" s="76">
        <f t="shared" si="700"/>
        <v>1.05</v>
      </c>
      <c r="J1883" s="76">
        <f t="shared" si="701"/>
        <v>1.05</v>
      </c>
      <c r="K1883" s="67">
        <f t="shared" si="702"/>
        <v>0</v>
      </c>
      <c r="L1883" s="67">
        <f t="shared" si="703"/>
        <v>0</v>
      </c>
      <c r="M1883" s="77">
        <f t="shared" si="704"/>
        <v>0</v>
      </c>
      <c r="N1883" s="76">
        <f t="shared" si="705"/>
        <v>1.05</v>
      </c>
      <c r="O1883" s="77">
        <f t="shared" si="706"/>
        <v>0.90949671772428886</v>
      </c>
      <c r="P1883" s="76">
        <f t="shared" si="707"/>
        <v>0.25</v>
      </c>
      <c r="Q1883" s="76">
        <f t="shared" si="708"/>
        <v>0.75</v>
      </c>
      <c r="R1883" s="76">
        <f t="shared" si="709"/>
        <v>0</v>
      </c>
      <c r="S1883" s="76">
        <f t="shared" si="710"/>
        <v>1.0380125582722861</v>
      </c>
      <c r="T1883" s="76">
        <f t="shared" si="711"/>
        <v>1.0380125582722861</v>
      </c>
      <c r="U1883" s="76">
        <f t="shared" si="712"/>
        <v>1.05</v>
      </c>
    </row>
    <row r="1884" spans="1:21" x14ac:dyDescent="0.25">
      <c r="A1884" s="71">
        <v>24</v>
      </c>
      <c r="B1884" s="72">
        <f t="shared" si="713"/>
        <v>46357</v>
      </c>
      <c r="C1884" s="73">
        <f t="shared" si="694"/>
        <v>46387</v>
      </c>
      <c r="D1884" s="67">
        <f t="shared" si="695"/>
        <v>31</v>
      </c>
      <c r="E1884" s="67">
        <f t="shared" si="696"/>
        <v>12</v>
      </c>
      <c r="F1884" s="74">
        <f t="shared" si="697"/>
        <v>46372.5</v>
      </c>
      <c r="G1884" s="67">
        <f t="shared" si="698"/>
        <v>24323</v>
      </c>
      <c r="H1884" s="75">
        <f t="shared" si="699"/>
        <v>1</v>
      </c>
      <c r="I1884" s="76">
        <f t="shared" si="700"/>
        <v>1.05</v>
      </c>
      <c r="J1884" s="76">
        <f t="shared" si="701"/>
        <v>1.05</v>
      </c>
      <c r="K1884" s="67">
        <f t="shared" si="702"/>
        <v>0</v>
      </c>
      <c r="L1884" s="67">
        <f t="shared" si="703"/>
        <v>0</v>
      </c>
      <c r="M1884" s="77">
        <f t="shared" si="704"/>
        <v>0</v>
      </c>
      <c r="N1884" s="76">
        <f t="shared" si="705"/>
        <v>1.05</v>
      </c>
      <c r="O1884" s="77">
        <f t="shared" si="706"/>
        <v>0.90916301969365432</v>
      </c>
      <c r="P1884" s="76">
        <f t="shared" si="707"/>
        <v>8.3333333333333329E-2</v>
      </c>
      <c r="Q1884" s="76">
        <f t="shared" si="708"/>
        <v>0.91666666666666663</v>
      </c>
      <c r="R1884" s="76">
        <f t="shared" si="709"/>
        <v>0</v>
      </c>
      <c r="S1884" s="76">
        <f t="shared" si="710"/>
        <v>1.037631707259062</v>
      </c>
      <c r="T1884" s="76">
        <f t="shared" si="711"/>
        <v>1.037631707259062</v>
      </c>
      <c r="U1884" s="76">
        <f t="shared" si="712"/>
        <v>1.05</v>
      </c>
    </row>
    <row r="1885" spans="1:21" x14ac:dyDescent="0.25">
      <c r="A1885" s="71">
        <v>25</v>
      </c>
      <c r="B1885" s="72">
        <f t="shared" si="713"/>
        <v>46388</v>
      </c>
      <c r="C1885" s="73">
        <f t="shared" si="694"/>
        <v>46418</v>
      </c>
      <c r="D1885" s="67">
        <f t="shared" si="695"/>
        <v>31</v>
      </c>
      <c r="E1885" s="67">
        <f t="shared" si="696"/>
        <v>1</v>
      </c>
      <c r="F1885" s="74">
        <f t="shared" si="697"/>
        <v>46403.5</v>
      </c>
      <c r="G1885" s="67">
        <f t="shared" si="698"/>
        <v>24324</v>
      </c>
      <c r="H1885" s="75">
        <f t="shared" si="699"/>
        <v>1</v>
      </c>
      <c r="I1885" s="76">
        <f t="shared" si="700"/>
        <v>1.05</v>
      </c>
      <c r="J1885" s="76">
        <f t="shared" si="701"/>
        <v>1.05</v>
      </c>
      <c r="K1885" s="67">
        <f t="shared" si="702"/>
        <v>0</v>
      </c>
      <c r="L1885" s="67">
        <f t="shared" si="703"/>
        <v>0</v>
      </c>
      <c r="M1885" s="77">
        <f t="shared" si="704"/>
        <v>0</v>
      </c>
      <c r="N1885" s="76">
        <f t="shared" si="705"/>
        <v>1.05</v>
      </c>
      <c r="O1885" s="77">
        <f t="shared" si="706"/>
        <v>0.90882385120350118</v>
      </c>
      <c r="P1885" s="76">
        <f t="shared" si="707"/>
        <v>0</v>
      </c>
      <c r="Q1885" s="76">
        <f t="shared" si="708"/>
        <v>1</v>
      </c>
      <c r="R1885" s="76">
        <f t="shared" si="709"/>
        <v>0</v>
      </c>
      <c r="S1885" s="76">
        <f t="shared" si="710"/>
        <v>1.0372446127866046</v>
      </c>
      <c r="T1885" s="76">
        <f t="shared" si="711"/>
        <v>0.99219270288269434</v>
      </c>
      <c r="U1885" s="76">
        <f t="shared" si="712"/>
        <v>1.05</v>
      </c>
    </row>
    <row r="1886" spans="1:21" x14ac:dyDescent="0.25">
      <c r="A1886" s="71">
        <v>26</v>
      </c>
      <c r="B1886" s="72">
        <f t="shared" si="713"/>
        <v>46419</v>
      </c>
      <c r="C1886" s="73">
        <f t="shared" si="694"/>
        <v>46446</v>
      </c>
      <c r="D1886" s="67">
        <f t="shared" si="695"/>
        <v>28</v>
      </c>
      <c r="E1886" s="67">
        <f t="shared" si="696"/>
        <v>2</v>
      </c>
      <c r="F1886" s="74">
        <f t="shared" si="697"/>
        <v>46433</v>
      </c>
      <c r="G1886" s="67">
        <f t="shared" si="698"/>
        <v>24325</v>
      </c>
      <c r="H1886" s="75">
        <f t="shared" si="699"/>
        <v>1</v>
      </c>
      <c r="I1886" s="76">
        <f t="shared" si="700"/>
        <v>1.05</v>
      </c>
      <c r="J1886" s="76">
        <f t="shared" si="701"/>
        <v>1.05</v>
      </c>
      <c r="K1886" s="67">
        <f t="shared" si="702"/>
        <v>0</v>
      </c>
      <c r="L1886" s="67">
        <f t="shared" si="703"/>
        <v>0</v>
      </c>
      <c r="M1886" s="77">
        <f t="shared" si="704"/>
        <v>0</v>
      </c>
      <c r="N1886" s="76">
        <f t="shared" si="705"/>
        <v>1.05</v>
      </c>
      <c r="O1886" s="77">
        <f t="shared" si="706"/>
        <v>0.90850109409190372</v>
      </c>
      <c r="P1886" s="76">
        <f t="shared" si="707"/>
        <v>0</v>
      </c>
      <c r="Q1886" s="76">
        <f t="shared" si="708"/>
        <v>1</v>
      </c>
      <c r="R1886" s="76">
        <f t="shared" si="709"/>
        <v>0</v>
      </c>
      <c r="S1886" s="76">
        <f t="shared" si="710"/>
        <v>1.0368762486918466</v>
      </c>
      <c r="T1886" s="76">
        <f t="shared" si="711"/>
        <v>0.99184187993530581</v>
      </c>
      <c r="U1886" s="76">
        <f t="shared" si="712"/>
        <v>1.05</v>
      </c>
    </row>
    <row r="1887" spans="1:21" x14ac:dyDescent="0.25">
      <c r="A1887" s="71">
        <v>27</v>
      </c>
      <c r="B1887" s="72">
        <f t="shared" si="713"/>
        <v>46447</v>
      </c>
      <c r="C1887" s="73">
        <f t="shared" si="694"/>
        <v>46477</v>
      </c>
      <c r="D1887" s="67">
        <f t="shared" si="695"/>
        <v>31</v>
      </c>
      <c r="E1887" s="67">
        <f t="shared" si="696"/>
        <v>3</v>
      </c>
      <c r="F1887" s="74">
        <f t="shared" si="697"/>
        <v>46462.5</v>
      </c>
      <c r="G1887" s="67">
        <f t="shared" si="698"/>
        <v>24326</v>
      </c>
      <c r="H1887" s="75">
        <f t="shared" si="699"/>
        <v>1</v>
      </c>
      <c r="I1887" s="76">
        <f t="shared" si="700"/>
        <v>1.05</v>
      </c>
      <c r="J1887" s="76">
        <f t="shared" si="701"/>
        <v>1.05</v>
      </c>
      <c r="K1887" s="67">
        <f t="shared" si="702"/>
        <v>0</v>
      </c>
      <c r="L1887" s="67">
        <f t="shared" si="703"/>
        <v>0</v>
      </c>
      <c r="M1887" s="77">
        <f t="shared" si="704"/>
        <v>0</v>
      </c>
      <c r="N1887" s="76">
        <f t="shared" si="705"/>
        <v>1.05</v>
      </c>
      <c r="O1887" s="77">
        <f t="shared" si="706"/>
        <v>0.90817833698030637</v>
      </c>
      <c r="P1887" s="76">
        <f t="shared" si="707"/>
        <v>0</v>
      </c>
      <c r="Q1887" s="76">
        <f t="shared" si="708"/>
        <v>1</v>
      </c>
      <c r="R1887" s="76">
        <f t="shared" si="709"/>
        <v>0</v>
      </c>
      <c r="S1887" s="76">
        <f t="shared" si="710"/>
        <v>1.0365078845970888</v>
      </c>
      <c r="T1887" s="76">
        <f t="shared" si="711"/>
        <v>0.9914910569879174</v>
      </c>
      <c r="U1887" s="76">
        <f t="shared" si="712"/>
        <v>1.05</v>
      </c>
    </row>
    <row r="1888" spans="1:21" x14ac:dyDescent="0.25">
      <c r="A1888" s="71">
        <v>28</v>
      </c>
      <c r="B1888" s="72">
        <f t="shared" si="713"/>
        <v>46478</v>
      </c>
      <c r="C1888" s="73">
        <f t="shared" si="694"/>
        <v>46507</v>
      </c>
      <c r="D1888" s="67">
        <f t="shared" si="695"/>
        <v>30</v>
      </c>
      <c r="E1888" s="67">
        <f t="shared" si="696"/>
        <v>4</v>
      </c>
      <c r="F1888" s="74">
        <f t="shared" si="697"/>
        <v>46493</v>
      </c>
      <c r="G1888" s="67">
        <f t="shared" si="698"/>
        <v>24327</v>
      </c>
      <c r="H1888" s="75">
        <f t="shared" si="699"/>
        <v>1</v>
      </c>
      <c r="I1888" s="76">
        <f t="shared" si="700"/>
        <v>1.05</v>
      </c>
      <c r="J1888" s="76">
        <f t="shared" si="701"/>
        <v>1.0920000000000001</v>
      </c>
      <c r="K1888" s="67">
        <f t="shared" si="702"/>
        <v>1</v>
      </c>
      <c r="L1888" s="67">
        <f t="shared" si="703"/>
        <v>30</v>
      </c>
      <c r="M1888" s="77">
        <f t="shared" si="704"/>
        <v>1</v>
      </c>
      <c r="N1888" s="76">
        <f t="shared" si="705"/>
        <v>1.0920000000000001</v>
      </c>
      <c r="O1888" s="77">
        <f t="shared" si="706"/>
        <v>0.90784463894967182</v>
      </c>
      <c r="P1888" s="76">
        <f t="shared" si="707"/>
        <v>0</v>
      </c>
      <c r="Q1888" s="76">
        <f t="shared" si="708"/>
        <v>1</v>
      </c>
      <c r="R1888" s="76">
        <f t="shared" si="709"/>
        <v>0</v>
      </c>
      <c r="S1888" s="76">
        <f t="shared" si="710"/>
        <v>1.0775721149272193</v>
      </c>
      <c r="T1888" s="76">
        <f t="shared" si="711"/>
        <v>0.99112834173722764</v>
      </c>
      <c r="U1888" s="76">
        <f t="shared" si="712"/>
        <v>1.0920000000000001</v>
      </c>
    </row>
    <row r="1889" spans="1:21" x14ac:dyDescent="0.25">
      <c r="A1889" s="71">
        <v>29</v>
      </c>
      <c r="B1889" s="72">
        <f t="shared" si="713"/>
        <v>46508</v>
      </c>
      <c r="C1889" s="73">
        <f t="shared" si="694"/>
        <v>46538</v>
      </c>
      <c r="D1889" s="67">
        <f t="shared" si="695"/>
        <v>31</v>
      </c>
      <c r="E1889" s="67">
        <f t="shared" si="696"/>
        <v>5</v>
      </c>
      <c r="F1889" s="74">
        <f t="shared" si="697"/>
        <v>46523.5</v>
      </c>
      <c r="G1889" s="67">
        <f t="shared" si="698"/>
        <v>24328</v>
      </c>
      <c r="H1889" s="75">
        <f t="shared" si="699"/>
        <v>1</v>
      </c>
      <c r="I1889" s="76">
        <f t="shared" si="700"/>
        <v>1.0920000000000001</v>
      </c>
      <c r="J1889" s="76">
        <f t="shared" si="701"/>
        <v>1.0920000000000001</v>
      </c>
      <c r="K1889" s="67">
        <f t="shared" si="702"/>
        <v>0</v>
      </c>
      <c r="L1889" s="67">
        <f t="shared" si="703"/>
        <v>0</v>
      </c>
      <c r="M1889" s="77">
        <f t="shared" si="704"/>
        <v>0</v>
      </c>
      <c r="N1889" s="76">
        <f t="shared" si="705"/>
        <v>1.0920000000000001</v>
      </c>
      <c r="O1889" s="77">
        <f t="shared" si="706"/>
        <v>0.90751094091903728</v>
      </c>
      <c r="P1889" s="76">
        <f t="shared" si="707"/>
        <v>0</v>
      </c>
      <c r="Q1889" s="76">
        <f t="shared" si="708"/>
        <v>1</v>
      </c>
      <c r="R1889" s="76">
        <f t="shared" si="709"/>
        <v>0</v>
      </c>
      <c r="S1889" s="76">
        <f t="shared" si="710"/>
        <v>1.0771760298734661</v>
      </c>
      <c r="T1889" s="76">
        <f t="shared" si="711"/>
        <v>0.99076562648653799</v>
      </c>
      <c r="U1889" s="76">
        <f t="shared" si="712"/>
        <v>1.0920000000000001</v>
      </c>
    </row>
    <row r="1890" spans="1:21" x14ac:dyDescent="0.25">
      <c r="A1890" s="71">
        <v>30</v>
      </c>
      <c r="B1890" s="72">
        <f t="shared" si="713"/>
        <v>46539</v>
      </c>
      <c r="C1890" s="73">
        <f t="shared" si="694"/>
        <v>46568</v>
      </c>
      <c r="D1890" s="67">
        <f t="shared" si="695"/>
        <v>30</v>
      </c>
      <c r="E1890" s="67">
        <f t="shared" si="696"/>
        <v>6</v>
      </c>
      <c r="F1890" s="74">
        <f t="shared" si="697"/>
        <v>46554</v>
      </c>
      <c r="G1890" s="67">
        <f t="shared" si="698"/>
        <v>24329</v>
      </c>
      <c r="H1890" s="75">
        <f t="shared" si="699"/>
        <v>1</v>
      </c>
      <c r="I1890" s="76">
        <f t="shared" si="700"/>
        <v>1.0920000000000001</v>
      </c>
      <c r="J1890" s="76">
        <f t="shared" si="701"/>
        <v>1.0920000000000001</v>
      </c>
      <c r="K1890" s="67">
        <f t="shared" si="702"/>
        <v>0</v>
      </c>
      <c r="L1890" s="67">
        <f t="shared" si="703"/>
        <v>0</v>
      </c>
      <c r="M1890" s="77">
        <f t="shared" si="704"/>
        <v>0</v>
      </c>
      <c r="N1890" s="76">
        <f t="shared" si="705"/>
        <v>1.0920000000000001</v>
      </c>
      <c r="O1890" s="77">
        <f t="shared" si="706"/>
        <v>0.90717724288840262</v>
      </c>
      <c r="P1890" s="76">
        <f t="shared" si="707"/>
        <v>0</v>
      </c>
      <c r="Q1890" s="76">
        <f t="shared" si="708"/>
        <v>1</v>
      </c>
      <c r="R1890" s="76">
        <f t="shared" si="709"/>
        <v>0</v>
      </c>
      <c r="S1890" s="76">
        <f t="shared" si="710"/>
        <v>1.0767799448197126</v>
      </c>
      <c r="T1890" s="76">
        <f t="shared" si="711"/>
        <v>0.99040291123584812</v>
      </c>
      <c r="U1890" s="76">
        <f t="shared" si="712"/>
        <v>1.0920000000000001</v>
      </c>
    </row>
    <row r="1891" spans="1:21" x14ac:dyDescent="0.25">
      <c r="A1891" s="71">
        <v>31</v>
      </c>
      <c r="B1891" s="72">
        <f t="shared" si="713"/>
        <v>46569</v>
      </c>
      <c r="C1891" s="73">
        <f t="shared" si="694"/>
        <v>46599</v>
      </c>
      <c r="D1891" s="67">
        <f t="shared" si="695"/>
        <v>31</v>
      </c>
      <c r="E1891" s="67">
        <f t="shared" si="696"/>
        <v>7</v>
      </c>
      <c r="F1891" s="74">
        <f t="shared" si="697"/>
        <v>46584.5</v>
      </c>
      <c r="G1891" s="67">
        <f t="shared" si="698"/>
        <v>24330</v>
      </c>
      <c r="H1891" s="75">
        <f t="shared" si="699"/>
        <v>1</v>
      </c>
      <c r="I1891" s="76">
        <f t="shared" si="700"/>
        <v>1.0920000000000001</v>
      </c>
      <c r="J1891" s="76">
        <f t="shared" si="701"/>
        <v>1.0920000000000001</v>
      </c>
      <c r="K1891" s="67">
        <f t="shared" si="702"/>
        <v>0</v>
      </c>
      <c r="L1891" s="67">
        <f t="shared" si="703"/>
        <v>0</v>
      </c>
      <c r="M1891" s="77">
        <f t="shared" si="704"/>
        <v>0</v>
      </c>
      <c r="N1891" s="76">
        <f t="shared" si="705"/>
        <v>1.0920000000000001</v>
      </c>
      <c r="O1891" s="77">
        <f t="shared" si="706"/>
        <v>0.90684354485776808</v>
      </c>
      <c r="P1891" s="76">
        <f t="shared" si="707"/>
        <v>0</v>
      </c>
      <c r="Q1891" s="76">
        <f t="shared" si="708"/>
        <v>0.91666666666666663</v>
      </c>
      <c r="R1891" s="76">
        <f t="shared" si="709"/>
        <v>8.333333333333337E-2</v>
      </c>
      <c r="S1891" s="76">
        <f t="shared" si="710"/>
        <v>1.0763838597659596</v>
      </c>
      <c r="T1891" s="76">
        <f t="shared" si="711"/>
        <v>0.99004019598515836</v>
      </c>
      <c r="U1891" s="76">
        <f t="shared" si="712"/>
        <v>1.0920000000000001</v>
      </c>
    </row>
    <row r="1892" spans="1:21" x14ac:dyDescent="0.25">
      <c r="A1892" s="71">
        <v>32</v>
      </c>
      <c r="B1892" s="72">
        <f t="shared" si="713"/>
        <v>46600</v>
      </c>
      <c r="C1892" s="73">
        <f t="shared" si="694"/>
        <v>46630</v>
      </c>
      <c r="D1892" s="67">
        <f t="shared" si="695"/>
        <v>31</v>
      </c>
      <c r="E1892" s="67">
        <f t="shared" si="696"/>
        <v>8</v>
      </c>
      <c r="F1892" s="74">
        <f t="shared" si="697"/>
        <v>46615.5</v>
      </c>
      <c r="G1892" s="67">
        <f t="shared" si="698"/>
        <v>24331</v>
      </c>
      <c r="H1892" s="75">
        <f t="shared" si="699"/>
        <v>1</v>
      </c>
      <c r="I1892" s="76">
        <f t="shared" si="700"/>
        <v>1.0920000000000001</v>
      </c>
      <c r="J1892" s="76">
        <f t="shared" si="701"/>
        <v>1.0920000000000001</v>
      </c>
      <c r="K1892" s="67">
        <f t="shared" si="702"/>
        <v>0</v>
      </c>
      <c r="L1892" s="67">
        <f t="shared" si="703"/>
        <v>0</v>
      </c>
      <c r="M1892" s="77">
        <f t="shared" si="704"/>
        <v>0</v>
      </c>
      <c r="N1892" s="76">
        <f t="shared" si="705"/>
        <v>1.0920000000000001</v>
      </c>
      <c r="O1892" s="77">
        <f t="shared" si="706"/>
        <v>0.90650437636761494</v>
      </c>
      <c r="P1892" s="76">
        <f t="shared" si="707"/>
        <v>0</v>
      </c>
      <c r="Q1892" s="76">
        <f t="shared" si="708"/>
        <v>0.75</v>
      </c>
      <c r="R1892" s="76">
        <f t="shared" si="709"/>
        <v>0.25</v>
      </c>
      <c r="S1892" s="76">
        <f t="shared" si="710"/>
        <v>1.0759812815146039</v>
      </c>
      <c r="T1892" s="76">
        <f t="shared" si="711"/>
        <v>0.98967153458281798</v>
      </c>
      <c r="U1892" s="76">
        <f t="shared" si="712"/>
        <v>1.0920000000000001</v>
      </c>
    </row>
    <row r="1893" spans="1:21" x14ac:dyDescent="0.25">
      <c r="A1893" s="71">
        <v>33</v>
      </c>
      <c r="B1893" s="72">
        <f t="shared" si="713"/>
        <v>46631</v>
      </c>
      <c r="C1893" s="73">
        <f t="shared" si="694"/>
        <v>46660</v>
      </c>
      <c r="D1893" s="67">
        <f t="shared" si="695"/>
        <v>30</v>
      </c>
      <c r="E1893" s="67">
        <f t="shared" si="696"/>
        <v>9</v>
      </c>
      <c r="F1893" s="74">
        <f t="shared" si="697"/>
        <v>46646</v>
      </c>
      <c r="G1893" s="67">
        <f t="shared" si="698"/>
        <v>24332</v>
      </c>
      <c r="H1893" s="75">
        <f t="shared" si="699"/>
        <v>1</v>
      </c>
      <c r="I1893" s="76">
        <f t="shared" si="700"/>
        <v>1.0920000000000001</v>
      </c>
      <c r="J1893" s="76">
        <f t="shared" si="701"/>
        <v>1.0920000000000001</v>
      </c>
      <c r="K1893" s="67">
        <f t="shared" si="702"/>
        <v>0</v>
      </c>
      <c r="L1893" s="67">
        <f t="shared" si="703"/>
        <v>0</v>
      </c>
      <c r="M1893" s="77">
        <f t="shared" si="704"/>
        <v>0</v>
      </c>
      <c r="N1893" s="76">
        <f t="shared" si="705"/>
        <v>1.0920000000000001</v>
      </c>
      <c r="O1893" s="77">
        <f t="shared" si="706"/>
        <v>0.90617067833698028</v>
      </c>
      <c r="P1893" s="76">
        <f t="shared" si="707"/>
        <v>0</v>
      </c>
      <c r="Q1893" s="76">
        <f t="shared" si="708"/>
        <v>0.58333333333333337</v>
      </c>
      <c r="R1893" s="76">
        <f t="shared" si="709"/>
        <v>0.41666666666666663</v>
      </c>
      <c r="S1893" s="76">
        <f t="shared" si="710"/>
        <v>1.0755851964608505</v>
      </c>
      <c r="T1893" s="76">
        <f t="shared" si="711"/>
        <v>0.98930881933212833</v>
      </c>
      <c r="U1893" s="76">
        <f t="shared" si="712"/>
        <v>1.0920000000000001</v>
      </c>
    </row>
    <row r="1894" spans="1:21" x14ac:dyDescent="0.25">
      <c r="A1894" s="71">
        <v>34</v>
      </c>
      <c r="B1894" s="72">
        <f t="shared" si="713"/>
        <v>46661</v>
      </c>
      <c r="C1894" s="73">
        <f t="shared" si="694"/>
        <v>46691</v>
      </c>
      <c r="D1894" s="67">
        <f t="shared" si="695"/>
        <v>31</v>
      </c>
      <c r="E1894" s="67">
        <f t="shared" si="696"/>
        <v>10</v>
      </c>
      <c r="F1894" s="74">
        <f t="shared" si="697"/>
        <v>46676.5</v>
      </c>
      <c r="G1894" s="67">
        <f t="shared" si="698"/>
        <v>24333</v>
      </c>
      <c r="H1894" s="75">
        <f t="shared" si="699"/>
        <v>1</v>
      </c>
      <c r="I1894" s="76">
        <f t="shared" si="700"/>
        <v>1.0920000000000001</v>
      </c>
      <c r="J1894" s="76">
        <f t="shared" si="701"/>
        <v>1.0920000000000001</v>
      </c>
      <c r="K1894" s="67">
        <f t="shared" si="702"/>
        <v>0</v>
      </c>
      <c r="L1894" s="67">
        <f t="shared" si="703"/>
        <v>0</v>
      </c>
      <c r="M1894" s="77">
        <f t="shared" si="704"/>
        <v>0</v>
      </c>
      <c r="N1894" s="76">
        <f t="shared" si="705"/>
        <v>1.0920000000000001</v>
      </c>
      <c r="O1894" s="77">
        <f t="shared" si="706"/>
        <v>0.90583698030634574</v>
      </c>
      <c r="P1894" s="76">
        <f t="shared" si="707"/>
        <v>0</v>
      </c>
      <c r="Q1894" s="76">
        <f t="shared" si="708"/>
        <v>0.41666666666666669</v>
      </c>
      <c r="R1894" s="76">
        <f t="shared" si="709"/>
        <v>0.58333333333333326</v>
      </c>
      <c r="S1894" s="76">
        <f t="shared" si="710"/>
        <v>1.0751891114070973</v>
      </c>
      <c r="T1894" s="76">
        <f t="shared" si="711"/>
        <v>1.0383934092855105</v>
      </c>
      <c r="U1894" s="76">
        <f t="shared" si="712"/>
        <v>1.0920000000000001</v>
      </c>
    </row>
    <row r="1895" spans="1:21" x14ac:dyDescent="0.25">
      <c r="A1895" s="71">
        <v>35</v>
      </c>
      <c r="B1895" s="72">
        <f t="shared" si="713"/>
        <v>46692</v>
      </c>
      <c r="C1895" s="73">
        <f t="shared" si="694"/>
        <v>46721</v>
      </c>
      <c r="D1895" s="67">
        <f t="shared" si="695"/>
        <v>30</v>
      </c>
      <c r="E1895" s="67">
        <f t="shared" si="696"/>
        <v>11</v>
      </c>
      <c r="F1895" s="74">
        <f t="shared" si="697"/>
        <v>46707</v>
      </c>
      <c r="G1895" s="67">
        <f t="shared" si="698"/>
        <v>24334</v>
      </c>
      <c r="H1895" s="75">
        <f t="shared" si="699"/>
        <v>1</v>
      </c>
      <c r="I1895" s="76">
        <f t="shared" si="700"/>
        <v>1.0920000000000001</v>
      </c>
      <c r="J1895" s="76">
        <f t="shared" si="701"/>
        <v>1.0920000000000001</v>
      </c>
      <c r="K1895" s="67">
        <f t="shared" si="702"/>
        <v>0</v>
      </c>
      <c r="L1895" s="67">
        <f t="shared" si="703"/>
        <v>0</v>
      </c>
      <c r="M1895" s="77">
        <f t="shared" si="704"/>
        <v>0</v>
      </c>
      <c r="N1895" s="76">
        <f t="shared" si="705"/>
        <v>1.0920000000000001</v>
      </c>
      <c r="O1895" s="77">
        <f t="shared" si="706"/>
        <v>0.9055032822757112</v>
      </c>
      <c r="P1895" s="76">
        <f t="shared" si="707"/>
        <v>0</v>
      </c>
      <c r="Q1895" s="76">
        <f t="shared" si="708"/>
        <v>0.25</v>
      </c>
      <c r="R1895" s="76">
        <f t="shared" si="709"/>
        <v>0.75</v>
      </c>
      <c r="S1895" s="76">
        <f t="shared" si="710"/>
        <v>1.0747930263533443</v>
      </c>
      <c r="T1895" s="76">
        <f t="shared" si="711"/>
        <v>1.0380125582722861</v>
      </c>
      <c r="U1895" s="76">
        <f t="shared" si="712"/>
        <v>1.0920000000000001</v>
      </c>
    </row>
    <row r="1896" spans="1:21" x14ac:dyDescent="0.25">
      <c r="A1896" s="71">
        <v>36</v>
      </c>
      <c r="B1896" s="72">
        <f t="shared" si="713"/>
        <v>46722</v>
      </c>
      <c r="C1896" s="73">
        <f t="shared" si="694"/>
        <v>46752</v>
      </c>
      <c r="D1896" s="67">
        <f t="shared" si="695"/>
        <v>31</v>
      </c>
      <c r="E1896" s="67">
        <f t="shared" si="696"/>
        <v>12</v>
      </c>
      <c r="F1896" s="74">
        <f t="shared" si="697"/>
        <v>46737.5</v>
      </c>
      <c r="G1896" s="67">
        <f t="shared" si="698"/>
        <v>24335</v>
      </c>
      <c r="H1896" s="75">
        <f t="shared" si="699"/>
        <v>1</v>
      </c>
      <c r="I1896" s="76">
        <f t="shared" si="700"/>
        <v>1.0920000000000001</v>
      </c>
      <c r="J1896" s="76">
        <f t="shared" si="701"/>
        <v>1.0920000000000001</v>
      </c>
      <c r="K1896" s="67">
        <f t="shared" si="702"/>
        <v>0</v>
      </c>
      <c r="L1896" s="67">
        <f t="shared" si="703"/>
        <v>0</v>
      </c>
      <c r="M1896" s="77">
        <f t="shared" si="704"/>
        <v>0</v>
      </c>
      <c r="N1896" s="76">
        <f t="shared" si="705"/>
        <v>1.0920000000000001</v>
      </c>
      <c r="O1896" s="77">
        <f t="shared" si="706"/>
        <v>0.90516958424507665</v>
      </c>
      <c r="P1896" s="76">
        <f t="shared" si="707"/>
        <v>0</v>
      </c>
      <c r="Q1896" s="76">
        <f t="shared" si="708"/>
        <v>8.3333333333333329E-2</v>
      </c>
      <c r="R1896" s="76">
        <f t="shared" si="709"/>
        <v>0.91666666666666663</v>
      </c>
      <c r="S1896" s="76">
        <f t="shared" si="710"/>
        <v>1.0743969412995911</v>
      </c>
      <c r="T1896" s="76">
        <f t="shared" si="711"/>
        <v>1.037631707259062</v>
      </c>
      <c r="U1896" s="76">
        <f t="shared" si="712"/>
        <v>1.0920000000000001</v>
      </c>
    </row>
    <row r="1897" spans="1:21" x14ac:dyDescent="0.25">
      <c r="A1897" s="71">
        <v>37</v>
      </c>
      <c r="B1897" s="72">
        <f t="shared" si="713"/>
        <v>46753</v>
      </c>
      <c r="C1897" s="73">
        <f t="shared" si="694"/>
        <v>46783</v>
      </c>
      <c r="D1897" s="67">
        <f t="shared" si="695"/>
        <v>31</v>
      </c>
      <c r="E1897" s="67">
        <f t="shared" si="696"/>
        <v>1</v>
      </c>
      <c r="F1897" s="74">
        <f t="shared" si="697"/>
        <v>46768.5</v>
      </c>
      <c r="G1897" s="67">
        <f t="shared" si="698"/>
        <v>24336</v>
      </c>
      <c r="H1897" s="75">
        <f t="shared" si="699"/>
        <v>1</v>
      </c>
      <c r="I1897" s="76">
        <f t="shared" si="700"/>
        <v>1.0920000000000001</v>
      </c>
      <c r="J1897" s="76">
        <f t="shared" si="701"/>
        <v>1.0920000000000001</v>
      </c>
      <c r="K1897" s="67">
        <f t="shared" si="702"/>
        <v>0</v>
      </c>
      <c r="L1897" s="67">
        <f t="shared" si="703"/>
        <v>0</v>
      </c>
      <c r="M1897" s="77">
        <f t="shared" si="704"/>
        <v>0</v>
      </c>
      <c r="N1897" s="76">
        <f t="shared" si="705"/>
        <v>1.0920000000000001</v>
      </c>
      <c r="O1897" s="77">
        <f t="shared" si="706"/>
        <v>0.90500000000000003</v>
      </c>
      <c r="P1897" s="76">
        <f t="shared" si="707"/>
        <v>0</v>
      </c>
      <c r="Q1897" s="76">
        <f t="shared" si="708"/>
        <v>0</v>
      </c>
      <c r="R1897" s="76">
        <f t="shared" si="709"/>
        <v>1</v>
      </c>
      <c r="S1897" s="76">
        <f t="shared" si="710"/>
        <v>1.0741956521739131</v>
      </c>
      <c r="T1897" s="76">
        <f t="shared" si="711"/>
        <v>0.99219270288269434</v>
      </c>
      <c r="U1897" s="76">
        <f t="shared" si="712"/>
        <v>1.0920000000000001</v>
      </c>
    </row>
    <row r="1898" spans="1:21" x14ac:dyDescent="0.25">
      <c r="A1898" s="71">
        <v>38</v>
      </c>
      <c r="B1898" s="72">
        <f t="shared" si="713"/>
        <v>46784</v>
      </c>
      <c r="C1898" s="73">
        <f t="shared" si="694"/>
        <v>46812</v>
      </c>
      <c r="D1898" s="67">
        <f t="shared" si="695"/>
        <v>29</v>
      </c>
      <c r="E1898" s="67">
        <f t="shared" si="696"/>
        <v>2</v>
      </c>
      <c r="F1898" s="74">
        <f t="shared" si="697"/>
        <v>46798.5</v>
      </c>
      <c r="G1898" s="67">
        <f t="shared" si="698"/>
        <v>24337</v>
      </c>
      <c r="H1898" s="75">
        <f t="shared" si="699"/>
        <v>1</v>
      </c>
      <c r="I1898" s="76">
        <f t="shared" si="700"/>
        <v>1.0920000000000001</v>
      </c>
      <c r="J1898" s="76">
        <f t="shared" si="701"/>
        <v>1.0920000000000001</v>
      </c>
      <c r="K1898" s="67">
        <f t="shared" si="702"/>
        <v>0</v>
      </c>
      <c r="L1898" s="67">
        <f t="shared" si="703"/>
        <v>0</v>
      </c>
      <c r="M1898" s="77">
        <f t="shared" si="704"/>
        <v>0</v>
      </c>
      <c r="N1898" s="76">
        <f t="shared" si="705"/>
        <v>1.0920000000000001</v>
      </c>
      <c r="O1898" s="77">
        <f t="shared" si="706"/>
        <v>0.90500000000000003</v>
      </c>
      <c r="P1898" s="76">
        <f t="shared" si="707"/>
        <v>0</v>
      </c>
      <c r="Q1898" s="76">
        <f t="shared" si="708"/>
        <v>0</v>
      </c>
      <c r="R1898" s="76">
        <f t="shared" si="709"/>
        <v>1</v>
      </c>
      <c r="S1898" s="76">
        <f t="shared" si="710"/>
        <v>1.0741956521739131</v>
      </c>
      <c r="T1898" s="76">
        <f t="shared" si="711"/>
        <v>0.99184187993530581</v>
      </c>
      <c r="U1898" s="76">
        <f t="shared" si="712"/>
        <v>1.0920000000000001</v>
      </c>
    </row>
    <row r="1899" spans="1:21" x14ac:dyDescent="0.25">
      <c r="A1899" s="71">
        <v>39</v>
      </c>
      <c r="B1899" s="72">
        <f t="shared" si="713"/>
        <v>46813</v>
      </c>
      <c r="C1899" s="73">
        <f t="shared" si="694"/>
        <v>46843</v>
      </c>
      <c r="D1899" s="67">
        <f t="shared" si="695"/>
        <v>31</v>
      </c>
      <c r="E1899" s="67">
        <f t="shared" si="696"/>
        <v>3</v>
      </c>
      <c r="F1899" s="74">
        <f t="shared" si="697"/>
        <v>46828.5</v>
      </c>
      <c r="G1899" s="67">
        <f t="shared" si="698"/>
        <v>24338</v>
      </c>
      <c r="H1899" s="75">
        <f t="shared" si="699"/>
        <v>1</v>
      </c>
      <c r="I1899" s="76">
        <f t="shared" si="700"/>
        <v>1.0920000000000001</v>
      </c>
      <c r="J1899" s="76">
        <f t="shared" si="701"/>
        <v>1.0920000000000001</v>
      </c>
      <c r="K1899" s="67">
        <f t="shared" si="702"/>
        <v>0</v>
      </c>
      <c r="L1899" s="67">
        <f t="shared" si="703"/>
        <v>0</v>
      </c>
      <c r="M1899" s="77">
        <f t="shared" si="704"/>
        <v>0</v>
      </c>
      <c r="N1899" s="76">
        <f t="shared" si="705"/>
        <v>1.0920000000000001</v>
      </c>
      <c r="O1899" s="77">
        <f t="shared" si="706"/>
        <v>0.90500000000000003</v>
      </c>
      <c r="P1899" s="76">
        <f t="shared" si="707"/>
        <v>0</v>
      </c>
      <c r="Q1899" s="76">
        <f t="shared" si="708"/>
        <v>0</v>
      </c>
      <c r="R1899" s="76">
        <f t="shared" si="709"/>
        <v>1</v>
      </c>
      <c r="S1899" s="76">
        <f t="shared" si="710"/>
        <v>1.0741956521739131</v>
      </c>
      <c r="T1899" s="76">
        <f t="shared" si="711"/>
        <v>0.9914910569879174</v>
      </c>
      <c r="U1899" s="76">
        <f t="shared" si="712"/>
        <v>1.0920000000000001</v>
      </c>
    </row>
    <row r="1900" spans="1:21" x14ac:dyDescent="0.25">
      <c r="A1900" s="71">
        <v>40</v>
      </c>
      <c r="B1900" s="72">
        <f t="shared" si="713"/>
        <v>46844</v>
      </c>
      <c r="C1900" s="73">
        <f t="shared" si="694"/>
        <v>46873</v>
      </c>
      <c r="D1900" s="67">
        <f t="shared" si="695"/>
        <v>30</v>
      </c>
      <c r="E1900" s="67">
        <f t="shared" si="696"/>
        <v>4</v>
      </c>
      <c r="F1900" s="74">
        <f t="shared" si="697"/>
        <v>46859</v>
      </c>
      <c r="G1900" s="67">
        <f t="shared" si="698"/>
        <v>24339</v>
      </c>
      <c r="H1900" s="75">
        <f t="shared" si="699"/>
        <v>1</v>
      </c>
      <c r="I1900" s="76">
        <f t="shared" si="700"/>
        <v>1.0920000000000001</v>
      </c>
      <c r="J1900" s="76">
        <f t="shared" si="701"/>
        <v>1.0920000000000001</v>
      </c>
      <c r="K1900" s="67">
        <f t="shared" si="702"/>
        <v>0</v>
      </c>
      <c r="L1900" s="67">
        <f t="shared" si="703"/>
        <v>0</v>
      </c>
      <c r="M1900" s="77">
        <f t="shared" si="704"/>
        <v>0</v>
      </c>
      <c r="N1900" s="76">
        <f t="shared" si="705"/>
        <v>1.0920000000000001</v>
      </c>
      <c r="O1900" s="77">
        <f t="shared" si="706"/>
        <v>0.90500000000000003</v>
      </c>
      <c r="P1900" s="76">
        <f t="shared" si="707"/>
        <v>0</v>
      </c>
      <c r="Q1900" s="76">
        <f t="shared" si="708"/>
        <v>0</v>
      </c>
      <c r="R1900" s="76">
        <f t="shared" si="709"/>
        <v>1</v>
      </c>
      <c r="S1900" s="76">
        <f t="shared" si="710"/>
        <v>1.0741956521739131</v>
      </c>
      <c r="T1900" s="76">
        <f t="shared" si="711"/>
        <v>0.99112834173722764</v>
      </c>
      <c r="U1900" s="76">
        <f t="shared" si="712"/>
        <v>1.0920000000000001</v>
      </c>
    </row>
    <row r="1901" spans="1:21" x14ac:dyDescent="0.25">
      <c r="A1901" s="71">
        <v>41</v>
      </c>
      <c r="B1901" s="72">
        <f t="shared" si="713"/>
        <v>46874</v>
      </c>
      <c r="C1901" s="73">
        <f t="shared" si="694"/>
        <v>46904</v>
      </c>
      <c r="D1901" s="67">
        <f t="shared" si="695"/>
        <v>31</v>
      </c>
      <c r="E1901" s="67">
        <f t="shared" si="696"/>
        <v>5</v>
      </c>
      <c r="F1901" s="74">
        <f t="shared" si="697"/>
        <v>46889.5</v>
      </c>
      <c r="G1901" s="67">
        <f t="shared" si="698"/>
        <v>24340</v>
      </c>
      <c r="H1901" s="75">
        <f t="shared" si="699"/>
        <v>1</v>
      </c>
      <c r="I1901" s="76">
        <f t="shared" si="700"/>
        <v>1.0920000000000001</v>
      </c>
      <c r="J1901" s="76">
        <f t="shared" si="701"/>
        <v>1.0920000000000001</v>
      </c>
      <c r="K1901" s="67">
        <f t="shared" si="702"/>
        <v>0</v>
      </c>
      <c r="L1901" s="67">
        <f t="shared" si="703"/>
        <v>0</v>
      </c>
      <c r="M1901" s="77">
        <f t="shared" si="704"/>
        <v>0</v>
      </c>
      <c r="N1901" s="76">
        <f t="shared" si="705"/>
        <v>1.0920000000000001</v>
      </c>
      <c r="O1901" s="77">
        <f t="shared" si="706"/>
        <v>0.90500000000000003</v>
      </c>
      <c r="P1901" s="76">
        <f t="shared" si="707"/>
        <v>0</v>
      </c>
      <c r="Q1901" s="76">
        <f t="shared" si="708"/>
        <v>0</v>
      </c>
      <c r="R1901" s="76">
        <f t="shared" si="709"/>
        <v>1</v>
      </c>
      <c r="S1901" s="76">
        <f t="shared" si="710"/>
        <v>1.0741956521739131</v>
      </c>
      <c r="T1901" s="76">
        <f t="shared" si="711"/>
        <v>0.99076562648653799</v>
      </c>
      <c r="U1901" s="76">
        <f t="shared" si="712"/>
        <v>1.0920000000000001</v>
      </c>
    </row>
    <row r="1902" spans="1:21" x14ac:dyDescent="0.25">
      <c r="A1902" s="71">
        <v>42</v>
      </c>
      <c r="B1902" s="72">
        <f t="shared" si="713"/>
        <v>46905</v>
      </c>
      <c r="C1902" s="73">
        <f t="shared" si="694"/>
        <v>46934</v>
      </c>
      <c r="D1902" s="67">
        <f t="shared" si="695"/>
        <v>30</v>
      </c>
      <c r="E1902" s="67">
        <f t="shared" si="696"/>
        <v>6</v>
      </c>
      <c r="F1902" s="74">
        <f t="shared" si="697"/>
        <v>46920</v>
      </c>
      <c r="G1902" s="67">
        <f t="shared" si="698"/>
        <v>24341</v>
      </c>
      <c r="H1902" s="75">
        <f t="shared" si="699"/>
        <v>1</v>
      </c>
      <c r="I1902" s="76">
        <f t="shared" si="700"/>
        <v>1.0920000000000001</v>
      </c>
      <c r="J1902" s="76">
        <f t="shared" si="701"/>
        <v>1.0920000000000001</v>
      </c>
      <c r="K1902" s="67">
        <f t="shared" si="702"/>
        <v>0</v>
      </c>
      <c r="L1902" s="67">
        <f t="shared" si="703"/>
        <v>0</v>
      </c>
      <c r="M1902" s="77">
        <f t="shared" si="704"/>
        <v>0</v>
      </c>
      <c r="N1902" s="76">
        <f t="shared" si="705"/>
        <v>1.0920000000000001</v>
      </c>
      <c r="O1902" s="77">
        <f t="shared" si="706"/>
        <v>0.90500000000000003</v>
      </c>
      <c r="P1902" s="76">
        <f t="shared" si="707"/>
        <v>0</v>
      </c>
      <c r="Q1902" s="76">
        <f t="shared" si="708"/>
        <v>0</v>
      </c>
      <c r="R1902" s="76">
        <f t="shared" si="709"/>
        <v>1</v>
      </c>
      <c r="S1902" s="76">
        <f t="shared" si="710"/>
        <v>1.0741956521739131</v>
      </c>
      <c r="T1902" s="76">
        <f t="shared" si="711"/>
        <v>0.99040291123584812</v>
      </c>
      <c r="U1902" s="76">
        <f t="shared" si="712"/>
        <v>1.0920000000000001</v>
      </c>
    </row>
    <row r="1903" spans="1:21" x14ac:dyDescent="0.25">
      <c r="A1903" s="71">
        <v>43</v>
      </c>
      <c r="B1903" s="72">
        <f t="shared" si="713"/>
        <v>46935</v>
      </c>
      <c r="C1903" s="73">
        <f t="shared" si="694"/>
        <v>46965</v>
      </c>
      <c r="D1903" s="67">
        <f t="shared" si="695"/>
        <v>31</v>
      </c>
      <c r="E1903" s="67">
        <f t="shared" si="696"/>
        <v>7</v>
      </c>
      <c r="F1903" s="74">
        <f t="shared" si="697"/>
        <v>46950.5</v>
      </c>
      <c r="G1903" s="67">
        <f t="shared" si="698"/>
        <v>24342</v>
      </c>
      <c r="H1903" s="75">
        <f t="shared" si="699"/>
        <v>1</v>
      </c>
      <c r="I1903" s="76">
        <f t="shared" si="700"/>
        <v>1.0920000000000001</v>
      </c>
      <c r="J1903" s="76">
        <f t="shared" si="701"/>
        <v>1.0920000000000001</v>
      </c>
      <c r="K1903" s="67">
        <f t="shared" si="702"/>
        <v>0</v>
      </c>
      <c r="L1903" s="67">
        <f t="shared" si="703"/>
        <v>0</v>
      </c>
      <c r="M1903" s="77">
        <f t="shared" si="704"/>
        <v>0</v>
      </c>
      <c r="N1903" s="76">
        <f t="shared" si="705"/>
        <v>1.0920000000000001</v>
      </c>
      <c r="O1903" s="77">
        <f t="shared" si="706"/>
        <v>0.90500000000000003</v>
      </c>
      <c r="P1903" s="76">
        <f t="shared" si="707"/>
        <v>0</v>
      </c>
      <c r="Q1903" s="76">
        <f t="shared" si="708"/>
        <v>0</v>
      </c>
      <c r="R1903" s="76">
        <f t="shared" si="709"/>
        <v>0.91666666666666663</v>
      </c>
      <c r="S1903" s="76">
        <f t="shared" si="710"/>
        <v>1.0741956521739131</v>
      </c>
      <c r="T1903" s="76">
        <f t="shared" si="711"/>
        <v>0.99004019598515836</v>
      </c>
      <c r="U1903" s="76">
        <f t="shared" si="712"/>
        <v>1.0920000000000001</v>
      </c>
    </row>
    <row r="1904" spans="1:21" x14ac:dyDescent="0.25">
      <c r="A1904" s="71">
        <v>44</v>
      </c>
      <c r="B1904" s="72">
        <f t="shared" si="713"/>
        <v>46966</v>
      </c>
      <c r="C1904" s="73">
        <f t="shared" si="694"/>
        <v>46996</v>
      </c>
      <c r="D1904" s="67">
        <f t="shared" si="695"/>
        <v>31</v>
      </c>
      <c r="E1904" s="67">
        <f t="shared" si="696"/>
        <v>8</v>
      </c>
      <c r="F1904" s="74">
        <f t="shared" si="697"/>
        <v>46981.5</v>
      </c>
      <c r="G1904" s="67">
        <f t="shared" si="698"/>
        <v>24343</v>
      </c>
      <c r="H1904" s="75">
        <f t="shared" si="699"/>
        <v>1</v>
      </c>
      <c r="I1904" s="76">
        <f t="shared" si="700"/>
        <v>1.0920000000000001</v>
      </c>
      <c r="J1904" s="76">
        <f t="shared" si="701"/>
        <v>1.0920000000000001</v>
      </c>
      <c r="K1904" s="67">
        <f t="shared" si="702"/>
        <v>0</v>
      </c>
      <c r="L1904" s="67">
        <f t="shared" si="703"/>
        <v>0</v>
      </c>
      <c r="M1904" s="77">
        <f t="shared" si="704"/>
        <v>0</v>
      </c>
      <c r="N1904" s="76">
        <f t="shared" si="705"/>
        <v>1.0920000000000001</v>
      </c>
      <c r="O1904" s="77">
        <f t="shared" si="706"/>
        <v>0.90500000000000003</v>
      </c>
      <c r="P1904" s="76">
        <f t="shared" si="707"/>
        <v>0</v>
      </c>
      <c r="Q1904" s="76">
        <f t="shared" si="708"/>
        <v>0</v>
      </c>
      <c r="R1904" s="76">
        <f t="shared" si="709"/>
        <v>0.75</v>
      </c>
      <c r="S1904" s="76">
        <f t="shared" si="710"/>
        <v>1.0741956521739131</v>
      </c>
      <c r="T1904" s="76">
        <f t="shared" si="711"/>
        <v>0.98967153458281798</v>
      </c>
      <c r="U1904" s="76">
        <f t="shared" si="712"/>
        <v>1.0920000000000001</v>
      </c>
    </row>
    <row r="1905" spans="1:21" x14ac:dyDescent="0.25">
      <c r="A1905" s="71">
        <v>45</v>
      </c>
      <c r="B1905" s="72">
        <f t="shared" si="713"/>
        <v>46997</v>
      </c>
      <c r="C1905" s="73">
        <f t="shared" si="694"/>
        <v>47026</v>
      </c>
      <c r="D1905" s="67">
        <f t="shared" si="695"/>
        <v>30</v>
      </c>
      <c r="E1905" s="67">
        <f t="shared" si="696"/>
        <v>9</v>
      </c>
      <c r="F1905" s="74">
        <f t="shared" si="697"/>
        <v>47012</v>
      </c>
      <c r="G1905" s="67">
        <f t="shared" si="698"/>
        <v>24344</v>
      </c>
      <c r="H1905" s="75">
        <f t="shared" si="699"/>
        <v>1</v>
      </c>
      <c r="I1905" s="76">
        <f t="shared" si="700"/>
        <v>1.0920000000000001</v>
      </c>
      <c r="J1905" s="76">
        <f t="shared" si="701"/>
        <v>1.0920000000000001</v>
      </c>
      <c r="K1905" s="67">
        <f t="shared" si="702"/>
        <v>0</v>
      </c>
      <c r="L1905" s="67">
        <f t="shared" si="703"/>
        <v>0</v>
      </c>
      <c r="M1905" s="77">
        <f t="shared" si="704"/>
        <v>0</v>
      </c>
      <c r="N1905" s="76">
        <f t="shared" si="705"/>
        <v>1.0920000000000001</v>
      </c>
      <c r="O1905" s="77">
        <f t="shared" si="706"/>
        <v>0.90500000000000003</v>
      </c>
      <c r="P1905" s="76">
        <f t="shared" si="707"/>
        <v>0</v>
      </c>
      <c r="Q1905" s="76">
        <f t="shared" si="708"/>
        <v>0</v>
      </c>
      <c r="R1905" s="76">
        <f t="shared" si="709"/>
        <v>0.58333333333333337</v>
      </c>
      <c r="S1905" s="76">
        <f t="shared" si="710"/>
        <v>1.0741956521739131</v>
      </c>
      <c r="T1905" s="76">
        <f t="shared" si="711"/>
        <v>0.98930881933212833</v>
      </c>
      <c r="U1905" s="76">
        <f t="shared" si="712"/>
        <v>1.0920000000000001</v>
      </c>
    </row>
    <row r="1906" spans="1:21" x14ac:dyDescent="0.25">
      <c r="A1906" s="71">
        <v>46</v>
      </c>
      <c r="B1906" s="72">
        <f t="shared" si="713"/>
        <v>47027</v>
      </c>
      <c r="C1906" s="73">
        <f t="shared" si="694"/>
        <v>47057</v>
      </c>
      <c r="D1906" s="67">
        <f t="shared" si="695"/>
        <v>31</v>
      </c>
      <c r="E1906" s="67">
        <f t="shared" si="696"/>
        <v>10</v>
      </c>
      <c r="F1906" s="74">
        <f t="shared" si="697"/>
        <v>47042.5</v>
      </c>
      <c r="G1906" s="67">
        <f t="shared" si="698"/>
        <v>24345</v>
      </c>
      <c r="H1906" s="75">
        <f t="shared" si="699"/>
        <v>1</v>
      </c>
      <c r="I1906" s="76">
        <f t="shared" si="700"/>
        <v>1.0920000000000001</v>
      </c>
      <c r="J1906" s="76">
        <f t="shared" si="701"/>
        <v>1.0920000000000001</v>
      </c>
      <c r="K1906" s="67">
        <f t="shared" si="702"/>
        <v>0</v>
      </c>
      <c r="L1906" s="67">
        <f t="shared" si="703"/>
        <v>0</v>
      </c>
      <c r="M1906" s="77">
        <f t="shared" si="704"/>
        <v>0</v>
      </c>
      <c r="N1906" s="76">
        <f t="shared" si="705"/>
        <v>1.0920000000000001</v>
      </c>
      <c r="O1906" s="77">
        <f t="shared" si="706"/>
        <v>0.90500000000000003</v>
      </c>
      <c r="P1906" s="76">
        <f t="shared" si="707"/>
        <v>0</v>
      </c>
      <c r="Q1906" s="76">
        <f t="shared" si="708"/>
        <v>0</v>
      </c>
      <c r="R1906" s="76">
        <f t="shared" si="709"/>
        <v>0.41666666666666669</v>
      </c>
      <c r="S1906" s="76">
        <f t="shared" si="710"/>
        <v>1.0741956521739131</v>
      </c>
      <c r="T1906" s="76">
        <f t="shared" si="711"/>
        <v>1.0383934092855105</v>
      </c>
      <c r="U1906" s="76">
        <f t="shared" si="712"/>
        <v>1.0920000000000001</v>
      </c>
    </row>
    <row r="1907" spans="1:21" x14ac:dyDescent="0.25">
      <c r="A1907" s="71">
        <v>47</v>
      </c>
      <c r="B1907" s="72">
        <f t="shared" si="713"/>
        <v>47058</v>
      </c>
      <c r="C1907" s="73">
        <f t="shared" si="694"/>
        <v>47087</v>
      </c>
      <c r="D1907" s="67">
        <f t="shared" si="695"/>
        <v>30</v>
      </c>
      <c r="E1907" s="67">
        <f t="shared" si="696"/>
        <v>11</v>
      </c>
      <c r="F1907" s="74">
        <f t="shared" si="697"/>
        <v>47073</v>
      </c>
      <c r="G1907" s="67">
        <f t="shared" si="698"/>
        <v>24346</v>
      </c>
      <c r="H1907" s="75">
        <f t="shared" si="699"/>
        <v>1</v>
      </c>
      <c r="I1907" s="76">
        <f t="shared" si="700"/>
        <v>1.0920000000000001</v>
      </c>
      <c r="J1907" s="76">
        <f t="shared" si="701"/>
        <v>1.0920000000000001</v>
      </c>
      <c r="K1907" s="67">
        <f t="shared" si="702"/>
        <v>0</v>
      </c>
      <c r="L1907" s="67">
        <f t="shared" si="703"/>
        <v>0</v>
      </c>
      <c r="M1907" s="77">
        <f t="shared" si="704"/>
        <v>0</v>
      </c>
      <c r="N1907" s="76">
        <f t="shared" si="705"/>
        <v>1.0920000000000001</v>
      </c>
      <c r="O1907" s="77">
        <f t="shared" si="706"/>
        <v>0.90500000000000003</v>
      </c>
      <c r="P1907" s="76">
        <f t="shared" si="707"/>
        <v>0</v>
      </c>
      <c r="Q1907" s="76">
        <f t="shared" si="708"/>
        <v>0</v>
      </c>
      <c r="R1907" s="76">
        <f t="shared" si="709"/>
        <v>0.25</v>
      </c>
      <c r="S1907" s="76">
        <f t="shared" si="710"/>
        <v>1.0741956521739131</v>
      </c>
      <c r="T1907" s="76">
        <f t="shared" si="711"/>
        <v>1.0380125582722861</v>
      </c>
      <c r="U1907" s="76">
        <f t="shared" si="712"/>
        <v>1.0920000000000001</v>
      </c>
    </row>
    <row r="1908" spans="1:21" x14ac:dyDescent="0.25">
      <c r="A1908" s="71">
        <v>48</v>
      </c>
      <c r="B1908" s="72">
        <f t="shared" si="713"/>
        <v>47088</v>
      </c>
      <c r="C1908" s="73">
        <f t="shared" si="694"/>
        <v>47118</v>
      </c>
      <c r="D1908" s="67">
        <f t="shared" si="695"/>
        <v>31</v>
      </c>
      <c r="E1908" s="67">
        <f t="shared" si="696"/>
        <v>12</v>
      </c>
      <c r="F1908" s="74">
        <f t="shared" si="697"/>
        <v>47103.5</v>
      </c>
      <c r="G1908" s="67">
        <f t="shared" si="698"/>
        <v>24347</v>
      </c>
      <c r="H1908" s="75">
        <f t="shared" si="699"/>
        <v>1</v>
      </c>
      <c r="I1908" s="76">
        <f t="shared" si="700"/>
        <v>1.0920000000000001</v>
      </c>
      <c r="J1908" s="76">
        <f t="shared" si="701"/>
        <v>1.0920000000000001</v>
      </c>
      <c r="K1908" s="67">
        <f t="shared" si="702"/>
        <v>0</v>
      </c>
      <c r="L1908" s="67">
        <f t="shared" si="703"/>
        <v>0</v>
      </c>
      <c r="M1908" s="77">
        <f t="shared" si="704"/>
        <v>0</v>
      </c>
      <c r="N1908" s="76">
        <f t="shared" si="705"/>
        <v>1.0920000000000001</v>
      </c>
      <c r="O1908" s="77">
        <f t="shared" si="706"/>
        <v>0.90500000000000003</v>
      </c>
      <c r="P1908" s="76">
        <f t="shared" si="707"/>
        <v>0</v>
      </c>
      <c r="Q1908" s="76">
        <f t="shared" si="708"/>
        <v>0</v>
      </c>
      <c r="R1908" s="76">
        <f t="shared" si="709"/>
        <v>8.3333333333333329E-2</v>
      </c>
      <c r="S1908" s="76">
        <f t="shared" si="710"/>
        <v>1.0741956521739131</v>
      </c>
      <c r="T1908" s="76">
        <f t="shared" si="711"/>
        <v>1.037631707259062</v>
      </c>
      <c r="U1908" s="76">
        <f t="shared" si="712"/>
        <v>1.0920000000000001</v>
      </c>
    </row>
    <row r="1909" spans="1:21" x14ac:dyDescent="0.25">
      <c r="A1909" s="81" t="s">
        <v>1187</v>
      </c>
      <c r="B1909" s="53">
        <f>EXP(SUMPRODUCT((rl_key=$A$1858)*(rl_cons="Y")*rl_ln1p))</f>
        <v>1.05</v>
      </c>
      <c r="C1909" s="53">
        <f>SUMPRODUCT($H$1861:$H$1908,$P$1861:$P$1908,$U$1861:$U$1908)/SUMPRODUCT($H$1861:$H$1908,$P$1861:$P$1908)</f>
        <v>1.003125</v>
      </c>
      <c r="D1909" s="53">
        <f>SUMPRODUCT($H$1861:$H$1908,$Q$1861:$Q$1908,$U$1861:$U$1908)/SUMPRODUCT($H$1861:$H$1908,$Q$1861:$Q$1908)</f>
        <v>1.0678750000000001</v>
      </c>
      <c r="E1909" s="53">
        <f>SUMPRODUCT($H$1861:$H$1908,$R$1861:$R$1908,$U$1861:$U$1908)/SUMPRODUCT($H$1861:$H$1908,$R$1861:$R$1908)</f>
        <v>1.0920000000000003</v>
      </c>
      <c r="F1909" s="172">
        <f>SUMPRODUCT($H$1861:$H$1908,$Q$1861:$Q$1908,$O$1861:$O$1908)/SUMPRODUCT($H$1861:$H$1908,$Q$1861:$Q$1908)</f>
        <v>0.9080037381473377</v>
      </c>
      <c r="G1909" s="172">
        <f>SUMPRODUCT($H$1861:$H$1908,$R$1861:$R$1908,$O$1861:$O$1908)/SUMPRODUCT($H$1861:$H$1908,$R$1861:$R$1908)</f>
        <v>0.90516988815949428</v>
      </c>
    </row>
    <row r="1912" spans="1:21" x14ac:dyDescent="0.25">
      <c r="A1912" s="81" t="str">
        <f>INDEX(lr_key,35)</f>
        <v>BU-B|MO</v>
      </c>
      <c r="B1912" s="81" t="str">
        <f>INDEX(lr_state,35)</f>
        <v>MO</v>
      </c>
      <c r="C1912" s="55">
        <f>nr_TermMonths</f>
        <v>6</v>
      </c>
      <c r="D1912" s="55">
        <f>IF(COUNTIF(se_state,$B1912)=0,0,MATCH($B1912,se_state,0))</f>
        <v>0</v>
      </c>
      <c r="E1912" s="57">
        <f>IF($D1912=0,0,INDEX(se_sum,$D1912))</f>
        <v>0</v>
      </c>
      <c r="F1912" s="172">
        <f>IF(N(INDEX(lr_mind,35))=0,1,INDEX(lr_mind,35))</f>
        <v>0.92</v>
      </c>
      <c r="G1912" s="172">
        <f>IF(N(INDEX(lr_m0,35))=0,1,INDEX(lr_m0,35))</f>
        <v>0.91</v>
      </c>
      <c r="H1912" s="54">
        <f>IF(N(INDEX(lr_m0asof,35))=0,DATE(nr_PlanYear-1,10,1),INDEX(lr_m0asof,35))</f>
        <v>46295</v>
      </c>
      <c r="I1912" s="172">
        <f>IF(N(INDEX(lr_m1,35))=0,1,INDEX(lr_m1,35))</f>
        <v>0.92</v>
      </c>
      <c r="J1912" s="172">
        <f>INDEX(lr_mprior,35)</f>
        <v>0</v>
      </c>
      <c r="K1912" s="172">
        <f>INDEX(lr_m2,35)</f>
        <v>0</v>
      </c>
      <c r="L1912" s="81" t="b">
        <f>NOT(ISBLANK(INDEX(lr_netp,35)))</f>
        <v>0</v>
      </c>
      <c r="M1912" s="52">
        <f>N(INDEX(lr_netp,35))</f>
        <v>0</v>
      </c>
      <c r="N1912" s="52">
        <f>IF(ISBLANK(INDEX(lr_netp1,35)),$M$1912,N(INDEX(lr_netp1,35)))</f>
        <v>0</v>
      </c>
      <c r="O1912" s="55">
        <f>IF(AND(nr_ModAdjMaster="ON",INDEX(lr_modadj,35)="ON"),1,0)</f>
        <v>1</v>
      </c>
    </row>
    <row r="1913" spans="1:21" x14ac:dyDescent="0.25">
      <c r="A1913" s="81">
        <f>EDATE($H$1912,-12)+1</f>
        <v>45931</v>
      </c>
      <c r="B1913" s="81">
        <f>$H$1912+1</f>
        <v>46296</v>
      </c>
      <c r="C1913" s="81">
        <f>DATE(nr_PlanYear,12,31)+1</f>
        <v>46753</v>
      </c>
      <c r="D1913" s="81">
        <f>DATE(nr_PlanYear+1,12,31)+1</f>
        <v>47119</v>
      </c>
      <c r="E1913" s="81">
        <f>IF(N($J$1912)=0,$F$1913-($G$1913-$F$1913)/($C$1913-$B$1913)*($B$1913-$A$1913),$J$1912)</f>
        <v>0.9020131291028447</v>
      </c>
      <c r="F1913" s="81">
        <f>$G$1912</f>
        <v>0.91</v>
      </c>
      <c r="G1913" s="81">
        <f>$I$1912</f>
        <v>0.92</v>
      </c>
      <c r="H1913" s="81">
        <f>IF(N($K$1912)=0,$I$1912,$K$1912)</f>
        <v>0.92</v>
      </c>
      <c r="I1913" s="81">
        <f>($F$1913-$E$1913)/($B$1913-$A$1913)</f>
        <v>2.1881838074398162E-5</v>
      </c>
      <c r="J1913" s="81">
        <f>($G$1913-$F$1913)/($C$1913-$B$1913)</f>
        <v>2.188183807439827E-5</v>
      </c>
      <c r="K1913" s="81">
        <f>($H$1913-$G$1913)/($D$1913-$C$1913)</f>
        <v>0</v>
      </c>
    </row>
    <row r="1914" spans="1:21" ht="36" x14ac:dyDescent="0.25">
      <c r="A1914" s="50" t="s">
        <v>211</v>
      </c>
      <c r="B1914" s="50" t="s">
        <v>212</v>
      </c>
      <c r="C1914" s="50" t="s">
        <v>213</v>
      </c>
      <c r="D1914" s="50" t="s">
        <v>214</v>
      </c>
      <c r="E1914" s="50" t="s">
        <v>215</v>
      </c>
      <c r="F1914" s="50" t="s">
        <v>216</v>
      </c>
      <c r="G1914" s="50" t="s">
        <v>217</v>
      </c>
      <c r="H1914" s="50" t="s">
        <v>218</v>
      </c>
      <c r="I1914" s="50" t="s">
        <v>219</v>
      </c>
      <c r="J1914" s="50" t="s">
        <v>220</v>
      </c>
      <c r="K1914" s="50" t="s">
        <v>221</v>
      </c>
      <c r="L1914" s="50" t="s">
        <v>222</v>
      </c>
      <c r="M1914" s="50" t="s">
        <v>223</v>
      </c>
      <c r="N1914" s="50" t="s">
        <v>224</v>
      </c>
      <c r="O1914" s="50" t="s">
        <v>225</v>
      </c>
      <c r="P1914" s="50" t="s">
        <v>226</v>
      </c>
      <c r="Q1914" s="50" t="s">
        <v>227</v>
      </c>
      <c r="R1914" s="50" t="s">
        <v>228</v>
      </c>
      <c r="S1914" s="50" t="s">
        <v>229</v>
      </c>
      <c r="T1914" s="50" t="s">
        <v>230</v>
      </c>
      <c r="U1914" s="50" t="s">
        <v>231</v>
      </c>
    </row>
    <row r="1915" spans="1:21" x14ac:dyDescent="0.25">
      <c r="A1915" s="71">
        <v>1</v>
      </c>
      <c r="B1915" s="72">
        <f>DATE(nr_PlanYear-2,1,1)</f>
        <v>45658</v>
      </c>
      <c r="C1915" s="73">
        <f t="shared" ref="C1915:C1962" si="714">EOMONTH($B1915,0)</f>
        <v>45688</v>
      </c>
      <c r="D1915" s="67">
        <f t="shared" ref="D1915:D1962" si="715">$C1915-$B1915+1</f>
        <v>31</v>
      </c>
      <c r="E1915" s="67">
        <f t="shared" ref="E1915:E1962" si="716">MONTH($B1915)</f>
        <v>1</v>
      </c>
      <c r="F1915" s="74">
        <f t="shared" ref="F1915:F1962" si="717">($B1915+$C1915+1)/2</f>
        <v>45673.5</v>
      </c>
      <c r="G1915" s="67">
        <f t="shared" ref="G1915:G1962" si="718">YEAR($B1915)*12+MONTH($B1915)-1</f>
        <v>24300</v>
      </c>
      <c r="H1915" s="75">
        <f t="shared" ref="H1915:H1962" si="719">IF(OR(nr_SeasonOn="OFF",$D$1912=0,$E$1912=0),1,12*INDEX(se_block,$D$1912,$E1915)/$E$1912)</f>
        <v>1</v>
      </c>
      <c r="I1915" s="76">
        <f t="shared" ref="I1915:I1962" si="720">EXP(SUMPRODUCT((rl_eff&lt;$B1915)*(rl_key=$A$1912)*rl_ln1p))</f>
        <v>1</v>
      </c>
      <c r="J1915" s="76">
        <f t="shared" ref="J1915:J1962" si="721">EXP(SUMPRODUCT((rl_eff&lt;=$C1915)*(rl_key=$A$1912)*rl_ln1p))</f>
        <v>1</v>
      </c>
      <c r="K1915" s="67">
        <f t="shared" ref="K1915:K1962" si="722">COUNTIFS(rl_key,$A$1912,rl_eff,"&gt;="&amp;$B1915,rl_eff,"&lt;="&amp;$C1915)</f>
        <v>0</v>
      </c>
      <c r="L1915" s="67">
        <f t="shared" ref="L1915:L1962" si="723">SUMIFS(rl_daysafter,rl_key,$A$1912,rl_effmonth,$B1915,rl_first,1)</f>
        <v>0</v>
      </c>
      <c r="M1915" s="77">
        <f t="shared" ref="M1915:M1962" si="724">IF($K1915=0,0,MIN(1,$L1915/$D1915))</f>
        <v>0</v>
      </c>
      <c r="N1915" s="76">
        <f t="shared" ref="N1915:N1962" si="725">IF($K1915=0,$J1915,(1-$M1915)*$I1915+$M1915*$J1915)</f>
        <v>1</v>
      </c>
      <c r="O1915" s="77">
        <f t="shared" ref="O1915:O1962" si="726">IF($F1915&lt;$B$1913,$E$1913+$I$1913*($F1915-$A$1913),IF($F1915&lt;$C$1913,$F$1913+$J$1913*($F1915-$B$1913),$G$1913+$K$1913*($F1915-$C$1913)))</f>
        <v>0.89637855579868719</v>
      </c>
      <c r="P1915" s="76">
        <f t="shared" ref="P1915:P1962" si="727">MIN(1,MAX(0,(nr_MEndPm1-$G1915+0.5)/$C$1912))-MIN(1,MAX(0,(nr_MStartPm1-1-$G1915+0.5)/$C$1912))</f>
        <v>0</v>
      </c>
      <c r="Q1915" s="76">
        <f t="shared" ref="Q1915:Q1962" si="728">MIN(1,MAX(0,(nr_MEndP-$G1915+0.5)/$C$1912))-MIN(1,MAX(0,(nr_MStartP-1-$G1915+0.5)/$C$1912))</f>
        <v>0</v>
      </c>
      <c r="R1915" s="76">
        <f t="shared" ref="R1915:R1962" si="729">MIN(1,MAX(0,(nr_MEndP1-$G1915+0.5)/$C$1912))-MIN(1,MAX(0,(nr_MStartP1-1-$G1915+0.5)/$C$1912))</f>
        <v>0</v>
      </c>
      <c r="S1915" s="76">
        <f t="shared" ref="S1915:S1962" si="730">$N1915*IF($O$1912=1,$O1915/$F$1912,1)</f>
        <v>0.97432451717248603</v>
      </c>
      <c r="T1915" s="76">
        <f t="shared" ref="T1915:T1962" si="731">IF($G1915&lt;nr_MStartP,$S1915,$T1903*(1+IF($G1915&lt;nr_MStartP1,$M$1912,$N$1912)))</f>
        <v>0.97432451717248603</v>
      </c>
      <c r="U1915" s="76">
        <f t="shared" ref="U1915:U1962" si="732">IF($L$1912,$T1915,$N1915)</f>
        <v>1</v>
      </c>
    </row>
    <row r="1916" spans="1:21" x14ac:dyDescent="0.25">
      <c r="A1916" s="71">
        <v>2</v>
      </c>
      <c r="B1916" s="72">
        <f t="shared" ref="B1916:B1962" si="733">EDATE($B1915,1)</f>
        <v>45689</v>
      </c>
      <c r="C1916" s="73">
        <f t="shared" si="714"/>
        <v>45716</v>
      </c>
      <c r="D1916" s="67">
        <f t="shared" si="715"/>
        <v>28</v>
      </c>
      <c r="E1916" s="67">
        <f t="shared" si="716"/>
        <v>2</v>
      </c>
      <c r="F1916" s="74">
        <f t="shared" si="717"/>
        <v>45703</v>
      </c>
      <c r="G1916" s="67">
        <f t="shared" si="718"/>
        <v>24301</v>
      </c>
      <c r="H1916" s="75">
        <f t="shared" si="719"/>
        <v>1</v>
      </c>
      <c r="I1916" s="76">
        <f t="shared" si="720"/>
        <v>1</v>
      </c>
      <c r="J1916" s="76">
        <f t="shared" si="721"/>
        <v>1</v>
      </c>
      <c r="K1916" s="67">
        <f t="shared" si="722"/>
        <v>0</v>
      </c>
      <c r="L1916" s="67">
        <f t="shared" si="723"/>
        <v>0</v>
      </c>
      <c r="M1916" s="77">
        <f t="shared" si="724"/>
        <v>0</v>
      </c>
      <c r="N1916" s="76">
        <f t="shared" si="725"/>
        <v>1</v>
      </c>
      <c r="O1916" s="77">
        <f t="shared" si="726"/>
        <v>0.89702407002188189</v>
      </c>
      <c r="P1916" s="76">
        <f t="shared" si="727"/>
        <v>0</v>
      </c>
      <c r="Q1916" s="76">
        <f t="shared" si="728"/>
        <v>0</v>
      </c>
      <c r="R1916" s="76">
        <f t="shared" si="729"/>
        <v>0</v>
      </c>
      <c r="S1916" s="76">
        <f t="shared" si="730"/>
        <v>0.97502616306726286</v>
      </c>
      <c r="T1916" s="76">
        <f t="shared" si="731"/>
        <v>0.97502616306726286</v>
      </c>
      <c r="U1916" s="76">
        <f t="shared" si="732"/>
        <v>1</v>
      </c>
    </row>
    <row r="1917" spans="1:21" x14ac:dyDescent="0.25">
      <c r="A1917" s="71">
        <v>3</v>
      </c>
      <c r="B1917" s="72">
        <f t="shared" si="733"/>
        <v>45717</v>
      </c>
      <c r="C1917" s="73">
        <f t="shared" si="714"/>
        <v>45747</v>
      </c>
      <c r="D1917" s="67">
        <f t="shared" si="715"/>
        <v>31</v>
      </c>
      <c r="E1917" s="67">
        <f t="shared" si="716"/>
        <v>3</v>
      </c>
      <c r="F1917" s="74">
        <f t="shared" si="717"/>
        <v>45732.5</v>
      </c>
      <c r="G1917" s="67">
        <f t="shared" si="718"/>
        <v>24302</v>
      </c>
      <c r="H1917" s="75">
        <f t="shared" si="719"/>
        <v>1</v>
      </c>
      <c r="I1917" s="76">
        <f t="shared" si="720"/>
        <v>1</v>
      </c>
      <c r="J1917" s="76">
        <f t="shared" si="721"/>
        <v>1</v>
      </c>
      <c r="K1917" s="67">
        <f t="shared" si="722"/>
        <v>0</v>
      </c>
      <c r="L1917" s="67">
        <f t="shared" si="723"/>
        <v>0</v>
      </c>
      <c r="M1917" s="77">
        <f t="shared" si="724"/>
        <v>0</v>
      </c>
      <c r="N1917" s="76">
        <f t="shared" si="725"/>
        <v>1</v>
      </c>
      <c r="O1917" s="77">
        <f t="shared" si="726"/>
        <v>0.8976695842450767</v>
      </c>
      <c r="P1917" s="76">
        <f t="shared" si="727"/>
        <v>0</v>
      </c>
      <c r="Q1917" s="76">
        <f t="shared" si="728"/>
        <v>0</v>
      </c>
      <c r="R1917" s="76">
        <f t="shared" si="729"/>
        <v>0</v>
      </c>
      <c r="S1917" s="76">
        <f t="shared" si="730"/>
        <v>0.97572780896203981</v>
      </c>
      <c r="T1917" s="76">
        <f t="shared" si="731"/>
        <v>0.97572780896203981</v>
      </c>
      <c r="U1917" s="76">
        <f t="shared" si="732"/>
        <v>1</v>
      </c>
    </row>
    <row r="1918" spans="1:21" x14ac:dyDescent="0.25">
      <c r="A1918" s="71">
        <v>4</v>
      </c>
      <c r="B1918" s="72">
        <f t="shared" si="733"/>
        <v>45748</v>
      </c>
      <c r="C1918" s="73">
        <f t="shared" si="714"/>
        <v>45777</v>
      </c>
      <c r="D1918" s="67">
        <f t="shared" si="715"/>
        <v>30</v>
      </c>
      <c r="E1918" s="67">
        <f t="shared" si="716"/>
        <v>4</v>
      </c>
      <c r="F1918" s="74">
        <f t="shared" si="717"/>
        <v>45763</v>
      </c>
      <c r="G1918" s="67">
        <f t="shared" si="718"/>
        <v>24303</v>
      </c>
      <c r="H1918" s="75">
        <f t="shared" si="719"/>
        <v>1</v>
      </c>
      <c r="I1918" s="76">
        <f t="shared" si="720"/>
        <v>1</v>
      </c>
      <c r="J1918" s="76">
        <f t="shared" si="721"/>
        <v>1</v>
      </c>
      <c r="K1918" s="67">
        <f t="shared" si="722"/>
        <v>0</v>
      </c>
      <c r="L1918" s="67">
        <f t="shared" si="723"/>
        <v>0</v>
      </c>
      <c r="M1918" s="77">
        <f t="shared" si="724"/>
        <v>0</v>
      </c>
      <c r="N1918" s="76">
        <f t="shared" si="725"/>
        <v>1</v>
      </c>
      <c r="O1918" s="77">
        <f t="shared" si="726"/>
        <v>0.89833698030634579</v>
      </c>
      <c r="P1918" s="76">
        <f t="shared" si="727"/>
        <v>0</v>
      </c>
      <c r="Q1918" s="76">
        <f t="shared" si="728"/>
        <v>0</v>
      </c>
      <c r="R1918" s="76">
        <f t="shared" si="729"/>
        <v>0</v>
      </c>
      <c r="S1918" s="76">
        <f t="shared" si="730"/>
        <v>0.97645323946341933</v>
      </c>
      <c r="T1918" s="76">
        <f t="shared" si="731"/>
        <v>0.97645323946341933</v>
      </c>
      <c r="U1918" s="76">
        <f t="shared" si="732"/>
        <v>1</v>
      </c>
    </row>
    <row r="1919" spans="1:21" x14ac:dyDescent="0.25">
      <c r="A1919" s="71">
        <v>5</v>
      </c>
      <c r="B1919" s="72">
        <f t="shared" si="733"/>
        <v>45778</v>
      </c>
      <c r="C1919" s="73">
        <f t="shared" si="714"/>
        <v>45808</v>
      </c>
      <c r="D1919" s="67">
        <f t="shared" si="715"/>
        <v>31</v>
      </c>
      <c r="E1919" s="67">
        <f t="shared" si="716"/>
        <v>5</v>
      </c>
      <c r="F1919" s="74">
        <f t="shared" si="717"/>
        <v>45793.5</v>
      </c>
      <c r="G1919" s="67">
        <f t="shared" si="718"/>
        <v>24304</v>
      </c>
      <c r="H1919" s="75">
        <f t="shared" si="719"/>
        <v>1</v>
      </c>
      <c r="I1919" s="76">
        <f t="shared" si="720"/>
        <v>1</v>
      </c>
      <c r="J1919" s="76">
        <f t="shared" si="721"/>
        <v>1</v>
      </c>
      <c r="K1919" s="67">
        <f t="shared" si="722"/>
        <v>0</v>
      </c>
      <c r="L1919" s="67">
        <f t="shared" si="723"/>
        <v>0</v>
      </c>
      <c r="M1919" s="77">
        <f t="shared" si="724"/>
        <v>0</v>
      </c>
      <c r="N1919" s="76">
        <f t="shared" si="725"/>
        <v>1</v>
      </c>
      <c r="O1919" s="77">
        <f t="shared" si="726"/>
        <v>0.89900437636761499</v>
      </c>
      <c r="P1919" s="76">
        <f t="shared" si="727"/>
        <v>0</v>
      </c>
      <c r="Q1919" s="76">
        <f t="shared" si="728"/>
        <v>0</v>
      </c>
      <c r="R1919" s="76">
        <f t="shared" si="729"/>
        <v>0</v>
      </c>
      <c r="S1919" s="76">
        <f t="shared" si="730"/>
        <v>0.97717866996479885</v>
      </c>
      <c r="T1919" s="76">
        <f t="shared" si="731"/>
        <v>0.97717866996479885</v>
      </c>
      <c r="U1919" s="76">
        <f t="shared" si="732"/>
        <v>1</v>
      </c>
    </row>
    <row r="1920" spans="1:21" x14ac:dyDescent="0.25">
      <c r="A1920" s="71">
        <v>6</v>
      </c>
      <c r="B1920" s="72">
        <f t="shared" si="733"/>
        <v>45809</v>
      </c>
      <c r="C1920" s="73">
        <f t="shared" si="714"/>
        <v>45838</v>
      </c>
      <c r="D1920" s="67">
        <f t="shared" si="715"/>
        <v>30</v>
      </c>
      <c r="E1920" s="67">
        <f t="shared" si="716"/>
        <v>6</v>
      </c>
      <c r="F1920" s="74">
        <f t="shared" si="717"/>
        <v>45824</v>
      </c>
      <c r="G1920" s="67">
        <f t="shared" si="718"/>
        <v>24305</v>
      </c>
      <c r="H1920" s="75">
        <f t="shared" si="719"/>
        <v>1</v>
      </c>
      <c r="I1920" s="76">
        <f t="shared" si="720"/>
        <v>1</v>
      </c>
      <c r="J1920" s="76">
        <f t="shared" si="721"/>
        <v>1</v>
      </c>
      <c r="K1920" s="67">
        <f t="shared" si="722"/>
        <v>0</v>
      </c>
      <c r="L1920" s="67">
        <f t="shared" si="723"/>
        <v>0</v>
      </c>
      <c r="M1920" s="77">
        <f t="shared" si="724"/>
        <v>0</v>
      </c>
      <c r="N1920" s="76">
        <f t="shared" si="725"/>
        <v>1</v>
      </c>
      <c r="O1920" s="77">
        <f t="shared" si="726"/>
        <v>0.89967177242888408</v>
      </c>
      <c r="P1920" s="76">
        <f t="shared" si="727"/>
        <v>0</v>
      </c>
      <c r="Q1920" s="76">
        <f t="shared" si="728"/>
        <v>0</v>
      </c>
      <c r="R1920" s="76">
        <f t="shared" si="729"/>
        <v>0</v>
      </c>
      <c r="S1920" s="76">
        <f t="shared" si="730"/>
        <v>0.97790410046617826</v>
      </c>
      <c r="T1920" s="76">
        <f t="shared" si="731"/>
        <v>0.97790410046617826</v>
      </c>
      <c r="U1920" s="76">
        <f t="shared" si="732"/>
        <v>1</v>
      </c>
    </row>
    <row r="1921" spans="1:21" x14ac:dyDescent="0.25">
      <c r="A1921" s="71">
        <v>7</v>
      </c>
      <c r="B1921" s="72">
        <f t="shared" si="733"/>
        <v>45839</v>
      </c>
      <c r="C1921" s="73">
        <f t="shared" si="714"/>
        <v>45869</v>
      </c>
      <c r="D1921" s="67">
        <f t="shared" si="715"/>
        <v>31</v>
      </c>
      <c r="E1921" s="67">
        <f t="shared" si="716"/>
        <v>7</v>
      </c>
      <c r="F1921" s="74">
        <f t="shared" si="717"/>
        <v>45854.5</v>
      </c>
      <c r="G1921" s="67">
        <f t="shared" si="718"/>
        <v>24306</v>
      </c>
      <c r="H1921" s="75">
        <f t="shared" si="719"/>
        <v>1</v>
      </c>
      <c r="I1921" s="76">
        <f t="shared" si="720"/>
        <v>1</v>
      </c>
      <c r="J1921" s="76">
        <f t="shared" si="721"/>
        <v>1</v>
      </c>
      <c r="K1921" s="67">
        <f t="shared" si="722"/>
        <v>0</v>
      </c>
      <c r="L1921" s="67">
        <f t="shared" si="723"/>
        <v>0</v>
      </c>
      <c r="M1921" s="77">
        <f t="shared" si="724"/>
        <v>0</v>
      </c>
      <c r="N1921" s="76">
        <f t="shared" si="725"/>
        <v>1</v>
      </c>
      <c r="O1921" s="77">
        <f t="shared" si="726"/>
        <v>0.90033916849015327</v>
      </c>
      <c r="P1921" s="76">
        <f t="shared" si="727"/>
        <v>8.333333333333337E-2</v>
      </c>
      <c r="Q1921" s="76">
        <f t="shared" si="728"/>
        <v>0</v>
      </c>
      <c r="R1921" s="76">
        <f t="shared" si="729"/>
        <v>0</v>
      </c>
      <c r="S1921" s="76">
        <f t="shared" si="730"/>
        <v>0.97862953096755789</v>
      </c>
      <c r="T1921" s="76">
        <f t="shared" si="731"/>
        <v>0.97862953096755789</v>
      </c>
      <c r="U1921" s="76">
        <f t="shared" si="732"/>
        <v>1</v>
      </c>
    </row>
    <row r="1922" spans="1:21" x14ac:dyDescent="0.25">
      <c r="A1922" s="71">
        <v>8</v>
      </c>
      <c r="B1922" s="72">
        <f t="shared" si="733"/>
        <v>45870</v>
      </c>
      <c r="C1922" s="73">
        <f t="shared" si="714"/>
        <v>45900</v>
      </c>
      <c r="D1922" s="67">
        <f t="shared" si="715"/>
        <v>31</v>
      </c>
      <c r="E1922" s="67">
        <f t="shared" si="716"/>
        <v>8</v>
      </c>
      <c r="F1922" s="74">
        <f t="shared" si="717"/>
        <v>45885.5</v>
      </c>
      <c r="G1922" s="67">
        <f t="shared" si="718"/>
        <v>24307</v>
      </c>
      <c r="H1922" s="75">
        <f t="shared" si="719"/>
        <v>1</v>
      </c>
      <c r="I1922" s="76">
        <f t="shared" si="720"/>
        <v>1</v>
      </c>
      <c r="J1922" s="76">
        <f t="shared" si="721"/>
        <v>1</v>
      </c>
      <c r="K1922" s="67">
        <f t="shared" si="722"/>
        <v>0</v>
      </c>
      <c r="L1922" s="67">
        <f t="shared" si="723"/>
        <v>0</v>
      </c>
      <c r="M1922" s="77">
        <f t="shared" si="724"/>
        <v>0</v>
      </c>
      <c r="N1922" s="76">
        <f t="shared" si="725"/>
        <v>1</v>
      </c>
      <c r="O1922" s="77">
        <f t="shared" si="726"/>
        <v>0.90101750547045956</v>
      </c>
      <c r="P1922" s="76">
        <f t="shared" si="727"/>
        <v>0.25</v>
      </c>
      <c r="Q1922" s="76">
        <f t="shared" si="728"/>
        <v>0</v>
      </c>
      <c r="R1922" s="76">
        <f t="shared" si="729"/>
        <v>0</v>
      </c>
      <c r="S1922" s="76">
        <f t="shared" si="730"/>
        <v>0.97936685377223864</v>
      </c>
      <c r="T1922" s="76">
        <f t="shared" si="731"/>
        <v>0.97936685377223864</v>
      </c>
      <c r="U1922" s="76">
        <f t="shared" si="732"/>
        <v>1</v>
      </c>
    </row>
    <row r="1923" spans="1:21" x14ac:dyDescent="0.25">
      <c r="A1923" s="71">
        <v>9</v>
      </c>
      <c r="B1923" s="72">
        <f t="shared" si="733"/>
        <v>45901</v>
      </c>
      <c r="C1923" s="73">
        <f t="shared" si="714"/>
        <v>45930</v>
      </c>
      <c r="D1923" s="67">
        <f t="shared" si="715"/>
        <v>30</v>
      </c>
      <c r="E1923" s="67">
        <f t="shared" si="716"/>
        <v>9</v>
      </c>
      <c r="F1923" s="74">
        <f t="shared" si="717"/>
        <v>45916</v>
      </c>
      <c r="G1923" s="67">
        <f t="shared" si="718"/>
        <v>24308</v>
      </c>
      <c r="H1923" s="75">
        <f t="shared" si="719"/>
        <v>1</v>
      </c>
      <c r="I1923" s="76">
        <f t="shared" si="720"/>
        <v>1</v>
      </c>
      <c r="J1923" s="76">
        <f t="shared" si="721"/>
        <v>1</v>
      </c>
      <c r="K1923" s="67">
        <f t="shared" si="722"/>
        <v>0</v>
      </c>
      <c r="L1923" s="67">
        <f t="shared" si="723"/>
        <v>0</v>
      </c>
      <c r="M1923" s="77">
        <f t="shared" si="724"/>
        <v>0</v>
      </c>
      <c r="N1923" s="76">
        <f t="shared" si="725"/>
        <v>1</v>
      </c>
      <c r="O1923" s="77">
        <f t="shared" si="726"/>
        <v>0.90168490153172876</v>
      </c>
      <c r="P1923" s="76">
        <f t="shared" si="727"/>
        <v>0.41666666666666663</v>
      </c>
      <c r="Q1923" s="76">
        <f t="shared" si="728"/>
        <v>0</v>
      </c>
      <c r="R1923" s="76">
        <f t="shared" si="729"/>
        <v>0</v>
      </c>
      <c r="S1923" s="76">
        <f t="shared" si="730"/>
        <v>0.98009228427361816</v>
      </c>
      <c r="T1923" s="76">
        <f t="shared" si="731"/>
        <v>0.98009228427361816</v>
      </c>
      <c r="U1923" s="76">
        <f t="shared" si="732"/>
        <v>1</v>
      </c>
    </row>
    <row r="1924" spans="1:21" x14ac:dyDescent="0.25">
      <c r="A1924" s="71">
        <v>10</v>
      </c>
      <c r="B1924" s="72">
        <f t="shared" si="733"/>
        <v>45931</v>
      </c>
      <c r="C1924" s="73">
        <f t="shared" si="714"/>
        <v>45961</v>
      </c>
      <c r="D1924" s="67">
        <f t="shared" si="715"/>
        <v>31</v>
      </c>
      <c r="E1924" s="67">
        <f t="shared" si="716"/>
        <v>10</v>
      </c>
      <c r="F1924" s="74">
        <f t="shared" si="717"/>
        <v>45946.5</v>
      </c>
      <c r="G1924" s="67">
        <f t="shared" si="718"/>
        <v>24309</v>
      </c>
      <c r="H1924" s="75">
        <f t="shared" si="719"/>
        <v>1</v>
      </c>
      <c r="I1924" s="76">
        <f t="shared" si="720"/>
        <v>1</v>
      </c>
      <c r="J1924" s="76">
        <f t="shared" si="721"/>
        <v>1</v>
      </c>
      <c r="K1924" s="67">
        <f t="shared" si="722"/>
        <v>0</v>
      </c>
      <c r="L1924" s="67">
        <f t="shared" si="723"/>
        <v>0</v>
      </c>
      <c r="M1924" s="77">
        <f t="shared" si="724"/>
        <v>0</v>
      </c>
      <c r="N1924" s="76">
        <f t="shared" si="725"/>
        <v>1</v>
      </c>
      <c r="O1924" s="77">
        <f t="shared" si="726"/>
        <v>0.90235229759299784</v>
      </c>
      <c r="P1924" s="76">
        <f t="shared" si="727"/>
        <v>0.58333333333333326</v>
      </c>
      <c r="Q1924" s="76">
        <f t="shared" si="728"/>
        <v>0</v>
      </c>
      <c r="R1924" s="76">
        <f t="shared" si="729"/>
        <v>0</v>
      </c>
      <c r="S1924" s="76">
        <f t="shared" si="730"/>
        <v>0.98081771477499757</v>
      </c>
      <c r="T1924" s="76">
        <f t="shared" si="731"/>
        <v>0.98081771477499757</v>
      </c>
      <c r="U1924" s="76">
        <f t="shared" si="732"/>
        <v>1</v>
      </c>
    </row>
    <row r="1925" spans="1:21" x14ac:dyDescent="0.25">
      <c r="A1925" s="71">
        <v>11</v>
      </c>
      <c r="B1925" s="72">
        <f t="shared" si="733"/>
        <v>45962</v>
      </c>
      <c r="C1925" s="73">
        <f t="shared" si="714"/>
        <v>45991</v>
      </c>
      <c r="D1925" s="67">
        <f t="shared" si="715"/>
        <v>30</v>
      </c>
      <c r="E1925" s="67">
        <f t="shared" si="716"/>
        <v>11</v>
      </c>
      <c r="F1925" s="74">
        <f t="shared" si="717"/>
        <v>45977</v>
      </c>
      <c r="G1925" s="67">
        <f t="shared" si="718"/>
        <v>24310</v>
      </c>
      <c r="H1925" s="75">
        <f t="shared" si="719"/>
        <v>1</v>
      </c>
      <c r="I1925" s="76">
        <f t="shared" si="720"/>
        <v>1</v>
      </c>
      <c r="J1925" s="76">
        <f t="shared" si="721"/>
        <v>1</v>
      </c>
      <c r="K1925" s="67">
        <f t="shared" si="722"/>
        <v>0</v>
      </c>
      <c r="L1925" s="67">
        <f t="shared" si="723"/>
        <v>0</v>
      </c>
      <c r="M1925" s="77">
        <f t="shared" si="724"/>
        <v>0</v>
      </c>
      <c r="N1925" s="76">
        <f t="shared" si="725"/>
        <v>1</v>
      </c>
      <c r="O1925" s="77">
        <f t="shared" si="726"/>
        <v>0.90301969365426704</v>
      </c>
      <c r="P1925" s="76">
        <f t="shared" si="727"/>
        <v>0.75</v>
      </c>
      <c r="Q1925" s="76">
        <f t="shared" si="728"/>
        <v>0</v>
      </c>
      <c r="R1925" s="76">
        <f t="shared" si="729"/>
        <v>0</v>
      </c>
      <c r="S1925" s="76">
        <f t="shared" si="730"/>
        <v>0.9815431452763772</v>
      </c>
      <c r="T1925" s="76">
        <f t="shared" si="731"/>
        <v>0.9815431452763772</v>
      </c>
      <c r="U1925" s="76">
        <f t="shared" si="732"/>
        <v>1</v>
      </c>
    </row>
    <row r="1926" spans="1:21" x14ac:dyDescent="0.25">
      <c r="A1926" s="71">
        <v>12</v>
      </c>
      <c r="B1926" s="72">
        <f t="shared" si="733"/>
        <v>45992</v>
      </c>
      <c r="C1926" s="73">
        <f t="shared" si="714"/>
        <v>46022</v>
      </c>
      <c r="D1926" s="67">
        <f t="shared" si="715"/>
        <v>31</v>
      </c>
      <c r="E1926" s="67">
        <f t="shared" si="716"/>
        <v>12</v>
      </c>
      <c r="F1926" s="74">
        <f t="shared" si="717"/>
        <v>46007.5</v>
      </c>
      <c r="G1926" s="67">
        <f t="shared" si="718"/>
        <v>24311</v>
      </c>
      <c r="H1926" s="75">
        <f t="shared" si="719"/>
        <v>1</v>
      </c>
      <c r="I1926" s="76">
        <f t="shared" si="720"/>
        <v>1</v>
      </c>
      <c r="J1926" s="76">
        <f t="shared" si="721"/>
        <v>1</v>
      </c>
      <c r="K1926" s="67">
        <f t="shared" si="722"/>
        <v>0</v>
      </c>
      <c r="L1926" s="67">
        <f t="shared" si="723"/>
        <v>0</v>
      </c>
      <c r="M1926" s="77">
        <f t="shared" si="724"/>
        <v>0</v>
      </c>
      <c r="N1926" s="76">
        <f t="shared" si="725"/>
        <v>1</v>
      </c>
      <c r="O1926" s="77">
        <f t="shared" si="726"/>
        <v>0.90368708971553613</v>
      </c>
      <c r="P1926" s="76">
        <f t="shared" si="727"/>
        <v>0.91666666666666663</v>
      </c>
      <c r="Q1926" s="76">
        <f t="shared" si="728"/>
        <v>0</v>
      </c>
      <c r="R1926" s="76">
        <f t="shared" si="729"/>
        <v>0</v>
      </c>
      <c r="S1926" s="76">
        <f t="shared" si="730"/>
        <v>0.98226857577775661</v>
      </c>
      <c r="T1926" s="76">
        <f t="shared" si="731"/>
        <v>0.98226857577775661</v>
      </c>
      <c r="U1926" s="76">
        <f t="shared" si="732"/>
        <v>1</v>
      </c>
    </row>
    <row r="1927" spans="1:21" x14ac:dyDescent="0.25">
      <c r="A1927" s="71">
        <v>13</v>
      </c>
      <c r="B1927" s="72">
        <f t="shared" si="733"/>
        <v>46023</v>
      </c>
      <c r="C1927" s="73">
        <f t="shared" si="714"/>
        <v>46053</v>
      </c>
      <c r="D1927" s="67">
        <f t="shared" si="715"/>
        <v>31</v>
      </c>
      <c r="E1927" s="67">
        <f t="shared" si="716"/>
        <v>1</v>
      </c>
      <c r="F1927" s="74">
        <f t="shared" si="717"/>
        <v>46038.5</v>
      </c>
      <c r="G1927" s="67">
        <f t="shared" si="718"/>
        <v>24312</v>
      </c>
      <c r="H1927" s="75">
        <f t="shared" si="719"/>
        <v>1</v>
      </c>
      <c r="I1927" s="76">
        <f t="shared" si="720"/>
        <v>1</v>
      </c>
      <c r="J1927" s="76">
        <f t="shared" si="721"/>
        <v>1</v>
      </c>
      <c r="K1927" s="67">
        <f t="shared" si="722"/>
        <v>0</v>
      </c>
      <c r="L1927" s="67">
        <f t="shared" si="723"/>
        <v>0</v>
      </c>
      <c r="M1927" s="77">
        <f t="shared" si="724"/>
        <v>0</v>
      </c>
      <c r="N1927" s="76">
        <f t="shared" si="725"/>
        <v>1</v>
      </c>
      <c r="O1927" s="77">
        <f t="shared" si="726"/>
        <v>0.90436542669584252</v>
      </c>
      <c r="P1927" s="76">
        <f t="shared" si="727"/>
        <v>1</v>
      </c>
      <c r="Q1927" s="76">
        <f t="shared" si="728"/>
        <v>0</v>
      </c>
      <c r="R1927" s="76">
        <f t="shared" si="729"/>
        <v>0</v>
      </c>
      <c r="S1927" s="76">
        <f t="shared" si="730"/>
        <v>0.98300589858243748</v>
      </c>
      <c r="T1927" s="76">
        <f t="shared" si="731"/>
        <v>0.98300589858243748</v>
      </c>
      <c r="U1927" s="76">
        <f t="shared" si="732"/>
        <v>1</v>
      </c>
    </row>
    <row r="1928" spans="1:21" x14ac:dyDescent="0.25">
      <c r="A1928" s="71">
        <v>14</v>
      </c>
      <c r="B1928" s="72">
        <f t="shared" si="733"/>
        <v>46054</v>
      </c>
      <c r="C1928" s="73">
        <f t="shared" si="714"/>
        <v>46081</v>
      </c>
      <c r="D1928" s="67">
        <f t="shared" si="715"/>
        <v>28</v>
      </c>
      <c r="E1928" s="67">
        <f t="shared" si="716"/>
        <v>2</v>
      </c>
      <c r="F1928" s="74">
        <f t="shared" si="717"/>
        <v>46068</v>
      </c>
      <c r="G1928" s="67">
        <f t="shared" si="718"/>
        <v>24313</v>
      </c>
      <c r="H1928" s="75">
        <f t="shared" si="719"/>
        <v>1</v>
      </c>
      <c r="I1928" s="76">
        <f t="shared" si="720"/>
        <v>1</v>
      </c>
      <c r="J1928" s="76">
        <f t="shared" si="721"/>
        <v>1</v>
      </c>
      <c r="K1928" s="67">
        <f t="shared" si="722"/>
        <v>0</v>
      </c>
      <c r="L1928" s="67">
        <f t="shared" si="723"/>
        <v>0</v>
      </c>
      <c r="M1928" s="77">
        <f t="shared" si="724"/>
        <v>0</v>
      </c>
      <c r="N1928" s="76">
        <f t="shared" si="725"/>
        <v>1</v>
      </c>
      <c r="O1928" s="77">
        <f t="shared" si="726"/>
        <v>0.90501094091903722</v>
      </c>
      <c r="P1928" s="76">
        <f t="shared" si="727"/>
        <v>1</v>
      </c>
      <c r="Q1928" s="76">
        <f t="shared" si="728"/>
        <v>0</v>
      </c>
      <c r="R1928" s="76">
        <f t="shared" si="729"/>
        <v>0</v>
      </c>
      <c r="S1928" s="76">
        <f t="shared" si="730"/>
        <v>0.98370754447721431</v>
      </c>
      <c r="T1928" s="76">
        <f t="shared" si="731"/>
        <v>0.98370754447721431</v>
      </c>
      <c r="U1928" s="76">
        <f t="shared" si="732"/>
        <v>1</v>
      </c>
    </row>
    <row r="1929" spans="1:21" x14ac:dyDescent="0.25">
      <c r="A1929" s="71">
        <v>15</v>
      </c>
      <c r="B1929" s="72">
        <f t="shared" si="733"/>
        <v>46082</v>
      </c>
      <c r="C1929" s="73">
        <f t="shared" si="714"/>
        <v>46112</v>
      </c>
      <c r="D1929" s="67">
        <f t="shared" si="715"/>
        <v>31</v>
      </c>
      <c r="E1929" s="67">
        <f t="shared" si="716"/>
        <v>3</v>
      </c>
      <c r="F1929" s="74">
        <f t="shared" si="717"/>
        <v>46097.5</v>
      </c>
      <c r="G1929" s="67">
        <f t="shared" si="718"/>
        <v>24314</v>
      </c>
      <c r="H1929" s="75">
        <f t="shared" si="719"/>
        <v>1</v>
      </c>
      <c r="I1929" s="76">
        <f t="shared" si="720"/>
        <v>1</v>
      </c>
      <c r="J1929" s="76">
        <f t="shared" si="721"/>
        <v>1</v>
      </c>
      <c r="K1929" s="67">
        <f t="shared" si="722"/>
        <v>0</v>
      </c>
      <c r="L1929" s="67">
        <f t="shared" si="723"/>
        <v>0</v>
      </c>
      <c r="M1929" s="77">
        <f t="shared" si="724"/>
        <v>0</v>
      </c>
      <c r="N1929" s="76">
        <f t="shared" si="725"/>
        <v>1</v>
      </c>
      <c r="O1929" s="77">
        <f t="shared" si="726"/>
        <v>0.90565645514223203</v>
      </c>
      <c r="P1929" s="76">
        <f t="shared" si="727"/>
        <v>1</v>
      </c>
      <c r="Q1929" s="76">
        <f t="shared" si="728"/>
        <v>0</v>
      </c>
      <c r="R1929" s="76">
        <f t="shared" si="729"/>
        <v>0</v>
      </c>
      <c r="S1929" s="76">
        <f t="shared" si="730"/>
        <v>0.98440919037199126</v>
      </c>
      <c r="T1929" s="76">
        <f t="shared" si="731"/>
        <v>0.98440919037199126</v>
      </c>
      <c r="U1929" s="76">
        <f t="shared" si="732"/>
        <v>1</v>
      </c>
    </row>
    <row r="1930" spans="1:21" x14ac:dyDescent="0.25">
      <c r="A1930" s="71">
        <v>16</v>
      </c>
      <c r="B1930" s="72">
        <f t="shared" si="733"/>
        <v>46113</v>
      </c>
      <c r="C1930" s="73">
        <f t="shared" si="714"/>
        <v>46142</v>
      </c>
      <c r="D1930" s="67">
        <f t="shared" si="715"/>
        <v>30</v>
      </c>
      <c r="E1930" s="67">
        <f t="shared" si="716"/>
        <v>4</v>
      </c>
      <c r="F1930" s="74">
        <f t="shared" si="717"/>
        <v>46128</v>
      </c>
      <c r="G1930" s="67">
        <f t="shared" si="718"/>
        <v>24315</v>
      </c>
      <c r="H1930" s="75">
        <f t="shared" si="719"/>
        <v>1</v>
      </c>
      <c r="I1930" s="76">
        <f t="shared" si="720"/>
        <v>1</v>
      </c>
      <c r="J1930" s="76">
        <f t="shared" si="721"/>
        <v>1</v>
      </c>
      <c r="K1930" s="67">
        <f t="shared" si="722"/>
        <v>0</v>
      </c>
      <c r="L1930" s="67">
        <f t="shared" si="723"/>
        <v>0</v>
      </c>
      <c r="M1930" s="77">
        <f t="shared" si="724"/>
        <v>0</v>
      </c>
      <c r="N1930" s="76">
        <f t="shared" si="725"/>
        <v>1</v>
      </c>
      <c r="O1930" s="77">
        <f t="shared" si="726"/>
        <v>0.90632385120350112</v>
      </c>
      <c r="P1930" s="76">
        <f t="shared" si="727"/>
        <v>1</v>
      </c>
      <c r="Q1930" s="76">
        <f t="shared" si="728"/>
        <v>0</v>
      </c>
      <c r="R1930" s="76">
        <f t="shared" si="729"/>
        <v>0</v>
      </c>
      <c r="S1930" s="76">
        <f t="shared" si="730"/>
        <v>0.98513462087337078</v>
      </c>
      <c r="T1930" s="76">
        <f t="shared" si="731"/>
        <v>0.98513462087337078</v>
      </c>
      <c r="U1930" s="76">
        <f t="shared" si="732"/>
        <v>1</v>
      </c>
    </row>
    <row r="1931" spans="1:21" x14ac:dyDescent="0.25">
      <c r="A1931" s="71">
        <v>17</v>
      </c>
      <c r="B1931" s="72">
        <f t="shared" si="733"/>
        <v>46143</v>
      </c>
      <c r="C1931" s="73">
        <f t="shared" si="714"/>
        <v>46173</v>
      </c>
      <c r="D1931" s="67">
        <f t="shared" si="715"/>
        <v>31</v>
      </c>
      <c r="E1931" s="67">
        <f t="shared" si="716"/>
        <v>5</v>
      </c>
      <c r="F1931" s="74">
        <f t="shared" si="717"/>
        <v>46158.5</v>
      </c>
      <c r="G1931" s="67">
        <f t="shared" si="718"/>
        <v>24316</v>
      </c>
      <c r="H1931" s="75">
        <f t="shared" si="719"/>
        <v>1</v>
      </c>
      <c r="I1931" s="76">
        <f t="shared" si="720"/>
        <v>1</v>
      </c>
      <c r="J1931" s="76">
        <f t="shared" si="721"/>
        <v>1</v>
      </c>
      <c r="K1931" s="67">
        <f t="shared" si="722"/>
        <v>0</v>
      </c>
      <c r="L1931" s="67">
        <f t="shared" si="723"/>
        <v>0</v>
      </c>
      <c r="M1931" s="77">
        <f t="shared" si="724"/>
        <v>0</v>
      </c>
      <c r="N1931" s="76">
        <f t="shared" si="725"/>
        <v>1</v>
      </c>
      <c r="O1931" s="77">
        <f t="shared" si="726"/>
        <v>0.90699124726477032</v>
      </c>
      <c r="P1931" s="76">
        <f t="shared" si="727"/>
        <v>1</v>
      </c>
      <c r="Q1931" s="76">
        <f t="shared" si="728"/>
        <v>0</v>
      </c>
      <c r="R1931" s="76">
        <f t="shared" si="729"/>
        <v>0</v>
      </c>
      <c r="S1931" s="76">
        <f t="shared" si="730"/>
        <v>0.9858600513747503</v>
      </c>
      <c r="T1931" s="76">
        <f t="shared" si="731"/>
        <v>0.9858600513747503</v>
      </c>
      <c r="U1931" s="76">
        <f t="shared" si="732"/>
        <v>1</v>
      </c>
    </row>
    <row r="1932" spans="1:21" x14ac:dyDescent="0.25">
      <c r="A1932" s="71">
        <v>18</v>
      </c>
      <c r="B1932" s="72">
        <f t="shared" si="733"/>
        <v>46174</v>
      </c>
      <c r="C1932" s="73">
        <f t="shared" si="714"/>
        <v>46203</v>
      </c>
      <c r="D1932" s="67">
        <f t="shared" si="715"/>
        <v>30</v>
      </c>
      <c r="E1932" s="67">
        <f t="shared" si="716"/>
        <v>6</v>
      </c>
      <c r="F1932" s="74">
        <f t="shared" si="717"/>
        <v>46189</v>
      </c>
      <c r="G1932" s="67">
        <f t="shared" si="718"/>
        <v>24317</v>
      </c>
      <c r="H1932" s="75">
        <f t="shared" si="719"/>
        <v>1</v>
      </c>
      <c r="I1932" s="76">
        <f t="shared" si="720"/>
        <v>1</v>
      </c>
      <c r="J1932" s="76">
        <f t="shared" si="721"/>
        <v>1</v>
      </c>
      <c r="K1932" s="67">
        <f t="shared" si="722"/>
        <v>0</v>
      </c>
      <c r="L1932" s="67">
        <f t="shared" si="723"/>
        <v>0</v>
      </c>
      <c r="M1932" s="77">
        <f t="shared" si="724"/>
        <v>0</v>
      </c>
      <c r="N1932" s="76">
        <f t="shared" si="725"/>
        <v>1</v>
      </c>
      <c r="O1932" s="77">
        <f t="shared" si="726"/>
        <v>0.9076586433260394</v>
      </c>
      <c r="P1932" s="76">
        <f t="shared" si="727"/>
        <v>1</v>
      </c>
      <c r="Q1932" s="76">
        <f t="shared" si="728"/>
        <v>0</v>
      </c>
      <c r="R1932" s="76">
        <f t="shared" si="729"/>
        <v>0</v>
      </c>
      <c r="S1932" s="76">
        <f t="shared" si="730"/>
        <v>0.98658548187612971</v>
      </c>
      <c r="T1932" s="76">
        <f t="shared" si="731"/>
        <v>0.98658548187612971</v>
      </c>
      <c r="U1932" s="76">
        <f t="shared" si="732"/>
        <v>1</v>
      </c>
    </row>
    <row r="1933" spans="1:21" x14ac:dyDescent="0.25">
      <c r="A1933" s="71">
        <v>19</v>
      </c>
      <c r="B1933" s="72">
        <f t="shared" si="733"/>
        <v>46204</v>
      </c>
      <c r="C1933" s="73">
        <f t="shared" si="714"/>
        <v>46234</v>
      </c>
      <c r="D1933" s="67">
        <f t="shared" si="715"/>
        <v>31</v>
      </c>
      <c r="E1933" s="67">
        <f t="shared" si="716"/>
        <v>7</v>
      </c>
      <c r="F1933" s="74">
        <f t="shared" si="717"/>
        <v>46219.5</v>
      </c>
      <c r="G1933" s="67">
        <f t="shared" si="718"/>
        <v>24318</v>
      </c>
      <c r="H1933" s="75">
        <f t="shared" si="719"/>
        <v>1</v>
      </c>
      <c r="I1933" s="76">
        <f t="shared" si="720"/>
        <v>1</v>
      </c>
      <c r="J1933" s="76">
        <f t="shared" si="721"/>
        <v>1</v>
      </c>
      <c r="K1933" s="67">
        <f t="shared" si="722"/>
        <v>0</v>
      </c>
      <c r="L1933" s="67">
        <f t="shared" si="723"/>
        <v>0</v>
      </c>
      <c r="M1933" s="77">
        <f t="shared" si="724"/>
        <v>0</v>
      </c>
      <c r="N1933" s="76">
        <f t="shared" si="725"/>
        <v>1</v>
      </c>
      <c r="O1933" s="77">
        <f t="shared" si="726"/>
        <v>0.9083260393873086</v>
      </c>
      <c r="P1933" s="76">
        <f t="shared" si="727"/>
        <v>0.91666666666666663</v>
      </c>
      <c r="Q1933" s="76">
        <f t="shared" si="728"/>
        <v>8.333333333333337E-2</v>
      </c>
      <c r="R1933" s="76">
        <f t="shared" si="729"/>
        <v>0</v>
      </c>
      <c r="S1933" s="76">
        <f t="shared" si="730"/>
        <v>0.98731091237750934</v>
      </c>
      <c r="T1933" s="76">
        <f t="shared" si="731"/>
        <v>0.98731091237750934</v>
      </c>
      <c r="U1933" s="76">
        <f t="shared" si="732"/>
        <v>1</v>
      </c>
    </row>
    <row r="1934" spans="1:21" x14ac:dyDescent="0.25">
      <c r="A1934" s="71">
        <v>20</v>
      </c>
      <c r="B1934" s="72">
        <f t="shared" si="733"/>
        <v>46235</v>
      </c>
      <c r="C1934" s="73">
        <f t="shared" si="714"/>
        <v>46265</v>
      </c>
      <c r="D1934" s="67">
        <f t="shared" si="715"/>
        <v>31</v>
      </c>
      <c r="E1934" s="67">
        <f t="shared" si="716"/>
        <v>8</v>
      </c>
      <c r="F1934" s="74">
        <f t="shared" si="717"/>
        <v>46250.5</v>
      </c>
      <c r="G1934" s="67">
        <f t="shared" si="718"/>
        <v>24319</v>
      </c>
      <c r="H1934" s="75">
        <f t="shared" si="719"/>
        <v>1</v>
      </c>
      <c r="I1934" s="76">
        <f t="shared" si="720"/>
        <v>1</v>
      </c>
      <c r="J1934" s="76">
        <f t="shared" si="721"/>
        <v>1</v>
      </c>
      <c r="K1934" s="67">
        <f t="shared" si="722"/>
        <v>0</v>
      </c>
      <c r="L1934" s="67">
        <f t="shared" si="723"/>
        <v>0</v>
      </c>
      <c r="M1934" s="77">
        <f t="shared" si="724"/>
        <v>0</v>
      </c>
      <c r="N1934" s="76">
        <f t="shared" si="725"/>
        <v>1</v>
      </c>
      <c r="O1934" s="77">
        <f t="shared" si="726"/>
        <v>0.90900437636761489</v>
      </c>
      <c r="P1934" s="76">
        <f t="shared" si="727"/>
        <v>0.75</v>
      </c>
      <c r="Q1934" s="76">
        <f t="shared" si="728"/>
        <v>0.25</v>
      </c>
      <c r="R1934" s="76">
        <f t="shared" si="729"/>
        <v>0</v>
      </c>
      <c r="S1934" s="76">
        <f t="shared" si="730"/>
        <v>0.98804823518219009</v>
      </c>
      <c r="T1934" s="76">
        <f t="shared" si="731"/>
        <v>0.98804823518219009</v>
      </c>
      <c r="U1934" s="76">
        <f t="shared" si="732"/>
        <v>1</v>
      </c>
    </row>
    <row r="1935" spans="1:21" x14ac:dyDescent="0.25">
      <c r="A1935" s="71">
        <v>21</v>
      </c>
      <c r="B1935" s="72">
        <f t="shared" si="733"/>
        <v>46266</v>
      </c>
      <c r="C1935" s="73">
        <f t="shared" si="714"/>
        <v>46295</v>
      </c>
      <c r="D1935" s="67">
        <f t="shared" si="715"/>
        <v>30</v>
      </c>
      <c r="E1935" s="67">
        <f t="shared" si="716"/>
        <v>9</v>
      </c>
      <c r="F1935" s="74">
        <f t="shared" si="717"/>
        <v>46281</v>
      </c>
      <c r="G1935" s="67">
        <f t="shared" si="718"/>
        <v>24320</v>
      </c>
      <c r="H1935" s="75">
        <f t="shared" si="719"/>
        <v>1</v>
      </c>
      <c r="I1935" s="76">
        <f t="shared" si="720"/>
        <v>1</v>
      </c>
      <c r="J1935" s="76">
        <f t="shared" si="721"/>
        <v>1</v>
      </c>
      <c r="K1935" s="67">
        <f t="shared" si="722"/>
        <v>0</v>
      </c>
      <c r="L1935" s="67">
        <f t="shared" si="723"/>
        <v>0</v>
      </c>
      <c r="M1935" s="77">
        <f t="shared" si="724"/>
        <v>0</v>
      </c>
      <c r="N1935" s="76">
        <f t="shared" si="725"/>
        <v>1</v>
      </c>
      <c r="O1935" s="77">
        <f t="shared" si="726"/>
        <v>0.90967177242888408</v>
      </c>
      <c r="P1935" s="76">
        <f t="shared" si="727"/>
        <v>0.58333333333333337</v>
      </c>
      <c r="Q1935" s="76">
        <f t="shared" si="728"/>
        <v>0.41666666666666663</v>
      </c>
      <c r="R1935" s="76">
        <f t="shared" si="729"/>
        <v>0</v>
      </c>
      <c r="S1935" s="76">
        <f t="shared" si="730"/>
        <v>0.98877366568356961</v>
      </c>
      <c r="T1935" s="76">
        <f t="shared" si="731"/>
        <v>0.98877366568356961</v>
      </c>
      <c r="U1935" s="76">
        <f t="shared" si="732"/>
        <v>1</v>
      </c>
    </row>
    <row r="1936" spans="1:21" x14ac:dyDescent="0.25">
      <c r="A1936" s="71">
        <v>22</v>
      </c>
      <c r="B1936" s="72">
        <f t="shared" si="733"/>
        <v>46296</v>
      </c>
      <c r="C1936" s="73">
        <f t="shared" si="714"/>
        <v>46326</v>
      </c>
      <c r="D1936" s="67">
        <f t="shared" si="715"/>
        <v>31</v>
      </c>
      <c r="E1936" s="67">
        <f t="shared" si="716"/>
        <v>10</v>
      </c>
      <c r="F1936" s="74">
        <f t="shared" si="717"/>
        <v>46311.5</v>
      </c>
      <c r="G1936" s="67">
        <f t="shared" si="718"/>
        <v>24321</v>
      </c>
      <c r="H1936" s="75">
        <f t="shared" si="719"/>
        <v>1</v>
      </c>
      <c r="I1936" s="76">
        <f t="shared" si="720"/>
        <v>1</v>
      </c>
      <c r="J1936" s="76">
        <f t="shared" si="721"/>
        <v>1</v>
      </c>
      <c r="K1936" s="67">
        <f t="shared" si="722"/>
        <v>0</v>
      </c>
      <c r="L1936" s="67">
        <f t="shared" si="723"/>
        <v>0</v>
      </c>
      <c r="M1936" s="77">
        <f t="shared" si="724"/>
        <v>0</v>
      </c>
      <c r="N1936" s="76">
        <f t="shared" si="725"/>
        <v>1</v>
      </c>
      <c r="O1936" s="77">
        <f t="shared" si="726"/>
        <v>0.91033916849015317</v>
      </c>
      <c r="P1936" s="76">
        <f t="shared" si="727"/>
        <v>0.41666666666666669</v>
      </c>
      <c r="Q1936" s="76">
        <f t="shared" si="728"/>
        <v>0.58333333333333326</v>
      </c>
      <c r="R1936" s="76">
        <f t="shared" si="729"/>
        <v>0</v>
      </c>
      <c r="S1936" s="76">
        <f t="shared" si="730"/>
        <v>0.98949909618494902</v>
      </c>
      <c r="T1936" s="76">
        <f t="shared" si="731"/>
        <v>0.98949909618494902</v>
      </c>
      <c r="U1936" s="76">
        <f t="shared" si="732"/>
        <v>1</v>
      </c>
    </row>
    <row r="1937" spans="1:21" x14ac:dyDescent="0.25">
      <c r="A1937" s="71">
        <v>23</v>
      </c>
      <c r="B1937" s="72">
        <f t="shared" si="733"/>
        <v>46327</v>
      </c>
      <c r="C1937" s="73">
        <f t="shared" si="714"/>
        <v>46356</v>
      </c>
      <c r="D1937" s="67">
        <f t="shared" si="715"/>
        <v>30</v>
      </c>
      <c r="E1937" s="67">
        <f t="shared" si="716"/>
        <v>11</v>
      </c>
      <c r="F1937" s="74">
        <f t="shared" si="717"/>
        <v>46342</v>
      </c>
      <c r="G1937" s="67">
        <f t="shared" si="718"/>
        <v>24322</v>
      </c>
      <c r="H1937" s="75">
        <f t="shared" si="719"/>
        <v>1</v>
      </c>
      <c r="I1937" s="76">
        <f t="shared" si="720"/>
        <v>1</v>
      </c>
      <c r="J1937" s="76">
        <f t="shared" si="721"/>
        <v>1.06</v>
      </c>
      <c r="K1937" s="67">
        <f t="shared" si="722"/>
        <v>1</v>
      </c>
      <c r="L1937" s="67">
        <f t="shared" si="723"/>
        <v>30</v>
      </c>
      <c r="M1937" s="77">
        <f t="shared" si="724"/>
        <v>1</v>
      </c>
      <c r="N1937" s="76">
        <f t="shared" si="725"/>
        <v>1.06</v>
      </c>
      <c r="O1937" s="77">
        <f t="shared" si="726"/>
        <v>0.91100656455142237</v>
      </c>
      <c r="P1937" s="76">
        <f t="shared" si="727"/>
        <v>0.25</v>
      </c>
      <c r="Q1937" s="76">
        <f t="shared" si="728"/>
        <v>0.75</v>
      </c>
      <c r="R1937" s="76">
        <f t="shared" si="729"/>
        <v>0</v>
      </c>
      <c r="S1937" s="76">
        <f t="shared" si="730"/>
        <v>1.0496379982875084</v>
      </c>
      <c r="T1937" s="76">
        <f t="shared" si="731"/>
        <v>1.0496379982875084</v>
      </c>
      <c r="U1937" s="76">
        <f t="shared" si="732"/>
        <v>1.06</v>
      </c>
    </row>
    <row r="1938" spans="1:21" x14ac:dyDescent="0.25">
      <c r="A1938" s="71">
        <v>24</v>
      </c>
      <c r="B1938" s="72">
        <f t="shared" si="733"/>
        <v>46357</v>
      </c>
      <c r="C1938" s="73">
        <f t="shared" si="714"/>
        <v>46387</v>
      </c>
      <c r="D1938" s="67">
        <f t="shared" si="715"/>
        <v>31</v>
      </c>
      <c r="E1938" s="67">
        <f t="shared" si="716"/>
        <v>12</v>
      </c>
      <c r="F1938" s="74">
        <f t="shared" si="717"/>
        <v>46372.5</v>
      </c>
      <c r="G1938" s="67">
        <f t="shared" si="718"/>
        <v>24323</v>
      </c>
      <c r="H1938" s="75">
        <f t="shared" si="719"/>
        <v>1</v>
      </c>
      <c r="I1938" s="76">
        <f t="shared" si="720"/>
        <v>1.06</v>
      </c>
      <c r="J1938" s="76">
        <f t="shared" si="721"/>
        <v>1.06</v>
      </c>
      <c r="K1938" s="67">
        <f t="shared" si="722"/>
        <v>0</v>
      </c>
      <c r="L1938" s="67">
        <f t="shared" si="723"/>
        <v>0</v>
      </c>
      <c r="M1938" s="77">
        <f t="shared" si="724"/>
        <v>0</v>
      </c>
      <c r="N1938" s="76">
        <f t="shared" si="725"/>
        <v>1.06</v>
      </c>
      <c r="O1938" s="77">
        <f t="shared" si="726"/>
        <v>0.91167396061269146</v>
      </c>
      <c r="P1938" s="76">
        <f t="shared" si="727"/>
        <v>8.3333333333333329E-2</v>
      </c>
      <c r="Q1938" s="76">
        <f t="shared" si="728"/>
        <v>0.91666666666666663</v>
      </c>
      <c r="R1938" s="76">
        <f t="shared" si="729"/>
        <v>0</v>
      </c>
      <c r="S1938" s="76">
        <f t="shared" si="730"/>
        <v>1.0504069546189705</v>
      </c>
      <c r="T1938" s="76">
        <f t="shared" si="731"/>
        <v>1.0504069546189705</v>
      </c>
      <c r="U1938" s="76">
        <f t="shared" si="732"/>
        <v>1.06</v>
      </c>
    </row>
    <row r="1939" spans="1:21" x14ac:dyDescent="0.25">
      <c r="A1939" s="71">
        <v>25</v>
      </c>
      <c r="B1939" s="72">
        <f t="shared" si="733"/>
        <v>46388</v>
      </c>
      <c r="C1939" s="73">
        <f t="shared" si="714"/>
        <v>46418</v>
      </c>
      <c r="D1939" s="67">
        <f t="shared" si="715"/>
        <v>31</v>
      </c>
      <c r="E1939" s="67">
        <f t="shared" si="716"/>
        <v>1</v>
      </c>
      <c r="F1939" s="74">
        <f t="shared" si="717"/>
        <v>46403.5</v>
      </c>
      <c r="G1939" s="67">
        <f t="shared" si="718"/>
        <v>24324</v>
      </c>
      <c r="H1939" s="75">
        <f t="shared" si="719"/>
        <v>1</v>
      </c>
      <c r="I1939" s="76">
        <f t="shared" si="720"/>
        <v>1.06</v>
      </c>
      <c r="J1939" s="76">
        <f t="shared" si="721"/>
        <v>1.06</v>
      </c>
      <c r="K1939" s="67">
        <f t="shared" si="722"/>
        <v>0</v>
      </c>
      <c r="L1939" s="67">
        <f t="shared" si="723"/>
        <v>0</v>
      </c>
      <c r="M1939" s="77">
        <f t="shared" si="724"/>
        <v>0</v>
      </c>
      <c r="N1939" s="76">
        <f t="shared" si="725"/>
        <v>1.06</v>
      </c>
      <c r="O1939" s="77">
        <f t="shared" si="726"/>
        <v>0.91235229759299785</v>
      </c>
      <c r="P1939" s="76">
        <f t="shared" si="727"/>
        <v>0</v>
      </c>
      <c r="Q1939" s="76">
        <f t="shared" si="728"/>
        <v>1</v>
      </c>
      <c r="R1939" s="76">
        <f t="shared" si="729"/>
        <v>0</v>
      </c>
      <c r="S1939" s="76">
        <f t="shared" si="730"/>
        <v>1.0511885167919324</v>
      </c>
      <c r="T1939" s="76">
        <f t="shared" si="731"/>
        <v>0.98300589858243748</v>
      </c>
      <c r="U1939" s="76">
        <f t="shared" si="732"/>
        <v>1.06</v>
      </c>
    </row>
    <row r="1940" spans="1:21" x14ac:dyDescent="0.25">
      <c r="A1940" s="71">
        <v>26</v>
      </c>
      <c r="B1940" s="72">
        <f t="shared" si="733"/>
        <v>46419</v>
      </c>
      <c r="C1940" s="73">
        <f t="shared" si="714"/>
        <v>46446</v>
      </c>
      <c r="D1940" s="67">
        <f t="shared" si="715"/>
        <v>28</v>
      </c>
      <c r="E1940" s="67">
        <f t="shared" si="716"/>
        <v>2</v>
      </c>
      <c r="F1940" s="74">
        <f t="shared" si="717"/>
        <v>46433</v>
      </c>
      <c r="G1940" s="67">
        <f t="shared" si="718"/>
        <v>24325</v>
      </c>
      <c r="H1940" s="75">
        <f t="shared" si="719"/>
        <v>1</v>
      </c>
      <c r="I1940" s="76">
        <f t="shared" si="720"/>
        <v>1.06</v>
      </c>
      <c r="J1940" s="76">
        <f t="shared" si="721"/>
        <v>1.06</v>
      </c>
      <c r="K1940" s="67">
        <f t="shared" si="722"/>
        <v>0</v>
      </c>
      <c r="L1940" s="67">
        <f t="shared" si="723"/>
        <v>0</v>
      </c>
      <c r="M1940" s="77">
        <f t="shared" si="724"/>
        <v>0</v>
      </c>
      <c r="N1940" s="76">
        <f t="shared" si="725"/>
        <v>1.06</v>
      </c>
      <c r="O1940" s="77">
        <f t="shared" si="726"/>
        <v>0.91299781181619255</v>
      </c>
      <c r="P1940" s="76">
        <f t="shared" si="727"/>
        <v>0</v>
      </c>
      <c r="Q1940" s="76">
        <f t="shared" si="728"/>
        <v>1</v>
      </c>
      <c r="R1940" s="76">
        <f t="shared" si="729"/>
        <v>0</v>
      </c>
      <c r="S1940" s="76">
        <f t="shared" si="730"/>
        <v>1.0519322614403959</v>
      </c>
      <c r="T1940" s="76">
        <f t="shared" si="731"/>
        <v>0.98370754447721431</v>
      </c>
      <c r="U1940" s="76">
        <f t="shared" si="732"/>
        <v>1.06</v>
      </c>
    </row>
    <row r="1941" spans="1:21" x14ac:dyDescent="0.25">
      <c r="A1941" s="71">
        <v>27</v>
      </c>
      <c r="B1941" s="72">
        <f t="shared" si="733"/>
        <v>46447</v>
      </c>
      <c r="C1941" s="73">
        <f t="shared" si="714"/>
        <v>46477</v>
      </c>
      <c r="D1941" s="67">
        <f t="shared" si="715"/>
        <v>31</v>
      </c>
      <c r="E1941" s="67">
        <f t="shared" si="716"/>
        <v>3</v>
      </c>
      <c r="F1941" s="74">
        <f t="shared" si="717"/>
        <v>46462.5</v>
      </c>
      <c r="G1941" s="67">
        <f t="shared" si="718"/>
        <v>24326</v>
      </c>
      <c r="H1941" s="75">
        <f t="shared" si="719"/>
        <v>1</v>
      </c>
      <c r="I1941" s="76">
        <f t="shared" si="720"/>
        <v>1.06</v>
      </c>
      <c r="J1941" s="76">
        <f t="shared" si="721"/>
        <v>1.06</v>
      </c>
      <c r="K1941" s="67">
        <f t="shared" si="722"/>
        <v>0</v>
      </c>
      <c r="L1941" s="67">
        <f t="shared" si="723"/>
        <v>0</v>
      </c>
      <c r="M1941" s="77">
        <f t="shared" si="724"/>
        <v>0</v>
      </c>
      <c r="N1941" s="76">
        <f t="shared" si="725"/>
        <v>1.06</v>
      </c>
      <c r="O1941" s="77">
        <f t="shared" si="726"/>
        <v>0.91364332603938736</v>
      </c>
      <c r="P1941" s="76">
        <f t="shared" si="727"/>
        <v>0</v>
      </c>
      <c r="Q1941" s="76">
        <f t="shared" si="728"/>
        <v>1</v>
      </c>
      <c r="R1941" s="76">
        <f t="shared" si="729"/>
        <v>0</v>
      </c>
      <c r="S1941" s="76">
        <f t="shared" si="730"/>
        <v>1.0526760060888594</v>
      </c>
      <c r="T1941" s="76">
        <f t="shared" si="731"/>
        <v>0.98440919037199126</v>
      </c>
      <c r="U1941" s="76">
        <f t="shared" si="732"/>
        <v>1.06</v>
      </c>
    </row>
    <row r="1942" spans="1:21" x14ac:dyDescent="0.25">
      <c r="A1942" s="71">
        <v>28</v>
      </c>
      <c r="B1942" s="72">
        <f t="shared" si="733"/>
        <v>46478</v>
      </c>
      <c r="C1942" s="73">
        <f t="shared" si="714"/>
        <v>46507</v>
      </c>
      <c r="D1942" s="67">
        <f t="shared" si="715"/>
        <v>30</v>
      </c>
      <c r="E1942" s="67">
        <f t="shared" si="716"/>
        <v>4</v>
      </c>
      <c r="F1942" s="74">
        <f t="shared" si="717"/>
        <v>46493</v>
      </c>
      <c r="G1942" s="67">
        <f t="shared" si="718"/>
        <v>24327</v>
      </c>
      <c r="H1942" s="75">
        <f t="shared" si="719"/>
        <v>1</v>
      </c>
      <c r="I1942" s="76">
        <f t="shared" si="720"/>
        <v>1.06</v>
      </c>
      <c r="J1942" s="76">
        <f t="shared" si="721"/>
        <v>1.06</v>
      </c>
      <c r="K1942" s="67">
        <f t="shared" si="722"/>
        <v>0</v>
      </c>
      <c r="L1942" s="67">
        <f t="shared" si="723"/>
        <v>0</v>
      </c>
      <c r="M1942" s="77">
        <f t="shared" si="724"/>
        <v>0</v>
      </c>
      <c r="N1942" s="76">
        <f t="shared" si="725"/>
        <v>1.06</v>
      </c>
      <c r="O1942" s="77">
        <f t="shared" si="726"/>
        <v>0.91431072210065645</v>
      </c>
      <c r="P1942" s="76">
        <f t="shared" si="727"/>
        <v>0</v>
      </c>
      <c r="Q1942" s="76">
        <f t="shared" si="728"/>
        <v>1</v>
      </c>
      <c r="R1942" s="76">
        <f t="shared" si="729"/>
        <v>0</v>
      </c>
      <c r="S1942" s="76">
        <f t="shared" si="730"/>
        <v>1.0534449624203217</v>
      </c>
      <c r="T1942" s="76">
        <f t="shared" si="731"/>
        <v>0.98513462087337078</v>
      </c>
      <c r="U1942" s="76">
        <f t="shared" si="732"/>
        <v>1.06</v>
      </c>
    </row>
    <row r="1943" spans="1:21" x14ac:dyDescent="0.25">
      <c r="A1943" s="71">
        <v>29</v>
      </c>
      <c r="B1943" s="72">
        <f t="shared" si="733"/>
        <v>46508</v>
      </c>
      <c r="C1943" s="73">
        <f t="shared" si="714"/>
        <v>46538</v>
      </c>
      <c r="D1943" s="67">
        <f t="shared" si="715"/>
        <v>31</v>
      </c>
      <c r="E1943" s="67">
        <f t="shared" si="716"/>
        <v>5</v>
      </c>
      <c r="F1943" s="74">
        <f t="shared" si="717"/>
        <v>46523.5</v>
      </c>
      <c r="G1943" s="67">
        <f t="shared" si="718"/>
        <v>24328</v>
      </c>
      <c r="H1943" s="75">
        <f t="shared" si="719"/>
        <v>1</v>
      </c>
      <c r="I1943" s="76">
        <f t="shared" si="720"/>
        <v>1.06</v>
      </c>
      <c r="J1943" s="76">
        <f t="shared" si="721"/>
        <v>1.06</v>
      </c>
      <c r="K1943" s="67">
        <f t="shared" si="722"/>
        <v>0</v>
      </c>
      <c r="L1943" s="67">
        <f t="shared" si="723"/>
        <v>0</v>
      </c>
      <c r="M1943" s="77">
        <f t="shared" si="724"/>
        <v>0</v>
      </c>
      <c r="N1943" s="76">
        <f t="shared" si="725"/>
        <v>1.06</v>
      </c>
      <c r="O1943" s="77">
        <f t="shared" si="726"/>
        <v>0.91497811816192565</v>
      </c>
      <c r="P1943" s="76">
        <f t="shared" si="727"/>
        <v>0</v>
      </c>
      <c r="Q1943" s="76">
        <f t="shared" si="728"/>
        <v>1</v>
      </c>
      <c r="R1943" s="76">
        <f t="shared" si="729"/>
        <v>0</v>
      </c>
      <c r="S1943" s="76">
        <f t="shared" si="730"/>
        <v>1.0542139187517838</v>
      </c>
      <c r="T1943" s="76">
        <f t="shared" si="731"/>
        <v>0.9858600513747503</v>
      </c>
      <c r="U1943" s="76">
        <f t="shared" si="732"/>
        <v>1.06</v>
      </c>
    </row>
    <row r="1944" spans="1:21" x14ac:dyDescent="0.25">
      <c r="A1944" s="71">
        <v>30</v>
      </c>
      <c r="B1944" s="72">
        <f t="shared" si="733"/>
        <v>46539</v>
      </c>
      <c r="C1944" s="73">
        <f t="shared" si="714"/>
        <v>46568</v>
      </c>
      <c r="D1944" s="67">
        <f t="shared" si="715"/>
        <v>30</v>
      </c>
      <c r="E1944" s="67">
        <f t="shared" si="716"/>
        <v>6</v>
      </c>
      <c r="F1944" s="74">
        <f t="shared" si="717"/>
        <v>46554</v>
      </c>
      <c r="G1944" s="67">
        <f t="shared" si="718"/>
        <v>24329</v>
      </c>
      <c r="H1944" s="75">
        <f t="shared" si="719"/>
        <v>1</v>
      </c>
      <c r="I1944" s="76">
        <f t="shared" si="720"/>
        <v>1.06</v>
      </c>
      <c r="J1944" s="76">
        <f t="shared" si="721"/>
        <v>1.06</v>
      </c>
      <c r="K1944" s="67">
        <f t="shared" si="722"/>
        <v>0</v>
      </c>
      <c r="L1944" s="67">
        <f t="shared" si="723"/>
        <v>0</v>
      </c>
      <c r="M1944" s="77">
        <f t="shared" si="724"/>
        <v>0</v>
      </c>
      <c r="N1944" s="76">
        <f t="shared" si="725"/>
        <v>1.06</v>
      </c>
      <c r="O1944" s="77">
        <f t="shared" si="726"/>
        <v>0.91564551422319473</v>
      </c>
      <c r="P1944" s="76">
        <f t="shared" si="727"/>
        <v>0</v>
      </c>
      <c r="Q1944" s="76">
        <f t="shared" si="728"/>
        <v>1</v>
      </c>
      <c r="R1944" s="76">
        <f t="shared" si="729"/>
        <v>0</v>
      </c>
      <c r="S1944" s="76">
        <f t="shared" si="730"/>
        <v>1.0549828750832462</v>
      </c>
      <c r="T1944" s="76">
        <f t="shared" si="731"/>
        <v>0.98658548187612971</v>
      </c>
      <c r="U1944" s="76">
        <f t="shared" si="732"/>
        <v>1.06</v>
      </c>
    </row>
    <row r="1945" spans="1:21" x14ac:dyDescent="0.25">
      <c r="A1945" s="71">
        <v>31</v>
      </c>
      <c r="B1945" s="72">
        <f t="shared" si="733"/>
        <v>46569</v>
      </c>
      <c r="C1945" s="73">
        <f t="shared" si="714"/>
        <v>46599</v>
      </c>
      <c r="D1945" s="67">
        <f t="shared" si="715"/>
        <v>31</v>
      </c>
      <c r="E1945" s="67">
        <f t="shared" si="716"/>
        <v>7</v>
      </c>
      <c r="F1945" s="74">
        <f t="shared" si="717"/>
        <v>46584.5</v>
      </c>
      <c r="G1945" s="67">
        <f t="shared" si="718"/>
        <v>24330</v>
      </c>
      <c r="H1945" s="75">
        <f t="shared" si="719"/>
        <v>1</v>
      </c>
      <c r="I1945" s="76">
        <f t="shared" si="720"/>
        <v>1.06</v>
      </c>
      <c r="J1945" s="76">
        <f t="shared" si="721"/>
        <v>1.06</v>
      </c>
      <c r="K1945" s="67">
        <f t="shared" si="722"/>
        <v>0</v>
      </c>
      <c r="L1945" s="67">
        <f t="shared" si="723"/>
        <v>0</v>
      </c>
      <c r="M1945" s="77">
        <f t="shared" si="724"/>
        <v>0</v>
      </c>
      <c r="N1945" s="76">
        <f t="shared" si="725"/>
        <v>1.06</v>
      </c>
      <c r="O1945" s="77">
        <f t="shared" si="726"/>
        <v>0.91631291028446393</v>
      </c>
      <c r="P1945" s="76">
        <f t="shared" si="727"/>
        <v>0</v>
      </c>
      <c r="Q1945" s="76">
        <f t="shared" si="728"/>
        <v>0.91666666666666663</v>
      </c>
      <c r="R1945" s="76">
        <f t="shared" si="729"/>
        <v>8.333333333333337E-2</v>
      </c>
      <c r="S1945" s="76">
        <f t="shared" si="730"/>
        <v>1.0557518314147085</v>
      </c>
      <c r="T1945" s="76">
        <f t="shared" si="731"/>
        <v>0.98731091237750934</v>
      </c>
      <c r="U1945" s="76">
        <f t="shared" si="732"/>
        <v>1.06</v>
      </c>
    </row>
    <row r="1946" spans="1:21" x14ac:dyDescent="0.25">
      <c r="A1946" s="71">
        <v>32</v>
      </c>
      <c r="B1946" s="72">
        <f t="shared" si="733"/>
        <v>46600</v>
      </c>
      <c r="C1946" s="73">
        <f t="shared" si="714"/>
        <v>46630</v>
      </c>
      <c r="D1946" s="67">
        <f t="shared" si="715"/>
        <v>31</v>
      </c>
      <c r="E1946" s="67">
        <f t="shared" si="716"/>
        <v>8</v>
      </c>
      <c r="F1946" s="74">
        <f t="shared" si="717"/>
        <v>46615.5</v>
      </c>
      <c r="G1946" s="67">
        <f t="shared" si="718"/>
        <v>24331</v>
      </c>
      <c r="H1946" s="75">
        <f t="shared" si="719"/>
        <v>1</v>
      </c>
      <c r="I1946" s="76">
        <f t="shared" si="720"/>
        <v>1.06</v>
      </c>
      <c r="J1946" s="76">
        <f t="shared" si="721"/>
        <v>1.06</v>
      </c>
      <c r="K1946" s="67">
        <f t="shared" si="722"/>
        <v>0</v>
      </c>
      <c r="L1946" s="67">
        <f t="shared" si="723"/>
        <v>0</v>
      </c>
      <c r="M1946" s="77">
        <f t="shared" si="724"/>
        <v>0</v>
      </c>
      <c r="N1946" s="76">
        <f t="shared" si="725"/>
        <v>1.06</v>
      </c>
      <c r="O1946" s="77">
        <f t="shared" si="726"/>
        <v>0.91699124726477033</v>
      </c>
      <c r="P1946" s="76">
        <f t="shared" si="727"/>
        <v>0</v>
      </c>
      <c r="Q1946" s="76">
        <f t="shared" si="728"/>
        <v>0.75</v>
      </c>
      <c r="R1946" s="76">
        <f t="shared" si="729"/>
        <v>0.25</v>
      </c>
      <c r="S1946" s="76">
        <f t="shared" si="730"/>
        <v>1.0565333935876702</v>
      </c>
      <c r="T1946" s="76">
        <f t="shared" si="731"/>
        <v>0.98804823518219009</v>
      </c>
      <c r="U1946" s="76">
        <f t="shared" si="732"/>
        <v>1.06</v>
      </c>
    </row>
    <row r="1947" spans="1:21" x14ac:dyDescent="0.25">
      <c r="A1947" s="71">
        <v>33</v>
      </c>
      <c r="B1947" s="72">
        <f t="shared" si="733"/>
        <v>46631</v>
      </c>
      <c r="C1947" s="73">
        <f t="shared" si="714"/>
        <v>46660</v>
      </c>
      <c r="D1947" s="67">
        <f t="shared" si="715"/>
        <v>30</v>
      </c>
      <c r="E1947" s="67">
        <f t="shared" si="716"/>
        <v>9</v>
      </c>
      <c r="F1947" s="74">
        <f t="shared" si="717"/>
        <v>46646</v>
      </c>
      <c r="G1947" s="67">
        <f t="shared" si="718"/>
        <v>24332</v>
      </c>
      <c r="H1947" s="75">
        <f t="shared" si="719"/>
        <v>1</v>
      </c>
      <c r="I1947" s="76">
        <f t="shared" si="720"/>
        <v>1.06</v>
      </c>
      <c r="J1947" s="76">
        <f t="shared" si="721"/>
        <v>1.06</v>
      </c>
      <c r="K1947" s="67">
        <f t="shared" si="722"/>
        <v>0</v>
      </c>
      <c r="L1947" s="67">
        <f t="shared" si="723"/>
        <v>0</v>
      </c>
      <c r="M1947" s="77">
        <f t="shared" si="724"/>
        <v>0</v>
      </c>
      <c r="N1947" s="76">
        <f t="shared" si="725"/>
        <v>1.06</v>
      </c>
      <c r="O1947" s="77">
        <f t="shared" si="726"/>
        <v>0.91765864332603941</v>
      </c>
      <c r="P1947" s="76">
        <f t="shared" si="727"/>
        <v>0</v>
      </c>
      <c r="Q1947" s="76">
        <f t="shared" si="728"/>
        <v>0.58333333333333337</v>
      </c>
      <c r="R1947" s="76">
        <f t="shared" si="729"/>
        <v>0.41666666666666663</v>
      </c>
      <c r="S1947" s="76">
        <f t="shared" si="730"/>
        <v>1.0573023499191323</v>
      </c>
      <c r="T1947" s="76">
        <f t="shared" si="731"/>
        <v>0.98877366568356961</v>
      </c>
      <c r="U1947" s="76">
        <f t="shared" si="732"/>
        <v>1.06</v>
      </c>
    </row>
    <row r="1948" spans="1:21" x14ac:dyDescent="0.25">
      <c r="A1948" s="71">
        <v>34</v>
      </c>
      <c r="B1948" s="72">
        <f t="shared" si="733"/>
        <v>46661</v>
      </c>
      <c r="C1948" s="73">
        <f t="shared" si="714"/>
        <v>46691</v>
      </c>
      <c r="D1948" s="67">
        <f t="shared" si="715"/>
        <v>31</v>
      </c>
      <c r="E1948" s="67">
        <f t="shared" si="716"/>
        <v>10</v>
      </c>
      <c r="F1948" s="74">
        <f t="shared" si="717"/>
        <v>46676.5</v>
      </c>
      <c r="G1948" s="67">
        <f t="shared" si="718"/>
        <v>24333</v>
      </c>
      <c r="H1948" s="75">
        <f t="shared" si="719"/>
        <v>1</v>
      </c>
      <c r="I1948" s="76">
        <f t="shared" si="720"/>
        <v>1.06</v>
      </c>
      <c r="J1948" s="76">
        <f t="shared" si="721"/>
        <v>1.06</v>
      </c>
      <c r="K1948" s="67">
        <f t="shared" si="722"/>
        <v>0</v>
      </c>
      <c r="L1948" s="67">
        <f t="shared" si="723"/>
        <v>0</v>
      </c>
      <c r="M1948" s="77">
        <f t="shared" si="724"/>
        <v>0</v>
      </c>
      <c r="N1948" s="76">
        <f t="shared" si="725"/>
        <v>1.06</v>
      </c>
      <c r="O1948" s="77">
        <f t="shared" si="726"/>
        <v>0.91832603938730861</v>
      </c>
      <c r="P1948" s="76">
        <f t="shared" si="727"/>
        <v>0</v>
      </c>
      <c r="Q1948" s="76">
        <f t="shared" si="728"/>
        <v>0.41666666666666669</v>
      </c>
      <c r="R1948" s="76">
        <f t="shared" si="729"/>
        <v>0.58333333333333326</v>
      </c>
      <c r="S1948" s="76">
        <f t="shared" si="730"/>
        <v>1.0580713062505946</v>
      </c>
      <c r="T1948" s="76">
        <f t="shared" si="731"/>
        <v>0.98949909618494902</v>
      </c>
      <c r="U1948" s="76">
        <f t="shared" si="732"/>
        <v>1.06</v>
      </c>
    </row>
    <row r="1949" spans="1:21" x14ac:dyDescent="0.25">
      <c r="A1949" s="71">
        <v>35</v>
      </c>
      <c r="B1949" s="72">
        <f t="shared" si="733"/>
        <v>46692</v>
      </c>
      <c r="C1949" s="73">
        <f t="shared" si="714"/>
        <v>46721</v>
      </c>
      <c r="D1949" s="67">
        <f t="shared" si="715"/>
        <v>30</v>
      </c>
      <c r="E1949" s="67">
        <f t="shared" si="716"/>
        <v>11</v>
      </c>
      <c r="F1949" s="74">
        <f t="shared" si="717"/>
        <v>46707</v>
      </c>
      <c r="G1949" s="67">
        <f t="shared" si="718"/>
        <v>24334</v>
      </c>
      <c r="H1949" s="75">
        <f t="shared" si="719"/>
        <v>1</v>
      </c>
      <c r="I1949" s="76">
        <f t="shared" si="720"/>
        <v>1.06</v>
      </c>
      <c r="J1949" s="76">
        <f t="shared" si="721"/>
        <v>1.06</v>
      </c>
      <c r="K1949" s="67">
        <f t="shared" si="722"/>
        <v>0</v>
      </c>
      <c r="L1949" s="67">
        <f t="shared" si="723"/>
        <v>0</v>
      </c>
      <c r="M1949" s="77">
        <f t="shared" si="724"/>
        <v>0</v>
      </c>
      <c r="N1949" s="76">
        <f t="shared" si="725"/>
        <v>1.06</v>
      </c>
      <c r="O1949" s="77">
        <f t="shared" si="726"/>
        <v>0.9189934354485777</v>
      </c>
      <c r="P1949" s="76">
        <f t="shared" si="727"/>
        <v>0</v>
      </c>
      <c r="Q1949" s="76">
        <f t="shared" si="728"/>
        <v>0.25</v>
      </c>
      <c r="R1949" s="76">
        <f t="shared" si="729"/>
        <v>0.75</v>
      </c>
      <c r="S1949" s="76">
        <f t="shared" si="730"/>
        <v>1.058840262582057</v>
      </c>
      <c r="T1949" s="76">
        <f t="shared" si="731"/>
        <v>1.0496379982875084</v>
      </c>
      <c r="U1949" s="76">
        <f t="shared" si="732"/>
        <v>1.06</v>
      </c>
    </row>
    <row r="1950" spans="1:21" x14ac:dyDescent="0.25">
      <c r="A1950" s="71">
        <v>36</v>
      </c>
      <c r="B1950" s="72">
        <f t="shared" si="733"/>
        <v>46722</v>
      </c>
      <c r="C1950" s="73">
        <f t="shared" si="714"/>
        <v>46752</v>
      </c>
      <c r="D1950" s="67">
        <f t="shared" si="715"/>
        <v>31</v>
      </c>
      <c r="E1950" s="67">
        <f t="shared" si="716"/>
        <v>12</v>
      </c>
      <c r="F1950" s="74">
        <f t="shared" si="717"/>
        <v>46737.5</v>
      </c>
      <c r="G1950" s="67">
        <f t="shared" si="718"/>
        <v>24335</v>
      </c>
      <c r="H1950" s="75">
        <f t="shared" si="719"/>
        <v>1</v>
      </c>
      <c r="I1950" s="76">
        <f t="shared" si="720"/>
        <v>1.06</v>
      </c>
      <c r="J1950" s="76">
        <f t="shared" si="721"/>
        <v>1.06</v>
      </c>
      <c r="K1950" s="67">
        <f t="shared" si="722"/>
        <v>0</v>
      </c>
      <c r="L1950" s="67">
        <f t="shared" si="723"/>
        <v>0</v>
      </c>
      <c r="M1950" s="77">
        <f t="shared" si="724"/>
        <v>0</v>
      </c>
      <c r="N1950" s="76">
        <f t="shared" si="725"/>
        <v>1.06</v>
      </c>
      <c r="O1950" s="77">
        <f t="shared" si="726"/>
        <v>0.9196608315098469</v>
      </c>
      <c r="P1950" s="76">
        <f t="shared" si="727"/>
        <v>0</v>
      </c>
      <c r="Q1950" s="76">
        <f t="shared" si="728"/>
        <v>8.3333333333333329E-2</v>
      </c>
      <c r="R1950" s="76">
        <f t="shared" si="729"/>
        <v>0.91666666666666663</v>
      </c>
      <c r="S1950" s="76">
        <f t="shared" si="730"/>
        <v>1.0596092189135193</v>
      </c>
      <c r="T1950" s="76">
        <f t="shared" si="731"/>
        <v>1.0504069546189705</v>
      </c>
      <c r="U1950" s="76">
        <f t="shared" si="732"/>
        <v>1.06</v>
      </c>
    </row>
    <row r="1951" spans="1:21" x14ac:dyDescent="0.25">
      <c r="A1951" s="71">
        <v>37</v>
      </c>
      <c r="B1951" s="72">
        <f t="shared" si="733"/>
        <v>46753</v>
      </c>
      <c r="C1951" s="73">
        <f t="shared" si="714"/>
        <v>46783</v>
      </c>
      <c r="D1951" s="67">
        <f t="shared" si="715"/>
        <v>31</v>
      </c>
      <c r="E1951" s="67">
        <f t="shared" si="716"/>
        <v>1</v>
      </c>
      <c r="F1951" s="74">
        <f t="shared" si="717"/>
        <v>46768.5</v>
      </c>
      <c r="G1951" s="67">
        <f t="shared" si="718"/>
        <v>24336</v>
      </c>
      <c r="H1951" s="75">
        <f t="shared" si="719"/>
        <v>1</v>
      </c>
      <c r="I1951" s="76">
        <f t="shared" si="720"/>
        <v>1.06</v>
      </c>
      <c r="J1951" s="76">
        <f t="shared" si="721"/>
        <v>1.06</v>
      </c>
      <c r="K1951" s="67">
        <f t="shared" si="722"/>
        <v>0</v>
      </c>
      <c r="L1951" s="67">
        <f t="shared" si="723"/>
        <v>0</v>
      </c>
      <c r="M1951" s="77">
        <f t="shared" si="724"/>
        <v>0</v>
      </c>
      <c r="N1951" s="76">
        <f t="shared" si="725"/>
        <v>1.06</v>
      </c>
      <c r="O1951" s="77">
        <f t="shared" si="726"/>
        <v>0.92</v>
      </c>
      <c r="P1951" s="76">
        <f t="shared" si="727"/>
        <v>0</v>
      </c>
      <c r="Q1951" s="76">
        <f t="shared" si="728"/>
        <v>0</v>
      </c>
      <c r="R1951" s="76">
        <f t="shared" si="729"/>
        <v>1</v>
      </c>
      <c r="S1951" s="76">
        <f t="shared" si="730"/>
        <v>1.06</v>
      </c>
      <c r="T1951" s="76">
        <f t="shared" si="731"/>
        <v>0.98300589858243748</v>
      </c>
      <c r="U1951" s="76">
        <f t="shared" si="732"/>
        <v>1.06</v>
      </c>
    </row>
    <row r="1952" spans="1:21" x14ac:dyDescent="0.25">
      <c r="A1952" s="71">
        <v>38</v>
      </c>
      <c r="B1952" s="72">
        <f t="shared" si="733"/>
        <v>46784</v>
      </c>
      <c r="C1952" s="73">
        <f t="shared" si="714"/>
        <v>46812</v>
      </c>
      <c r="D1952" s="67">
        <f t="shared" si="715"/>
        <v>29</v>
      </c>
      <c r="E1952" s="67">
        <f t="shared" si="716"/>
        <v>2</v>
      </c>
      <c r="F1952" s="74">
        <f t="shared" si="717"/>
        <v>46798.5</v>
      </c>
      <c r="G1952" s="67">
        <f t="shared" si="718"/>
        <v>24337</v>
      </c>
      <c r="H1952" s="75">
        <f t="shared" si="719"/>
        <v>1</v>
      </c>
      <c r="I1952" s="76">
        <f t="shared" si="720"/>
        <v>1.06</v>
      </c>
      <c r="J1952" s="76">
        <f t="shared" si="721"/>
        <v>1.06</v>
      </c>
      <c r="K1952" s="67">
        <f t="shared" si="722"/>
        <v>0</v>
      </c>
      <c r="L1952" s="67">
        <f t="shared" si="723"/>
        <v>0</v>
      </c>
      <c r="M1952" s="77">
        <f t="shared" si="724"/>
        <v>0</v>
      </c>
      <c r="N1952" s="76">
        <f t="shared" si="725"/>
        <v>1.06</v>
      </c>
      <c r="O1952" s="77">
        <f t="shared" si="726"/>
        <v>0.92</v>
      </c>
      <c r="P1952" s="76">
        <f t="shared" si="727"/>
        <v>0</v>
      </c>
      <c r="Q1952" s="76">
        <f t="shared" si="728"/>
        <v>0</v>
      </c>
      <c r="R1952" s="76">
        <f t="shared" si="729"/>
        <v>1</v>
      </c>
      <c r="S1952" s="76">
        <f t="shared" si="730"/>
        <v>1.06</v>
      </c>
      <c r="T1952" s="76">
        <f t="shared" si="731"/>
        <v>0.98370754447721431</v>
      </c>
      <c r="U1952" s="76">
        <f t="shared" si="732"/>
        <v>1.06</v>
      </c>
    </row>
    <row r="1953" spans="1:21" x14ac:dyDescent="0.25">
      <c r="A1953" s="71">
        <v>39</v>
      </c>
      <c r="B1953" s="72">
        <f t="shared" si="733"/>
        <v>46813</v>
      </c>
      <c r="C1953" s="73">
        <f t="shared" si="714"/>
        <v>46843</v>
      </c>
      <c r="D1953" s="67">
        <f t="shared" si="715"/>
        <v>31</v>
      </c>
      <c r="E1953" s="67">
        <f t="shared" si="716"/>
        <v>3</v>
      </c>
      <c r="F1953" s="74">
        <f t="shared" si="717"/>
        <v>46828.5</v>
      </c>
      <c r="G1953" s="67">
        <f t="shared" si="718"/>
        <v>24338</v>
      </c>
      <c r="H1953" s="75">
        <f t="shared" si="719"/>
        <v>1</v>
      </c>
      <c r="I1953" s="76">
        <f t="shared" si="720"/>
        <v>1.06</v>
      </c>
      <c r="J1953" s="76">
        <f t="shared" si="721"/>
        <v>1.06</v>
      </c>
      <c r="K1953" s="67">
        <f t="shared" si="722"/>
        <v>0</v>
      </c>
      <c r="L1953" s="67">
        <f t="shared" si="723"/>
        <v>0</v>
      </c>
      <c r="M1953" s="77">
        <f t="shared" si="724"/>
        <v>0</v>
      </c>
      <c r="N1953" s="76">
        <f t="shared" si="725"/>
        <v>1.06</v>
      </c>
      <c r="O1953" s="77">
        <f t="shared" si="726"/>
        <v>0.92</v>
      </c>
      <c r="P1953" s="76">
        <f t="shared" si="727"/>
        <v>0</v>
      </c>
      <c r="Q1953" s="76">
        <f t="shared" si="728"/>
        <v>0</v>
      </c>
      <c r="R1953" s="76">
        <f t="shared" si="729"/>
        <v>1</v>
      </c>
      <c r="S1953" s="76">
        <f t="shared" si="730"/>
        <v>1.06</v>
      </c>
      <c r="T1953" s="76">
        <f t="shared" si="731"/>
        <v>0.98440919037199126</v>
      </c>
      <c r="U1953" s="76">
        <f t="shared" si="732"/>
        <v>1.06</v>
      </c>
    </row>
    <row r="1954" spans="1:21" x14ac:dyDescent="0.25">
      <c r="A1954" s="71">
        <v>40</v>
      </c>
      <c r="B1954" s="72">
        <f t="shared" si="733"/>
        <v>46844</v>
      </c>
      <c r="C1954" s="73">
        <f t="shared" si="714"/>
        <v>46873</v>
      </c>
      <c r="D1954" s="67">
        <f t="shared" si="715"/>
        <v>30</v>
      </c>
      <c r="E1954" s="67">
        <f t="shared" si="716"/>
        <v>4</v>
      </c>
      <c r="F1954" s="74">
        <f t="shared" si="717"/>
        <v>46859</v>
      </c>
      <c r="G1954" s="67">
        <f t="shared" si="718"/>
        <v>24339</v>
      </c>
      <c r="H1954" s="75">
        <f t="shared" si="719"/>
        <v>1</v>
      </c>
      <c r="I1954" s="76">
        <f t="shared" si="720"/>
        <v>1.06</v>
      </c>
      <c r="J1954" s="76">
        <f t="shared" si="721"/>
        <v>1.06</v>
      </c>
      <c r="K1954" s="67">
        <f t="shared" si="722"/>
        <v>0</v>
      </c>
      <c r="L1954" s="67">
        <f t="shared" si="723"/>
        <v>0</v>
      </c>
      <c r="M1954" s="77">
        <f t="shared" si="724"/>
        <v>0</v>
      </c>
      <c r="N1954" s="76">
        <f t="shared" si="725"/>
        <v>1.06</v>
      </c>
      <c r="O1954" s="77">
        <f t="shared" si="726"/>
        <v>0.92</v>
      </c>
      <c r="P1954" s="76">
        <f t="shared" si="727"/>
        <v>0</v>
      </c>
      <c r="Q1954" s="76">
        <f t="shared" si="728"/>
        <v>0</v>
      </c>
      <c r="R1954" s="76">
        <f t="shared" si="729"/>
        <v>1</v>
      </c>
      <c r="S1954" s="76">
        <f t="shared" si="730"/>
        <v>1.06</v>
      </c>
      <c r="T1954" s="76">
        <f t="shared" si="731"/>
        <v>0.98513462087337078</v>
      </c>
      <c r="U1954" s="76">
        <f t="shared" si="732"/>
        <v>1.06</v>
      </c>
    </row>
    <row r="1955" spans="1:21" x14ac:dyDescent="0.25">
      <c r="A1955" s="71">
        <v>41</v>
      </c>
      <c r="B1955" s="72">
        <f t="shared" si="733"/>
        <v>46874</v>
      </c>
      <c r="C1955" s="73">
        <f t="shared" si="714"/>
        <v>46904</v>
      </c>
      <c r="D1955" s="67">
        <f t="shared" si="715"/>
        <v>31</v>
      </c>
      <c r="E1955" s="67">
        <f t="shared" si="716"/>
        <v>5</v>
      </c>
      <c r="F1955" s="74">
        <f t="shared" si="717"/>
        <v>46889.5</v>
      </c>
      <c r="G1955" s="67">
        <f t="shared" si="718"/>
        <v>24340</v>
      </c>
      <c r="H1955" s="75">
        <f t="shared" si="719"/>
        <v>1</v>
      </c>
      <c r="I1955" s="76">
        <f t="shared" si="720"/>
        <v>1.06</v>
      </c>
      <c r="J1955" s="76">
        <f t="shared" si="721"/>
        <v>1.06</v>
      </c>
      <c r="K1955" s="67">
        <f t="shared" si="722"/>
        <v>0</v>
      </c>
      <c r="L1955" s="67">
        <f t="shared" si="723"/>
        <v>0</v>
      </c>
      <c r="M1955" s="77">
        <f t="shared" si="724"/>
        <v>0</v>
      </c>
      <c r="N1955" s="76">
        <f t="shared" si="725"/>
        <v>1.06</v>
      </c>
      <c r="O1955" s="77">
        <f t="shared" si="726"/>
        <v>0.92</v>
      </c>
      <c r="P1955" s="76">
        <f t="shared" si="727"/>
        <v>0</v>
      </c>
      <c r="Q1955" s="76">
        <f t="shared" si="728"/>
        <v>0</v>
      </c>
      <c r="R1955" s="76">
        <f t="shared" si="729"/>
        <v>1</v>
      </c>
      <c r="S1955" s="76">
        <f t="shared" si="730"/>
        <v>1.06</v>
      </c>
      <c r="T1955" s="76">
        <f t="shared" si="731"/>
        <v>0.9858600513747503</v>
      </c>
      <c r="U1955" s="76">
        <f t="shared" si="732"/>
        <v>1.06</v>
      </c>
    </row>
    <row r="1956" spans="1:21" x14ac:dyDescent="0.25">
      <c r="A1956" s="71">
        <v>42</v>
      </c>
      <c r="B1956" s="72">
        <f t="shared" si="733"/>
        <v>46905</v>
      </c>
      <c r="C1956" s="73">
        <f t="shared" si="714"/>
        <v>46934</v>
      </c>
      <c r="D1956" s="67">
        <f t="shared" si="715"/>
        <v>30</v>
      </c>
      <c r="E1956" s="67">
        <f t="shared" si="716"/>
        <v>6</v>
      </c>
      <c r="F1956" s="74">
        <f t="shared" si="717"/>
        <v>46920</v>
      </c>
      <c r="G1956" s="67">
        <f t="shared" si="718"/>
        <v>24341</v>
      </c>
      <c r="H1956" s="75">
        <f t="shared" si="719"/>
        <v>1</v>
      </c>
      <c r="I1956" s="76">
        <f t="shared" si="720"/>
        <v>1.06</v>
      </c>
      <c r="J1956" s="76">
        <f t="shared" si="721"/>
        <v>1.06</v>
      </c>
      <c r="K1956" s="67">
        <f t="shared" si="722"/>
        <v>0</v>
      </c>
      <c r="L1956" s="67">
        <f t="shared" si="723"/>
        <v>0</v>
      </c>
      <c r="M1956" s="77">
        <f t="shared" si="724"/>
        <v>0</v>
      </c>
      <c r="N1956" s="76">
        <f t="shared" si="725"/>
        <v>1.06</v>
      </c>
      <c r="O1956" s="77">
        <f t="shared" si="726"/>
        <v>0.92</v>
      </c>
      <c r="P1956" s="76">
        <f t="shared" si="727"/>
        <v>0</v>
      </c>
      <c r="Q1956" s="76">
        <f t="shared" si="728"/>
        <v>0</v>
      </c>
      <c r="R1956" s="76">
        <f t="shared" si="729"/>
        <v>1</v>
      </c>
      <c r="S1956" s="76">
        <f t="shared" si="730"/>
        <v>1.06</v>
      </c>
      <c r="T1956" s="76">
        <f t="shared" si="731"/>
        <v>0.98658548187612971</v>
      </c>
      <c r="U1956" s="76">
        <f t="shared" si="732"/>
        <v>1.06</v>
      </c>
    </row>
    <row r="1957" spans="1:21" x14ac:dyDescent="0.25">
      <c r="A1957" s="71">
        <v>43</v>
      </c>
      <c r="B1957" s="72">
        <f t="shared" si="733"/>
        <v>46935</v>
      </c>
      <c r="C1957" s="73">
        <f t="shared" si="714"/>
        <v>46965</v>
      </c>
      <c r="D1957" s="67">
        <f t="shared" si="715"/>
        <v>31</v>
      </c>
      <c r="E1957" s="67">
        <f t="shared" si="716"/>
        <v>7</v>
      </c>
      <c r="F1957" s="74">
        <f t="shared" si="717"/>
        <v>46950.5</v>
      </c>
      <c r="G1957" s="67">
        <f t="shared" si="718"/>
        <v>24342</v>
      </c>
      <c r="H1957" s="75">
        <f t="shared" si="719"/>
        <v>1</v>
      </c>
      <c r="I1957" s="76">
        <f t="shared" si="720"/>
        <v>1.06</v>
      </c>
      <c r="J1957" s="76">
        <f t="shared" si="721"/>
        <v>1.06</v>
      </c>
      <c r="K1957" s="67">
        <f t="shared" si="722"/>
        <v>0</v>
      </c>
      <c r="L1957" s="67">
        <f t="shared" si="723"/>
        <v>0</v>
      </c>
      <c r="M1957" s="77">
        <f t="shared" si="724"/>
        <v>0</v>
      </c>
      <c r="N1957" s="76">
        <f t="shared" si="725"/>
        <v>1.06</v>
      </c>
      <c r="O1957" s="77">
        <f t="shared" si="726"/>
        <v>0.92</v>
      </c>
      <c r="P1957" s="76">
        <f t="shared" si="727"/>
        <v>0</v>
      </c>
      <c r="Q1957" s="76">
        <f t="shared" si="728"/>
        <v>0</v>
      </c>
      <c r="R1957" s="76">
        <f t="shared" si="729"/>
        <v>0.91666666666666663</v>
      </c>
      <c r="S1957" s="76">
        <f t="shared" si="730"/>
        <v>1.06</v>
      </c>
      <c r="T1957" s="76">
        <f t="shared" si="731"/>
        <v>0.98731091237750934</v>
      </c>
      <c r="U1957" s="76">
        <f t="shared" si="732"/>
        <v>1.06</v>
      </c>
    </row>
    <row r="1958" spans="1:21" x14ac:dyDescent="0.25">
      <c r="A1958" s="71">
        <v>44</v>
      </c>
      <c r="B1958" s="72">
        <f t="shared" si="733"/>
        <v>46966</v>
      </c>
      <c r="C1958" s="73">
        <f t="shared" si="714"/>
        <v>46996</v>
      </c>
      <c r="D1958" s="67">
        <f t="shared" si="715"/>
        <v>31</v>
      </c>
      <c r="E1958" s="67">
        <f t="shared" si="716"/>
        <v>8</v>
      </c>
      <c r="F1958" s="74">
        <f t="shared" si="717"/>
        <v>46981.5</v>
      </c>
      <c r="G1958" s="67">
        <f t="shared" si="718"/>
        <v>24343</v>
      </c>
      <c r="H1958" s="75">
        <f t="shared" si="719"/>
        <v>1</v>
      </c>
      <c r="I1958" s="76">
        <f t="shared" si="720"/>
        <v>1.06</v>
      </c>
      <c r="J1958" s="76">
        <f t="shared" si="721"/>
        <v>1.06</v>
      </c>
      <c r="K1958" s="67">
        <f t="shared" si="722"/>
        <v>0</v>
      </c>
      <c r="L1958" s="67">
        <f t="shared" si="723"/>
        <v>0</v>
      </c>
      <c r="M1958" s="77">
        <f t="shared" si="724"/>
        <v>0</v>
      </c>
      <c r="N1958" s="76">
        <f t="shared" si="725"/>
        <v>1.06</v>
      </c>
      <c r="O1958" s="77">
        <f t="shared" si="726"/>
        <v>0.92</v>
      </c>
      <c r="P1958" s="76">
        <f t="shared" si="727"/>
        <v>0</v>
      </c>
      <c r="Q1958" s="76">
        <f t="shared" si="728"/>
        <v>0</v>
      </c>
      <c r="R1958" s="76">
        <f t="shared" si="729"/>
        <v>0.75</v>
      </c>
      <c r="S1958" s="76">
        <f t="shared" si="730"/>
        <v>1.06</v>
      </c>
      <c r="T1958" s="76">
        <f t="shared" si="731"/>
        <v>0.98804823518219009</v>
      </c>
      <c r="U1958" s="76">
        <f t="shared" si="732"/>
        <v>1.06</v>
      </c>
    </row>
    <row r="1959" spans="1:21" x14ac:dyDescent="0.25">
      <c r="A1959" s="71">
        <v>45</v>
      </c>
      <c r="B1959" s="72">
        <f t="shared" si="733"/>
        <v>46997</v>
      </c>
      <c r="C1959" s="73">
        <f t="shared" si="714"/>
        <v>47026</v>
      </c>
      <c r="D1959" s="67">
        <f t="shared" si="715"/>
        <v>30</v>
      </c>
      <c r="E1959" s="67">
        <f t="shared" si="716"/>
        <v>9</v>
      </c>
      <c r="F1959" s="74">
        <f t="shared" si="717"/>
        <v>47012</v>
      </c>
      <c r="G1959" s="67">
        <f t="shared" si="718"/>
        <v>24344</v>
      </c>
      <c r="H1959" s="75">
        <f t="shared" si="719"/>
        <v>1</v>
      </c>
      <c r="I1959" s="76">
        <f t="shared" si="720"/>
        <v>1.06</v>
      </c>
      <c r="J1959" s="76">
        <f t="shared" si="721"/>
        <v>1.06</v>
      </c>
      <c r="K1959" s="67">
        <f t="shared" si="722"/>
        <v>0</v>
      </c>
      <c r="L1959" s="67">
        <f t="shared" si="723"/>
        <v>0</v>
      </c>
      <c r="M1959" s="77">
        <f t="shared" si="724"/>
        <v>0</v>
      </c>
      <c r="N1959" s="76">
        <f t="shared" si="725"/>
        <v>1.06</v>
      </c>
      <c r="O1959" s="77">
        <f t="shared" si="726"/>
        <v>0.92</v>
      </c>
      <c r="P1959" s="76">
        <f t="shared" si="727"/>
        <v>0</v>
      </c>
      <c r="Q1959" s="76">
        <f t="shared" si="728"/>
        <v>0</v>
      </c>
      <c r="R1959" s="76">
        <f t="shared" si="729"/>
        <v>0.58333333333333337</v>
      </c>
      <c r="S1959" s="76">
        <f t="shared" si="730"/>
        <v>1.06</v>
      </c>
      <c r="T1959" s="76">
        <f t="shared" si="731"/>
        <v>0.98877366568356961</v>
      </c>
      <c r="U1959" s="76">
        <f t="shared" si="732"/>
        <v>1.06</v>
      </c>
    </row>
    <row r="1960" spans="1:21" x14ac:dyDescent="0.25">
      <c r="A1960" s="71">
        <v>46</v>
      </c>
      <c r="B1960" s="72">
        <f t="shared" si="733"/>
        <v>47027</v>
      </c>
      <c r="C1960" s="73">
        <f t="shared" si="714"/>
        <v>47057</v>
      </c>
      <c r="D1960" s="67">
        <f t="shared" si="715"/>
        <v>31</v>
      </c>
      <c r="E1960" s="67">
        <f t="shared" si="716"/>
        <v>10</v>
      </c>
      <c r="F1960" s="74">
        <f t="shared" si="717"/>
        <v>47042.5</v>
      </c>
      <c r="G1960" s="67">
        <f t="shared" si="718"/>
        <v>24345</v>
      </c>
      <c r="H1960" s="75">
        <f t="shared" si="719"/>
        <v>1</v>
      </c>
      <c r="I1960" s="76">
        <f t="shared" si="720"/>
        <v>1.06</v>
      </c>
      <c r="J1960" s="76">
        <f t="shared" si="721"/>
        <v>1.06</v>
      </c>
      <c r="K1960" s="67">
        <f t="shared" si="722"/>
        <v>0</v>
      </c>
      <c r="L1960" s="67">
        <f t="shared" si="723"/>
        <v>0</v>
      </c>
      <c r="M1960" s="77">
        <f t="shared" si="724"/>
        <v>0</v>
      </c>
      <c r="N1960" s="76">
        <f t="shared" si="725"/>
        <v>1.06</v>
      </c>
      <c r="O1960" s="77">
        <f t="shared" si="726"/>
        <v>0.92</v>
      </c>
      <c r="P1960" s="76">
        <f t="shared" si="727"/>
        <v>0</v>
      </c>
      <c r="Q1960" s="76">
        <f t="shared" si="728"/>
        <v>0</v>
      </c>
      <c r="R1960" s="76">
        <f t="shared" si="729"/>
        <v>0.41666666666666669</v>
      </c>
      <c r="S1960" s="76">
        <f t="shared" si="730"/>
        <v>1.06</v>
      </c>
      <c r="T1960" s="76">
        <f t="shared" si="731"/>
        <v>0.98949909618494902</v>
      </c>
      <c r="U1960" s="76">
        <f t="shared" si="732"/>
        <v>1.06</v>
      </c>
    </row>
    <row r="1961" spans="1:21" x14ac:dyDescent="0.25">
      <c r="A1961" s="71">
        <v>47</v>
      </c>
      <c r="B1961" s="72">
        <f t="shared" si="733"/>
        <v>47058</v>
      </c>
      <c r="C1961" s="73">
        <f t="shared" si="714"/>
        <v>47087</v>
      </c>
      <c r="D1961" s="67">
        <f t="shared" si="715"/>
        <v>30</v>
      </c>
      <c r="E1961" s="67">
        <f t="shared" si="716"/>
        <v>11</v>
      </c>
      <c r="F1961" s="74">
        <f t="shared" si="717"/>
        <v>47073</v>
      </c>
      <c r="G1961" s="67">
        <f t="shared" si="718"/>
        <v>24346</v>
      </c>
      <c r="H1961" s="75">
        <f t="shared" si="719"/>
        <v>1</v>
      </c>
      <c r="I1961" s="76">
        <f t="shared" si="720"/>
        <v>1.06</v>
      </c>
      <c r="J1961" s="76">
        <f t="shared" si="721"/>
        <v>1.06</v>
      </c>
      <c r="K1961" s="67">
        <f t="shared" si="722"/>
        <v>0</v>
      </c>
      <c r="L1961" s="67">
        <f t="shared" si="723"/>
        <v>0</v>
      </c>
      <c r="M1961" s="77">
        <f t="shared" si="724"/>
        <v>0</v>
      </c>
      <c r="N1961" s="76">
        <f t="shared" si="725"/>
        <v>1.06</v>
      </c>
      <c r="O1961" s="77">
        <f t="shared" si="726"/>
        <v>0.92</v>
      </c>
      <c r="P1961" s="76">
        <f t="shared" si="727"/>
        <v>0</v>
      </c>
      <c r="Q1961" s="76">
        <f t="shared" si="728"/>
        <v>0</v>
      </c>
      <c r="R1961" s="76">
        <f t="shared" si="729"/>
        <v>0.25</v>
      </c>
      <c r="S1961" s="76">
        <f t="shared" si="730"/>
        <v>1.06</v>
      </c>
      <c r="T1961" s="76">
        <f t="shared" si="731"/>
        <v>1.0496379982875084</v>
      </c>
      <c r="U1961" s="76">
        <f t="shared" si="732"/>
        <v>1.06</v>
      </c>
    </row>
    <row r="1962" spans="1:21" x14ac:dyDescent="0.25">
      <c r="A1962" s="71">
        <v>48</v>
      </c>
      <c r="B1962" s="72">
        <f t="shared" si="733"/>
        <v>47088</v>
      </c>
      <c r="C1962" s="73">
        <f t="shared" si="714"/>
        <v>47118</v>
      </c>
      <c r="D1962" s="67">
        <f t="shared" si="715"/>
        <v>31</v>
      </c>
      <c r="E1962" s="67">
        <f t="shared" si="716"/>
        <v>12</v>
      </c>
      <c r="F1962" s="74">
        <f t="shared" si="717"/>
        <v>47103.5</v>
      </c>
      <c r="G1962" s="67">
        <f t="shared" si="718"/>
        <v>24347</v>
      </c>
      <c r="H1962" s="75">
        <f t="shared" si="719"/>
        <v>1</v>
      </c>
      <c r="I1962" s="76">
        <f t="shared" si="720"/>
        <v>1.06</v>
      </c>
      <c r="J1962" s="76">
        <f t="shared" si="721"/>
        <v>1.06</v>
      </c>
      <c r="K1962" s="67">
        <f t="shared" si="722"/>
        <v>0</v>
      </c>
      <c r="L1962" s="67">
        <f t="shared" si="723"/>
        <v>0</v>
      </c>
      <c r="M1962" s="77">
        <f t="shared" si="724"/>
        <v>0</v>
      </c>
      <c r="N1962" s="76">
        <f t="shared" si="725"/>
        <v>1.06</v>
      </c>
      <c r="O1962" s="77">
        <f t="shared" si="726"/>
        <v>0.92</v>
      </c>
      <c r="P1962" s="76">
        <f t="shared" si="727"/>
        <v>0</v>
      </c>
      <c r="Q1962" s="76">
        <f t="shared" si="728"/>
        <v>0</v>
      </c>
      <c r="R1962" s="76">
        <f t="shared" si="729"/>
        <v>8.3333333333333329E-2</v>
      </c>
      <c r="S1962" s="76">
        <f t="shared" si="730"/>
        <v>1.06</v>
      </c>
      <c r="T1962" s="76">
        <f t="shared" si="731"/>
        <v>1.0504069546189705</v>
      </c>
      <c r="U1962" s="76">
        <f t="shared" si="732"/>
        <v>1.06</v>
      </c>
    </row>
    <row r="1963" spans="1:21" x14ac:dyDescent="0.25">
      <c r="A1963" s="81" t="s">
        <v>1187</v>
      </c>
      <c r="B1963" s="53">
        <f>EXP(SUMPRODUCT((rl_key=$A$1912)*(rl_cons="Y")*rl_ln1p))</f>
        <v>1.06</v>
      </c>
      <c r="C1963" s="53">
        <f>SUMPRODUCT($H$1915:$H$1962,$P$1915:$P$1962,$U$1915:$U$1962)/SUMPRODUCT($H$1915:$H$1962,$P$1915:$P$1962)</f>
        <v>1.0016666666666667</v>
      </c>
      <c r="D1963" s="53">
        <f>SUMPRODUCT($H$1915:$H$1962,$Q$1915:$Q$1962,$U$1915:$U$1962)/SUMPRODUCT($H$1915:$H$1962,$Q$1915:$Q$1962)</f>
        <v>1.0533333333333335</v>
      </c>
      <c r="E1963" s="53">
        <f>SUMPRODUCT($H$1915:$H$1962,$R$1915:$R$1962,$U$1915:$U$1962)/SUMPRODUCT($H$1915:$H$1962,$R$1915:$R$1962)</f>
        <v>1.0600000000000003</v>
      </c>
      <c r="F1963" s="172">
        <f>SUMPRODUCT($H$1915:$H$1962,$Q$1915:$Q$1962,$O$1915:$O$1962)/SUMPRODUCT($H$1915:$H$1962,$Q$1915:$Q$1962)</f>
        <v>0.91399252370532447</v>
      </c>
      <c r="G1963" s="172">
        <f>SUMPRODUCT($H$1915:$H$1962,$R$1915:$R$1962,$O$1915:$O$1962)/SUMPRODUCT($H$1915:$H$1962,$R$1915:$R$1962)</f>
        <v>0.91966022368101141</v>
      </c>
    </row>
    <row r="1966" spans="1:21" x14ac:dyDescent="0.25">
      <c r="A1966" s="81" t="str">
        <f>INDEX(lr_key,36)</f>
        <v>BU-B|NC</v>
      </c>
      <c r="B1966" s="81" t="str">
        <f>INDEX(lr_state,36)</f>
        <v>NC</v>
      </c>
      <c r="C1966" s="55">
        <f>nr_TermMonths</f>
        <v>6</v>
      </c>
      <c r="D1966" s="55">
        <f>IF(COUNTIF(se_state,$B1966)=0,0,MATCH($B1966,se_state,0))</f>
        <v>0</v>
      </c>
      <c r="E1966" s="57">
        <f>IF($D1966=0,0,INDEX(se_sum,$D1966))</f>
        <v>0</v>
      </c>
      <c r="F1966" s="172">
        <f>IF(N(INDEX(lr_mind,36))=0,1,INDEX(lr_mind,36))</f>
        <v>0.92</v>
      </c>
      <c r="G1966" s="172">
        <f>IF(N(INDEX(lr_m0,36))=0,1,INDEX(lr_m0,36))</f>
        <v>0.91</v>
      </c>
      <c r="H1966" s="54">
        <f>IF(N(INDEX(lr_m0asof,36))=0,DATE(nr_PlanYear-1,10,1),INDEX(lr_m0asof,36))</f>
        <v>46295</v>
      </c>
      <c r="I1966" s="172">
        <f>IF(N(INDEX(lr_m1,36))=0,1,INDEX(lr_m1,36))</f>
        <v>0.9</v>
      </c>
      <c r="J1966" s="172">
        <f>INDEX(lr_mprior,36)</f>
        <v>0</v>
      </c>
      <c r="K1966" s="172">
        <f>INDEX(lr_m2,36)</f>
        <v>0</v>
      </c>
      <c r="L1966" s="81" t="b">
        <f>NOT(ISBLANK(INDEX(lr_netp,36)))</f>
        <v>0</v>
      </c>
      <c r="M1966" s="52">
        <f>N(INDEX(lr_netp,36))</f>
        <v>0</v>
      </c>
      <c r="N1966" s="52">
        <f>IF(ISBLANK(INDEX(lr_netp1,36)),$M$1966,N(INDEX(lr_netp1,36)))</f>
        <v>0</v>
      </c>
      <c r="O1966" s="55">
        <f>IF(AND(nr_ModAdjMaster="ON",INDEX(lr_modadj,36)="ON"),1,0)</f>
        <v>1</v>
      </c>
    </row>
    <row r="1967" spans="1:21" x14ac:dyDescent="0.25">
      <c r="A1967" s="81">
        <f>EDATE($H$1966,-12)+1</f>
        <v>45931</v>
      </c>
      <c r="B1967" s="81">
        <f>$H$1966+1</f>
        <v>46296</v>
      </c>
      <c r="C1967" s="81">
        <f>DATE(nr_PlanYear,12,31)+1</f>
        <v>46753</v>
      </c>
      <c r="D1967" s="81">
        <f>DATE(nr_PlanYear+1,12,31)+1</f>
        <v>47119</v>
      </c>
      <c r="E1967" s="81">
        <f>IF(N($J$1966)=0,$F$1967-($G$1967-$F$1967)/($C$1967-$B$1967)*($B$1967-$A$1967),$J$1966)</f>
        <v>0.91798687089715536</v>
      </c>
      <c r="F1967" s="81">
        <f>$G$1966</f>
        <v>0.91</v>
      </c>
      <c r="G1967" s="81">
        <f>$I$1966</f>
        <v>0.9</v>
      </c>
      <c r="H1967" s="81">
        <f>IF(N($K$1966)=0,$I$1966,$K$1966)</f>
        <v>0.9</v>
      </c>
      <c r="I1967" s="81">
        <f>($F$1967-$E$1967)/($B$1967-$A$1967)</f>
        <v>-2.1881838074398162E-5</v>
      </c>
      <c r="J1967" s="81">
        <f>($G$1967-$F$1967)/($C$1967-$B$1967)</f>
        <v>-2.188183807439827E-5</v>
      </c>
      <c r="K1967" s="81">
        <f>($H$1967-$G$1967)/($D$1967-$C$1967)</f>
        <v>0</v>
      </c>
    </row>
    <row r="1968" spans="1:21" ht="36" x14ac:dyDescent="0.25">
      <c r="A1968" s="50" t="s">
        <v>211</v>
      </c>
      <c r="B1968" s="50" t="s">
        <v>212</v>
      </c>
      <c r="C1968" s="50" t="s">
        <v>213</v>
      </c>
      <c r="D1968" s="50" t="s">
        <v>214</v>
      </c>
      <c r="E1968" s="50" t="s">
        <v>215</v>
      </c>
      <c r="F1968" s="50" t="s">
        <v>216</v>
      </c>
      <c r="G1968" s="50" t="s">
        <v>217</v>
      </c>
      <c r="H1968" s="50" t="s">
        <v>218</v>
      </c>
      <c r="I1968" s="50" t="s">
        <v>219</v>
      </c>
      <c r="J1968" s="50" t="s">
        <v>220</v>
      </c>
      <c r="K1968" s="50" t="s">
        <v>221</v>
      </c>
      <c r="L1968" s="50" t="s">
        <v>222</v>
      </c>
      <c r="M1968" s="50" t="s">
        <v>223</v>
      </c>
      <c r="N1968" s="50" t="s">
        <v>224</v>
      </c>
      <c r="O1968" s="50" t="s">
        <v>225</v>
      </c>
      <c r="P1968" s="50" t="s">
        <v>226</v>
      </c>
      <c r="Q1968" s="50" t="s">
        <v>227</v>
      </c>
      <c r="R1968" s="50" t="s">
        <v>228</v>
      </c>
      <c r="S1968" s="50" t="s">
        <v>229</v>
      </c>
      <c r="T1968" s="50" t="s">
        <v>230</v>
      </c>
      <c r="U1968" s="50" t="s">
        <v>231</v>
      </c>
    </row>
    <row r="1969" spans="1:21" x14ac:dyDescent="0.25">
      <c r="A1969" s="71">
        <v>1</v>
      </c>
      <c r="B1969" s="72">
        <f>DATE(nr_PlanYear-2,1,1)</f>
        <v>45658</v>
      </c>
      <c r="C1969" s="73">
        <f t="shared" ref="C1969:C2016" si="734">EOMONTH($B1969,0)</f>
        <v>45688</v>
      </c>
      <c r="D1969" s="67">
        <f t="shared" ref="D1969:D2016" si="735">$C1969-$B1969+1</f>
        <v>31</v>
      </c>
      <c r="E1969" s="67">
        <f t="shared" ref="E1969:E2016" si="736">MONTH($B1969)</f>
        <v>1</v>
      </c>
      <c r="F1969" s="74">
        <f t="shared" ref="F1969:F2016" si="737">($B1969+$C1969+1)/2</f>
        <v>45673.5</v>
      </c>
      <c r="G1969" s="67">
        <f t="shared" ref="G1969:G2016" si="738">YEAR($B1969)*12+MONTH($B1969)-1</f>
        <v>24300</v>
      </c>
      <c r="H1969" s="75">
        <f t="shared" ref="H1969:H2016" si="739">IF(OR(nr_SeasonOn="OFF",$D$1966=0,$E$1966=0),1,12*INDEX(se_block,$D$1966,$E1969)/$E$1966)</f>
        <v>1</v>
      </c>
      <c r="I1969" s="76">
        <f t="shared" ref="I1969:I2016" si="740">EXP(SUMPRODUCT((rl_eff&lt;$B1969)*(rl_key=$A$1966)*rl_ln1p))</f>
        <v>1</v>
      </c>
      <c r="J1969" s="76">
        <f t="shared" ref="J1969:J2016" si="741">EXP(SUMPRODUCT((rl_eff&lt;=$C1969)*(rl_key=$A$1966)*rl_ln1p))</f>
        <v>1</v>
      </c>
      <c r="K1969" s="67">
        <f t="shared" ref="K1969:K2016" si="742">COUNTIFS(rl_key,$A$1966,rl_eff,"&gt;="&amp;$B1969,rl_eff,"&lt;="&amp;$C1969)</f>
        <v>0</v>
      </c>
      <c r="L1969" s="67">
        <f t="shared" ref="L1969:L2016" si="743">SUMIFS(rl_daysafter,rl_key,$A$1966,rl_effmonth,$B1969,rl_first,1)</f>
        <v>0</v>
      </c>
      <c r="M1969" s="77">
        <f t="shared" ref="M1969:M2016" si="744">IF($K1969=0,0,MIN(1,$L1969/$D1969))</f>
        <v>0</v>
      </c>
      <c r="N1969" s="76">
        <f t="shared" ref="N1969:N2016" si="745">IF($K1969=0,$J1969,(1-$M1969)*$I1969+$M1969*$J1969)</f>
        <v>1</v>
      </c>
      <c r="O1969" s="77">
        <f t="shared" ref="O1969:O2016" si="746">IF($F1969&lt;$B$1967,$E$1967+$I$1967*($F1969-$A$1967),IF($F1969&lt;$C$1967,$F$1967+$J$1967*($F1969-$B$1967),$G$1967+$K$1967*($F1969-$C$1967)))</f>
        <v>0.92362144420131287</v>
      </c>
      <c r="P1969" s="76">
        <f t="shared" ref="P1969:P2016" si="747">MIN(1,MAX(0,(nr_MEndPm1-$G1969+0.5)/$C$1966))-MIN(1,MAX(0,(nr_MStartPm1-1-$G1969+0.5)/$C$1966))</f>
        <v>0</v>
      </c>
      <c r="Q1969" s="76">
        <f t="shared" ref="Q1969:Q2016" si="748">MIN(1,MAX(0,(nr_MEndP-$G1969+0.5)/$C$1966))-MIN(1,MAX(0,(nr_MStartP-1-$G1969+0.5)/$C$1966))</f>
        <v>0</v>
      </c>
      <c r="R1969" s="76">
        <f t="shared" ref="R1969:R2016" si="749">MIN(1,MAX(0,(nr_MEndP1-$G1969+0.5)/$C$1966))-MIN(1,MAX(0,(nr_MStartP1-1-$G1969+0.5)/$C$1966))</f>
        <v>0</v>
      </c>
      <c r="S1969" s="76">
        <f t="shared" ref="S1969:S2016" si="750">$N1969*IF($O$1966=1,$O1969/$F$1966,1)</f>
        <v>1.0039363523927314</v>
      </c>
      <c r="T1969" s="76">
        <f t="shared" ref="T1969:T2016" si="751">IF($G1969&lt;nr_MStartP,$S1969,$T1957*(1+IF($G1969&lt;nr_MStartP1,$M$1966,$N$1966)))</f>
        <v>1.0039363523927314</v>
      </c>
      <c r="U1969" s="76">
        <f t="shared" ref="U1969:U2016" si="752">IF($L$1966,$T1969,$N1969)</f>
        <v>1</v>
      </c>
    </row>
    <row r="1970" spans="1:21" x14ac:dyDescent="0.25">
      <c r="A1970" s="71">
        <v>2</v>
      </c>
      <c r="B1970" s="72">
        <f t="shared" ref="B1970:B2016" si="753">EDATE($B1969,1)</f>
        <v>45689</v>
      </c>
      <c r="C1970" s="73">
        <f t="shared" si="734"/>
        <v>45716</v>
      </c>
      <c r="D1970" s="67">
        <f t="shared" si="735"/>
        <v>28</v>
      </c>
      <c r="E1970" s="67">
        <f t="shared" si="736"/>
        <v>2</v>
      </c>
      <c r="F1970" s="74">
        <f t="shared" si="737"/>
        <v>45703</v>
      </c>
      <c r="G1970" s="67">
        <f t="shared" si="738"/>
        <v>24301</v>
      </c>
      <c r="H1970" s="75">
        <f t="shared" si="739"/>
        <v>1</v>
      </c>
      <c r="I1970" s="76">
        <f t="shared" si="740"/>
        <v>1</v>
      </c>
      <c r="J1970" s="76">
        <f t="shared" si="741"/>
        <v>1</v>
      </c>
      <c r="K1970" s="67">
        <f t="shared" si="742"/>
        <v>0</v>
      </c>
      <c r="L1970" s="67">
        <f t="shared" si="743"/>
        <v>0</v>
      </c>
      <c r="M1970" s="77">
        <f t="shared" si="744"/>
        <v>0</v>
      </c>
      <c r="N1970" s="76">
        <f t="shared" si="745"/>
        <v>1</v>
      </c>
      <c r="O1970" s="77">
        <f t="shared" si="746"/>
        <v>0.92297592997811817</v>
      </c>
      <c r="P1970" s="76">
        <f t="shared" si="747"/>
        <v>0</v>
      </c>
      <c r="Q1970" s="76">
        <f t="shared" si="748"/>
        <v>0</v>
      </c>
      <c r="R1970" s="76">
        <f t="shared" si="749"/>
        <v>0</v>
      </c>
      <c r="S1970" s="76">
        <f t="shared" si="750"/>
        <v>1.0032347064979545</v>
      </c>
      <c r="T1970" s="76">
        <f t="shared" si="751"/>
        <v>1.0032347064979545</v>
      </c>
      <c r="U1970" s="76">
        <f t="shared" si="752"/>
        <v>1</v>
      </c>
    </row>
    <row r="1971" spans="1:21" x14ac:dyDescent="0.25">
      <c r="A1971" s="71">
        <v>3</v>
      </c>
      <c r="B1971" s="72">
        <f t="shared" si="753"/>
        <v>45717</v>
      </c>
      <c r="C1971" s="73">
        <f t="shared" si="734"/>
        <v>45747</v>
      </c>
      <c r="D1971" s="67">
        <f t="shared" si="735"/>
        <v>31</v>
      </c>
      <c r="E1971" s="67">
        <f t="shared" si="736"/>
        <v>3</v>
      </c>
      <c r="F1971" s="74">
        <f t="shared" si="737"/>
        <v>45732.5</v>
      </c>
      <c r="G1971" s="67">
        <f t="shared" si="738"/>
        <v>24302</v>
      </c>
      <c r="H1971" s="75">
        <f t="shared" si="739"/>
        <v>1</v>
      </c>
      <c r="I1971" s="76">
        <f t="shared" si="740"/>
        <v>1</v>
      </c>
      <c r="J1971" s="76">
        <f t="shared" si="741"/>
        <v>1</v>
      </c>
      <c r="K1971" s="67">
        <f t="shared" si="742"/>
        <v>0</v>
      </c>
      <c r="L1971" s="67">
        <f t="shared" si="743"/>
        <v>0</v>
      </c>
      <c r="M1971" s="77">
        <f t="shared" si="744"/>
        <v>0</v>
      </c>
      <c r="N1971" s="76">
        <f t="shared" si="745"/>
        <v>1</v>
      </c>
      <c r="O1971" s="77">
        <f t="shared" si="746"/>
        <v>0.92233041575492336</v>
      </c>
      <c r="P1971" s="76">
        <f t="shared" si="747"/>
        <v>0</v>
      </c>
      <c r="Q1971" s="76">
        <f t="shared" si="748"/>
        <v>0</v>
      </c>
      <c r="R1971" s="76">
        <f t="shared" si="749"/>
        <v>0</v>
      </c>
      <c r="S1971" s="76">
        <f t="shared" si="750"/>
        <v>1.0025330606031775</v>
      </c>
      <c r="T1971" s="76">
        <f t="shared" si="751"/>
        <v>1.0025330606031775</v>
      </c>
      <c r="U1971" s="76">
        <f t="shared" si="752"/>
        <v>1</v>
      </c>
    </row>
    <row r="1972" spans="1:21" x14ac:dyDescent="0.25">
      <c r="A1972" s="71">
        <v>4</v>
      </c>
      <c r="B1972" s="72">
        <f t="shared" si="753"/>
        <v>45748</v>
      </c>
      <c r="C1972" s="73">
        <f t="shared" si="734"/>
        <v>45777</v>
      </c>
      <c r="D1972" s="67">
        <f t="shared" si="735"/>
        <v>30</v>
      </c>
      <c r="E1972" s="67">
        <f t="shared" si="736"/>
        <v>4</v>
      </c>
      <c r="F1972" s="74">
        <f t="shared" si="737"/>
        <v>45763</v>
      </c>
      <c r="G1972" s="67">
        <f t="shared" si="738"/>
        <v>24303</v>
      </c>
      <c r="H1972" s="75">
        <f t="shared" si="739"/>
        <v>1</v>
      </c>
      <c r="I1972" s="76">
        <f t="shared" si="740"/>
        <v>1</v>
      </c>
      <c r="J1972" s="76">
        <f t="shared" si="741"/>
        <v>1</v>
      </c>
      <c r="K1972" s="67">
        <f t="shared" si="742"/>
        <v>0</v>
      </c>
      <c r="L1972" s="67">
        <f t="shared" si="743"/>
        <v>0</v>
      </c>
      <c r="M1972" s="77">
        <f t="shared" si="744"/>
        <v>0</v>
      </c>
      <c r="N1972" s="76">
        <f t="shared" si="745"/>
        <v>1</v>
      </c>
      <c r="O1972" s="77">
        <f t="shared" si="746"/>
        <v>0.92166301969365427</v>
      </c>
      <c r="P1972" s="76">
        <f t="shared" si="747"/>
        <v>0</v>
      </c>
      <c r="Q1972" s="76">
        <f t="shared" si="748"/>
        <v>0</v>
      </c>
      <c r="R1972" s="76">
        <f t="shared" si="749"/>
        <v>0</v>
      </c>
      <c r="S1972" s="76">
        <f t="shared" si="750"/>
        <v>1.0018076301017982</v>
      </c>
      <c r="T1972" s="76">
        <f t="shared" si="751"/>
        <v>1.0018076301017982</v>
      </c>
      <c r="U1972" s="76">
        <f t="shared" si="752"/>
        <v>1</v>
      </c>
    </row>
    <row r="1973" spans="1:21" x14ac:dyDescent="0.25">
      <c r="A1973" s="71">
        <v>5</v>
      </c>
      <c r="B1973" s="72">
        <f t="shared" si="753"/>
        <v>45778</v>
      </c>
      <c r="C1973" s="73">
        <f t="shared" si="734"/>
        <v>45808</v>
      </c>
      <c r="D1973" s="67">
        <f t="shared" si="735"/>
        <v>31</v>
      </c>
      <c r="E1973" s="67">
        <f t="shared" si="736"/>
        <v>5</v>
      </c>
      <c r="F1973" s="74">
        <f t="shared" si="737"/>
        <v>45793.5</v>
      </c>
      <c r="G1973" s="67">
        <f t="shared" si="738"/>
        <v>24304</v>
      </c>
      <c r="H1973" s="75">
        <f t="shared" si="739"/>
        <v>1</v>
      </c>
      <c r="I1973" s="76">
        <f t="shared" si="740"/>
        <v>1</v>
      </c>
      <c r="J1973" s="76">
        <f t="shared" si="741"/>
        <v>1</v>
      </c>
      <c r="K1973" s="67">
        <f t="shared" si="742"/>
        <v>0</v>
      </c>
      <c r="L1973" s="67">
        <f t="shared" si="743"/>
        <v>0</v>
      </c>
      <c r="M1973" s="77">
        <f t="shared" si="744"/>
        <v>0</v>
      </c>
      <c r="N1973" s="76">
        <f t="shared" si="745"/>
        <v>1</v>
      </c>
      <c r="O1973" s="77">
        <f t="shared" si="746"/>
        <v>0.92099562363238507</v>
      </c>
      <c r="P1973" s="76">
        <f t="shared" si="747"/>
        <v>0</v>
      </c>
      <c r="Q1973" s="76">
        <f t="shared" si="748"/>
        <v>0</v>
      </c>
      <c r="R1973" s="76">
        <f t="shared" si="749"/>
        <v>0</v>
      </c>
      <c r="S1973" s="76">
        <f t="shared" si="750"/>
        <v>1.0010821996004184</v>
      </c>
      <c r="T1973" s="76">
        <f t="shared" si="751"/>
        <v>1.0010821996004184</v>
      </c>
      <c r="U1973" s="76">
        <f t="shared" si="752"/>
        <v>1</v>
      </c>
    </row>
    <row r="1974" spans="1:21" x14ac:dyDescent="0.25">
      <c r="A1974" s="71">
        <v>6</v>
      </c>
      <c r="B1974" s="72">
        <f t="shared" si="753"/>
        <v>45809</v>
      </c>
      <c r="C1974" s="73">
        <f t="shared" si="734"/>
        <v>45838</v>
      </c>
      <c r="D1974" s="67">
        <f t="shared" si="735"/>
        <v>30</v>
      </c>
      <c r="E1974" s="67">
        <f t="shared" si="736"/>
        <v>6</v>
      </c>
      <c r="F1974" s="74">
        <f t="shared" si="737"/>
        <v>45824</v>
      </c>
      <c r="G1974" s="67">
        <f t="shared" si="738"/>
        <v>24305</v>
      </c>
      <c r="H1974" s="75">
        <f t="shared" si="739"/>
        <v>1</v>
      </c>
      <c r="I1974" s="76">
        <f t="shared" si="740"/>
        <v>1</v>
      </c>
      <c r="J1974" s="76">
        <f t="shared" si="741"/>
        <v>1</v>
      </c>
      <c r="K1974" s="67">
        <f t="shared" si="742"/>
        <v>0</v>
      </c>
      <c r="L1974" s="67">
        <f t="shared" si="743"/>
        <v>0</v>
      </c>
      <c r="M1974" s="77">
        <f t="shared" si="744"/>
        <v>0</v>
      </c>
      <c r="N1974" s="76">
        <f t="shared" si="745"/>
        <v>1</v>
      </c>
      <c r="O1974" s="77">
        <f t="shared" si="746"/>
        <v>0.92032822757111599</v>
      </c>
      <c r="P1974" s="76">
        <f t="shared" si="747"/>
        <v>0</v>
      </c>
      <c r="Q1974" s="76">
        <f t="shared" si="748"/>
        <v>0</v>
      </c>
      <c r="R1974" s="76">
        <f t="shared" si="749"/>
        <v>0</v>
      </c>
      <c r="S1974" s="76">
        <f t="shared" si="750"/>
        <v>1.0003567690990391</v>
      </c>
      <c r="T1974" s="76">
        <f t="shared" si="751"/>
        <v>1.0003567690990391</v>
      </c>
      <c r="U1974" s="76">
        <f t="shared" si="752"/>
        <v>1</v>
      </c>
    </row>
    <row r="1975" spans="1:21" x14ac:dyDescent="0.25">
      <c r="A1975" s="71">
        <v>7</v>
      </c>
      <c r="B1975" s="72">
        <f t="shared" si="753"/>
        <v>45839</v>
      </c>
      <c r="C1975" s="73">
        <f t="shared" si="734"/>
        <v>45869</v>
      </c>
      <c r="D1975" s="67">
        <f t="shared" si="735"/>
        <v>31</v>
      </c>
      <c r="E1975" s="67">
        <f t="shared" si="736"/>
        <v>7</v>
      </c>
      <c r="F1975" s="74">
        <f t="shared" si="737"/>
        <v>45854.5</v>
      </c>
      <c r="G1975" s="67">
        <f t="shared" si="738"/>
        <v>24306</v>
      </c>
      <c r="H1975" s="75">
        <f t="shared" si="739"/>
        <v>1</v>
      </c>
      <c r="I1975" s="76">
        <f t="shared" si="740"/>
        <v>1</v>
      </c>
      <c r="J1975" s="76">
        <f t="shared" si="741"/>
        <v>1</v>
      </c>
      <c r="K1975" s="67">
        <f t="shared" si="742"/>
        <v>0</v>
      </c>
      <c r="L1975" s="67">
        <f t="shared" si="743"/>
        <v>0</v>
      </c>
      <c r="M1975" s="77">
        <f t="shared" si="744"/>
        <v>0</v>
      </c>
      <c r="N1975" s="76">
        <f t="shared" si="745"/>
        <v>1</v>
      </c>
      <c r="O1975" s="77">
        <f t="shared" si="746"/>
        <v>0.91966083150984679</v>
      </c>
      <c r="P1975" s="76">
        <f t="shared" si="747"/>
        <v>8.333333333333337E-2</v>
      </c>
      <c r="Q1975" s="76">
        <f t="shared" si="748"/>
        <v>0</v>
      </c>
      <c r="R1975" s="76">
        <f t="shared" si="749"/>
        <v>0</v>
      </c>
      <c r="S1975" s="76">
        <f t="shared" si="750"/>
        <v>0.99963133859765951</v>
      </c>
      <c r="T1975" s="76">
        <f t="shared" si="751"/>
        <v>0.99963133859765951</v>
      </c>
      <c r="U1975" s="76">
        <f t="shared" si="752"/>
        <v>1</v>
      </c>
    </row>
    <row r="1976" spans="1:21" x14ac:dyDescent="0.25">
      <c r="A1976" s="71">
        <v>8</v>
      </c>
      <c r="B1976" s="72">
        <f t="shared" si="753"/>
        <v>45870</v>
      </c>
      <c r="C1976" s="73">
        <f t="shared" si="734"/>
        <v>45900</v>
      </c>
      <c r="D1976" s="67">
        <f t="shared" si="735"/>
        <v>31</v>
      </c>
      <c r="E1976" s="67">
        <f t="shared" si="736"/>
        <v>8</v>
      </c>
      <c r="F1976" s="74">
        <f t="shared" si="737"/>
        <v>45885.5</v>
      </c>
      <c r="G1976" s="67">
        <f t="shared" si="738"/>
        <v>24307</v>
      </c>
      <c r="H1976" s="75">
        <f t="shared" si="739"/>
        <v>1</v>
      </c>
      <c r="I1976" s="76">
        <f t="shared" si="740"/>
        <v>1</v>
      </c>
      <c r="J1976" s="76">
        <f t="shared" si="741"/>
        <v>1</v>
      </c>
      <c r="K1976" s="67">
        <f t="shared" si="742"/>
        <v>0</v>
      </c>
      <c r="L1976" s="67">
        <f t="shared" si="743"/>
        <v>0</v>
      </c>
      <c r="M1976" s="77">
        <f t="shared" si="744"/>
        <v>0</v>
      </c>
      <c r="N1976" s="76">
        <f t="shared" si="745"/>
        <v>1</v>
      </c>
      <c r="O1976" s="77">
        <f t="shared" si="746"/>
        <v>0.91898249452954051</v>
      </c>
      <c r="P1976" s="76">
        <f t="shared" si="747"/>
        <v>0.25</v>
      </c>
      <c r="Q1976" s="76">
        <f t="shared" si="748"/>
        <v>0</v>
      </c>
      <c r="R1976" s="76">
        <f t="shared" si="749"/>
        <v>0</v>
      </c>
      <c r="S1976" s="76">
        <f t="shared" si="750"/>
        <v>0.99889401579297876</v>
      </c>
      <c r="T1976" s="76">
        <f t="shared" si="751"/>
        <v>0.99889401579297876</v>
      </c>
      <c r="U1976" s="76">
        <f t="shared" si="752"/>
        <v>1</v>
      </c>
    </row>
    <row r="1977" spans="1:21" x14ac:dyDescent="0.25">
      <c r="A1977" s="71">
        <v>9</v>
      </c>
      <c r="B1977" s="72">
        <f t="shared" si="753"/>
        <v>45901</v>
      </c>
      <c r="C1977" s="73">
        <f t="shared" si="734"/>
        <v>45930</v>
      </c>
      <c r="D1977" s="67">
        <f t="shared" si="735"/>
        <v>30</v>
      </c>
      <c r="E1977" s="67">
        <f t="shared" si="736"/>
        <v>9</v>
      </c>
      <c r="F1977" s="74">
        <f t="shared" si="737"/>
        <v>45916</v>
      </c>
      <c r="G1977" s="67">
        <f t="shared" si="738"/>
        <v>24308</v>
      </c>
      <c r="H1977" s="75">
        <f t="shared" si="739"/>
        <v>1</v>
      </c>
      <c r="I1977" s="76">
        <f t="shared" si="740"/>
        <v>1</v>
      </c>
      <c r="J1977" s="76">
        <f t="shared" si="741"/>
        <v>1</v>
      </c>
      <c r="K1977" s="67">
        <f t="shared" si="742"/>
        <v>0</v>
      </c>
      <c r="L1977" s="67">
        <f t="shared" si="743"/>
        <v>0</v>
      </c>
      <c r="M1977" s="77">
        <f t="shared" si="744"/>
        <v>0</v>
      </c>
      <c r="N1977" s="76">
        <f t="shared" si="745"/>
        <v>1</v>
      </c>
      <c r="O1977" s="77">
        <f t="shared" si="746"/>
        <v>0.91831509846827131</v>
      </c>
      <c r="P1977" s="76">
        <f t="shared" si="747"/>
        <v>0.41666666666666663</v>
      </c>
      <c r="Q1977" s="76">
        <f t="shared" si="748"/>
        <v>0</v>
      </c>
      <c r="R1977" s="76">
        <f t="shared" si="749"/>
        <v>0</v>
      </c>
      <c r="S1977" s="76">
        <f t="shared" si="750"/>
        <v>0.99816858529159924</v>
      </c>
      <c r="T1977" s="76">
        <f t="shared" si="751"/>
        <v>0.99816858529159924</v>
      </c>
      <c r="U1977" s="76">
        <f t="shared" si="752"/>
        <v>1</v>
      </c>
    </row>
    <row r="1978" spans="1:21" x14ac:dyDescent="0.25">
      <c r="A1978" s="71">
        <v>10</v>
      </c>
      <c r="B1978" s="72">
        <f t="shared" si="753"/>
        <v>45931</v>
      </c>
      <c r="C1978" s="73">
        <f t="shared" si="734"/>
        <v>45961</v>
      </c>
      <c r="D1978" s="67">
        <f t="shared" si="735"/>
        <v>31</v>
      </c>
      <c r="E1978" s="67">
        <f t="shared" si="736"/>
        <v>10</v>
      </c>
      <c r="F1978" s="74">
        <f t="shared" si="737"/>
        <v>45946.5</v>
      </c>
      <c r="G1978" s="67">
        <f t="shared" si="738"/>
        <v>24309</v>
      </c>
      <c r="H1978" s="75">
        <f t="shared" si="739"/>
        <v>1</v>
      </c>
      <c r="I1978" s="76">
        <f t="shared" si="740"/>
        <v>1</v>
      </c>
      <c r="J1978" s="76">
        <f t="shared" si="741"/>
        <v>1</v>
      </c>
      <c r="K1978" s="67">
        <f t="shared" si="742"/>
        <v>0</v>
      </c>
      <c r="L1978" s="67">
        <f t="shared" si="743"/>
        <v>0</v>
      </c>
      <c r="M1978" s="77">
        <f t="shared" si="744"/>
        <v>0</v>
      </c>
      <c r="N1978" s="76">
        <f t="shared" si="745"/>
        <v>1</v>
      </c>
      <c r="O1978" s="77">
        <f t="shared" si="746"/>
        <v>0.91764770240700222</v>
      </c>
      <c r="P1978" s="76">
        <f t="shared" si="747"/>
        <v>0.58333333333333326</v>
      </c>
      <c r="Q1978" s="76">
        <f t="shared" si="748"/>
        <v>0</v>
      </c>
      <c r="R1978" s="76">
        <f t="shared" si="749"/>
        <v>0</v>
      </c>
      <c r="S1978" s="76">
        <f t="shared" si="750"/>
        <v>0.99744315479021972</v>
      </c>
      <c r="T1978" s="76">
        <f t="shared" si="751"/>
        <v>0.99744315479021972</v>
      </c>
      <c r="U1978" s="76">
        <f t="shared" si="752"/>
        <v>1</v>
      </c>
    </row>
    <row r="1979" spans="1:21" x14ac:dyDescent="0.25">
      <c r="A1979" s="71">
        <v>11</v>
      </c>
      <c r="B1979" s="72">
        <f t="shared" si="753"/>
        <v>45962</v>
      </c>
      <c r="C1979" s="73">
        <f t="shared" si="734"/>
        <v>45991</v>
      </c>
      <c r="D1979" s="67">
        <f t="shared" si="735"/>
        <v>30</v>
      </c>
      <c r="E1979" s="67">
        <f t="shared" si="736"/>
        <v>11</v>
      </c>
      <c r="F1979" s="74">
        <f t="shared" si="737"/>
        <v>45977</v>
      </c>
      <c r="G1979" s="67">
        <f t="shared" si="738"/>
        <v>24310</v>
      </c>
      <c r="H1979" s="75">
        <f t="shared" si="739"/>
        <v>1</v>
      </c>
      <c r="I1979" s="76">
        <f t="shared" si="740"/>
        <v>1</v>
      </c>
      <c r="J1979" s="76">
        <f t="shared" si="741"/>
        <v>1</v>
      </c>
      <c r="K1979" s="67">
        <f t="shared" si="742"/>
        <v>0</v>
      </c>
      <c r="L1979" s="67">
        <f t="shared" si="743"/>
        <v>0</v>
      </c>
      <c r="M1979" s="77">
        <f t="shared" si="744"/>
        <v>0</v>
      </c>
      <c r="N1979" s="76">
        <f t="shared" si="745"/>
        <v>1</v>
      </c>
      <c r="O1979" s="77">
        <f t="shared" si="746"/>
        <v>0.91698030634573302</v>
      </c>
      <c r="P1979" s="76">
        <f t="shared" si="747"/>
        <v>0.75</v>
      </c>
      <c r="Q1979" s="76">
        <f t="shared" si="748"/>
        <v>0</v>
      </c>
      <c r="R1979" s="76">
        <f t="shared" si="749"/>
        <v>0</v>
      </c>
      <c r="S1979" s="76">
        <f t="shared" si="750"/>
        <v>0.9967177242888402</v>
      </c>
      <c r="T1979" s="76">
        <f t="shared" si="751"/>
        <v>0.9967177242888402</v>
      </c>
      <c r="U1979" s="76">
        <f t="shared" si="752"/>
        <v>1</v>
      </c>
    </row>
    <row r="1980" spans="1:21" x14ac:dyDescent="0.25">
      <c r="A1980" s="71">
        <v>12</v>
      </c>
      <c r="B1980" s="72">
        <f t="shared" si="753"/>
        <v>45992</v>
      </c>
      <c r="C1980" s="73">
        <f t="shared" si="734"/>
        <v>46022</v>
      </c>
      <c r="D1980" s="67">
        <f t="shared" si="735"/>
        <v>31</v>
      </c>
      <c r="E1980" s="67">
        <f t="shared" si="736"/>
        <v>12</v>
      </c>
      <c r="F1980" s="74">
        <f t="shared" si="737"/>
        <v>46007.5</v>
      </c>
      <c r="G1980" s="67">
        <f t="shared" si="738"/>
        <v>24311</v>
      </c>
      <c r="H1980" s="75">
        <f t="shared" si="739"/>
        <v>1</v>
      </c>
      <c r="I1980" s="76">
        <f t="shared" si="740"/>
        <v>1</v>
      </c>
      <c r="J1980" s="76">
        <f t="shared" si="741"/>
        <v>1</v>
      </c>
      <c r="K1980" s="67">
        <f t="shared" si="742"/>
        <v>0</v>
      </c>
      <c r="L1980" s="67">
        <f t="shared" si="743"/>
        <v>0</v>
      </c>
      <c r="M1980" s="77">
        <f t="shared" si="744"/>
        <v>0</v>
      </c>
      <c r="N1980" s="76">
        <f t="shared" si="745"/>
        <v>1</v>
      </c>
      <c r="O1980" s="77">
        <f t="shared" si="746"/>
        <v>0.91631291028446393</v>
      </c>
      <c r="P1980" s="76">
        <f t="shared" si="747"/>
        <v>0.91666666666666663</v>
      </c>
      <c r="Q1980" s="76">
        <f t="shared" si="748"/>
        <v>0</v>
      </c>
      <c r="R1980" s="76">
        <f t="shared" si="749"/>
        <v>0</v>
      </c>
      <c r="S1980" s="76">
        <f t="shared" si="750"/>
        <v>0.99599229378746079</v>
      </c>
      <c r="T1980" s="76">
        <f t="shared" si="751"/>
        <v>0.99599229378746079</v>
      </c>
      <c r="U1980" s="76">
        <f t="shared" si="752"/>
        <v>1</v>
      </c>
    </row>
    <row r="1981" spans="1:21" x14ac:dyDescent="0.25">
      <c r="A1981" s="71">
        <v>13</v>
      </c>
      <c r="B1981" s="72">
        <f t="shared" si="753"/>
        <v>46023</v>
      </c>
      <c r="C1981" s="73">
        <f t="shared" si="734"/>
        <v>46053</v>
      </c>
      <c r="D1981" s="67">
        <f t="shared" si="735"/>
        <v>31</v>
      </c>
      <c r="E1981" s="67">
        <f t="shared" si="736"/>
        <v>1</v>
      </c>
      <c r="F1981" s="74">
        <f t="shared" si="737"/>
        <v>46038.5</v>
      </c>
      <c r="G1981" s="67">
        <f t="shared" si="738"/>
        <v>24312</v>
      </c>
      <c r="H1981" s="75">
        <f t="shared" si="739"/>
        <v>1</v>
      </c>
      <c r="I1981" s="76">
        <f t="shared" si="740"/>
        <v>1</v>
      </c>
      <c r="J1981" s="76">
        <f t="shared" si="741"/>
        <v>1</v>
      </c>
      <c r="K1981" s="67">
        <f t="shared" si="742"/>
        <v>0</v>
      </c>
      <c r="L1981" s="67">
        <f t="shared" si="743"/>
        <v>0</v>
      </c>
      <c r="M1981" s="77">
        <f t="shared" si="744"/>
        <v>0</v>
      </c>
      <c r="N1981" s="76">
        <f t="shared" si="745"/>
        <v>1</v>
      </c>
      <c r="O1981" s="77">
        <f t="shared" si="746"/>
        <v>0.91563457330415754</v>
      </c>
      <c r="P1981" s="76">
        <f t="shared" si="747"/>
        <v>1</v>
      </c>
      <c r="Q1981" s="76">
        <f t="shared" si="748"/>
        <v>0</v>
      </c>
      <c r="R1981" s="76">
        <f t="shared" si="749"/>
        <v>0</v>
      </c>
      <c r="S1981" s="76">
        <f t="shared" si="750"/>
        <v>0.99525497098277993</v>
      </c>
      <c r="T1981" s="76">
        <f t="shared" si="751"/>
        <v>0.99525497098277993</v>
      </c>
      <c r="U1981" s="76">
        <f t="shared" si="752"/>
        <v>1</v>
      </c>
    </row>
    <row r="1982" spans="1:21" x14ac:dyDescent="0.25">
      <c r="A1982" s="71">
        <v>14</v>
      </c>
      <c r="B1982" s="72">
        <f t="shared" si="753"/>
        <v>46054</v>
      </c>
      <c r="C1982" s="73">
        <f t="shared" si="734"/>
        <v>46081</v>
      </c>
      <c r="D1982" s="67">
        <f t="shared" si="735"/>
        <v>28</v>
      </c>
      <c r="E1982" s="67">
        <f t="shared" si="736"/>
        <v>2</v>
      </c>
      <c r="F1982" s="74">
        <f t="shared" si="737"/>
        <v>46068</v>
      </c>
      <c r="G1982" s="67">
        <f t="shared" si="738"/>
        <v>24313</v>
      </c>
      <c r="H1982" s="75">
        <f t="shared" si="739"/>
        <v>1</v>
      </c>
      <c r="I1982" s="76">
        <f t="shared" si="740"/>
        <v>1</v>
      </c>
      <c r="J1982" s="76">
        <f t="shared" si="741"/>
        <v>1</v>
      </c>
      <c r="K1982" s="67">
        <f t="shared" si="742"/>
        <v>0</v>
      </c>
      <c r="L1982" s="67">
        <f t="shared" si="743"/>
        <v>0</v>
      </c>
      <c r="M1982" s="77">
        <f t="shared" si="744"/>
        <v>0</v>
      </c>
      <c r="N1982" s="76">
        <f t="shared" si="745"/>
        <v>1</v>
      </c>
      <c r="O1982" s="77">
        <f t="shared" si="746"/>
        <v>0.91498905908096284</v>
      </c>
      <c r="P1982" s="76">
        <f t="shared" si="747"/>
        <v>1</v>
      </c>
      <c r="Q1982" s="76">
        <f t="shared" si="748"/>
        <v>0</v>
      </c>
      <c r="R1982" s="76">
        <f t="shared" si="749"/>
        <v>0</v>
      </c>
      <c r="S1982" s="76">
        <f t="shared" si="750"/>
        <v>0.99455332508800309</v>
      </c>
      <c r="T1982" s="76">
        <f t="shared" si="751"/>
        <v>0.99455332508800309</v>
      </c>
      <c r="U1982" s="76">
        <f t="shared" si="752"/>
        <v>1</v>
      </c>
    </row>
    <row r="1983" spans="1:21" x14ac:dyDescent="0.25">
      <c r="A1983" s="71">
        <v>15</v>
      </c>
      <c r="B1983" s="72">
        <f t="shared" si="753"/>
        <v>46082</v>
      </c>
      <c r="C1983" s="73">
        <f t="shared" si="734"/>
        <v>46112</v>
      </c>
      <c r="D1983" s="67">
        <f t="shared" si="735"/>
        <v>31</v>
      </c>
      <c r="E1983" s="67">
        <f t="shared" si="736"/>
        <v>3</v>
      </c>
      <c r="F1983" s="74">
        <f t="shared" si="737"/>
        <v>46097.5</v>
      </c>
      <c r="G1983" s="67">
        <f t="shared" si="738"/>
        <v>24314</v>
      </c>
      <c r="H1983" s="75">
        <f t="shared" si="739"/>
        <v>1</v>
      </c>
      <c r="I1983" s="76">
        <f t="shared" si="740"/>
        <v>1</v>
      </c>
      <c r="J1983" s="76">
        <f t="shared" si="741"/>
        <v>1</v>
      </c>
      <c r="K1983" s="67">
        <f t="shared" si="742"/>
        <v>0</v>
      </c>
      <c r="L1983" s="67">
        <f t="shared" si="743"/>
        <v>0</v>
      </c>
      <c r="M1983" s="77">
        <f t="shared" si="744"/>
        <v>0</v>
      </c>
      <c r="N1983" s="76">
        <f t="shared" si="745"/>
        <v>1</v>
      </c>
      <c r="O1983" s="77">
        <f t="shared" si="746"/>
        <v>0.91434354485776803</v>
      </c>
      <c r="P1983" s="76">
        <f t="shared" si="747"/>
        <v>1</v>
      </c>
      <c r="Q1983" s="76">
        <f t="shared" si="748"/>
        <v>0</v>
      </c>
      <c r="R1983" s="76">
        <f t="shared" si="749"/>
        <v>0</v>
      </c>
      <c r="S1983" s="76">
        <f t="shared" si="750"/>
        <v>0.99385167919322603</v>
      </c>
      <c r="T1983" s="76">
        <f t="shared" si="751"/>
        <v>0.99385167919322603</v>
      </c>
      <c r="U1983" s="76">
        <f t="shared" si="752"/>
        <v>1</v>
      </c>
    </row>
    <row r="1984" spans="1:21" x14ac:dyDescent="0.25">
      <c r="A1984" s="71">
        <v>16</v>
      </c>
      <c r="B1984" s="72">
        <f t="shared" si="753"/>
        <v>46113</v>
      </c>
      <c r="C1984" s="73">
        <f t="shared" si="734"/>
        <v>46142</v>
      </c>
      <c r="D1984" s="67">
        <f t="shared" si="735"/>
        <v>30</v>
      </c>
      <c r="E1984" s="67">
        <f t="shared" si="736"/>
        <v>4</v>
      </c>
      <c r="F1984" s="74">
        <f t="shared" si="737"/>
        <v>46128</v>
      </c>
      <c r="G1984" s="67">
        <f t="shared" si="738"/>
        <v>24315</v>
      </c>
      <c r="H1984" s="75">
        <f t="shared" si="739"/>
        <v>1</v>
      </c>
      <c r="I1984" s="76">
        <f t="shared" si="740"/>
        <v>1</v>
      </c>
      <c r="J1984" s="76">
        <f t="shared" si="741"/>
        <v>1</v>
      </c>
      <c r="K1984" s="67">
        <f t="shared" si="742"/>
        <v>0</v>
      </c>
      <c r="L1984" s="67">
        <f t="shared" si="743"/>
        <v>0</v>
      </c>
      <c r="M1984" s="77">
        <f t="shared" si="744"/>
        <v>0</v>
      </c>
      <c r="N1984" s="76">
        <f t="shared" si="745"/>
        <v>1</v>
      </c>
      <c r="O1984" s="77">
        <f t="shared" si="746"/>
        <v>0.91367614879649894</v>
      </c>
      <c r="P1984" s="76">
        <f t="shared" si="747"/>
        <v>1</v>
      </c>
      <c r="Q1984" s="76">
        <f t="shared" si="748"/>
        <v>0</v>
      </c>
      <c r="R1984" s="76">
        <f t="shared" si="749"/>
        <v>0</v>
      </c>
      <c r="S1984" s="76">
        <f t="shared" si="750"/>
        <v>0.99312624869184662</v>
      </c>
      <c r="T1984" s="76">
        <f t="shared" si="751"/>
        <v>0.99312624869184662</v>
      </c>
      <c r="U1984" s="76">
        <f t="shared" si="752"/>
        <v>1</v>
      </c>
    </row>
    <row r="1985" spans="1:21" x14ac:dyDescent="0.25">
      <c r="A1985" s="71">
        <v>17</v>
      </c>
      <c r="B1985" s="72">
        <f t="shared" si="753"/>
        <v>46143</v>
      </c>
      <c r="C1985" s="73">
        <f t="shared" si="734"/>
        <v>46173</v>
      </c>
      <c r="D1985" s="67">
        <f t="shared" si="735"/>
        <v>31</v>
      </c>
      <c r="E1985" s="67">
        <f t="shared" si="736"/>
        <v>5</v>
      </c>
      <c r="F1985" s="74">
        <f t="shared" si="737"/>
        <v>46158.5</v>
      </c>
      <c r="G1985" s="67">
        <f t="shared" si="738"/>
        <v>24316</v>
      </c>
      <c r="H1985" s="75">
        <f t="shared" si="739"/>
        <v>1</v>
      </c>
      <c r="I1985" s="76">
        <f t="shared" si="740"/>
        <v>1</v>
      </c>
      <c r="J1985" s="76">
        <f t="shared" si="741"/>
        <v>1</v>
      </c>
      <c r="K1985" s="67">
        <f t="shared" si="742"/>
        <v>0</v>
      </c>
      <c r="L1985" s="67">
        <f t="shared" si="743"/>
        <v>0</v>
      </c>
      <c r="M1985" s="77">
        <f t="shared" si="744"/>
        <v>0</v>
      </c>
      <c r="N1985" s="76">
        <f t="shared" si="745"/>
        <v>1</v>
      </c>
      <c r="O1985" s="77">
        <f t="shared" si="746"/>
        <v>0.91300875273522974</v>
      </c>
      <c r="P1985" s="76">
        <f t="shared" si="747"/>
        <v>1</v>
      </c>
      <c r="Q1985" s="76">
        <f t="shared" si="748"/>
        <v>0</v>
      </c>
      <c r="R1985" s="76">
        <f t="shared" si="749"/>
        <v>0</v>
      </c>
      <c r="S1985" s="76">
        <f t="shared" si="750"/>
        <v>0.9924008181904671</v>
      </c>
      <c r="T1985" s="76">
        <f t="shared" si="751"/>
        <v>0.9924008181904671</v>
      </c>
      <c r="U1985" s="76">
        <f t="shared" si="752"/>
        <v>1</v>
      </c>
    </row>
    <row r="1986" spans="1:21" x14ac:dyDescent="0.25">
      <c r="A1986" s="71">
        <v>18</v>
      </c>
      <c r="B1986" s="72">
        <f t="shared" si="753"/>
        <v>46174</v>
      </c>
      <c r="C1986" s="73">
        <f t="shared" si="734"/>
        <v>46203</v>
      </c>
      <c r="D1986" s="67">
        <f t="shared" si="735"/>
        <v>30</v>
      </c>
      <c r="E1986" s="67">
        <f t="shared" si="736"/>
        <v>6</v>
      </c>
      <c r="F1986" s="74">
        <f t="shared" si="737"/>
        <v>46189</v>
      </c>
      <c r="G1986" s="67">
        <f t="shared" si="738"/>
        <v>24317</v>
      </c>
      <c r="H1986" s="75">
        <f t="shared" si="739"/>
        <v>1</v>
      </c>
      <c r="I1986" s="76">
        <f t="shared" si="740"/>
        <v>1</v>
      </c>
      <c r="J1986" s="76">
        <f t="shared" si="741"/>
        <v>1</v>
      </c>
      <c r="K1986" s="67">
        <f t="shared" si="742"/>
        <v>0</v>
      </c>
      <c r="L1986" s="67">
        <f t="shared" si="743"/>
        <v>0</v>
      </c>
      <c r="M1986" s="77">
        <f t="shared" si="744"/>
        <v>0</v>
      </c>
      <c r="N1986" s="76">
        <f t="shared" si="745"/>
        <v>1</v>
      </c>
      <c r="O1986" s="77">
        <f t="shared" si="746"/>
        <v>0.91234135667396066</v>
      </c>
      <c r="P1986" s="76">
        <f t="shared" si="747"/>
        <v>1</v>
      </c>
      <c r="Q1986" s="76">
        <f t="shared" si="748"/>
        <v>0</v>
      </c>
      <c r="R1986" s="76">
        <f t="shared" si="749"/>
        <v>0</v>
      </c>
      <c r="S1986" s="76">
        <f t="shared" si="750"/>
        <v>0.99167538768908758</v>
      </c>
      <c r="T1986" s="76">
        <f t="shared" si="751"/>
        <v>0.99167538768908758</v>
      </c>
      <c r="U1986" s="76">
        <f t="shared" si="752"/>
        <v>1</v>
      </c>
    </row>
    <row r="1987" spans="1:21" x14ac:dyDescent="0.25">
      <c r="A1987" s="71">
        <v>19</v>
      </c>
      <c r="B1987" s="72">
        <f t="shared" si="753"/>
        <v>46204</v>
      </c>
      <c r="C1987" s="73">
        <f t="shared" si="734"/>
        <v>46234</v>
      </c>
      <c r="D1987" s="67">
        <f t="shared" si="735"/>
        <v>31</v>
      </c>
      <c r="E1987" s="67">
        <f t="shared" si="736"/>
        <v>7</v>
      </c>
      <c r="F1987" s="74">
        <f t="shared" si="737"/>
        <v>46219.5</v>
      </c>
      <c r="G1987" s="67">
        <f t="shared" si="738"/>
        <v>24318</v>
      </c>
      <c r="H1987" s="75">
        <f t="shared" si="739"/>
        <v>1</v>
      </c>
      <c r="I1987" s="76">
        <f t="shared" si="740"/>
        <v>1</v>
      </c>
      <c r="J1987" s="76">
        <f t="shared" si="741"/>
        <v>1</v>
      </c>
      <c r="K1987" s="67">
        <f t="shared" si="742"/>
        <v>0</v>
      </c>
      <c r="L1987" s="67">
        <f t="shared" si="743"/>
        <v>0</v>
      </c>
      <c r="M1987" s="77">
        <f t="shared" si="744"/>
        <v>0</v>
      </c>
      <c r="N1987" s="76">
        <f t="shared" si="745"/>
        <v>1</v>
      </c>
      <c r="O1987" s="77">
        <f t="shared" si="746"/>
        <v>0.91167396061269146</v>
      </c>
      <c r="P1987" s="76">
        <f t="shared" si="747"/>
        <v>0.91666666666666663</v>
      </c>
      <c r="Q1987" s="76">
        <f t="shared" si="748"/>
        <v>8.333333333333337E-2</v>
      </c>
      <c r="R1987" s="76">
        <f t="shared" si="749"/>
        <v>0</v>
      </c>
      <c r="S1987" s="76">
        <f t="shared" si="750"/>
        <v>0.99094995718770806</v>
      </c>
      <c r="T1987" s="76">
        <f t="shared" si="751"/>
        <v>0.99094995718770806</v>
      </c>
      <c r="U1987" s="76">
        <f t="shared" si="752"/>
        <v>1</v>
      </c>
    </row>
    <row r="1988" spans="1:21" x14ac:dyDescent="0.25">
      <c r="A1988" s="71">
        <v>20</v>
      </c>
      <c r="B1988" s="72">
        <f t="shared" si="753"/>
        <v>46235</v>
      </c>
      <c r="C1988" s="73">
        <f t="shared" si="734"/>
        <v>46265</v>
      </c>
      <c r="D1988" s="67">
        <f t="shared" si="735"/>
        <v>31</v>
      </c>
      <c r="E1988" s="67">
        <f t="shared" si="736"/>
        <v>8</v>
      </c>
      <c r="F1988" s="74">
        <f t="shared" si="737"/>
        <v>46250.5</v>
      </c>
      <c r="G1988" s="67">
        <f t="shared" si="738"/>
        <v>24319</v>
      </c>
      <c r="H1988" s="75">
        <f t="shared" si="739"/>
        <v>1</v>
      </c>
      <c r="I1988" s="76">
        <f t="shared" si="740"/>
        <v>1</v>
      </c>
      <c r="J1988" s="76">
        <f t="shared" si="741"/>
        <v>1</v>
      </c>
      <c r="K1988" s="67">
        <f t="shared" si="742"/>
        <v>0</v>
      </c>
      <c r="L1988" s="67">
        <f t="shared" si="743"/>
        <v>0</v>
      </c>
      <c r="M1988" s="77">
        <f t="shared" si="744"/>
        <v>0</v>
      </c>
      <c r="N1988" s="76">
        <f t="shared" si="745"/>
        <v>1</v>
      </c>
      <c r="O1988" s="77">
        <f t="shared" si="746"/>
        <v>0.91099562363238518</v>
      </c>
      <c r="P1988" s="76">
        <f t="shared" si="747"/>
        <v>0.75</v>
      </c>
      <c r="Q1988" s="76">
        <f t="shared" si="748"/>
        <v>0.25</v>
      </c>
      <c r="R1988" s="76">
        <f t="shared" si="749"/>
        <v>0</v>
      </c>
      <c r="S1988" s="76">
        <f t="shared" si="750"/>
        <v>0.99021263438302731</v>
      </c>
      <c r="T1988" s="76">
        <f t="shared" si="751"/>
        <v>0.99021263438302731</v>
      </c>
      <c r="U1988" s="76">
        <f t="shared" si="752"/>
        <v>1</v>
      </c>
    </row>
    <row r="1989" spans="1:21" x14ac:dyDescent="0.25">
      <c r="A1989" s="71">
        <v>21</v>
      </c>
      <c r="B1989" s="72">
        <f t="shared" si="753"/>
        <v>46266</v>
      </c>
      <c r="C1989" s="73">
        <f t="shared" si="734"/>
        <v>46295</v>
      </c>
      <c r="D1989" s="67">
        <f t="shared" si="735"/>
        <v>30</v>
      </c>
      <c r="E1989" s="67">
        <f t="shared" si="736"/>
        <v>9</v>
      </c>
      <c r="F1989" s="74">
        <f t="shared" si="737"/>
        <v>46281</v>
      </c>
      <c r="G1989" s="67">
        <f t="shared" si="738"/>
        <v>24320</v>
      </c>
      <c r="H1989" s="75">
        <f t="shared" si="739"/>
        <v>1</v>
      </c>
      <c r="I1989" s="76">
        <f t="shared" si="740"/>
        <v>1</v>
      </c>
      <c r="J1989" s="76">
        <f t="shared" si="741"/>
        <v>1</v>
      </c>
      <c r="K1989" s="67">
        <f t="shared" si="742"/>
        <v>0</v>
      </c>
      <c r="L1989" s="67">
        <f t="shared" si="743"/>
        <v>0</v>
      </c>
      <c r="M1989" s="77">
        <f t="shared" si="744"/>
        <v>0</v>
      </c>
      <c r="N1989" s="76">
        <f t="shared" si="745"/>
        <v>1</v>
      </c>
      <c r="O1989" s="77">
        <f t="shared" si="746"/>
        <v>0.91032822757111598</v>
      </c>
      <c r="P1989" s="76">
        <f t="shared" si="747"/>
        <v>0.58333333333333337</v>
      </c>
      <c r="Q1989" s="76">
        <f t="shared" si="748"/>
        <v>0.41666666666666663</v>
      </c>
      <c r="R1989" s="76">
        <f t="shared" si="749"/>
        <v>0</v>
      </c>
      <c r="S1989" s="76">
        <f t="shared" si="750"/>
        <v>0.98948720388164779</v>
      </c>
      <c r="T1989" s="76">
        <f t="shared" si="751"/>
        <v>0.98948720388164779</v>
      </c>
      <c r="U1989" s="76">
        <f t="shared" si="752"/>
        <v>1</v>
      </c>
    </row>
    <row r="1990" spans="1:21" x14ac:dyDescent="0.25">
      <c r="A1990" s="71">
        <v>22</v>
      </c>
      <c r="B1990" s="72">
        <f t="shared" si="753"/>
        <v>46296</v>
      </c>
      <c r="C1990" s="73">
        <f t="shared" si="734"/>
        <v>46326</v>
      </c>
      <c r="D1990" s="67">
        <f t="shared" si="735"/>
        <v>31</v>
      </c>
      <c r="E1990" s="67">
        <f t="shared" si="736"/>
        <v>10</v>
      </c>
      <c r="F1990" s="74">
        <f t="shared" si="737"/>
        <v>46311.5</v>
      </c>
      <c r="G1990" s="67">
        <f t="shared" si="738"/>
        <v>24321</v>
      </c>
      <c r="H1990" s="75">
        <f t="shared" si="739"/>
        <v>1</v>
      </c>
      <c r="I1990" s="76">
        <f t="shared" si="740"/>
        <v>1</v>
      </c>
      <c r="J1990" s="76">
        <f t="shared" si="741"/>
        <v>1</v>
      </c>
      <c r="K1990" s="67">
        <f t="shared" si="742"/>
        <v>0</v>
      </c>
      <c r="L1990" s="67">
        <f t="shared" si="743"/>
        <v>0</v>
      </c>
      <c r="M1990" s="77">
        <f t="shared" si="744"/>
        <v>0</v>
      </c>
      <c r="N1990" s="76">
        <f t="shared" si="745"/>
        <v>1</v>
      </c>
      <c r="O1990" s="77">
        <f t="shared" si="746"/>
        <v>0.90966083150984689</v>
      </c>
      <c r="P1990" s="76">
        <f t="shared" si="747"/>
        <v>0.41666666666666669</v>
      </c>
      <c r="Q1990" s="76">
        <f t="shared" si="748"/>
        <v>0.58333333333333326</v>
      </c>
      <c r="R1990" s="76">
        <f t="shared" si="749"/>
        <v>0</v>
      </c>
      <c r="S1990" s="76">
        <f t="shared" si="750"/>
        <v>0.98876177338026827</v>
      </c>
      <c r="T1990" s="76">
        <f t="shared" si="751"/>
        <v>0.98876177338026827</v>
      </c>
      <c r="U1990" s="76">
        <f t="shared" si="752"/>
        <v>1</v>
      </c>
    </row>
    <row r="1991" spans="1:21" x14ac:dyDescent="0.25">
      <c r="A1991" s="71">
        <v>23</v>
      </c>
      <c r="B1991" s="72">
        <f t="shared" si="753"/>
        <v>46327</v>
      </c>
      <c r="C1991" s="73">
        <f t="shared" si="734"/>
        <v>46356</v>
      </c>
      <c r="D1991" s="67">
        <f t="shared" si="735"/>
        <v>30</v>
      </c>
      <c r="E1991" s="67">
        <f t="shared" si="736"/>
        <v>11</v>
      </c>
      <c r="F1991" s="74">
        <f t="shared" si="737"/>
        <v>46342</v>
      </c>
      <c r="G1991" s="67">
        <f t="shared" si="738"/>
        <v>24322</v>
      </c>
      <c r="H1991" s="75">
        <f t="shared" si="739"/>
        <v>1</v>
      </c>
      <c r="I1991" s="76">
        <f t="shared" si="740"/>
        <v>1</v>
      </c>
      <c r="J1991" s="76">
        <f t="shared" si="741"/>
        <v>1</v>
      </c>
      <c r="K1991" s="67">
        <f t="shared" si="742"/>
        <v>0</v>
      </c>
      <c r="L1991" s="67">
        <f t="shared" si="743"/>
        <v>0</v>
      </c>
      <c r="M1991" s="77">
        <f t="shared" si="744"/>
        <v>0</v>
      </c>
      <c r="N1991" s="76">
        <f t="shared" si="745"/>
        <v>1</v>
      </c>
      <c r="O1991" s="77">
        <f t="shared" si="746"/>
        <v>0.90899343544857769</v>
      </c>
      <c r="P1991" s="76">
        <f t="shared" si="747"/>
        <v>0.25</v>
      </c>
      <c r="Q1991" s="76">
        <f t="shared" si="748"/>
        <v>0.75</v>
      </c>
      <c r="R1991" s="76">
        <f t="shared" si="749"/>
        <v>0</v>
      </c>
      <c r="S1991" s="76">
        <f t="shared" si="750"/>
        <v>0.98803634287888875</v>
      </c>
      <c r="T1991" s="76">
        <f t="shared" si="751"/>
        <v>0.98803634287888875</v>
      </c>
      <c r="U1991" s="76">
        <f t="shared" si="752"/>
        <v>1</v>
      </c>
    </row>
    <row r="1992" spans="1:21" x14ac:dyDescent="0.25">
      <c r="A1992" s="71">
        <v>24</v>
      </c>
      <c r="B1992" s="72">
        <f t="shared" si="753"/>
        <v>46357</v>
      </c>
      <c r="C1992" s="73">
        <f t="shared" si="734"/>
        <v>46387</v>
      </c>
      <c r="D1992" s="67">
        <f t="shared" si="735"/>
        <v>31</v>
      </c>
      <c r="E1992" s="67">
        <f t="shared" si="736"/>
        <v>12</v>
      </c>
      <c r="F1992" s="74">
        <f t="shared" si="737"/>
        <v>46372.5</v>
      </c>
      <c r="G1992" s="67">
        <f t="shared" si="738"/>
        <v>24323</v>
      </c>
      <c r="H1992" s="75">
        <f t="shared" si="739"/>
        <v>1</v>
      </c>
      <c r="I1992" s="76">
        <f t="shared" si="740"/>
        <v>1</v>
      </c>
      <c r="J1992" s="76">
        <f t="shared" si="741"/>
        <v>1</v>
      </c>
      <c r="K1992" s="67">
        <f t="shared" si="742"/>
        <v>0</v>
      </c>
      <c r="L1992" s="67">
        <f t="shared" si="743"/>
        <v>0</v>
      </c>
      <c r="M1992" s="77">
        <f t="shared" si="744"/>
        <v>0</v>
      </c>
      <c r="N1992" s="76">
        <f t="shared" si="745"/>
        <v>1</v>
      </c>
      <c r="O1992" s="77">
        <f t="shared" si="746"/>
        <v>0.9083260393873086</v>
      </c>
      <c r="P1992" s="76">
        <f t="shared" si="747"/>
        <v>8.3333333333333329E-2</v>
      </c>
      <c r="Q1992" s="76">
        <f t="shared" si="748"/>
        <v>0.91666666666666663</v>
      </c>
      <c r="R1992" s="76">
        <f t="shared" si="749"/>
        <v>0</v>
      </c>
      <c r="S1992" s="76">
        <f t="shared" si="750"/>
        <v>0.98731091237750934</v>
      </c>
      <c r="T1992" s="76">
        <f t="shared" si="751"/>
        <v>0.98731091237750934</v>
      </c>
      <c r="U1992" s="76">
        <f t="shared" si="752"/>
        <v>1</v>
      </c>
    </row>
    <row r="1993" spans="1:21" x14ac:dyDescent="0.25">
      <c r="A1993" s="71">
        <v>25</v>
      </c>
      <c r="B1993" s="72">
        <f t="shared" si="753"/>
        <v>46388</v>
      </c>
      <c r="C1993" s="73">
        <f t="shared" si="734"/>
        <v>46418</v>
      </c>
      <c r="D1993" s="67">
        <f t="shared" si="735"/>
        <v>31</v>
      </c>
      <c r="E1993" s="67">
        <f t="shared" si="736"/>
        <v>1</v>
      </c>
      <c r="F1993" s="74">
        <f t="shared" si="737"/>
        <v>46403.5</v>
      </c>
      <c r="G1993" s="67">
        <f t="shared" si="738"/>
        <v>24324</v>
      </c>
      <c r="H1993" s="75">
        <f t="shared" si="739"/>
        <v>1</v>
      </c>
      <c r="I1993" s="76">
        <f t="shared" si="740"/>
        <v>1</v>
      </c>
      <c r="J1993" s="76">
        <f t="shared" si="741"/>
        <v>1</v>
      </c>
      <c r="K1993" s="67">
        <f t="shared" si="742"/>
        <v>0</v>
      </c>
      <c r="L1993" s="67">
        <f t="shared" si="743"/>
        <v>0</v>
      </c>
      <c r="M1993" s="77">
        <f t="shared" si="744"/>
        <v>0</v>
      </c>
      <c r="N1993" s="76">
        <f t="shared" si="745"/>
        <v>1</v>
      </c>
      <c r="O1993" s="77">
        <f t="shared" si="746"/>
        <v>0.90764770240700221</v>
      </c>
      <c r="P1993" s="76">
        <f t="shared" si="747"/>
        <v>0</v>
      </c>
      <c r="Q1993" s="76">
        <f t="shared" si="748"/>
        <v>1</v>
      </c>
      <c r="R1993" s="76">
        <f t="shared" si="749"/>
        <v>0</v>
      </c>
      <c r="S1993" s="76">
        <f t="shared" si="750"/>
        <v>0.98657358957282848</v>
      </c>
      <c r="T1993" s="76">
        <f t="shared" si="751"/>
        <v>0.99525497098277993</v>
      </c>
      <c r="U1993" s="76">
        <f t="shared" si="752"/>
        <v>1</v>
      </c>
    </row>
    <row r="1994" spans="1:21" x14ac:dyDescent="0.25">
      <c r="A1994" s="71">
        <v>26</v>
      </c>
      <c r="B1994" s="72">
        <f t="shared" si="753"/>
        <v>46419</v>
      </c>
      <c r="C1994" s="73">
        <f t="shared" si="734"/>
        <v>46446</v>
      </c>
      <c r="D1994" s="67">
        <f t="shared" si="735"/>
        <v>28</v>
      </c>
      <c r="E1994" s="67">
        <f t="shared" si="736"/>
        <v>2</v>
      </c>
      <c r="F1994" s="74">
        <f t="shared" si="737"/>
        <v>46433</v>
      </c>
      <c r="G1994" s="67">
        <f t="shared" si="738"/>
        <v>24325</v>
      </c>
      <c r="H1994" s="75">
        <f t="shared" si="739"/>
        <v>1</v>
      </c>
      <c r="I1994" s="76">
        <f t="shared" si="740"/>
        <v>1</v>
      </c>
      <c r="J1994" s="76">
        <f t="shared" si="741"/>
        <v>1</v>
      </c>
      <c r="K1994" s="67">
        <f t="shared" si="742"/>
        <v>0</v>
      </c>
      <c r="L1994" s="67">
        <f t="shared" si="743"/>
        <v>0</v>
      </c>
      <c r="M1994" s="77">
        <f t="shared" si="744"/>
        <v>0</v>
      </c>
      <c r="N1994" s="76">
        <f t="shared" si="745"/>
        <v>1</v>
      </c>
      <c r="O1994" s="77">
        <f t="shared" si="746"/>
        <v>0.90700218818380751</v>
      </c>
      <c r="P1994" s="76">
        <f t="shared" si="747"/>
        <v>0</v>
      </c>
      <c r="Q1994" s="76">
        <f t="shared" si="748"/>
        <v>1</v>
      </c>
      <c r="R1994" s="76">
        <f t="shared" si="749"/>
        <v>0</v>
      </c>
      <c r="S1994" s="76">
        <f t="shared" si="750"/>
        <v>0.98587194367805164</v>
      </c>
      <c r="T1994" s="76">
        <f t="shared" si="751"/>
        <v>0.99455332508800309</v>
      </c>
      <c r="U1994" s="76">
        <f t="shared" si="752"/>
        <v>1</v>
      </c>
    </row>
    <row r="1995" spans="1:21" x14ac:dyDescent="0.25">
      <c r="A1995" s="71">
        <v>27</v>
      </c>
      <c r="B1995" s="72">
        <f t="shared" si="753"/>
        <v>46447</v>
      </c>
      <c r="C1995" s="73">
        <f t="shared" si="734"/>
        <v>46477</v>
      </c>
      <c r="D1995" s="67">
        <f t="shared" si="735"/>
        <v>31</v>
      </c>
      <c r="E1995" s="67">
        <f t="shared" si="736"/>
        <v>3</v>
      </c>
      <c r="F1995" s="74">
        <f t="shared" si="737"/>
        <v>46462.5</v>
      </c>
      <c r="G1995" s="67">
        <f t="shared" si="738"/>
        <v>24326</v>
      </c>
      <c r="H1995" s="75">
        <f t="shared" si="739"/>
        <v>1</v>
      </c>
      <c r="I1995" s="76">
        <f t="shared" si="740"/>
        <v>1</v>
      </c>
      <c r="J1995" s="76">
        <f t="shared" si="741"/>
        <v>1</v>
      </c>
      <c r="K1995" s="67">
        <f t="shared" si="742"/>
        <v>0</v>
      </c>
      <c r="L1995" s="67">
        <f t="shared" si="743"/>
        <v>0</v>
      </c>
      <c r="M1995" s="77">
        <f t="shared" si="744"/>
        <v>0</v>
      </c>
      <c r="N1995" s="76">
        <f t="shared" si="745"/>
        <v>1</v>
      </c>
      <c r="O1995" s="77">
        <f t="shared" si="746"/>
        <v>0.9063566739606127</v>
      </c>
      <c r="P1995" s="76">
        <f t="shared" si="747"/>
        <v>0</v>
      </c>
      <c r="Q1995" s="76">
        <f t="shared" si="748"/>
        <v>1</v>
      </c>
      <c r="R1995" s="76">
        <f t="shared" si="749"/>
        <v>0</v>
      </c>
      <c r="S1995" s="76">
        <f t="shared" si="750"/>
        <v>0.98517029778327458</v>
      </c>
      <c r="T1995" s="76">
        <f t="shared" si="751"/>
        <v>0.99385167919322603</v>
      </c>
      <c r="U1995" s="76">
        <f t="shared" si="752"/>
        <v>1</v>
      </c>
    </row>
    <row r="1996" spans="1:21" x14ac:dyDescent="0.25">
      <c r="A1996" s="71">
        <v>28</v>
      </c>
      <c r="B1996" s="72">
        <f t="shared" si="753"/>
        <v>46478</v>
      </c>
      <c r="C1996" s="73">
        <f t="shared" si="734"/>
        <v>46507</v>
      </c>
      <c r="D1996" s="67">
        <f t="shared" si="735"/>
        <v>30</v>
      </c>
      <c r="E1996" s="67">
        <f t="shared" si="736"/>
        <v>4</v>
      </c>
      <c r="F1996" s="74">
        <f t="shared" si="737"/>
        <v>46493</v>
      </c>
      <c r="G1996" s="67">
        <f t="shared" si="738"/>
        <v>24327</v>
      </c>
      <c r="H1996" s="75">
        <f t="shared" si="739"/>
        <v>1</v>
      </c>
      <c r="I1996" s="76">
        <f t="shared" si="740"/>
        <v>1</v>
      </c>
      <c r="J1996" s="76">
        <f t="shared" si="741"/>
        <v>1</v>
      </c>
      <c r="K1996" s="67">
        <f t="shared" si="742"/>
        <v>0</v>
      </c>
      <c r="L1996" s="67">
        <f t="shared" si="743"/>
        <v>0</v>
      </c>
      <c r="M1996" s="77">
        <f t="shared" si="744"/>
        <v>0</v>
      </c>
      <c r="N1996" s="76">
        <f t="shared" si="745"/>
        <v>1</v>
      </c>
      <c r="O1996" s="77">
        <f t="shared" si="746"/>
        <v>0.90568927789934361</v>
      </c>
      <c r="P1996" s="76">
        <f t="shared" si="747"/>
        <v>0</v>
      </c>
      <c r="Q1996" s="76">
        <f t="shared" si="748"/>
        <v>1</v>
      </c>
      <c r="R1996" s="76">
        <f t="shared" si="749"/>
        <v>0</v>
      </c>
      <c r="S1996" s="76">
        <f t="shared" si="750"/>
        <v>0.98444486728189518</v>
      </c>
      <c r="T1996" s="76">
        <f t="shared" si="751"/>
        <v>0.99312624869184662</v>
      </c>
      <c r="U1996" s="76">
        <f t="shared" si="752"/>
        <v>1</v>
      </c>
    </row>
    <row r="1997" spans="1:21" x14ac:dyDescent="0.25">
      <c r="A1997" s="71">
        <v>29</v>
      </c>
      <c r="B1997" s="72">
        <f t="shared" si="753"/>
        <v>46508</v>
      </c>
      <c r="C1997" s="73">
        <f t="shared" si="734"/>
        <v>46538</v>
      </c>
      <c r="D1997" s="67">
        <f t="shared" si="735"/>
        <v>31</v>
      </c>
      <c r="E1997" s="67">
        <f t="shared" si="736"/>
        <v>5</v>
      </c>
      <c r="F1997" s="74">
        <f t="shared" si="737"/>
        <v>46523.5</v>
      </c>
      <c r="G1997" s="67">
        <f t="shared" si="738"/>
        <v>24328</v>
      </c>
      <c r="H1997" s="75">
        <f t="shared" si="739"/>
        <v>1</v>
      </c>
      <c r="I1997" s="76">
        <f t="shared" si="740"/>
        <v>1</v>
      </c>
      <c r="J1997" s="76">
        <f t="shared" si="741"/>
        <v>1</v>
      </c>
      <c r="K1997" s="67">
        <f t="shared" si="742"/>
        <v>0</v>
      </c>
      <c r="L1997" s="67">
        <f t="shared" si="743"/>
        <v>0</v>
      </c>
      <c r="M1997" s="77">
        <f t="shared" si="744"/>
        <v>0</v>
      </c>
      <c r="N1997" s="76">
        <f t="shared" si="745"/>
        <v>1</v>
      </c>
      <c r="O1997" s="77">
        <f t="shared" si="746"/>
        <v>0.90502188183807442</v>
      </c>
      <c r="P1997" s="76">
        <f t="shared" si="747"/>
        <v>0</v>
      </c>
      <c r="Q1997" s="76">
        <f t="shared" si="748"/>
        <v>1</v>
      </c>
      <c r="R1997" s="76">
        <f t="shared" si="749"/>
        <v>0</v>
      </c>
      <c r="S1997" s="76">
        <f t="shared" si="750"/>
        <v>0.98371943678051565</v>
      </c>
      <c r="T1997" s="76">
        <f t="shared" si="751"/>
        <v>0.9924008181904671</v>
      </c>
      <c r="U1997" s="76">
        <f t="shared" si="752"/>
        <v>1</v>
      </c>
    </row>
    <row r="1998" spans="1:21" x14ac:dyDescent="0.25">
      <c r="A1998" s="71">
        <v>30</v>
      </c>
      <c r="B1998" s="72">
        <f t="shared" si="753"/>
        <v>46539</v>
      </c>
      <c r="C1998" s="73">
        <f t="shared" si="734"/>
        <v>46568</v>
      </c>
      <c r="D1998" s="67">
        <f t="shared" si="735"/>
        <v>30</v>
      </c>
      <c r="E1998" s="67">
        <f t="shared" si="736"/>
        <v>6</v>
      </c>
      <c r="F1998" s="74">
        <f t="shared" si="737"/>
        <v>46554</v>
      </c>
      <c r="G1998" s="67">
        <f t="shared" si="738"/>
        <v>24329</v>
      </c>
      <c r="H1998" s="75">
        <f t="shared" si="739"/>
        <v>1</v>
      </c>
      <c r="I1998" s="76">
        <f t="shared" si="740"/>
        <v>1</v>
      </c>
      <c r="J1998" s="76">
        <f t="shared" si="741"/>
        <v>1</v>
      </c>
      <c r="K1998" s="67">
        <f t="shared" si="742"/>
        <v>0</v>
      </c>
      <c r="L1998" s="67">
        <f t="shared" si="743"/>
        <v>0</v>
      </c>
      <c r="M1998" s="77">
        <f t="shared" si="744"/>
        <v>0</v>
      </c>
      <c r="N1998" s="76">
        <f t="shared" si="745"/>
        <v>1</v>
      </c>
      <c r="O1998" s="77">
        <f t="shared" si="746"/>
        <v>0.90435448577680533</v>
      </c>
      <c r="P1998" s="76">
        <f t="shared" si="747"/>
        <v>0</v>
      </c>
      <c r="Q1998" s="76">
        <f t="shared" si="748"/>
        <v>1</v>
      </c>
      <c r="R1998" s="76">
        <f t="shared" si="749"/>
        <v>0</v>
      </c>
      <c r="S1998" s="76">
        <f t="shared" si="750"/>
        <v>0.98299400627913613</v>
      </c>
      <c r="T1998" s="76">
        <f t="shared" si="751"/>
        <v>0.99167538768908758</v>
      </c>
      <c r="U1998" s="76">
        <f t="shared" si="752"/>
        <v>1</v>
      </c>
    </row>
    <row r="1999" spans="1:21" x14ac:dyDescent="0.25">
      <c r="A1999" s="71">
        <v>31</v>
      </c>
      <c r="B1999" s="72">
        <f t="shared" si="753"/>
        <v>46569</v>
      </c>
      <c r="C1999" s="73">
        <f t="shared" si="734"/>
        <v>46599</v>
      </c>
      <c r="D1999" s="67">
        <f t="shared" si="735"/>
        <v>31</v>
      </c>
      <c r="E1999" s="67">
        <f t="shared" si="736"/>
        <v>7</v>
      </c>
      <c r="F1999" s="74">
        <f t="shared" si="737"/>
        <v>46584.5</v>
      </c>
      <c r="G1999" s="67">
        <f t="shared" si="738"/>
        <v>24330</v>
      </c>
      <c r="H1999" s="75">
        <f t="shared" si="739"/>
        <v>1</v>
      </c>
      <c r="I1999" s="76">
        <f t="shared" si="740"/>
        <v>1</v>
      </c>
      <c r="J1999" s="76">
        <f t="shared" si="741"/>
        <v>1</v>
      </c>
      <c r="K1999" s="67">
        <f t="shared" si="742"/>
        <v>0</v>
      </c>
      <c r="L1999" s="67">
        <f t="shared" si="743"/>
        <v>0</v>
      </c>
      <c r="M1999" s="77">
        <f t="shared" si="744"/>
        <v>0</v>
      </c>
      <c r="N1999" s="76">
        <f t="shared" si="745"/>
        <v>1</v>
      </c>
      <c r="O1999" s="77">
        <f t="shared" si="746"/>
        <v>0.90368708971553613</v>
      </c>
      <c r="P1999" s="76">
        <f t="shared" si="747"/>
        <v>0</v>
      </c>
      <c r="Q1999" s="76">
        <f t="shared" si="748"/>
        <v>0.91666666666666663</v>
      </c>
      <c r="R1999" s="76">
        <f t="shared" si="749"/>
        <v>8.333333333333337E-2</v>
      </c>
      <c r="S1999" s="76">
        <f t="shared" si="750"/>
        <v>0.98226857577775661</v>
      </c>
      <c r="T1999" s="76">
        <f t="shared" si="751"/>
        <v>0.99094995718770806</v>
      </c>
      <c r="U1999" s="76">
        <f t="shared" si="752"/>
        <v>1</v>
      </c>
    </row>
    <row r="2000" spans="1:21" x14ac:dyDescent="0.25">
      <c r="A2000" s="71">
        <v>32</v>
      </c>
      <c r="B2000" s="72">
        <f t="shared" si="753"/>
        <v>46600</v>
      </c>
      <c r="C2000" s="73">
        <f t="shared" si="734"/>
        <v>46630</v>
      </c>
      <c r="D2000" s="67">
        <f t="shared" si="735"/>
        <v>31</v>
      </c>
      <c r="E2000" s="67">
        <f t="shared" si="736"/>
        <v>8</v>
      </c>
      <c r="F2000" s="74">
        <f t="shared" si="737"/>
        <v>46615.5</v>
      </c>
      <c r="G2000" s="67">
        <f t="shared" si="738"/>
        <v>24331</v>
      </c>
      <c r="H2000" s="75">
        <f t="shared" si="739"/>
        <v>1</v>
      </c>
      <c r="I2000" s="76">
        <f t="shared" si="740"/>
        <v>1</v>
      </c>
      <c r="J2000" s="76">
        <f t="shared" si="741"/>
        <v>1</v>
      </c>
      <c r="K2000" s="67">
        <f t="shared" si="742"/>
        <v>0</v>
      </c>
      <c r="L2000" s="67">
        <f t="shared" si="743"/>
        <v>0</v>
      </c>
      <c r="M2000" s="77">
        <f t="shared" si="744"/>
        <v>0</v>
      </c>
      <c r="N2000" s="76">
        <f t="shared" si="745"/>
        <v>1</v>
      </c>
      <c r="O2000" s="77">
        <f t="shared" si="746"/>
        <v>0.90300875273522974</v>
      </c>
      <c r="P2000" s="76">
        <f t="shared" si="747"/>
        <v>0</v>
      </c>
      <c r="Q2000" s="76">
        <f t="shared" si="748"/>
        <v>0.75</v>
      </c>
      <c r="R2000" s="76">
        <f t="shared" si="749"/>
        <v>0.25</v>
      </c>
      <c r="S2000" s="76">
        <f t="shared" si="750"/>
        <v>0.98153125297307575</v>
      </c>
      <c r="T2000" s="76">
        <f t="shared" si="751"/>
        <v>0.99021263438302731</v>
      </c>
      <c r="U2000" s="76">
        <f t="shared" si="752"/>
        <v>1</v>
      </c>
    </row>
    <row r="2001" spans="1:21" x14ac:dyDescent="0.25">
      <c r="A2001" s="71">
        <v>33</v>
      </c>
      <c r="B2001" s="72">
        <f t="shared" si="753"/>
        <v>46631</v>
      </c>
      <c r="C2001" s="73">
        <f t="shared" si="734"/>
        <v>46660</v>
      </c>
      <c r="D2001" s="67">
        <f t="shared" si="735"/>
        <v>30</v>
      </c>
      <c r="E2001" s="67">
        <f t="shared" si="736"/>
        <v>9</v>
      </c>
      <c r="F2001" s="74">
        <f t="shared" si="737"/>
        <v>46646</v>
      </c>
      <c r="G2001" s="67">
        <f t="shared" si="738"/>
        <v>24332</v>
      </c>
      <c r="H2001" s="75">
        <f t="shared" si="739"/>
        <v>1</v>
      </c>
      <c r="I2001" s="76">
        <f t="shared" si="740"/>
        <v>1</v>
      </c>
      <c r="J2001" s="76">
        <f t="shared" si="741"/>
        <v>1</v>
      </c>
      <c r="K2001" s="67">
        <f t="shared" si="742"/>
        <v>0</v>
      </c>
      <c r="L2001" s="67">
        <f t="shared" si="743"/>
        <v>0</v>
      </c>
      <c r="M2001" s="77">
        <f t="shared" si="744"/>
        <v>0</v>
      </c>
      <c r="N2001" s="76">
        <f t="shared" si="745"/>
        <v>1</v>
      </c>
      <c r="O2001" s="77">
        <f t="shared" si="746"/>
        <v>0.90234135667396065</v>
      </c>
      <c r="P2001" s="76">
        <f t="shared" si="747"/>
        <v>0</v>
      </c>
      <c r="Q2001" s="76">
        <f t="shared" si="748"/>
        <v>0.58333333333333337</v>
      </c>
      <c r="R2001" s="76">
        <f t="shared" si="749"/>
        <v>0.41666666666666663</v>
      </c>
      <c r="S2001" s="76">
        <f t="shared" si="750"/>
        <v>0.98080582247169634</v>
      </c>
      <c r="T2001" s="76">
        <f t="shared" si="751"/>
        <v>0.98948720388164779</v>
      </c>
      <c r="U2001" s="76">
        <f t="shared" si="752"/>
        <v>1</v>
      </c>
    </row>
    <row r="2002" spans="1:21" x14ac:dyDescent="0.25">
      <c r="A2002" s="71">
        <v>34</v>
      </c>
      <c r="B2002" s="72">
        <f t="shared" si="753"/>
        <v>46661</v>
      </c>
      <c r="C2002" s="73">
        <f t="shared" si="734"/>
        <v>46691</v>
      </c>
      <c r="D2002" s="67">
        <f t="shared" si="735"/>
        <v>31</v>
      </c>
      <c r="E2002" s="67">
        <f t="shared" si="736"/>
        <v>10</v>
      </c>
      <c r="F2002" s="74">
        <f t="shared" si="737"/>
        <v>46676.5</v>
      </c>
      <c r="G2002" s="67">
        <f t="shared" si="738"/>
        <v>24333</v>
      </c>
      <c r="H2002" s="75">
        <f t="shared" si="739"/>
        <v>1</v>
      </c>
      <c r="I2002" s="76">
        <f t="shared" si="740"/>
        <v>1</v>
      </c>
      <c r="J2002" s="76">
        <f t="shared" si="741"/>
        <v>1</v>
      </c>
      <c r="K2002" s="67">
        <f t="shared" si="742"/>
        <v>0</v>
      </c>
      <c r="L2002" s="67">
        <f t="shared" si="743"/>
        <v>0</v>
      </c>
      <c r="M2002" s="77">
        <f t="shared" si="744"/>
        <v>0</v>
      </c>
      <c r="N2002" s="76">
        <f t="shared" si="745"/>
        <v>1</v>
      </c>
      <c r="O2002" s="77">
        <f t="shared" si="746"/>
        <v>0.90167396061269145</v>
      </c>
      <c r="P2002" s="76">
        <f t="shared" si="747"/>
        <v>0</v>
      </c>
      <c r="Q2002" s="76">
        <f t="shared" si="748"/>
        <v>0.41666666666666669</v>
      </c>
      <c r="R2002" s="76">
        <f t="shared" si="749"/>
        <v>0.58333333333333326</v>
      </c>
      <c r="S2002" s="76">
        <f t="shared" si="750"/>
        <v>0.98008039197031671</v>
      </c>
      <c r="T2002" s="76">
        <f t="shared" si="751"/>
        <v>0.98876177338026827</v>
      </c>
      <c r="U2002" s="76">
        <f t="shared" si="752"/>
        <v>1</v>
      </c>
    </row>
    <row r="2003" spans="1:21" x14ac:dyDescent="0.25">
      <c r="A2003" s="71">
        <v>35</v>
      </c>
      <c r="B2003" s="72">
        <f t="shared" si="753"/>
        <v>46692</v>
      </c>
      <c r="C2003" s="73">
        <f t="shared" si="734"/>
        <v>46721</v>
      </c>
      <c r="D2003" s="67">
        <f t="shared" si="735"/>
        <v>30</v>
      </c>
      <c r="E2003" s="67">
        <f t="shared" si="736"/>
        <v>11</v>
      </c>
      <c r="F2003" s="74">
        <f t="shared" si="737"/>
        <v>46707</v>
      </c>
      <c r="G2003" s="67">
        <f t="shared" si="738"/>
        <v>24334</v>
      </c>
      <c r="H2003" s="75">
        <f t="shared" si="739"/>
        <v>1</v>
      </c>
      <c r="I2003" s="76">
        <f t="shared" si="740"/>
        <v>1</v>
      </c>
      <c r="J2003" s="76">
        <f t="shared" si="741"/>
        <v>1</v>
      </c>
      <c r="K2003" s="67">
        <f t="shared" si="742"/>
        <v>0</v>
      </c>
      <c r="L2003" s="67">
        <f t="shared" si="743"/>
        <v>0</v>
      </c>
      <c r="M2003" s="77">
        <f t="shared" si="744"/>
        <v>0</v>
      </c>
      <c r="N2003" s="76">
        <f t="shared" si="745"/>
        <v>1</v>
      </c>
      <c r="O2003" s="77">
        <f t="shared" si="746"/>
        <v>0.90100656455142236</v>
      </c>
      <c r="P2003" s="76">
        <f t="shared" si="747"/>
        <v>0</v>
      </c>
      <c r="Q2003" s="76">
        <f t="shared" si="748"/>
        <v>0.25</v>
      </c>
      <c r="R2003" s="76">
        <f t="shared" si="749"/>
        <v>0.75</v>
      </c>
      <c r="S2003" s="76">
        <f t="shared" si="750"/>
        <v>0.9793549614689373</v>
      </c>
      <c r="T2003" s="76">
        <f t="shared" si="751"/>
        <v>0.98803634287888875</v>
      </c>
      <c r="U2003" s="76">
        <f t="shared" si="752"/>
        <v>1</v>
      </c>
    </row>
    <row r="2004" spans="1:21" x14ac:dyDescent="0.25">
      <c r="A2004" s="71">
        <v>36</v>
      </c>
      <c r="B2004" s="72">
        <f t="shared" si="753"/>
        <v>46722</v>
      </c>
      <c r="C2004" s="73">
        <f t="shared" si="734"/>
        <v>46752</v>
      </c>
      <c r="D2004" s="67">
        <f t="shared" si="735"/>
        <v>31</v>
      </c>
      <c r="E2004" s="67">
        <f t="shared" si="736"/>
        <v>12</v>
      </c>
      <c r="F2004" s="74">
        <f t="shared" si="737"/>
        <v>46737.5</v>
      </c>
      <c r="G2004" s="67">
        <f t="shared" si="738"/>
        <v>24335</v>
      </c>
      <c r="H2004" s="75">
        <f t="shared" si="739"/>
        <v>1</v>
      </c>
      <c r="I2004" s="76">
        <f t="shared" si="740"/>
        <v>1</v>
      </c>
      <c r="J2004" s="76">
        <f t="shared" si="741"/>
        <v>1</v>
      </c>
      <c r="K2004" s="67">
        <f t="shared" si="742"/>
        <v>0</v>
      </c>
      <c r="L2004" s="67">
        <f t="shared" si="743"/>
        <v>0</v>
      </c>
      <c r="M2004" s="77">
        <f t="shared" si="744"/>
        <v>0</v>
      </c>
      <c r="N2004" s="76">
        <f t="shared" si="745"/>
        <v>1</v>
      </c>
      <c r="O2004" s="77">
        <f t="shared" si="746"/>
        <v>0.90033916849015316</v>
      </c>
      <c r="P2004" s="76">
        <f t="shared" si="747"/>
        <v>0</v>
      </c>
      <c r="Q2004" s="76">
        <f t="shared" si="748"/>
        <v>8.3333333333333329E-2</v>
      </c>
      <c r="R2004" s="76">
        <f t="shared" si="749"/>
        <v>0.91666666666666663</v>
      </c>
      <c r="S2004" s="76">
        <f t="shared" si="750"/>
        <v>0.97862953096755778</v>
      </c>
      <c r="T2004" s="76">
        <f t="shared" si="751"/>
        <v>0.98731091237750934</v>
      </c>
      <c r="U2004" s="76">
        <f t="shared" si="752"/>
        <v>1</v>
      </c>
    </row>
    <row r="2005" spans="1:21" x14ac:dyDescent="0.25">
      <c r="A2005" s="71">
        <v>37</v>
      </c>
      <c r="B2005" s="72">
        <f t="shared" si="753"/>
        <v>46753</v>
      </c>
      <c r="C2005" s="73">
        <f t="shared" si="734"/>
        <v>46783</v>
      </c>
      <c r="D2005" s="67">
        <f t="shared" si="735"/>
        <v>31</v>
      </c>
      <c r="E2005" s="67">
        <f t="shared" si="736"/>
        <v>1</v>
      </c>
      <c r="F2005" s="74">
        <f t="shared" si="737"/>
        <v>46768.5</v>
      </c>
      <c r="G2005" s="67">
        <f t="shared" si="738"/>
        <v>24336</v>
      </c>
      <c r="H2005" s="75">
        <f t="shared" si="739"/>
        <v>1</v>
      </c>
      <c r="I2005" s="76">
        <f t="shared" si="740"/>
        <v>1</v>
      </c>
      <c r="J2005" s="76">
        <f t="shared" si="741"/>
        <v>1</v>
      </c>
      <c r="K2005" s="67">
        <f t="shared" si="742"/>
        <v>0</v>
      </c>
      <c r="L2005" s="67">
        <f t="shared" si="743"/>
        <v>0</v>
      </c>
      <c r="M2005" s="77">
        <f t="shared" si="744"/>
        <v>0</v>
      </c>
      <c r="N2005" s="76">
        <f t="shared" si="745"/>
        <v>1</v>
      </c>
      <c r="O2005" s="77">
        <f t="shared" si="746"/>
        <v>0.9</v>
      </c>
      <c r="P2005" s="76">
        <f t="shared" si="747"/>
        <v>0</v>
      </c>
      <c r="Q2005" s="76">
        <f t="shared" si="748"/>
        <v>0</v>
      </c>
      <c r="R2005" s="76">
        <f t="shared" si="749"/>
        <v>1</v>
      </c>
      <c r="S2005" s="76">
        <f t="shared" si="750"/>
        <v>0.97826086956521741</v>
      </c>
      <c r="T2005" s="76">
        <f t="shared" si="751"/>
        <v>0.99525497098277993</v>
      </c>
      <c r="U2005" s="76">
        <f t="shared" si="752"/>
        <v>1</v>
      </c>
    </row>
    <row r="2006" spans="1:21" x14ac:dyDescent="0.25">
      <c r="A2006" s="71">
        <v>38</v>
      </c>
      <c r="B2006" s="72">
        <f t="shared" si="753"/>
        <v>46784</v>
      </c>
      <c r="C2006" s="73">
        <f t="shared" si="734"/>
        <v>46812</v>
      </c>
      <c r="D2006" s="67">
        <f t="shared" si="735"/>
        <v>29</v>
      </c>
      <c r="E2006" s="67">
        <f t="shared" si="736"/>
        <v>2</v>
      </c>
      <c r="F2006" s="74">
        <f t="shared" si="737"/>
        <v>46798.5</v>
      </c>
      <c r="G2006" s="67">
        <f t="shared" si="738"/>
        <v>24337</v>
      </c>
      <c r="H2006" s="75">
        <f t="shared" si="739"/>
        <v>1</v>
      </c>
      <c r="I2006" s="76">
        <f t="shared" si="740"/>
        <v>1</v>
      </c>
      <c r="J2006" s="76">
        <f t="shared" si="741"/>
        <v>1</v>
      </c>
      <c r="K2006" s="67">
        <f t="shared" si="742"/>
        <v>0</v>
      </c>
      <c r="L2006" s="67">
        <f t="shared" si="743"/>
        <v>0</v>
      </c>
      <c r="M2006" s="77">
        <f t="shared" si="744"/>
        <v>0</v>
      </c>
      <c r="N2006" s="76">
        <f t="shared" si="745"/>
        <v>1</v>
      </c>
      <c r="O2006" s="77">
        <f t="shared" si="746"/>
        <v>0.9</v>
      </c>
      <c r="P2006" s="76">
        <f t="shared" si="747"/>
        <v>0</v>
      </c>
      <c r="Q2006" s="76">
        <f t="shared" si="748"/>
        <v>0</v>
      </c>
      <c r="R2006" s="76">
        <f t="shared" si="749"/>
        <v>1</v>
      </c>
      <c r="S2006" s="76">
        <f t="shared" si="750"/>
        <v>0.97826086956521741</v>
      </c>
      <c r="T2006" s="76">
        <f t="shared" si="751"/>
        <v>0.99455332508800309</v>
      </c>
      <c r="U2006" s="76">
        <f t="shared" si="752"/>
        <v>1</v>
      </c>
    </row>
    <row r="2007" spans="1:21" x14ac:dyDescent="0.25">
      <c r="A2007" s="71">
        <v>39</v>
      </c>
      <c r="B2007" s="72">
        <f t="shared" si="753"/>
        <v>46813</v>
      </c>
      <c r="C2007" s="73">
        <f t="shared" si="734"/>
        <v>46843</v>
      </c>
      <c r="D2007" s="67">
        <f t="shared" si="735"/>
        <v>31</v>
      </c>
      <c r="E2007" s="67">
        <f t="shared" si="736"/>
        <v>3</v>
      </c>
      <c r="F2007" s="74">
        <f t="shared" si="737"/>
        <v>46828.5</v>
      </c>
      <c r="G2007" s="67">
        <f t="shared" si="738"/>
        <v>24338</v>
      </c>
      <c r="H2007" s="75">
        <f t="shared" si="739"/>
        <v>1</v>
      </c>
      <c r="I2007" s="76">
        <f t="shared" si="740"/>
        <v>1</v>
      </c>
      <c r="J2007" s="76">
        <f t="shared" si="741"/>
        <v>1</v>
      </c>
      <c r="K2007" s="67">
        <f t="shared" si="742"/>
        <v>0</v>
      </c>
      <c r="L2007" s="67">
        <f t="shared" si="743"/>
        <v>0</v>
      </c>
      <c r="M2007" s="77">
        <f t="shared" si="744"/>
        <v>0</v>
      </c>
      <c r="N2007" s="76">
        <f t="shared" si="745"/>
        <v>1</v>
      </c>
      <c r="O2007" s="77">
        <f t="shared" si="746"/>
        <v>0.9</v>
      </c>
      <c r="P2007" s="76">
        <f t="shared" si="747"/>
        <v>0</v>
      </c>
      <c r="Q2007" s="76">
        <f t="shared" si="748"/>
        <v>0</v>
      </c>
      <c r="R2007" s="76">
        <f t="shared" si="749"/>
        <v>1</v>
      </c>
      <c r="S2007" s="76">
        <f t="shared" si="750"/>
        <v>0.97826086956521741</v>
      </c>
      <c r="T2007" s="76">
        <f t="shared" si="751"/>
        <v>0.99385167919322603</v>
      </c>
      <c r="U2007" s="76">
        <f t="shared" si="752"/>
        <v>1</v>
      </c>
    </row>
    <row r="2008" spans="1:21" x14ac:dyDescent="0.25">
      <c r="A2008" s="71">
        <v>40</v>
      </c>
      <c r="B2008" s="72">
        <f t="shared" si="753"/>
        <v>46844</v>
      </c>
      <c r="C2008" s="73">
        <f t="shared" si="734"/>
        <v>46873</v>
      </c>
      <c r="D2008" s="67">
        <f t="shared" si="735"/>
        <v>30</v>
      </c>
      <c r="E2008" s="67">
        <f t="shared" si="736"/>
        <v>4</v>
      </c>
      <c r="F2008" s="74">
        <f t="shared" si="737"/>
        <v>46859</v>
      </c>
      <c r="G2008" s="67">
        <f t="shared" si="738"/>
        <v>24339</v>
      </c>
      <c r="H2008" s="75">
        <f t="shared" si="739"/>
        <v>1</v>
      </c>
      <c r="I2008" s="76">
        <f t="shared" si="740"/>
        <v>1</v>
      </c>
      <c r="J2008" s="76">
        <f t="shared" si="741"/>
        <v>1</v>
      </c>
      <c r="K2008" s="67">
        <f t="shared" si="742"/>
        <v>0</v>
      </c>
      <c r="L2008" s="67">
        <f t="shared" si="743"/>
        <v>0</v>
      </c>
      <c r="M2008" s="77">
        <f t="shared" si="744"/>
        <v>0</v>
      </c>
      <c r="N2008" s="76">
        <f t="shared" si="745"/>
        <v>1</v>
      </c>
      <c r="O2008" s="77">
        <f t="shared" si="746"/>
        <v>0.9</v>
      </c>
      <c r="P2008" s="76">
        <f t="shared" si="747"/>
        <v>0</v>
      </c>
      <c r="Q2008" s="76">
        <f t="shared" si="748"/>
        <v>0</v>
      </c>
      <c r="R2008" s="76">
        <f t="shared" si="749"/>
        <v>1</v>
      </c>
      <c r="S2008" s="76">
        <f t="shared" si="750"/>
        <v>0.97826086956521741</v>
      </c>
      <c r="T2008" s="76">
        <f t="shared" si="751"/>
        <v>0.99312624869184662</v>
      </c>
      <c r="U2008" s="76">
        <f t="shared" si="752"/>
        <v>1</v>
      </c>
    </row>
    <row r="2009" spans="1:21" x14ac:dyDescent="0.25">
      <c r="A2009" s="71">
        <v>41</v>
      </c>
      <c r="B2009" s="72">
        <f t="shared" si="753"/>
        <v>46874</v>
      </c>
      <c r="C2009" s="73">
        <f t="shared" si="734"/>
        <v>46904</v>
      </c>
      <c r="D2009" s="67">
        <f t="shared" si="735"/>
        <v>31</v>
      </c>
      <c r="E2009" s="67">
        <f t="shared" si="736"/>
        <v>5</v>
      </c>
      <c r="F2009" s="74">
        <f t="shared" si="737"/>
        <v>46889.5</v>
      </c>
      <c r="G2009" s="67">
        <f t="shared" si="738"/>
        <v>24340</v>
      </c>
      <c r="H2009" s="75">
        <f t="shared" si="739"/>
        <v>1</v>
      </c>
      <c r="I2009" s="76">
        <f t="shared" si="740"/>
        <v>1</v>
      </c>
      <c r="J2009" s="76">
        <f t="shared" si="741"/>
        <v>1</v>
      </c>
      <c r="K2009" s="67">
        <f t="shared" si="742"/>
        <v>0</v>
      </c>
      <c r="L2009" s="67">
        <f t="shared" si="743"/>
        <v>0</v>
      </c>
      <c r="M2009" s="77">
        <f t="shared" si="744"/>
        <v>0</v>
      </c>
      <c r="N2009" s="76">
        <f t="shared" si="745"/>
        <v>1</v>
      </c>
      <c r="O2009" s="77">
        <f t="shared" si="746"/>
        <v>0.9</v>
      </c>
      <c r="P2009" s="76">
        <f t="shared" si="747"/>
        <v>0</v>
      </c>
      <c r="Q2009" s="76">
        <f t="shared" si="748"/>
        <v>0</v>
      </c>
      <c r="R2009" s="76">
        <f t="shared" si="749"/>
        <v>1</v>
      </c>
      <c r="S2009" s="76">
        <f t="shared" si="750"/>
        <v>0.97826086956521741</v>
      </c>
      <c r="T2009" s="76">
        <f t="shared" si="751"/>
        <v>0.9924008181904671</v>
      </c>
      <c r="U2009" s="76">
        <f t="shared" si="752"/>
        <v>1</v>
      </c>
    </row>
    <row r="2010" spans="1:21" x14ac:dyDescent="0.25">
      <c r="A2010" s="71">
        <v>42</v>
      </c>
      <c r="B2010" s="72">
        <f t="shared" si="753"/>
        <v>46905</v>
      </c>
      <c r="C2010" s="73">
        <f t="shared" si="734"/>
        <v>46934</v>
      </c>
      <c r="D2010" s="67">
        <f t="shared" si="735"/>
        <v>30</v>
      </c>
      <c r="E2010" s="67">
        <f t="shared" si="736"/>
        <v>6</v>
      </c>
      <c r="F2010" s="74">
        <f t="shared" si="737"/>
        <v>46920</v>
      </c>
      <c r="G2010" s="67">
        <f t="shared" si="738"/>
        <v>24341</v>
      </c>
      <c r="H2010" s="75">
        <f t="shared" si="739"/>
        <v>1</v>
      </c>
      <c r="I2010" s="76">
        <f t="shared" si="740"/>
        <v>1</v>
      </c>
      <c r="J2010" s="76">
        <f t="shared" si="741"/>
        <v>1</v>
      </c>
      <c r="K2010" s="67">
        <f t="shared" si="742"/>
        <v>0</v>
      </c>
      <c r="L2010" s="67">
        <f t="shared" si="743"/>
        <v>0</v>
      </c>
      <c r="M2010" s="77">
        <f t="shared" si="744"/>
        <v>0</v>
      </c>
      <c r="N2010" s="76">
        <f t="shared" si="745"/>
        <v>1</v>
      </c>
      <c r="O2010" s="77">
        <f t="shared" si="746"/>
        <v>0.9</v>
      </c>
      <c r="P2010" s="76">
        <f t="shared" si="747"/>
        <v>0</v>
      </c>
      <c r="Q2010" s="76">
        <f t="shared" si="748"/>
        <v>0</v>
      </c>
      <c r="R2010" s="76">
        <f t="shared" si="749"/>
        <v>1</v>
      </c>
      <c r="S2010" s="76">
        <f t="shared" si="750"/>
        <v>0.97826086956521741</v>
      </c>
      <c r="T2010" s="76">
        <f t="shared" si="751"/>
        <v>0.99167538768908758</v>
      </c>
      <c r="U2010" s="76">
        <f t="shared" si="752"/>
        <v>1</v>
      </c>
    </row>
    <row r="2011" spans="1:21" x14ac:dyDescent="0.25">
      <c r="A2011" s="71">
        <v>43</v>
      </c>
      <c r="B2011" s="72">
        <f t="shared" si="753"/>
        <v>46935</v>
      </c>
      <c r="C2011" s="73">
        <f t="shared" si="734"/>
        <v>46965</v>
      </c>
      <c r="D2011" s="67">
        <f t="shared" si="735"/>
        <v>31</v>
      </c>
      <c r="E2011" s="67">
        <f t="shared" si="736"/>
        <v>7</v>
      </c>
      <c r="F2011" s="74">
        <f t="shared" si="737"/>
        <v>46950.5</v>
      </c>
      <c r="G2011" s="67">
        <f t="shared" si="738"/>
        <v>24342</v>
      </c>
      <c r="H2011" s="75">
        <f t="shared" si="739"/>
        <v>1</v>
      </c>
      <c r="I2011" s="76">
        <f t="shared" si="740"/>
        <v>1</v>
      </c>
      <c r="J2011" s="76">
        <f t="shared" si="741"/>
        <v>1</v>
      </c>
      <c r="K2011" s="67">
        <f t="shared" si="742"/>
        <v>0</v>
      </c>
      <c r="L2011" s="67">
        <f t="shared" si="743"/>
        <v>0</v>
      </c>
      <c r="M2011" s="77">
        <f t="shared" si="744"/>
        <v>0</v>
      </c>
      <c r="N2011" s="76">
        <f t="shared" si="745"/>
        <v>1</v>
      </c>
      <c r="O2011" s="77">
        <f t="shared" si="746"/>
        <v>0.9</v>
      </c>
      <c r="P2011" s="76">
        <f t="shared" si="747"/>
        <v>0</v>
      </c>
      <c r="Q2011" s="76">
        <f t="shared" si="748"/>
        <v>0</v>
      </c>
      <c r="R2011" s="76">
        <f t="shared" si="749"/>
        <v>0.91666666666666663</v>
      </c>
      <c r="S2011" s="76">
        <f t="shared" si="750"/>
        <v>0.97826086956521741</v>
      </c>
      <c r="T2011" s="76">
        <f t="shared" si="751"/>
        <v>0.99094995718770806</v>
      </c>
      <c r="U2011" s="76">
        <f t="shared" si="752"/>
        <v>1</v>
      </c>
    </row>
    <row r="2012" spans="1:21" x14ac:dyDescent="0.25">
      <c r="A2012" s="71">
        <v>44</v>
      </c>
      <c r="B2012" s="72">
        <f t="shared" si="753"/>
        <v>46966</v>
      </c>
      <c r="C2012" s="73">
        <f t="shared" si="734"/>
        <v>46996</v>
      </c>
      <c r="D2012" s="67">
        <f t="shared" si="735"/>
        <v>31</v>
      </c>
      <c r="E2012" s="67">
        <f t="shared" si="736"/>
        <v>8</v>
      </c>
      <c r="F2012" s="74">
        <f t="shared" si="737"/>
        <v>46981.5</v>
      </c>
      <c r="G2012" s="67">
        <f t="shared" si="738"/>
        <v>24343</v>
      </c>
      <c r="H2012" s="75">
        <f t="shared" si="739"/>
        <v>1</v>
      </c>
      <c r="I2012" s="76">
        <f t="shared" si="740"/>
        <v>1</v>
      </c>
      <c r="J2012" s="76">
        <f t="shared" si="741"/>
        <v>1</v>
      </c>
      <c r="K2012" s="67">
        <f t="shared" si="742"/>
        <v>0</v>
      </c>
      <c r="L2012" s="67">
        <f t="shared" si="743"/>
        <v>0</v>
      </c>
      <c r="M2012" s="77">
        <f t="shared" si="744"/>
        <v>0</v>
      </c>
      <c r="N2012" s="76">
        <f t="shared" si="745"/>
        <v>1</v>
      </c>
      <c r="O2012" s="77">
        <f t="shared" si="746"/>
        <v>0.9</v>
      </c>
      <c r="P2012" s="76">
        <f t="shared" si="747"/>
        <v>0</v>
      </c>
      <c r="Q2012" s="76">
        <f t="shared" si="748"/>
        <v>0</v>
      </c>
      <c r="R2012" s="76">
        <f t="shared" si="749"/>
        <v>0.75</v>
      </c>
      <c r="S2012" s="76">
        <f t="shared" si="750"/>
        <v>0.97826086956521741</v>
      </c>
      <c r="T2012" s="76">
        <f t="shared" si="751"/>
        <v>0.99021263438302731</v>
      </c>
      <c r="U2012" s="76">
        <f t="shared" si="752"/>
        <v>1</v>
      </c>
    </row>
    <row r="2013" spans="1:21" x14ac:dyDescent="0.25">
      <c r="A2013" s="71">
        <v>45</v>
      </c>
      <c r="B2013" s="72">
        <f t="shared" si="753"/>
        <v>46997</v>
      </c>
      <c r="C2013" s="73">
        <f t="shared" si="734"/>
        <v>47026</v>
      </c>
      <c r="D2013" s="67">
        <f t="shared" si="735"/>
        <v>30</v>
      </c>
      <c r="E2013" s="67">
        <f t="shared" si="736"/>
        <v>9</v>
      </c>
      <c r="F2013" s="74">
        <f t="shared" si="737"/>
        <v>47012</v>
      </c>
      <c r="G2013" s="67">
        <f t="shared" si="738"/>
        <v>24344</v>
      </c>
      <c r="H2013" s="75">
        <f t="shared" si="739"/>
        <v>1</v>
      </c>
      <c r="I2013" s="76">
        <f t="shared" si="740"/>
        <v>1</v>
      </c>
      <c r="J2013" s="76">
        <f t="shared" si="741"/>
        <v>1</v>
      </c>
      <c r="K2013" s="67">
        <f t="shared" si="742"/>
        <v>0</v>
      </c>
      <c r="L2013" s="67">
        <f t="shared" si="743"/>
        <v>0</v>
      </c>
      <c r="M2013" s="77">
        <f t="shared" si="744"/>
        <v>0</v>
      </c>
      <c r="N2013" s="76">
        <f t="shared" si="745"/>
        <v>1</v>
      </c>
      <c r="O2013" s="77">
        <f t="shared" si="746"/>
        <v>0.9</v>
      </c>
      <c r="P2013" s="76">
        <f t="shared" si="747"/>
        <v>0</v>
      </c>
      <c r="Q2013" s="76">
        <f t="shared" si="748"/>
        <v>0</v>
      </c>
      <c r="R2013" s="76">
        <f t="shared" si="749"/>
        <v>0.58333333333333337</v>
      </c>
      <c r="S2013" s="76">
        <f t="shared" si="750"/>
        <v>0.97826086956521741</v>
      </c>
      <c r="T2013" s="76">
        <f t="shared" si="751"/>
        <v>0.98948720388164779</v>
      </c>
      <c r="U2013" s="76">
        <f t="shared" si="752"/>
        <v>1</v>
      </c>
    </row>
    <row r="2014" spans="1:21" x14ac:dyDescent="0.25">
      <c r="A2014" s="71">
        <v>46</v>
      </c>
      <c r="B2014" s="72">
        <f t="shared" si="753"/>
        <v>47027</v>
      </c>
      <c r="C2014" s="73">
        <f t="shared" si="734"/>
        <v>47057</v>
      </c>
      <c r="D2014" s="67">
        <f t="shared" si="735"/>
        <v>31</v>
      </c>
      <c r="E2014" s="67">
        <f t="shared" si="736"/>
        <v>10</v>
      </c>
      <c r="F2014" s="74">
        <f t="shared" si="737"/>
        <v>47042.5</v>
      </c>
      <c r="G2014" s="67">
        <f t="shared" si="738"/>
        <v>24345</v>
      </c>
      <c r="H2014" s="75">
        <f t="shared" si="739"/>
        <v>1</v>
      </c>
      <c r="I2014" s="76">
        <f t="shared" si="740"/>
        <v>1</v>
      </c>
      <c r="J2014" s="76">
        <f t="shared" si="741"/>
        <v>1</v>
      </c>
      <c r="K2014" s="67">
        <f t="shared" si="742"/>
        <v>0</v>
      </c>
      <c r="L2014" s="67">
        <f t="shared" si="743"/>
        <v>0</v>
      </c>
      <c r="M2014" s="77">
        <f t="shared" si="744"/>
        <v>0</v>
      </c>
      <c r="N2014" s="76">
        <f t="shared" si="745"/>
        <v>1</v>
      </c>
      <c r="O2014" s="77">
        <f t="shared" si="746"/>
        <v>0.9</v>
      </c>
      <c r="P2014" s="76">
        <f t="shared" si="747"/>
        <v>0</v>
      </c>
      <c r="Q2014" s="76">
        <f t="shared" si="748"/>
        <v>0</v>
      </c>
      <c r="R2014" s="76">
        <f t="shared" si="749"/>
        <v>0.41666666666666669</v>
      </c>
      <c r="S2014" s="76">
        <f t="shared" si="750"/>
        <v>0.97826086956521741</v>
      </c>
      <c r="T2014" s="76">
        <f t="shared" si="751"/>
        <v>0.98876177338026827</v>
      </c>
      <c r="U2014" s="76">
        <f t="shared" si="752"/>
        <v>1</v>
      </c>
    </row>
    <row r="2015" spans="1:21" x14ac:dyDescent="0.25">
      <c r="A2015" s="71">
        <v>47</v>
      </c>
      <c r="B2015" s="72">
        <f t="shared" si="753"/>
        <v>47058</v>
      </c>
      <c r="C2015" s="73">
        <f t="shared" si="734"/>
        <v>47087</v>
      </c>
      <c r="D2015" s="67">
        <f t="shared" si="735"/>
        <v>30</v>
      </c>
      <c r="E2015" s="67">
        <f t="shared" si="736"/>
        <v>11</v>
      </c>
      <c r="F2015" s="74">
        <f t="shared" si="737"/>
        <v>47073</v>
      </c>
      <c r="G2015" s="67">
        <f t="shared" si="738"/>
        <v>24346</v>
      </c>
      <c r="H2015" s="75">
        <f t="shared" si="739"/>
        <v>1</v>
      </c>
      <c r="I2015" s="76">
        <f t="shared" si="740"/>
        <v>1</v>
      </c>
      <c r="J2015" s="76">
        <f t="shared" si="741"/>
        <v>1</v>
      </c>
      <c r="K2015" s="67">
        <f t="shared" si="742"/>
        <v>0</v>
      </c>
      <c r="L2015" s="67">
        <f t="shared" si="743"/>
        <v>0</v>
      </c>
      <c r="M2015" s="77">
        <f t="shared" si="744"/>
        <v>0</v>
      </c>
      <c r="N2015" s="76">
        <f t="shared" si="745"/>
        <v>1</v>
      </c>
      <c r="O2015" s="77">
        <f t="shared" si="746"/>
        <v>0.9</v>
      </c>
      <c r="P2015" s="76">
        <f t="shared" si="747"/>
        <v>0</v>
      </c>
      <c r="Q2015" s="76">
        <f t="shared" si="748"/>
        <v>0</v>
      </c>
      <c r="R2015" s="76">
        <f t="shared" si="749"/>
        <v>0.25</v>
      </c>
      <c r="S2015" s="76">
        <f t="shared" si="750"/>
        <v>0.97826086956521741</v>
      </c>
      <c r="T2015" s="76">
        <f t="shared" si="751"/>
        <v>0.98803634287888875</v>
      </c>
      <c r="U2015" s="76">
        <f t="shared" si="752"/>
        <v>1</v>
      </c>
    </row>
    <row r="2016" spans="1:21" x14ac:dyDescent="0.25">
      <c r="A2016" s="71">
        <v>48</v>
      </c>
      <c r="B2016" s="72">
        <f t="shared" si="753"/>
        <v>47088</v>
      </c>
      <c r="C2016" s="73">
        <f t="shared" si="734"/>
        <v>47118</v>
      </c>
      <c r="D2016" s="67">
        <f t="shared" si="735"/>
        <v>31</v>
      </c>
      <c r="E2016" s="67">
        <f t="shared" si="736"/>
        <v>12</v>
      </c>
      <c r="F2016" s="74">
        <f t="shared" si="737"/>
        <v>47103.5</v>
      </c>
      <c r="G2016" s="67">
        <f t="shared" si="738"/>
        <v>24347</v>
      </c>
      <c r="H2016" s="75">
        <f t="shared" si="739"/>
        <v>1</v>
      </c>
      <c r="I2016" s="76">
        <f t="shared" si="740"/>
        <v>1</v>
      </c>
      <c r="J2016" s="76">
        <f t="shared" si="741"/>
        <v>1</v>
      </c>
      <c r="K2016" s="67">
        <f t="shared" si="742"/>
        <v>0</v>
      </c>
      <c r="L2016" s="67">
        <f t="shared" si="743"/>
        <v>0</v>
      </c>
      <c r="M2016" s="77">
        <f t="shared" si="744"/>
        <v>0</v>
      </c>
      <c r="N2016" s="76">
        <f t="shared" si="745"/>
        <v>1</v>
      </c>
      <c r="O2016" s="77">
        <f t="shared" si="746"/>
        <v>0.9</v>
      </c>
      <c r="P2016" s="76">
        <f t="shared" si="747"/>
        <v>0</v>
      </c>
      <c r="Q2016" s="76">
        <f t="shared" si="748"/>
        <v>0</v>
      </c>
      <c r="R2016" s="76">
        <f t="shared" si="749"/>
        <v>8.3333333333333329E-2</v>
      </c>
      <c r="S2016" s="76">
        <f t="shared" si="750"/>
        <v>0.97826086956521741</v>
      </c>
      <c r="T2016" s="76">
        <f t="shared" si="751"/>
        <v>0.98731091237750934</v>
      </c>
      <c r="U2016" s="76">
        <f t="shared" si="752"/>
        <v>1</v>
      </c>
    </row>
    <row r="2017" spans="1:21" x14ac:dyDescent="0.25">
      <c r="A2017" s="81" t="s">
        <v>1187</v>
      </c>
      <c r="B2017" s="53">
        <f>EXP(SUMPRODUCT((rl_key=$A$1966)*(rl_cons="Y")*rl_ln1p))</f>
        <v>1</v>
      </c>
      <c r="C2017" s="53">
        <f>SUMPRODUCT($H$1969:$H$2016,$P$1969:$P$2016,$U$1969:$U$2016)/SUMPRODUCT($H$1969:$H$2016,$P$1969:$P$2016)</f>
        <v>1</v>
      </c>
      <c r="D2017" s="53">
        <f>SUMPRODUCT($H$1969:$H$2016,$Q$1969:$Q$2016,$U$1969:$U$2016)/SUMPRODUCT($H$1969:$H$2016,$Q$1969:$Q$2016)</f>
        <v>1</v>
      </c>
      <c r="E2017" s="53">
        <f>SUMPRODUCT($H$1969:$H$2016,$R$1969:$R$2016,$U$1969:$U$2016)/SUMPRODUCT($H$1969:$H$2016,$R$1969:$R$2016)</f>
        <v>1</v>
      </c>
      <c r="F2017" s="172">
        <f>SUMPRODUCT($H$1969:$H$2016,$Q$1969:$Q$2016,$O$1969:$O$2016)/SUMPRODUCT($H$1969:$H$2016,$Q$1969:$Q$2016)</f>
        <v>0.90600747629467537</v>
      </c>
      <c r="G2017" s="172">
        <f>SUMPRODUCT($H$1969:$H$2016,$R$1969:$R$2016,$O$1969:$O$2016)/SUMPRODUCT($H$1969:$H$2016,$R$1969:$R$2016)</f>
        <v>0.90033977631898854</v>
      </c>
    </row>
    <row r="2020" spans="1:21" x14ac:dyDescent="0.25">
      <c r="A2020" s="81" t="str">
        <f>INDEX(lr_key,37)</f>
        <v>BU-B|NJ</v>
      </c>
      <c r="B2020" s="81" t="str">
        <f>INDEX(lr_state,37)</f>
        <v>NJ</v>
      </c>
      <c r="C2020" s="55">
        <f>nr_TermMonths</f>
        <v>6</v>
      </c>
      <c r="D2020" s="55">
        <f>IF(COUNTIF(se_state,$B2020)=0,0,MATCH($B2020,se_state,0))</f>
        <v>0</v>
      </c>
      <c r="E2020" s="57">
        <f>IF($D2020=0,0,INDEX(se_sum,$D2020))</f>
        <v>0</v>
      </c>
      <c r="F2020" s="172">
        <f>IF(N(INDEX(lr_mind,37))=0,1,INDEX(lr_mind,37))</f>
        <v>0.92</v>
      </c>
      <c r="G2020" s="172">
        <f>IF(N(INDEX(lr_m0,37))=0,1,INDEX(lr_m0,37))</f>
        <v>0.91</v>
      </c>
      <c r="H2020" s="54">
        <f>IF(N(INDEX(lr_m0asof,37))=0,DATE(nr_PlanYear-1,10,1),INDEX(lr_m0asof,37))</f>
        <v>46295</v>
      </c>
      <c r="I2020" s="172">
        <f>IF(N(INDEX(lr_m1,37))=0,1,INDEX(lr_m1,37))</f>
        <v>0.91500000000000004</v>
      </c>
      <c r="J2020" s="172">
        <f>INDEX(lr_mprior,37)</f>
        <v>0</v>
      </c>
      <c r="K2020" s="172">
        <f>INDEX(lr_m2,37)</f>
        <v>0</v>
      </c>
      <c r="L2020" s="81" t="b">
        <f>NOT(ISBLANK(INDEX(lr_netp,37)))</f>
        <v>0</v>
      </c>
      <c r="M2020" s="52">
        <f>N(INDEX(lr_netp,37))</f>
        <v>0</v>
      </c>
      <c r="N2020" s="52">
        <f>IF(ISBLANK(INDEX(lr_netp1,37)),$M$2020,N(INDEX(lr_netp1,37)))</f>
        <v>0</v>
      </c>
      <c r="O2020" s="55">
        <f>IF(AND(nr_ModAdjMaster="ON",INDEX(lr_modadj,37)="ON"),1,0)</f>
        <v>1</v>
      </c>
    </row>
    <row r="2021" spans="1:21" x14ac:dyDescent="0.25">
      <c r="A2021" s="81">
        <f>EDATE($H$2020,-12)+1</f>
        <v>45931</v>
      </c>
      <c r="B2021" s="81">
        <f>$H$2020+1</f>
        <v>46296</v>
      </c>
      <c r="C2021" s="81">
        <f>DATE(nr_PlanYear,12,31)+1</f>
        <v>46753</v>
      </c>
      <c r="D2021" s="81">
        <f>DATE(nr_PlanYear+1,12,31)+1</f>
        <v>47119</v>
      </c>
      <c r="E2021" s="81">
        <f>IF(N($J$2020)=0,$F$2021-($G$2021-$F$2021)/($C$2021-$B$2021)*($B$2021-$A$2021),$J$2020)</f>
        <v>0.90600656455142237</v>
      </c>
      <c r="F2021" s="81">
        <f>$G$2020</f>
        <v>0.91</v>
      </c>
      <c r="G2021" s="81">
        <f>$I$2020</f>
        <v>0.91500000000000004</v>
      </c>
      <c r="H2021" s="81">
        <f>IF(N($K$2020)=0,$I$2020,$K$2020)</f>
        <v>0.91500000000000004</v>
      </c>
      <c r="I2021" s="81">
        <f>($F$2021-$E$2021)/($B$2021-$A$2021)</f>
        <v>1.0940919037199081E-5</v>
      </c>
      <c r="J2021" s="81">
        <f>($G$2021-$F$2021)/($C$2021-$B$2021)</f>
        <v>1.0940919037199135E-5</v>
      </c>
      <c r="K2021" s="81">
        <f>($H$2021-$G$2021)/($D$2021-$C$2021)</f>
        <v>0</v>
      </c>
    </row>
    <row r="2022" spans="1:21" ht="36" x14ac:dyDescent="0.25">
      <c r="A2022" s="50" t="s">
        <v>211</v>
      </c>
      <c r="B2022" s="50" t="s">
        <v>212</v>
      </c>
      <c r="C2022" s="50" t="s">
        <v>213</v>
      </c>
      <c r="D2022" s="50" t="s">
        <v>214</v>
      </c>
      <c r="E2022" s="50" t="s">
        <v>215</v>
      </c>
      <c r="F2022" s="50" t="s">
        <v>216</v>
      </c>
      <c r="G2022" s="50" t="s">
        <v>217</v>
      </c>
      <c r="H2022" s="50" t="s">
        <v>218</v>
      </c>
      <c r="I2022" s="50" t="s">
        <v>219</v>
      </c>
      <c r="J2022" s="50" t="s">
        <v>220</v>
      </c>
      <c r="K2022" s="50" t="s">
        <v>221</v>
      </c>
      <c r="L2022" s="50" t="s">
        <v>222</v>
      </c>
      <c r="M2022" s="50" t="s">
        <v>223</v>
      </c>
      <c r="N2022" s="50" t="s">
        <v>224</v>
      </c>
      <c r="O2022" s="50" t="s">
        <v>225</v>
      </c>
      <c r="P2022" s="50" t="s">
        <v>226</v>
      </c>
      <c r="Q2022" s="50" t="s">
        <v>227</v>
      </c>
      <c r="R2022" s="50" t="s">
        <v>228</v>
      </c>
      <c r="S2022" s="50" t="s">
        <v>229</v>
      </c>
      <c r="T2022" s="50" t="s">
        <v>230</v>
      </c>
      <c r="U2022" s="50" t="s">
        <v>231</v>
      </c>
    </row>
    <row r="2023" spans="1:21" x14ac:dyDescent="0.25">
      <c r="A2023" s="71">
        <v>1</v>
      </c>
      <c r="B2023" s="72">
        <f>DATE(nr_PlanYear-2,1,1)</f>
        <v>45658</v>
      </c>
      <c r="C2023" s="73">
        <f t="shared" ref="C2023:C2070" si="754">EOMONTH($B2023,0)</f>
        <v>45688</v>
      </c>
      <c r="D2023" s="67">
        <f t="shared" ref="D2023:D2070" si="755">$C2023-$B2023+1</f>
        <v>31</v>
      </c>
      <c r="E2023" s="67">
        <f t="shared" ref="E2023:E2070" si="756">MONTH($B2023)</f>
        <v>1</v>
      </c>
      <c r="F2023" s="74">
        <f t="shared" ref="F2023:F2070" si="757">($B2023+$C2023+1)/2</f>
        <v>45673.5</v>
      </c>
      <c r="G2023" s="67">
        <f t="shared" ref="G2023:G2070" si="758">YEAR($B2023)*12+MONTH($B2023)-1</f>
        <v>24300</v>
      </c>
      <c r="H2023" s="75">
        <f t="shared" ref="H2023:H2070" si="759">IF(OR(nr_SeasonOn="OFF",$D$2020=0,$E$2020=0),1,12*INDEX(se_block,$D$2020,$E2023)/$E$2020)</f>
        <v>1</v>
      </c>
      <c r="I2023" s="76">
        <f t="shared" ref="I2023:I2070" si="760">EXP(SUMPRODUCT((rl_eff&lt;$B2023)*(rl_key=$A$2020)*rl_ln1p))</f>
        <v>1</v>
      </c>
      <c r="J2023" s="76">
        <f t="shared" ref="J2023:J2070" si="761">EXP(SUMPRODUCT((rl_eff&lt;=$C2023)*(rl_key=$A$2020)*rl_ln1p))</f>
        <v>1</v>
      </c>
      <c r="K2023" s="67">
        <f t="shared" ref="K2023:K2070" si="762">COUNTIFS(rl_key,$A$2020,rl_eff,"&gt;="&amp;$B2023,rl_eff,"&lt;="&amp;$C2023)</f>
        <v>0</v>
      </c>
      <c r="L2023" s="67">
        <f t="shared" ref="L2023:L2070" si="763">SUMIFS(rl_daysafter,rl_key,$A$2020,rl_effmonth,$B2023,rl_first,1)</f>
        <v>0</v>
      </c>
      <c r="M2023" s="77">
        <f t="shared" ref="M2023:M2070" si="764">IF($K2023=0,0,MIN(1,$L2023/$D2023))</f>
        <v>0</v>
      </c>
      <c r="N2023" s="76">
        <f t="shared" ref="N2023:N2070" si="765">IF($K2023=0,$J2023,(1-$M2023)*$I2023+$M2023*$J2023)</f>
        <v>1</v>
      </c>
      <c r="O2023" s="77">
        <f t="shared" ref="O2023:O2070" si="766">IF($F2023&lt;$B$2021,$E$2021+$I$2021*($F2023-$A$2021),IF($F2023&lt;$C$2021,$F$2021+$J$2021*($F2023-$B$2021),$G$2021+$K$2021*($F2023-$C$2021)))</f>
        <v>0.90318927789934356</v>
      </c>
      <c r="P2023" s="76">
        <f t="shared" ref="P2023:P2070" si="767">MIN(1,MAX(0,(nr_MEndPm1-$G2023+0.5)/$C$2020))-MIN(1,MAX(0,(nr_MStartPm1-1-$G2023+0.5)/$C$2020))</f>
        <v>0</v>
      </c>
      <c r="Q2023" s="76">
        <f t="shared" ref="Q2023:Q2070" si="768">MIN(1,MAX(0,(nr_MEndP-$G2023+0.5)/$C$2020))-MIN(1,MAX(0,(nr_MStartP-1-$G2023+0.5)/$C$2020))</f>
        <v>0</v>
      </c>
      <c r="R2023" s="76">
        <f t="shared" ref="R2023:R2070" si="769">MIN(1,MAX(0,(nr_MEndP1-$G2023+0.5)/$C$2020))-MIN(1,MAX(0,(nr_MStartP1-1-$G2023+0.5)/$C$2020))</f>
        <v>0</v>
      </c>
      <c r="S2023" s="76">
        <f t="shared" ref="S2023:S2070" si="770">$N2023*IF($O$2020=1,$O2023/$F$2020,1)</f>
        <v>0.98172747597754728</v>
      </c>
      <c r="T2023" s="76">
        <f t="shared" ref="T2023:T2070" si="771">IF($G2023&lt;nr_MStartP,$S2023,$T2011*(1+IF($G2023&lt;nr_MStartP1,$M$2020,$N$2020)))</f>
        <v>0.98172747597754728</v>
      </c>
      <c r="U2023" s="76">
        <f t="shared" ref="U2023:U2070" si="772">IF($L$2020,$T2023,$N2023)</f>
        <v>1</v>
      </c>
    </row>
    <row r="2024" spans="1:21" x14ac:dyDescent="0.25">
      <c r="A2024" s="71">
        <v>2</v>
      </c>
      <c r="B2024" s="72">
        <f t="shared" ref="B2024:B2070" si="773">EDATE($B2023,1)</f>
        <v>45689</v>
      </c>
      <c r="C2024" s="73">
        <f t="shared" si="754"/>
        <v>45716</v>
      </c>
      <c r="D2024" s="67">
        <f t="shared" si="755"/>
        <v>28</v>
      </c>
      <c r="E2024" s="67">
        <f t="shared" si="756"/>
        <v>2</v>
      </c>
      <c r="F2024" s="74">
        <f t="shared" si="757"/>
        <v>45703</v>
      </c>
      <c r="G2024" s="67">
        <f t="shared" si="758"/>
        <v>24301</v>
      </c>
      <c r="H2024" s="75">
        <f t="shared" si="759"/>
        <v>1</v>
      </c>
      <c r="I2024" s="76">
        <f t="shared" si="760"/>
        <v>1</v>
      </c>
      <c r="J2024" s="76">
        <f t="shared" si="761"/>
        <v>1</v>
      </c>
      <c r="K2024" s="67">
        <f t="shared" si="762"/>
        <v>0</v>
      </c>
      <c r="L2024" s="67">
        <f t="shared" si="763"/>
        <v>0</v>
      </c>
      <c r="M2024" s="77">
        <f t="shared" si="764"/>
        <v>0</v>
      </c>
      <c r="N2024" s="76">
        <f t="shared" si="765"/>
        <v>1</v>
      </c>
      <c r="O2024" s="77">
        <f t="shared" si="766"/>
        <v>0.90351203501094102</v>
      </c>
      <c r="P2024" s="76">
        <f t="shared" si="767"/>
        <v>0</v>
      </c>
      <c r="Q2024" s="76">
        <f t="shared" si="768"/>
        <v>0</v>
      </c>
      <c r="R2024" s="76">
        <f t="shared" si="769"/>
        <v>0</v>
      </c>
      <c r="S2024" s="76">
        <f t="shared" si="770"/>
        <v>0.98207829892493581</v>
      </c>
      <c r="T2024" s="76">
        <f t="shared" si="771"/>
        <v>0.98207829892493581</v>
      </c>
      <c r="U2024" s="76">
        <f t="shared" si="772"/>
        <v>1</v>
      </c>
    </row>
    <row r="2025" spans="1:21" x14ac:dyDescent="0.25">
      <c r="A2025" s="71">
        <v>3</v>
      </c>
      <c r="B2025" s="72">
        <f t="shared" si="773"/>
        <v>45717</v>
      </c>
      <c r="C2025" s="73">
        <f t="shared" si="754"/>
        <v>45747</v>
      </c>
      <c r="D2025" s="67">
        <f t="shared" si="755"/>
        <v>31</v>
      </c>
      <c r="E2025" s="67">
        <f t="shared" si="756"/>
        <v>3</v>
      </c>
      <c r="F2025" s="74">
        <f t="shared" si="757"/>
        <v>45732.5</v>
      </c>
      <c r="G2025" s="67">
        <f t="shared" si="758"/>
        <v>24302</v>
      </c>
      <c r="H2025" s="75">
        <f t="shared" si="759"/>
        <v>1</v>
      </c>
      <c r="I2025" s="76">
        <f t="shared" si="760"/>
        <v>1</v>
      </c>
      <c r="J2025" s="76">
        <f t="shared" si="761"/>
        <v>1</v>
      </c>
      <c r="K2025" s="67">
        <f t="shared" si="762"/>
        <v>0</v>
      </c>
      <c r="L2025" s="67">
        <f t="shared" si="763"/>
        <v>0</v>
      </c>
      <c r="M2025" s="77">
        <f t="shared" si="764"/>
        <v>0</v>
      </c>
      <c r="N2025" s="76">
        <f t="shared" si="765"/>
        <v>1</v>
      </c>
      <c r="O2025" s="77">
        <f t="shared" si="766"/>
        <v>0.90383479212253837</v>
      </c>
      <c r="P2025" s="76">
        <f t="shared" si="767"/>
        <v>0</v>
      </c>
      <c r="Q2025" s="76">
        <f t="shared" si="768"/>
        <v>0</v>
      </c>
      <c r="R2025" s="76">
        <f t="shared" si="769"/>
        <v>0</v>
      </c>
      <c r="S2025" s="76">
        <f t="shared" si="770"/>
        <v>0.98242912187232423</v>
      </c>
      <c r="T2025" s="76">
        <f t="shared" si="771"/>
        <v>0.98242912187232423</v>
      </c>
      <c r="U2025" s="76">
        <f t="shared" si="772"/>
        <v>1</v>
      </c>
    </row>
    <row r="2026" spans="1:21" x14ac:dyDescent="0.25">
      <c r="A2026" s="71">
        <v>4</v>
      </c>
      <c r="B2026" s="72">
        <f t="shared" si="773"/>
        <v>45748</v>
      </c>
      <c r="C2026" s="73">
        <f t="shared" si="754"/>
        <v>45777</v>
      </c>
      <c r="D2026" s="67">
        <f t="shared" si="755"/>
        <v>30</v>
      </c>
      <c r="E2026" s="67">
        <f t="shared" si="756"/>
        <v>4</v>
      </c>
      <c r="F2026" s="74">
        <f t="shared" si="757"/>
        <v>45763</v>
      </c>
      <c r="G2026" s="67">
        <f t="shared" si="758"/>
        <v>24303</v>
      </c>
      <c r="H2026" s="75">
        <f t="shared" si="759"/>
        <v>1</v>
      </c>
      <c r="I2026" s="76">
        <f t="shared" si="760"/>
        <v>1</v>
      </c>
      <c r="J2026" s="76">
        <f t="shared" si="761"/>
        <v>1</v>
      </c>
      <c r="K2026" s="67">
        <f t="shared" si="762"/>
        <v>0</v>
      </c>
      <c r="L2026" s="67">
        <f t="shared" si="763"/>
        <v>0</v>
      </c>
      <c r="M2026" s="77">
        <f t="shared" si="764"/>
        <v>0</v>
      </c>
      <c r="N2026" s="76">
        <f t="shared" si="765"/>
        <v>1</v>
      </c>
      <c r="O2026" s="77">
        <f t="shared" si="766"/>
        <v>0.90416849015317291</v>
      </c>
      <c r="P2026" s="76">
        <f t="shared" si="767"/>
        <v>0</v>
      </c>
      <c r="Q2026" s="76">
        <f t="shared" si="768"/>
        <v>0</v>
      </c>
      <c r="R2026" s="76">
        <f t="shared" si="769"/>
        <v>0</v>
      </c>
      <c r="S2026" s="76">
        <f t="shared" si="770"/>
        <v>0.98279183712301399</v>
      </c>
      <c r="T2026" s="76">
        <f t="shared" si="771"/>
        <v>0.98279183712301399</v>
      </c>
      <c r="U2026" s="76">
        <f t="shared" si="772"/>
        <v>1</v>
      </c>
    </row>
    <row r="2027" spans="1:21" x14ac:dyDescent="0.25">
      <c r="A2027" s="71">
        <v>5</v>
      </c>
      <c r="B2027" s="72">
        <f t="shared" si="773"/>
        <v>45778</v>
      </c>
      <c r="C2027" s="73">
        <f t="shared" si="754"/>
        <v>45808</v>
      </c>
      <c r="D2027" s="67">
        <f t="shared" si="755"/>
        <v>31</v>
      </c>
      <c r="E2027" s="67">
        <f t="shared" si="756"/>
        <v>5</v>
      </c>
      <c r="F2027" s="74">
        <f t="shared" si="757"/>
        <v>45793.5</v>
      </c>
      <c r="G2027" s="67">
        <f t="shared" si="758"/>
        <v>24304</v>
      </c>
      <c r="H2027" s="75">
        <f t="shared" si="759"/>
        <v>1</v>
      </c>
      <c r="I2027" s="76">
        <f t="shared" si="760"/>
        <v>1</v>
      </c>
      <c r="J2027" s="76">
        <f t="shared" si="761"/>
        <v>1</v>
      </c>
      <c r="K2027" s="67">
        <f t="shared" si="762"/>
        <v>0</v>
      </c>
      <c r="L2027" s="67">
        <f t="shared" si="763"/>
        <v>0</v>
      </c>
      <c r="M2027" s="77">
        <f t="shared" si="764"/>
        <v>0</v>
      </c>
      <c r="N2027" s="76">
        <f t="shared" si="765"/>
        <v>1</v>
      </c>
      <c r="O2027" s="77">
        <f t="shared" si="766"/>
        <v>0.90450218818380745</v>
      </c>
      <c r="P2027" s="76">
        <f t="shared" si="767"/>
        <v>0</v>
      </c>
      <c r="Q2027" s="76">
        <f t="shared" si="768"/>
        <v>0</v>
      </c>
      <c r="R2027" s="76">
        <f t="shared" si="769"/>
        <v>0</v>
      </c>
      <c r="S2027" s="76">
        <f t="shared" si="770"/>
        <v>0.98315455237370375</v>
      </c>
      <c r="T2027" s="76">
        <f t="shared" si="771"/>
        <v>0.98315455237370375</v>
      </c>
      <c r="U2027" s="76">
        <f t="shared" si="772"/>
        <v>1</v>
      </c>
    </row>
    <row r="2028" spans="1:21" x14ac:dyDescent="0.25">
      <c r="A2028" s="71">
        <v>6</v>
      </c>
      <c r="B2028" s="72">
        <f t="shared" si="773"/>
        <v>45809</v>
      </c>
      <c r="C2028" s="73">
        <f t="shared" si="754"/>
        <v>45838</v>
      </c>
      <c r="D2028" s="67">
        <f t="shared" si="755"/>
        <v>30</v>
      </c>
      <c r="E2028" s="67">
        <f t="shared" si="756"/>
        <v>6</v>
      </c>
      <c r="F2028" s="74">
        <f t="shared" si="757"/>
        <v>45824</v>
      </c>
      <c r="G2028" s="67">
        <f t="shared" si="758"/>
        <v>24305</v>
      </c>
      <c r="H2028" s="75">
        <f t="shared" si="759"/>
        <v>1</v>
      </c>
      <c r="I2028" s="76">
        <f t="shared" si="760"/>
        <v>1</v>
      </c>
      <c r="J2028" s="76">
        <f t="shared" si="761"/>
        <v>1</v>
      </c>
      <c r="K2028" s="67">
        <f t="shared" si="762"/>
        <v>0</v>
      </c>
      <c r="L2028" s="67">
        <f t="shared" si="763"/>
        <v>0</v>
      </c>
      <c r="M2028" s="77">
        <f t="shared" si="764"/>
        <v>0</v>
      </c>
      <c r="N2028" s="76">
        <f t="shared" si="765"/>
        <v>1</v>
      </c>
      <c r="O2028" s="77">
        <f t="shared" si="766"/>
        <v>0.90483588621444211</v>
      </c>
      <c r="P2028" s="76">
        <f t="shared" si="767"/>
        <v>0</v>
      </c>
      <c r="Q2028" s="76">
        <f t="shared" si="768"/>
        <v>0</v>
      </c>
      <c r="R2028" s="76">
        <f t="shared" si="769"/>
        <v>0</v>
      </c>
      <c r="S2028" s="76">
        <f t="shared" si="770"/>
        <v>0.98351726762439351</v>
      </c>
      <c r="T2028" s="76">
        <f t="shared" si="771"/>
        <v>0.98351726762439351</v>
      </c>
      <c r="U2028" s="76">
        <f t="shared" si="772"/>
        <v>1</v>
      </c>
    </row>
    <row r="2029" spans="1:21" x14ac:dyDescent="0.25">
      <c r="A2029" s="71">
        <v>7</v>
      </c>
      <c r="B2029" s="72">
        <f t="shared" si="773"/>
        <v>45839</v>
      </c>
      <c r="C2029" s="73">
        <f t="shared" si="754"/>
        <v>45869</v>
      </c>
      <c r="D2029" s="67">
        <f t="shared" si="755"/>
        <v>31</v>
      </c>
      <c r="E2029" s="67">
        <f t="shared" si="756"/>
        <v>7</v>
      </c>
      <c r="F2029" s="74">
        <f t="shared" si="757"/>
        <v>45854.5</v>
      </c>
      <c r="G2029" s="67">
        <f t="shared" si="758"/>
        <v>24306</v>
      </c>
      <c r="H2029" s="75">
        <f t="shared" si="759"/>
        <v>1</v>
      </c>
      <c r="I2029" s="76">
        <f t="shared" si="760"/>
        <v>1</v>
      </c>
      <c r="J2029" s="76">
        <f t="shared" si="761"/>
        <v>1</v>
      </c>
      <c r="K2029" s="67">
        <f t="shared" si="762"/>
        <v>0</v>
      </c>
      <c r="L2029" s="67">
        <f t="shared" si="763"/>
        <v>0</v>
      </c>
      <c r="M2029" s="77">
        <f t="shared" si="764"/>
        <v>0</v>
      </c>
      <c r="N2029" s="76">
        <f t="shared" si="765"/>
        <v>1</v>
      </c>
      <c r="O2029" s="77">
        <f t="shared" si="766"/>
        <v>0.90516958424507665</v>
      </c>
      <c r="P2029" s="76">
        <f t="shared" si="767"/>
        <v>8.333333333333337E-2</v>
      </c>
      <c r="Q2029" s="76">
        <f t="shared" si="768"/>
        <v>0</v>
      </c>
      <c r="R2029" s="76">
        <f t="shared" si="769"/>
        <v>0</v>
      </c>
      <c r="S2029" s="76">
        <f t="shared" si="770"/>
        <v>0.98387998287508327</v>
      </c>
      <c r="T2029" s="76">
        <f t="shared" si="771"/>
        <v>0.98387998287508327</v>
      </c>
      <c r="U2029" s="76">
        <f t="shared" si="772"/>
        <v>1</v>
      </c>
    </row>
    <row r="2030" spans="1:21" x14ac:dyDescent="0.25">
      <c r="A2030" s="71">
        <v>8</v>
      </c>
      <c r="B2030" s="72">
        <f t="shared" si="773"/>
        <v>45870</v>
      </c>
      <c r="C2030" s="73">
        <f t="shared" si="754"/>
        <v>45900</v>
      </c>
      <c r="D2030" s="67">
        <f t="shared" si="755"/>
        <v>31</v>
      </c>
      <c r="E2030" s="67">
        <f t="shared" si="756"/>
        <v>8</v>
      </c>
      <c r="F2030" s="74">
        <f t="shared" si="757"/>
        <v>45885.5</v>
      </c>
      <c r="G2030" s="67">
        <f t="shared" si="758"/>
        <v>24307</v>
      </c>
      <c r="H2030" s="75">
        <f t="shared" si="759"/>
        <v>1</v>
      </c>
      <c r="I2030" s="76">
        <f t="shared" si="760"/>
        <v>1</v>
      </c>
      <c r="J2030" s="76">
        <f t="shared" si="761"/>
        <v>1</v>
      </c>
      <c r="K2030" s="67">
        <f t="shared" si="762"/>
        <v>0</v>
      </c>
      <c r="L2030" s="67">
        <f t="shared" si="763"/>
        <v>0</v>
      </c>
      <c r="M2030" s="77">
        <f t="shared" si="764"/>
        <v>0</v>
      </c>
      <c r="N2030" s="76">
        <f t="shared" si="765"/>
        <v>1</v>
      </c>
      <c r="O2030" s="77">
        <f t="shared" si="766"/>
        <v>0.90550875273522979</v>
      </c>
      <c r="P2030" s="76">
        <f t="shared" si="767"/>
        <v>0.25</v>
      </c>
      <c r="Q2030" s="76">
        <f t="shared" si="768"/>
        <v>0</v>
      </c>
      <c r="R2030" s="76">
        <f t="shared" si="769"/>
        <v>0</v>
      </c>
      <c r="S2030" s="76">
        <f t="shared" si="770"/>
        <v>0.98424864427742365</v>
      </c>
      <c r="T2030" s="76">
        <f t="shared" si="771"/>
        <v>0.98424864427742365</v>
      </c>
      <c r="U2030" s="76">
        <f t="shared" si="772"/>
        <v>1</v>
      </c>
    </row>
    <row r="2031" spans="1:21" x14ac:dyDescent="0.25">
      <c r="A2031" s="71">
        <v>9</v>
      </c>
      <c r="B2031" s="72">
        <f t="shared" si="773"/>
        <v>45901</v>
      </c>
      <c r="C2031" s="73">
        <f t="shared" si="754"/>
        <v>45930</v>
      </c>
      <c r="D2031" s="67">
        <f t="shared" si="755"/>
        <v>30</v>
      </c>
      <c r="E2031" s="67">
        <f t="shared" si="756"/>
        <v>9</v>
      </c>
      <c r="F2031" s="74">
        <f t="shared" si="757"/>
        <v>45916</v>
      </c>
      <c r="G2031" s="67">
        <f t="shared" si="758"/>
        <v>24308</v>
      </c>
      <c r="H2031" s="75">
        <f t="shared" si="759"/>
        <v>1</v>
      </c>
      <c r="I2031" s="76">
        <f t="shared" si="760"/>
        <v>1</v>
      </c>
      <c r="J2031" s="76">
        <f t="shared" si="761"/>
        <v>1</v>
      </c>
      <c r="K2031" s="67">
        <f t="shared" si="762"/>
        <v>0</v>
      </c>
      <c r="L2031" s="67">
        <f t="shared" si="763"/>
        <v>0</v>
      </c>
      <c r="M2031" s="77">
        <f t="shared" si="764"/>
        <v>0</v>
      </c>
      <c r="N2031" s="76">
        <f t="shared" si="765"/>
        <v>1</v>
      </c>
      <c r="O2031" s="77">
        <f t="shared" si="766"/>
        <v>0.90584245076586434</v>
      </c>
      <c r="P2031" s="76">
        <f t="shared" si="767"/>
        <v>0.41666666666666663</v>
      </c>
      <c r="Q2031" s="76">
        <f t="shared" si="768"/>
        <v>0</v>
      </c>
      <c r="R2031" s="76">
        <f t="shared" si="769"/>
        <v>0</v>
      </c>
      <c r="S2031" s="76">
        <f t="shared" si="770"/>
        <v>0.98461135952811341</v>
      </c>
      <c r="T2031" s="76">
        <f t="shared" si="771"/>
        <v>0.98461135952811341</v>
      </c>
      <c r="U2031" s="76">
        <f t="shared" si="772"/>
        <v>1</v>
      </c>
    </row>
    <row r="2032" spans="1:21" x14ac:dyDescent="0.25">
      <c r="A2032" s="71">
        <v>10</v>
      </c>
      <c r="B2032" s="72">
        <f t="shared" si="773"/>
        <v>45931</v>
      </c>
      <c r="C2032" s="73">
        <f t="shared" si="754"/>
        <v>45961</v>
      </c>
      <c r="D2032" s="67">
        <f t="shared" si="755"/>
        <v>31</v>
      </c>
      <c r="E2032" s="67">
        <f t="shared" si="756"/>
        <v>10</v>
      </c>
      <c r="F2032" s="74">
        <f t="shared" si="757"/>
        <v>45946.5</v>
      </c>
      <c r="G2032" s="67">
        <f t="shared" si="758"/>
        <v>24309</v>
      </c>
      <c r="H2032" s="75">
        <f t="shared" si="759"/>
        <v>1</v>
      </c>
      <c r="I2032" s="76">
        <f t="shared" si="760"/>
        <v>1</v>
      </c>
      <c r="J2032" s="76">
        <f t="shared" si="761"/>
        <v>1</v>
      </c>
      <c r="K2032" s="67">
        <f t="shared" si="762"/>
        <v>0</v>
      </c>
      <c r="L2032" s="67">
        <f t="shared" si="763"/>
        <v>0</v>
      </c>
      <c r="M2032" s="77">
        <f t="shared" si="764"/>
        <v>0</v>
      </c>
      <c r="N2032" s="76">
        <f t="shared" si="765"/>
        <v>1</v>
      </c>
      <c r="O2032" s="77">
        <f t="shared" si="766"/>
        <v>0.90617614879649899</v>
      </c>
      <c r="P2032" s="76">
        <f t="shared" si="767"/>
        <v>0.58333333333333326</v>
      </c>
      <c r="Q2032" s="76">
        <f t="shared" si="768"/>
        <v>0</v>
      </c>
      <c r="R2032" s="76">
        <f t="shared" si="769"/>
        <v>0</v>
      </c>
      <c r="S2032" s="76">
        <f t="shared" si="770"/>
        <v>0.98497407477880317</v>
      </c>
      <c r="T2032" s="76">
        <f t="shared" si="771"/>
        <v>0.98497407477880317</v>
      </c>
      <c r="U2032" s="76">
        <f t="shared" si="772"/>
        <v>1</v>
      </c>
    </row>
    <row r="2033" spans="1:21" x14ac:dyDescent="0.25">
      <c r="A2033" s="71">
        <v>11</v>
      </c>
      <c r="B2033" s="72">
        <f t="shared" si="773"/>
        <v>45962</v>
      </c>
      <c r="C2033" s="73">
        <f t="shared" si="754"/>
        <v>45991</v>
      </c>
      <c r="D2033" s="67">
        <f t="shared" si="755"/>
        <v>30</v>
      </c>
      <c r="E2033" s="67">
        <f t="shared" si="756"/>
        <v>11</v>
      </c>
      <c r="F2033" s="74">
        <f t="shared" si="757"/>
        <v>45977</v>
      </c>
      <c r="G2033" s="67">
        <f t="shared" si="758"/>
        <v>24310</v>
      </c>
      <c r="H2033" s="75">
        <f t="shared" si="759"/>
        <v>1</v>
      </c>
      <c r="I2033" s="76">
        <f t="shared" si="760"/>
        <v>1</v>
      </c>
      <c r="J2033" s="76">
        <f t="shared" si="761"/>
        <v>1</v>
      </c>
      <c r="K2033" s="67">
        <f t="shared" si="762"/>
        <v>0</v>
      </c>
      <c r="L2033" s="67">
        <f t="shared" si="763"/>
        <v>0</v>
      </c>
      <c r="M2033" s="77">
        <f t="shared" si="764"/>
        <v>0</v>
      </c>
      <c r="N2033" s="76">
        <f t="shared" si="765"/>
        <v>1</v>
      </c>
      <c r="O2033" s="77">
        <f t="shared" si="766"/>
        <v>0.90650984682713354</v>
      </c>
      <c r="P2033" s="76">
        <f t="shared" si="767"/>
        <v>0.75</v>
      </c>
      <c r="Q2033" s="76">
        <f t="shared" si="768"/>
        <v>0</v>
      </c>
      <c r="R2033" s="76">
        <f t="shared" si="769"/>
        <v>0</v>
      </c>
      <c r="S2033" s="76">
        <f t="shared" si="770"/>
        <v>0.98533679002949293</v>
      </c>
      <c r="T2033" s="76">
        <f t="shared" si="771"/>
        <v>0.98533679002949293</v>
      </c>
      <c r="U2033" s="76">
        <f t="shared" si="772"/>
        <v>1</v>
      </c>
    </row>
    <row r="2034" spans="1:21" x14ac:dyDescent="0.25">
      <c r="A2034" s="71">
        <v>12</v>
      </c>
      <c r="B2034" s="72">
        <f t="shared" si="773"/>
        <v>45992</v>
      </c>
      <c r="C2034" s="73">
        <f t="shared" si="754"/>
        <v>46022</v>
      </c>
      <c r="D2034" s="67">
        <f t="shared" si="755"/>
        <v>31</v>
      </c>
      <c r="E2034" s="67">
        <f t="shared" si="756"/>
        <v>12</v>
      </c>
      <c r="F2034" s="74">
        <f t="shared" si="757"/>
        <v>46007.5</v>
      </c>
      <c r="G2034" s="67">
        <f t="shared" si="758"/>
        <v>24311</v>
      </c>
      <c r="H2034" s="75">
        <f t="shared" si="759"/>
        <v>1</v>
      </c>
      <c r="I2034" s="76">
        <f t="shared" si="760"/>
        <v>1</v>
      </c>
      <c r="J2034" s="76">
        <f t="shared" si="761"/>
        <v>1</v>
      </c>
      <c r="K2034" s="67">
        <f t="shared" si="762"/>
        <v>0</v>
      </c>
      <c r="L2034" s="67">
        <f t="shared" si="763"/>
        <v>0</v>
      </c>
      <c r="M2034" s="77">
        <f t="shared" si="764"/>
        <v>0</v>
      </c>
      <c r="N2034" s="76">
        <f t="shared" si="765"/>
        <v>1</v>
      </c>
      <c r="O2034" s="77">
        <f t="shared" si="766"/>
        <v>0.90684354485776808</v>
      </c>
      <c r="P2034" s="76">
        <f t="shared" si="767"/>
        <v>0.91666666666666663</v>
      </c>
      <c r="Q2034" s="76">
        <f t="shared" si="768"/>
        <v>0</v>
      </c>
      <c r="R2034" s="76">
        <f t="shared" si="769"/>
        <v>0</v>
      </c>
      <c r="S2034" s="76">
        <f t="shared" si="770"/>
        <v>0.98569950528018269</v>
      </c>
      <c r="T2034" s="76">
        <f t="shared" si="771"/>
        <v>0.98569950528018269</v>
      </c>
      <c r="U2034" s="76">
        <f t="shared" si="772"/>
        <v>1</v>
      </c>
    </row>
    <row r="2035" spans="1:21" x14ac:dyDescent="0.25">
      <c r="A2035" s="71">
        <v>13</v>
      </c>
      <c r="B2035" s="72">
        <f t="shared" si="773"/>
        <v>46023</v>
      </c>
      <c r="C2035" s="73">
        <f t="shared" si="754"/>
        <v>46053</v>
      </c>
      <c r="D2035" s="67">
        <f t="shared" si="755"/>
        <v>31</v>
      </c>
      <c r="E2035" s="67">
        <f t="shared" si="756"/>
        <v>1</v>
      </c>
      <c r="F2035" s="74">
        <f t="shared" si="757"/>
        <v>46038.5</v>
      </c>
      <c r="G2035" s="67">
        <f t="shared" si="758"/>
        <v>24312</v>
      </c>
      <c r="H2035" s="75">
        <f t="shared" si="759"/>
        <v>1</v>
      </c>
      <c r="I2035" s="76">
        <f t="shared" si="760"/>
        <v>1</v>
      </c>
      <c r="J2035" s="76">
        <f t="shared" si="761"/>
        <v>1.03</v>
      </c>
      <c r="K2035" s="67">
        <f t="shared" si="762"/>
        <v>1</v>
      </c>
      <c r="L2035" s="67">
        <f t="shared" si="763"/>
        <v>31</v>
      </c>
      <c r="M2035" s="77">
        <f t="shared" si="764"/>
        <v>1</v>
      </c>
      <c r="N2035" s="76">
        <f t="shared" si="765"/>
        <v>1.03</v>
      </c>
      <c r="O2035" s="77">
        <f t="shared" si="766"/>
        <v>0.90718271334792122</v>
      </c>
      <c r="P2035" s="76">
        <f t="shared" si="767"/>
        <v>1</v>
      </c>
      <c r="Q2035" s="76">
        <f t="shared" si="768"/>
        <v>0</v>
      </c>
      <c r="R2035" s="76">
        <f t="shared" si="769"/>
        <v>0</v>
      </c>
      <c r="S2035" s="76">
        <f t="shared" si="770"/>
        <v>1.0156502116829988</v>
      </c>
      <c r="T2035" s="76">
        <f t="shared" si="771"/>
        <v>1.0156502116829988</v>
      </c>
      <c r="U2035" s="76">
        <f t="shared" si="772"/>
        <v>1.03</v>
      </c>
    </row>
    <row r="2036" spans="1:21" x14ac:dyDescent="0.25">
      <c r="A2036" s="71">
        <v>14</v>
      </c>
      <c r="B2036" s="72">
        <f t="shared" si="773"/>
        <v>46054</v>
      </c>
      <c r="C2036" s="73">
        <f t="shared" si="754"/>
        <v>46081</v>
      </c>
      <c r="D2036" s="67">
        <f t="shared" si="755"/>
        <v>28</v>
      </c>
      <c r="E2036" s="67">
        <f t="shared" si="756"/>
        <v>2</v>
      </c>
      <c r="F2036" s="74">
        <f t="shared" si="757"/>
        <v>46068</v>
      </c>
      <c r="G2036" s="67">
        <f t="shared" si="758"/>
        <v>24313</v>
      </c>
      <c r="H2036" s="75">
        <f t="shared" si="759"/>
        <v>1</v>
      </c>
      <c r="I2036" s="76">
        <f t="shared" si="760"/>
        <v>1.03</v>
      </c>
      <c r="J2036" s="76">
        <f t="shared" si="761"/>
        <v>1.03</v>
      </c>
      <c r="K2036" s="67">
        <f t="shared" si="762"/>
        <v>0</v>
      </c>
      <c r="L2036" s="67">
        <f t="shared" si="763"/>
        <v>0</v>
      </c>
      <c r="M2036" s="77">
        <f t="shared" si="764"/>
        <v>0</v>
      </c>
      <c r="N2036" s="76">
        <f t="shared" si="765"/>
        <v>1.03</v>
      </c>
      <c r="O2036" s="77">
        <f t="shared" si="766"/>
        <v>0.90750547045951868</v>
      </c>
      <c r="P2036" s="76">
        <f t="shared" si="767"/>
        <v>1</v>
      </c>
      <c r="Q2036" s="76">
        <f t="shared" si="768"/>
        <v>0</v>
      </c>
      <c r="R2036" s="76">
        <f t="shared" si="769"/>
        <v>0</v>
      </c>
      <c r="S2036" s="76">
        <f t="shared" si="770"/>
        <v>1.016011559318809</v>
      </c>
      <c r="T2036" s="76">
        <f t="shared" si="771"/>
        <v>1.016011559318809</v>
      </c>
      <c r="U2036" s="76">
        <f t="shared" si="772"/>
        <v>1.03</v>
      </c>
    </row>
    <row r="2037" spans="1:21" x14ac:dyDescent="0.25">
      <c r="A2037" s="71">
        <v>15</v>
      </c>
      <c r="B2037" s="72">
        <f t="shared" si="773"/>
        <v>46082</v>
      </c>
      <c r="C2037" s="73">
        <f t="shared" si="754"/>
        <v>46112</v>
      </c>
      <c r="D2037" s="67">
        <f t="shared" si="755"/>
        <v>31</v>
      </c>
      <c r="E2037" s="67">
        <f t="shared" si="756"/>
        <v>3</v>
      </c>
      <c r="F2037" s="74">
        <f t="shared" si="757"/>
        <v>46097.5</v>
      </c>
      <c r="G2037" s="67">
        <f t="shared" si="758"/>
        <v>24314</v>
      </c>
      <c r="H2037" s="75">
        <f t="shared" si="759"/>
        <v>1</v>
      </c>
      <c r="I2037" s="76">
        <f t="shared" si="760"/>
        <v>1.03</v>
      </c>
      <c r="J2037" s="76">
        <f t="shared" si="761"/>
        <v>1.03</v>
      </c>
      <c r="K2037" s="67">
        <f t="shared" si="762"/>
        <v>0</v>
      </c>
      <c r="L2037" s="67">
        <f t="shared" si="763"/>
        <v>0</v>
      </c>
      <c r="M2037" s="77">
        <f t="shared" si="764"/>
        <v>0</v>
      </c>
      <c r="N2037" s="76">
        <f t="shared" si="765"/>
        <v>1.03</v>
      </c>
      <c r="O2037" s="77">
        <f t="shared" si="766"/>
        <v>0.90782822757111603</v>
      </c>
      <c r="P2037" s="76">
        <f t="shared" si="767"/>
        <v>1</v>
      </c>
      <c r="Q2037" s="76">
        <f t="shared" si="768"/>
        <v>0</v>
      </c>
      <c r="R2037" s="76">
        <f t="shared" si="769"/>
        <v>0</v>
      </c>
      <c r="S2037" s="76">
        <f t="shared" si="770"/>
        <v>1.016372906954619</v>
      </c>
      <c r="T2037" s="76">
        <f t="shared" si="771"/>
        <v>1.016372906954619</v>
      </c>
      <c r="U2037" s="76">
        <f t="shared" si="772"/>
        <v>1.03</v>
      </c>
    </row>
    <row r="2038" spans="1:21" x14ac:dyDescent="0.25">
      <c r="A2038" s="71">
        <v>16</v>
      </c>
      <c r="B2038" s="72">
        <f t="shared" si="773"/>
        <v>46113</v>
      </c>
      <c r="C2038" s="73">
        <f t="shared" si="754"/>
        <v>46142</v>
      </c>
      <c r="D2038" s="67">
        <f t="shared" si="755"/>
        <v>30</v>
      </c>
      <c r="E2038" s="67">
        <f t="shared" si="756"/>
        <v>4</v>
      </c>
      <c r="F2038" s="74">
        <f t="shared" si="757"/>
        <v>46128</v>
      </c>
      <c r="G2038" s="67">
        <f t="shared" si="758"/>
        <v>24315</v>
      </c>
      <c r="H2038" s="75">
        <f t="shared" si="759"/>
        <v>1</v>
      </c>
      <c r="I2038" s="76">
        <f t="shared" si="760"/>
        <v>1.03</v>
      </c>
      <c r="J2038" s="76">
        <f t="shared" si="761"/>
        <v>1.03</v>
      </c>
      <c r="K2038" s="67">
        <f t="shared" si="762"/>
        <v>0</v>
      </c>
      <c r="L2038" s="67">
        <f t="shared" si="763"/>
        <v>0</v>
      </c>
      <c r="M2038" s="77">
        <f t="shared" si="764"/>
        <v>0</v>
      </c>
      <c r="N2038" s="76">
        <f t="shared" si="765"/>
        <v>1.03</v>
      </c>
      <c r="O2038" s="77">
        <f t="shared" si="766"/>
        <v>0.90816192560175057</v>
      </c>
      <c r="P2038" s="76">
        <f t="shared" si="767"/>
        <v>1</v>
      </c>
      <c r="Q2038" s="76">
        <f t="shared" si="768"/>
        <v>0</v>
      </c>
      <c r="R2038" s="76">
        <f t="shared" si="769"/>
        <v>0</v>
      </c>
      <c r="S2038" s="76">
        <f t="shared" si="770"/>
        <v>1.0167465036628294</v>
      </c>
      <c r="T2038" s="76">
        <f t="shared" si="771"/>
        <v>1.0167465036628294</v>
      </c>
      <c r="U2038" s="76">
        <f t="shared" si="772"/>
        <v>1.03</v>
      </c>
    </row>
    <row r="2039" spans="1:21" x14ac:dyDescent="0.25">
      <c r="A2039" s="71">
        <v>17</v>
      </c>
      <c r="B2039" s="72">
        <f t="shared" si="773"/>
        <v>46143</v>
      </c>
      <c r="C2039" s="73">
        <f t="shared" si="754"/>
        <v>46173</v>
      </c>
      <c r="D2039" s="67">
        <f t="shared" si="755"/>
        <v>31</v>
      </c>
      <c r="E2039" s="67">
        <f t="shared" si="756"/>
        <v>5</v>
      </c>
      <c r="F2039" s="74">
        <f t="shared" si="757"/>
        <v>46158.5</v>
      </c>
      <c r="G2039" s="67">
        <f t="shared" si="758"/>
        <v>24316</v>
      </c>
      <c r="H2039" s="75">
        <f t="shared" si="759"/>
        <v>1</v>
      </c>
      <c r="I2039" s="76">
        <f t="shared" si="760"/>
        <v>1.03</v>
      </c>
      <c r="J2039" s="76">
        <f t="shared" si="761"/>
        <v>1.03</v>
      </c>
      <c r="K2039" s="67">
        <f t="shared" si="762"/>
        <v>0</v>
      </c>
      <c r="L2039" s="67">
        <f t="shared" si="763"/>
        <v>0</v>
      </c>
      <c r="M2039" s="77">
        <f t="shared" si="764"/>
        <v>0</v>
      </c>
      <c r="N2039" s="76">
        <f t="shared" si="765"/>
        <v>1.03</v>
      </c>
      <c r="O2039" s="77">
        <f t="shared" si="766"/>
        <v>0.90849562363238512</v>
      </c>
      <c r="P2039" s="76">
        <f t="shared" si="767"/>
        <v>1</v>
      </c>
      <c r="Q2039" s="76">
        <f t="shared" si="768"/>
        <v>0</v>
      </c>
      <c r="R2039" s="76">
        <f t="shared" si="769"/>
        <v>0</v>
      </c>
      <c r="S2039" s="76">
        <f t="shared" si="770"/>
        <v>1.0171201003710397</v>
      </c>
      <c r="T2039" s="76">
        <f t="shared" si="771"/>
        <v>1.0171201003710397</v>
      </c>
      <c r="U2039" s="76">
        <f t="shared" si="772"/>
        <v>1.03</v>
      </c>
    </row>
    <row r="2040" spans="1:21" x14ac:dyDescent="0.25">
      <c r="A2040" s="71">
        <v>18</v>
      </c>
      <c r="B2040" s="72">
        <f t="shared" si="773"/>
        <v>46174</v>
      </c>
      <c r="C2040" s="73">
        <f t="shared" si="754"/>
        <v>46203</v>
      </c>
      <c r="D2040" s="67">
        <f t="shared" si="755"/>
        <v>30</v>
      </c>
      <c r="E2040" s="67">
        <f t="shared" si="756"/>
        <v>6</v>
      </c>
      <c r="F2040" s="74">
        <f t="shared" si="757"/>
        <v>46189</v>
      </c>
      <c r="G2040" s="67">
        <f t="shared" si="758"/>
        <v>24317</v>
      </c>
      <c r="H2040" s="75">
        <f t="shared" si="759"/>
        <v>1</v>
      </c>
      <c r="I2040" s="76">
        <f t="shared" si="760"/>
        <v>1.03</v>
      </c>
      <c r="J2040" s="76">
        <f t="shared" si="761"/>
        <v>1.03</v>
      </c>
      <c r="K2040" s="67">
        <f t="shared" si="762"/>
        <v>0</v>
      </c>
      <c r="L2040" s="67">
        <f t="shared" si="763"/>
        <v>0</v>
      </c>
      <c r="M2040" s="77">
        <f t="shared" si="764"/>
        <v>0</v>
      </c>
      <c r="N2040" s="76">
        <f t="shared" si="765"/>
        <v>1.03</v>
      </c>
      <c r="O2040" s="77">
        <f t="shared" si="766"/>
        <v>0.90882932166301977</v>
      </c>
      <c r="P2040" s="76">
        <f t="shared" si="767"/>
        <v>1</v>
      </c>
      <c r="Q2040" s="76">
        <f t="shared" si="768"/>
        <v>0</v>
      </c>
      <c r="R2040" s="76">
        <f t="shared" si="769"/>
        <v>0</v>
      </c>
      <c r="S2040" s="76">
        <f t="shared" si="770"/>
        <v>1.0174936970792503</v>
      </c>
      <c r="T2040" s="76">
        <f t="shared" si="771"/>
        <v>1.0174936970792503</v>
      </c>
      <c r="U2040" s="76">
        <f t="shared" si="772"/>
        <v>1.03</v>
      </c>
    </row>
    <row r="2041" spans="1:21" x14ac:dyDescent="0.25">
      <c r="A2041" s="71">
        <v>19</v>
      </c>
      <c r="B2041" s="72">
        <f t="shared" si="773"/>
        <v>46204</v>
      </c>
      <c r="C2041" s="73">
        <f t="shared" si="754"/>
        <v>46234</v>
      </c>
      <c r="D2041" s="67">
        <f t="shared" si="755"/>
        <v>31</v>
      </c>
      <c r="E2041" s="67">
        <f t="shared" si="756"/>
        <v>7</v>
      </c>
      <c r="F2041" s="74">
        <f t="shared" si="757"/>
        <v>46219.5</v>
      </c>
      <c r="G2041" s="67">
        <f t="shared" si="758"/>
        <v>24318</v>
      </c>
      <c r="H2041" s="75">
        <f t="shared" si="759"/>
        <v>1</v>
      </c>
      <c r="I2041" s="76">
        <f t="shared" si="760"/>
        <v>1.03</v>
      </c>
      <c r="J2041" s="76">
        <f t="shared" si="761"/>
        <v>1.03</v>
      </c>
      <c r="K2041" s="67">
        <f t="shared" si="762"/>
        <v>0</v>
      </c>
      <c r="L2041" s="67">
        <f t="shared" si="763"/>
        <v>0</v>
      </c>
      <c r="M2041" s="77">
        <f t="shared" si="764"/>
        <v>0</v>
      </c>
      <c r="N2041" s="76">
        <f t="shared" si="765"/>
        <v>1.03</v>
      </c>
      <c r="O2041" s="77">
        <f t="shared" si="766"/>
        <v>0.90916301969365432</v>
      </c>
      <c r="P2041" s="76">
        <f t="shared" si="767"/>
        <v>0.91666666666666663</v>
      </c>
      <c r="Q2041" s="76">
        <f t="shared" si="768"/>
        <v>8.333333333333337E-2</v>
      </c>
      <c r="R2041" s="76">
        <f t="shared" si="769"/>
        <v>0</v>
      </c>
      <c r="S2041" s="76">
        <f t="shared" si="770"/>
        <v>1.0178672937874609</v>
      </c>
      <c r="T2041" s="76">
        <f t="shared" si="771"/>
        <v>1.0178672937874609</v>
      </c>
      <c r="U2041" s="76">
        <f t="shared" si="772"/>
        <v>1.03</v>
      </c>
    </row>
    <row r="2042" spans="1:21" x14ac:dyDescent="0.25">
      <c r="A2042" s="71">
        <v>20</v>
      </c>
      <c r="B2042" s="72">
        <f t="shared" si="773"/>
        <v>46235</v>
      </c>
      <c r="C2042" s="73">
        <f t="shared" si="754"/>
        <v>46265</v>
      </c>
      <c r="D2042" s="67">
        <f t="shared" si="755"/>
        <v>31</v>
      </c>
      <c r="E2042" s="67">
        <f t="shared" si="756"/>
        <v>8</v>
      </c>
      <c r="F2042" s="74">
        <f t="shared" si="757"/>
        <v>46250.5</v>
      </c>
      <c r="G2042" s="67">
        <f t="shared" si="758"/>
        <v>24319</v>
      </c>
      <c r="H2042" s="75">
        <f t="shared" si="759"/>
        <v>1</v>
      </c>
      <c r="I2042" s="76">
        <f t="shared" si="760"/>
        <v>1.03</v>
      </c>
      <c r="J2042" s="76">
        <f t="shared" si="761"/>
        <v>1.03</v>
      </c>
      <c r="K2042" s="67">
        <f t="shared" si="762"/>
        <v>0</v>
      </c>
      <c r="L2042" s="67">
        <f t="shared" si="763"/>
        <v>0</v>
      </c>
      <c r="M2042" s="77">
        <f t="shared" si="764"/>
        <v>0</v>
      </c>
      <c r="N2042" s="76">
        <f t="shared" si="765"/>
        <v>1.03</v>
      </c>
      <c r="O2042" s="77">
        <f t="shared" si="766"/>
        <v>0.90950218818380746</v>
      </c>
      <c r="P2042" s="76">
        <f t="shared" si="767"/>
        <v>0.75</v>
      </c>
      <c r="Q2042" s="76">
        <f t="shared" si="768"/>
        <v>0.25</v>
      </c>
      <c r="R2042" s="76">
        <f t="shared" si="769"/>
        <v>0</v>
      </c>
      <c r="S2042" s="76">
        <f t="shared" si="770"/>
        <v>1.0182470150318714</v>
      </c>
      <c r="T2042" s="76">
        <f t="shared" si="771"/>
        <v>1.0182470150318714</v>
      </c>
      <c r="U2042" s="76">
        <f t="shared" si="772"/>
        <v>1.03</v>
      </c>
    </row>
    <row r="2043" spans="1:21" x14ac:dyDescent="0.25">
      <c r="A2043" s="71">
        <v>21</v>
      </c>
      <c r="B2043" s="72">
        <f t="shared" si="773"/>
        <v>46266</v>
      </c>
      <c r="C2043" s="73">
        <f t="shared" si="754"/>
        <v>46295</v>
      </c>
      <c r="D2043" s="67">
        <f t="shared" si="755"/>
        <v>30</v>
      </c>
      <c r="E2043" s="67">
        <f t="shared" si="756"/>
        <v>9</v>
      </c>
      <c r="F2043" s="74">
        <f t="shared" si="757"/>
        <v>46281</v>
      </c>
      <c r="G2043" s="67">
        <f t="shared" si="758"/>
        <v>24320</v>
      </c>
      <c r="H2043" s="75">
        <f t="shared" si="759"/>
        <v>1</v>
      </c>
      <c r="I2043" s="76">
        <f t="shared" si="760"/>
        <v>1.03</v>
      </c>
      <c r="J2043" s="76">
        <f t="shared" si="761"/>
        <v>1.03</v>
      </c>
      <c r="K2043" s="67">
        <f t="shared" si="762"/>
        <v>0</v>
      </c>
      <c r="L2043" s="67">
        <f t="shared" si="763"/>
        <v>0</v>
      </c>
      <c r="M2043" s="77">
        <f t="shared" si="764"/>
        <v>0</v>
      </c>
      <c r="N2043" s="76">
        <f t="shared" si="765"/>
        <v>1.03</v>
      </c>
      <c r="O2043" s="77">
        <f t="shared" si="766"/>
        <v>0.909835886214442</v>
      </c>
      <c r="P2043" s="76">
        <f t="shared" si="767"/>
        <v>0.58333333333333337</v>
      </c>
      <c r="Q2043" s="76">
        <f t="shared" si="768"/>
        <v>0.41666666666666663</v>
      </c>
      <c r="R2043" s="76">
        <f t="shared" si="769"/>
        <v>0</v>
      </c>
      <c r="S2043" s="76">
        <f t="shared" si="770"/>
        <v>1.0186206117400818</v>
      </c>
      <c r="T2043" s="76">
        <f t="shared" si="771"/>
        <v>1.0186206117400818</v>
      </c>
      <c r="U2043" s="76">
        <f t="shared" si="772"/>
        <v>1.03</v>
      </c>
    </row>
    <row r="2044" spans="1:21" x14ac:dyDescent="0.25">
      <c r="A2044" s="71">
        <v>22</v>
      </c>
      <c r="B2044" s="72">
        <f t="shared" si="773"/>
        <v>46296</v>
      </c>
      <c r="C2044" s="73">
        <f t="shared" si="754"/>
        <v>46326</v>
      </c>
      <c r="D2044" s="67">
        <f t="shared" si="755"/>
        <v>31</v>
      </c>
      <c r="E2044" s="67">
        <f t="shared" si="756"/>
        <v>10</v>
      </c>
      <c r="F2044" s="74">
        <f t="shared" si="757"/>
        <v>46311.5</v>
      </c>
      <c r="G2044" s="67">
        <f t="shared" si="758"/>
        <v>24321</v>
      </c>
      <c r="H2044" s="75">
        <f t="shared" si="759"/>
        <v>1</v>
      </c>
      <c r="I2044" s="76">
        <f t="shared" si="760"/>
        <v>1.03</v>
      </c>
      <c r="J2044" s="76">
        <f t="shared" si="761"/>
        <v>1.03</v>
      </c>
      <c r="K2044" s="67">
        <f t="shared" si="762"/>
        <v>0</v>
      </c>
      <c r="L2044" s="67">
        <f t="shared" si="763"/>
        <v>0</v>
      </c>
      <c r="M2044" s="77">
        <f t="shared" si="764"/>
        <v>0</v>
      </c>
      <c r="N2044" s="76">
        <f t="shared" si="765"/>
        <v>1.03</v>
      </c>
      <c r="O2044" s="77">
        <f t="shared" si="766"/>
        <v>0.91016958424507666</v>
      </c>
      <c r="P2044" s="76">
        <f t="shared" si="767"/>
        <v>0.41666666666666669</v>
      </c>
      <c r="Q2044" s="76">
        <f t="shared" si="768"/>
        <v>0.58333333333333326</v>
      </c>
      <c r="R2044" s="76">
        <f t="shared" si="769"/>
        <v>0</v>
      </c>
      <c r="S2044" s="76">
        <f t="shared" si="770"/>
        <v>1.0189942084482924</v>
      </c>
      <c r="T2044" s="76">
        <f t="shared" si="771"/>
        <v>1.0189942084482924</v>
      </c>
      <c r="U2044" s="76">
        <f t="shared" si="772"/>
        <v>1.03</v>
      </c>
    </row>
    <row r="2045" spans="1:21" x14ac:dyDescent="0.25">
      <c r="A2045" s="71">
        <v>23</v>
      </c>
      <c r="B2045" s="72">
        <f t="shared" si="773"/>
        <v>46327</v>
      </c>
      <c r="C2045" s="73">
        <f t="shared" si="754"/>
        <v>46356</v>
      </c>
      <c r="D2045" s="67">
        <f t="shared" si="755"/>
        <v>30</v>
      </c>
      <c r="E2045" s="67">
        <f t="shared" si="756"/>
        <v>11</v>
      </c>
      <c r="F2045" s="74">
        <f t="shared" si="757"/>
        <v>46342</v>
      </c>
      <c r="G2045" s="67">
        <f t="shared" si="758"/>
        <v>24322</v>
      </c>
      <c r="H2045" s="75">
        <f t="shared" si="759"/>
        <v>1</v>
      </c>
      <c r="I2045" s="76">
        <f t="shared" si="760"/>
        <v>1.03</v>
      </c>
      <c r="J2045" s="76">
        <f t="shared" si="761"/>
        <v>1.03</v>
      </c>
      <c r="K2045" s="67">
        <f t="shared" si="762"/>
        <v>0</v>
      </c>
      <c r="L2045" s="67">
        <f t="shared" si="763"/>
        <v>0</v>
      </c>
      <c r="M2045" s="77">
        <f t="shared" si="764"/>
        <v>0</v>
      </c>
      <c r="N2045" s="76">
        <f t="shared" si="765"/>
        <v>1.03</v>
      </c>
      <c r="O2045" s="77">
        <f t="shared" si="766"/>
        <v>0.9105032822757112</v>
      </c>
      <c r="P2045" s="76">
        <f t="shared" si="767"/>
        <v>0.25</v>
      </c>
      <c r="Q2045" s="76">
        <f t="shared" si="768"/>
        <v>0.75</v>
      </c>
      <c r="R2045" s="76">
        <f t="shared" si="769"/>
        <v>0</v>
      </c>
      <c r="S2045" s="76">
        <f t="shared" si="770"/>
        <v>1.0193678051565027</v>
      </c>
      <c r="T2045" s="76">
        <f t="shared" si="771"/>
        <v>1.0193678051565027</v>
      </c>
      <c r="U2045" s="76">
        <f t="shared" si="772"/>
        <v>1.03</v>
      </c>
    </row>
    <row r="2046" spans="1:21" x14ac:dyDescent="0.25">
      <c r="A2046" s="71">
        <v>24</v>
      </c>
      <c r="B2046" s="72">
        <f t="shared" si="773"/>
        <v>46357</v>
      </c>
      <c r="C2046" s="73">
        <f t="shared" si="754"/>
        <v>46387</v>
      </c>
      <c r="D2046" s="67">
        <f t="shared" si="755"/>
        <v>31</v>
      </c>
      <c r="E2046" s="67">
        <f t="shared" si="756"/>
        <v>12</v>
      </c>
      <c r="F2046" s="74">
        <f t="shared" si="757"/>
        <v>46372.5</v>
      </c>
      <c r="G2046" s="67">
        <f t="shared" si="758"/>
        <v>24323</v>
      </c>
      <c r="H2046" s="75">
        <f t="shared" si="759"/>
        <v>1</v>
      </c>
      <c r="I2046" s="76">
        <f t="shared" si="760"/>
        <v>1.03</v>
      </c>
      <c r="J2046" s="76">
        <f t="shared" si="761"/>
        <v>1.03</v>
      </c>
      <c r="K2046" s="67">
        <f t="shared" si="762"/>
        <v>0</v>
      </c>
      <c r="L2046" s="67">
        <f t="shared" si="763"/>
        <v>0</v>
      </c>
      <c r="M2046" s="77">
        <f t="shared" si="764"/>
        <v>0</v>
      </c>
      <c r="N2046" s="76">
        <f t="shared" si="765"/>
        <v>1.03</v>
      </c>
      <c r="O2046" s="77">
        <f t="shared" si="766"/>
        <v>0.91083698030634574</v>
      </c>
      <c r="P2046" s="76">
        <f t="shared" si="767"/>
        <v>8.3333333333333329E-2</v>
      </c>
      <c r="Q2046" s="76">
        <f t="shared" si="768"/>
        <v>0.91666666666666663</v>
      </c>
      <c r="R2046" s="76">
        <f t="shared" si="769"/>
        <v>0</v>
      </c>
      <c r="S2046" s="76">
        <f t="shared" si="770"/>
        <v>1.0197414018647131</v>
      </c>
      <c r="T2046" s="76">
        <f t="shared" si="771"/>
        <v>1.0197414018647131</v>
      </c>
      <c r="U2046" s="76">
        <f t="shared" si="772"/>
        <v>1.03</v>
      </c>
    </row>
    <row r="2047" spans="1:21" x14ac:dyDescent="0.25">
      <c r="A2047" s="71">
        <v>25</v>
      </c>
      <c r="B2047" s="72">
        <f t="shared" si="773"/>
        <v>46388</v>
      </c>
      <c r="C2047" s="73">
        <f t="shared" si="754"/>
        <v>46418</v>
      </c>
      <c r="D2047" s="67">
        <f t="shared" si="755"/>
        <v>31</v>
      </c>
      <c r="E2047" s="67">
        <f t="shared" si="756"/>
        <v>1</v>
      </c>
      <c r="F2047" s="74">
        <f t="shared" si="757"/>
        <v>46403.5</v>
      </c>
      <c r="G2047" s="67">
        <f t="shared" si="758"/>
        <v>24324</v>
      </c>
      <c r="H2047" s="75">
        <f t="shared" si="759"/>
        <v>1</v>
      </c>
      <c r="I2047" s="76">
        <f t="shared" si="760"/>
        <v>1.03</v>
      </c>
      <c r="J2047" s="76">
        <f t="shared" si="761"/>
        <v>1.03</v>
      </c>
      <c r="K2047" s="67">
        <f t="shared" si="762"/>
        <v>0</v>
      </c>
      <c r="L2047" s="67">
        <f t="shared" si="763"/>
        <v>0</v>
      </c>
      <c r="M2047" s="77">
        <f t="shared" si="764"/>
        <v>0</v>
      </c>
      <c r="N2047" s="76">
        <f t="shared" si="765"/>
        <v>1.03</v>
      </c>
      <c r="O2047" s="77">
        <f t="shared" si="766"/>
        <v>0.91117614879649889</v>
      </c>
      <c r="P2047" s="76">
        <f t="shared" si="767"/>
        <v>0</v>
      </c>
      <c r="Q2047" s="76">
        <f t="shared" si="768"/>
        <v>1</v>
      </c>
      <c r="R2047" s="76">
        <f t="shared" si="769"/>
        <v>0</v>
      </c>
      <c r="S2047" s="76">
        <f t="shared" si="770"/>
        <v>1.0201211231091236</v>
      </c>
      <c r="T2047" s="76">
        <f t="shared" si="771"/>
        <v>1.0156502116829988</v>
      </c>
      <c r="U2047" s="76">
        <f t="shared" si="772"/>
        <v>1.03</v>
      </c>
    </row>
    <row r="2048" spans="1:21" x14ac:dyDescent="0.25">
      <c r="A2048" s="71">
        <v>26</v>
      </c>
      <c r="B2048" s="72">
        <f t="shared" si="773"/>
        <v>46419</v>
      </c>
      <c r="C2048" s="73">
        <f t="shared" si="754"/>
        <v>46446</v>
      </c>
      <c r="D2048" s="67">
        <f t="shared" si="755"/>
        <v>28</v>
      </c>
      <c r="E2048" s="67">
        <f t="shared" si="756"/>
        <v>2</v>
      </c>
      <c r="F2048" s="74">
        <f t="shared" si="757"/>
        <v>46433</v>
      </c>
      <c r="G2048" s="67">
        <f t="shared" si="758"/>
        <v>24325</v>
      </c>
      <c r="H2048" s="75">
        <f t="shared" si="759"/>
        <v>1</v>
      </c>
      <c r="I2048" s="76">
        <f t="shared" si="760"/>
        <v>1.03</v>
      </c>
      <c r="J2048" s="76">
        <f t="shared" si="761"/>
        <v>1.03</v>
      </c>
      <c r="K2048" s="67">
        <f t="shared" si="762"/>
        <v>0</v>
      </c>
      <c r="L2048" s="67">
        <f t="shared" si="763"/>
        <v>0</v>
      </c>
      <c r="M2048" s="77">
        <f t="shared" si="764"/>
        <v>0</v>
      </c>
      <c r="N2048" s="76">
        <f t="shared" si="765"/>
        <v>1.03</v>
      </c>
      <c r="O2048" s="77">
        <f t="shared" si="766"/>
        <v>0.91149890590809635</v>
      </c>
      <c r="P2048" s="76">
        <f t="shared" si="767"/>
        <v>0</v>
      </c>
      <c r="Q2048" s="76">
        <f t="shared" si="768"/>
        <v>1</v>
      </c>
      <c r="R2048" s="76">
        <f t="shared" si="769"/>
        <v>0</v>
      </c>
      <c r="S2048" s="76">
        <f t="shared" si="770"/>
        <v>1.0204824707449338</v>
      </c>
      <c r="T2048" s="76">
        <f t="shared" si="771"/>
        <v>1.016011559318809</v>
      </c>
      <c r="U2048" s="76">
        <f t="shared" si="772"/>
        <v>1.03</v>
      </c>
    </row>
    <row r="2049" spans="1:21" x14ac:dyDescent="0.25">
      <c r="A2049" s="71">
        <v>27</v>
      </c>
      <c r="B2049" s="72">
        <f t="shared" si="773"/>
        <v>46447</v>
      </c>
      <c r="C2049" s="73">
        <f t="shared" si="754"/>
        <v>46477</v>
      </c>
      <c r="D2049" s="67">
        <f t="shared" si="755"/>
        <v>31</v>
      </c>
      <c r="E2049" s="67">
        <f t="shared" si="756"/>
        <v>3</v>
      </c>
      <c r="F2049" s="74">
        <f t="shared" si="757"/>
        <v>46462.5</v>
      </c>
      <c r="G2049" s="67">
        <f t="shared" si="758"/>
        <v>24326</v>
      </c>
      <c r="H2049" s="75">
        <f t="shared" si="759"/>
        <v>1</v>
      </c>
      <c r="I2049" s="76">
        <f t="shared" si="760"/>
        <v>1.03</v>
      </c>
      <c r="J2049" s="76">
        <f t="shared" si="761"/>
        <v>1.03</v>
      </c>
      <c r="K2049" s="67">
        <f t="shared" si="762"/>
        <v>0</v>
      </c>
      <c r="L2049" s="67">
        <f t="shared" si="763"/>
        <v>0</v>
      </c>
      <c r="M2049" s="77">
        <f t="shared" si="764"/>
        <v>0</v>
      </c>
      <c r="N2049" s="76">
        <f t="shared" si="765"/>
        <v>1.03</v>
      </c>
      <c r="O2049" s="77">
        <f t="shared" si="766"/>
        <v>0.9118216630196937</v>
      </c>
      <c r="P2049" s="76">
        <f t="shared" si="767"/>
        <v>0</v>
      </c>
      <c r="Q2049" s="76">
        <f t="shared" si="768"/>
        <v>1</v>
      </c>
      <c r="R2049" s="76">
        <f t="shared" si="769"/>
        <v>0</v>
      </c>
      <c r="S2049" s="76">
        <f t="shared" si="770"/>
        <v>1.020843818380744</v>
      </c>
      <c r="T2049" s="76">
        <f t="shared" si="771"/>
        <v>1.016372906954619</v>
      </c>
      <c r="U2049" s="76">
        <f t="shared" si="772"/>
        <v>1.03</v>
      </c>
    </row>
    <row r="2050" spans="1:21" x14ac:dyDescent="0.25">
      <c r="A2050" s="71">
        <v>28</v>
      </c>
      <c r="B2050" s="72">
        <f t="shared" si="773"/>
        <v>46478</v>
      </c>
      <c r="C2050" s="73">
        <f t="shared" si="754"/>
        <v>46507</v>
      </c>
      <c r="D2050" s="67">
        <f t="shared" si="755"/>
        <v>30</v>
      </c>
      <c r="E2050" s="67">
        <f t="shared" si="756"/>
        <v>4</v>
      </c>
      <c r="F2050" s="74">
        <f t="shared" si="757"/>
        <v>46493</v>
      </c>
      <c r="G2050" s="67">
        <f t="shared" si="758"/>
        <v>24327</v>
      </c>
      <c r="H2050" s="75">
        <f t="shared" si="759"/>
        <v>1</v>
      </c>
      <c r="I2050" s="76">
        <f t="shared" si="760"/>
        <v>1.03</v>
      </c>
      <c r="J2050" s="76">
        <f t="shared" si="761"/>
        <v>1.03</v>
      </c>
      <c r="K2050" s="67">
        <f t="shared" si="762"/>
        <v>0</v>
      </c>
      <c r="L2050" s="67">
        <f t="shared" si="763"/>
        <v>0</v>
      </c>
      <c r="M2050" s="77">
        <f t="shared" si="764"/>
        <v>0</v>
      </c>
      <c r="N2050" s="76">
        <f t="shared" si="765"/>
        <v>1.03</v>
      </c>
      <c r="O2050" s="77">
        <f t="shared" si="766"/>
        <v>0.91215536105032824</v>
      </c>
      <c r="P2050" s="76">
        <f t="shared" si="767"/>
        <v>0</v>
      </c>
      <c r="Q2050" s="76">
        <f t="shared" si="768"/>
        <v>1</v>
      </c>
      <c r="R2050" s="76">
        <f t="shared" si="769"/>
        <v>0</v>
      </c>
      <c r="S2050" s="76">
        <f t="shared" si="770"/>
        <v>1.0212174150889544</v>
      </c>
      <c r="T2050" s="76">
        <f t="shared" si="771"/>
        <v>1.0167465036628294</v>
      </c>
      <c r="U2050" s="76">
        <f t="shared" si="772"/>
        <v>1.03</v>
      </c>
    </row>
    <row r="2051" spans="1:21" x14ac:dyDescent="0.25">
      <c r="A2051" s="71">
        <v>29</v>
      </c>
      <c r="B2051" s="72">
        <f t="shared" si="773"/>
        <v>46508</v>
      </c>
      <c r="C2051" s="73">
        <f t="shared" si="754"/>
        <v>46538</v>
      </c>
      <c r="D2051" s="67">
        <f t="shared" si="755"/>
        <v>31</v>
      </c>
      <c r="E2051" s="67">
        <f t="shared" si="756"/>
        <v>5</v>
      </c>
      <c r="F2051" s="74">
        <f t="shared" si="757"/>
        <v>46523.5</v>
      </c>
      <c r="G2051" s="67">
        <f t="shared" si="758"/>
        <v>24328</v>
      </c>
      <c r="H2051" s="75">
        <f t="shared" si="759"/>
        <v>1</v>
      </c>
      <c r="I2051" s="76">
        <f t="shared" si="760"/>
        <v>1.03</v>
      </c>
      <c r="J2051" s="76">
        <f t="shared" si="761"/>
        <v>1.03</v>
      </c>
      <c r="K2051" s="67">
        <f t="shared" si="762"/>
        <v>0</v>
      </c>
      <c r="L2051" s="67">
        <f t="shared" si="763"/>
        <v>0</v>
      </c>
      <c r="M2051" s="77">
        <f t="shared" si="764"/>
        <v>0</v>
      </c>
      <c r="N2051" s="76">
        <f t="shared" si="765"/>
        <v>1.03</v>
      </c>
      <c r="O2051" s="77">
        <f t="shared" si="766"/>
        <v>0.91248905908096278</v>
      </c>
      <c r="P2051" s="76">
        <f t="shared" si="767"/>
        <v>0</v>
      </c>
      <c r="Q2051" s="76">
        <f t="shared" si="768"/>
        <v>1</v>
      </c>
      <c r="R2051" s="76">
        <f t="shared" si="769"/>
        <v>0</v>
      </c>
      <c r="S2051" s="76">
        <f t="shared" si="770"/>
        <v>1.0215910117971649</v>
      </c>
      <c r="T2051" s="76">
        <f t="shared" si="771"/>
        <v>1.0171201003710397</v>
      </c>
      <c r="U2051" s="76">
        <f t="shared" si="772"/>
        <v>1.03</v>
      </c>
    </row>
    <row r="2052" spans="1:21" x14ac:dyDescent="0.25">
      <c r="A2052" s="71">
        <v>30</v>
      </c>
      <c r="B2052" s="72">
        <f t="shared" si="773"/>
        <v>46539</v>
      </c>
      <c r="C2052" s="73">
        <f t="shared" si="754"/>
        <v>46568</v>
      </c>
      <c r="D2052" s="67">
        <f t="shared" si="755"/>
        <v>30</v>
      </c>
      <c r="E2052" s="67">
        <f t="shared" si="756"/>
        <v>6</v>
      </c>
      <c r="F2052" s="74">
        <f t="shared" si="757"/>
        <v>46554</v>
      </c>
      <c r="G2052" s="67">
        <f t="shared" si="758"/>
        <v>24329</v>
      </c>
      <c r="H2052" s="75">
        <f t="shared" si="759"/>
        <v>1</v>
      </c>
      <c r="I2052" s="76">
        <f t="shared" si="760"/>
        <v>1.03</v>
      </c>
      <c r="J2052" s="76">
        <f t="shared" si="761"/>
        <v>1.03</v>
      </c>
      <c r="K2052" s="67">
        <f t="shared" si="762"/>
        <v>0</v>
      </c>
      <c r="L2052" s="67">
        <f t="shared" si="763"/>
        <v>0</v>
      </c>
      <c r="M2052" s="77">
        <f t="shared" si="764"/>
        <v>0</v>
      </c>
      <c r="N2052" s="76">
        <f t="shared" si="765"/>
        <v>1.03</v>
      </c>
      <c r="O2052" s="77">
        <f t="shared" si="766"/>
        <v>0.91282275711159744</v>
      </c>
      <c r="P2052" s="76">
        <f t="shared" si="767"/>
        <v>0</v>
      </c>
      <c r="Q2052" s="76">
        <f t="shared" si="768"/>
        <v>1</v>
      </c>
      <c r="R2052" s="76">
        <f t="shared" si="769"/>
        <v>0</v>
      </c>
      <c r="S2052" s="76">
        <f t="shared" si="770"/>
        <v>1.0219646085053753</v>
      </c>
      <c r="T2052" s="76">
        <f t="shared" si="771"/>
        <v>1.0174936970792503</v>
      </c>
      <c r="U2052" s="76">
        <f t="shared" si="772"/>
        <v>1.03</v>
      </c>
    </row>
    <row r="2053" spans="1:21" x14ac:dyDescent="0.25">
      <c r="A2053" s="71">
        <v>31</v>
      </c>
      <c r="B2053" s="72">
        <f t="shared" si="773"/>
        <v>46569</v>
      </c>
      <c r="C2053" s="73">
        <f t="shared" si="754"/>
        <v>46599</v>
      </c>
      <c r="D2053" s="67">
        <f t="shared" si="755"/>
        <v>31</v>
      </c>
      <c r="E2053" s="67">
        <f t="shared" si="756"/>
        <v>7</v>
      </c>
      <c r="F2053" s="74">
        <f t="shared" si="757"/>
        <v>46584.5</v>
      </c>
      <c r="G2053" s="67">
        <f t="shared" si="758"/>
        <v>24330</v>
      </c>
      <c r="H2053" s="75">
        <f t="shared" si="759"/>
        <v>1</v>
      </c>
      <c r="I2053" s="76">
        <f t="shared" si="760"/>
        <v>1.03</v>
      </c>
      <c r="J2053" s="76">
        <f t="shared" si="761"/>
        <v>1.03</v>
      </c>
      <c r="K2053" s="67">
        <f t="shared" si="762"/>
        <v>0</v>
      </c>
      <c r="L2053" s="67">
        <f t="shared" si="763"/>
        <v>0</v>
      </c>
      <c r="M2053" s="77">
        <f t="shared" si="764"/>
        <v>0</v>
      </c>
      <c r="N2053" s="76">
        <f t="shared" si="765"/>
        <v>1.03</v>
      </c>
      <c r="O2053" s="77">
        <f t="shared" si="766"/>
        <v>0.91315645514223198</v>
      </c>
      <c r="P2053" s="76">
        <f t="shared" si="767"/>
        <v>0</v>
      </c>
      <c r="Q2053" s="76">
        <f t="shared" si="768"/>
        <v>0.91666666666666663</v>
      </c>
      <c r="R2053" s="76">
        <f t="shared" si="769"/>
        <v>8.333333333333337E-2</v>
      </c>
      <c r="S2053" s="76">
        <f t="shared" si="770"/>
        <v>1.0223382052135859</v>
      </c>
      <c r="T2053" s="76">
        <f t="shared" si="771"/>
        <v>1.0178672937874609</v>
      </c>
      <c r="U2053" s="76">
        <f t="shared" si="772"/>
        <v>1.03</v>
      </c>
    </row>
    <row r="2054" spans="1:21" x14ac:dyDescent="0.25">
      <c r="A2054" s="71">
        <v>32</v>
      </c>
      <c r="B2054" s="72">
        <f t="shared" si="773"/>
        <v>46600</v>
      </c>
      <c r="C2054" s="73">
        <f t="shared" si="754"/>
        <v>46630</v>
      </c>
      <c r="D2054" s="67">
        <f t="shared" si="755"/>
        <v>31</v>
      </c>
      <c r="E2054" s="67">
        <f t="shared" si="756"/>
        <v>8</v>
      </c>
      <c r="F2054" s="74">
        <f t="shared" si="757"/>
        <v>46615.5</v>
      </c>
      <c r="G2054" s="67">
        <f t="shared" si="758"/>
        <v>24331</v>
      </c>
      <c r="H2054" s="75">
        <f t="shared" si="759"/>
        <v>1</v>
      </c>
      <c r="I2054" s="76">
        <f t="shared" si="760"/>
        <v>1.03</v>
      </c>
      <c r="J2054" s="76">
        <f t="shared" si="761"/>
        <v>1.03</v>
      </c>
      <c r="K2054" s="67">
        <f t="shared" si="762"/>
        <v>0</v>
      </c>
      <c r="L2054" s="67">
        <f t="shared" si="763"/>
        <v>0</v>
      </c>
      <c r="M2054" s="77">
        <f t="shared" si="764"/>
        <v>0</v>
      </c>
      <c r="N2054" s="76">
        <f t="shared" si="765"/>
        <v>1.03</v>
      </c>
      <c r="O2054" s="77">
        <f t="shared" si="766"/>
        <v>0.91349562363238512</v>
      </c>
      <c r="P2054" s="76">
        <f t="shared" si="767"/>
        <v>0</v>
      </c>
      <c r="Q2054" s="76">
        <f t="shared" si="768"/>
        <v>0.75</v>
      </c>
      <c r="R2054" s="76">
        <f t="shared" si="769"/>
        <v>0.25</v>
      </c>
      <c r="S2054" s="76">
        <f t="shared" si="770"/>
        <v>1.0227179264579964</v>
      </c>
      <c r="T2054" s="76">
        <f t="shared" si="771"/>
        <v>1.0182470150318714</v>
      </c>
      <c r="U2054" s="76">
        <f t="shared" si="772"/>
        <v>1.03</v>
      </c>
    </row>
    <row r="2055" spans="1:21" x14ac:dyDescent="0.25">
      <c r="A2055" s="71">
        <v>33</v>
      </c>
      <c r="B2055" s="72">
        <f t="shared" si="773"/>
        <v>46631</v>
      </c>
      <c r="C2055" s="73">
        <f t="shared" si="754"/>
        <v>46660</v>
      </c>
      <c r="D2055" s="67">
        <f t="shared" si="755"/>
        <v>30</v>
      </c>
      <c r="E2055" s="67">
        <f t="shared" si="756"/>
        <v>9</v>
      </c>
      <c r="F2055" s="74">
        <f t="shared" si="757"/>
        <v>46646</v>
      </c>
      <c r="G2055" s="67">
        <f t="shared" si="758"/>
        <v>24332</v>
      </c>
      <c r="H2055" s="75">
        <f t="shared" si="759"/>
        <v>1</v>
      </c>
      <c r="I2055" s="76">
        <f t="shared" si="760"/>
        <v>1.03</v>
      </c>
      <c r="J2055" s="76">
        <f t="shared" si="761"/>
        <v>1.03</v>
      </c>
      <c r="K2055" s="67">
        <f t="shared" si="762"/>
        <v>0</v>
      </c>
      <c r="L2055" s="67">
        <f t="shared" si="763"/>
        <v>0</v>
      </c>
      <c r="M2055" s="77">
        <f t="shared" si="764"/>
        <v>0</v>
      </c>
      <c r="N2055" s="76">
        <f t="shared" si="765"/>
        <v>1.03</v>
      </c>
      <c r="O2055" s="77">
        <f t="shared" si="766"/>
        <v>0.91382932166301978</v>
      </c>
      <c r="P2055" s="76">
        <f t="shared" si="767"/>
        <v>0</v>
      </c>
      <c r="Q2055" s="76">
        <f t="shared" si="768"/>
        <v>0.58333333333333337</v>
      </c>
      <c r="R2055" s="76">
        <f t="shared" si="769"/>
        <v>0.41666666666666663</v>
      </c>
      <c r="S2055" s="76">
        <f t="shared" si="770"/>
        <v>1.023091523166207</v>
      </c>
      <c r="T2055" s="76">
        <f t="shared" si="771"/>
        <v>1.0186206117400818</v>
      </c>
      <c r="U2055" s="76">
        <f t="shared" si="772"/>
        <v>1.03</v>
      </c>
    </row>
    <row r="2056" spans="1:21" x14ac:dyDescent="0.25">
      <c r="A2056" s="71">
        <v>34</v>
      </c>
      <c r="B2056" s="72">
        <f t="shared" si="773"/>
        <v>46661</v>
      </c>
      <c r="C2056" s="73">
        <f t="shared" si="754"/>
        <v>46691</v>
      </c>
      <c r="D2056" s="67">
        <f t="shared" si="755"/>
        <v>31</v>
      </c>
      <c r="E2056" s="67">
        <f t="shared" si="756"/>
        <v>10</v>
      </c>
      <c r="F2056" s="74">
        <f t="shared" si="757"/>
        <v>46676.5</v>
      </c>
      <c r="G2056" s="67">
        <f t="shared" si="758"/>
        <v>24333</v>
      </c>
      <c r="H2056" s="75">
        <f t="shared" si="759"/>
        <v>1</v>
      </c>
      <c r="I2056" s="76">
        <f t="shared" si="760"/>
        <v>1.03</v>
      </c>
      <c r="J2056" s="76">
        <f t="shared" si="761"/>
        <v>1.03</v>
      </c>
      <c r="K2056" s="67">
        <f t="shared" si="762"/>
        <v>0</v>
      </c>
      <c r="L2056" s="67">
        <f t="shared" si="763"/>
        <v>0</v>
      </c>
      <c r="M2056" s="77">
        <f t="shared" si="764"/>
        <v>0</v>
      </c>
      <c r="N2056" s="76">
        <f t="shared" si="765"/>
        <v>1.03</v>
      </c>
      <c r="O2056" s="77">
        <f t="shared" si="766"/>
        <v>0.91416301969365432</v>
      </c>
      <c r="P2056" s="76">
        <f t="shared" si="767"/>
        <v>0</v>
      </c>
      <c r="Q2056" s="76">
        <f t="shared" si="768"/>
        <v>0.41666666666666669</v>
      </c>
      <c r="R2056" s="76">
        <f t="shared" si="769"/>
        <v>0.58333333333333326</v>
      </c>
      <c r="S2056" s="76">
        <f t="shared" si="770"/>
        <v>1.0234651198744174</v>
      </c>
      <c r="T2056" s="76">
        <f t="shared" si="771"/>
        <v>1.0189942084482924</v>
      </c>
      <c r="U2056" s="76">
        <f t="shared" si="772"/>
        <v>1.03</v>
      </c>
    </row>
    <row r="2057" spans="1:21" x14ac:dyDescent="0.25">
      <c r="A2057" s="71">
        <v>35</v>
      </c>
      <c r="B2057" s="72">
        <f t="shared" si="773"/>
        <v>46692</v>
      </c>
      <c r="C2057" s="73">
        <f t="shared" si="754"/>
        <v>46721</v>
      </c>
      <c r="D2057" s="67">
        <f t="shared" si="755"/>
        <v>30</v>
      </c>
      <c r="E2057" s="67">
        <f t="shared" si="756"/>
        <v>11</v>
      </c>
      <c r="F2057" s="74">
        <f t="shared" si="757"/>
        <v>46707</v>
      </c>
      <c r="G2057" s="67">
        <f t="shared" si="758"/>
        <v>24334</v>
      </c>
      <c r="H2057" s="75">
        <f t="shared" si="759"/>
        <v>1</v>
      </c>
      <c r="I2057" s="76">
        <f t="shared" si="760"/>
        <v>1.03</v>
      </c>
      <c r="J2057" s="76">
        <f t="shared" si="761"/>
        <v>1.03</v>
      </c>
      <c r="K2057" s="67">
        <f t="shared" si="762"/>
        <v>0</v>
      </c>
      <c r="L2057" s="67">
        <f t="shared" si="763"/>
        <v>0</v>
      </c>
      <c r="M2057" s="77">
        <f t="shared" si="764"/>
        <v>0</v>
      </c>
      <c r="N2057" s="76">
        <f t="shared" si="765"/>
        <v>1.03</v>
      </c>
      <c r="O2057" s="77">
        <f t="shared" si="766"/>
        <v>0.91449671772428887</v>
      </c>
      <c r="P2057" s="76">
        <f t="shared" si="767"/>
        <v>0</v>
      </c>
      <c r="Q2057" s="76">
        <f t="shared" si="768"/>
        <v>0.25</v>
      </c>
      <c r="R2057" s="76">
        <f t="shared" si="769"/>
        <v>0.75</v>
      </c>
      <c r="S2057" s="76">
        <f t="shared" si="770"/>
        <v>1.0238387165826277</v>
      </c>
      <c r="T2057" s="76">
        <f t="shared" si="771"/>
        <v>1.0193678051565027</v>
      </c>
      <c r="U2057" s="76">
        <f t="shared" si="772"/>
        <v>1.03</v>
      </c>
    </row>
    <row r="2058" spans="1:21" x14ac:dyDescent="0.25">
      <c r="A2058" s="71">
        <v>36</v>
      </c>
      <c r="B2058" s="72">
        <f t="shared" si="773"/>
        <v>46722</v>
      </c>
      <c r="C2058" s="73">
        <f t="shared" si="754"/>
        <v>46752</v>
      </c>
      <c r="D2058" s="67">
        <f t="shared" si="755"/>
        <v>31</v>
      </c>
      <c r="E2058" s="67">
        <f t="shared" si="756"/>
        <v>12</v>
      </c>
      <c r="F2058" s="74">
        <f t="shared" si="757"/>
        <v>46737.5</v>
      </c>
      <c r="G2058" s="67">
        <f t="shared" si="758"/>
        <v>24335</v>
      </c>
      <c r="H2058" s="75">
        <f t="shared" si="759"/>
        <v>1</v>
      </c>
      <c r="I2058" s="76">
        <f t="shared" si="760"/>
        <v>1.03</v>
      </c>
      <c r="J2058" s="76">
        <f t="shared" si="761"/>
        <v>1.03</v>
      </c>
      <c r="K2058" s="67">
        <f t="shared" si="762"/>
        <v>0</v>
      </c>
      <c r="L2058" s="67">
        <f t="shared" si="763"/>
        <v>0</v>
      </c>
      <c r="M2058" s="77">
        <f t="shared" si="764"/>
        <v>0</v>
      </c>
      <c r="N2058" s="76">
        <f t="shared" si="765"/>
        <v>1.03</v>
      </c>
      <c r="O2058" s="77">
        <f t="shared" si="766"/>
        <v>0.91483041575492341</v>
      </c>
      <c r="P2058" s="76">
        <f t="shared" si="767"/>
        <v>0</v>
      </c>
      <c r="Q2058" s="76">
        <f t="shared" si="768"/>
        <v>8.3333333333333329E-2</v>
      </c>
      <c r="R2058" s="76">
        <f t="shared" si="769"/>
        <v>0.91666666666666663</v>
      </c>
      <c r="S2058" s="76">
        <f t="shared" si="770"/>
        <v>1.0242123132908383</v>
      </c>
      <c r="T2058" s="76">
        <f t="shared" si="771"/>
        <v>1.0197414018647131</v>
      </c>
      <c r="U2058" s="76">
        <f t="shared" si="772"/>
        <v>1.03</v>
      </c>
    </row>
    <row r="2059" spans="1:21" x14ac:dyDescent="0.25">
      <c r="A2059" s="71">
        <v>37</v>
      </c>
      <c r="B2059" s="72">
        <f t="shared" si="773"/>
        <v>46753</v>
      </c>
      <c r="C2059" s="73">
        <f t="shared" si="754"/>
        <v>46783</v>
      </c>
      <c r="D2059" s="67">
        <f t="shared" si="755"/>
        <v>31</v>
      </c>
      <c r="E2059" s="67">
        <f t="shared" si="756"/>
        <v>1</v>
      </c>
      <c r="F2059" s="74">
        <f t="shared" si="757"/>
        <v>46768.5</v>
      </c>
      <c r="G2059" s="67">
        <f t="shared" si="758"/>
        <v>24336</v>
      </c>
      <c r="H2059" s="75">
        <f t="shared" si="759"/>
        <v>1</v>
      </c>
      <c r="I2059" s="76">
        <f t="shared" si="760"/>
        <v>1.03</v>
      </c>
      <c r="J2059" s="76">
        <f t="shared" si="761"/>
        <v>1.03</v>
      </c>
      <c r="K2059" s="67">
        <f t="shared" si="762"/>
        <v>0</v>
      </c>
      <c r="L2059" s="67">
        <f t="shared" si="763"/>
        <v>0</v>
      </c>
      <c r="M2059" s="77">
        <f t="shared" si="764"/>
        <v>0</v>
      </c>
      <c r="N2059" s="76">
        <f t="shared" si="765"/>
        <v>1.03</v>
      </c>
      <c r="O2059" s="77">
        <f t="shared" si="766"/>
        <v>0.91500000000000004</v>
      </c>
      <c r="P2059" s="76">
        <f t="shared" si="767"/>
        <v>0</v>
      </c>
      <c r="Q2059" s="76">
        <f t="shared" si="768"/>
        <v>0</v>
      </c>
      <c r="R2059" s="76">
        <f t="shared" si="769"/>
        <v>1</v>
      </c>
      <c r="S2059" s="76">
        <f t="shared" si="770"/>
        <v>1.0244021739130436</v>
      </c>
      <c r="T2059" s="76">
        <f t="shared" si="771"/>
        <v>1.0156502116829988</v>
      </c>
      <c r="U2059" s="76">
        <f t="shared" si="772"/>
        <v>1.03</v>
      </c>
    </row>
    <row r="2060" spans="1:21" x14ac:dyDescent="0.25">
      <c r="A2060" s="71">
        <v>38</v>
      </c>
      <c r="B2060" s="72">
        <f t="shared" si="773"/>
        <v>46784</v>
      </c>
      <c r="C2060" s="73">
        <f t="shared" si="754"/>
        <v>46812</v>
      </c>
      <c r="D2060" s="67">
        <f t="shared" si="755"/>
        <v>29</v>
      </c>
      <c r="E2060" s="67">
        <f t="shared" si="756"/>
        <v>2</v>
      </c>
      <c r="F2060" s="74">
        <f t="shared" si="757"/>
        <v>46798.5</v>
      </c>
      <c r="G2060" s="67">
        <f t="shared" si="758"/>
        <v>24337</v>
      </c>
      <c r="H2060" s="75">
        <f t="shared" si="759"/>
        <v>1</v>
      </c>
      <c r="I2060" s="76">
        <f t="shared" si="760"/>
        <v>1.03</v>
      </c>
      <c r="J2060" s="76">
        <f t="shared" si="761"/>
        <v>1.03</v>
      </c>
      <c r="K2060" s="67">
        <f t="shared" si="762"/>
        <v>0</v>
      </c>
      <c r="L2060" s="67">
        <f t="shared" si="763"/>
        <v>0</v>
      </c>
      <c r="M2060" s="77">
        <f t="shared" si="764"/>
        <v>0</v>
      </c>
      <c r="N2060" s="76">
        <f t="shared" si="765"/>
        <v>1.03</v>
      </c>
      <c r="O2060" s="77">
        <f t="shared" si="766"/>
        <v>0.91500000000000004</v>
      </c>
      <c r="P2060" s="76">
        <f t="shared" si="767"/>
        <v>0</v>
      </c>
      <c r="Q2060" s="76">
        <f t="shared" si="768"/>
        <v>0</v>
      </c>
      <c r="R2060" s="76">
        <f t="shared" si="769"/>
        <v>1</v>
      </c>
      <c r="S2060" s="76">
        <f t="shared" si="770"/>
        <v>1.0244021739130436</v>
      </c>
      <c r="T2060" s="76">
        <f t="shared" si="771"/>
        <v>1.016011559318809</v>
      </c>
      <c r="U2060" s="76">
        <f t="shared" si="772"/>
        <v>1.03</v>
      </c>
    </row>
    <row r="2061" spans="1:21" x14ac:dyDescent="0.25">
      <c r="A2061" s="71">
        <v>39</v>
      </c>
      <c r="B2061" s="72">
        <f t="shared" si="773"/>
        <v>46813</v>
      </c>
      <c r="C2061" s="73">
        <f t="shared" si="754"/>
        <v>46843</v>
      </c>
      <c r="D2061" s="67">
        <f t="shared" si="755"/>
        <v>31</v>
      </c>
      <c r="E2061" s="67">
        <f t="shared" si="756"/>
        <v>3</v>
      </c>
      <c r="F2061" s="74">
        <f t="shared" si="757"/>
        <v>46828.5</v>
      </c>
      <c r="G2061" s="67">
        <f t="shared" si="758"/>
        <v>24338</v>
      </c>
      <c r="H2061" s="75">
        <f t="shared" si="759"/>
        <v>1</v>
      </c>
      <c r="I2061" s="76">
        <f t="shared" si="760"/>
        <v>1.03</v>
      </c>
      <c r="J2061" s="76">
        <f t="shared" si="761"/>
        <v>1.03</v>
      </c>
      <c r="K2061" s="67">
        <f t="shared" si="762"/>
        <v>0</v>
      </c>
      <c r="L2061" s="67">
        <f t="shared" si="763"/>
        <v>0</v>
      </c>
      <c r="M2061" s="77">
        <f t="shared" si="764"/>
        <v>0</v>
      </c>
      <c r="N2061" s="76">
        <f t="shared" si="765"/>
        <v>1.03</v>
      </c>
      <c r="O2061" s="77">
        <f t="shared" si="766"/>
        <v>0.91500000000000004</v>
      </c>
      <c r="P2061" s="76">
        <f t="shared" si="767"/>
        <v>0</v>
      </c>
      <c r="Q2061" s="76">
        <f t="shared" si="768"/>
        <v>0</v>
      </c>
      <c r="R2061" s="76">
        <f t="shared" si="769"/>
        <v>1</v>
      </c>
      <c r="S2061" s="76">
        <f t="shared" si="770"/>
        <v>1.0244021739130436</v>
      </c>
      <c r="T2061" s="76">
        <f t="shared" si="771"/>
        <v>1.016372906954619</v>
      </c>
      <c r="U2061" s="76">
        <f t="shared" si="772"/>
        <v>1.03</v>
      </c>
    </row>
    <row r="2062" spans="1:21" x14ac:dyDescent="0.25">
      <c r="A2062" s="71">
        <v>40</v>
      </c>
      <c r="B2062" s="72">
        <f t="shared" si="773"/>
        <v>46844</v>
      </c>
      <c r="C2062" s="73">
        <f t="shared" si="754"/>
        <v>46873</v>
      </c>
      <c r="D2062" s="67">
        <f t="shared" si="755"/>
        <v>30</v>
      </c>
      <c r="E2062" s="67">
        <f t="shared" si="756"/>
        <v>4</v>
      </c>
      <c r="F2062" s="74">
        <f t="shared" si="757"/>
        <v>46859</v>
      </c>
      <c r="G2062" s="67">
        <f t="shared" si="758"/>
        <v>24339</v>
      </c>
      <c r="H2062" s="75">
        <f t="shared" si="759"/>
        <v>1</v>
      </c>
      <c r="I2062" s="76">
        <f t="shared" si="760"/>
        <v>1.03</v>
      </c>
      <c r="J2062" s="76">
        <f t="shared" si="761"/>
        <v>1.03</v>
      </c>
      <c r="K2062" s="67">
        <f t="shared" si="762"/>
        <v>0</v>
      </c>
      <c r="L2062" s="67">
        <f t="shared" si="763"/>
        <v>0</v>
      </c>
      <c r="M2062" s="77">
        <f t="shared" si="764"/>
        <v>0</v>
      </c>
      <c r="N2062" s="76">
        <f t="shared" si="765"/>
        <v>1.03</v>
      </c>
      <c r="O2062" s="77">
        <f t="shared" si="766"/>
        <v>0.91500000000000004</v>
      </c>
      <c r="P2062" s="76">
        <f t="shared" si="767"/>
        <v>0</v>
      </c>
      <c r="Q2062" s="76">
        <f t="shared" si="768"/>
        <v>0</v>
      </c>
      <c r="R2062" s="76">
        <f t="shared" si="769"/>
        <v>1</v>
      </c>
      <c r="S2062" s="76">
        <f t="shared" si="770"/>
        <v>1.0244021739130436</v>
      </c>
      <c r="T2062" s="76">
        <f t="shared" si="771"/>
        <v>1.0167465036628294</v>
      </c>
      <c r="U2062" s="76">
        <f t="shared" si="772"/>
        <v>1.03</v>
      </c>
    </row>
    <row r="2063" spans="1:21" x14ac:dyDescent="0.25">
      <c r="A2063" s="71">
        <v>41</v>
      </c>
      <c r="B2063" s="72">
        <f t="shared" si="773"/>
        <v>46874</v>
      </c>
      <c r="C2063" s="73">
        <f t="shared" si="754"/>
        <v>46904</v>
      </c>
      <c r="D2063" s="67">
        <f t="shared" si="755"/>
        <v>31</v>
      </c>
      <c r="E2063" s="67">
        <f t="shared" si="756"/>
        <v>5</v>
      </c>
      <c r="F2063" s="74">
        <f t="shared" si="757"/>
        <v>46889.5</v>
      </c>
      <c r="G2063" s="67">
        <f t="shared" si="758"/>
        <v>24340</v>
      </c>
      <c r="H2063" s="75">
        <f t="shared" si="759"/>
        <v>1</v>
      </c>
      <c r="I2063" s="76">
        <f t="shared" si="760"/>
        <v>1.03</v>
      </c>
      <c r="J2063" s="76">
        <f t="shared" si="761"/>
        <v>1.03</v>
      </c>
      <c r="K2063" s="67">
        <f t="shared" si="762"/>
        <v>0</v>
      </c>
      <c r="L2063" s="67">
        <f t="shared" si="763"/>
        <v>0</v>
      </c>
      <c r="M2063" s="77">
        <f t="shared" si="764"/>
        <v>0</v>
      </c>
      <c r="N2063" s="76">
        <f t="shared" si="765"/>
        <v>1.03</v>
      </c>
      <c r="O2063" s="77">
        <f t="shared" si="766"/>
        <v>0.91500000000000004</v>
      </c>
      <c r="P2063" s="76">
        <f t="shared" si="767"/>
        <v>0</v>
      </c>
      <c r="Q2063" s="76">
        <f t="shared" si="768"/>
        <v>0</v>
      </c>
      <c r="R2063" s="76">
        <f t="shared" si="769"/>
        <v>1</v>
      </c>
      <c r="S2063" s="76">
        <f t="shared" si="770"/>
        <v>1.0244021739130436</v>
      </c>
      <c r="T2063" s="76">
        <f t="shared" si="771"/>
        <v>1.0171201003710397</v>
      </c>
      <c r="U2063" s="76">
        <f t="shared" si="772"/>
        <v>1.03</v>
      </c>
    </row>
    <row r="2064" spans="1:21" x14ac:dyDescent="0.25">
      <c r="A2064" s="71">
        <v>42</v>
      </c>
      <c r="B2064" s="72">
        <f t="shared" si="773"/>
        <v>46905</v>
      </c>
      <c r="C2064" s="73">
        <f t="shared" si="754"/>
        <v>46934</v>
      </c>
      <c r="D2064" s="67">
        <f t="shared" si="755"/>
        <v>30</v>
      </c>
      <c r="E2064" s="67">
        <f t="shared" si="756"/>
        <v>6</v>
      </c>
      <c r="F2064" s="74">
        <f t="shared" si="757"/>
        <v>46920</v>
      </c>
      <c r="G2064" s="67">
        <f t="shared" si="758"/>
        <v>24341</v>
      </c>
      <c r="H2064" s="75">
        <f t="shared" si="759"/>
        <v>1</v>
      </c>
      <c r="I2064" s="76">
        <f t="shared" si="760"/>
        <v>1.03</v>
      </c>
      <c r="J2064" s="76">
        <f t="shared" si="761"/>
        <v>1.03</v>
      </c>
      <c r="K2064" s="67">
        <f t="shared" si="762"/>
        <v>0</v>
      </c>
      <c r="L2064" s="67">
        <f t="shared" si="763"/>
        <v>0</v>
      </c>
      <c r="M2064" s="77">
        <f t="shared" si="764"/>
        <v>0</v>
      </c>
      <c r="N2064" s="76">
        <f t="shared" si="765"/>
        <v>1.03</v>
      </c>
      <c r="O2064" s="77">
        <f t="shared" si="766"/>
        <v>0.91500000000000004</v>
      </c>
      <c r="P2064" s="76">
        <f t="shared" si="767"/>
        <v>0</v>
      </c>
      <c r="Q2064" s="76">
        <f t="shared" si="768"/>
        <v>0</v>
      </c>
      <c r="R2064" s="76">
        <f t="shared" si="769"/>
        <v>1</v>
      </c>
      <c r="S2064" s="76">
        <f t="shared" si="770"/>
        <v>1.0244021739130436</v>
      </c>
      <c r="T2064" s="76">
        <f t="shared" si="771"/>
        <v>1.0174936970792503</v>
      </c>
      <c r="U2064" s="76">
        <f t="shared" si="772"/>
        <v>1.03</v>
      </c>
    </row>
    <row r="2065" spans="1:21" x14ac:dyDescent="0.25">
      <c r="A2065" s="71">
        <v>43</v>
      </c>
      <c r="B2065" s="72">
        <f t="shared" si="773"/>
        <v>46935</v>
      </c>
      <c r="C2065" s="73">
        <f t="shared" si="754"/>
        <v>46965</v>
      </c>
      <c r="D2065" s="67">
        <f t="shared" si="755"/>
        <v>31</v>
      </c>
      <c r="E2065" s="67">
        <f t="shared" si="756"/>
        <v>7</v>
      </c>
      <c r="F2065" s="74">
        <f t="shared" si="757"/>
        <v>46950.5</v>
      </c>
      <c r="G2065" s="67">
        <f t="shared" si="758"/>
        <v>24342</v>
      </c>
      <c r="H2065" s="75">
        <f t="shared" si="759"/>
        <v>1</v>
      </c>
      <c r="I2065" s="76">
        <f t="shared" si="760"/>
        <v>1.03</v>
      </c>
      <c r="J2065" s="76">
        <f t="shared" si="761"/>
        <v>1.03</v>
      </c>
      <c r="K2065" s="67">
        <f t="shared" si="762"/>
        <v>0</v>
      </c>
      <c r="L2065" s="67">
        <f t="shared" si="763"/>
        <v>0</v>
      </c>
      <c r="M2065" s="77">
        <f t="shared" si="764"/>
        <v>0</v>
      </c>
      <c r="N2065" s="76">
        <f t="shared" si="765"/>
        <v>1.03</v>
      </c>
      <c r="O2065" s="77">
        <f t="shared" si="766"/>
        <v>0.91500000000000004</v>
      </c>
      <c r="P2065" s="76">
        <f t="shared" si="767"/>
        <v>0</v>
      </c>
      <c r="Q2065" s="76">
        <f t="shared" si="768"/>
        <v>0</v>
      </c>
      <c r="R2065" s="76">
        <f t="shared" si="769"/>
        <v>0.91666666666666663</v>
      </c>
      <c r="S2065" s="76">
        <f t="shared" si="770"/>
        <v>1.0244021739130436</v>
      </c>
      <c r="T2065" s="76">
        <f t="shared" si="771"/>
        <v>1.0178672937874609</v>
      </c>
      <c r="U2065" s="76">
        <f t="shared" si="772"/>
        <v>1.03</v>
      </c>
    </row>
    <row r="2066" spans="1:21" x14ac:dyDescent="0.25">
      <c r="A2066" s="71">
        <v>44</v>
      </c>
      <c r="B2066" s="72">
        <f t="shared" si="773"/>
        <v>46966</v>
      </c>
      <c r="C2066" s="73">
        <f t="shared" si="754"/>
        <v>46996</v>
      </c>
      <c r="D2066" s="67">
        <f t="shared" si="755"/>
        <v>31</v>
      </c>
      <c r="E2066" s="67">
        <f t="shared" si="756"/>
        <v>8</v>
      </c>
      <c r="F2066" s="74">
        <f t="shared" si="757"/>
        <v>46981.5</v>
      </c>
      <c r="G2066" s="67">
        <f t="shared" si="758"/>
        <v>24343</v>
      </c>
      <c r="H2066" s="75">
        <f t="shared" si="759"/>
        <v>1</v>
      </c>
      <c r="I2066" s="76">
        <f t="shared" si="760"/>
        <v>1.03</v>
      </c>
      <c r="J2066" s="76">
        <f t="shared" si="761"/>
        <v>1.03</v>
      </c>
      <c r="K2066" s="67">
        <f t="shared" si="762"/>
        <v>0</v>
      </c>
      <c r="L2066" s="67">
        <f t="shared" si="763"/>
        <v>0</v>
      </c>
      <c r="M2066" s="77">
        <f t="shared" si="764"/>
        <v>0</v>
      </c>
      <c r="N2066" s="76">
        <f t="shared" si="765"/>
        <v>1.03</v>
      </c>
      <c r="O2066" s="77">
        <f t="shared" si="766"/>
        <v>0.91500000000000004</v>
      </c>
      <c r="P2066" s="76">
        <f t="shared" si="767"/>
        <v>0</v>
      </c>
      <c r="Q2066" s="76">
        <f t="shared" si="768"/>
        <v>0</v>
      </c>
      <c r="R2066" s="76">
        <f t="shared" si="769"/>
        <v>0.75</v>
      </c>
      <c r="S2066" s="76">
        <f t="shared" si="770"/>
        <v>1.0244021739130436</v>
      </c>
      <c r="T2066" s="76">
        <f t="shared" si="771"/>
        <v>1.0182470150318714</v>
      </c>
      <c r="U2066" s="76">
        <f t="shared" si="772"/>
        <v>1.03</v>
      </c>
    </row>
    <row r="2067" spans="1:21" x14ac:dyDescent="0.25">
      <c r="A2067" s="71">
        <v>45</v>
      </c>
      <c r="B2067" s="72">
        <f t="shared" si="773"/>
        <v>46997</v>
      </c>
      <c r="C2067" s="73">
        <f t="shared" si="754"/>
        <v>47026</v>
      </c>
      <c r="D2067" s="67">
        <f t="shared" si="755"/>
        <v>30</v>
      </c>
      <c r="E2067" s="67">
        <f t="shared" si="756"/>
        <v>9</v>
      </c>
      <c r="F2067" s="74">
        <f t="shared" si="757"/>
        <v>47012</v>
      </c>
      <c r="G2067" s="67">
        <f t="shared" si="758"/>
        <v>24344</v>
      </c>
      <c r="H2067" s="75">
        <f t="shared" si="759"/>
        <v>1</v>
      </c>
      <c r="I2067" s="76">
        <f t="shared" si="760"/>
        <v>1.03</v>
      </c>
      <c r="J2067" s="76">
        <f t="shared" si="761"/>
        <v>1.03</v>
      </c>
      <c r="K2067" s="67">
        <f t="shared" si="762"/>
        <v>0</v>
      </c>
      <c r="L2067" s="67">
        <f t="shared" si="763"/>
        <v>0</v>
      </c>
      <c r="M2067" s="77">
        <f t="shared" si="764"/>
        <v>0</v>
      </c>
      <c r="N2067" s="76">
        <f t="shared" si="765"/>
        <v>1.03</v>
      </c>
      <c r="O2067" s="77">
        <f t="shared" si="766"/>
        <v>0.91500000000000004</v>
      </c>
      <c r="P2067" s="76">
        <f t="shared" si="767"/>
        <v>0</v>
      </c>
      <c r="Q2067" s="76">
        <f t="shared" si="768"/>
        <v>0</v>
      </c>
      <c r="R2067" s="76">
        <f t="shared" si="769"/>
        <v>0.58333333333333337</v>
      </c>
      <c r="S2067" s="76">
        <f t="shared" si="770"/>
        <v>1.0244021739130436</v>
      </c>
      <c r="T2067" s="76">
        <f t="shared" si="771"/>
        <v>1.0186206117400818</v>
      </c>
      <c r="U2067" s="76">
        <f t="shared" si="772"/>
        <v>1.03</v>
      </c>
    </row>
    <row r="2068" spans="1:21" x14ac:dyDescent="0.25">
      <c r="A2068" s="71">
        <v>46</v>
      </c>
      <c r="B2068" s="72">
        <f t="shared" si="773"/>
        <v>47027</v>
      </c>
      <c r="C2068" s="73">
        <f t="shared" si="754"/>
        <v>47057</v>
      </c>
      <c r="D2068" s="67">
        <f t="shared" si="755"/>
        <v>31</v>
      </c>
      <c r="E2068" s="67">
        <f t="shared" si="756"/>
        <v>10</v>
      </c>
      <c r="F2068" s="74">
        <f t="shared" si="757"/>
        <v>47042.5</v>
      </c>
      <c r="G2068" s="67">
        <f t="shared" si="758"/>
        <v>24345</v>
      </c>
      <c r="H2068" s="75">
        <f t="shared" si="759"/>
        <v>1</v>
      </c>
      <c r="I2068" s="76">
        <f t="shared" si="760"/>
        <v>1.03</v>
      </c>
      <c r="J2068" s="76">
        <f t="shared" si="761"/>
        <v>1.03</v>
      </c>
      <c r="K2068" s="67">
        <f t="shared" si="762"/>
        <v>0</v>
      </c>
      <c r="L2068" s="67">
        <f t="shared" si="763"/>
        <v>0</v>
      </c>
      <c r="M2068" s="77">
        <f t="shared" si="764"/>
        <v>0</v>
      </c>
      <c r="N2068" s="76">
        <f t="shared" si="765"/>
        <v>1.03</v>
      </c>
      <c r="O2068" s="77">
        <f t="shared" si="766"/>
        <v>0.91500000000000004</v>
      </c>
      <c r="P2068" s="76">
        <f t="shared" si="767"/>
        <v>0</v>
      </c>
      <c r="Q2068" s="76">
        <f t="shared" si="768"/>
        <v>0</v>
      </c>
      <c r="R2068" s="76">
        <f t="shared" si="769"/>
        <v>0.41666666666666669</v>
      </c>
      <c r="S2068" s="76">
        <f t="shared" si="770"/>
        <v>1.0244021739130436</v>
      </c>
      <c r="T2068" s="76">
        <f t="shared" si="771"/>
        <v>1.0189942084482924</v>
      </c>
      <c r="U2068" s="76">
        <f t="shared" si="772"/>
        <v>1.03</v>
      </c>
    </row>
    <row r="2069" spans="1:21" x14ac:dyDescent="0.25">
      <c r="A2069" s="71">
        <v>47</v>
      </c>
      <c r="B2069" s="72">
        <f t="shared" si="773"/>
        <v>47058</v>
      </c>
      <c r="C2069" s="73">
        <f t="shared" si="754"/>
        <v>47087</v>
      </c>
      <c r="D2069" s="67">
        <f t="shared" si="755"/>
        <v>30</v>
      </c>
      <c r="E2069" s="67">
        <f t="shared" si="756"/>
        <v>11</v>
      </c>
      <c r="F2069" s="74">
        <f t="shared" si="757"/>
        <v>47073</v>
      </c>
      <c r="G2069" s="67">
        <f t="shared" si="758"/>
        <v>24346</v>
      </c>
      <c r="H2069" s="75">
        <f t="shared" si="759"/>
        <v>1</v>
      </c>
      <c r="I2069" s="76">
        <f t="shared" si="760"/>
        <v>1.03</v>
      </c>
      <c r="J2069" s="76">
        <f t="shared" si="761"/>
        <v>1.03</v>
      </c>
      <c r="K2069" s="67">
        <f t="shared" si="762"/>
        <v>0</v>
      </c>
      <c r="L2069" s="67">
        <f t="shared" si="763"/>
        <v>0</v>
      </c>
      <c r="M2069" s="77">
        <f t="shared" si="764"/>
        <v>0</v>
      </c>
      <c r="N2069" s="76">
        <f t="shared" si="765"/>
        <v>1.03</v>
      </c>
      <c r="O2069" s="77">
        <f t="shared" si="766"/>
        <v>0.91500000000000004</v>
      </c>
      <c r="P2069" s="76">
        <f t="shared" si="767"/>
        <v>0</v>
      </c>
      <c r="Q2069" s="76">
        <f t="shared" si="768"/>
        <v>0</v>
      </c>
      <c r="R2069" s="76">
        <f t="shared" si="769"/>
        <v>0.25</v>
      </c>
      <c r="S2069" s="76">
        <f t="shared" si="770"/>
        <v>1.0244021739130436</v>
      </c>
      <c r="T2069" s="76">
        <f t="shared" si="771"/>
        <v>1.0193678051565027</v>
      </c>
      <c r="U2069" s="76">
        <f t="shared" si="772"/>
        <v>1.03</v>
      </c>
    </row>
    <row r="2070" spans="1:21" x14ac:dyDescent="0.25">
      <c r="A2070" s="71">
        <v>48</v>
      </c>
      <c r="B2070" s="72">
        <f t="shared" si="773"/>
        <v>47088</v>
      </c>
      <c r="C2070" s="73">
        <f t="shared" si="754"/>
        <v>47118</v>
      </c>
      <c r="D2070" s="67">
        <f t="shared" si="755"/>
        <v>31</v>
      </c>
      <c r="E2070" s="67">
        <f t="shared" si="756"/>
        <v>12</v>
      </c>
      <c r="F2070" s="74">
        <f t="shared" si="757"/>
        <v>47103.5</v>
      </c>
      <c r="G2070" s="67">
        <f t="shared" si="758"/>
        <v>24347</v>
      </c>
      <c r="H2070" s="75">
        <f t="shared" si="759"/>
        <v>1</v>
      </c>
      <c r="I2070" s="76">
        <f t="shared" si="760"/>
        <v>1.03</v>
      </c>
      <c r="J2070" s="76">
        <f t="shared" si="761"/>
        <v>1.03</v>
      </c>
      <c r="K2070" s="67">
        <f t="shared" si="762"/>
        <v>0</v>
      </c>
      <c r="L2070" s="67">
        <f t="shared" si="763"/>
        <v>0</v>
      </c>
      <c r="M2070" s="77">
        <f t="shared" si="764"/>
        <v>0</v>
      </c>
      <c r="N2070" s="76">
        <f t="shared" si="765"/>
        <v>1.03</v>
      </c>
      <c r="O2070" s="77">
        <f t="shared" si="766"/>
        <v>0.91500000000000004</v>
      </c>
      <c r="P2070" s="76">
        <f t="shared" si="767"/>
        <v>0</v>
      </c>
      <c r="Q2070" s="76">
        <f t="shared" si="768"/>
        <v>0</v>
      </c>
      <c r="R2070" s="76">
        <f t="shared" si="769"/>
        <v>8.3333333333333329E-2</v>
      </c>
      <c r="S2070" s="76">
        <f t="shared" si="770"/>
        <v>1.0244021739130436</v>
      </c>
      <c r="T2070" s="76">
        <f t="shared" si="771"/>
        <v>1.0197414018647131</v>
      </c>
      <c r="U2070" s="76">
        <f t="shared" si="772"/>
        <v>1.03</v>
      </c>
    </row>
    <row r="2071" spans="1:21" x14ac:dyDescent="0.25">
      <c r="A2071" s="81" t="s">
        <v>1187</v>
      </c>
      <c r="B2071" s="53">
        <f>EXP(SUMPRODUCT((rl_key=$A$2020)*(rl_cons="Y")*rl_ln1p))</f>
        <v>1.03</v>
      </c>
      <c r="C2071" s="53">
        <f>SUMPRODUCT($H$2023:$H$2070,$P$2023:$P$2070,$U$2023:$U$2070)/SUMPRODUCT($H$2023:$H$2070,$P$2023:$P$2070)</f>
        <v>1.0225</v>
      </c>
      <c r="D2071" s="53">
        <f>SUMPRODUCT($H$2023:$H$2070,$Q$2023:$Q$2070,$U$2023:$U$2070)/SUMPRODUCT($H$2023:$H$2070,$Q$2023:$Q$2070)</f>
        <v>1.03</v>
      </c>
      <c r="E2071" s="53">
        <f>SUMPRODUCT($H$2023:$H$2070,$R$2023:$R$2070,$U$2023:$U$2070)/SUMPRODUCT($H$2023:$H$2070,$R$2023:$R$2070)</f>
        <v>1.03</v>
      </c>
      <c r="F2071" s="172">
        <f>SUMPRODUCT($H$2023:$H$2070,$Q$2023:$Q$2070,$O$2023:$O$2070)/SUMPRODUCT($H$2023:$H$2070,$Q$2023:$Q$2070)</f>
        <v>0.91199626185266247</v>
      </c>
      <c r="G2071" s="172">
        <f>SUMPRODUCT($H$2023:$H$2070,$R$2023:$R$2070,$O$2023:$O$2070)/SUMPRODUCT($H$2023:$H$2070,$R$2023:$R$2070)</f>
        <v>0.91483011184050556</v>
      </c>
    </row>
    <row r="2074" spans="1:21" x14ac:dyDescent="0.25">
      <c r="A2074" s="81" t="str">
        <f>INDEX(lr_key,38)</f>
        <v>BU-B|NY</v>
      </c>
      <c r="B2074" s="81" t="str">
        <f>INDEX(lr_state,38)</f>
        <v>NY</v>
      </c>
      <c r="C2074" s="55">
        <f>nr_TermMonths</f>
        <v>6</v>
      </c>
      <c r="D2074" s="55">
        <f>IF(COUNTIF(se_state,$B2074)=0,0,MATCH($B2074,se_state,0))</f>
        <v>0</v>
      </c>
      <c r="E2074" s="57">
        <f>IF($D2074=0,0,INDEX(se_sum,$D2074))</f>
        <v>0</v>
      </c>
      <c r="F2074" s="172">
        <f>IF(N(INDEX(lr_mind,38))=0,1,INDEX(lr_mind,38))</f>
        <v>0.92</v>
      </c>
      <c r="G2074" s="172">
        <f>IF(N(INDEX(lr_m0,38))=0,1,INDEX(lr_m0,38))</f>
        <v>0.91</v>
      </c>
      <c r="H2074" s="54">
        <f>IF(N(INDEX(lr_m0asof,38))=0,DATE(nr_PlanYear-1,10,1),INDEX(lr_m0asof,38))</f>
        <v>46295</v>
      </c>
      <c r="I2074" s="172">
        <f>IF(N(INDEX(lr_m1,38))=0,1,INDEX(lr_m1,38))</f>
        <v>0.93</v>
      </c>
      <c r="J2074" s="172">
        <f>INDEX(lr_mprior,38)</f>
        <v>0</v>
      </c>
      <c r="K2074" s="172">
        <f>INDEX(lr_m2,38)</f>
        <v>0</v>
      </c>
      <c r="L2074" s="81" t="b">
        <f>NOT(ISBLANK(INDEX(lr_netp,38)))</f>
        <v>0</v>
      </c>
      <c r="M2074" s="52">
        <f>N(INDEX(lr_netp,38))</f>
        <v>0</v>
      </c>
      <c r="N2074" s="52">
        <f>IF(ISBLANK(INDEX(lr_netp1,38)),$M$2074,N(INDEX(lr_netp1,38)))</f>
        <v>0</v>
      </c>
      <c r="O2074" s="55">
        <f>IF(AND(nr_ModAdjMaster="ON",INDEX(lr_modadj,38)="ON"),1,0)</f>
        <v>1</v>
      </c>
    </row>
    <row r="2075" spans="1:21" x14ac:dyDescent="0.25">
      <c r="A2075" s="81">
        <f>EDATE($H$2074,-12)+1</f>
        <v>45931</v>
      </c>
      <c r="B2075" s="81">
        <f>$H$2074+1</f>
        <v>46296</v>
      </c>
      <c r="C2075" s="81">
        <f>DATE(nr_PlanYear,12,31)+1</f>
        <v>46753</v>
      </c>
      <c r="D2075" s="81">
        <f>DATE(nr_PlanYear+1,12,31)+1</f>
        <v>47119</v>
      </c>
      <c r="E2075" s="81">
        <f>IF(N($J$2074)=0,$F$2075-($G$2075-$F$2075)/($C$2075-$B$2075)*($B$2075-$A$2075),$J$2074)</f>
        <v>0.89402625820568926</v>
      </c>
      <c r="F2075" s="81">
        <f>$G$2074</f>
        <v>0.91</v>
      </c>
      <c r="G2075" s="81">
        <f>$I$2074</f>
        <v>0.93</v>
      </c>
      <c r="H2075" s="81">
        <f>IF(N($K$2074)=0,$I$2074,$K$2074)</f>
        <v>0.93</v>
      </c>
      <c r="I2075" s="81">
        <f>($F$2075-$E$2075)/($B$2075-$A$2075)</f>
        <v>4.3763676148796628E-5</v>
      </c>
      <c r="J2075" s="81">
        <f>($G$2075-$F$2075)/($C$2075-$B$2075)</f>
        <v>4.376367614879654E-5</v>
      </c>
      <c r="K2075" s="81">
        <f>($H$2075-$G$2075)/($D$2075-$C$2075)</f>
        <v>0</v>
      </c>
    </row>
    <row r="2076" spans="1:21" ht="36" x14ac:dyDescent="0.25">
      <c r="A2076" s="50" t="s">
        <v>211</v>
      </c>
      <c r="B2076" s="50" t="s">
        <v>212</v>
      </c>
      <c r="C2076" s="50" t="s">
        <v>213</v>
      </c>
      <c r="D2076" s="50" t="s">
        <v>214</v>
      </c>
      <c r="E2076" s="50" t="s">
        <v>215</v>
      </c>
      <c r="F2076" s="50" t="s">
        <v>216</v>
      </c>
      <c r="G2076" s="50" t="s">
        <v>217</v>
      </c>
      <c r="H2076" s="50" t="s">
        <v>218</v>
      </c>
      <c r="I2076" s="50" t="s">
        <v>219</v>
      </c>
      <c r="J2076" s="50" t="s">
        <v>220</v>
      </c>
      <c r="K2076" s="50" t="s">
        <v>221</v>
      </c>
      <c r="L2076" s="50" t="s">
        <v>222</v>
      </c>
      <c r="M2076" s="50" t="s">
        <v>223</v>
      </c>
      <c r="N2076" s="50" t="s">
        <v>224</v>
      </c>
      <c r="O2076" s="50" t="s">
        <v>225</v>
      </c>
      <c r="P2076" s="50" t="s">
        <v>226</v>
      </c>
      <c r="Q2076" s="50" t="s">
        <v>227</v>
      </c>
      <c r="R2076" s="50" t="s">
        <v>228</v>
      </c>
      <c r="S2076" s="50" t="s">
        <v>229</v>
      </c>
      <c r="T2076" s="50" t="s">
        <v>230</v>
      </c>
      <c r="U2076" s="50" t="s">
        <v>231</v>
      </c>
    </row>
    <row r="2077" spans="1:21" x14ac:dyDescent="0.25">
      <c r="A2077" s="71">
        <v>1</v>
      </c>
      <c r="B2077" s="72">
        <f>DATE(nr_PlanYear-2,1,1)</f>
        <v>45658</v>
      </c>
      <c r="C2077" s="73">
        <f t="shared" ref="C2077:C2124" si="774">EOMONTH($B2077,0)</f>
        <v>45688</v>
      </c>
      <c r="D2077" s="67">
        <f t="shared" ref="D2077:D2124" si="775">$C2077-$B2077+1</f>
        <v>31</v>
      </c>
      <c r="E2077" s="67">
        <f t="shared" ref="E2077:E2124" si="776">MONTH($B2077)</f>
        <v>1</v>
      </c>
      <c r="F2077" s="74">
        <f t="shared" ref="F2077:F2124" si="777">($B2077+$C2077+1)/2</f>
        <v>45673.5</v>
      </c>
      <c r="G2077" s="67">
        <f t="shared" ref="G2077:G2124" si="778">YEAR($B2077)*12+MONTH($B2077)-1</f>
        <v>24300</v>
      </c>
      <c r="H2077" s="75">
        <f t="shared" ref="H2077:H2124" si="779">IF(OR(nr_SeasonOn="OFF",$D$2074=0,$E$2074=0),1,12*INDEX(se_block,$D$2074,$E2077)/$E$2074)</f>
        <v>1</v>
      </c>
      <c r="I2077" s="76">
        <f t="shared" ref="I2077:I2124" si="780">EXP(SUMPRODUCT((rl_eff&lt;$B2077)*(rl_key=$A$2074)*rl_ln1p))</f>
        <v>1</v>
      </c>
      <c r="J2077" s="76">
        <f t="shared" ref="J2077:J2124" si="781">EXP(SUMPRODUCT((rl_eff&lt;=$C2077)*(rl_key=$A$2074)*rl_ln1p))</f>
        <v>1</v>
      </c>
      <c r="K2077" s="67">
        <f t="shared" ref="K2077:K2124" si="782">COUNTIFS(rl_key,$A$2074,rl_eff,"&gt;="&amp;$B2077,rl_eff,"&lt;="&amp;$C2077)</f>
        <v>0</v>
      </c>
      <c r="L2077" s="67">
        <f t="shared" ref="L2077:L2124" si="783">SUMIFS(rl_daysafter,rl_key,$A$2074,rl_effmonth,$B2077,rl_first,1)</f>
        <v>0</v>
      </c>
      <c r="M2077" s="77">
        <f t="shared" ref="M2077:M2124" si="784">IF($K2077=0,0,MIN(1,$L2077/$D2077))</f>
        <v>0</v>
      </c>
      <c r="N2077" s="76">
        <f t="shared" ref="N2077:N2124" si="785">IF($K2077=0,$J2077,(1-$M2077)*$I2077+$M2077*$J2077)</f>
        <v>1</v>
      </c>
      <c r="O2077" s="77">
        <f t="shared" ref="O2077:O2124" si="786">IF($F2077&lt;$B$2075,$E$2075+$I$2075*($F2077-$A$2075),IF($F2077&lt;$C$2075,$F$2075+$J$2075*($F2077-$B$2075),$G$2075+$K$2075*($F2077-$C$2075)))</f>
        <v>0.88275711159737413</v>
      </c>
      <c r="P2077" s="76">
        <f t="shared" ref="P2077:P2124" si="787">MIN(1,MAX(0,(nr_MEndPm1-$G2077+0.5)/$C$2074))-MIN(1,MAX(0,(nr_MStartPm1-1-$G2077+0.5)/$C$2074))</f>
        <v>0</v>
      </c>
      <c r="Q2077" s="76">
        <f t="shared" ref="Q2077:Q2124" si="788">MIN(1,MAX(0,(nr_MEndP-$G2077+0.5)/$C$2074))-MIN(1,MAX(0,(nr_MStartP-1-$G2077+0.5)/$C$2074))</f>
        <v>0</v>
      </c>
      <c r="R2077" s="76">
        <f t="shared" ref="R2077:R2124" si="789">MIN(1,MAX(0,(nr_MEndP1-$G2077+0.5)/$C$2074))-MIN(1,MAX(0,(nr_MStartP1-1-$G2077+0.5)/$C$2074))</f>
        <v>0</v>
      </c>
      <c r="S2077" s="76">
        <f t="shared" ref="S2077:S2124" si="790">$N2077*IF($O$2074=1,$O2077/$F$2074,1)</f>
        <v>0.95951859956236318</v>
      </c>
      <c r="T2077" s="76">
        <f t="shared" ref="T2077:T2124" si="791">IF($G2077&lt;nr_MStartP,$S2077,$T2065*(1+IF($G2077&lt;nr_MStartP1,$M$2074,$N$2074)))</f>
        <v>0.95951859956236318</v>
      </c>
      <c r="U2077" s="76">
        <f t="shared" ref="U2077:U2124" si="792">IF($L$2074,$T2077,$N2077)</f>
        <v>1</v>
      </c>
    </row>
    <row r="2078" spans="1:21" x14ac:dyDescent="0.25">
      <c r="A2078" s="71">
        <v>2</v>
      </c>
      <c r="B2078" s="72">
        <f t="shared" ref="B2078:B2124" si="793">EDATE($B2077,1)</f>
        <v>45689</v>
      </c>
      <c r="C2078" s="73">
        <f t="shared" si="774"/>
        <v>45716</v>
      </c>
      <c r="D2078" s="67">
        <f t="shared" si="775"/>
        <v>28</v>
      </c>
      <c r="E2078" s="67">
        <f t="shared" si="776"/>
        <v>2</v>
      </c>
      <c r="F2078" s="74">
        <f t="shared" si="777"/>
        <v>45703</v>
      </c>
      <c r="G2078" s="67">
        <f t="shared" si="778"/>
        <v>24301</v>
      </c>
      <c r="H2078" s="75">
        <f t="shared" si="779"/>
        <v>1</v>
      </c>
      <c r="I2078" s="76">
        <f t="shared" si="780"/>
        <v>1</v>
      </c>
      <c r="J2078" s="76">
        <f t="shared" si="781"/>
        <v>1</v>
      </c>
      <c r="K2078" s="67">
        <f t="shared" si="782"/>
        <v>0</v>
      </c>
      <c r="L2078" s="67">
        <f t="shared" si="783"/>
        <v>0</v>
      </c>
      <c r="M2078" s="77">
        <f t="shared" si="784"/>
        <v>0</v>
      </c>
      <c r="N2078" s="76">
        <f t="shared" si="785"/>
        <v>1</v>
      </c>
      <c r="O2078" s="77">
        <f t="shared" si="786"/>
        <v>0.88404814004376364</v>
      </c>
      <c r="P2078" s="76">
        <f t="shared" si="787"/>
        <v>0</v>
      </c>
      <c r="Q2078" s="76">
        <f t="shared" si="788"/>
        <v>0</v>
      </c>
      <c r="R2078" s="76">
        <f t="shared" si="789"/>
        <v>0</v>
      </c>
      <c r="S2078" s="76">
        <f t="shared" si="790"/>
        <v>0.96092189135191697</v>
      </c>
      <c r="T2078" s="76">
        <f t="shared" si="791"/>
        <v>0.96092189135191697</v>
      </c>
      <c r="U2078" s="76">
        <f t="shared" si="792"/>
        <v>1</v>
      </c>
    </row>
    <row r="2079" spans="1:21" x14ac:dyDescent="0.25">
      <c r="A2079" s="71">
        <v>3</v>
      </c>
      <c r="B2079" s="72">
        <f t="shared" si="793"/>
        <v>45717</v>
      </c>
      <c r="C2079" s="73">
        <f t="shared" si="774"/>
        <v>45747</v>
      </c>
      <c r="D2079" s="67">
        <f t="shared" si="775"/>
        <v>31</v>
      </c>
      <c r="E2079" s="67">
        <f t="shared" si="776"/>
        <v>3</v>
      </c>
      <c r="F2079" s="74">
        <f t="shared" si="777"/>
        <v>45732.5</v>
      </c>
      <c r="G2079" s="67">
        <f t="shared" si="778"/>
        <v>24302</v>
      </c>
      <c r="H2079" s="75">
        <f t="shared" si="779"/>
        <v>1</v>
      </c>
      <c r="I2079" s="76">
        <f t="shared" si="780"/>
        <v>1</v>
      </c>
      <c r="J2079" s="76">
        <f t="shared" si="781"/>
        <v>1</v>
      </c>
      <c r="K2079" s="67">
        <f t="shared" si="782"/>
        <v>0</v>
      </c>
      <c r="L2079" s="67">
        <f t="shared" si="783"/>
        <v>0</v>
      </c>
      <c r="M2079" s="77">
        <f t="shared" si="784"/>
        <v>0</v>
      </c>
      <c r="N2079" s="76">
        <f t="shared" si="785"/>
        <v>1</v>
      </c>
      <c r="O2079" s="77">
        <f t="shared" si="786"/>
        <v>0.88533916849015315</v>
      </c>
      <c r="P2079" s="76">
        <f t="shared" si="787"/>
        <v>0</v>
      </c>
      <c r="Q2079" s="76">
        <f t="shared" si="788"/>
        <v>0</v>
      </c>
      <c r="R2079" s="76">
        <f t="shared" si="789"/>
        <v>0</v>
      </c>
      <c r="S2079" s="76">
        <f t="shared" si="790"/>
        <v>0.96232518314147075</v>
      </c>
      <c r="T2079" s="76">
        <f t="shared" si="791"/>
        <v>0.96232518314147075</v>
      </c>
      <c r="U2079" s="76">
        <f t="shared" si="792"/>
        <v>1</v>
      </c>
    </row>
    <row r="2080" spans="1:21" x14ac:dyDescent="0.25">
      <c r="A2080" s="71">
        <v>4</v>
      </c>
      <c r="B2080" s="72">
        <f t="shared" si="793"/>
        <v>45748</v>
      </c>
      <c r="C2080" s="73">
        <f t="shared" si="774"/>
        <v>45777</v>
      </c>
      <c r="D2080" s="67">
        <f t="shared" si="775"/>
        <v>30</v>
      </c>
      <c r="E2080" s="67">
        <f t="shared" si="776"/>
        <v>4</v>
      </c>
      <c r="F2080" s="74">
        <f t="shared" si="777"/>
        <v>45763</v>
      </c>
      <c r="G2080" s="67">
        <f t="shared" si="778"/>
        <v>24303</v>
      </c>
      <c r="H2080" s="75">
        <f t="shared" si="779"/>
        <v>1</v>
      </c>
      <c r="I2080" s="76">
        <f t="shared" si="780"/>
        <v>1</v>
      </c>
      <c r="J2080" s="76">
        <f t="shared" si="781"/>
        <v>1</v>
      </c>
      <c r="K2080" s="67">
        <f t="shared" si="782"/>
        <v>0</v>
      </c>
      <c r="L2080" s="67">
        <f t="shared" si="783"/>
        <v>0</v>
      </c>
      <c r="M2080" s="77">
        <f t="shared" si="784"/>
        <v>0</v>
      </c>
      <c r="N2080" s="76">
        <f t="shared" si="785"/>
        <v>1</v>
      </c>
      <c r="O2080" s="77">
        <f t="shared" si="786"/>
        <v>0.88667396061269144</v>
      </c>
      <c r="P2080" s="76">
        <f t="shared" si="787"/>
        <v>0</v>
      </c>
      <c r="Q2080" s="76">
        <f t="shared" si="788"/>
        <v>0</v>
      </c>
      <c r="R2080" s="76">
        <f t="shared" si="789"/>
        <v>0</v>
      </c>
      <c r="S2080" s="76">
        <f t="shared" si="790"/>
        <v>0.96377604414422979</v>
      </c>
      <c r="T2080" s="76">
        <f t="shared" si="791"/>
        <v>0.96377604414422979</v>
      </c>
      <c r="U2080" s="76">
        <f t="shared" si="792"/>
        <v>1</v>
      </c>
    </row>
    <row r="2081" spans="1:21" x14ac:dyDescent="0.25">
      <c r="A2081" s="71">
        <v>5</v>
      </c>
      <c r="B2081" s="72">
        <f t="shared" si="793"/>
        <v>45778</v>
      </c>
      <c r="C2081" s="73">
        <f t="shared" si="774"/>
        <v>45808</v>
      </c>
      <c r="D2081" s="67">
        <f t="shared" si="775"/>
        <v>31</v>
      </c>
      <c r="E2081" s="67">
        <f t="shared" si="776"/>
        <v>5</v>
      </c>
      <c r="F2081" s="74">
        <f t="shared" si="777"/>
        <v>45793.5</v>
      </c>
      <c r="G2081" s="67">
        <f t="shared" si="778"/>
        <v>24304</v>
      </c>
      <c r="H2081" s="75">
        <f t="shared" si="779"/>
        <v>1</v>
      </c>
      <c r="I2081" s="76">
        <f t="shared" si="780"/>
        <v>1</v>
      </c>
      <c r="J2081" s="76">
        <f t="shared" si="781"/>
        <v>1</v>
      </c>
      <c r="K2081" s="67">
        <f t="shared" si="782"/>
        <v>0</v>
      </c>
      <c r="L2081" s="67">
        <f t="shared" si="783"/>
        <v>0</v>
      </c>
      <c r="M2081" s="77">
        <f t="shared" si="784"/>
        <v>0</v>
      </c>
      <c r="N2081" s="76">
        <f t="shared" si="785"/>
        <v>1</v>
      </c>
      <c r="O2081" s="77">
        <f t="shared" si="786"/>
        <v>0.88800875273522972</v>
      </c>
      <c r="P2081" s="76">
        <f t="shared" si="787"/>
        <v>0</v>
      </c>
      <c r="Q2081" s="76">
        <f t="shared" si="788"/>
        <v>0</v>
      </c>
      <c r="R2081" s="76">
        <f t="shared" si="789"/>
        <v>0</v>
      </c>
      <c r="S2081" s="76">
        <f t="shared" si="790"/>
        <v>0.96522690514698883</v>
      </c>
      <c r="T2081" s="76">
        <f t="shared" si="791"/>
        <v>0.96522690514698883</v>
      </c>
      <c r="U2081" s="76">
        <f t="shared" si="792"/>
        <v>1</v>
      </c>
    </row>
    <row r="2082" spans="1:21" x14ac:dyDescent="0.25">
      <c r="A2082" s="71">
        <v>6</v>
      </c>
      <c r="B2082" s="72">
        <f t="shared" si="793"/>
        <v>45809</v>
      </c>
      <c r="C2082" s="73">
        <f t="shared" si="774"/>
        <v>45838</v>
      </c>
      <c r="D2082" s="67">
        <f t="shared" si="775"/>
        <v>30</v>
      </c>
      <c r="E2082" s="67">
        <f t="shared" si="776"/>
        <v>6</v>
      </c>
      <c r="F2082" s="74">
        <f t="shared" si="777"/>
        <v>45824</v>
      </c>
      <c r="G2082" s="67">
        <f t="shared" si="778"/>
        <v>24305</v>
      </c>
      <c r="H2082" s="75">
        <f t="shared" si="779"/>
        <v>1</v>
      </c>
      <c r="I2082" s="76">
        <f t="shared" si="780"/>
        <v>1</v>
      </c>
      <c r="J2082" s="76">
        <f t="shared" si="781"/>
        <v>1</v>
      </c>
      <c r="K2082" s="67">
        <f t="shared" si="782"/>
        <v>0</v>
      </c>
      <c r="L2082" s="67">
        <f t="shared" si="783"/>
        <v>0</v>
      </c>
      <c r="M2082" s="77">
        <f t="shared" si="784"/>
        <v>0</v>
      </c>
      <c r="N2082" s="76">
        <f t="shared" si="785"/>
        <v>1</v>
      </c>
      <c r="O2082" s="77">
        <f t="shared" si="786"/>
        <v>0.88934354485776801</v>
      </c>
      <c r="P2082" s="76">
        <f t="shared" si="787"/>
        <v>0</v>
      </c>
      <c r="Q2082" s="76">
        <f t="shared" si="788"/>
        <v>0</v>
      </c>
      <c r="R2082" s="76">
        <f t="shared" si="789"/>
        <v>0</v>
      </c>
      <c r="S2082" s="76">
        <f t="shared" si="790"/>
        <v>0.96667776614974776</v>
      </c>
      <c r="T2082" s="76">
        <f t="shared" si="791"/>
        <v>0.96667776614974776</v>
      </c>
      <c r="U2082" s="76">
        <f t="shared" si="792"/>
        <v>1</v>
      </c>
    </row>
    <row r="2083" spans="1:21" x14ac:dyDescent="0.25">
      <c r="A2083" s="71">
        <v>7</v>
      </c>
      <c r="B2083" s="72">
        <f t="shared" si="793"/>
        <v>45839</v>
      </c>
      <c r="C2083" s="73">
        <f t="shared" si="774"/>
        <v>45869</v>
      </c>
      <c r="D2083" s="67">
        <f t="shared" si="775"/>
        <v>31</v>
      </c>
      <c r="E2083" s="67">
        <f t="shared" si="776"/>
        <v>7</v>
      </c>
      <c r="F2083" s="74">
        <f t="shared" si="777"/>
        <v>45854.5</v>
      </c>
      <c r="G2083" s="67">
        <f t="shared" si="778"/>
        <v>24306</v>
      </c>
      <c r="H2083" s="75">
        <f t="shared" si="779"/>
        <v>1</v>
      </c>
      <c r="I2083" s="76">
        <f t="shared" si="780"/>
        <v>1</v>
      </c>
      <c r="J2083" s="76">
        <f t="shared" si="781"/>
        <v>1</v>
      </c>
      <c r="K2083" s="67">
        <f t="shared" si="782"/>
        <v>0</v>
      </c>
      <c r="L2083" s="67">
        <f t="shared" si="783"/>
        <v>0</v>
      </c>
      <c r="M2083" s="77">
        <f t="shared" si="784"/>
        <v>0</v>
      </c>
      <c r="N2083" s="76">
        <f t="shared" si="785"/>
        <v>1</v>
      </c>
      <c r="O2083" s="77">
        <f t="shared" si="786"/>
        <v>0.8906783369803063</v>
      </c>
      <c r="P2083" s="76">
        <f t="shared" si="787"/>
        <v>8.333333333333337E-2</v>
      </c>
      <c r="Q2083" s="76">
        <f t="shared" si="788"/>
        <v>0</v>
      </c>
      <c r="R2083" s="76">
        <f t="shared" si="789"/>
        <v>0</v>
      </c>
      <c r="S2083" s="76">
        <f t="shared" si="790"/>
        <v>0.9681286271525068</v>
      </c>
      <c r="T2083" s="76">
        <f t="shared" si="791"/>
        <v>0.9681286271525068</v>
      </c>
      <c r="U2083" s="76">
        <f t="shared" si="792"/>
        <v>1</v>
      </c>
    </row>
    <row r="2084" spans="1:21" x14ac:dyDescent="0.25">
      <c r="A2084" s="71">
        <v>8</v>
      </c>
      <c r="B2084" s="72">
        <f t="shared" si="793"/>
        <v>45870</v>
      </c>
      <c r="C2084" s="73">
        <f t="shared" si="774"/>
        <v>45900</v>
      </c>
      <c r="D2084" s="67">
        <f t="shared" si="775"/>
        <v>31</v>
      </c>
      <c r="E2084" s="67">
        <f t="shared" si="776"/>
        <v>8</v>
      </c>
      <c r="F2084" s="74">
        <f t="shared" si="777"/>
        <v>45885.5</v>
      </c>
      <c r="G2084" s="67">
        <f t="shared" si="778"/>
        <v>24307</v>
      </c>
      <c r="H2084" s="75">
        <f t="shared" si="779"/>
        <v>1</v>
      </c>
      <c r="I2084" s="76">
        <f t="shared" si="780"/>
        <v>1</v>
      </c>
      <c r="J2084" s="76">
        <f t="shared" si="781"/>
        <v>1</v>
      </c>
      <c r="K2084" s="67">
        <f t="shared" si="782"/>
        <v>0</v>
      </c>
      <c r="L2084" s="67">
        <f t="shared" si="783"/>
        <v>0</v>
      </c>
      <c r="M2084" s="77">
        <f t="shared" si="784"/>
        <v>0</v>
      </c>
      <c r="N2084" s="76">
        <f t="shared" si="785"/>
        <v>1</v>
      </c>
      <c r="O2084" s="77">
        <f t="shared" si="786"/>
        <v>0.89203501094091897</v>
      </c>
      <c r="P2084" s="76">
        <f t="shared" si="787"/>
        <v>0.25</v>
      </c>
      <c r="Q2084" s="76">
        <f t="shared" si="788"/>
        <v>0</v>
      </c>
      <c r="R2084" s="76">
        <f t="shared" si="789"/>
        <v>0</v>
      </c>
      <c r="S2084" s="76">
        <f t="shared" si="790"/>
        <v>0.96960327276186842</v>
      </c>
      <c r="T2084" s="76">
        <f t="shared" si="791"/>
        <v>0.96960327276186842</v>
      </c>
      <c r="U2084" s="76">
        <f t="shared" si="792"/>
        <v>1</v>
      </c>
    </row>
    <row r="2085" spans="1:21" x14ac:dyDescent="0.25">
      <c r="A2085" s="71">
        <v>9</v>
      </c>
      <c r="B2085" s="72">
        <f t="shared" si="793"/>
        <v>45901</v>
      </c>
      <c r="C2085" s="73">
        <f t="shared" si="774"/>
        <v>45930</v>
      </c>
      <c r="D2085" s="67">
        <f t="shared" si="775"/>
        <v>30</v>
      </c>
      <c r="E2085" s="67">
        <f t="shared" si="776"/>
        <v>9</v>
      </c>
      <c r="F2085" s="74">
        <f t="shared" si="777"/>
        <v>45916</v>
      </c>
      <c r="G2085" s="67">
        <f t="shared" si="778"/>
        <v>24308</v>
      </c>
      <c r="H2085" s="75">
        <f t="shared" si="779"/>
        <v>1</v>
      </c>
      <c r="I2085" s="76">
        <f t="shared" si="780"/>
        <v>1</v>
      </c>
      <c r="J2085" s="76">
        <f t="shared" si="781"/>
        <v>1</v>
      </c>
      <c r="K2085" s="67">
        <f t="shared" si="782"/>
        <v>0</v>
      </c>
      <c r="L2085" s="67">
        <f t="shared" si="783"/>
        <v>0</v>
      </c>
      <c r="M2085" s="77">
        <f t="shared" si="784"/>
        <v>0</v>
      </c>
      <c r="N2085" s="76">
        <f t="shared" si="785"/>
        <v>1</v>
      </c>
      <c r="O2085" s="77">
        <f t="shared" si="786"/>
        <v>0.89336980306345726</v>
      </c>
      <c r="P2085" s="76">
        <f t="shared" si="787"/>
        <v>0.41666666666666663</v>
      </c>
      <c r="Q2085" s="76">
        <f t="shared" si="788"/>
        <v>0</v>
      </c>
      <c r="R2085" s="76">
        <f t="shared" si="789"/>
        <v>0</v>
      </c>
      <c r="S2085" s="76">
        <f t="shared" si="790"/>
        <v>0.97105413376462746</v>
      </c>
      <c r="T2085" s="76">
        <f t="shared" si="791"/>
        <v>0.97105413376462746</v>
      </c>
      <c r="U2085" s="76">
        <f t="shared" si="792"/>
        <v>1</v>
      </c>
    </row>
    <row r="2086" spans="1:21" x14ac:dyDescent="0.25">
      <c r="A2086" s="71">
        <v>10</v>
      </c>
      <c r="B2086" s="72">
        <f t="shared" si="793"/>
        <v>45931</v>
      </c>
      <c r="C2086" s="73">
        <f t="shared" si="774"/>
        <v>45961</v>
      </c>
      <c r="D2086" s="67">
        <f t="shared" si="775"/>
        <v>31</v>
      </c>
      <c r="E2086" s="67">
        <f t="shared" si="776"/>
        <v>10</v>
      </c>
      <c r="F2086" s="74">
        <f t="shared" si="777"/>
        <v>45946.5</v>
      </c>
      <c r="G2086" s="67">
        <f t="shared" si="778"/>
        <v>24309</v>
      </c>
      <c r="H2086" s="75">
        <f t="shared" si="779"/>
        <v>1</v>
      </c>
      <c r="I2086" s="76">
        <f t="shared" si="780"/>
        <v>1</v>
      </c>
      <c r="J2086" s="76">
        <f t="shared" si="781"/>
        <v>1</v>
      </c>
      <c r="K2086" s="67">
        <f t="shared" si="782"/>
        <v>0</v>
      </c>
      <c r="L2086" s="67">
        <f t="shared" si="783"/>
        <v>0</v>
      </c>
      <c r="M2086" s="77">
        <f t="shared" si="784"/>
        <v>0</v>
      </c>
      <c r="N2086" s="76">
        <f t="shared" si="785"/>
        <v>1</v>
      </c>
      <c r="O2086" s="77">
        <f t="shared" si="786"/>
        <v>0.89470459518599565</v>
      </c>
      <c r="P2086" s="76">
        <f t="shared" si="787"/>
        <v>0.58333333333333326</v>
      </c>
      <c r="Q2086" s="76">
        <f t="shared" si="788"/>
        <v>0</v>
      </c>
      <c r="R2086" s="76">
        <f t="shared" si="789"/>
        <v>0</v>
      </c>
      <c r="S2086" s="76">
        <f t="shared" si="790"/>
        <v>0.9725049947673865</v>
      </c>
      <c r="T2086" s="76">
        <f t="shared" si="791"/>
        <v>0.9725049947673865</v>
      </c>
      <c r="U2086" s="76">
        <f t="shared" si="792"/>
        <v>1</v>
      </c>
    </row>
    <row r="2087" spans="1:21" x14ac:dyDescent="0.25">
      <c r="A2087" s="71">
        <v>11</v>
      </c>
      <c r="B2087" s="72">
        <f t="shared" si="793"/>
        <v>45962</v>
      </c>
      <c r="C2087" s="73">
        <f t="shared" si="774"/>
        <v>45991</v>
      </c>
      <c r="D2087" s="67">
        <f t="shared" si="775"/>
        <v>30</v>
      </c>
      <c r="E2087" s="67">
        <f t="shared" si="776"/>
        <v>11</v>
      </c>
      <c r="F2087" s="74">
        <f t="shared" si="777"/>
        <v>45977</v>
      </c>
      <c r="G2087" s="67">
        <f t="shared" si="778"/>
        <v>24310</v>
      </c>
      <c r="H2087" s="75">
        <f t="shared" si="779"/>
        <v>1</v>
      </c>
      <c r="I2087" s="76">
        <f t="shared" si="780"/>
        <v>1</v>
      </c>
      <c r="J2087" s="76">
        <f t="shared" si="781"/>
        <v>1</v>
      </c>
      <c r="K2087" s="67">
        <f t="shared" si="782"/>
        <v>0</v>
      </c>
      <c r="L2087" s="67">
        <f t="shared" si="783"/>
        <v>0</v>
      </c>
      <c r="M2087" s="77">
        <f t="shared" si="784"/>
        <v>0</v>
      </c>
      <c r="N2087" s="76">
        <f t="shared" si="785"/>
        <v>1</v>
      </c>
      <c r="O2087" s="77">
        <f t="shared" si="786"/>
        <v>0.89603938730853394</v>
      </c>
      <c r="P2087" s="76">
        <f t="shared" si="787"/>
        <v>0.75</v>
      </c>
      <c r="Q2087" s="76">
        <f t="shared" si="788"/>
        <v>0</v>
      </c>
      <c r="R2087" s="76">
        <f t="shared" si="789"/>
        <v>0</v>
      </c>
      <c r="S2087" s="76">
        <f t="shared" si="790"/>
        <v>0.97395585577014554</v>
      </c>
      <c r="T2087" s="76">
        <f t="shared" si="791"/>
        <v>0.97395585577014554</v>
      </c>
      <c r="U2087" s="76">
        <f t="shared" si="792"/>
        <v>1</v>
      </c>
    </row>
    <row r="2088" spans="1:21" x14ac:dyDescent="0.25">
      <c r="A2088" s="71">
        <v>12</v>
      </c>
      <c r="B2088" s="72">
        <f t="shared" si="793"/>
        <v>45992</v>
      </c>
      <c r="C2088" s="73">
        <f t="shared" si="774"/>
        <v>46022</v>
      </c>
      <c r="D2088" s="67">
        <f t="shared" si="775"/>
        <v>31</v>
      </c>
      <c r="E2088" s="67">
        <f t="shared" si="776"/>
        <v>12</v>
      </c>
      <c r="F2088" s="74">
        <f t="shared" si="777"/>
        <v>46007.5</v>
      </c>
      <c r="G2088" s="67">
        <f t="shared" si="778"/>
        <v>24311</v>
      </c>
      <c r="H2088" s="75">
        <f t="shared" si="779"/>
        <v>1</v>
      </c>
      <c r="I2088" s="76">
        <f t="shared" si="780"/>
        <v>1</v>
      </c>
      <c r="J2088" s="76">
        <f t="shared" si="781"/>
        <v>1</v>
      </c>
      <c r="K2088" s="67">
        <f t="shared" si="782"/>
        <v>0</v>
      </c>
      <c r="L2088" s="67">
        <f t="shared" si="783"/>
        <v>0</v>
      </c>
      <c r="M2088" s="77">
        <f t="shared" si="784"/>
        <v>0</v>
      </c>
      <c r="N2088" s="76">
        <f t="shared" si="785"/>
        <v>1</v>
      </c>
      <c r="O2088" s="77">
        <f t="shared" si="786"/>
        <v>0.89737417943107223</v>
      </c>
      <c r="P2088" s="76">
        <f t="shared" si="787"/>
        <v>0.91666666666666663</v>
      </c>
      <c r="Q2088" s="76">
        <f t="shared" si="788"/>
        <v>0</v>
      </c>
      <c r="R2088" s="76">
        <f t="shared" si="789"/>
        <v>0</v>
      </c>
      <c r="S2088" s="76">
        <f t="shared" si="790"/>
        <v>0.97540671677290458</v>
      </c>
      <c r="T2088" s="76">
        <f t="shared" si="791"/>
        <v>0.97540671677290458</v>
      </c>
      <c r="U2088" s="76">
        <f t="shared" si="792"/>
        <v>1</v>
      </c>
    </row>
    <row r="2089" spans="1:21" x14ac:dyDescent="0.25">
      <c r="A2089" s="71">
        <v>13</v>
      </c>
      <c r="B2089" s="72">
        <f t="shared" si="793"/>
        <v>46023</v>
      </c>
      <c r="C2089" s="73">
        <f t="shared" si="774"/>
        <v>46053</v>
      </c>
      <c r="D2089" s="67">
        <f t="shared" si="775"/>
        <v>31</v>
      </c>
      <c r="E2089" s="67">
        <f t="shared" si="776"/>
        <v>1</v>
      </c>
      <c r="F2089" s="74">
        <f t="shared" si="777"/>
        <v>46038.5</v>
      </c>
      <c r="G2089" s="67">
        <f t="shared" si="778"/>
        <v>24312</v>
      </c>
      <c r="H2089" s="75">
        <f t="shared" si="779"/>
        <v>1</v>
      </c>
      <c r="I2089" s="76">
        <f t="shared" si="780"/>
        <v>1</v>
      </c>
      <c r="J2089" s="76">
        <f t="shared" si="781"/>
        <v>1</v>
      </c>
      <c r="K2089" s="67">
        <f t="shared" si="782"/>
        <v>0</v>
      </c>
      <c r="L2089" s="67">
        <f t="shared" si="783"/>
        <v>0</v>
      </c>
      <c r="M2089" s="77">
        <f t="shared" si="784"/>
        <v>0</v>
      </c>
      <c r="N2089" s="76">
        <f t="shared" si="785"/>
        <v>1</v>
      </c>
      <c r="O2089" s="77">
        <f t="shared" si="786"/>
        <v>0.8987308533916849</v>
      </c>
      <c r="P2089" s="76">
        <f t="shared" si="787"/>
        <v>1</v>
      </c>
      <c r="Q2089" s="76">
        <f t="shared" si="788"/>
        <v>0</v>
      </c>
      <c r="R2089" s="76">
        <f t="shared" si="789"/>
        <v>0</v>
      </c>
      <c r="S2089" s="76">
        <f t="shared" si="790"/>
        <v>0.97688136238226619</v>
      </c>
      <c r="T2089" s="76">
        <f t="shared" si="791"/>
        <v>0.97688136238226619</v>
      </c>
      <c r="U2089" s="76">
        <f t="shared" si="792"/>
        <v>1</v>
      </c>
    </row>
    <row r="2090" spans="1:21" x14ac:dyDescent="0.25">
      <c r="A2090" s="71">
        <v>14</v>
      </c>
      <c r="B2090" s="72">
        <f t="shared" si="793"/>
        <v>46054</v>
      </c>
      <c r="C2090" s="73">
        <f t="shared" si="774"/>
        <v>46081</v>
      </c>
      <c r="D2090" s="67">
        <f t="shared" si="775"/>
        <v>28</v>
      </c>
      <c r="E2090" s="67">
        <f t="shared" si="776"/>
        <v>2</v>
      </c>
      <c r="F2090" s="74">
        <f t="shared" si="777"/>
        <v>46068</v>
      </c>
      <c r="G2090" s="67">
        <f t="shared" si="778"/>
        <v>24313</v>
      </c>
      <c r="H2090" s="75">
        <f t="shared" si="779"/>
        <v>1</v>
      </c>
      <c r="I2090" s="76">
        <f t="shared" si="780"/>
        <v>1</v>
      </c>
      <c r="J2090" s="76">
        <f t="shared" si="781"/>
        <v>1.04</v>
      </c>
      <c r="K2090" s="67">
        <f t="shared" si="782"/>
        <v>1</v>
      </c>
      <c r="L2090" s="67">
        <f t="shared" si="783"/>
        <v>28</v>
      </c>
      <c r="M2090" s="77">
        <f t="shared" si="784"/>
        <v>1</v>
      </c>
      <c r="N2090" s="76">
        <f t="shared" si="785"/>
        <v>1.04</v>
      </c>
      <c r="O2090" s="77">
        <f t="shared" si="786"/>
        <v>0.90002188183807441</v>
      </c>
      <c r="P2090" s="76">
        <f t="shared" si="787"/>
        <v>1</v>
      </c>
      <c r="Q2090" s="76">
        <f t="shared" si="788"/>
        <v>0</v>
      </c>
      <c r="R2090" s="76">
        <f t="shared" si="789"/>
        <v>0</v>
      </c>
      <c r="S2090" s="76">
        <f t="shared" si="790"/>
        <v>1.0174160403386927</v>
      </c>
      <c r="T2090" s="76">
        <f t="shared" si="791"/>
        <v>1.0174160403386927</v>
      </c>
      <c r="U2090" s="76">
        <f t="shared" si="792"/>
        <v>1.04</v>
      </c>
    </row>
    <row r="2091" spans="1:21" x14ac:dyDescent="0.25">
      <c r="A2091" s="71">
        <v>15</v>
      </c>
      <c r="B2091" s="72">
        <f t="shared" si="793"/>
        <v>46082</v>
      </c>
      <c r="C2091" s="73">
        <f t="shared" si="774"/>
        <v>46112</v>
      </c>
      <c r="D2091" s="67">
        <f t="shared" si="775"/>
        <v>31</v>
      </c>
      <c r="E2091" s="67">
        <f t="shared" si="776"/>
        <v>3</v>
      </c>
      <c r="F2091" s="74">
        <f t="shared" si="777"/>
        <v>46097.5</v>
      </c>
      <c r="G2091" s="67">
        <f t="shared" si="778"/>
        <v>24314</v>
      </c>
      <c r="H2091" s="75">
        <f t="shared" si="779"/>
        <v>1</v>
      </c>
      <c r="I2091" s="76">
        <f t="shared" si="780"/>
        <v>1.04</v>
      </c>
      <c r="J2091" s="76">
        <f t="shared" si="781"/>
        <v>1.04</v>
      </c>
      <c r="K2091" s="67">
        <f t="shared" si="782"/>
        <v>0</v>
      </c>
      <c r="L2091" s="67">
        <f t="shared" si="783"/>
        <v>0</v>
      </c>
      <c r="M2091" s="77">
        <f t="shared" si="784"/>
        <v>0</v>
      </c>
      <c r="N2091" s="76">
        <f t="shared" si="785"/>
        <v>1.04</v>
      </c>
      <c r="O2091" s="77">
        <f t="shared" si="786"/>
        <v>0.90131291028446392</v>
      </c>
      <c r="P2091" s="76">
        <f t="shared" si="787"/>
        <v>1</v>
      </c>
      <c r="Q2091" s="76">
        <f t="shared" si="788"/>
        <v>0</v>
      </c>
      <c r="R2091" s="76">
        <f t="shared" si="789"/>
        <v>0</v>
      </c>
      <c r="S2091" s="76">
        <f t="shared" si="790"/>
        <v>1.0188754637998287</v>
      </c>
      <c r="T2091" s="76">
        <f t="shared" si="791"/>
        <v>1.0188754637998287</v>
      </c>
      <c r="U2091" s="76">
        <f t="shared" si="792"/>
        <v>1.04</v>
      </c>
    </row>
    <row r="2092" spans="1:21" x14ac:dyDescent="0.25">
      <c r="A2092" s="71">
        <v>16</v>
      </c>
      <c r="B2092" s="72">
        <f t="shared" si="793"/>
        <v>46113</v>
      </c>
      <c r="C2092" s="73">
        <f t="shared" si="774"/>
        <v>46142</v>
      </c>
      <c r="D2092" s="67">
        <f t="shared" si="775"/>
        <v>30</v>
      </c>
      <c r="E2092" s="67">
        <f t="shared" si="776"/>
        <v>4</v>
      </c>
      <c r="F2092" s="74">
        <f t="shared" si="777"/>
        <v>46128</v>
      </c>
      <c r="G2092" s="67">
        <f t="shared" si="778"/>
        <v>24315</v>
      </c>
      <c r="H2092" s="75">
        <f t="shared" si="779"/>
        <v>1</v>
      </c>
      <c r="I2092" s="76">
        <f t="shared" si="780"/>
        <v>1.04</v>
      </c>
      <c r="J2092" s="76">
        <f t="shared" si="781"/>
        <v>1.04</v>
      </c>
      <c r="K2092" s="67">
        <f t="shared" si="782"/>
        <v>0</v>
      </c>
      <c r="L2092" s="67">
        <f t="shared" si="783"/>
        <v>0</v>
      </c>
      <c r="M2092" s="77">
        <f t="shared" si="784"/>
        <v>0</v>
      </c>
      <c r="N2092" s="76">
        <f t="shared" si="785"/>
        <v>1.04</v>
      </c>
      <c r="O2092" s="77">
        <f t="shared" si="786"/>
        <v>0.90264770240700221</v>
      </c>
      <c r="P2092" s="76">
        <f t="shared" si="787"/>
        <v>1</v>
      </c>
      <c r="Q2092" s="76">
        <f t="shared" si="788"/>
        <v>0</v>
      </c>
      <c r="R2092" s="76">
        <f t="shared" si="789"/>
        <v>0</v>
      </c>
      <c r="S2092" s="76">
        <f t="shared" si="790"/>
        <v>1.0203843592426982</v>
      </c>
      <c r="T2092" s="76">
        <f t="shared" si="791"/>
        <v>1.0203843592426982</v>
      </c>
      <c r="U2092" s="76">
        <f t="shared" si="792"/>
        <v>1.04</v>
      </c>
    </row>
    <row r="2093" spans="1:21" x14ac:dyDescent="0.25">
      <c r="A2093" s="71">
        <v>17</v>
      </c>
      <c r="B2093" s="72">
        <f t="shared" si="793"/>
        <v>46143</v>
      </c>
      <c r="C2093" s="73">
        <f t="shared" si="774"/>
        <v>46173</v>
      </c>
      <c r="D2093" s="67">
        <f t="shared" si="775"/>
        <v>31</v>
      </c>
      <c r="E2093" s="67">
        <f t="shared" si="776"/>
        <v>5</v>
      </c>
      <c r="F2093" s="74">
        <f t="shared" si="777"/>
        <v>46158.5</v>
      </c>
      <c r="G2093" s="67">
        <f t="shared" si="778"/>
        <v>24316</v>
      </c>
      <c r="H2093" s="75">
        <f t="shared" si="779"/>
        <v>1</v>
      </c>
      <c r="I2093" s="76">
        <f t="shared" si="780"/>
        <v>1.04</v>
      </c>
      <c r="J2093" s="76">
        <f t="shared" si="781"/>
        <v>1.04</v>
      </c>
      <c r="K2093" s="67">
        <f t="shared" si="782"/>
        <v>0</v>
      </c>
      <c r="L2093" s="67">
        <f t="shared" si="783"/>
        <v>0</v>
      </c>
      <c r="M2093" s="77">
        <f t="shared" si="784"/>
        <v>0</v>
      </c>
      <c r="N2093" s="76">
        <f t="shared" si="785"/>
        <v>1.04</v>
      </c>
      <c r="O2093" s="77">
        <f t="shared" si="786"/>
        <v>0.90398249452954049</v>
      </c>
      <c r="P2093" s="76">
        <f t="shared" si="787"/>
        <v>1</v>
      </c>
      <c r="Q2093" s="76">
        <f t="shared" si="788"/>
        <v>0</v>
      </c>
      <c r="R2093" s="76">
        <f t="shared" si="789"/>
        <v>0</v>
      </c>
      <c r="S2093" s="76">
        <f t="shared" si="790"/>
        <v>1.0218932546855675</v>
      </c>
      <c r="T2093" s="76">
        <f t="shared" si="791"/>
        <v>1.0218932546855675</v>
      </c>
      <c r="U2093" s="76">
        <f t="shared" si="792"/>
        <v>1.04</v>
      </c>
    </row>
    <row r="2094" spans="1:21" x14ac:dyDescent="0.25">
      <c r="A2094" s="71">
        <v>18</v>
      </c>
      <c r="B2094" s="72">
        <f t="shared" si="793"/>
        <v>46174</v>
      </c>
      <c r="C2094" s="73">
        <f t="shared" si="774"/>
        <v>46203</v>
      </c>
      <c r="D2094" s="67">
        <f t="shared" si="775"/>
        <v>30</v>
      </c>
      <c r="E2094" s="67">
        <f t="shared" si="776"/>
        <v>6</v>
      </c>
      <c r="F2094" s="74">
        <f t="shared" si="777"/>
        <v>46189</v>
      </c>
      <c r="G2094" s="67">
        <f t="shared" si="778"/>
        <v>24317</v>
      </c>
      <c r="H2094" s="75">
        <f t="shared" si="779"/>
        <v>1</v>
      </c>
      <c r="I2094" s="76">
        <f t="shared" si="780"/>
        <v>1.04</v>
      </c>
      <c r="J2094" s="76">
        <f t="shared" si="781"/>
        <v>1.04</v>
      </c>
      <c r="K2094" s="67">
        <f t="shared" si="782"/>
        <v>0</v>
      </c>
      <c r="L2094" s="67">
        <f t="shared" si="783"/>
        <v>0</v>
      </c>
      <c r="M2094" s="77">
        <f t="shared" si="784"/>
        <v>0</v>
      </c>
      <c r="N2094" s="76">
        <f t="shared" si="785"/>
        <v>1.04</v>
      </c>
      <c r="O2094" s="77">
        <f t="shared" si="786"/>
        <v>0.90531728665207878</v>
      </c>
      <c r="P2094" s="76">
        <f t="shared" si="787"/>
        <v>1</v>
      </c>
      <c r="Q2094" s="76">
        <f t="shared" si="788"/>
        <v>0</v>
      </c>
      <c r="R2094" s="76">
        <f t="shared" si="789"/>
        <v>0</v>
      </c>
      <c r="S2094" s="76">
        <f t="shared" si="790"/>
        <v>1.0234021501284369</v>
      </c>
      <c r="T2094" s="76">
        <f t="shared" si="791"/>
        <v>1.0234021501284369</v>
      </c>
      <c r="U2094" s="76">
        <f t="shared" si="792"/>
        <v>1.04</v>
      </c>
    </row>
    <row r="2095" spans="1:21" x14ac:dyDescent="0.25">
      <c r="A2095" s="71">
        <v>19</v>
      </c>
      <c r="B2095" s="72">
        <f t="shared" si="793"/>
        <v>46204</v>
      </c>
      <c r="C2095" s="73">
        <f t="shared" si="774"/>
        <v>46234</v>
      </c>
      <c r="D2095" s="67">
        <f t="shared" si="775"/>
        <v>31</v>
      </c>
      <c r="E2095" s="67">
        <f t="shared" si="776"/>
        <v>7</v>
      </c>
      <c r="F2095" s="74">
        <f t="shared" si="777"/>
        <v>46219.5</v>
      </c>
      <c r="G2095" s="67">
        <f t="shared" si="778"/>
        <v>24318</v>
      </c>
      <c r="H2095" s="75">
        <f t="shared" si="779"/>
        <v>1</v>
      </c>
      <c r="I2095" s="76">
        <f t="shared" si="780"/>
        <v>1.04</v>
      </c>
      <c r="J2095" s="76">
        <f t="shared" si="781"/>
        <v>1.04</v>
      </c>
      <c r="K2095" s="67">
        <f t="shared" si="782"/>
        <v>0</v>
      </c>
      <c r="L2095" s="67">
        <f t="shared" si="783"/>
        <v>0</v>
      </c>
      <c r="M2095" s="77">
        <f t="shared" si="784"/>
        <v>0</v>
      </c>
      <c r="N2095" s="76">
        <f t="shared" si="785"/>
        <v>1.04</v>
      </c>
      <c r="O2095" s="77">
        <f t="shared" si="786"/>
        <v>0.90665207877461707</v>
      </c>
      <c r="P2095" s="76">
        <f t="shared" si="787"/>
        <v>0.91666666666666663</v>
      </c>
      <c r="Q2095" s="76">
        <f t="shared" si="788"/>
        <v>8.333333333333337E-2</v>
      </c>
      <c r="R2095" s="76">
        <f t="shared" si="789"/>
        <v>0</v>
      </c>
      <c r="S2095" s="76">
        <f t="shared" si="790"/>
        <v>1.0249110455713062</v>
      </c>
      <c r="T2095" s="76">
        <f t="shared" si="791"/>
        <v>1.0249110455713062</v>
      </c>
      <c r="U2095" s="76">
        <f t="shared" si="792"/>
        <v>1.04</v>
      </c>
    </row>
    <row r="2096" spans="1:21" x14ac:dyDescent="0.25">
      <c r="A2096" s="71">
        <v>20</v>
      </c>
      <c r="B2096" s="72">
        <f t="shared" si="793"/>
        <v>46235</v>
      </c>
      <c r="C2096" s="73">
        <f t="shared" si="774"/>
        <v>46265</v>
      </c>
      <c r="D2096" s="67">
        <f t="shared" si="775"/>
        <v>31</v>
      </c>
      <c r="E2096" s="67">
        <f t="shared" si="776"/>
        <v>8</v>
      </c>
      <c r="F2096" s="74">
        <f t="shared" si="777"/>
        <v>46250.5</v>
      </c>
      <c r="G2096" s="67">
        <f t="shared" si="778"/>
        <v>24319</v>
      </c>
      <c r="H2096" s="75">
        <f t="shared" si="779"/>
        <v>1</v>
      </c>
      <c r="I2096" s="76">
        <f t="shared" si="780"/>
        <v>1.04</v>
      </c>
      <c r="J2096" s="76">
        <f t="shared" si="781"/>
        <v>1.04</v>
      </c>
      <c r="K2096" s="67">
        <f t="shared" si="782"/>
        <v>0</v>
      </c>
      <c r="L2096" s="67">
        <f t="shared" si="783"/>
        <v>0</v>
      </c>
      <c r="M2096" s="77">
        <f t="shared" si="784"/>
        <v>0</v>
      </c>
      <c r="N2096" s="76">
        <f t="shared" si="785"/>
        <v>1.04</v>
      </c>
      <c r="O2096" s="77">
        <f t="shared" si="786"/>
        <v>0.90800875273522974</v>
      </c>
      <c r="P2096" s="76">
        <f t="shared" si="787"/>
        <v>0.75</v>
      </c>
      <c r="Q2096" s="76">
        <f t="shared" si="788"/>
        <v>0.25</v>
      </c>
      <c r="R2096" s="76">
        <f t="shared" si="789"/>
        <v>0</v>
      </c>
      <c r="S2096" s="76">
        <f t="shared" si="790"/>
        <v>1.0264446770050424</v>
      </c>
      <c r="T2096" s="76">
        <f t="shared" si="791"/>
        <v>1.0264446770050424</v>
      </c>
      <c r="U2096" s="76">
        <f t="shared" si="792"/>
        <v>1.04</v>
      </c>
    </row>
    <row r="2097" spans="1:21" x14ac:dyDescent="0.25">
      <c r="A2097" s="71">
        <v>21</v>
      </c>
      <c r="B2097" s="72">
        <f t="shared" si="793"/>
        <v>46266</v>
      </c>
      <c r="C2097" s="73">
        <f t="shared" si="774"/>
        <v>46295</v>
      </c>
      <c r="D2097" s="67">
        <f t="shared" si="775"/>
        <v>30</v>
      </c>
      <c r="E2097" s="67">
        <f t="shared" si="776"/>
        <v>9</v>
      </c>
      <c r="F2097" s="74">
        <f t="shared" si="777"/>
        <v>46281</v>
      </c>
      <c r="G2097" s="67">
        <f t="shared" si="778"/>
        <v>24320</v>
      </c>
      <c r="H2097" s="75">
        <f t="shared" si="779"/>
        <v>1</v>
      </c>
      <c r="I2097" s="76">
        <f t="shared" si="780"/>
        <v>1.04</v>
      </c>
      <c r="J2097" s="76">
        <f t="shared" si="781"/>
        <v>1.04</v>
      </c>
      <c r="K2097" s="67">
        <f t="shared" si="782"/>
        <v>0</v>
      </c>
      <c r="L2097" s="67">
        <f t="shared" si="783"/>
        <v>0</v>
      </c>
      <c r="M2097" s="77">
        <f t="shared" si="784"/>
        <v>0</v>
      </c>
      <c r="N2097" s="76">
        <f t="shared" si="785"/>
        <v>1.04</v>
      </c>
      <c r="O2097" s="77">
        <f t="shared" si="786"/>
        <v>0.90934354485776803</v>
      </c>
      <c r="P2097" s="76">
        <f t="shared" si="787"/>
        <v>0.58333333333333337</v>
      </c>
      <c r="Q2097" s="76">
        <f t="shared" si="788"/>
        <v>0.41666666666666663</v>
      </c>
      <c r="R2097" s="76">
        <f t="shared" si="789"/>
        <v>0</v>
      </c>
      <c r="S2097" s="76">
        <f t="shared" si="790"/>
        <v>1.0279535724479116</v>
      </c>
      <c r="T2097" s="76">
        <f t="shared" si="791"/>
        <v>1.0279535724479116</v>
      </c>
      <c r="U2097" s="76">
        <f t="shared" si="792"/>
        <v>1.04</v>
      </c>
    </row>
    <row r="2098" spans="1:21" x14ac:dyDescent="0.25">
      <c r="A2098" s="71">
        <v>22</v>
      </c>
      <c r="B2098" s="72">
        <f t="shared" si="793"/>
        <v>46296</v>
      </c>
      <c r="C2098" s="73">
        <f t="shared" si="774"/>
        <v>46326</v>
      </c>
      <c r="D2098" s="67">
        <f t="shared" si="775"/>
        <v>31</v>
      </c>
      <c r="E2098" s="67">
        <f t="shared" si="776"/>
        <v>10</v>
      </c>
      <c r="F2098" s="74">
        <f t="shared" si="777"/>
        <v>46311.5</v>
      </c>
      <c r="G2098" s="67">
        <f t="shared" si="778"/>
        <v>24321</v>
      </c>
      <c r="H2098" s="75">
        <f t="shared" si="779"/>
        <v>1</v>
      </c>
      <c r="I2098" s="76">
        <f t="shared" si="780"/>
        <v>1.04</v>
      </c>
      <c r="J2098" s="76">
        <f t="shared" si="781"/>
        <v>1.04</v>
      </c>
      <c r="K2098" s="67">
        <f t="shared" si="782"/>
        <v>0</v>
      </c>
      <c r="L2098" s="67">
        <f t="shared" si="783"/>
        <v>0</v>
      </c>
      <c r="M2098" s="77">
        <f t="shared" si="784"/>
        <v>0</v>
      </c>
      <c r="N2098" s="76">
        <f t="shared" si="785"/>
        <v>1.04</v>
      </c>
      <c r="O2098" s="77">
        <f t="shared" si="786"/>
        <v>0.91067833698030642</v>
      </c>
      <c r="P2098" s="76">
        <f t="shared" si="787"/>
        <v>0.41666666666666669</v>
      </c>
      <c r="Q2098" s="76">
        <f t="shared" si="788"/>
        <v>0.58333333333333326</v>
      </c>
      <c r="R2098" s="76">
        <f t="shared" si="789"/>
        <v>0</v>
      </c>
      <c r="S2098" s="76">
        <f t="shared" si="790"/>
        <v>1.0294624678907811</v>
      </c>
      <c r="T2098" s="76">
        <f t="shared" si="791"/>
        <v>1.0294624678907811</v>
      </c>
      <c r="U2098" s="76">
        <f t="shared" si="792"/>
        <v>1.04</v>
      </c>
    </row>
    <row r="2099" spans="1:21" x14ac:dyDescent="0.25">
      <c r="A2099" s="71">
        <v>23</v>
      </c>
      <c r="B2099" s="72">
        <f t="shared" si="793"/>
        <v>46327</v>
      </c>
      <c r="C2099" s="73">
        <f t="shared" si="774"/>
        <v>46356</v>
      </c>
      <c r="D2099" s="67">
        <f t="shared" si="775"/>
        <v>30</v>
      </c>
      <c r="E2099" s="67">
        <f t="shared" si="776"/>
        <v>11</v>
      </c>
      <c r="F2099" s="74">
        <f t="shared" si="777"/>
        <v>46342</v>
      </c>
      <c r="G2099" s="67">
        <f t="shared" si="778"/>
        <v>24322</v>
      </c>
      <c r="H2099" s="75">
        <f t="shared" si="779"/>
        <v>1</v>
      </c>
      <c r="I2099" s="76">
        <f t="shared" si="780"/>
        <v>1.04</v>
      </c>
      <c r="J2099" s="76">
        <f t="shared" si="781"/>
        <v>1.04</v>
      </c>
      <c r="K2099" s="67">
        <f t="shared" si="782"/>
        <v>0</v>
      </c>
      <c r="L2099" s="67">
        <f t="shared" si="783"/>
        <v>0</v>
      </c>
      <c r="M2099" s="77">
        <f t="shared" si="784"/>
        <v>0</v>
      </c>
      <c r="N2099" s="76">
        <f t="shared" si="785"/>
        <v>1.04</v>
      </c>
      <c r="O2099" s="77">
        <f t="shared" si="786"/>
        <v>0.91201312910284471</v>
      </c>
      <c r="P2099" s="76">
        <f t="shared" si="787"/>
        <v>0.25</v>
      </c>
      <c r="Q2099" s="76">
        <f t="shared" si="788"/>
        <v>0.75</v>
      </c>
      <c r="R2099" s="76">
        <f t="shared" si="789"/>
        <v>0</v>
      </c>
      <c r="S2099" s="76">
        <f t="shared" si="790"/>
        <v>1.0309713633336506</v>
      </c>
      <c r="T2099" s="76">
        <f t="shared" si="791"/>
        <v>1.0309713633336506</v>
      </c>
      <c r="U2099" s="76">
        <f t="shared" si="792"/>
        <v>1.04</v>
      </c>
    </row>
    <row r="2100" spans="1:21" x14ac:dyDescent="0.25">
      <c r="A2100" s="71">
        <v>24</v>
      </c>
      <c r="B2100" s="72">
        <f t="shared" si="793"/>
        <v>46357</v>
      </c>
      <c r="C2100" s="73">
        <f t="shared" si="774"/>
        <v>46387</v>
      </c>
      <c r="D2100" s="67">
        <f t="shared" si="775"/>
        <v>31</v>
      </c>
      <c r="E2100" s="67">
        <f t="shared" si="776"/>
        <v>12</v>
      </c>
      <c r="F2100" s="74">
        <f t="shared" si="777"/>
        <v>46372.5</v>
      </c>
      <c r="G2100" s="67">
        <f t="shared" si="778"/>
        <v>24323</v>
      </c>
      <c r="H2100" s="75">
        <f t="shared" si="779"/>
        <v>1</v>
      </c>
      <c r="I2100" s="76">
        <f t="shared" si="780"/>
        <v>1.04</v>
      </c>
      <c r="J2100" s="76">
        <f t="shared" si="781"/>
        <v>1.04</v>
      </c>
      <c r="K2100" s="67">
        <f t="shared" si="782"/>
        <v>0</v>
      </c>
      <c r="L2100" s="67">
        <f t="shared" si="783"/>
        <v>0</v>
      </c>
      <c r="M2100" s="77">
        <f t="shared" si="784"/>
        <v>0</v>
      </c>
      <c r="N2100" s="76">
        <f t="shared" si="785"/>
        <v>1.04</v>
      </c>
      <c r="O2100" s="77">
        <f t="shared" si="786"/>
        <v>0.913347921225383</v>
      </c>
      <c r="P2100" s="76">
        <f t="shared" si="787"/>
        <v>8.3333333333333329E-2</v>
      </c>
      <c r="Q2100" s="76">
        <f t="shared" si="788"/>
        <v>0.91666666666666663</v>
      </c>
      <c r="R2100" s="76">
        <f t="shared" si="789"/>
        <v>0</v>
      </c>
      <c r="S2100" s="76">
        <f t="shared" si="790"/>
        <v>1.0324802587765198</v>
      </c>
      <c r="T2100" s="76">
        <f t="shared" si="791"/>
        <v>1.0324802587765198</v>
      </c>
      <c r="U2100" s="76">
        <f t="shared" si="792"/>
        <v>1.04</v>
      </c>
    </row>
    <row r="2101" spans="1:21" x14ac:dyDescent="0.25">
      <c r="A2101" s="71">
        <v>25</v>
      </c>
      <c r="B2101" s="72">
        <f t="shared" si="793"/>
        <v>46388</v>
      </c>
      <c r="C2101" s="73">
        <f t="shared" si="774"/>
        <v>46418</v>
      </c>
      <c r="D2101" s="67">
        <f t="shared" si="775"/>
        <v>31</v>
      </c>
      <c r="E2101" s="67">
        <f t="shared" si="776"/>
        <v>1</v>
      </c>
      <c r="F2101" s="74">
        <f t="shared" si="777"/>
        <v>46403.5</v>
      </c>
      <c r="G2101" s="67">
        <f t="shared" si="778"/>
        <v>24324</v>
      </c>
      <c r="H2101" s="75">
        <f t="shared" si="779"/>
        <v>1</v>
      </c>
      <c r="I2101" s="76">
        <f t="shared" si="780"/>
        <v>1.04</v>
      </c>
      <c r="J2101" s="76">
        <f t="shared" si="781"/>
        <v>1.04</v>
      </c>
      <c r="K2101" s="67">
        <f t="shared" si="782"/>
        <v>0</v>
      </c>
      <c r="L2101" s="67">
        <f t="shared" si="783"/>
        <v>0</v>
      </c>
      <c r="M2101" s="77">
        <f t="shared" si="784"/>
        <v>0</v>
      </c>
      <c r="N2101" s="76">
        <f t="shared" si="785"/>
        <v>1.04</v>
      </c>
      <c r="O2101" s="77">
        <f t="shared" si="786"/>
        <v>0.91470459518599567</v>
      </c>
      <c r="P2101" s="76">
        <f t="shared" si="787"/>
        <v>0</v>
      </c>
      <c r="Q2101" s="76">
        <f t="shared" si="788"/>
        <v>1</v>
      </c>
      <c r="R2101" s="76">
        <f t="shared" si="789"/>
        <v>0</v>
      </c>
      <c r="S2101" s="76">
        <f t="shared" si="790"/>
        <v>1.034013890210256</v>
      </c>
      <c r="T2101" s="76">
        <f t="shared" si="791"/>
        <v>0.97688136238226619</v>
      </c>
      <c r="U2101" s="76">
        <f t="shared" si="792"/>
        <v>1.04</v>
      </c>
    </row>
    <row r="2102" spans="1:21" x14ac:dyDescent="0.25">
      <c r="A2102" s="71">
        <v>26</v>
      </c>
      <c r="B2102" s="72">
        <f t="shared" si="793"/>
        <v>46419</v>
      </c>
      <c r="C2102" s="73">
        <f t="shared" si="774"/>
        <v>46446</v>
      </c>
      <c r="D2102" s="67">
        <f t="shared" si="775"/>
        <v>28</v>
      </c>
      <c r="E2102" s="67">
        <f t="shared" si="776"/>
        <v>2</v>
      </c>
      <c r="F2102" s="74">
        <f t="shared" si="777"/>
        <v>46433</v>
      </c>
      <c r="G2102" s="67">
        <f t="shared" si="778"/>
        <v>24325</v>
      </c>
      <c r="H2102" s="75">
        <f t="shared" si="779"/>
        <v>1</v>
      </c>
      <c r="I2102" s="76">
        <f t="shared" si="780"/>
        <v>1.04</v>
      </c>
      <c r="J2102" s="76">
        <f t="shared" si="781"/>
        <v>1.04</v>
      </c>
      <c r="K2102" s="67">
        <f t="shared" si="782"/>
        <v>0</v>
      </c>
      <c r="L2102" s="67">
        <f t="shared" si="783"/>
        <v>0</v>
      </c>
      <c r="M2102" s="77">
        <f t="shared" si="784"/>
        <v>0</v>
      </c>
      <c r="N2102" s="76">
        <f t="shared" si="785"/>
        <v>1.04</v>
      </c>
      <c r="O2102" s="77">
        <f t="shared" si="786"/>
        <v>0.91599562363238518</v>
      </c>
      <c r="P2102" s="76">
        <f t="shared" si="787"/>
        <v>0</v>
      </c>
      <c r="Q2102" s="76">
        <f t="shared" si="788"/>
        <v>1</v>
      </c>
      <c r="R2102" s="76">
        <f t="shared" si="789"/>
        <v>0</v>
      </c>
      <c r="S2102" s="76">
        <f t="shared" si="790"/>
        <v>1.0354733136713918</v>
      </c>
      <c r="T2102" s="76">
        <f t="shared" si="791"/>
        <v>1.0174160403386927</v>
      </c>
      <c r="U2102" s="76">
        <f t="shared" si="792"/>
        <v>1.04</v>
      </c>
    </row>
    <row r="2103" spans="1:21" x14ac:dyDescent="0.25">
      <c r="A2103" s="71">
        <v>27</v>
      </c>
      <c r="B2103" s="72">
        <f t="shared" si="793"/>
        <v>46447</v>
      </c>
      <c r="C2103" s="73">
        <f t="shared" si="774"/>
        <v>46477</v>
      </c>
      <c r="D2103" s="67">
        <f t="shared" si="775"/>
        <v>31</v>
      </c>
      <c r="E2103" s="67">
        <f t="shared" si="776"/>
        <v>3</v>
      </c>
      <c r="F2103" s="74">
        <f t="shared" si="777"/>
        <v>46462.5</v>
      </c>
      <c r="G2103" s="67">
        <f t="shared" si="778"/>
        <v>24326</v>
      </c>
      <c r="H2103" s="75">
        <f t="shared" si="779"/>
        <v>1</v>
      </c>
      <c r="I2103" s="76">
        <f t="shared" si="780"/>
        <v>1.04</v>
      </c>
      <c r="J2103" s="76">
        <f t="shared" si="781"/>
        <v>1.04</v>
      </c>
      <c r="K2103" s="67">
        <f t="shared" si="782"/>
        <v>0</v>
      </c>
      <c r="L2103" s="67">
        <f t="shared" si="783"/>
        <v>0</v>
      </c>
      <c r="M2103" s="77">
        <f t="shared" si="784"/>
        <v>0</v>
      </c>
      <c r="N2103" s="76">
        <f t="shared" si="785"/>
        <v>1.04</v>
      </c>
      <c r="O2103" s="77">
        <f t="shared" si="786"/>
        <v>0.91728665207877469</v>
      </c>
      <c r="P2103" s="76">
        <f t="shared" si="787"/>
        <v>0</v>
      </c>
      <c r="Q2103" s="76">
        <f t="shared" si="788"/>
        <v>1</v>
      </c>
      <c r="R2103" s="76">
        <f t="shared" si="789"/>
        <v>0</v>
      </c>
      <c r="S2103" s="76">
        <f t="shared" si="790"/>
        <v>1.0369327371325279</v>
      </c>
      <c r="T2103" s="76">
        <f t="shared" si="791"/>
        <v>1.0188754637998287</v>
      </c>
      <c r="U2103" s="76">
        <f t="shared" si="792"/>
        <v>1.04</v>
      </c>
    </row>
    <row r="2104" spans="1:21" x14ac:dyDescent="0.25">
      <c r="A2104" s="71">
        <v>28</v>
      </c>
      <c r="B2104" s="72">
        <f t="shared" si="793"/>
        <v>46478</v>
      </c>
      <c r="C2104" s="73">
        <f t="shared" si="774"/>
        <v>46507</v>
      </c>
      <c r="D2104" s="67">
        <f t="shared" si="775"/>
        <v>30</v>
      </c>
      <c r="E2104" s="67">
        <f t="shared" si="776"/>
        <v>4</v>
      </c>
      <c r="F2104" s="74">
        <f t="shared" si="777"/>
        <v>46493</v>
      </c>
      <c r="G2104" s="67">
        <f t="shared" si="778"/>
        <v>24327</v>
      </c>
      <c r="H2104" s="75">
        <f t="shared" si="779"/>
        <v>1</v>
      </c>
      <c r="I2104" s="76">
        <f t="shared" si="780"/>
        <v>1.04</v>
      </c>
      <c r="J2104" s="76">
        <f t="shared" si="781"/>
        <v>1.04</v>
      </c>
      <c r="K2104" s="67">
        <f t="shared" si="782"/>
        <v>0</v>
      </c>
      <c r="L2104" s="67">
        <f t="shared" si="783"/>
        <v>0</v>
      </c>
      <c r="M2104" s="77">
        <f t="shared" si="784"/>
        <v>0</v>
      </c>
      <c r="N2104" s="76">
        <f t="shared" si="785"/>
        <v>1.04</v>
      </c>
      <c r="O2104" s="77">
        <f t="shared" si="786"/>
        <v>0.91862144420131298</v>
      </c>
      <c r="P2104" s="76">
        <f t="shared" si="787"/>
        <v>0</v>
      </c>
      <c r="Q2104" s="76">
        <f t="shared" si="788"/>
        <v>1</v>
      </c>
      <c r="R2104" s="76">
        <f t="shared" si="789"/>
        <v>0</v>
      </c>
      <c r="S2104" s="76">
        <f t="shared" si="790"/>
        <v>1.0384416325753973</v>
      </c>
      <c r="T2104" s="76">
        <f t="shared" si="791"/>
        <v>1.0203843592426982</v>
      </c>
      <c r="U2104" s="76">
        <f t="shared" si="792"/>
        <v>1.04</v>
      </c>
    </row>
    <row r="2105" spans="1:21" x14ac:dyDescent="0.25">
      <c r="A2105" s="71">
        <v>29</v>
      </c>
      <c r="B2105" s="72">
        <f t="shared" si="793"/>
        <v>46508</v>
      </c>
      <c r="C2105" s="73">
        <f t="shared" si="774"/>
        <v>46538</v>
      </c>
      <c r="D2105" s="67">
        <f t="shared" si="775"/>
        <v>31</v>
      </c>
      <c r="E2105" s="67">
        <f t="shared" si="776"/>
        <v>5</v>
      </c>
      <c r="F2105" s="74">
        <f t="shared" si="777"/>
        <v>46523.5</v>
      </c>
      <c r="G2105" s="67">
        <f t="shared" si="778"/>
        <v>24328</v>
      </c>
      <c r="H2105" s="75">
        <f t="shared" si="779"/>
        <v>1</v>
      </c>
      <c r="I2105" s="76">
        <f t="shared" si="780"/>
        <v>1.04</v>
      </c>
      <c r="J2105" s="76">
        <f t="shared" si="781"/>
        <v>1.04</v>
      </c>
      <c r="K2105" s="67">
        <f t="shared" si="782"/>
        <v>0</v>
      </c>
      <c r="L2105" s="67">
        <f t="shared" si="783"/>
        <v>0</v>
      </c>
      <c r="M2105" s="77">
        <f t="shared" si="784"/>
        <v>0</v>
      </c>
      <c r="N2105" s="76">
        <f t="shared" si="785"/>
        <v>1.04</v>
      </c>
      <c r="O2105" s="77">
        <f t="shared" si="786"/>
        <v>0.91995623632385126</v>
      </c>
      <c r="P2105" s="76">
        <f t="shared" si="787"/>
        <v>0</v>
      </c>
      <c r="Q2105" s="76">
        <f t="shared" si="788"/>
        <v>1</v>
      </c>
      <c r="R2105" s="76">
        <f t="shared" si="789"/>
        <v>0</v>
      </c>
      <c r="S2105" s="76">
        <f t="shared" si="790"/>
        <v>1.0399505280182666</v>
      </c>
      <c r="T2105" s="76">
        <f t="shared" si="791"/>
        <v>1.0218932546855675</v>
      </c>
      <c r="U2105" s="76">
        <f t="shared" si="792"/>
        <v>1.04</v>
      </c>
    </row>
    <row r="2106" spans="1:21" x14ac:dyDescent="0.25">
      <c r="A2106" s="71">
        <v>30</v>
      </c>
      <c r="B2106" s="72">
        <f t="shared" si="793"/>
        <v>46539</v>
      </c>
      <c r="C2106" s="73">
        <f t="shared" si="774"/>
        <v>46568</v>
      </c>
      <c r="D2106" s="67">
        <f t="shared" si="775"/>
        <v>30</v>
      </c>
      <c r="E2106" s="67">
        <f t="shared" si="776"/>
        <v>6</v>
      </c>
      <c r="F2106" s="74">
        <f t="shared" si="777"/>
        <v>46554</v>
      </c>
      <c r="G2106" s="67">
        <f t="shared" si="778"/>
        <v>24329</v>
      </c>
      <c r="H2106" s="75">
        <f t="shared" si="779"/>
        <v>1</v>
      </c>
      <c r="I2106" s="76">
        <f t="shared" si="780"/>
        <v>1.04</v>
      </c>
      <c r="J2106" s="76">
        <f t="shared" si="781"/>
        <v>1.04</v>
      </c>
      <c r="K2106" s="67">
        <f t="shared" si="782"/>
        <v>0</v>
      </c>
      <c r="L2106" s="67">
        <f t="shared" si="783"/>
        <v>0</v>
      </c>
      <c r="M2106" s="77">
        <f t="shared" si="784"/>
        <v>0</v>
      </c>
      <c r="N2106" s="76">
        <f t="shared" si="785"/>
        <v>1.04</v>
      </c>
      <c r="O2106" s="77">
        <f t="shared" si="786"/>
        <v>0.92129102844638955</v>
      </c>
      <c r="P2106" s="76">
        <f t="shared" si="787"/>
        <v>0</v>
      </c>
      <c r="Q2106" s="76">
        <f t="shared" si="788"/>
        <v>1</v>
      </c>
      <c r="R2106" s="76">
        <f t="shared" si="789"/>
        <v>0</v>
      </c>
      <c r="S2106" s="76">
        <f t="shared" si="790"/>
        <v>1.0414594234611361</v>
      </c>
      <c r="T2106" s="76">
        <f t="shared" si="791"/>
        <v>1.0234021501284369</v>
      </c>
      <c r="U2106" s="76">
        <f t="shared" si="792"/>
        <v>1.04</v>
      </c>
    </row>
    <row r="2107" spans="1:21" x14ac:dyDescent="0.25">
      <c r="A2107" s="71">
        <v>31</v>
      </c>
      <c r="B2107" s="72">
        <f t="shared" si="793"/>
        <v>46569</v>
      </c>
      <c r="C2107" s="73">
        <f t="shared" si="774"/>
        <v>46599</v>
      </c>
      <c r="D2107" s="67">
        <f t="shared" si="775"/>
        <v>31</v>
      </c>
      <c r="E2107" s="67">
        <f t="shared" si="776"/>
        <v>7</v>
      </c>
      <c r="F2107" s="74">
        <f t="shared" si="777"/>
        <v>46584.5</v>
      </c>
      <c r="G2107" s="67">
        <f t="shared" si="778"/>
        <v>24330</v>
      </c>
      <c r="H2107" s="75">
        <f t="shared" si="779"/>
        <v>1</v>
      </c>
      <c r="I2107" s="76">
        <f t="shared" si="780"/>
        <v>1.04</v>
      </c>
      <c r="J2107" s="76">
        <f t="shared" si="781"/>
        <v>1.04</v>
      </c>
      <c r="K2107" s="67">
        <f t="shared" si="782"/>
        <v>0</v>
      </c>
      <c r="L2107" s="67">
        <f t="shared" si="783"/>
        <v>0</v>
      </c>
      <c r="M2107" s="77">
        <f t="shared" si="784"/>
        <v>0</v>
      </c>
      <c r="N2107" s="76">
        <f t="shared" si="785"/>
        <v>1.04</v>
      </c>
      <c r="O2107" s="77">
        <f t="shared" si="786"/>
        <v>0.92262582056892783</v>
      </c>
      <c r="P2107" s="76">
        <f t="shared" si="787"/>
        <v>0</v>
      </c>
      <c r="Q2107" s="76">
        <f t="shared" si="788"/>
        <v>0.91666666666666663</v>
      </c>
      <c r="R2107" s="76">
        <f t="shared" si="789"/>
        <v>8.333333333333337E-2</v>
      </c>
      <c r="S2107" s="76">
        <f t="shared" si="790"/>
        <v>1.0429683189040053</v>
      </c>
      <c r="T2107" s="76">
        <f t="shared" si="791"/>
        <v>1.0249110455713062</v>
      </c>
      <c r="U2107" s="76">
        <f t="shared" si="792"/>
        <v>1.04</v>
      </c>
    </row>
    <row r="2108" spans="1:21" x14ac:dyDescent="0.25">
      <c r="A2108" s="71">
        <v>32</v>
      </c>
      <c r="B2108" s="72">
        <f t="shared" si="793"/>
        <v>46600</v>
      </c>
      <c r="C2108" s="73">
        <f t="shared" si="774"/>
        <v>46630</v>
      </c>
      <c r="D2108" s="67">
        <f t="shared" si="775"/>
        <v>31</v>
      </c>
      <c r="E2108" s="67">
        <f t="shared" si="776"/>
        <v>8</v>
      </c>
      <c r="F2108" s="74">
        <f t="shared" si="777"/>
        <v>46615.5</v>
      </c>
      <c r="G2108" s="67">
        <f t="shared" si="778"/>
        <v>24331</v>
      </c>
      <c r="H2108" s="75">
        <f t="shared" si="779"/>
        <v>1</v>
      </c>
      <c r="I2108" s="76">
        <f t="shared" si="780"/>
        <v>1.04</v>
      </c>
      <c r="J2108" s="76">
        <f t="shared" si="781"/>
        <v>1.0816000000000001</v>
      </c>
      <c r="K2108" s="67">
        <f t="shared" si="782"/>
        <v>1</v>
      </c>
      <c r="L2108" s="67">
        <f t="shared" si="783"/>
        <v>31</v>
      </c>
      <c r="M2108" s="77">
        <f t="shared" si="784"/>
        <v>1</v>
      </c>
      <c r="N2108" s="76">
        <f t="shared" si="785"/>
        <v>1.0816000000000001</v>
      </c>
      <c r="O2108" s="77">
        <f t="shared" si="786"/>
        <v>0.92398249452954051</v>
      </c>
      <c r="P2108" s="76">
        <f t="shared" si="787"/>
        <v>0</v>
      </c>
      <c r="Q2108" s="76">
        <f t="shared" si="788"/>
        <v>0.75</v>
      </c>
      <c r="R2108" s="76">
        <f t="shared" si="789"/>
        <v>0.25</v>
      </c>
      <c r="S2108" s="76">
        <f t="shared" si="790"/>
        <v>1.0862820283512511</v>
      </c>
      <c r="T2108" s="76">
        <f t="shared" si="791"/>
        <v>1.0264446770050424</v>
      </c>
      <c r="U2108" s="76">
        <f t="shared" si="792"/>
        <v>1.0816000000000001</v>
      </c>
    </row>
    <row r="2109" spans="1:21" x14ac:dyDescent="0.25">
      <c r="A2109" s="71">
        <v>33</v>
      </c>
      <c r="B2109" s="72">
        <f t="shared" si="793"/>
        <v>46631</v>
      </c>
      <c r="C2109" s="73">
        <f t="shared" si="774"/>
        <v>46660</v>
      </c>
      <c r="D2109" s="67">
        <f t="shared" si="775"/>
        <v>30</v>
      </c>
      <c r="E2109" s="67">
        <f t="shared" si="776"/>
        <v>9</v>
      </c>
      <c r="F2109" s="74">
        <f t="shared" si="777"/>
        <v>46646</v>
      </c>
      <c r="G2109" s="67">
        <f t="shared" si="778"/>
        <v>24332</v>
      </c>
      <c r="H2109" s="75">
        <f t="shared" si="779"/>
        <v>1</v>
      </c>
      <c r="I2109" s="76">
        <f t="shared" si="780"/>
        <v>1.0816000000000001</v>
      </c>
      <c r="J2109" s="76">
        <f t="shared" si="781"/>
        <v>1.0816000000000001</v>
      </c>
      <c r="K2109" s="67">
        <f t="shared" si="782"/>
        <v>0</v>
      </c>
      <c r="L2109" s="67">
        <f t="shared" si="783"/>
        <v>0</v>
      </c>
      <c r="M2109" s="77">
        <f t="shared" si="784"/>
        <v>0</v>
      </c>
      <c r="N2109" s="76">
        <f t="shared" si="785"/>
        <v>1.0816000000000001</v>
      </c>
      <c r="O2109" s="77">
        <f t="shared" si="786"/>
        <v>0.9253172866520788</v>
      </c>
      <c r="P2109" s="76">
        <f t="shared" si="787"/>
        <v>0</v>
      </c>
      <c r="Q2109" s="76">
        <f t="shared" si="788"/>
        <v>0.58333333333333337</v>
      </c>
      <c r="R2109" s="76">
        <f t="shared" si="789"/>
        <v>0.41666666666666663</v>
      </c>
      <c r="S2109" s="76">
        <f t="shared" si="790"/>
        <v>1.0878512796118354</v>
      </c>
      <c r="T2109" s="76">
        <f t="shared" si="791"/>
        <v>1.0279535724479116</v>
      </c>
      <c r="U2109" s="76">
        <f t="shared" si="792"/>
        <v>1.0816000000000001</v>
      </c>
    </row>
    <row r="2110" spans="1:21" x14ac:dyDescent="0.25">
      <c r="A2110" s="71">
        <v>34</v>
      </c>
      <c r="B2110" s="72">
        <f t="shared" si="793"/>
        <v>46661</v>
      </c>
      <c r="C2110" s="73">
        <f t="shared" si="774"/>
        <v>46691</v>
      </c>
      <c r="D2110" s="67">
        <f t="shared" si="775"/>
        <v>31</v>
      </c>
      <c r="E2110" s="67">
        <f t="shared" si="776"/>
        <v>10</v>
      </c>
      <c r="F2110" s="74">
        <f t="shared" si="777"/>
        <v>46676.5</v>
      </c>
      <c r="G2110" s="67">
        <f t="shared" si="778"/>
        <v>24333</v>
      </c>
      <c r="H2110" s="75">
        <f t="shared" si="779"/>
        <v>1</v>
      </c>
      <c r="I2110" s="76">
        <f t="shared" si="780"/>
        <v>1.0816000000000001</v>
      </c>
      <c r="J2110" s="76">
        <f t="shared" si="781"/>
        <v>1.0816000000000001</v>
      </c>
      <c r="K2110" s="67">
        <f t="shared" si="782"/>
        <v>0</v>
      </c>
      <c r="L2110" s="67">
        <f t="shared" si="783"/>
        <v>0</v>
      </c>
      <c r="M2110" s="77">
        <f t="shared" si="784"/>
        <v>0</v>
      </c>
      <c r="N2110" s="76">
        <f t="shared" si="785"/>
        <v>1.0816000000000001</v>
      </c>
      <c r="O2110" s="77">
        <f t="shared" si="786"/>
        <v>0.92665207877461708</v>
      </c>
      <c r="P2110" s="76">
        <f t="shared" si="787"/>
        <v>0</v>
      </c>
      <c r="Q2110" s="76">
        <f t="shared" si="788"/>
        <v>0.41666666666666669</v>
      </c>
      <c r="R2110" s="76">
        <f t="shared" si="789"/>
        <v>0.58333333333333326</v>
      </c>
      <c r="S2110" s="76">
        <f t="shared" si="790"/>
        <v>1.0894205308724196</v>
      </c>
      <c r="T2110" s="76">
        <f t="shared" si="791"/>
        <v>1.0294624678907811</v>
      </c>
      <c r="U2110" s="76">
        <f t="shared" si="792"/>
        <v>1.0816000000000001</v>
      </c>
    </row>
    <row r="2111" spans="1:21" x14ac:dyDescent="0.25">
      <c r="A2111" s="71">
        <v>35</v>
      </c>
      <c r="B2111" s="72">
        <f t="shared" si="793"/>
        <v>46692</v>
      </c>
      <c r="C2111" s="73">
        <f t="shared" si="774"/>
        <v>46721</v>
      </c>
      <c r="D2111" s="67">
        <f t="shared" si="775"/>
        <v>30</v>
      </c>
      <c r="E2111" s="67">
        <f t="shared" si="776"/>
        <v>11</v>
      </c>
      <c r="F2111" s="74">
        <f t="shared" si="777"/>
        <v>46707</v>
      </c>
      <c r="G2111" s="67">
        <f t="shared" si="778"/>
        <v>24334</v>
      </c>
      <c r="H2111" s="75">
        <f t="shared" si="779"/>
        <v>1</v>
      </c>
      <c r="I2111" s="76">
        <f t="shared" si="780"/>
        <v>1.0816000000000001</v>
      </c>
      <c r="J2111" s="76">
        <f t="shared" si="781"/>
        <v>1.0816000000000001</v>
      </c>
      <c r="K2111" s="67">
        <f t="shared" si="782"/>
        <v>0</v>
      </c>
      <c r="L2111" s="67">
        <f t="shared" si="783"/>
        <v>0</v>
      </c>
      <c r="M2111" s="77">
        <f t="shared" si="784"/>
        <v>0</v>
      </c>
      <c r="N2111" s="76">
        <f t="shared" si="785"/>
        <v>1.0816000000000001</v>
      </c>
      <c r="O2111" s="77">
        <f t="shared" si="786"/>
        <v>0.92798687089715537</v>
      </c>
      <c r="P2111" s="76">
        <f t="shared" si="787"/>
        <v>0</v>
      </c>
      <c r="Q2111" s="76">
        <f t="shared" si="788"/>
        <v>0.25</v>
      </c>
      <c r="R2111" s="76">
        <f t="shared" si="789"/>
        <v>0.75</v>
      </c>
      <c r="S2111" s="76">
        <f t="shared" si="790"/>
        <v>1.0909897821330035</v>
      </c>
      <c r="T2111" s="76">
        <f t="shared" si="791"/>
        <v>1.0309713633336506</v>
      </c>
      <c r="U2111" s="76">
        <f t="shared" si="792"/>
        <v>1.0816000000000001</v>
      </c>
    </row>
    <row r="2112" spans="1:21" x14ac:dyDescent="0.25">
      <c r="A2112" s="71">
        <v>36</v>
      </c>
      <c r="B2112" s="72">
        <f t="shared" si="793"/>
        <v>46722</v>
      </c>
      <c r="C2112" s="73">
        <f t="shared" si="774"/>
        <v>46752</v>
      </c>
      <c r="D2112" s="67">
        <f t="shared" si="775"/>
        <v>31</v>
      </c>
      <c r="E2112" s="67">
        <f t="shared" si="776"/>
        <v>12</v>
      </c>
      <c r="F2112" s="74">
        <f t="shared" si="777"/>
        <v>46737.5</v>
      </c>
      <c r="G2112" s="67">
        <f t="shared" si="778"/>
        <v>24335</v>
      </c>
      <c r="H2112" s="75">
        <f t="shared" si="779"/>
        <v>1</v>
      </c>
      <c r="I2112" s="76">
        <f t="shared" si="780"/>
        <v>1.0816000000000001</v>
      </c>
      <c r="J2112" s="76">
        <f t="shared" si="781"/>
        <v>1.0816000000000001</v>
      </c>
      <c r="K2112" s="67">
        <f t="shared" si="782"/>
        <v>0</v>
      </c>
      <c r="L2112" s="67">
        <f t="shared" si="783"/>
        <v>0</v>
      </c>
      <c r="M2112" s="77">
        <f t="shared" si="784"/>
        <v>0</v>
      </c>
      <c r="N2112" s="76">
        <f t="shared" si="785"/>
        <v>1.0816000000000001</v>
      </c>
      <c r="O2112" s="77">
        <f t="shared" si="786"/>
        <v>0.92932166301969366</v>
      </c>
      <c r="P2112" s="76">
        <f t="shared" si="787"/>
        <v>0</v>
      </c>
      <c r="Q2112" s="76">
        <f t="shared" si="788"/>
        <v>8.3333333333333329E-2</v>
      </c>
      <c r="R2112" s="76">
        <f t="shared" si="789"/>
        <v>0.91666666666666663</v>
      </c>
      <c r="S2112" s="76">
        <f t="shared" si="790"/>
        <v>1.0925590333935877</v>
      </c>
      <c r="T2112" s="76">
        <f t="shared" si="791"/>
        <v>1.0324802587765198</v>
      </c>
      <c r="U2112" s="76">
        <f t="shared" si="792"/>
        <v>1.0816000000000001</v>
      </c>
    </row>
    <row r="2113" spans="1:21" x14ac:dyDescent="0.25">
      <c r="A2113" s="71">
        <v>37</v>
      </c>
      <c r="B2113" s="72">
        <f t="shared" si="793"/>
        <v>46753</v>
      </c>
      <c r="C2113" s="73">
        <f t="shared" si="774"/>
        <v>46783</v>
      </c>
      <c r="D2113" s="67">
        <f t="shared" si="775"/>
        <v>31</v>
      </c>
      <c r="E2113" s="67">
        <f t="shared" si="776"/>
        <v>1</v>
      </c>
      <c r="F2113" s="74">
        <f t="shared" si="777"/>
        <v>46768.5</v>
      </c>
      <c r="G2113" s="67">
        <f t="shared" si="778"/>
        <v>24336</v>
      </c>
      <c r="H2113" s="75">
        <f t="shared" si="779"/>
        <v>1</v>
      </c>
      <c r="I2113" s="76">
        <f t="shared" si="780"/>
        <v>1.0816000000000001</v>
      </c>
      <c r="J2113" s="76">
        <f t="shared" si="781"/>
        <v>1.0816000000000001</v>
      </c>
      <c r="K2113" s="67">
        <f t="shared" si="782"/>
        <v>0</v>
      </c>
      <c r="L2113" s="67">
        <f t="shared" si="783"/>
        <v>0</v>
      </c>
      <c r="M2113" s="77">
        <f t="shared" si="784"/>
        <v>0</v>
      </c>
      <c r="N2113" s="76">
        <f t="shared" si="785"/>
        <v>1.0816000000000001</v>
      </c>
      <c r="O2113" s="77">
        <f t="shared" si="786"/>
        <v>0.93</v>
      </c>
      <c r="P2113" s="76">
        <f t="shared" si="787"/>
        <v>0</v>
      </c>
      <c r="Q2113" s="76">
        <f t="shared" si="788"/>
        <v>0</v>
      </c>
      <c r="R2113" s="76">
        <f t="shared" si="789"/>
        <v>1</v>
      </c>
      <c r="S2113" s="76">
        <f t="shared" si="790"/>
        <v>1.0933565217391306</v>
      </c>
      <c r="T2113" s="76">
        <f t="shared" si="791"/>
        <v>0.97688136238226619</v>
      </c>
      <c r="U2113" s="76">
        <f t="shared" si="792"/>
        <v>1.0816000000000001</v>
      </c>
    </row>
    <row r="2114" spans="1:21" x14ac:dyDescent="0.25">
      <c r="A2114" s="71">
        <v>38</v>
      </c>
      <c r="B2114" s="72">
        <f t="shared" si="793"/>
        <v>46784</v>
      </c>
      <c r="C2114" s="73">
        <f t="shared" si="774"/>
        <v>46812</v>
      </c>
      <c r="D2114" s="67">
        <f t="shared" si="775"/>
        <v>29</v>
      </c>
      <c r="E2114" s="67">
        <f t="shared" si="776"/>
        <v>2</v>
      </c>
      <c r="F2114" s="74">
        <f t="shared" si="777"/>
        <v>46798.5</v>
      </c>
      <c r="G2114" s="67">
        <f t="shared" si="778"/>
        <v>24337</v>
      </c>
      <c r="H2114" s="75">
        <f t="shared" si="779"/>
        <v>1</v>
      </c>
      <c r="I2114" s="76">
        <f t="shared" si="780"/>
        <v>1.0816000000000001</v>
      </c>
      <c r="J2114" s="76">
        <f t="shared" si="781"/>
        <v>1.0816000000000001</v>
      </c>
      <c r="K2114" s="67">
        <f t="shared" si="782"/>
        <v>0</v>
      </c>
      <c r="L2114" s="67">
        <f t="shared" si="783"/>
        <v>0</v>
      </c>
      <c r="M2114" s="77">
        <f t="shared" si="784"/>
        <v>0</v>
      </c>
      <c r="N2114" s="76">
        <f t="shared" si="785"/>
        <v>1.0816000000000001</v>
      </c>
      <c r="O2114" s="77">
        <f t="shared" si="786"/>
        <v>0.93</v>
      </c>
      <c r="P2114" s="76">
        <f t="shared" si="787"/>
        <v>0</v>
      </c>
      <c r="Q2114" s="76">
        <f t="shared" si="788"/>
        <v>0</v>
      </c>
      <c r="R2114" s="76">
        <f t="shared" si="789"/>
        <v>1</v>
      </c>
      <c r="S2114" s="76">
        <f t="shared" si="790"/>
        <v>1.0933565217391306</v>
      </c>
      <c r="T2114" s="76">
        <f t="shared" si="791"/>
        <v>1.0174160403386927</v>
      </c>
      <c r="U2114" s="76">
        <f t="shared" si="792"/>
        <v>1.0816000000000001</v>
      </c>
    </row>
    <row r="2115" spans="1:21" x14ac:dyDescent="0.25">
      <c r="A2115" s="71">
        <v>39</v>
      </c>
      <c r="B2115" s="72">
        <f t="shared" si="793"/>
        <v>46813</v>
      </c>
      <c r="C2115" s="73">
        <f t="shared" si="774"/>
        <v>46843</v>
      </c>
      <c r="D2115" s="67">
        <f t="shared" si="775"/>
        <v>31</v>
      </c>
      <c r="E2115" s="67">
        <f t="shared" si="776"/>
        <v>3</v>
      </c>
      <c r="F2115" s="74">
        <f t="shared" si="777"/>
        <v>46828.5</v>
      </c>
      <c r="G2115" s="67">
        <f t="shared" si="778"/>
        <v>24338</v>
      </c>
      <c r="H2115" s="75">
        <f t="shared" si="779"/>
        <v>1</v>
      </c>
      <c r="I2115" s="76">
        <f t="shared" si="780"/>
        <v>1.0816000000000001</v>
      </c>
      <c r="J2115" s="76">
        <f t="shared" si="781"/>
        <v>1.0816000000000001</v>
      </c>
      <c r="K2115" s="67">
        <f t="shared" si="782"/>
        <v>0</v>
      </c>
      <c r="L2115" s="67">
        <f t="shared" si="783"/>
        <v>0</v>
      </c>
      <c r="M2115" s="77">
        <f t="shared" si="784"/>
        <v>0</v>
      </c>
      <c r="N2115" s="76">
        <f t="shared" si="785"/>
        <v>1.0816000000000001</v>
      </c>
      <c r="O2115" s="77">
        <f t="shared" si="786"/>
        <v>0.93</v>
      </c>
      <c r="P2115" s="76">
        <f t="shared" si="787"/>
        <v>0</v>
      </c>
      <c r="Q2115" s="76">
        <f t="shared" si="788"/>
        <v>0</v>
      </c>
      <c r="R2115" s="76">
        <f t="shared" si="789"/>
        <v>1</v>
      </c>
      <c r="S2115" s="76">
        <f t="shared" si="790"/>
        <v>1.0933565217391306</v>
      </c>
      <c r="T2115" s="76">
        <f t="shared" si="791"/>
        <v>1.0188754637998287</v>
      </c>
      <c r="U2115" s="76">
        <f t="shared" si="792"/>
        <v>1.0816000000000001</v>
      </c>
    </row>
    <row r="2116" spans="1:21" x14ac:dyDescent="0.25">
      <c r="A2116" s="71">
        <v>40</v>
      </c>
      <c r="B2116" s="72">
        <f t="shared" si="793"/>
        <v>46844</v>
      </c>
      <c r="C2116" s="73">
        <f t="shared" si="774"/>
        <v>46873</v>
      </c>
      <c r="D2116" s="67">
        <f t="shared" si="775"/>
        <v>30</v>
      </c>
      <c r="E2116" s="67">
        <f t="shared" si="776"/>
        <v>4</v>
      </c>
      <c r="F2116" s="74">
        <f t="shared" si="777"/>
        <v>46859</v>
      </c>
      <c r="G2116" s="67">
        <f t="shared" si="778"/>
        <v>24339</v>
      </c>
      <c r="H2116" s="75">
        <f t="shared" si="779"/>
        <v>1</v>
      </c>
      <c r="I2116" s="76">
        <f t="shared" si="780"/>
        <v>1.0816000000000001</v>
      </c>
      <c r="J2116" s="76">
        <f t="shared" si="781"/>
        <v>1.0816000000000001</v>
      </c>
      <c r="K2116" s="67">
        <f t="shared" si="782"/>
        <v>0</v>
      </c>
      <c r="L2116" s="67">
        <f t="shared" si="783"/>
        <v>0</v>
      </c>
      <c r="M2116" s="77">
        <f t="shared" si="784"/>
        <v>0</v>
      </c>
      <c r="N2116" s="76">
        <f t="shared" si="785"/>
        <v>1.0816000000000001</v>
      </c>
      <c r="O2116" s="77">
        <f t="shared" si="786"/>
        <v>0.93</v>
      </c>
      <c r="P2116" s="76">
        <f t="shared" si="787"/>
        <v>0</v>
      </c>
      <c r="Q2116" s="76">
        <f t="shared" si="788"/>
        <v>0</v>
      </c>
      <c r="R2116" s="76">
        <f t="shared" si="789"/>
        <v>1</v>
      </c>
      <c r="S2116" s="76">
        <f t="shared" si="790"/>
        <v>1.0933565217391306</v>
      </c>
      <c r="T2116" s="76">
        <f t="shared" si="791"/>
        <v>1.0203843592426982</v>
      </c>
      <c r="U2116" s="76">
        <f t="shared" si="792"/>
        <v>1.0816000000000001</v>
      </c>
    </row>
    <row r="2117" spans="1:21" x14ac:dyDescent="0.25">
      <c r="A2117" s="71">
        <v>41</v>
      </c>
      <c r="B2117" s="72">
        <f t="shared" si="793"/>
        <v>46874</v>
      </c>
      <c r="C2117" s="73">
        <f t="shared" si="774"/>
        <v>46904</v>
      </c>
      <c r="D2117" s="67">
        <f t="shared" si="775"/>
        <v>31</v>
      </c>
      <c r="E2117" s="67">
        <f t="shared" si="776"/>
        <v>5</v>
      </c>
      <c r="F2117" s="74">
        <f t="shared" si="777"/>
        <v>46889.5</v>
      </c>
      <c r="G2117" s="67">
        <f t="shared" si="778"/>
        <v>24340</v>
      </c>
      <c r="H2117" s="75">
        <f t="shared" si="779"/>
        <v>1</v>
      </c>
      <c r="I2117" s="76">
        <f t="shared" si="780"/>
        <v>1.0816000000000001</v>
      </c>
      <c r="J2117" s="76">
        <f t="shared" si="781"/>
        <v>1.0816000000000001</v>
      </c>
      <c r="K2117" s="67">
        <f t="shared" si="782"/>
        <v>0</v>
      </c>
      <c r="L2117" s="67">
        <f t="shared" si="783"/>
        <v>0</v>
      </c>
      <c r="M2117" s="77">
        <f t="shared" si="784"/>
        <v>0</v>
      </c>
      <c r="N2117" s="76">
        <f t="shared" si="785"/>
        <v>1.0816000000000001</v>
      </c>
      <c r="O2117" s="77">
        <f t="shared" si="786"/>
        <v>0.93</v>
      </c>
      <c r="P2117" s="76">
        <f t="shared" si="787"/>
        <v>0</v>
      </c>
      <c r="Q2117" s="76">
        <f t="shared" si="788"/>
        <v>0</v>
      </c>
      <c r="R2117" s="76">
        <f t="shared" si="789"/>
        <v>1</v>
      </c>
      <c r="S2117" s="76">
        <f t="shared" si="790"/>
        <v>1.0933565217391306</v>
      </c>
      <c r="T2117" s="76">
        <f t="shared" si="791"/>
        <v>1.0218932546855675</v>
      </c>
      <c r="U2117" s="76">
        <f t="shared" si="792"/>
        <v>1.0816000000000001</v>
      </c>
    </row>
    <row r="2118" spans="1:21" x14ac:dyDescent="0.25">
      <c r="A2118" s="71">
        <v>42</v>
      </c>
      <c r="B2118" s="72">
        <f t="shared" si="793"/>
        <v>46905</v>
      </c>
      <c r="C2118" s="73">
        <f t="shared" si="774"/>
        <v>46934</v>
      </c>
      <c r="D2118" s="67">
        <f t="shared" si="775"/>
        <v>30</v>
      </c>
      <c r="E2118" s="67">
        <f t="shared" si="776"/>
        <v>6</v>
      </c>
      <c r="F2118" s="74">
        <f t="shared" si="777"/>
        <v>46920</v>
      </c>
      <c r="G2118" s="67">
        <f t="shared" si="778"/>
        <v>24341</v>
      </c>
      <c r="H2118" s="75">
        <f t="shared" si="779"/>
        <v>1</v>
      </c>
      <c r="I2118" s="76">
        <f t="shared" si="780"/>
        <v>1.0816000000000001</v>
      </c>
      <c r="J2118" s="76">
        <f t="shared" si="781"/>
        <v>1.0816000000000001</v>
      </c>
      <c r="K2118" s="67">
        <f t="shared" si="782"/>
        <v>0</v>
      </c>
      <c r="L2118" s="67">
        <f t="shared" si="783"/>
        <v>0</v>
      </c>
      <c r="M2118" s="77">
        <f t="shared" si="784"/>
        <v>0</v>
      </c>
      <c r="N2118" s="76">
        <f t="shared" si="785"/>
        <v>1.0816000000000001</v>
      </c>
      <c r="O2118" s="77">
        <f t="shared" si="786"/>
        <v>0.93</v>
      </c>
      <c r="P2118" s="76">
        <f t="shared" si="787"/>
        <v>0</v>
      </c>
      <c r="Q2118" s="76">
        <f t="shared" si="788"/>
        <v>0</v>
      </c>
      <c r="R2118" s="76">
        <f t="shared" si="789"/>
        <v>1</v>
      </c>
      <c r="S2118" s="76">
        <f t="shared" si="790"/>
        <v>1.0933565217391306</v>
      </c>
      <c r="T2118" s="76">
        <f t="shared" si="791"/>
        <v>1.0234021501284369</v>
      </c>
      <c r="U2118" s="76">
        <f t="shared" si="792"/>
        <v>1.0816000000000001</v>
      </c>
    </row>
    <row r="2119" spans="1:21" x14ac:dyDescent="0.25">
      <c r="A2119" s="71">
        <v>43</v>
      </c>
      <c r="B2119" s="72">
        <f t="shared" si="793"/>
        <v>46935</v>
      </c>
      <c r="C2119" s="73">
        <f t="shared" si="774"/>
        <v>46965</v>
      </c>
      <c r="D2119" s="67">
        <f t="shared" si="775"/>
        <v>31</v>
      </c>
      <c r="E2119" s="67">
        <f t="shared" si="776"/>
        <v>7</v>
      </c>
      <c r="F2119" s="74">
        <f t="shared" si="777"/>
        <v>46950.5</v>
      </c>
      <c r="G2119" s="67">
        <f t="shared" si="778"/>
        <v>24342</v>
      </c>
      <c r="H2119" s="75">
        <f t="shared" si="779"/>
        <v>1</v>
      </c>
      <c r="I2119" s="76">
        <f t="shared" si="780"/>
        <v>1.0816000000000001</v>
      </c>
      <c r="J2119" s="76">
        <f t="shared" si="781"/>
        <v>1.0816000000000001</v>
      </c>
      <c r="K2119" s="67">
        <f t="shared" si="782"/>
        <v>0</v>
      </c>
      <c r="L2119" s="67">
        <f t="shared" si="783"/>
        <v>0</v>
      </c>
      <c r="M2119" s="77">
        <f t="shared" si="784"/>
        <v>0</v>
      </c>
      <c r="N2119" s="76">
        <f t="shared" si="785"/>
        <v>1.0816000000000001</v>
      </c>
      <c r="O2119" s="77">
        <f t="shared" si="786"/>
        <v>0.93</v>
      </c>
      <c r="P2119" s="76">
        <f t="shared" si="787"/>
        <v>0</v>
      </c>
      <c r="Q2119" s="76">
        <f t="shared" si="788"/>
        <v>0</v>
      </c>
      <c r="R2119" s="76">
        <f t="shared" si="789"/>
        <v>0.91666666666666663</v>
      </c>
      <c r="S2119" s="76">
        <f t="shared" si="790"/>
        <v>1.0933565217391306</v>
      </c>
      <c r="T2119" s="76">
        <f t="shared" si="791"/>
        <v>1.0249110455713062</v>
      </c>
      <c r="U2119" s="76">
        <f t="shared" si="792"/>
        <v>1.0816000000000001</v>
      </c>
    </row>
    <row r="2120" spans="1:21" x14ac:dyDescent="0.25">
      <c r="A2120" s="71">
        <v>44</v>
      </c>
      <c r="B2120" s="72">
        <f t="shared" si="793"/>
        <v>46966</v>
      </c>
      <c r="C2120" s="73">
        <f t="shared" si="774"/>
        <v>46996</v>
      </c>
      <c r="D2120" s="67">
        <f t="shared" si="775"/>
        <v>31</v>
      </c>
      <c r="E2120" s="67">
        <f t="shared" si="776"/>
        <v>8</v>
      </c>
      <c r="F2120" s="74">
        <f t="shared" si="777"/>
        <v>46981.5</v>
      </c>
      <c r="G2120" s="67">
        <f t="shared" si="778"/>
        <v>24343</v>
      </c>
      <c r="H2120" s="75">
        <f t="shared" si="779"/>
        <v>1</v>
      </c>
      <c r="I2120" s="76">
        <f t="shared" si="780"/>
        <v>1.0816000000000001</v>
      </c>
      <c r="J2120" s="76">
        <f t="shared" si="781"/>
        <v>1.0816000000000001</v>
      </c>
      <c r="K2120" s="67">
        <f t="shared" si="782"/>
        <v>0</v>
      </c>
      <c r="L2120" s="67">
        <f t="shared" si="783"/>
        <v>0</v>
      </c>
      <c r="M2120" s="77">
        <f t="shared" si="784"/>
        <v>0</v>
      </c>
      <c r="N2120" s="76">
        <f t="shared" si="785"/>
        <v>1.0816000000000001</v>
      </c>
      <c r="O2120" s="77">
        <f t="shared" si="786"/>
        <v>0.93</v>
      </c>
      <c r="P2120" s="76">
        <f t="shared" si="787"/>
        <v>0</v>
      </c>
      <c r="Q2120" s="76">
        <f t="shared" si="788"/>
        <v>0</v>
      </c>
      <c r="R2120" s="76">
        <f t="shared" si="789"/>
        <v>0.75</v>
      </c>
      <c r="S2120" s="76">
        <f t="shared" si="790"/>
        <v>1.0933565217391306</v>
      </c>
      <c r="T2120" s="76">
        <f t="shared" si="791"/>
        <v>1.0264446770050424</v>
      </c>
      <c r="U2120" s="76">
        <f t="shared" si="792"/>
        <v>1.0816000000000001</v>
      </c>
    </row>
    <row r="2121" spans="1:21" x14ac:dyDescent="0.25">
      <c r="A2121" s="71">
        <v>45</v>
      </c>
      <c r="B2121" s="72">
        <f t="shared" si="793"/>
        <v>46997</v>
      </c>
      <c r="C2121" s="73">
        <f t="shared" si="774"/>
        <v>47026</v>
      </c>
      <c r="D2121" s="67">
        <f t="shared" si="775"/>
        <v>30</v>
      </c>
      <c r="E2121" s="67">
        <f t="shared" si="776"/>
        <v>9</v>
      </c>
      <c r="F2121" s="74">
        <f t="shared" si="777"/>
        <v>47012</v>
      </c>
      <c r="G2121" s="67">
        <f t="shared" si="778"/>
        <v>24344</v>
      </c>
      <c r="H2121" s="75">
        <f t="shared" si="779"/>
        <v>1</v>
      </c>
      <c r="I2121" s="76">
        <f t="shared" si="780"/>
        <v>1.0816000000000001</v>
      </c>
      <c r="J2121" s="76">
        <f t="shared" si="781"/>
        <v>1.0816000000000001</v>
      </c>
      <c r="K2121" s="67">
        <f t="shared" si="782"/>
        <v>0</v>
      </c>
      <c r="L2121" s="67">
        <f t="shared" si="783"/>
        <v>0</v>
      </c>
      <c r="M2121" s="77">
        <f t="shared" si="784"/>
        <v>0</v>
      </c>
      <c r="N2121" s="76">
        <f t="shared" si="785"/>
        <v>1.0816000000000001</v>
      </c>
      <c r="O2121" s="77">
        <f t="shared" si="786"/>
        <v>0.93</v>
      </c>
      <c r="P2121" s="76">
        <f t="shared" si="787"/>
        <v>0</v>
      </c>
      <c r="Q2121" s="76">
        <f t="shared" si="788"/>
        <v>0</v>
      </c>
      <c r="R2121" s="76">
        <f t="shared" si="789"/>
        <v>0.58333333333333337</v>
      </c>
      <c r="S2121" s="76">
        <f t="shared" si="790"/>
        <v>1.0933565217391306</v>
      </c>
      <c r="T2121" s="76">
        <f t="shared" si="791"/>
        <v>1.0279535724479116</v>
      </c>
      <c r="U2121" s="76">
        <f t="shared" si="792"/>
        <v>1.0816000000000001</v>
      </c>
    </row>
    <row r="2122" spans="1:21" x14ac:dyDescent="0.25">
      <c r="A2122" s="71">
        <v>46</v>
      </c>
      <c r="B2122" s="72">
        <f t="shared" si="793"/>
        <v>47027</v>
      </c>
      <c r="C2122" s="73">
        <f t="shared" si="774"/>
        <v>47057</v>
      </c>
      <c r="D2122" s="67">
        <f t="shared" si="775"/>
        <v>31</v>
      </c>
      <c r="E2122" s="67">
        <f t="shared" si="776"/>
        <v>10</v>
      </c>
      <c r="F2122" s="74">
        <f t="shared" si="777"/>
        <v>47042.5</v>
      </c>
      <c r="G2122" s="67">
        <f t="shared" si="778"/>
        <v>24345</v>
      </c>
      <c r="H2122" s="75">
        <f t="shared" si="779"/>
        <v>1</v>
      </c>
      <c r="I2122" s="76">
        <f t="shared" si="780"/>
        <v>1.0816000000000001</v>
      </c>
      <c r="J2122" s="76">
        <f t="shared" si="781"/>
        <v>1.0816000000000001</v>
      </c>
      <c r="K2122" s="67">
        <f t="shared" si="782"/>
        <v>0</v>
      </c>
      <c r="L2122" s="67">
        <f t="shared" si="783"/>
        <v>0</v>
      </c>
      <c r="M2122" s="77">
        <f t="shared" si="784"/>
        <v>0</v>
      </c>
      <c r="N2122" s="76">
        <f t="shared" si="785"/>
        <v>1.0816000000000001</v>
      </c>
      <c r="O2122" s="77">
        <f t="shared" si="786"/>
        <v>0.93</v>
      </c>
      <c r="P2122" s="76">
        <f t="shared" si="787"/>
        <v>0</v>
      </c>
      <c r="Q2122" s="76">
        <f t="shared" si="788"/>
        <v>0</v>
      </c>
      <c r="R2122" s="76">
        <f t="shared" si="789"/>
        <v>0.41666666666666669</v>
      </c>
      <c r="S2122" s="76">
        <f t="shared" si="790"/>
        <v>1.0933565217391306</v>
      </c>
      <c r="T2122" s="76">
        <f t="shared" si="791"/>
        <v>1.0294624678907811</v>
      </c>
      <c r="U2122" s="76">
        <f t="shared" si="792"/>
        <v>1.0816000000000001</v>
      </c>
    </row>
    <row r="2123" spans="1:21" x14ac:dyDescent="0.25">
      <c r="A2123" s="71">
        <v>47</v>
      </c>
      <c r="B2123" s="72">
        <f t="shared" si="793"/>
        <v>47058</v>
      </c>
      <c r="C2123" s="73">
        <f t="shared" si="774"/>
        <v>47087</v>
      </c>
      <c r="D2123" s="67">
        <f t="shared" si="775"/>
        <v>30</v>
      </c>
      <c r="E2123" s="67">
        <f t="shared" si="776"/>
        <v>11</v>
      </c>
      <c r="F2123" s="74">
        <f t="shared" si="777"/>
        <v>47073</v>
      </c>
      <c r="G2123" s="67">
        <f t="shared" si="778"/>
        <v>24346</v>
      </c>
      <c r="H2123" s="75">
        <f t="shared" si="779"/>
        <v>1</v>
      </c>
      <c r="I2123" s="76">
        <f t="shared" si="780"/>
        <v>1.0816000000000001</v>
      </c>
      <c r="J2123" s="76">
        <f t="shared" si="781"/>
        <v>1.0816000000000001</v>
      </c>
      <c r="K2123" s="67">
        <f t="shared" si="782"/>
        <v>0</v>
      </c>
      <c r="L2123" s="67">
        <f t="shared" si="783"/>
        <v>0</v>
      </c>
      <c r="M2123" s="77">
        <f t="shared" si="784"/>
        <v>0</v>
      </c>
      <c r="N2123" s="76">
        <f t="shared" si="785"/>
        <v>1.0816000000000001</v>
      </c>
      <c r="O2123" s="77">
        <f t="shared" si="786"/>
        <v>0.93</v>
      </c>
      <c r="P2123" s="76">
        <f t="shared" si="787"/>
        <v>0</v>
      </c>
      <c r="Q2123" s="76">
        <f t="shared" si="788"/>
        <v>0</v>
      </c>
      <c r="R2123" s="76">
        <f t="shared" si="789"/>
        <v>0.25</v>
      </c>
      <c r="S2123" s="76">
        <f t="shared" si="790"/>
        <v>1.0933565217391306</v>
      </c>
      <c r="T2123" s="76">
        <f t="shared" si="791"/>
        <v>1.0309713633336506</v>
      </c>
      <c r="U2123" s="76">
        <f t="shared" si="792"/>
        <v>1.0816000000000001</v>
      </c>
    </row>
    <row r="2124" spans="1:21" x14ac:dyDescent="0.25">
      <c r="A2124" s="71">
        <v>48</v>
      </c>
      <c r="B2124" s="72">
        <f t="shared" si="793"/>
        <v>47088</v>
      </c>
      <c r="C2124" s="73">
        <f t="shared" si="774"/>
        <v>47118</v>
      </c>
      <c r="D2124" s="67">
        <f t="shared" si="775"/>
        <v>31</v>
      </c>
      <c r="E2124" s="67">
        <f t="shared" si="776"/>
        <v>12</v>
      </c>
      <c r="F2124" s="74">
        <f t="shared" si="777"/>
        <v>47103.5</v>
      </c>
      <c r="G2124" s="67">
        <f t="shared" si="778"/>
        <v>24347</v>
      </c>
      <c r="H2124" s="75">
        <f t="shared" si="779"/>
        <v>1</v>
      </c>
      <c r="I2124" s="76">
        <f t="shared" si="780"/>
        <v>1.0816000000000001</v>
      </c>
      <c r="J2124" s="76">
        <f t="shared" si="781"/>
        <v>1.0816000000000001</v>
      </c>
      <c r="K2124" s="67">
        <f t="shared" si="782"/>
        <v>0</v>
      </c>
      <c r="L2124" s="67">
        <f t="shared" si="783"/>
        <v>0</v>
      </c>
      <c r="M2124" s="77">
        <f t="shared" si="784"/>
        <v>0</v>
      </c>
      <c r="N2124" s="76">
        <f t="shared" si="785"/>
        <v>1.0816000000000001</v>
      </c>
      <c r="O2124" s="77">
        <f t="shared" si="786"/>
        <v>0.93</v>
      </c>
      <c r="P2124" s="76">
        <f t="shared" si="787"/>
        <v>0</v>
      </c>
      <c r="Q2124" s="76">
        <f t="shared" si="788"/>
        <v>0</v>
      </c>
      <c r="R2124" s="76">
        <f t="shared" si="789"/>
        <v>8.3333333333333329E-2</v>
      </c>
      <c r="S2124" s="76">
        <f t="shared" si="790"/>
        <v>1.0933565217391306</v>
      </c>
      <c r="T2124" s="76">
        <f t="shared" si="791"/>
        <v>1.0324802587765198</v>
      </c>
      <c r="U2124" s="76">
        <f t="shared" si="792"/>
        <v>1.0816000000000001</v>
      </c>
    </row>
    <row r="2125" spans="1:21" x14ac:dyDescent="0.25">
      <c r="A2125" s="81" t="s">
        <v>1187</v>
      </c>
      <c r="B2125" s="53">
        <f>EXP(SUMPRODUCT((rl_key=$A$2074)*(rl_cons="Y")*rl_ln1p))</f>
        <v>1.04</v>
      </c>
      <c r="C2125" s="53">
        <f>SUMPRODUCT($H$2077:$H$2124,$P$2077:$P$2124,$U$2077:$U$2124)/SUMPRODUCT($H$2077:$H$2124,$P$2077:$P$2124)</f>
        <v>1.0266666666666666</v>
      </c>
      <c r="D2125" s="53">
        <f>SUMPRODUCT($H$2077:$H$2124,$Q$2077:$Q$2124,$U$2077:$U$2124)/SUMPRODUCT($H$2077:$H$2124,$Q$2077:$Q$2124)</f>
        <v>1.0472222222222223</v>
      </c>
      <c r="E2125" s="53">
        <f>SUMPRODUCT($H$2077:$H$2124,$R$2077:$R$2124,$U$2077:$U$2124)/SUMPRODUCT($H$2077:$H$2124,$R$2077:$R$2124)</f>
        <v>1.0813111111111111</v>
      </c>
      <c r="F2125" s="172">
        <f>SUMPRODUCT($H$2077:$H$2124,$Q$2077:$Q$2124,$O$2077:$O$2124)/SUMPRODUCT($H$2077:$H$2124,$Q$2077:$Q$2124)</f>
        <v>0.91798504741064912</v>
      </c>
      <c r="G2125" s="172">
        <f>SUMPRODUCT($H$2077:$H$2124,$R$2077:$R$2124,$O$2077:$O$2124)/SUMPRODUCT($H$2077:$H$2124,$R$2077:$R$2124)</f>
        <v>0.92932044736202268</v>
      </c>
    </row>
    <row r="2128" spans="1:21" x14ac:dyDescent="0.25">
      <c r="A2128" s="81" t="str">
        <f>INDEX(lr_key,39)</f>
        <v>BU-B|OH</v>
      </c>
      <c r="B2128" s="81" t="str">
        <f>INDEX(lr_state,39)</f>
        <v>OH</v>
      </c>
      <c r="C2128" s="55">
        <f>nr_TermMonths</f>
        <v>6</v>
      </c>
      <c r="D2128" s="55">
        <f>IF(COUNTIF(se_state,$B2128)=0,0,MATCH($B2128,se_state,0))</f>
        <v>0</v>
      </c>
      <c r="E2128" s="57">
        <f>IF($D2128=0,0,INDEX(se_sum,$D2128))</f>
        <v>0</v>
      </c>
      <c r="F2128" s="172">
        <f>IF(N(INDEX(lr_mind,39))=0,1,INDEX(lr_mind,39))</f>
        <v>0.92</v>
      </c>
      <c r="G2128" s="172">
        <f>IF(N(INDEX(lr_m0,39))=0,1,INDEX(lr_m0,39))</f>
        <v>0.91</v>
      </c>
      <c r="H2128" s="54">
        <f>IF(N(INDEX(lr_m0asof,39))=0,DATE(nr_PlanYear-1,10,1),INDEX(lr_m0asof,39))</f>
        <v>46295</v>
      </c>
      <c r="I2128" s="172">
        <f>IF(N(INDEX(lr_m1,39))=0,1,INDEX(lr_m1,39))</f>
        <v>0.91</v>
      </c>
      <c r="J2128" s="172">
        <f>INDEX(lr_mprior,39)</f>
        <v>0</v>
      </c>
      <c r="K2128" s="172">
        <f>INDEX(lr_m2,39)</f>
        <v>0</v>
      </c>
      <c r="L2128" s="81" t="b">
        <f>NOT(ISBLANK(INDEX(lr_netp,39)))</f>
        <v>0</v>
      </c>
      <c r="M2128" s="52">
        <f>N(INDEX(lr_netp,39))</f>
        <v>0</v>
      </c>
      <c r="N2128" s="52">
        <f>IF(ISBLANK(INDEX(lr_netp1,39)),$M$2128,N(INDEX(lr_netp1,39)))</f>
        <v>0</v>
      </c>
      <c r="O2128" s="55">
        <f>IF(AND(nr_ModAdjMaster="ON",INDEX(lr_modadj,39)="ON"),1,0)</f>
        <v>1</v>
      </c>
    </row>
    <row r="2129" spans="1:21" x14ac:dyDescent="0.25">
      <c r="A2129" s="81">
        <f>EDATE($H$2128,-12)+1</f>
        <v>45931</v>
      </c>
      <c r="B2129" s="81">
        <f>$H$2128+1</f>
        <v>46296</v>
      </c>
      <c r="C2129" s="81">
        <f>DATE(nr_PlanYear,12,31)+1</f>
        <v>46753</v>
      </c>
      <c r="D2129" s="81">
        <f>DATE(nr_PlanYear+1,12,31)+1</f>
        <v>47119</v>
      </c>
      <c r="E2129" s="81">
        <f>IF(N($J$2128)=0,$F$2129-($G$2129-$F$2129)/($C$2129-$B$2129)*($B$2129-$A$2129),$J$2128)</f>
        <v>0.91</v>
      </c>
      <c r="F2129" s="81">
        <f>$G$2128</f>
        <v>0.91</v>
      </c>
      <c r="G2129" s="81">
        <f>$I$2128</f>
        <v>0.91</v>
      </c>
      <c r="H2129" s="81">
        <f>IF(N($K$2128)=0,$I$2128,$K$2128)</f>
        <v>0.91</v>
      </c>
      <c r="I2129" s="81">
        <f>($F$2129-$E$2129)/($B$2129-$A$2129)</f>
        <v>0</v>
      </c>
      <c r="J2129" s="81">
        <f>($G$2129-$F$2129)/($C$2129-$B$2129)</f>
        <v>0</v>
      </c>
      <c r="K2129" s="81">
        <f>($H$2129-$G$2129)/($D$2129-$C$2129)</f>
        <v>0</v>
      </c>
    </row>
    <row r="2130" spans="1:21" ht="36" x14ac:dyDescent="0.25">
      <c r="A2130" s="50" t="s">
        <v>211</v>
      </c>
      <c r="B2130" s="50" t="s">
        <v>212</v>
      </c>
      <c r="C2130" s="50" t="s">
        <v>213</v>
      </c>
      <c r="D2130" s="50" t="s">
        <v>214</v>
      </c>
      <c r="E2130" s="50" t="s">
        <v>215</v>
      </c>
      <c r="F2130" s="50" t="s">
        <v>216</v>
      </c>
      <c r="G2130" s="50" t="s">
        <v>217</v>
      </c>
      <c r="H2130" s="50" t="s">
        <v>218</v>
      </c>
      <c r="I2130" s="50" t="s">
        <v>219</v>
      </c>
      <c r="J2130" s="50" t="s">
        <v>220</v>
      </c>
      <c r="K2130" s="50" t="s">
        <v>221</v>
      </c>
      <c r="L2130" s="50" t="s">
        <v>222</v>
      </c>
      <c r="M2130" s="50" t="s">
        <v>223</v>
      </c>
      <c r="N2130" s="50" t="s">
        <v>224</v>
      </c>
      <c r="O2130" s="50" t="s">
        <v>225</v>
      </c>
      <c r="P2130" s="50" t="s">
        <v>226</v>
      </c>
      <c r="Q2130" s="50" t="s">
        <v>227</v>
      </c>
      <c r="R2130" s="50" t="s">
        <v>228</v>
      </c>
      <c r="S2130" s="50" t="s">
        <v>229</v>
      </c>
      <c r="T2130" s="50" t="s">
        <v>230</v>
      </c>
      <c r="U2130" s="50" t="s">
        <v>231</v>
      </c>
    </row>
    <row r="2131" spans="1:21" x14ac:dyDescent="0.25">
      <c r="A2131" s="71">
        <v>1</v>
      </c>
      <c r="B2131" s="72">
        <f>DATE(nr_PlanYear-2,1,1)</f>
        <v>45658</v>
      </c>
      <c r="C2131" s="73">
        <f t="shared" ref="C2131:C2178" si="794">EOMONTH($B2131,0)</f>
        <v>45688</v>
      </c>
      <c r="D2131" s="67">
        <f t="shared" ref="D2131:D2178" si="795">$C2131-$B2131+1</f>
        <v>31</v>
      </c>
      <c r="E2131" s="67">
        <f t="shared" ref="E2131:E2178" si="796">MONTH($B2131)</f>
        <v>1</v>
      </c>
      <c r="F2131" s="74">
        <f t="shared" ref="F2131:F2178" si="797">($B2131+$C2131+1)/2</f>
        <v>45673.5</v>
      </c>
      <c r="G2131" s="67">
        <f t="shared" ref="G2131:G2178" si="798">YEAR($B2131)*12+MONTH($B2131)-1</f>
        <v>24300</v>
      </c>
      <c r="H2131" s="75">
        <f t="shared" ref="H2131:H2178" si="799">IF(OR(nr_SeasonOn="OFF",$D$2128=0,$E$2128=0),1,12*INDEX(se_block,$D$2128,$E2131)/$E$2128)</f>
        <v>1</v>
      </c>
      <c r="I2131" s="76">
        <f t="shared" ref="I2131:I2178" si="800">EXP(SUMPRODUCT((rl_eff&lt;$B2131)*(rl_key=$A$2128)*rl_ln1p))</f>
        <v>1</v>
      </c>
      <c r="J2131" s="76">
        <f t="shared" ref="J2131:J2178" si="801">EXP(SUMPRODUCT((rl_eff&lt;=$C2131)*(rl_key=$A$2128)*rl_ln1p))</f>
        <v>1</v>
      </c>
      <c r="K2131" s="67">
        <f t="shared" ref="K2131:K2178" si="802">COUNTIFS(rl_key,$A$2128,rl_eff,"&gt;="&amp;$B2131,rl_eff,"&lt;="&amp;$C2131)</f>
        <v>0</v>
      </c>
      <c r="L2131" s="67">
        <f t="shared" ref="L2131:L2178" si="803">SUMIFS(rl_daysafter,rl_key,$A$2128,rl_effmonth,$B2131,rl_first,1)</f>
        <v>0</v>
      </c>
      <c r="M2131" s="77">
        <f t="shared" ref="M2131:M2178" si="804">IF($K2131=0,0,MIN(1,$L2131/$D2131))</f>
        <v>0</v>
      </c>
      <c r="N2131" s="76">
        <f t="shared" ref="N2131:N2178" si="805">IF($K2131=0,$J2131,(1-$M2131)*$I2131+$M2131*$J2131)</f>
        <v>1</v>
      </c>
      <c r="O2131" s="77">
        <f t="shared" ref="O2131:O2178" si="806">IF($F2131&lt;$B$2129,$E$2129+$I$2129*($F2131-$A$2129),IF($F2131&lt;$C$2129,$F$2129+$J$2129*($F2131-$B$2129),$G$2129+$K$2129*($F2131-$C$2129)))</f>
        <v>0.91</v>
      </c>
      <c r="P2131" s="76">
        <f t="shared" ref="P2131:P2178" si="807">MIN(1,MAX(0,(nr_MEndPm1-$G2131+0.5)/$C$2128))-MIN(1,MAX(0,(nr_MStartPm1-1-$G2131+0.5)/$C$2128))</f>
        <v>0</v>
      </c>
      <c r="Q2131" s="76">
        <f t="shared" ref="Q2131:Q2178" si="808">MIN(1,MAX(0,(nr_MEndP-$G2131+0.5)/$C$2128))-MIN(1,MAX(0,(nr_MStartP-1-$G2131+0.5)/$C$2128))</f>
        <v>0</v>
      </c>
      <c r="R2131" s="76">
        <f t="shared" ref="R2131:R2178" si="809">MIN(1,MAX(0,(nr_MEndP1-$G2131+0.5)/$C$2128))-MIN(1,MAX(0,(nr_MStartP1-1-$G2131+0.5)/$C$2128))</f>
        <v>0</v>
      </c>
      <c r="S2131" s="76">
        <f t="shared" ref="S2131:S2178" si="810">$N2131*IF($O$2128=1,$O2131/$F$2128,1)</f>
        <v>0.98913043478260865</v>
      </c>
      <c r="T2131" s="76">
        <f t="shared" ref="T2131:T2178" si="811">IF($G2131&lt;nr_MStartP,$S2131,$T2119*(1+IF($G2131&lt;nr_MStartP1,$M$2128,$N$2128)))</f>
        <v>0.98913043478260865</v>
      </c>
      <c r="U2131" s="76">
        <f t="shared" ref="U2131:U2178" si="812">IF($L$2128,$T2131,$N2131)</f>
        <v>1</v>
      </c>
    </row>
    <row r="2132" spans="1:21" x14ac:dyDescent="0.25">
      <c r="A2132" s="71">
        <v>2</v>
      </c>
      <c r="B2132" s="72">
        <f t="shared" ref="B2132:B2178" si="813">EDATE($B2131,1)</f>
        <v>45689</v>
      </c>
      <c r="C2132" s="73">
        <f t="shared" si="794"/>
        <v>45716</v>
      </c>
      <c r="D2132" s="67">
        <f t="shared" si="795"/>
        <v>28</v>
      </c>
      <c r="E2132" s="67">
        <f t="shared" si="796"/>
        <v>2</v>
      </c>
      <c r="F2132" s="74">
        <f t="shared" si="797"/>
        <v>45703</v>
      </c>
      <c r="G2132" s="67">
        <f t="shared" si="798"/>
        <v>24301</v>
      </c>
      <c r="H2132" s="75">
        <f t="shared" si="799"/>
        <v>1</v>
      </c>
      <c r="I2132" s="76">
        <f t="shared" si="800"/>
        <v>1</v>
      </c>
      <c r="J2132" s="76">
        <f t="shared" si="801"/>
        <v>1</v>
      </c>
      <c r="K2132" s="67">
        <f t="shared" si="802"/>
        <v>0</v>
      </c>
      <c r="L2132" s="67">
        <f t="shared" si="803"/>
        <v>0</v>
      </c>
      <c r="M2132" s="77">
        <f t="shared" si="804"/>
        <v>0</v>
      </c>
      <c r="N2132" s="76">
        <f t="shared" si="805"/>
        <v>1</v>
      </c>
      <c r="O2132" s="77">
        <f t="shared" si="806"/>
        <v>0.91</v>
      </c>
      <c r="P2132" s="76">
        <f t="shared" si="807"/>
        <v>0</v>
      </c>
      <c r="Q2132" s="76">
        <f t="shared" si="808"/>
        <v>0</v>
      </c>
      <c r="R2132" s="76">
        <f t="shared" si="809"/>
        <v>0</v>
      </c>
      <c r="S2132" s="76">
        <f t="shared" si="810"/>
        <v>0.98913043478260865</v>
      </c>
      <c r="T2132" s="76">
        <f t="shared" si="811"/>
        <v>0.98913043478260865</v>
      </c>
      <c r="U2132" s="76">
        <f t="shared" si="812"/>
        <v>1</v>
      </c>
    </row>
    <row r="2133" spans="1:21" x14ac:dyDescent="0.25">
      <c r="A2133" s="71">
        <v>3</v>
      </c>
      <c r="B2133" s="72">
        <f t="shared" si="813"/>
        <v>45717</v>
      </c>
      <c r="C2133" s="73">
        <f t="shared" si="794"/>
        <v>45747</v>
      </c>
      <c r="D2133" s="67">
        <f t="shared" si="795"/>
        <v>31</v>
      </c>
      <c r="E2133" s="67">
        <f t="shared" si="796"/>
        <v>3</v>
      </c>
      <c r="F2133" s="74">
        <f t="shared" si="797"/>
        <v>45732.5</v>
      </c>
      <c r="G2133" s="67">
        <f t="shared" si="798"/>
        <v>24302</v>
      </c>
      <c r="H2133" s="75">
        <f t="shared" si="799"/>
        <v>1</v>
      </c>
      <c r="I2133" s="76">
        <f t="shared" si="800"/>
        <v>1</v>
      </c>
      <c r="J2133" s="76">
        <f t="shared" si="801"/>
        <v>1</v>
      </c>
      <c r="K2133" s="67">
        <f t="shared" si="802"/>
        <v>0</v>
      </c>
      <c r="L2133" s="67">
        <f t="shared" si="803"/>
        <v>0</v>
      </c>
      <c r="M2133" s="77">
        <f t="shared" si="804"/>
        <v>0</v>
      </c>
      <c r="N2133" s="76">
        <f t="shared" si="805"/>
        <v>1</v>
      </c>
      <c r="O2133" s="77">
        <f t="shared" si="806"/>
        <v>0.91</v>
      </c>
      <c r="P2133" s="76">
        <f t="shared" si="807"/>
        <v>0</v>
      </c>
      <c r="Q2133" s="76">
        <f t="shared" si="808"/>
        <v>0</v>
      </c>
      <c r="R2133" s="76">
        <f t="shared" si="809"/>
        <v>0</v>
      </c>
      <c r="S2133" s="76">
        <f t="shared" si="810"/>
        <v>0.98913043478260865</v>
      </c>
      <c r="T2133" s="76">
        <f t="shared" si="811"/>
        <v>0.98913043478260865</v>
      </c>
      <c r="U2133" s="76">
        <f t="shared" si="812"/>
        <v>1</v>
      </c>
    </row>
    <row r="2134" spans="1:21" x14ac:dyDescent="0.25">
      <c r="A2134" s="71">
        <v>4</v>
      </c>
      <c r="B2134" s="72">
        <f t="shared" si="813"/>
        <v>45748</v>
      </c>
      <c r="C2134" s="73">
        <f t="shared" si="794"/>
        <v>45777</v>
      </c>
      <c r="D2134" s="67">
        <f t="shared" si="795"/>
        <v>30</v>
      </c>
      <c r="E2134" s="67">
        <f t="shared" si="796"/>
        <v>4</v>
      </c>
      <c r="F2134" s="74">
        <f t="shared" si="797"/>
        <v>45763</v>
      </c>
      <c r="G2134" s="67">
        <f t="shared" si="798"/>
        <v>24303</v>
      </c>
      <c r="H2134" s="75">
        <f t="shared" si="799"/>
        <v>1</v>
      </c>
      <c r="I2134" s="76">
        <f t="shared" si="800"/>
        <v>1</v>
      </c>
      <c r="J2134" s="76">
        <f t="shared" si="801"/>
        <v>1</v>
      </c>
      <c r="K2134" s="67">
        <f t="shared" si="802"/>
        <v>0</v>
      </c>
      <c r="L2134" s="67">
        <f t="shared" si="803"/>
        <v>0</v>
      </c>
      <c r="M2134" s="77">
        <f t="shared" si="804"/>
        <v>0</v>
      </c>
      <c r="N2134" s="76">
        <f t="shared" si="805"/>
        <v>1</v>
      </c>
      <c r="O2134" s="77">
        <f t="shared" si="806"/>
        <v>0.91</v>
      </c>
      <c r="P2134" s="76">
        <f t="shared" si="807"/>
        <v>0</v>
      </c>
      <c r="Q2134" s="76">
        <f t="shared" si="808"/>
        <v>0</v>
      </c>
      <c r="R2134" s="76">
        <f t="shared" si="809"/>
        <v>0</v>
      </c>
      <c r="S2134" s="76">
        <f t="shared" si="810"/>
        <v>0.98913043478260865</v>
      </c>
      <c r="T2134" s="76">
        <f t="shared" si="811"/>
        <v>0.98913043478260865</v>
      </c>
      <c r="U2134" s="76">
        <f t="shared" si="812"/>
        <v>1</v>
      </c>
    </row>
    <row r="2135" spans="1:21" x14ac:dyDescent="0.25">
      <c r="A2135" s="71">
        <v>5</v>
      </c>
      <c r="B2135" s="72">
        <f t="shared" si="813"/>
        <v>45778</v>
      </c>
      <c r="C2135" s="73">
        <f t="shared" si="794"/>
        <v>45808</v>
      </c>
      <c r="D2135" s="67">
        <f t="shared" si="795"/>
        <v>31</v>
      </c>
      <c r="E2135" s="67">
        <f t="shared" si="796"/>
        <v>5</v>
      </c>
      <c r="F2135" s="74">
        <f t="shared" si="797"/>
        <v>45793.5</v>
      </c>
      <c r="G2135" s="67">
        <f t="shared" si="798"/>
        <v>24304</v>
      </c>
      <c r="H2135" s="75">
        <f t="shared" si="799"/>
        <v>1</v>
      </c>
      <c r="I2135" s="76">
        <f t="shared" si="800"/>
        <v>1</v>
      </c>
      <c r="J2135" s="76">
        <f t="shared" si="801"/>
        <v>1</v>
      </c>
      <c r="K2135" s="67">
        <f t="shared" si="802"/>
        <v>0</v>
      </c>
      <c r="L2135" s="67">
        <f t="shared" si="803"/>
        <v>0</v>
      </c>
      <c r="M2135" s="77">
        <f t="shared" si="804"/>
        <v>0</v>
      </c>
      <c r="N2135" s="76">
        <f t="shared" si="805"/>
        <v>1</v>
      </c>
      <c r="O2135" s="77">
        <f t="shared" si="806"/>
        <v>0.91</v>
      </c>
      <c r="P2135" s="76">
        <f t="shared" si="807"/>
        <v>0</v>
      </c>
      <c r="Q2135" s="76">
        <f t="shared" si="808"/>
        <v>0</v>
      </c>
      <c r="R2135" s="76">
        <f t="shared" si="809"/>
        <v>0</v>
      </c>
      <c r="S2135" s="76">
        <f t="shared" si="810"/>
        <v>0.98913043478260865</v>
      </c>
      <c r="T2135" s="76">
        <f t="shared" si="811"/>
        <v>0.98913043478260865</v>
      </c>
      <c r="U2135" s="76">
        <f t="shared" si="812"/>
        <v>1</v>
      </c>
    </row>
    <row r="2136" spans="1:21" x14ac:dyDescent="0.25">
      <c r="A2136" s="71">
        <v>6</v>
      </c>
      <c r="B2136" s="72">
        <f t="shared" si="813"/>
        <v>45809</v>
      </c>
      <c r="C2136" s="73">
        <f t="shared" si="794"/>
        <v>45838</v>
      </c>
      <c r="D2136" s="67">
        <f t="shared" si="795"/>
        <v>30</v>
      </c>
      <c r="E2136" s="67">
        <f t="shared" si="796"/>
        <v>6</v>
      </c>
      <c r="F2136" s="74">
        <f t="shared" si="797"/>
        <v>45824</v>
      </c>
      <c r="G2136" s="67">
        <f t="shared" si="798"/>
        <v>24305</v>
      </c>
      <c r="H2136" s="75">
        <f t="shared" si="799"/>
        <v>1</v>
      </c>
      <c r="I2136" s="76">
        <f t="shared" si="800"/>
        <v>1</v>
      </c>
      <c r="J2136" s="76">
        <f t="shared" si="801"/>
        <v>1</v>
      </c>
      <c r="K2136" s="67">
        <f t="shared" si="802"/>
        <v>0</v>
      </c>
      <c r="L2136" s="67">
        <f t="shared" si="803"/>
        <v>0</v>
      </c>
      <c r="M2136" s="77">
        <f t="shared" si="804"/>
        <v>0</v>
      </c>
      <c r="N2136" s="76">
        <f t="shared" si="805"/>
        <v>1</v>
      </c>
      <c r="O2136" s="77">
        <f t="shared" si="806"/>
        <v>0.91</v>
      </c>
      <c r="P2136" s="76">
        <f t="shared" si="807"/>
        <v>0</v>
      </c>
      <c r="Q2136" s="76">
        <f t="shared" si="808"/>
        <v>0</v>
      </c>
      <c r="R2136" s="76">
        <f t="shared" si="809"/>
        <v>0</v>
      </c>
      <c r="S2136" s="76">
        <f t="shared" si="810"/>
        <v>0.98913043478260865</v>
      </c>
      <c r="T2136" s="76">
        <f t="shared" si="811"/>
        <v>0.98913043478260865</v>
      </c>
      <c r="U2136" s="76">
        <f t="shared" si="812"/>
        <v>1</v>
      </c>
    </row>
    <row r="2137" spans="1:21" x14ac:dyDescent="0.25">
      <c r="A2137" s="71">
        <v>7</v>
      </c>
      <c r="B2137" s="72">
        <f t="shared" si="813"/>
        <v>45839</v>
      </c>
      <c r="C2137" s="73">
        <f t="shared" si="794"/>
        <v>45869</v>
      </c>
      <c r="D2137" s="67">
        <f t="shared" si="795"/>
        <v>31</v>
      </c>
      <c r="E2137" s="67">
        <f t="shared" si="796"/>
        <v>7</v>
      </c>
      <c r="F2137" s="74">
        <f t="shared" si="797"/>
        <v>45854.5</v>
      </c>
      <c r="G2137" s="67">
        <f t="shared" si="798"/>
        <v>24306</v>
      </c>
      <c r="H2137" s="75">
        <f t="shared" si="799"/>
        <v>1</v>
      </c>
      <c r="I2137" s="76">
        <f t="shared" si="800"/>
        <v>1</v>
      </c>
      <c r="J2137" s="76">
        <f t="shared" si="801"/>
        <v>1</v>
      </c>
      <c r="K2137" s="67">
        <f t="shared" si="802"/>
        <v>0</v>
      </c>
      <c r="L2137" s="67">
        <f t="shared" si="803"/>
        <v>0</v>
      </c>
      <c r="M2137" s="77">
        <f t="shared" si="804"/>
        <v>0</v>
      </c>
      <c r="N2137" s="76">
        <f t="shared" si="805"/>
        <v>1</v>
      </c>
      <c r="O2137" s="77">
        <f t="shared" si="806"/>
        <v>0.91</v>
      </c>
      <c r="P2137" s="76">
        <f t="shared" si="807"/>
        <v>8.333333333333337E-2</v>
      </c>
      <c r="Q2137" s="76">
        <f t="shared" si="808"/>
        <v>0</v>
      </c>
      <c r="R2137" s="76">
        <f t="shared" si="809"/>
        <v>0</v>
      </c>
      <c r="S2137" s="76">
        <f t="shared" si="810"/>
        <v>0.98913043478260865</v>
      </c>
      <c r="T2137" s="76">
        <f t="shared" si="811"/>
        <v>0.98913043478260865</v>
      </c>
      <c r="U2137" s="76">
        <f t="shared" si="812"/>
        <v>1</v>
      </c>
    </row>
    <row r="2138" spans="1:21" x14ac:dyDescent="0.25">
      <c r="A2138" s="71">
        <v>8</v>
      </c>
      <c r="B2138" s="72">
        <f t="shared" si="813"/>
        <v>45870</v>
      </c>
      <c r="C2138" s="73">
        <f t="shared" si="794"/>
        <v>45900</v>
      </c>
      <c r="D2138" s="67">
        <f t="shared" si="795"/>
        <v>31</v>
      </c>
      <c r="E2138" s="67">
        <f t="shared" si="796"/>
        <v>8</v>
      </c>
      <c r="F2138" s="74">
        <f t="shared" si="797"/>
        <v>45885.5</v>
      </c>
      <c r="G2138" s="67">
        <f t="shared" si="798"/>
        <v>24307</v>
      </c>
      <c r="H2138" s="75">
        <f t="shared" si="799"/>
        <v>1</v>
      </c>
      <c r="I2138" s="76">
        <f t="shared" si="800"/>
        <v>1</v>
      </c>
      <c r="J2138" s="76">
        <f t="shared" si="801"/>
        <v>1</v>
      </c>
      <c r="K2138" s="67">
        <f t="shared" si="802"/>
        <v>0</v>
      </c>
      <c r="L2138" s="67">
        <f t="shared" si="803"/>
        <v>0</v>
      </c>
      <c r="M2138" s="77">
        <f t="shared" si="804"/>
        <v>0</v>
      </c>
      <c r="N2138" s="76">
        <f t="shared" si="805"/>
        <v>1</v>
      </c>
      <c r="O2138" s="77">
        <f t="shared" si="806"/>
        <v>0.91</v>
      </c>
      <c r="P2138" s="76">
        <f t="shared" si="807"/>
        <v>0.25</v>
      </c>
      <c r="Q2138" s="76">
        <f t="shared" si="808"/>
        <v>0</v>
      </c>
      <c r="R2138" s="76">
        <f t="shared" si="809"/>
        <v>0</v>
      </c>
      <c r="S2138" s="76">
        <f t="shared" si="810"/>
        <v>0.98913043478260865</v>
      </c>
      <c r="T2138" s="76">
        <f t="shared" si="811"/>
        <v>0.98913043478260865</v>
      </c>
      <c r="U2138" s="76">
        <f t="shared" si="812"/>
        <v>1</v>
      </c>
    </row>
    <row r="2139" spans="1:21" x14ac:dyDescent="0.25">
      <c r="A2139" s="71">
        <v>9</v>
      </c>
      <c r="B2139" s="72">
        <f t="shared" si="813"/>
        <v>45901</v>
      </c>
      <c r="C2139" s="73">
        <f t="shared" si="794"/>
        <v>45930</v>
      </c>
      <c r="D2139" s="67">
        <f t="shared" si="795"/>
        <v>30</v>
      </c>
      <c r="E2139" s="67">
        <f t="shared" si="796"/>
        <v>9</v>
      </c>
      <c r="F2139" s="74">
        <f t="shared" si="797"/>
        <v>45916</v>
      </c>
      <c r="G2139" s="67">
        <f t="shared" si="798"/>
        <v>24308</v>
      </c>
      <c r="H2139" s="75">
        <f t="shared" si="799"/>
        <v>1</v>
      </c>
      <c r="I2139" s="76">
        <f t="shared" si="800"/>
        <v>1</v>
      </c>
      <c r="J2139" s="76">
        <f t="shared" si="801"/>
        <v>1</v>
      </c>
      <c r="K2139" s="67">
        <f t="shared" si="802"/>
        <v>0</v>
      </c>
      <c r="L2139" s="67">
        <f t="shared" si="803"/>
        <v>0</v>
      </c>
      <c r="M2139" s="77">
        <f t="shared" si="804"/>
        <v>0</v>
      </c>
      <c r="N2139" s="76">
        <f t="shared" si="805"/>
        <v>1</v>
      </c>
      <c r="O2139" s="77">
        <f t="shared" si="806"/>
        <v>0.91</v>
      </c>
      <c r="P2139" s="76">
        <f t="shared" si="807"/>
        <v>0.41666666666666663</v>
      </c>
      <c r="Q2139" s="76">
        <f t="shared" si="808"/>
        <v>0</v>
      </c>
      <c r="R2139" s="76">
        <f t="shared" si="809"/>
        <v>0</v>
      </c>
      <c r="S2139" s="76">
        <f t="shared" si="810"/>
        <v>0.98913043478260865</v>
      </c>
      <c r="T2139" s="76">
        <f t="shared" si="811"/>
        <v>0.98913043478260865</v>
      </c>
      <c r="U2139" s="76">
        <f t="shared" si="812"/>
        <v>1</v>
      </c>
    </row>
    <row r="2140" spans="1:21" x14ac:dyDescent="0.25">
      <c r="A2140" s="71">
        <v>10</v>
      </c>
      <c r="B2140" s="72">
        <f t="shared" si="813"/>
        <v>45931</v>
      </c>
      <c r="C2140" s="73">
        <f t="shared" si="794"/>
        <v>45961</v>
      </c>
      <c r="D2140" s="67">
        <f t="shared" si="795"/>
        <v>31</v>
      </c>
      <c r="E2140" s="67">
        <f t="shared" si="796"/>
        <v>10</v>
      </c>
      <c r="F2140" s="74">
        <f t="shared" si="797"/>
        <v>45946.5</v>
      </c>
      <c r="G2140" s="67">
        <f t="shared" si="798"/>
        <v>24309</v>
      </c>
      <c r="H2140" s="75">
        <f t="shared" si="799"/>
        <v>1</v>
      </c>
      <c r="I2140" s="76">
        <f t="shared" si="800"/>
        <v>1</v>
      </c>
      <c r="J2140" s="76">
        <f t="shared" si="801"/>
        <v>1</v>
      </c>
      <c r="K2140" s="67">
        <f t="shared" si="802"/>
        <v>0</v>
      </c>
      <c r="L2140" s="67">
        <f t="shared" si="803"/>
        <v>0</v>
      </c>
      <c r="M2140" s="77">
        <f t="shared" si="804"/>
        <v>0</v>
      </c>
      <c r="N2140" s="76">
        <f t="shared" si="805"/>
        <v>1</v>
      </c>
      <c r="O2140" s="77">
        <f t="shared" si="806"/>
        <v>0.91</v>
      </c>
      <c r="P2140" s="76">
        <f t="shared" si="807"/>
        <v>0.58333333333333326</v>
      </c>
      <c r="Q2140" s="76">
        <f t="shared" si="808"/>
        <v>0</v>
      </c>
      <c r="R2140" s="76">
        <f t="shared" si="809"/>
        <v>0</v>
      </c>
      <c r="S2140" s="76">
        <f t="shared" si="810"/>
        <v>0.98913043478260865</v>
      </c>
      <c r="T2140" s="76">
        <f t="shared" si="811"/>
        <v>0.98913043478260865</v>
      </c>
      <c r="U2140" s="76">
        <f t="shared" si="812"/>
        <v>1</v>
      </c>
    </row>
    <row r="2141" spans="1:21" x14ac:dyDescent="0.25">
      <c r="A2141" s="71">
        <v>11</v>
      </c>
      <c r="B2141" s="72">
        <f t="shared" si="813"/>
        <v>45962</v>
      </c>
      <c r="C2141" s="73">
        <f t="shared" si="794"/>
        <v>45991</v>
      </c>
      <c r="D2141" s="67">
        <f t="shared" si="795"/>
        <v>30</v>
      </c>
      <c r="E2141" s="67">
        <f t="shared" si="796"/>
        <v>11</v>
      </c>
      <c r="F2141" s="74">
        <f t="shared" si="797"/>
        <v>45977</v>
      </c>
      <c r="G2141" s="67">
        <f t="shared" si="798"/>
        <v>24310</v>
      </c>
      <c r="H2141" s="75">
        <f t="shared" si="799"/>
        <v>1</v>
      </c>
      <c r="I2141" s="76">
        <f t="shared" si="800"/>
        <v>1</v>
      </c>
      <c r="J2141" s="76">
        <f t="shared" si="801"/>
        <v>1</v>
      </c>
      <c r="K2141" s="67">
        <f t="shared" si="802"/>
        <v>0</v>
      </c>
      <c r="L2141" s="67">
        <f t="shared" si="803"/>
        <v>0</v>
      </c>
      <c r="M2141" s="77">
        <f t="shared" si="804"/>
        <v>0</v>
      </c>
      <c r="N2141" s="76">
        <f t="shared" si="805"/>
        <v>1</v>
      </c>
      <c r="O2141" s="77">
        <f t="shared" si="806"/>
        <v>0.91</v>
      </c>
      <c r="P2141" s="76">
        <f t="shared" si="807"/>
        <v>0.75</v>
      </c>
      <c r="Q2141" s="76">
        <f t="shared" si="808"/>
        <v>0</v>
      </c>
      <c r="R2141" s="76">
        <f t="shared" si="809"/>
        <v>0</v>
      </c>
      <c r="S2141" s="76">
        <f t="shared" si="810"/>
        <v>0.98913043478260865</v>
      </c>
      <c r="T2141" s="76">
        <f t="shared" si="811"/>
        <v>0.98913043478260865</v>
      </c>
      <c r="U2141" s="76">
        <f t="shared" si="812"/>
        <v>1</v>
      </c>
    </row>
    <row r="2142" spans="1:21" x14ac:dyDescent="0.25">
      <c r="A2142" s="71">
        <v>12</v>
      </c>
      <c r="B2142" s="72">
        <f t="shared" si="813"/>
        <v>45992</v>
      </c>
      <c r="C2142" s="73">
        <f t="shared" si="794"/>
        <v>46022</v>
      </c>
      <c r="D2142" s="67">
        <f t="shared" si="795"/>
        <v>31</v>
      </c>
      <c r="E2142" s="67">
        <f t="shared" si="796"/>
        <v>12</v>
      </c>
      <c r="F2142" s="74">
        <f t="shared" si="797"/>
        <v>46007.5</v>
      </c>
      <c r="G2142" s="67">
        <f t="shared" si="798"/>
        <v>24311</v>
      </c>
      <c r="H2142" s="75">
        <f t="shared" si="799"/>
        <v>1</v>
      </c>
      <c r="I2142" s="76">
        <f t="shared" si="800"/>
        <v>1</v>
      </c>
      <c r="J2142" s="76">
        <f t="shared" si="801"/>
        <v>1</v>
      </c>
      <c r="K2142" s="67">
        <f t="shared" si="802"/>
        <v>0</v>
      </c>
      <c r="L2142" s="67">
        <f t="shared" si="803"/>
        <v>0</v>
      </c>
      <c r="M2142" s="77">
        <f t="shared" si="804"/>
        <v>0</v>
      </c>
      <c r="N2142" s="76">
        <f t="shared" si="805"/>
        <v>1</v>
      </c>
      <c r="O2142" s="77">
        <f t="shared" si="806"/>
        <v>0.91</v>
      </c>
      <c r="P2142" s="76">
        <f t="shared" si="807"/>
        <v>0.91666666666666663</v>
      </c>
      <c r="Q2142" s="76">
        <f t="shared" si="808"/>
        <v>0</v>
      </c>
      <c r="R2142" s="76">
        <f t="shared" si="809"/>
        <v>0</v>
      </c>
      <c r="S2142" s="76">
        <f t="shared" si="810"/>
        <v>0.98913043478260865</v>
      </c>
      <c r="T2142" s="76">
        <f t="shared" si="811"/>
        <v>0.98913043478260865</v>
      </c>
      <c r="U2142" s="76">
        <f t="shared" si="812"/>
        <v>1</v>
      </c>
    </row>
    <row r="2143" spans="1:21" x14ac:dyDescent="0.25">
      <c r="A2143" s="71">
        <v>13</v>
      </c>
      <c r="B2143" s="72">
        <f t="shared" si="813"/>
        <v>46023</v>
      </c>
      <c r="C2143" s="73">
        <f t="shared" si="794"/>
        <v>46053</v>
      </c>
      <c r="D2143" s="67">
        <f t="shared" si="795"/>
        <v>31</v>
      </c>
      <c r="E2143" s="67">
        <f t="shared" si="796"/>
        <v>1</v>
      </c>
      <c r="F2143" s="74">
        <f t="shared" si="797"/>
        <v>46038.5</v>
      </c>
      <c r="G2143" s="67">
        <f t="shared" si="798"/>
        <v>24312</v>
      </c>
      <c r="H2143" s="75">
        <f t="shared" si="799"/>
        <v>1</v>
      </c>
      <c r="I2143" s="76">
        <f t="shared" si="800"/>
        <v>1</v>
      </c>
      <c r="J2143" s="76">
        <f t="shared" si="801"/>
        <v>1</v>
      </c>
      <c r="K2143" s="67">
        <f t="shared" si="802"/>
        <v>0</v>
      </c>
      <c r="L2143" s="67">
        <f t="shared" si="803"/>
        <v>0</v>
      </c>
      <c r="M2143" s="77">
        <f t="shared" si="804"/>
        <v>0</v>
      </c>
      <c r="N2143" s="76">
        <f t="shared" si="805"/>
        <v>1</v>
      </c>
      <c r="O2143" s="77">
        <f t="shared" si="806"/>
        <v>0.91</v>
      </c>
      <c r="P2143" s="76">
        <f t="shared" si="807"/>
        <v>1</v>
      </c>
      <c r="Q2143" s="76">
        <f t="shared" si="808"/>
        <v>0</v>
      </c>
      <c r="R2143" s="76">
        <f t="shared" si="809"/>
        <v>0</v>
      </c>
      <c r="S2143" s="76">
        <f t="shared" si="810"/>
        <v>0.98913043478260865</v>
      </c>
      <c r="T2143" s="76">
        <f t="shared" si="811"/>
        <v>0.98913043478260865</v>
      </c>
      <c r="U2143" s="76">
        <f t="shared" si="812"/>
        <v>1</v>
      </c>
    </row>
    <row r="2144" spans="1:21" x14ac:dyDescent="0.25">
      <c r="A2144" s="71">
        <v>14</v>
      </c>
      <c r="B2144" s="72">
        <f t="shared" si="813"/>
        <v>46054</v>
      </c>
      <c r="C2144" s="73">
        <f t="shared" si="794"/>
        <v>46081</v>
      </c>
      <c r="D2144" s="67">
        <f t="shared" si="795"/>
        <v>28</v>
      </c>
      <c r="E2144" s="67">
        <f t="shared" si="796"/>
        <v>2</v>
      </c>
      <c r="F2144" s="74">
        <f t="shared" si="797"/>
        <v>46068</v>
      </c>
      <c r="G2144" s="67">
        <f t="shared" si="798"/>
        <v>24313</v>
      </c>
      <c r="H2144" s="75">
        <f t="shared" si="799"/>
        <v>1</v>
      </c>
      <c r="I2144" s="76">
        <f t="shared" si="800"/>
        <v>1</v>
      </c>
      <c r="J2144" s="76">
        <f t="shared" si="801"/>
        <v>1</v>
      </c>
      <c r="K2144" s="67">
        <f t="shared" si="802"/>
        <v>0</v>
      </c>
      <c r="L2144" s="67">
        <f t="shared" si="803"/>
        <v>0</v>
      </c>
      <c r="M2144" s="77">
        <f t="shared" si="804"/>
        <v>0</v>
      </c>
      <c r="N2144" s="76">
        <f t="shared" si="805"/>
        <v>1</v>
      </c>
      <c r="O2144" s="77">
        <f t="shared" si="806"/>
        <v>0.91</v>
      </c>
      <c r="P2144" s="76">
        <f t="shared" si="807"/>
        <v>1</v>
      </c>
      <c r="Q2144" s="76">
        <f t="shared" si="808"/>
        <v>0</v>
      </c>
      <c r="R2144" s="76">
        <f t="shared" si="809"/>
        <v>0</v>
      </c>
      <c r="S2144" s="76">
        <f t="shared" si="810"/>
        <v>0.98913043478260865</v>
      </c>
      <c r="T2144" s="76">
        <f t="shared" si="811"/>
        <v>0.98913043478260865</v>
      </c>
      <c r="U2144" s="76">
        <f t="shared" si="812"/>
        <v>1</v>
      </c>
    </row>
    <row r="2145" spans="1:21" x14ac:dyDescent="0.25">
      <c r="A2145" s="71">
        <v>15</v>
      </c>
      <c r="B2145" s="72">
        <f t="shared" si="813"/>
        <v>46082</v>
      </c>
      <c r="C2145" s="73">
        <f t="shared" si="794"/>
        <v>46112</v>
      </c>
      <c r="D2145" s="67">
        <f t="shared" si="795"/>
        <v>31</v>
      </c>
      <c r="E2145" s="67">
        <f t="shared" si="796"/>
        <v>3</v>
      </c>
      <c r="F2145" s="74">
        <f t="shared" si="797"/>
        <v>46097.5</v>
      </c>
      <c r="G2145" s="67">
        <f t="shared" si="798"/>
        <v>24314</v>
      </c>
      <c r="H2145" s="75">
        <f t="shared" si="799"/>
        <v>1</v>
      </c>
      <c r="I2145" s="76">
        <f t="shared" si="800"/>
        <v>1</v>
      </c>
      <c r="J2145" s="76">
        <f t="shared" si="801"/>
        <v>1</v>
      </c>
      <c r="K2145" s="67">
        <f t="shared" si="802"/>
        <v>0</v>
      </c>
      <c r="L2145" s="67">
        <f t="shared" si="803"/>
        <v>0</v>
      </c>
      <c r="M2145" s="77">
        <f t="shared" si="804"/>
        <v>0</v>
      </c>
      <c r="N2145" s="76">
        <f t="shared" si="805"/>
        <v>1</v>
      </c>
      <c r="O2145" s="77">
        <f t="shared" si="806"/>
        <v>0.91</v>
      </c>
      <c r="P2145" s="76">
        <f t="shared" si="807"/>
        <v>1</v>
      </c>
      <c r="Q2145" s="76">
        <f t="shared" si="808"/>
        <v>0</v>
      </c>
      <c r="R2145" s="76">
        <f t="shared" si="809"/>
        <v>0</v>
      </c>
      <c r="S2145" s="76">
        <f t="shared" si="810"/>
        <v>0.98913043478260865</v>
      </c>
      <c r="T2145" s="76">
        <f t="shared" si="811"/>
        <v>0.98913043478260865</v>
      </c>
      <c r="U2145" s="76">
        <f t="shared" si="812"/>
        <v>1</v>
      </c>
    </row>
    <row r="2146" spans="1:21" x14ac:dyDescent="0.25">
      <c r="A2146" s="71">
        <v>16</v>
      </c>
      <c r="B2146" s="72">
        <f t="shared" si="813"/>
        <v>46113</v>
      </c>
      <c r="C2146" s="73">
        <f t="shared" si="794"/>
        <v>46142</v>
      </c>
      <c r="D2146" s="67">
        <f t="shared" si="795"/>
        <v>30</v>
      </c>
      <c r="E2146" s="67">
        <f t="shared" si="796"/>
        <v>4</v>
      </c>
      <c r="F2146" s="74">
        <f t="shared" si="797"/>
        <v>46128</v>
      </c>
      <c r="G2146" s="67">
        <f t="shared" si="798"/>
        <v>24315</v>
      </c>
      <c r="H2146" s="75">
        <f t="shared" si="799"/>
        <v>1</v>
      </c>
      <c r="I2146" s="76">
        <f t="shared" si="800"/>
        <v>1</v>
      </c>
      <c r="J2146" s="76">
        <f t="shared" si="801"/>
        <v>1</v>
      </c>
      <c r="K2146" s="67">
        <f t="shared" si="802"/>
        <v>0</v>
      </c>
      <c r="L2146" s="67">
        <f t="shared" si="803"/>
        <v>0</v>
      </c>
      <c r="M2146" s="77">
        <f t="shared" si="804"/>
        <v>0</v>
      </c>
      <c r="N2146" s="76">
        <f t="shared" si="805"/>
        <v>1</v>
      </c>
      <c r="O2146" s="77">
        <f t="shared" si="806"/>
        <v>0.91</v>
      </c>
      <c r="P2146" s="76">
        <f t="shared" si="807"/>
        <v>1</v>
      </c>
      <c r="Q2146" s="76">
        <f t="shared" si="808"/>
        <v>0</v>
      </c>
      <c r="R2146" s="76">
        <f t="shared" si="809"/>
        <v>0</v>
      </c>
      <c r="S2146" s="76">
        <f t="shared" si="810"/>
        <v>0.98913043478260865</v>
      </c>
      <c r="T2146" s="76">
        <f t="shared" si="811"/>
        <v>0.98913043478260865</v>
      </c>
      <c r="U2146" s="76">
        <f t="shared" si="812"/>
        <v>1</v>
      </c>
    </row>
    <row r="2147" spans="1:21" x14ac:dyDescent="0.25">
      <c r="A2147" s="71">
        <v>17</v>
      </c>
      <c r="B2147" s="72">
        <f t="shared" si="813"/>
        <v>46143</v>
      </c>
      <c r="C2147" s="73">
        <f t="shared" si="794"/>
        <v>46173</v>
      </c>
      <c r="D2147" s="67">
        <f t="shared" si="795"/>
        <v>31</v>
      </c>
      <c r="E2147" s="67">
        <f t="shared" si="796"/>
        <v>5</v>
      </c>
      <c r="F2147" s="74">
        <f t="shared" si="797"/>
        <v>46158.5</v>
      </c>
      <c r="G2147" s="67">
        <f t="shared" si="798"/>
        <v>24316</v>
      </c>
      <c r="H2147" s="75">
        <f t="shared" si="799"/>
        <v>1</v>
      </c>
      <c r="I2147" s="76">
        <f t="shared" si="800"/>
        <v>1</v>
      </c>
      <c r="J2147" s="76">
        <f t="shared" si="801"/>
        <v>1</v>
      </c>
      <c r="K2147" s="67">
        <f t="shared" si="802"/>
        <v>0</v>
      </c>
      <c r="L2147" s="67">
        <f t="shared" si="803"/>
        <v>0</v>
      </c>
      <c r="M2147" s="77">
        <f t="shared" si="804"/>
        <v>0</v>
      </c>
      <c r="N2147" s="76">
        <f t="shared" si="805"/>
        <v>1</v>
      </c>
      <c r="O2147" s="77">
        <f t="shared" si="806"/>
        <v>0.91</v>
      </c>
      <c r="P2147" s="76">
        <f t="shared" si="807"/>
        <v>1</v>
      </c>
      <c r="Q2147" s="76">
        <f t="shared" si="808"/>
        <v>0</v>
      </c>
      <c r="R2147" s="76">
        <f t="shared" si="809"/>
        <v>0</v>
      </c>
      <c r="S2147" s="76">
        <f t="shared" si="810"/>
        <v>0.98913043478260865</v>
      </c>
      <c r="T2147" s="76">
        <f t="shared" si="811"/>
        <v>0.98913043478260865</v>
      </c>
      <c r="U2147" s="76">
        <f t="shared" si="812"/>
        <v>1</v>
      </c>
    </row>
    <row r="2148" spans="1:21" x14ac:dyDescent="0.25">
      <c r="A2148" s="71">
        <v>18</v>
      </c>
      <c r="B2148" s="72">
        <f t="shared" si="813"/>
        <v>46174</v>
      </c>
      <c r="C2148" s="73">
        <f t="shared" si="794"/>
        <v>46203</v>
      </c>
      <c r="D2148" s="67">
        <f t="shared" si="795"/>
        <v>30</v>
      </c>
      <c r="E2148" s="67">
        <f t="shared" si="796"/>
        <v>6</v>
      </c>
      <c r="F2148" s="74">
        <f t="shared" si="797"/>
        <v>46189</v>
      </c>
      <c r="G2148" s="67">
        <f t="shared" si="798"/>
        <v>24317</v>
      </c>
      <c r="H2148" s="75">
        <f t="shared" si="799"/>
        <v>1</v>
      </c>
      <c r="I2148" s="76">
        <f t="shared" si="800"/>
        <v>1</v>
      </c>
      <c r="J2148" s="76">
        <f t="shared" si="801"/>
        <v>1</v>
      </c>
      <c r="K2148" s="67">
        <f t="shared" si="802"/>
        <v>0</v>
      </c>
      <c r="L2148" s="67">
        <f t="shared" si="803"/>
        <v>0</v>
      </c>
      <c r="M2148" s="77">
        <f t="shared" si="804"/>
        <v>0</v>
      </c>
      <c r="N2148" s="76">
        <f t="shared" si="805"/>
        <v>1</v>
      </c>
      <c r="O2148" s="77">
        <f t="shared" si="806"/>
        <v>0.91</v>
      </c>
      <c r="P2148" s="76">
        <f t="shared" si="807"/>
        <v>1</v>
      </c>
      <c r="Q2148" s="76">
        <f t="shared" si="808"/>
        <v>0</v>
      </c>
      <c r="R2148" s="76">
        <f t="shared" si="809"/>
        <v>0</v>
      </c>
      <c r="S2148" s="76">
        <f t="shared" si="810"/>
        <v>0.98913043478260865</v>
      </c>
      <c r="T2148" s="76">
        <f t="shared" si="811"/>
        <v>0.98913043478260865</v>
      </c>
      <c r="U2148" s="76">
        <f t="shared" si="812"/>
        <v>1</v>
      </c>
    </row>
    <row r="2149" spans="1:21" x14ac:dyDescent="0.25">
      <c r="A2149" s="71">
        <v>19</v>
      </c>
      <c r="B2149" s="72">
        <f t="shared" si="813"/>
        <v>46204</v>
      </c>
      <c r="C2149" s="73">
        <f t="shared" si="794"/>
        <v>46234</v>
      </c>
      <c r="D2149" s="67">
        <f t="shared" si="795"/>
        <v>31</v>
      </c>
      <c r="E2149" s="67">
        <f t="shared" si="796"/>
        <v>7</v>
      </c>
      <c r="F2149" s="74">
        <f t="shared" si="797"/>
        <v>46219.5</v>
      </c>
      <c r="G2149" s="67">
        <f t="shared" si="798"/>
        <v>24318</v>
      </c>
      <c r="H2149" s="75">
        <f t="shared" si="799"/>
        <v>1</v>
      </c>
      <c r="I2149" s="76">
        <f t="shared" si="800"/>
        <v>1</v>
      </c>
      <c r="J2149" s="76">
        <f t="shared" si="801"/>
        <v>1</v>
      </c>
      <c r="K2149" s="67">
        <f t="shared" si="802"/>
        <v>0</v>
      </c>
      <c r="L2149" s="67">
        <f t="shared" si="803"/>
        <v>0</v>
      </c>
      <c r="M2149" s="77">
        <f t="shared" si="804"/>
        <v>0</v>
      </c>
      <c r="N2149" s="76">
        <f t="shared" si="805"/>
        <v>1</v>
      </c>
      <c r="O2149" s="77">
        <f t="shared" si="806"/>
        <v>0.91</v>
      </c>
      <c r="P2149" s="76">
        <f t="shared" si="807"/>
        <v>0.91666666666666663</v>
      </c>
      <c r="Q2149" s="76">
        <f t="shared" si="808"/>
        <v>8.333333333333337E-2</v>
      </c>
      <c r="R2149" s="76">
        <f t="shared" si="809"/>
        <v>0</v>
      </c>
      <c r="S2149" s="76">
        <f t="shared" si="810"/>
        <v>0.98913043478260865</v>
      </c>
      <c r="T2149" s="76">
        <f t="shared" si="811"/>
        <v>0.98913043478260865</v>
      </c>
      <c r="U2149" s="76">
        <f t="shared" si="812"/>
        <v>1</v>
      </c>
    </row>
    <row r="2150" spans="1:21" x14ac:dyDescent="0.25">
      <c r="A2150" s="71">
        <v>20</v>
      </c>
      <c r="B2150" s="72">
        <f t="shared" si="813"/>
        <v>46235</v>
      </c>
      <c r="C2150" s="73">
        <f t="shared" si="794"/>
        <v>46265</v>
      </c>
      <c r="D2150" s="67">
        <f t="shared" si="795"/>
        <v>31</v>
      </c>
      <c r="E2150" s="67">
        <f t="shared" si="796"/>
        <v>8</v>
      </c>
      <c r="F2150" s="74">
        <f t="shared" si="797"/>
        <v>46250.5</v>
      </c>
      <c r="G2150" s="67">
        <f t="shared" si="798"/>
        <v>24319</v>
      </c>
      <c r="H2150" s="75">
        <f t="shared" si="799"/>
        <v>1</v>
      </c>
      <c r="I2150" s="76">
        <f t="shared" si="800"/>
        <v>1</v>
      </c>
      <c r="J2150" s="76">
        <f t="shared" si="801"/>
        <v>1</v>
      </c>
      <c r="K2150" s="67">
        <f t="shared" si="802"/>
        <v>0</v>
      </c>
      <c r="L2150" s="67">
        <f t="shared" si="803"/>
        <v>0</v>
      </c>
      <c r="M2150" s="77">
        <f t="shared" si="804"/>
        <v>0</v>
      </c>
      <c r="N2150" s="76">
        <f t="shared" si="805"/>
        <v>1</v>
      </c>
      <c r="O2150" s="77">
        <f t="shared" si="806"/>
        <v>0.91</v>
      </c>
      <c r="P2150" s="76">
        <f t="shared" si="807"/>
        <v>0.75</v>
      </c>
      <c r="Q2150" s="76">
        <f t="shared" si="808"/>
        <v>0.25</v>
      </c>
      <c r="R2150" s="76">
        <f t="shared" si="809"/>
        <v>0</v>
      </c>
      <c r="S2150" s="76">
        <f t="shared" si="810"/>
        <v>0.98913043478260865</v>
      </c>
      <c r="T2150" s="76">
        <f t="shared" si="811"/>
        <v>0.98913043478260865</v>
      </c>
      <c r="U2150" s="76">
        <f t="shared" si="812"/>
        <v>1</v>
      </c>
    </row>
    <row r="2151" spans="1:21" x14ac:dyDescent="0.25">
      <c r="A2151" s="71">
        <v>21</v>
      </c>
      <c r="B2151" s="72">
        <f t="shared" si="813"/>
        <v>46266</v>
      </c>
      <c r="C2151" s="73">
        <f t="shared" si="794"/>
        <v>46295</v>
      </c>
      <c r="D2151" s="67">
        <f t="shared" si="795"/>
        <v>30</v>
      </c>
      <c r="E2151" s="67">
        <f t="shared" si="796"/>
        <v>9</v>
      </c>
      <c r="F2151" s="74">
        <f t="shared" si="797"/>
        <v>46281</v>
      </c>
      <c r="G2151" s="67">
        <f t="shared" si="798"/>
        <v>24320</v>
      </c>
      <c r="H2151" s="75">
        <f t="shared" si="799"/>
        <v>1</v>
      </c>
      <c r="I2151" s="76">
        <f t="shared" si="800"/>
        <v>1</v>
      </c>
      <c r="J2151" s="76">
        <f t="shared" si="801"/>
        <v>1</v>
      </c>
      <c r="K2151" s="67">
        <f t="shared" si="802"/>
        <v>0</v>
      </c>
      <c r="L2151" s="67">
        <f t="shared" si="803"/>
        <v>0</v>
      </c>
      <c r="M2151" s="77">
        <f t="shared" si="804"/>
        <v>0</v>
      </c>
      <c r="N2151" s="76">
        <f t="shared" si="805"/>
        <v>1</v>
      </c>
      <c r="O2151" s="77">
        <f t="shared" si="806"/>
        <v>0.91</v>
      </c>
      <c r="P2151" s="76">
        <f t="shared" si="807"/>
        <v>0.58333333333333337</v>
      </c>
      <c r="Q2151" s="76">
        <f t="shared" si="808"/>
        <v>0.41666666666666663</v>
      </c>
      <c r="R2151" s="76">
        <f t="shared" si="809"/>
        <v>0</v>
      </c>
      <c r="S2151" s="76">
        <f t="shared" si="810"/>
        <v>0.98913043478260865</v>
      </c>
      <c r="T2151" s="76">
        <f t="shared" si="811"/>
        <v>0.98913043478260865</v>
      </c>
      <c r="U2151" s="76">
        <f t="shared" si="812"/>
        <v>1</v>
      </c>
    </row>
    <row r="2152" spans="1:21" x14ac:dyDescent="0.25">
      <c r="A2152" s="71">
        <v>22</v>
      </c>
      <c r="B2152" s="72">
        <f t="shared" si="813"/>
        <v>46296</v>
      </c>
      <c r="C2152" s="73">
        <f t="shared" si="794"/>
        <v>46326</v>
      </c>
      <c r="D2152" s="67">
        <f t="shared" si="795"/>
        <v>31</v>
      </c>
      <c r="E2152" s="67">
        <f t="shared" si="796"/>
        <v>10</v>
      </c>
      <c r="F2152" s="74">
        <f t="shared" si="797"/>
        <v>46311.5</v>
      </c>
      <c r="G2152" s="67">
        <f t="shared" si="798"/>
        <v>24321</v>
      </c>
      <c r="H2152" s="75">
        <f t="shared" si="799"/>
        <v>1</v>
      </c>
      <c r="I2152" s="76">
        <f t="shared" si="800"/>
        <v>1</v>
      </c>
      <c r="J2152" s="76">
        <f t="shared" si="801"/>
        <v>1</v>
      </c>
      <c r="K2152" s="67">
        <f t="shared" si="802"/>
        <v>0</v>
      </c>
      <c r="L2152" s="67">
        <f t="shared" si="803"/>
        <v>0</v>
      </c>
      <c r="M2152" s="77">
        <f t="shared" si="804"/>
        <v>0</v>
      </c>
      <c r="N2152" s="76">
        <f t="shared" si="805"/>
        <v>1</v>
      </c>
      <c r="O2152" s="77">
        <f t="shared" si="806"/>
        <v>0.91</v>
      </c>
      <c r="P2152" s="76">
        <f t="shared" si="807"/>
        <v>0.41666666666666669</v>
      </c>
      <c r="Q2152" s="76">
        <f t="shared" si="808"/>
        <v>0.58333333333333326</v>
      </c>
      <c r="R2152" s="76">
        <f t="shared" si="809"/>
        <v>0</v>
      </c>
      <c r="S2152" s="76">
        <f t="shared" si="810"/>
        <v>0.98913043478260865</v>
      </c>
      <c r="T2152" s="76">
        <f t="shared" si="811"/>
        <v>0.98913043478260865</v>
      </c>
      <c r="U2152" s="76">
        <f t="shared" si="812"/>
        <v>1</v>
      </c>
    </row>
    <row r="2153" spans="1:21" x14ac:dyDescent="0.25">
      <c r="A2153" s="71">
        <v>23</v>
      </c>
      <c r="B2153" s="72">
        <f t="shared" si="813"/>
        <v>46327</v>
      </c>
      <c r="C2153" s="73">
        <f t="shared" si="794"/>
        <v>46356</v>
      </c>
      <c r="D2153" s="67">
        <f t="shared" si="795"/>
        <v>30</v>
      </c>
      <c r="E2153" s="67">
        <f t="shared" si="796"/>
        <v>11</v>
      </c>
      <c r="F2153" s="74">
        <f t="shared" si="797"/>
        <v>46342</v>
      </c>
      <c r="G2153" s="67">
        <f t="shared" si="798"/>
        <v>24322</v>
      </c>
      <c r="H2153" s="75">
        <f t="shared" si="799"/>
        <v>1</v>
      </c>
      <c r="I2153" s="76">
        <f t="shared" si="800"/>
        <v>1</v>
      </c>
      <c r="J2153" s="76">
        <f t="shared" si="801"/>
        <v>1</v>
      </c>
      <c r="K2153" s="67">
        <f t="shared" si="802"/>
        <v>0</v>
      </c>
      <c r="L2153" s="67">
        <f t="shared" si="803"/>
        <v>0</v>
      </c>
      <c r="M2153" s="77">
        <f t="shared" si="804"/>
        <v>0</v>
      </c>
      <c r="N2153" s="76">
        <f t="shared" si="805"/>
        <v>1</v>
      </c>
      <c r="O2153" s="77">
        <f t="shared" si="806"/>
        <v>0.91</v>
      </c>
      <c r="P2153" s="76">
        <f t="shared" si="807"/>
        <v>0.25</v>
      </c>
      <c r="Q2153" s="76">
        <f t="shared" si="808"/>
        <v>0.75</v>
      </c>
      <c r="R2153" s="76">
        <f t="shared" si="809"/>
        <v>0</v>
      </c>
      <c r="S2153" s="76">
        <f t="shared" si="810"/>
        <v>0.98913043478260865</v>
      </c>
      <c r="T2153" s="76">
        <f t="shared" si="811"/>
        <v>0.98913043478260865</v>
      </c>
      <c r="U2153" s="76">
        <f t="shared" si="812"/>
        <v>1</v>
      </c>
    </row>
    <row r="2154" spans="1:21" x14ac:dyDescent="0.25">
      <c r="A2154" s="71">
        <v>24</v>
      </c>
      <c r="B2154" s="72">
        <f t="shared" si="813"/>
        <v>46357</v>
      </c>
      <c r="C2154" s="73">
        <f t="shared" si="794"/>
        <v>46387</v>
      </c>
      <c r="D2154" s="67">
        <f t="shared" si="795"/>
        <v>31</v>
      </c>
      <c r="E2154" s="67">
        <f t="shared" si="796"/>
        <v>12</v>
      </c>
      <c r="F2154" s="74">
        <f t="shared" si="797"/>
        <v>46372.5</v>
      </c>
      <c r="G2154" s="67">
        <f t="shared" si="798"/>
        <v>24323</v>
      </c>
      <c r="H2154" s="75">
        <f t="shared" si="799"/>
        <v>1</v>
      </c>
      <c r="I2154" s="76">
        <f t="shared" si="800"/>
        <v>1</v>
      </c>
      <c r="J2154" s="76">
        <f t="shared" si="801"/>
        <v>1</v>
      </c>
      <c r="K2154" s="67">
        <f t="shared" si="802"/>
        <v>0</v>
      </c>
      <c r="L2154" s="67">
        <f t="shared" si="803"/>
        <v>0</v>
      </c>
      <c r="M2154" s="77">
        <f t="shared" si="804"/>
        <v>0</v>
      </c>
      <c r="N2154" s="76">
        <f t="shared" si="805"/>
        <v>1</v>
      </c>
      <c r="O2154" s="77">
        <f t="shared" si="806"/>
        <v>0.91</v>
      </c>
      <c r="P2154" s="76">
        <f t="shared" si="807"/>
        <v>8.3333333333333329E-2</v>
      </c>
      <c r="Q2154" s="76">
        <f t="shared" si="808"/>
        <v>0.91666666666666663</v>
      </c>
      <c r="R2154" s="76">
        <f t="shared" si="809"/>
        <v>0</v>
      </c>
      <c r="S2154" s="76">
        <f t="shared" si="810"/>
        <v>0.98913043478260865</v>
      </c>
      <c r="T2154" s="76">
        <f t="shared" si="811"/>
        <v>0.98913043478260865</v>
      </c>
      <c r="U2154" s="76">
        <f t="shared" si="812"/>
        <v>1</v>
      </c>
    </row>
    <row r="2155" spans="1:21" x14ac:dyDescent="0.25">
      <c r="A2155" s="71">
        <v>25</v>
      </c>
      <c r="B2155" s="72">
        <f t="shared" si="813"/>
        <v>46388</v>
      </c>
      <c r="C2155" s="73">
        <f t="shared" si="794"/>
        <v>46418</v>
      </c>
      <c r="D2155" s="67">
        <f t="shared" si="795"/>
        <v>31</v>
      </c>
      <c r="E2155" s="67">
        <f t="shared" si="796"/>
        <v>1</v>
      </c>
      <c r="F2155" s="74">
        <f t="shared" si="797"/>
        <v>46403.5</v>
      </c>
      <c r="G2155" s="67">
        <f t="shared" si="798"/>
        <v>24324</v>
      </c>
      <c r="H2155" s="75">
        <f t="shared" si="799"/>
        <v>1</v>
      </c>
      <c r="I2155" s="76">
        <f t="shared" si="800"/>
        <v>1</v>
      </c>
      <c r="J2155" s="76">
        <f t="shared" si="801"/>
        <v>1</v>
      </c>
      <c r="K2155" s="67">
        <f t="shared" si="802"/>
        <v>0</v>
      </c>
      <c r="L2155" s="67">
        <f t="shared" si="803"/>
        <v>0</v>
      </c>
      <c r="M2155" s="77">
        <f t="shared" si="804"/>
        <v>0</v>
      </c>
      <c r="N2155" s="76">
        <f t="shared" si="805"/>
        <v>1</v>
      </c>
      <c r="O2155" s="77">
        <f t="shared" si="806"/>
        <v>0.91</v>
      </c>
      <c r="P2155" s="76">
        <f t="shared" si="807"/>
        <v>0</v>
      </c>
      <c r="Q2155" s="76">
        <f t="shared" si="808"/>
        <v>1</v>
      </c>
      <c r="R2155" s="76">
        <f t="shared" si="809"/>
        <v>0</v>
      </c>
      <c r="S2155" s="76">
        <f t="shared" si="810"/>
        <v>0.98913043478260865</v>
      </c>
      <c r="T2155" s="76">
        <f t="shared" si="811"/>
        <v>0.98913043478260865</v>
      </c>
      <c r="U2155" s="76">
        <f t="shared" si="812"/>
        <v>1</v>
      </c>
    </row>
    <row r="2156" spans="1:21" x14ac:dyDescent="0.25">
      <c r="A2156" s="71">
        <v>26</v>
      </c>
      <c r="B2156" s="72">
        <f t="shared" si="813"/>
        <v>46419</v>
      </c>
      <c r="C2156" s="73">
        <f t="shared" si="794"/>
        <v>46446</v>
      </c>
      <c r="D2156" s="67">
        <f t="shared" si="795"/>
        <v>28</v>
      </c>
      <c r="E2156" s="67">
        <f t="shared" si="796"/>
        <v>2</v>
      </c>
      <c r="F2156" s="74">
        <f t="shared" si="797"/>
        <v>46433</v>
      </c>
      <c r="G2156" s="67">
        <f t="shared" si="798"/>
        <v>24325</v>
      </c>
      <c r="H2156" s="75">
        <f t="shared" si="799"/>
        <v>1</v>
      </c>
      <c r="I2156" s="76">
        <f t="shared" si="800"/>
        <v>1</v>
      </c>
      <c r="J2156" s="76">
        <f t="shared" si="801"/>
        <v>1</v>
      </c>
      <c r="K2156" s="67">
        <f t="shared" si="802"/>
        <v>0</v>
      </c>
      <c r="L2156" s="67">
        <f t="shared" si="803"/>
        <v>0</v>
      </c>
      <c r="M2156" s="77">
        <f t="shared" si="804"/>
        <v>0</v>
      </c>
      <c r="N2156" s="76">
        <f t="shared" si="805"/>
        <v>1</v>
      </c>
      <c r="O2156" s="77">
        <f t="shared" si="806"/>
        <v>0.91</v>
      </c>
      <c r="P2156" s="76">
        <f t="shared" si="807"/>
        <v>0</v>
      </c>
      <c r="Q2156" s="76">
        <f t="shared" si="808"/>
        <v>1</v>
      </c>
      <c r="R2156" s="76">
        <f t="shared" si="809"/>
        <v>0</v>
      </c>
      <c r="S2156" s="76">
        <f t="shared" si="810"/>
        <v>0.98913043478260865</v>
      </c>
      <c r="T2156" s="76">
        <f t="shared" si="811"/>
        <v>0.98913043478260865</v>
      </c>
      <c r="U2156" s="76">
        <f t="shared" si="812"/>
        <v>1</v>
      </c>
    </row>
    <row r="2157" spans="1:21" x14ac:dyDescent="0.25">
      <c r="A2157" s="71">
        <v>27</v>
      </c>
      <c r="B2157" s="72">
        <f t="shared" si="813"/>
        <v>46447</v>
      </c>
      <c r="C2157" s="73">
        <f t="shared" si="794"/>
        <v>46477</v>
      </c>
      <c r="D2157" s="67">
        <f t="shared" si="795"/>
        <v>31</v>
      </c>
      <c r="E2157" s="67">
        <f t="shared" si="796"/>
        <v>3</v>
      </c>
      <c r="F2157" s="74">
        <f t="shared" si="797"/>
        <v>46462.5</v>
      </c>
      <c r="G2157" s="67">
        <f t="shared" si="798"/>
        <v>24326</v>
      </c>
      <c r="H2157" s="75">
        <f t="shared" si="799"/>
        <v>1</v>
      </c>
      <c r="I2157" s="76">
        <f t="shared" si="800"/>
        <v>1</v>
      </c>
      <c r="J2157" s="76">
        <f t="shared" si="801"/>
        <v>1</v>
      </c>
      <c r="K2157" s="67">
        <f t="shared" si="802"/>
        <v>0</v>
      </c>
      <c r="L2157" s="67">
        <f t="shared" si="803"/>
        <v>0</v>
      </c>
      <c r="M2157" s="77">
        <f t="shared" si="804"/>
        <v>0</v>
      </c>
      <c r="N2157" s="76">
        <f t="shared" si="805"/>
        <v>1</v>
      </c>
      <c r="O2157" s="77">
        <f t="shared" si="806"/>
        <v>0.91</v>
      </c>
      <c r="P2157" s="76">
        <f t="shared" si="807"/>
        <v>0</v>
      </c>
      <c r="Q2157" s="76">
        <f t="shared" si="808"/>
        <v>1</v>
      </c>
      <c r="R2157" s="76">
        <f t="shared" si="809"/>
        <v>0</v>
      </c>
      <c r="S2157" s="76">
        <f t="shared" si="810"/>
        <v>0.98913043478260865</v>
      </c>
      <c r="T2157" s="76">
        <f t="shared" si="811"/>
        <v>0.98913043478260865</v>
      </c>
      <c r="U2157" s="76">
        <f t="shared" si="812"/>
        <v>1</v>
      </c>
    </row>
    <row r="2158" spans="1:21" x14ac:dyDescent="0.25">
      <c r="A2158" s="71">
        <v>28</v>
      </c>
      <c r="B2158" s="72">
        <f t="shared" si="813"/>
        <v>46478</v>
      </c>
      <c r="C2158" s="73">
        <f t="shared" si="794"/>
        <v>46507</v>
      </c>
      <c r="D2158" s="67">
        <f t="shared" si="795"/>
        <v>30</v>
      </c>
      <c r="E2158" s="67">
        <f t="shared" si="796"/>
        <v>4</v>
      </c>
      <c r="F2158" s="74">
        <f t="shared" si="797"/>
        <v>46493</v>
      </c>
      <c r="G2158" s="67">
        <f t="shared" si="798"/>
        <v>24327</v>
      </c>
      <c r="H2158" s="75">
        <f t="shared" si="799"/>
        <v>1</v>
      </c>
      <c r="I2158" s="76">
        <f t="shared" si="800"/>
        <v>1</v>
      </c>
      <c r="J2158" s="76">
        <f t="shared" si="801"/>
        <v>1</v>
      </c>
      <c r="K2158" s="67">
        <f t="shared" si="802"/>
        <v>0</v>
      </c>
      <c r="L2158" s="67">
        <f t="shared" si="803"/>
        <v>0</v>
      </c>
      <c r="M2158" s="77">
        <f t="shared" si="804"/>
        <v>0</v>
      </c>
      <c r="N2158" s="76">
        <f t="shared" si="805"/>
        <v>1</v>
      </c>
      <c r="O2158" s="77">
        <f t="shared" si="806"/>
        <v>0.91</v>
      </c>
      <c r="P2158" s="76">
        <f t="shared" si="807"/>
        <v>0</v>
      </c>
      <c r="Q2158" s="76">
        <f t="shared" si="808"/>
        <v>1</v>
      </c>
      <c r="R2158" s="76">
        <f t="shared" si="809"/>
        <v>0</v>
      </c>
      <c r="S2158" s="76">
        <f t="shared" si="810"/>
        <v>0.98913043478260865</v>
      </c>
      <c r="T2158" s="76">
        <f t="shared" si="811"/>
        <v>0.98913043478260865</v>
      </c>
      <c r="U2158" s="76">
        <f t="shared" si="812"/>
        <v>1</v>
      </c>
    </row>
    <row r="2159" spans="1:21" x14ac:dyDescent="0.25">
      <c r="A2159" s="71">
        <v>29</v>
      </c>
      <c r="B2159" s="72">
        <f t="shared" si="813"/>
        <v>46508</v>
      </c>
      <c r="C2159" s="73">
        <f t="shared" si="794"/>
        <v>46538</v>
      </c>
      <c r="D2159" s="67">
        <f t="shared" si="795"/>
        <v>31</v>
      </c>
      <c r="E2159" s="67">
        <f t="shared" si="796"/>
        <v>5</v>
      </c>
      <c r="F2159" s="74">
        <f t="shared" si="797"/>
        <v>46523.5</v>
      </c>
      <c r="G2159" s="67">
        <f t="shared" si="798"/>
        <v>24328</v>
      </c>
      <c r="H2159" s="75">
        <f t="shared" si="799"/>
        <v>1</v>
      </c>
      <c r="I2159" s="76">
        <f t="shared" si="800"/>
        <v>1</v>
      </c>
      <c r="J2159" s="76">
        <f t="shared" si="801"/>
        <v>1</v>
      </c>
      <c r="K2159" s="67">
        <f t="shared" si="802"/>
        <v>0</v>
      </c>
      <c r="L2159" s="67">
        <f t="shared" si="803"/>
        <v>0</v>
      </c>
      <c r="M2159" s="77">
        <f t="shared" si="804"/>
        <v>0</v>
      </c>
      <c r="N2159" s="76">
        <f t="shared" si="805"/>
        <v>1</v>
      </c>
      <c r="O2159" s="77">
        <f t="shared" si="806"/>
        <v>0.91</v>
      </c>
      <c r="P2159" s="76">
        <f t="shared" si="807"/>
        <v>0</v>
      </c>
      <c r="Q2159" s="76">
        <f t="shared" si="808"/>
        <v>1</v>
      </c>
      <c r="R2159" s="76">
        <f t="shared" si="809"/>
        <v>0</v>
      </c>
      <c r="S2159" s="76">
        <f t="shared" si="810"/>
        <v>0.98913043478260865</v>
      </c>
      <c r="T2159" s="76">
        <f t="shared" si="811"/>
        <v>0.98913043478260865</v>
      </c>
      <c r="U2159" s="76">
        <f t="shared" si="812"/>
        <v>1</v>
      </c>
    </row>
    <row r="2160" spans="1:21" x14ac:dyDescent="0.25">
      <c r="A2160" s="71">
        <v>30</v>
      </c>
      <c r="B2160" s="72">
        <f t="shared" si="813"/>
        <v>46539</v>
      </c>
      <c r="C2160" s="73">
        <f t="shared" si="794"/>
        <v>46568</v>
      </c>
      <c r="D2160" s="67">
        <f t="shared" si="795"/>
        <v>30</v>
      </c>
      <c r="E2160" s="67">
        <f t="shared" si="796"/>
        <v>6</v>
      </c>
      <c r="F2160" s="74">
        <f t="shared" si="797"/>
        <v>46554</v>
      </c>
      <c r="G2160" s="67">
        <f t="shared" si="798"/>
        <v>24329</v>
      </c>
      <c r="H2160" s="75">
        <f t="shared" si="799"/>
        <v>1</v>
      </c>
      <c r="I2160" s="76">
        <f t="shared" si="800"/>
        <v>1</v>
      </c>
      <c r="J2160" s="76">
        <f t="shared" si="801"/>
        <v>1</v>
      </c>
      <c r="K2160" s="67">
        <f t="shared" si="802"/>
        <v>0</v>
      </c>
      <c r="L2160" s="67">
        <f t="shared" si="803"/>
        <v>0</v>
      </c>
      <c r="M2160" s="77">
        <f t="shared" si="804"/>
        <v>0</v>
      </c>
      <c r="N2160" s="76">
        <f t="shared" si="805"/>
        <v>1</v>
      </c>
      <c r="O2160" s="77">
        <f t="shared" si="806"/>
        <v>0.91</v>
      </c>
      <c r="P2160" s="76">
        <f t="shared" si="807"/>
        <v>0</v>
      </c>
      <c r="Q2160" s="76">
        <f t="shared" si="808"/>
        <v>1</v>
      </c>
      <c r="R2160" s="76">
        <f t="shared" si="809"/>
        <v>0</v>
      </c>
      <c r="S2160" s="76">
        <f t="shared" si="810"/>
        <v>0.98913043478260865</v>
      </c>
      <c r="T2160" s="76">
        <f t="shared" si="811"/>
        <v>0.98913043478260865</v>
      </c>
      <c r="U2160" s="76">
        <f t="shared" si="812"/>
        <v>1</v>
      </c>
    </row>
    <row r="2161" spans="1:21" x14ac:dyDescent="0.25">
      <c r="A2161" s="71">
        <v>31</v>
      </c>
      <c r="B2161" s="72">
        <f t="shared" si="813"/>
        <v>46569</v>
      </c>
      <c r="C2161" s="73">
        <f t="shared" si="794"/>
        <v>46599</v>
      </c>
      <c r="D2161" s="67">
        <f t="shared" si="795"/>
        <v>31</v>
      </c>
      <c r="E2161" s="67">
        <f t="shared" si="796"/>
        <v>7</v>
      </c>
      <c r="F2161" s="74">
        <f t="shared" si="797"/>
        <v>46584.5</v>
      </c>
      <c r="G2161" s="67">
        <f t="shared" si="798"/>
        <v>24330</v>
      </c>
      <c r="H2161" s="75">
        <f t="shared" si="799"/>
        <v>1</v>
      </c>
      <c r="I2161" s="76">
        <f t="shared" si="800"/>
        <v>1</v>
      </c>
      <c r="J2161" s="76">
        <f t="shared" si="801"/>
        <v>1</v>
      </c>
      <c r="K2161" s="67">
        <f t="shared" si="802"/>
        <v>0</v>
      </c>
      <c r="L2161" s="67">
        <f t="shared" si="803"/>
        <v>0</v>
      </c>
      <c r="M2161" s="77">
        <f t="shared" si="804"/>
        <v>0</v>
      </c>
      <c r="N2161" s="76">
        <f t="shared" si="805"/>
        <v>1</v>
      </c>
      <c r="O2161" s="77">
        <f t="shared" si="806"/>
        <v>0.91</v>
      </c>
      <c r="P2161" s="76">
        <f t="shared" si="807"/>
        <v>0</v>
      </c>
      <c r="Q2161" s="76">
        <f t="shared" si="808"/>
        <v>0.91666666666666663</v>
      </c>
      <c r="R2161" s="76">
        <f t="shared" si="809"/>
        <v>8.333333333333337E-2</v>
      </c>
      <c r="S2161" s="76">
        <f t="shared" si="810"/>
        <v>0.98913043478260865</v>
      </c>
      <c r="T2161" s="76">
        <f t="shared" si="811"/>
        <v>0.98913043478260865</v>
      </c>
      <c r="U2161" s="76">
        <f t="shared" si="812"/>
        <v>1</v>
      </c>
    </row>
    <row r="2162" spans="1:21" x14ac:dyDescent="0.25">
      <c r="A2162" s="71">
        <v>32</v>
      </c>
      <c r="B2162" s="72">
        <f t="shared" si="813"/>
        <v>46600</v>
      </c>
      <c r="C2162" s="73">
        <f t="shared" si="794"/>
        <v>46630</v>
      </c>
      <c r="D2162" s="67">
        <f t="shared" si="795"/>
        <v>31</v>
      </c>
      <c r="E2162" s="67">
        <f t="shared" si="796"/>
        <v>8</v>
      </c>
      <c r="F2162" s="74">
        <f t="shared" si="797"/>
        <v>46615.5</v>
      </c>
      <c r="G2162" s="67">
        <f t="shared" si="798"/>
        <v>24331</v>
      </c>
      <c r="H2162" s="75">
        <f t="shared" si="799"/>
        <v>1</v>
      </c>
      <c r="I2162" s="76">
        <f t="shared" si="800"/>
        <v>1</v>
      </c>
      <c r="J2162" s="76">
        <f t="shared" si="801"/>
        <v>1</v>
      </c>
      <c r="K2162" s="67">
        <f t="shared" si="802"/>
        <v>0</v>
      </c>
      <c r="L2162" s="67">
        <f t="shared" si="803"/>
        <v>0</v>
      </c>
      <c r="M2162" s="77">
        <f t="shared" si="804"/>
        <v>0</v>
      </c>
      <c r="N2162" s="76">
        <f t="shared" si="805"/>
        <v>1</v>
      </c>
      <c r="O2162" s="77">
        <f t="shared" si="806"/>
        <v>0.91</v>
      </c>
      <c r="P2162" s="76">
        <f t="shared" si="807"/>
        <v>0</v>
      </c>
      <c r="Q2162" s="76">
        <f t="shared" si="808"/>
        <v>0.75</v>
      </c>
      <c r="R2162" s="76">
        <f t="shared" si="809"/>
        <v>0.25</v>
      </c>
      <c r="S2162" s="76">
        <f t="shared" si="810"/>
        <v>0.98913043478260865</v>
      </c>
      <c r="T2162" s="76">
        <f t="shared" si="811"/>
        <v>0.98913043478260865</v>
      </c>
      <c r="U2162" s="76">
        <f t="shared" si="812"/>
        <v>1</v>
      </c>
    </row>
    <row r="2163" spans="1:21" x14ac:dyDescent="0.25">
      <c r="A2163" s="71">
        <v>33</v>
      </c>
      <c r="B2163" s="72">
        <f t="shared" si="813"/>
        <v>46631</v>
      </c>
      <c r="C2163" s="73">
        <f t="shared" si="794"/>
        <v>46660</v>
      </c>
      <c r="D2163" s="67">
        <f t="shared" si="795"/>
        <v>30</v>
      </c>
      <c r="E2163" s="67">
        <f t="shared" si="796"/>
        <v>9</v>
      </c>
      <c r="F2163" s="74">
        <f t="shared" si="797"/>
        <v>46646</v>
      </c>
      <c r="G2163" s="67">
        <f t="shared" si="798"/>
        <v>24332</v>
      </c>
      <c r="H2163" s="75">
        <f t="shared" si="799"/>
        <v>1</v>
      </c>
      <c r="I2163" s="76">
        <f t="shared" si="800"/>
        <v>1</v>
      </c>
      <c r="J2163" s="76">
        <f t="shared" si="801"/>
        <v>1</v>
      </c>
      <c r="K2163" s="67">
        <f t="shared" si="802"/>
        <v>0</v>
      </c>
      <c r="L2163" s="67">
        <f t="shared" si="803"/>
        <v>0</v>
      </c>
      <c r="M2163" s="77">
        <f t="shared" si="804"/>
        <v>0</v>
      </c>
      <c r="N2163" s="76">
        <f t="shared" si="805"/>
        <v>1</v>
      </c>
      <c r="O2163" s="77">
        <f t="shared" si="806"/>
        <v>0.91</v>
      </c>
      <c r="P2163" s="76">
        <f t="shared" si="807"/>
        <v>0</v>
      </c>
      <c r="Q2163" s="76">
        <f t="shared" si="808"/>
        <v>0.58333333333333337</v>
      </c>
      <c r="R2163" s="76">
        <f t="shared" si="809"/>
        <v>0.41666666666666663</v>
      </c>
      <c r="S2163" s="76">
        <f t="shared" si="810"/>
        <v>0.98913043478260865</v>
      </c>
      <c r="T2163" s="76">
        <f t="shared" si="811"/>
        <v>0.98913043478260865</v>
      </c>
      <c r="U2163" s="76">
        <f t="shared" si="812"/>
        <v>1</v>
      </c>
    </row>
    <row r="2164" spans="1:21" x14ac:dyDescent="0.25">
      <c r="A2164" s="71">
        <v>34</v>
      </c>
      <c r="B2164" s="72">
        <f t="shared" si="813"/>
        <v>46661</v>
      </c>
      <c r="C2164" s="73">
        <f t="shared" si="794"/>
        <v>46691</v>
      </c>
      <c r="D2164" s="67">
        <f t="shared" si="795"/>
        <v>31</v>
      </c>
      <c r="E2164" s="67">
        <f t="shared" si="796"/>
        <v>10</v>
      </c>
      <c r="F2164" s="74">
        <f t="shared" si="797"/>
        <v>46676.5</v>
      </c>
      <c r="G2164" s="67">
        <f t="shared" si="798"/>
        <v>24333</v>
      </c>
      <c r="H2164" s="75">
        <f t="shared" si="799"/>
        <v>1</v>
      </c>
      <c r="I2164" s="76">
        <f t="shared" si="800"/>
        <v>1</v>
      </c>
      <c r="J2164" s="76">
        <f t="shared" si="801"/>
        <v>1</v>
      </c>
      <c r="K2164" s="67">
        <f t="shared" si="802"/>
        <v>0</v>
      </c>
      <c r="L2164" s="67">
        <f t="shared" si="803"/>
        <v>0</v>
      </c>
      <c r="M2164" s="77">
        <f t="shared" si="804"/>
        <v>0</v>
      </c>
      <c r="N2164" s="76">
        <f t="shared" si="805"/>
        <v>1</v>
      </c>
      <c r="O2164" s="77">
        <f t="shared" si="806"/>
        <v>0.91</v>
      </c>
      <c r="P2164" s="76">
        <f t="shared" si="807"/>
        <v>0</v>
      </c>
      <c r="Q2164" s="76">
        <f t="shared" si="808"/>
        <v>0.41666666666666669</v>
      </c>
      <c r="R2164" s="76">
        <f t="shared" si="809"/>
        <v>0.58333333333333326</v>
      </c>
      <c r="S2164" s="76">
        <f t="shared" si="810"/>
        <v>0.98913043478260865</v>
      </c>
      <c r="T2164" s="76">
        <f t="shared" si="811"/>
        <v>0.98913043478260865</v>
      </c>
      <c r="U2164" s="76">
        <f t="shared" si="812"/>
        <v>1</v>
      </c>
    </row>
    <row r="2165" spans="1:21" x14ac:dyDescent="0.25">
      <c r="A2165" s="71">
        <v>35</v>
      </c>
      <c r="B2165" s="72">
        <f t="shared" si="813"/>
        <v>46692</v>
      </c>
      <c r="C2165" s="73">
        <f t="shared" si="794"/>
        <v>46721</v>
      </c>
      <c r="D2165" s="67">
        <f t="shared" si="795"/>
        <v>30</v>
      </c>
      <c r="E2165" s="67">
        <f t="shared" si="796"/>
        <v>11</v>
      </c>
      <c r="F2165" s="74">
        <f t="shared" si="797"/>
        <v>46707</v>
      </c>
      <c r="G2165" s="67">
        <f t="shared" si="798"/>
        <v>24334</v>
      </c>
      <c r="H2165" s="75">
        <f t="shared" si="799"/>
        <v>1</v>
      </c>
      <c r="I2165" s="76">
        <f t="shared" si="800"/>
        <v>1</v>
      </c>
      <c r="J2165" s="76">
        <f t="shared" si="801"/>
        <v>1</v>
      </c>
      <c r="K2165" s="67">
        <f t="shared" si="802"/>
        <v>0</v>
      </c>
      <c r="L2165" s="67">
        <f t="shared" si="803"/>
        <v>0</v>
      </c>
      <c r="M2165" s="77">
        <f t="shared" si="804"/>
        <v>0</v>
      </c>
      <c r="N2165" s="76">
        <f t="shared" si="805"/>
        <v>1</v>
      </c>
      <c r="O2165" s="77">
        <f t="shared" si="806"/>
        <v>0.91</v>
      </c>
      <c r="P2165" s="76">
        <f t="shared" si="807"/>
        <v>0</v>
      </c>
      <c r="Q2165" s="76">
        <f t="shared" si="808"/>
        <v>0.25</v>
      </c>
      <c r="R2165" s="76">
        <f t="shared" si="809"/>
        <v>0.75</v>
      </c>
      <c r="S2165" s="76">
        <f t="shared" si="810"/>
        <v>0.98913043478260865</v>
      </c>
      <c r="T2165" s="76">
        <f t="shared" si="811"/>
        <v>0.98913043478260865</v>
      </c>
      <c r="U2165" s="76">
        <f t="shared" si="812"/>
        <v>1</v>
      </c>
    </row>
    <row r="2166" spans="1:21" x14ac:dyDescent="0.25">
      <c r="A2166" s="71">
        <v>36</v>
      </c>
      <c r="B2166" s="72">
        <f t="shared" si="813"/>
        <v>46722</v>
      </c>
      <c r="C2166" s="73">
        <f t="shared" si="794"/>
        <v>46752</v>
      </c>
      <c r="D2166" s="67">
        <f t="shared" si="795"/>
        <v>31</v>
      </c>
      <c r="E2166" s="67">
        <f t="shared" si="796"/>
        <v>12</v>
      </c>
      <c r="F2166" s="74">
        <f t="shared" si="797"/>
        <v>46737.5</v>
      </c>
      <c r="G2166" s="67">
        <f t="shared" si="798"/>
        <v>24335</v>
      </c>
      <c r="H2166" s="75">
        <f t="shared" si="799"/>
        <v>1</v>
      </c>
      <c r="I2166" s="76">
        <f t="shared" si="800"/>
        <v>1</v>
      </c>
      <c r="J2166" s="76">
        <f t="shared" si="801"/>
        <v>1</v>
      </c>
      <c r="K2166" s="67">
        <f t="shared" si="802"/>
        <v>0</v>
      </c>
      <c r="L2166" s="67">
        <f t="shared" si="803"/>
        <v>0</v>
      </c>
      <c r="M2166" s="77">
        <f t="shared" si="804"/>
        <v>0</v>
      </c>
      <c r="N2166" s="76">
        <f t="shared" si="805"/>
        <v>1</v>
      </c>
      <c r="O2166" s="77">
        <f t="shared" si="806"/>
        <v>0.91</v>
      </c>
      <c r="P2166" s="76">
        <f t="shared" si="807"/>
        <v>0</v>
      </c>
      <c r="Q2166" s="76">
        <f t="shared" si="808"/>
        <v>8.3333333333333329E-2</v>
      </c>
      <c r="R2166" s="76">
        <f t="shared" si="809"/>
        <v>0.91666666666666663</v>
      </c>
      <c r="S2166" s="76">
        <f t="shared" si="810"/>
        <v>0.98913043478260865</v>
      </c>
      <c r="T2166" s="76">
        <f t="shared" si="811"/>
        <v>0.98913043478260865</v>
      </c>
      <c r="U2166" s="76">
        <f t="shared" si="812"/>
        <v>1</v>
      </c>
    </row>
    <row r="2167" spans="1:21" x14ac:dyDescent="0.25">
      <c r="A2167" s="71">
        <v>37</v>
      </c>
      <c r="B2167" s="72">
        <f t="shared" si="813"/>
        <v>46753</v>
      </c>
      <c r="C2167" s="73">
        <f t="shared" si="794"/>
        <v>46783</v>
      </c>
      <c r="D2167" s="67">
        <f t="shared" si="795"/>
        <v>31</v>
      </c>
      <c r="E2167" s="67">
        <f t="shared" si="796"/>
        <v>1</v>
      </c>
      <c r="F2167" s="74">
        <f t="shared" si="797"/>
        <v>46768.5</v>
      </c>
      <c r="G2167" s="67">
        <f t="shared" si="798"/>
        <v>24336</v>
      </c>
      <c r="H2167" s="75">
        <f t="shared" si="799"/>
        <v>1</v>
      </c>
      <c r="I2167" s="76">
        <f t="shared" si="800"/>
        <v>1</v>
      </c>
      <c r="J2167" s="76">
        <f t="shared" si="801"/>
        <v>1</v>
      </c>
      <c r="K2167" s="67">
        <f t="shared" si="802"/>
        <v>0</v>
      </c>
      <c r="L2167" s="67">
        <f t="shared" si="803"/>
        <v>0</v>
      </c>
      <c r="M2167" s="77">
        <f t="shared" si="804"/>
        <v>0</v>
      </c>
      <c r="N2167" s="76">
        <f t="shared" si="805"/>
        <v>1</v>
      </c>
      <c r="O2167" s="77">
        <f t="shared" si="806"/>
        <v>0.91</v>
      </c>
      <c r="P2167" s="76">
        <f t="shared" si="807"/>
        <v>0</v>
      </c>
      <c r="Q2167" s="76">
        <f t="shared" si="808"/>
        <v>0</v>
      </c>
      <c r="R2167" s="76">
        <f t="shared" si="809"/>
        <v>1</v>
      </c>
      <c r="S2167" s="76">
        <f t="shared" si="810"/>
        <v>0.98913043478260865</v>
      </c>
      <c r="T2167" s="76">
        <f t="shared" si="811"/>
        <v>0.98913043478260865</v>
      </c>
      <c r="U2167" s="76">
        <f t="shared" si="812"/>
        <v>1</v>
      </c>
    </row>
    <row r="2168" spans="1:21" x14ac:dyDescent="0.25">
      <c r="A2168" s="71">
        <v>38</v>
      </c>
      <c r="B2168" s="72">
        <f t="shared" si="813"/>
        <v>46784</v>
      </c>
      <c r="C2168" s="73">
        <f t="shared" si="794"/>
        <v>46812</v>
      </c>
      <c r="D2168" s="67">
        <f t="shared" si="795"/>
        <v>29</v>
      </c>
      <c r="E2168" s="67">
        <f t="shared" si="796"/>
        <v>2</v>
      </c>
      <c r="F2168" s="74">
        <f t="shared" si="797"/>
        <v>46798.5</v>
      </c>
      <c r="G2168" s="67">
        <f t="shared" si="798"/>
        <v>24337</v>
      </c>
      <c r="H2168" s="75">
        <f t="shared" si="799"/>
        <v>1</v>
      </c>
      <c r="I2168" s="76">
        <f t="shared" si="800"/>
        <v>1</v>
      </c>
      <c r="J2168" s="76">
        <f t="shared" si="801"/>
        <v>1</v>
      </c>
      <c r="K2168" s="67">
        <f t="shared" si="802"/>
        <v>0</v>
      </c>
      <c r="L2168" s="67">
        <f t="shared" si="803"/>
        <v>0</v>
      </c>
      <c r="M2168" s="77">
        <f t="shared" si="804"/>
        <v>0</v>
      </c>
      <c r="N2168" s="76">
        <f t="shared" si="805"/>
        <v>1</v>
      </c>
      <c r="O2168" s="77">
        <f t="shared" si="806"/>
        <v>0.91</v>
      </c>
      <c r="P2168" s="76">
        <f t="shared" si="807"/>
        <v>0</v>
      </c>
      <c r="Q2168" s="76">
        <f t="shared" si="808"/>
        <v>0</v>
      </c>
      <c r="R2168" s="76">
        <f t="shared" si="809"/>
        <v>1</v>
      </c>
      <c r="S2168" s="76">
        <f t="shared" si="810"/>
        <v>0.98913043478260865</v>
      </c>
      <c r="T2168" s="76">
        <f t="shared" si="811"/>
        <v>0.98913043478260865</v>
      </c>
      <c r="U2168" s="76">
        <f t="shared" si="812"/>
        <v>1</v>
      </c>
    </row>
    <row r="2169" spans="1:21" x14ac:dyDescent="0.25">
      <c r="A2169" s="71">
        <v>39</v>
      </c>
      <c r="B2169" s="72">
        <f t="shared" si="813"/>
        <v>46813</v>
      </c>
      <c r="C2169" s="73">
        <f t="shared" si="794"/>
        <v>46843</v>
      </c>
      <c r="D2169" s="67">
        <f t="shared" si="795"/>
        <v>31</v>
      </c>
      <c r="E2169" s="67">
        <f t="shared" si="796"/>
        <v>3</v>
      </c>
      <c r="F2169" s="74">
        <f t="shared" si="797"/>
        <v>46828.5</v>
      </c>
      <c r="G2169" s="67">
        <f t="shared" si="798"/>
        <v>24338</v>
      </c>
      <c r="H2169" s="75">
        <f t="shared" si="799"/>
        <v>1</v>
      </c>
      <c r="I2169" s="76">
        <f t="shared" si="800"/>
        <v>1</v>
      </c>
      <c r="J2169" s="76">
        <f t="shared" si="801"/>
        <v>1</v>
      </c>
      <c r="K2169" s="67">
        <f t="shared" si="802"/>
        <v>0</v>
      </c>
      <c r="L2169" s="67">
        <f t="shared" si="803"/>
        <v>0</v>
      </c>
      <c r="M2169" s="77">
        <f t="shared" si="804"/>
        <v>0</v>
      </c>
      <c r="N2169" s="76">
        <f t="shared" si="805"/>
        <v>1</v>
      </c>
      <c r="O2169" s="77">
        <f t="shared" si="806"/>
        <v>0.91</v>
      </c>
      <c r="P2169" s="76">
        <f t="shared" si="807"/>
        <v>0</v>
      </c>
      <c r="Q2169" s="76">
        <f t="shared" si="808"/>
        <v>0</v>
      </c>
      <c r="R2169" s="76">
        <f t="shared" si="809"/>
        <v>1</v>
      </c>
      <c r="S2169" s="76">
        <f t="shared" si="810"/>
        <v>0.98913043478260865</v>
      </c>
      <c r="T2169" s="76">
        <f t="shared" si="811"/>
        <v>0.98913043478260865</v>
      </c>
      <c r="U2169" s="76">
        <f t="shared" si="812"/>
        <v>1</v>
      </c>
    </row>
    <row r="2170" spans="1:21" x14ac:dyDescent="0.25">
      <c r="A2170" s="71">
        <v>40</v>
      </c>
      <c r="B2170" s="72">
        <f t="shared" si="813"/>
        <v>46844</v>
      </c>
      <c r="C2170" s="73">
        <f t="shared" si="794"/>
        <v>46873</v>
      </c>
      <c r="D2170" s="67">
        <f t="shared" si="795"/>
        <v>30</v>
      </c>
      <c r="E2170" s="67">
        <f t="shared" si="796"/>
        <v>4</v>
      </c>
      <c r="F2170" s="74">
        <f t="shared" si="797"/>
        <v>46859</v>
      </c>
      <c r="G2170" s="67">
        <f t="shared" si="798"/>
        <v>24339</v>
      </c>
      <c r="H2170" s="75">
        <f t="shared" si="799"/>
        <v>1</v>
      </c>
      <c r="I2170" s="76">
        <f t="shared" si="800"/>
        <v>1</v>
      </c>
      <c r="J2170" s="76">
        <f t="shared" si="801"/>
        <v>1</v>
      </c>
      <c r="K2170" s="67">
        <f t="shared" si="802"/>
        <v>0</v>
      </c>
      <c r="L2170" s="67">
        <f t="shared" si="803"/>
        <v>0</v>
      </c>
      <c r="M2170" s="77">
        <f t="shared" si="804"/>
        <v>0</v>
      </c>
      <c r="N2170" s="76">
        <f t="shared" si="805"/>
        <v>1</v>
      </c>
      <c r="O2170" s="77">
        <f t="shared" si="806"/>
        <v>0.91</v>
      </c>
      <c r="P2170" s="76">
        <f t="shared" si="807"/>
        <v>0</v>
      </c>
      <c r="Q2170" s="76">
        <f t="shared" si="808"/>
        <v>0</v>
      </c>
      <c r="R2170" s="76">
        <f t="shared" si="809"/>
        <v>1</v>
      </c>
      <c r="S2170" s="76">
        <f t="shared" si="810"/>
        <v>0.98913043478260865</v>
      </c>
      <c r="T2170" s="76">
        <f t="shared" si="811"/>
        <v>0.98913043478260865</v>
      </c>
      <c r="U2170" s="76">
        <f t="shared" si="812"/>
        <v>1</v>
      </c>
    </row>
    <row r="2171" spans="1:21" x14ac:dyDescent="0.25">
      <c r="A2171" s="71">
        <v>41</v>
      </c>
      <c r="B2171" s="72">
        <f t="shared" si="813"/>
        <v>46874</v>
      </c>
      <c r="C2171" s="73">
        <f t="shared" si="794"/>
        <v>46904</v>
      </c>
      <c r="D2171" s="67">
        <f t="shared" si="795"/>
        <v>31</v>
      </c>
      <c r="E2171" s="67">
        <f t="shared" si="796"/>
        <v>5</v>
      </c>
      <c r="F2171" s="74">
        <f t="shared" si="797"/>
        <v>46889.5</v>
      </c>
      <c r="G2171" s="67">
        <f t="shared" si="798"/>
        <v>24340</v>
      </c>
      <c r="H2171" s="75">
        <f t="shared" si="799"/>
        <v>1</v>
      </c>
      <c r="I2171" s="76">
        <f t="shared" si="800"/>
        <v>1</v>
      </c>
      <c r="J2171" s="76">
        <f t="shared" si="801"/>
        <v>1</v>
      </c>
      <c r="K2171" s="67">
        <f t="shared" si="802"/>
        <v>0</v>
      </c>
      <c r="L2171" s="67">
        <f t="shared" si="803"/>
        <v>0</v>
      </c>
      <c r="M2171" s="77">
        <f t="shared" si="804"/>
        <v>0</v>
      </c>
      <c r="N2171" s="76">
        <f t="shared" si="805"/>
        <v>1</v>
      </c>
      <c r="O2171" s="77">
        <f t="shared" si="806"/>
        <v>0.91</v>
      </c>
      <c r="P2171" s="76">
        <f t="shared" si="807"/>
        <v>0</v>
      </c>
      <c r="Q2171" s="76">
        <f t="shared" si="808"/>
        <v>0</v>
      </c>
      <c r="R2171" s="76">
        <f t="shared" si="809"/>
        <v>1</v>
      </c>
      <c r="S2171" s="76">
        <f t="shared" si="810"/>
        <v>0.98913043478260865</v>
      </c>
      <c r="T2171" s="76">
        <f t="shared" si="811"/>
        <v>0.98913043478260865</v>
      </c>
      <c r="U2171" s="76">
        <f t="shared" si="812"/>
        <v>1</v>
      </c>
    </row>
    <row r="2172" spans="1:21" x14ac:dyDescent="0.25">
      <c r="A2172" s="71">
        <v>42</v>
      </c>
      <c r="B2172" s="72">
        <f t="shared" si="813"/>
        <v>46905</v>
      </c>
      <c r="C2172" s="73">
        <f t="shared" si="794"/>
        <v>46934</v>
      </c>
      <c r="D2172" s="67">
        <f t="shared" si="795"/>
        <v>30</v>
      </c>
      <c r="E2172" s="67">
        <f t="shared" si="796"/>
        <v>6</v>
      </c>
      <c r="F2172" s="74">
        <f t="shared" si="797"/>
        <v>46920</v>
      </c>
      <c r="G2172" s="67">
        <f t="shared" si="798"/>
        <v>24341</v>
      </c>
      <c r="H2172" s="75">
        <f t="shared" si="799"/>
        <v>1</v>
      </c>
      <c r="I2172" s="76">
        <f t="shared" si="800"/>
        <v>1</v>
      </c>
      <c r="J2172" s="76">
        <f t="shared" si="801"/>
        <v>1</v>
      </c>
      <c r="K2172" s="67">
        <f t="shared" si="802"/>
        <v>0</v>
      </c>
      <c r="L2172" s="67">
        <f t="shared" si="803"/>
        <v>0</v>
      </c>
      <c r="M2172" s="77">
        <f t="shared" si="804"/>
        <v>0</v>
      </c>
      <c r="N2172" s="76">
        <f t="shared" si="805"/>
        <v>1</v>
      </c>
      <c r="O2172" s="77">
        <f t="shared" si="806"/>
        <v>0.91</v>
      </c>
      <c r="P2172" s="76">
        <f t="shared" si="807"/>
        <v>0</v>
      </c>
      <c r="Q2172" s="76">
        <f t="shared" si="808"/>
        <v>0</v>
      </c>
      <c r="R2172" s="76">
        <f t="shared" si="809"/>
        <v>1</v>
      </c>
      <c r="S2172" s="76">
        <f t="shared" si="810"/>
        <v>0.98913043478260865</v>
      </c>
      <c r="T2172" s="76">
        <f t="shared" si="811"/>
        <v>0.98913043478260865</v>
      </c>
      <c r="U2172" s="76">
        <f t="shared" si="812"/>
        <v>1</v>
      </c>
    </row>
    <row r="2173" spans="1:21" x14ac:dyDescent="0.25">
      <c r="A2173" s="71">
        <v>43</v>
      </c>
      <c r="B2173" s="72">
        <f t="shared" si="813"/>
        <v>46935</v>
      </c>
      <c r="C2173" s="73">
        <f t="shared" si="794"/>
        <v>46965</v>
      </c>
      <c r="D2173" s="67">
        <f t="shared" si="795"/>
        <v>31</v>
      </c>
      <c r="E2173" s="67">
        <f t="shared" si="796"/>
        <v>7</v>
      </c>
      <c r="F2173" s="74">
        <f t="shared" si="797"/>
        <v>46950.5</v>
      </c>
      <c r="G2173" s="67">
        <f t="shared" si="798"/>
        <v>24342</v>
      </c>
      <c r="H2173" s="75">
        <f t="shared" si="799"/>
        <v>1</v>
      </c>
      <c r="I2173" s="76">
        <f t="shared" si="800"/>
        <v>1</v>
      </c>
      <c r="J2173" s="76">
        <f t="shared" si="801"/>
        <v>1</v>
      </c>
      <c r="K2173" s="67">
        <f t="shared" si="802"/>
        <v>0</v>
      </c>
      <c r="L2173" s="67">
        <f t="shared" si="803"/>
        <v>0</v>
      </c>
      <c r="M2173" s="77">
        <f t="shared" si="804"/>
        <v>0</v>
      </c>
      <c r="N2173" s="76">
        <f t="shared" si="805"/>
        <v>1</v>
      </c>
      <c r="O2173" s="77">
        <f t="shared" si="806"/>
        <v>0.91</v>
      </c>
      <c r="P2173" s="76">
        <f t="shared" si="807"/>
        <v>0</v>
      </c>
      <c r="Q2173" s="76">
        <f t="shared" si="808"/>
        <v>0</v>
      </c>
      <c r="R2173" s="76">
        <f t="shared" si="809"/>
        <v>0.91666666666666663</v>
      </c>
      <c r="S2173" s="76">
        <f t="shared" si="810"/>
        <v>0.98913043478260865</v>
      </c>
      <c r="T2173" s="76">
        <f t="shared" si="811"/>
        <v>0.98913043478260865</v>
      </c>
      <c r="U2173" s="76">
        <f t="shared" si="812"/>
        <v>1</v>
      </c>
    </row>
    <row r="2174" spans="1:21" x14ac:dyDescent="0.25">
      <c r="A2174" s="71">
        <v>44</v>
      </c>
      <c r="B2174" s="72">
        <f t="shared" si="813"/>
        <v>46966</v>
      </c>
      <c r="C2174" s="73">
        <f t="shared" si="794"/>
        <v>46996</v>
      </c>
      <c r="D2174" s="67">
        <f t="shared" si="795"/>
        <v>31</v>
      </c>
      <c r="E2174" s="67">
        <f t="shared" si="796"/>
        <v>8</v>
      </c>
      <c r="F2174" s="74">
        <f t="shared" si="797"/>
        <v>46981.5</v>
      </c>
      <c r="G2174" s="67">
        <f t="shared" si="798"/>
        <v>24343</v>
      </c>
      <c r="H2174" s="75">
        <f t="shared" si="799"/>
        <v>1</v>
      </c>
      <c r="I2174" s="76">
        <f t="shared" si="800"/>
        <v>1</v>
      </c>
      <c r="J2174" s="76">
        <f t="shared" si="801"/>
        <v>1</v>
      </c>
      <c r="K2174" s="67">
        <f t="shared" si="802"/>
        <v>0</v>
      </c>
      <c r="L2174" s="67">
        <f t="shared" si="803"/>
        <v>0</v>
      </c>
      <c r="M2174" s="77">
        <f t="shared" si="804"/>
        <v>0</v>
      </c>
      <c r="N2174" s="76">
        <f t="shared" si="805"/>
        <v>1</v>
      </c>
      <c r="O2174" s="77">
        <f t="shared" si="806"/>
        <v>0.91</v>
      </c>
      <c r="P2174" s="76">
        <f t="shared" si="807"/>
        <v>0</v>
      </c>
      <c r="Q2174" s="76">
        <f t="shared" si="808"/>
        <v>0</v>
      </c>
      <c r="R2174" s="76">
        <f t="shared" si="809"/>
        <v>0.75</v>
      </c>
      <c r="S2174" s="76">
        <f t="shared" si="810"/>
        <v>0.98913043478260865</v>
      </c>
      <c r="T2174" s="76">
        <f t="shared" si="811"/>
        <v>0.98913043478260865</v>
      </c>
      <c r="U2174" s="76">
        <f t="shared" si="812"/>
        <v>1</v>
      </c>
    </row>
    <row r="2175" spans="1:21" x14ac:dyDescent="0.25">
      <c r="A2175" s="71">
        <v>45</v>
      </c>
      <c r="B2175" s="72">
        <f t="shared" si="813"/>
        <v>46997</v>
      </c>
      <c r="C2175" s="73">
        <f t="shared" si="794"/>
        <v>47026</v>
      </c>
      <c r="D2175" s="67">
        <f t="shared" si="795"/>
        <v>30</v>
      </c>
      <c r="E2175" s="67">
        <f t="shared" si="796"/>
        <v>9</v>
      </c>
      <c r="F2175" s="74">
        <f t="shared" si="797"/>
        <v>47012</v>
      </c>
      <c r="G2175" s="67">
        <f t="shared" si="798"/>
        <v>24344</v>
      </c>
      <c r="H2175" s="75">
        <f t="shared" si="799"/>
        <v>1</v>
      </c>
      <c r="I2175" s="76">
        <f t="shared" si="800"/>
        <v>1</v>
      </c>
      <c r="J2175" s="76">
        <f t="shared" si="801"/>
        <v>1</v>
      </c>
      <c r="K2175" s="67">
        <f t="shared" si="802"/>
        <v>0</v>
      </c>
      <c r="L2175" s="67">
        <f t="shared" si="803"/>
        <v>0</v>
      </c>
      <c r="M2175" s="77">
        <f t="shared" si="804"/>
        <v>0</v>
      </c>
      <c r="N2175" s="76">
        <f t="shared" si="805"/>
        <v>1</v>
      </c>
      <c r="O2175" s="77">
        <f t="shared" si="806"/>
        <v>0.91</v>
      </c>
      <c r="P2175" s="76">
        <f t="shared" si="807"/>
        <v>0</v>
      </c>
      <c r="Q2175" s="76">
        <f t="shared" si="808"/>
        <v>0</v>
      </c>
      <c r="R2175" s="76">
        <f t="shared" si="809"/>
        <v>0.58333333333333337</v>
      </c>
      <c r="S2175" s="76">
        <f t="shared" si="810"/>
        <v>0.98913043478260865</v>
      </c>
      <c r="T2175" s="76">
        <f t="shared" si="811"/>
        <v>0.98913043478260865</v>
      </c>
      <c r="U2175" s="76">
        <f t="shared" si="812"/>
        <v>1</v>
      </c>
    </row>
    <row r="2176" spans="1:21" x14ac:dyDescent="0.25">
      <c r="A2176" s="71">
        <v>46</v>
      </c>
      <c r="B2176" s="72">
        <f t="shared" si="813"/>
        <v>47027</v>
      </c>
      <c r="C2176" s="73">
        <f t="shared" si="794"/>
        <v>47057</v>
      </c>
      <c r="D2176" s="67">
        <f t="shared" si="795"/>
        <v>31</v>
      </c>
      <c r="E2176" s="67">
        <f t="shared" si="796"/>
        <v>10</v>
      </c>
      <c r="F2176" s="74">
        <f t="shared" si="797"/>
        <v>47042.5</v>
      </c>
      <c r="G2176" s="67">
        <f t="shared" si="798"/>
        <v>24345</v>
      </c>
      <c r="H2176" s="75">
        <f t="shared" si="799"/>
        <v>1</v>
      </c>
      <c r="I2176" s="76">
        <f t="shared" si="800"/>
        <v>1</v>
      </c>
      <c r="J2176" s="76">
        <f t="shared" si="801"/>
        <v>1</v>
      </c>
      <c r="K2176" s="67">
        <f t="shared" si="802"/>
        <v>0</v>
      </c>
      <c r="L2176" s="67">
        <f t="shared" si="803"/>
        <v>0</v>
      </c>
      <c r="M2176" s="77">
        <f t="shared" si="804"/>
        <v>0</v>
      </c>
      <c r="N2176" s="76">
        <f t="shared" si="805"/>
        <v>1</v>
      </c>
      <c r="O2176" s="77">
        <f t="shared" si="806"/>
        <v>0.91</v>
      </c>
      <c r="P2176" s="76">
        <f t="shared" si="807"/>
        <v>0</v>
      </c>
      <c r="Q2176" s="76">
        <f t="shared" si="808"/>
        <v>0</v>
      </c>
      <c r="R2176" s="76">
        <f t="shared" si="809"/>
        <v>0.41666666666666669</v>
      </c>
      <c r="S2176" s="76">
        <f t="shared" si="810"/>
        <v>0.98913043478260865</v>
      </c>
      <c r="T2176" s="76">
        <f t="shared" si="811"/>
        <v>0.98913043478260865</v>
      </c>
      <c r="U2176" s="76">
        <f t="shared" si="812"/>
        <v>1</v>
      </c>
    </row>
    <row r="2177" spans="1:21" x14ac:dyDescent="0.25">
      <c r="A2177" s="71">
        <v>47</v>
      </c>
      <c r="B2177" s="72">
        <f t="shared" si="813"/>
        <v>47058</v>
      </c>
      <c r="C2177" s="73">
        <f t="shared" si="794"/>
        <v>47087</v>
      </c>
      <c r="D2177" s="67">
        <f t="shared" si="795"/>
        <v>30</v>
      </c>
      <c r="E2177" s="67">
        <f t="shared" si="796"/>
        <v>11</v>
      </c>
      <c r="F2177" s="74">
        <f t="shared" si="797"/>
        <v>47073</v>
      </c>
      <c r="G2177" s="67">
        <f t="shared" si="798"/>
        <v>24346</v>
      </c>
      <c r="H2177" s="75">
        <f t="shared" si="799"/>
        <v>1</v>
      </c>
      <c r="I2177" s="76">
        <f t="shared" si="800"/>
        <v>1</v>
      </c>
      <c r="J2177" s="76">
        <f t="shared" si="801"/>
        <v>1</v>
      </c>
      <c r="K2177" s="67">
        <f t="shared" si="802"/>
        <v>0</v>
      </c>
      <c r="L2177" s="67">
        <f t="shared" si="803"/>
        <v>0</v>
      </c>
      <c r="M2177" s="77">
        <f t="shared" si="804"/>
        <v>0</v>
      </c>
      <c r="N2177" s="76">
        <f t="shared" si="805"/>
        <v>1</v>
      </c>
      <c r="O2177" s="77">
        <f t="shared" si="806"/>
        <v>0.91</v>
      </c>
      <c r="P2177" s="76">
        <f t="shared" si="807"/>
        <v>0</v>
      </c>
      <c r="Q2177" s="76">
        <f t="shared" si="808"/>
        <v>0</v>
      </c>
      <c r="R2177" s="76">
        <f t="shared" si="809"/>
        <v>0.25</v>
      </c>
      <c r="S2177" s="76">
        <f t="shared" si="810"/>
        <v>0.98913043478260865</v>
      </c>
      <c r="T2177" s="76">
        <f t="shared" si="811"/>
        <v>0.98913043478260865</v>
      </c>
      <c r="U2177" s="76">
        <f t="shared" si="812"/>
        <v>1</v>
      </c>
    </row>
    <row r="2178" spans="1:21" x14ac:dyDescent="0.25">
      <c r="A2178" s="71">
        <v>48</v>
      </c>
      <c r="B2178" s="72">
        <f t="shared" si="813"/>
        <v>47088</v>
      </c>
      <c r="C2178" s="73">
        <f t="shared" si="794"/>
        <v>47118</v>
      </c>
      <c r="D2178" s="67">
        <f t="shared" si="795"/>
        <v>31</v>
      </c>
      <c r="E2178" s="67">
        <f t="shared" si="796"/>
        <v>12</v>
      </c>
      <c r="F2178" s="74">
        <f t="shared" si="797"/>
        <v>47103.5</v>
      </c>
      <c r="G2178" s="67">
        <f t="shared" si="798"/>
        <v>24347</v>
      </c>
      <c r="H2178" s="75">
        <f t="shared" si="799"/>
        <v>1</v>
      </c>
      <c r="I2178" s="76">
        <f t="shared" si="800"/>
        <v>1</v>
      </c>
      <c r="J2178" s="76">
        <f t="shared" si="801"/>
        <v>1</v>
      </c>
      <c r="K2178" s="67">
        <f t="shared" si="802"/>
        <v>0</v>
      </c>
      <c r="L2178" s="67">
        <f t="shared" si="803"/>
        <v>0</v>
      </c>
      <c r="M2178" s="77">
        <f t="shared" si="804"/>
        <v>0</v>
      </c>
      <c r="N2178" s="76">
        <f t="shared" si="805"/>
        <v>1</v>
      </c>
      <c r="O2178" s="77">
        <f t="shared" si="806"/>
        <v>0.91</v>
      </c>
      <c r="P2178" s="76">
        <f t="shared" si="807"/>
        <v>0</v>
      </c>
      <c r="Q2178" s="76">
        <f t="shared" si="808"/>
        <v>0</v>
      </c>
      <c r="R2178" s="76">
        <f t="shared" si="809"/>
        <v>8.3333333333333329E-2</v>
      </c>
      <c r="S2178" s="76">
        <f t="shared" si="810"/>
        <v>0.98913043478260865</v>
      </c>
      <c r="T2178" s="76">
        <f t="shared" si="811"/>
        <v>0.98913043478260865</v>
      </c>
      <c r="U2178" s="76">
        <f t="shared" si="812"/>
        <v>1</v>
      </c>
    </row>
    <row r="2179" spans="1:21" x14ac:dyDescent="0.25">
      <c r="A2179" s="81" t="s">
        <v>1187</v>
      </c>
      <c r="B2179" s="53">
        <f>EXP(SUMPRODUCT((rl_key=$A$2128)*(rl_cons="Y")*rl_ln1p))</f>
        <v>1</v>
      </c>
      <c r="C2179" s="53">
        <f>SUMPRODUCT($H$2131:$H$2178,$P$2131:$P$2178,$U$2131:$U$2178)/SUMPRODUCT($H$2131:$H$2178,$P$2131:$P$2178)</f>
        <v>1</v>
      </c>
      <c r="D2179" s="53">
        <f>SUMPRODUCT($H$2131:$H$2178,$Q$2131:$Q$2178,$U$2131:$U$2178)/SUMPRODUCT($H$2131:$H$2178,$Q$2131:$Q$2178)</f>
        <v>1</v>
      </c>
      <c r="E2179" s="53">
        <f>SUMPRODUCT($H$2131:$H$2178,$R$2131:$R$2178,$U$2131:$U$2178)/SUMPRODUCT($H$2131:$H$2178,$R$2131:$R$2178)</f>
        <v>1</v>
      </c>
      <c r="F2179" s="172">
        <f>SUMPRODUCT($H$2131:$H$2178,$Q$2131:$Q$2178,$O$2131:$O$2178)/SUMPRODUCT($H$2131:$H$2178,$Q$2131:$Q$2178)</f>
        <v>0.90999999999999981</v>
      </c>
      <c r="G2179" s="172">
        <f>SUMPRODUCT($H$2131:$H$2178,$R$2131:$R$2178,$O$2131:$O$2178)/SUMPRODUCT($H$2131:$H$2178,$R$2131:$R$2178)</f>
        <v>0.90999999999999981</v>
      </c>
    </row>
    <row r="2182" spans="1:21" x14ac:dyDescent="0.25">
      <c r="A2182" s="81" t="str">
        <f>INDEX(lr_key,40)</f>
        <v>BU-B|PA</v>
      </c>
      <c r="B2182" s="81" t="str">
        <f>INDEX(lr_state,40)</f>
        <v>PA</v>
      </c>
      <c r="C2182" s="55">
        <f>nr_TermMonths</f>
        <v>6</v>
      </c>
      <c r="D2182" s="55">
        <f>IF(COUNTIF(se_state,$B2182)=0,0,MATCH($B2182,se_state,0))</f>
        <v>0</v>
      </c>
      <c r="E2182" s="57">
        <f>IF($D2182=0,0,INDEX(se_sum,$D2182))</f>
        <v>0</v>
      </c>
      <c r="F2182" s="172">
        <f>IF(N(INDEX(lr_mind,40))=0,1,INDEX(lr_mind,40))</f>
        <v>0.92</v>
      </c>
      <c r="G2182" s="172">
        <f>IF(N(INDEX(lr_m0,40))=0,1,INDEX(lr_m0,40))</f>
        <v>0.91</v>
      </c>
      <c r="H2182" s="54">
        <f>IF(N(INDEX(lr_m0asof,40))=0,DATE(nr_PlanYear-1,10,1),INDEX(lr_m0asof,40))</f>
        <v>46295</v>
      </c>
      <c r="I2182" s="172">
        <f>IF(N(INDEX(lr_m1,40))=0,1,INDEX(lr_m1,40))</f>
        <v>0.92500000000000004</v>
      </c>
      <c r="J2182" s="172">
        <f>INDEX(lr_mprior,40)</f>
        <v>0</v>
      </c>
      <c r="K2182" s="172">
        <f>INDEX(lr_m2,40)</f>
        <v>0</v>
      </c>
      <c r="L2182" s="81" t="b">
        <f>NOT(ISBLANK(INDEX(lr_netp,40)))</f>
        <v>0</v>
      </c>
      <c r="M2182" s="52">
        <f>N(INDEX(lr_netp,40))</f>
        <v>0</v>
      </c>
      <c r="N2182" s="52">
        <f>IF(ISBLANK(INDEX(lr_netp1,40)),$M$2182,N(INDEX(lr_netp1,40)))</f>
        <v>0</v>
      </c>
      <c r="O2182" s="55">
        <f>IF(AND(nr_ModAdjMaster="ON",INDEX(lr_modadj,40)="ON"),1,0)</f>
        <v>1</v>
      </c>
    </row>
    <row r="2183" spans="1:21" x14ac:dyDescent="0.25">
      <c r="A2183" s="81">
        <f>EDATE($H$2182,-12)+1</f>
        <v>45931</v>
      </c>
      <c r="B2183" s="81">
        <f>$H$2182+1</f>
        <v>46296</v>
      </c>
      <c r="C2183" s="81">
        <f>DATE(nr_PlanYear,12,31)+1</f>
        <v>46753</v>
      </c>
      <c r="D2183" s="81">
        <f>DATE(nr_PlanYear+1,12,31)+1</f>
        <v>47119</v>
      </c>
      <c r="E2183" s="81">
        <f>IF(N($J$2182)=0,$F$2183-($G$2183-$F$2183)/($C$2183-$B$2183)*($B$2183-$A$2183),$J$2182)</f>
        <v>0.89801969365426693</v>
      </c>
      <c r="F2183" s="81">
        <f>$G$2182</f>
        <v>0.91</v>
      </c>
      <c r="G2183" s="81">
        <f>$I$2182</f>
        <v>0.92500000000000004</v>
      </c>
      <c r="H2183" s="81">
        <f>IF(N($K$2182)=0,$I$2182,$K$2182)</f>
        <v>0.92500000000000004</v>
      </c>
      <c r="I2183" s="81">
        <f>($F$2183-$E$2183)/($B$2183-$A$2183)</f>
        <v>3.2822757111597549E-5</v>
      </c>
      <c r="J2183" s="81">
        <f>($G$2183-$F$2183)/($C$2183-$B$2183)</f>
        <v>3.2822757111597407E-5</v>
      </c>
      <c r="K2183" s="81">
        <f>($H$2183-$G$2183)/($D$2183-$C$2183)</f>
        <v>0</v>
      </c>
    </row>
    <row r="2184" spans="1:21" ht="36" x14ac:dyDescent="0.25">
      <c r="A2184" s="50" t="s">
        <v>211</v>
      </c>
      <c r="B2184" s="50" t="s">
        <v>212</v>
      </c>
      <c r="C2184" s="50" t="s">
        <v>213</v>
      </c>
      <c r="D2184" s="50" t="s">
        <v>214</v>
      </c>
      <c r="E2184" s="50" t="s">
        <v>215</v>
      </c>
      <c r="F2184" s="50" t="s">
        <v>216</v>
      </c>
      <c r="G2184" s="50" t="s">
        <v>217</v>
      </c>
      <c r="H2184" s="50" t="s">
        <v>218</v>
      </c>
      <c r="I2184" s="50" t="s">
        <v>219</v>
      </c>
      <c r="J2184" s="50" t="s">
        <v>220</v>
      </c>
      <c r="K2184" s="50" t="s">
        <v>221</v>
      </c>
      <c r="L2184" s="50" t="s">
        <v>222</v>
      </c>
      <c r="M2184" s="50" t="s">
        <v>223</v>
      </c>
      <c r="N2184" s="50" t="s">
        <v>224</v>
      </c>
      <c r="O2184" s="50" t="s">
        <v>225</v>
      </c>
      <c r="P2184" s="50" t="s">
        <v>226</v>
      </c>
      <c r="Q2184" s="50" t="s">
        <v>227</v>
      </c>
      <c r="R2184" s="50" t="s">
        <v>228</v>
      </c>
      <c r="S2184" s="50" t="s">
        <v>229</v>
      </c>
      <c r="T2184" s="50" t="s">
        <v>230</v>
      </c>
      <c r="U2184" s="50" t="s">
        <v>231</v>
      </c>
    </row>
    <row r="2185" spans="1:21" x14ac:dyDescent="0.25">
      <c r="A2185" s="71">
        <v>1</v>
      </c>
      <c r="B2185" s="72">
        <f>DATE(nr_PlanYear-2,1,1)</f>
        <v>45658</v>
      </c>
      <c r="C2185" s="73">
        <f t="shared" ref="C2185:C2232" si="814">EOMONTH($B2185,0)</f>
        <v>45688</v>
      </c>
      <c r="D2185" s="67">
        <f t="shared" ref="D2185:D2232" si="815">$C2185-$B2185+1</f>
        <v>31</v>
      </c>
      <c r="E2185" s="67">
        <f t="shared" ref="E2185:E2232" si="816">MONTH($B2185)</f>
        <v>1</v>
      </c>
      <c r="F2185" s="74">
        <f t="shared" ref="F2185:F2232" si="817">($B2185+$C2185+1)/2</f>
        <v>45673.5</v>
      </c>
      <c r="G2185" s="67">
        <f t="shared" ref="G2185:G2232" si="818">YEAR($B2185)*12+MONTH($B2185)-1</f>
        <v>24300</v>
      </c>
      <c r="H2185" s="75">
        <f t="shared" ref="H2185:H2232" si="819">IF(OR(nr_SeasonOn="OFF",$D$2182=0,$E$2182=0),1,12*INDEX(se_block,$D$2182,$E2185)/$E$2182)</f>
        <v>1</v>
      </c>
      <c r="I2185" s="76">
        <f t="shared" ref="I2185:I2232" si="820">EXP(SUMPRODUCT((rl_eff&lt;$B2185)*(rl_key=$A$2182)*rl_ln1p))</f>
        <v>1</v>
      </c>
      <c r="J2185" s="76">
        <f t="shared" ref="J2185:J2232" si="821">EXP(SUMPRODUCT((rl_eff&lt;=$C2185)*(rl_key=$A$2182)*rl_ln1p))</f>
        <v>1</v>
      </c>
      <c r="K2185" s="67">
        <f t="shared" ref="K2185:K2232" si="822">COUNTIFS(rl_key,$A$2182,rl_eff,"&gt;="&amp;$B2185,rl_eff,"&lt;="&amp;$C2185)</f>
        <v>0</v>
      </c>
      <c r="L2185" s="67">
        <f t="shared" ref="L2185:L2232" si="823">SUMIFS(rl_daysafter,rl_key,$A$2182,rl_effmonth,$B2185,rl_first,1)</f>
        <v>0</v>
      </c>
      <c r="M2185" s="77">
        <f t="shared" ref="M2185:M2232" si="824">IF($K2185=0,0,MIN(1,$L2185/$D2185))</f>
        <v>0</v>
      </c>
      <c r="N2185" s="76">
        <f t="shared" ref="N2185:N2232" si="825">IF($K2185=0,$J2185,(1-$M2185)*$I2185+$M2185*$J2185)</f>
        <v>1</v>
      </c>
      <c r="O2185" s="77">
        <f t="shared" ref="O2185:O2232" si="826">IF($F2185&lt;$B$2183,$E$2183+$I$2183*($F2185-$A$2183),IF($F2185&lt;$C$2183,$F$2183+$J$2183*($F2185-$B$2183),$G$2183+$K$2183*($F2185-$C$2183)))</f>
        <v>0.88956783369803061</v>
      </c>
      <c r="P2185" s="76">
        <f t="shared" ref="P2185:P2232" si="827">MIN(1,MAX(0,(nr_MEndPm1-$G2185+0.5)/$C$2182))-MIN(1,MAX(0,(nr_MStartPm1-1-$G2185+0.5)/$C$2182))</f>
        <v>0</v>
      </c>
      <c r="Q2185" s="76">
        <f t="shared" ref="Q2185:Q2232" si="828">MIN(1,MAX(0,(nr_MEndP-$G2185+0.5)/$C$2182))-MIN(1,MAX(0,(nr_MStartP-1-$G2185+0.5)/$C$2182))</f>
        <v>0</v>
      </c>
      <c r="R2185" s="76">
        <f t="shared" ref="R2185:R2232" si="829">MIN(1,MAX(0,(nr_MEndP1-$G2185+0.5)/$C$2182))-MIN(1,MAX(0,(nr_MStartP1-1-$G2185+0.5)/$C$2182))</f>
        <v>0</v>
      </c>
      <c r="S2185" s="76">
        <f t="shared" ref="S2185:S2232" si="830">$N2185*IF($O$2182=1,$O2185/$F$2182,1)</f>
        <v>0.96692155836742455</v>
      </c>
      <c r="T2185" s="76">
        <f t="shared" ref="T2185:T2232" si="831">IF($G2185&lt;nr_MStartP,$S2185,$T2173*(1+IF($G2185&lt;nr_MStartP1,$M$2182,$N$2182)))</f>
        <v>0.96692155836742455</v>
      </c>
      <c r="U2185" s="76">
        <f t="shared" ref="U2185:U2232" si="832">IF($L$2182,$T2185,$N2185)</f>
        <v>1</v>
      </c>
    </row>
    <row r="2186" spans="1:21" x14ac:dyDescent="0.25">
      <c r="A2186" s="71">
        <v>2</v>
      </c>
      <c r="B2186" s="72">
        <f t="shared" ref="B2186:B2232" si="833">EDATE($B2185,1)</f>
        <v>45689</v>
      </c>
      <c r="C2186" s="73">
        <f t="shared" si="814"/>
        <v>45716</v>
      </c>
      <c r="D2186" s="67">
        <f t="shared" si="815"/>
        <v>28</v>
      </c>
      <c r="E2186" s="67">
        <f t="shared" si="816"/>
        <v>2</v>
      </c>
      <c r="F2186" s="74">
        <f t="shared" si="817"/>
        <v>45703</v>
      </c>
      <c r="G2186" s="67">
        <f t="shared" si="818"/>
        <v>24301</v>
      </c>
      <c r="H2186" s="75">
        <f t="shared" si="819"/>
        <v>1</v>
      </c>
      <c r="I2186" s="76">
        <f t="shared" si="820"/>
        <v>1</v>
      </c>
      <c r="J2186" s="76">
        <f t="shared" si="821"/>
        <v>1</v>
      </c>
      <c r="K2186" s="67">
        <f t="shared" si="822"/>
        <v>0</v>
      </c>
      <c r="L2186" s="67">
        <f t="shared" si="823"/>
        <v>0</v>
      </c>
      <c r="M2186" s="77">
        <f t="shared" si="824"/>
        <v>0</v>
      </c>
      <c r="N2186" s="76">
        <f t="shared" si="825"/>
        <v>1</v>
      </c>
      <c r="O2186" s="77">
        <f t="shared" si="826"/>
        <v>0.89053610503282266</v>
      </c>
      <c r="P2186" s="76">
        <f t="shared" si="827"/>
        <v>0</v>
      </c>
      <c r="Q2186" s="76">
        <f t="shared" si="828"/>
        <v>0</v>
      </c>
      <c r="R2186" s="76">
        <f t="shared" si="829"/>
        <v>0</v>
      </c>
      <c r="S2186" s="76">
        <f t="shared" si="830"/>
        <v>0.9679740272095898</v>
      </c>
      <c r="T2186" s="76">
        <f t="shared" si="831"/>
        <v>0.9679740272095898</v>
      </c>
      <c r="U2186" s="76">
        <f t="shared" si="832"/>
        <v>1</v>
      </c>
    </row>
    <row r="2187" spans="1:21" x14ac:dyDescent="0.25">
      <c r="A2187" s="71">
        <v>3</v>
      </c>
      <c r="B2187" s="72">
        <f t="shared" si="833"/>
        <v>45717</v>
      </c>
      <c r="C2187" s="73">
        <f t="shared" si="814"/>
        <v>45747</v>
      </c>
      <c r="D2187" s="67">
        <f t="shared" si="815"/>
        <v>31</v>
      </c>
      <c r="E2187" s="67">
        <f t="shared" si="816"/>
        <v>3</v>
      </c>
      <c r="F2187" s="74">
        <f t="shared" si="817"/>
        <v>45732.5</v>
      </c>
      <c r="G2187" s="67">
        <f t="shared" si="818"/>
        <v>24302</v>
      </c>
      <c r="H2187" s="75">
        <f t="shared" si="819"/>
        <v>1</v>
      </c>
      <c r="I2187" s="76">
        <f t="shared" si="820"/>
        <v>1</v>
      </c>
      <c r="J2187" s="76">
        <f t="shared" si="821"/>
        <v>1</v>
      </c>
      <c r="K2187" s="67">
        <f t="shared" si="822"/>
        <v>0</v>
      </c>
      <c r="L2187" s="67">
        <f t="shared" si="823"/>
        <v>0</v>
      </c>
      <c r="M2187" s="77">
        <f t="shared" si="824"/>
        <v>0</v>
      </c>
      <c r="N2187" s="76">
        <f t="shared" si="825"/>
        <v>1</v>
      </c>
      <c r="O2187" s="77">
        <f t="shared" si="826"/>
        <v>0.89150437636761481</v>
      </c>
      <c r="P2187" s="76">
        <f t="shared" si="827"/>
        <v>0</v>
      </c>
      <c r="Q2187" s="76">
        <f t="shared" si="828"/>
        <v>0</v>
      </c>
      <c r="R2187" s="76">
        <f t="shared" si="829"/>
        <v>0</v>
      </c>
      <c r="S2187" s="76">
        <f t="shared" si="830"/>
        <v>0.96902649605175517</v>
      </c>
      <c r="T2187" s="76">
        <f t="shared" si="831"/>
        <v>0.96902649605175517</v>
      </c>
      <c r="U2187" s="76">
        <f t="shared" si="832"/>
        <v>1</v>
      </c>
    </row>
    <row r="2188" spans="1:21" x14ac:dyDescent="0.25">
      <c r="A2188" s="71">
        <v>4</v>
      </c>
      <c r="B2188" s="72">
        <f t="shared" si="833"/>
        <v>45748</v>
      </c>
      <c r="C2188" s="73">
        <f t="shared" si="814"/>
        <v>45777</v>
      </c>
      <c r="D2188" s="67">
        <f t="shared" si="815"/>
        <v>30</v>
      </c>
      <c r="E2188" s="67">
        <f t="shared" si="816"/>
        <v>4</v>
      </c>
      <c r="F2188" s="74">
        <f t="shared" si="817"/>
        <v>45763</v>
      </c>
      <c r="G2188" s="67">
        <f t="shared" si="818"/>
        <v>24303</v>
      </c>
      <c r="H2188" s="75">
        <f t="shared" si="819"/>
        <v>1</v>
      </c>
      <c r="I2188" s="76">
        <f t="shared" si="820"/>
        <v>1</v>
      </c>
      <c r="J2188" s="76">
        <f t="shared" si="821"/>
        <v>1</v>
      </c>
      <c r="K2188" s="67">
        <f t="shared" si="822"/>
        <v>0</v>
      </c>
      <c r="L2188" s="67">
        <f t="shared" si="823"/>
        <v>0</v>
      </c>
      <c r="M2188" s="77">
        <f t="shared" si="824"/>
        <v>0</v>
      </c>
      <c r="N2188" s="76">
        <f t="shared" si="825"/>
        <v>1</v>
      </c>
      <c r="O2188" s="77">
        <f t="shared" si="826"/>
        <v>0.89250547045951856</v>
      </c>
      <c r="P2188" s="76">
        <f t="shared" si="827"/>
        <v>0</v>
      </c>
      <c r="Q2188" s="76">
        <f t="shared" si="828"/>
        <v>0</v>
      </c>
      <c r="R2188" s="76">
        <f t="shared" si="829"/>
        <v>0</v>
      </c>
      <c r="S2188" s="76">
        <f t="shared" si="830"/>
        <v>0.97011464180382445</v>
      </c>
      <c r="T2188" s="76">
        <f t="shared" si="831"/>
        <v>0.97011464180382445</v>
      </c>
      <c r="U2188" s="76">
        <f t="shared" si="832"/>
        <v>1</v>
      </c>
    </row>
    <row r="2189" spans="1:21" x14ac:dyDescent="0.25">
      <c r="A2189" s="71">
        <v>5</v>
      </c>
      <c r="B2189" s="72">
        <f t="shared" si="833"/>
        <v>45778</v>
      </c>
      <c r="C2189" s="73">
        <f t="shared" si="814"/>
        <v>45808</v>
      </c>
      <c r="D2189" s="67">
        <f t="shared" si="815"/>
        <v>31</v>
      </c>
      <c r="E2189" s="67">
        <f t="shared" si="816"/>
        <v>5</v>
      </c>
      <c r="F2189" s="74">
        <f t="shared" si="817"/>
        <v>45793.5</v>
      </c>
      <c r="G2189" s="67">
        <f t="shared" si="818"/>
        <v>24304</v>
      </c>
      <c r="H2189" s="75">
        <f t="shared" si="819"/>
        <v>1</v>
      </c>
      <c r="I2189" s="76">
        <f t="shared" si="820"/>
        <v>1</v>
      </c>
      <c r="J2189" s="76">
        <f t="shared" si="821"/>
        <v>1</v>
      </c>
      <c r="K2189" s="67">
        <f t="shared" si="822"/>
        <v>0</v>
      </c>
      <c r="L2189" s="67">
        <f t="shared" si="823"/>
        <v>0</v>
      </c>
      <c r="M2189" s="77">
        <f t="shared" si="824"/>
        <v>0</v>
      </c>
      <c r="N2189" s="76">
        <f t="shared" si="825"/>
        <v>1</v>
      </c>
      <c r="O2189" s="77">
        <f t="shared" si="826"/>
        <v>0.8935065645514223</v>
      </c>
      <c r="P2189" s="76">
        <f t="shared" si="827"/>
        <v>0</v>
      </c>
      <c r="Q2189" s="76">
        <f t="shared" si="828"/>
        <v>0</v>
      </c>
      <c r="R2189" s="76">
        <f t="shared" si="829"/>
        <v>0</v>
      </c>
      <c r="S2189" s="76">
        <f t="shared" si="830"/>
        <v>0.97120278755589373</v>
      </c>
      <c r="T2189" s="76">
        <f t="shared" si="831"/>
        <v>0.97120278755589373</v>
      </c>
      <c r="U2189" s="76">
        <f t="shared" si="832"/>
        <v>1</v>
      </c>
    </row>
    <row r="2190" spans="1:21" x14ac:dyDescent="0.25">
      <c r="A2190" s="71">
        <v>6</v>
      </c>
      <c r="B2190" s="72">
        <f t="shared" si="833"/>
        <v>45809</v>
      </c>
      <c r="C2190" s="73">
        <f t="shared" si="814"/>
        <v>45838</v>
      </c>
      <c r="D2190" s="67">
        <f t="shared" si="815"/>
        <v>30</v>
      </c>
      <c r="E2190" s="67">
        <f t="shared" si="816"/>
        <v>6</v>
      </c>
      <c r="F2190" s="74">
        <f t="shared" si="817"/>
        <v>45824</v>
      </c>
      <c r="G2190" s="67">
        <f t="shared" si="818"/>
        <v>24305</v>
      </c>
      <c r="H2190" s="75">
        <f t="shared" si="819"/>
        <v>1</v>
      </c>
      <c r="I2190" s="76">
        <f t="shared" si="820"/>
        <v>1</v>
      </c>
      <c r="J2190" s="76">
        <f t="shared" si="821"/>
        <v>1</v>
      </c>
      <c r="K2190" s="67">
        <f t="shared" si="822"/>
        <v>0</v>
      </c>
      <c r="L2190" s="67">
        <f t="shared" si="823"/>
        <v>0</v>
      </c>
      <c r="M2190" s="77">
        <f t="shared" si="824"/>
        <v>0</v>
      </c>
      <c r="N2190" s="76">
        <f t="shared" si="825"/>
        <v>1</v>
      </c>
      <c r="O2190" s="77">
        <f t="shared" si="826"/>
        <v>0.89450765864332604</v>
      </c>
      <c r="P2190" s="76">
        <f t="shared" si="827"/>
        <v>0</v>
      </c>
      <c r="Q2190" s="76">
        <f t="shared" si="828"/>
        <v>0</v>
      </c>
      <c r="R2190" s="76">
        <f t="shared" si="829"/>
        <v>0</v>
      </c>
      <c r="S2190" s="76">
        <f t="shared" si="830"/>
        <v>0.97229093330796301</v>
      </c>
      <c r="T2190" s="76">
        <f t="shared" si="831"/>
        <v>0.97229093330796301</v>
      </c>
      <c r="U2190" s="76">
        <f t="shared" si="832"/>
        <v>1</v>
      </c>
    </row>
    <row r="2191" spans="1:21" x14ac:dyDescent="0.25">
      <c r="A2191" s="71">
        <v>7</v>
      </c>
      <c r="B2191" s="72">
        <f t="shared" si="833"/>
        <v>45839</v>
      </c>
      <c r="C2191" s="73">
        <f t="shared" si="814"/>
        <v>45869</v>
      </c>
      <c r="D2191" s="67">
        <f t="shared" si="815"/>
        <v>31</v>
      </c>
      <c r="E2191" s="67">
        <f t="shared" si="816"/>
        <v>7</v>
      </c>
      <c r="F2191" s="74">
        <f t="shared" si="817"/>
        <v>45854.5</v>
      </c>
      <c r="G2191" s="67">
        <f t="shared" si="818"/>
        <v>24306</v>
      </c>
      <c r="H2191" s="75">
        <f t="shared" si="819"/>
        <v>1</v>
      </c>
      <c r="I2191" s="76">
        <f t="shared" si="820"/>
        <v>1</v>
      </c>
      <c r="J2191" s="76">
        <f t="shared" si="821"/>
        <v>1</v>
      </c>
      <c r="K2191" s="67">
        <f t="shared" si="822"/>
        <v>0</v>
      </c>
      <c r="L2191" s="67">
        <f t="shared" si="823"/>
        <v>0</v>
      </c>
      <c r="M2191" s="77">
        <f t="shared" si="824"/>
        <v>0</v>
      </c>
      <c r="N2191" s="76">
        <f t="shared" si="825"/>
        <v>1</v>
      </c>
      <c r="O2191" s="77">
        <f t="shared" si="826"/>
        <v>0.89550875273522967</v>
      </c>
      <c r="P2191" s="76">
        <f t="shared" si="827"/>
        <v>8.333333333333337E-2</v>
      </c>
      <c r="Q2191" s="76">
        <f t="shared" si="828"/>
        <v>0</v>
      </c>
      <c r="R2191" s="76">
        <f t="shared" si="829"/>
        <v>0</v>
      </c>
      <c r="S2191" s="76">
        <f t="shared" si="830"/>
        <v>0.97337907906003218</v>
      </c>
      <c r="T2191" s="76">
        <f t="shared" si="831"/>
        <v>0.97337907906003218</v>
      </c>
      <c r="U2191" s="76">
        <f t="shared" si="832"/>
        <v>1</v>
      </c>
    </row>
    <row r="2192" spans="1:21" x14ac:dyDescent="0.25">
      <c r="A2192" s="71">
        <v>8</v>
      </c>
      <c r="B2192" s="72">
        <f t="shared" si="833"/>
        <v>45870</v>
      </c>
      <c r="C2192" s="73">
        <f t="shared" si="814"/>
        <v>45900</v>
      </c>
      <c r="D2192" s="67">
        <f t="shared" si="815"/>
        <v>31</v>
      </c>
      <c r="E2192" s="67">
        <f t="shared" si="816"/>
        <v>8</v>
      </c>
      <c r="F2192" s="74">
        <f t="shared" si="817"/>
        <v>45885.5</v>
      </c>
      <c r="G2192" s="67">
        <f t="shared" si="818"/>
        <v>24307</v>
      </c>
      <c r="H2192" s="75">
        <f t="shared" si="819"/>
        <v>1</v>
      </c>
      <c r="I2192" s="76">
        <f t="shared" si="820"/>
        <v>1</v>
      </c>
      <c r="J2192" s="76">
        <f t="shared" si="821"/>
        <v>1</v>
      </c>
      <c r="K2192" s="67">
        <f t="shared" si="822"/>
        <v>0</v>
      </c>
      <c r="L2192" s="67">
        <f t="shared" si="823"/>
        <v>0</v>
      </c>
      <c r="M2192" s="77">
        <f t="shared" si="824"/>
        <v>0</v>
      </c>
      <c r="N2192" s="76">
        <f t="shared" si="825"/>
        <v>1</v>
      </c>
      <c r="O2192" s="77">
        <f t="shared" si="826"/>
        <v>0.89652625820568921</v>
      </c>
      <c r="P2192" s="76">
        <f t="shared" si="827"/>
        <v>0.25</v>
      </c>
      <c r="Q2192" s="76">
        <f t="shared" si="828"/>
        <v>0</v>
      </c>
      <c r="R2192" s="76">
        <f t="shared" si="829"/>
        <v>0</v>
      </c>
      <c r="S2192" s="76">
        <f t="shared" si="830"/>
        <v>0.97448506326705342</v>
      </c>
      <c r="T2192" s="76">
        <f t="shared" si="831"/>
        <v>0.97448506326705342</v>
      </c>
      <c r="U2192" s="76">
        <f t="shared" si="832"/>
        <v>1</v>
      </c>
    </row>
    <row r="2193" spans="1:21" x14ac:dyDescent="0.25">
      <c r="A2193" s="71">
        <v>9</v>
      </c>
      <c r="B2193" s="72">
        <f t="shared" si="833"/>
        <v>45901</v>
      </c>
      <c r="C2193" s="73">
        <f t="shared" si="814"/>
        <v>45930</v>
      </c>
      <c r="D2193" s="67">
        <f t="shared" si="815"/>
        <v>30</v>
      </c>
      <c r="E2193" s="67">
        <f t="shared" si="816"/>
        <v>9</v>
      </c>
      <c r="F2193" s="74">
        <f t="shared" si="817"/>
        <v>45916</v>
      </c>
      <c r="G2193" s="67">
        <f t="shared" si="818"/>
        <v>24308</v>
      </c>
      <c r="H2193" s="75">
        <f t="shared" si="819"/>
        <v>1</v>
      </c>
      <c r="I2193" s="76">
        <f t="shared" si="820"/>
        <v>1</v>
      </c>
      <c r="J2193" s="76">
        <f t="shared" si="821"/>
        <v>1</v>
      </c>
      <c r="K2193" s="67">
        <f t="shared" si="822"/>
        <v>0</v>
      </c>
      <c r="L2193" s="67">
        <f t="shared" si="823"/>
        <v>0</v>
      </c>
      <c r="M2193" s="77">
        <f t="shared" si="824"/>
        <v>0</v>
      </c>
      <c r="N2193" s="76">
        <f t="shared" si="825"/>
        <v>1</v>
      </c>
      <c r="O2193" s="77">
        <f t="shared" si="826"/>
        <v>0.89752735229759295</v>
      </c>
      <c r="P2193" s="76">
        <f t="shared" si="827"/>
        <v>0.41666666666666663</v>
      </c>
      <c r="Q2193" s="76">
        <f t="shared" si="828"/>
        <v>0</v>
      </c>
      <c r="R2193" s="76">
        <f t="shared" si="829"/>
        <v>0</v>
      </c>
      <c r="S2193" s="76">
        <f t="shared" si="830"/>
        <v>0.9755732090191227</v>
      </c>
      <c r="T2193" s="76">
        <f t="shared" si="831"/>
        <v>0.9755732090191227</v>
      </c>
      <c r="U2193" s="76">
        <f t="shared" si="832"/>
        <v>1</v>
      </c>
    </row>
    <row r="2194" spans="1:21" x14ac:dyDescent="0.25">
      <c r="A2194" s="71">
        <v>10</v>
      </c>
      <c r="B2194" s="72">
        <f t="shared" si="833"/>
        <v>45931</v>
      </c>
      <c r="C2194" s="73">
        <f t="shared" si="814"/>
        <v>45961</v>
      </c>
      <c r="D2194" s="67">
        <f t="shared" si="815"/>
        <v>31</v>
      </c>
      <c r="E2194" s="67">
        <f t="shared" si="816"/>
        <v>10</v>
      </c>
      <c r="F2194" s="74">
        <f t="shared" si="817"/>
        <v>45946.5</v>
      </c>
      <c r="G2194" s="67">
        <f t="shared" si="818"/>
        <v>24309</v>
      </c>
      <c r="H2194" s="75">
        <f t="shared" si="819"/>
        <v>1</v>
      </c>
      <c r="I2194" s="76">
        <f t="shared" si="820"/>
        <v>1</v>
      </c>
      <c r="J2194" s="76">
        <f t="shared" si="821"/>
        <v>1</v>
      </c>
      <c r="K2194" s="67">
        <f t="shared" si="822"/>
        <v>0</v>
      </c>
      <c r="L2194" s="67">
        <f t="shared" si="823"/>
        <v>0</v>
      </c>
      <c r="M2194" s="77">
        <f t="shared" si="824"/>
        <v>0</v>
      </c>
      <c r="N2194" s="76">
        <f t="shared" si="825"/>
        <v>1</v>
      </c>
      <c r="O2194" s="77">
        <f t="shared" si="826"/>
        <v>0.89852844638949669</v>
      </c>
      <c r="P2194" s="76">
        <f t="shared" si="827"/>
        <v>0.58333333333333326</v>
      </c>
      <c r="Q2194" s="76">
        <f t="shared" si="828"/>
        <v>0</v>
      </c>
      <c r="R2194" s="76">
        <f t="shared" si="829"/>
        <v>0</v>
      </c>
      <c r="S2194" s="76">
        <f t="shared" si="830"/>
        <v>0.97666135477119198</v>
      </c>
      <c r="T2194" s="76">
        <f t="shared" si="831"/>
        <v>0.97666135477119198</v>
      </c>
      <c r="U2194" s="76">
        <f t="shared" si="832"/>
        <v>1</v>
      </c>
    </row>
    <row r="2195" spans="1:21" x14ac:dyDescent="0.25">
      <c r="A2195" s="71">
        <v>11</v>
      </c>
      <c r="B2195" s="72">
        <f t="shared" si="833"/>
        <v>45962</v>
      </c>
      <c r="C2195" s="73">
        <f t="shared" si="814"/>
        <v>45991</v>
      </c>
      <c r="D2195" s="67">
        <f t="shared" si="815"/>
        <v>30</v>
      </c>
      <c r="E2195" s="67">
        <f t="shared" si="816"/>
        <v>11</v>
      </c>
      <c r="F2195" s="74">
        <f t="shared" si="817"/>
        <v>45977</v>
      </c>
      <c r="G2195" s="67">
        <f t="shared" si="818"/>
        <v>24310</v>
      </c>
      <c r="H2195" s="75">
        <f t="shared" si="819"/>
        <v>1</v>
      </c>
      <c r="I2195" s="76">
        <f t="shared" si="820"/>
        <v>1</v>
      </c>
      <c r="J2195" s="76">
        <f t="shared" si="821"/>
        <v>1</v>
      </c>
      <c r="K2195" s="67">
        <f t="shared" si="822"/>
        <v>0</v>
      </c>
      <c r="L2195" s="67">
        <f t="shared" si="823"/>
        <v>0</v>
      </c>
      <c r="M2195" s="77">
        <f t="shared" si="824"/>
        <v>0</v>
      </c>
      <c r="N2195" s="76">
        <f t="shared" si="825"/>
        <v>1</v>
      </c>
      <c r="O2195" s="77">
        <f t="shared" si="826"/>
        <v>0.89952954048140044</v>
      </c>
      <c r="P2195" s="76">
        <f t="shared" si="827"/>
        <v>0.75</v>
      </c>
      <c r="Q2195" s="76">
        <f t="shared" si="828"/>
        <v>0</v>
      </c>
      <c r="R2195" s="76">
        <f t="shared" si="829"/>
        <v>0</v>
      </c>
      <c r="S2195" s="76">
        <f t="shared" si="830"/>
        <v>0.97774950052326126</v>
      </c>
      <c r="T2195" s="76">
        <f t="shared" si="831"/>
        <v>0.97774950052326126</v>
      </c>
      <c r="U2195" s="76">
        <f t="shared" si="832"/>
        <v>1</v>
      </c>
    </row>
    <row r="2196" spans="1:21" x14ac:dyDescent="0.25">
      <c r="A2196" s="71">
        <v>12</v>
      </c>
      <c r="B2196" s="72">
        <f t="shared" si="833"/>
        <v>45992</v>
      </c>
      <c r="C2196" s="73">
        <f t="shared" si="814"/>
        <v>46022</v>
      </c>
      <c r="D2196" s="67">
        <f t="shared" si="815"/>
        <v>31</v>
      </c>
      <c r="E2196" s="67">
        <f t="shared" si="816"/>
        <v>12</v>
      </c>
      <c r="F2196" s="74">
        <f t="shared" si="817"/>
        <v>46007.5</v>
      </c>
      <c r="G2196" s="67">
        <f t="shared" si="818"/>
        <v>24311</v>
      </c>
      <c r="H2196" s="75">
        <f t="shared" si="819"/>
        <v>1</v>
      </c>
      <c r="I2196" s="76">
        <f t="shared" si="820"/>
        <v>1</v>
      </c>
      <c r="J2196" s="76">
        <f t="shared" si="821"/>
        <v>1</v>
      </c>
      <c r="K2196" s="67">
        <f t="shared" si="822"/>
        <v>0</v>
      </c>
      <c r="L2196" s="67">
        <f t="shared" si="823"/>
        <v>0</v>
      </c>
      <c r="M2196" s="77">
        <f t="shared" si="824"/>
        <v>0</v>
      </c>
      <c r="N2196" s="76">
        <f t="shared" si="825"/>
        <v>1</v>
      </c>
      <c r="O2196" s="77">
        <f t="shared" si="826"/>
        <v>0.90053063457330418</v>
      </c>
      <c r="P2196" s="76">
        <f t="shared" si="827"/>
        <v>0.91666666666666663</v>
      </c>
      <c r="Q2196" s="76">
        <f t="shared" si="828"/>
        <v>0</v>
      </c>
      <c r="R2196" s="76">
        <f t="shared" si="829"/>
        <v>0</v>
      </c>
      <c r="S2196" s="76">
        <f t="shared" si="830"/>
        <v>0.97883764627533054</v>
      </c>
      <c r="T2196" s="76">
        <f t="shared" si="831"/>
        <v>0.97883764627533054</v>
      </c>
      <c r="U2196" s="76">
        <f t="shared" si="832"/>
        <v>1</v>
      </c>
    </row>
    <row r="2197" spans="1:21" x14ac:dyDescent="0.25">
      <c r="A2197" s="71">
        <v>13</v>
      </c>
      <c r="B2197" s="72">
        <f t="shared" si="833"/>
        <v>46023</v>
      </c>
      <c r="C2197" s="73">
        <f t="shared" si="814"/>
        <v>46053</v>
      </c>
      <c r="D2197" s="67">
        <f t="shared" si="815"/>
        <v>31</v>
      </c>
      <c r="E2197" s="67">
        <f t="shared" si="816"/>
        <v>1</v>
      </c>
      <c r="F2197" s="74">
        <f t="shared" si="817"/>
        <v>46038.5</v>
      </c>
      <c r="G2197" s="67">
        <f t="shared" si="818"/>
        <v>24312</v>
      </c>
      <c r="H2197" s="75">
        <f t="shared" si="819"/>
        <v>1</v>
      </c>
      <c r="I2197" s="76">
        <f t="shared" si="820"/>
        <v>1</v>
      </c>
      <c r="J2197" s="76">
        <f t="shared" si="821"/>
        <v>1</v>
      </c>
      <c r="K2197" s="67">
        <f t="shared" si="822"/>
        <v>0</v>
      </c>
      <c r="L2197" s="67">
        <f t="shared" si="823"/>
        <v>0</v>
      </c>
      <c r="M2197" s="77">
        <f t="shared" si="824"/>
        <v>0</v>
      </c>
      <c r="N2197" s="76">
        <f t="shared" si="825"/>
        <v>1</v>
      </c>
      <c r="O2197" s="77">
        <f t="shared" si="826"/>
        <v>0.90154814004376371</v>
      </c>
      <c r="P2197" s="76">
        <f t="shared" si="827"/>
        <v>1</v>
      </c>
      <c r="Q2197" s="76">
        <f t="shared" si="828"/>
        <v>0</v>
      </c>
      <c r="R2197" s="76">
        <f t="shared" si="829"/>
        <v>0</v>
      </c>
      <c r="S2197" s="76">
        <f t="shared" si="830"/>
        <v>0.97994363048235178</v>
      </c>
      <c r="T2197" s="76">
        <f t="shared" si="831"/>
        <v>0.97994363048235178</v>
      </c>
      <c r="U2197" s="76">
        <f t="shared" si="832"/>
        <v>1</v>
      </c>
    </row>
    <row r="2198" spans="1:21" x14ac:dyDescent="0.25">
      <c r="A2198" s="71">
        <v>14</v>
      </c>
      <c r="B2198" s="72">
        <f t="shared" si="833"/>
        <v>46054</v>
      </c>
      <c r="C2198" s="73">
        <f t="shared" si="814"/>
        <v>46081</v>
      </c>
      <c r="D2198" s="67">
        <f t="shared" si="815"/>
        <v>28</v>
      </c>
      <c r="E2198" s="67">
        <f t="shared" si="816"/>
        <v>2</v>
      </c>
      <c r="F2198" s="74">
        <f t="shared" si="817"/>
        <v>46068</v>
      </c>
      <c r="G2198" s="67">
        <f t="shared" si="818"/>
        <v>24313</v>
      </c>
      <c r="H2198" s="75">
        <f t="shared" si="819"/>
        <v>1</v>
      </c>
      <c r="I2198" s="76">
        <f t="shared" si="820"/>
        <v>1</v>
      </c>
      <c r="J2198" s="76">
        <f t="shared" si="821"/>
        <v>1</v>
      </c>
      <c r="K2198" s="67">
        <f t="shared" si="822"/>
        <v>0</v>
      </c>
      <c r="L2198" s="67">
        <f t="shared" si="823"/>
        <v>0</v>
      </c>
      <c r="M2198" s="77">
        <f t="shared" si="824"/>
        <v>0</v>
      </c>
      <c r="N2198" s="76">
        <f t="shared" si="825"/>
        <v>1</v>
      </c>
      <c r="O2198" s="77">
        <f t="shared" si="826"/>
        <v>0.90251641137855576</v>
      </c>
      <c r="P2198" s="76">
        <f t="shared" si="827"/>
        <v>1</v>
      </c>
      <c r="Q2198" s="76">
        <f t="shared" si="828"/>
        <v>0</v>
      </c>
      <c r="R2198" s="76">
        <f t="shared" si="829"/>
        <v>0</v>
      </c>
      <c r="S2198" s="76">
        <f t="shared" si="830"/>
        <v>0.98099609932451703</v>
      </c>
      <c r="T2198" s="76">
        <f t="shared" si="831"/>
        <v>0.98099609932451703</v>
      </c>
      <c r="U2198" s="76">
        <f t="shared" si="832"/>
        <v>1</v>
      </c>
    </row>
    <row r="2199" spans="1:21" x14ac:dyDescent="0.25">
      <c r="A2199" s="71">
        <v>15</v>
      </c>
      <c r="B2199" s="72">
        <f t="shared" si="833"/>
        <v>46082</v>
      </c>
      <c r="C2199" s="73">
        <f t="shared" si="814"/>
        <v>46112</v>
      </c>
      <c r="D2199" s="67">
        <f t="shared" si="815"/>
        <v>31</v>
      </c>
      <c r="E2199" s="67">
        <f t="shared" si="816"/>
        <v>3</v>
      </c>
      <c r="F2199" s="74">
        <f t="shared" si="817"/>
        <v>46097.5</v>
      </c>
      <c r="G2199" s="67">
        <f t="shared" si="818"/>
        <v>24314</v>
      </c>
      <c r="H2199" s="75">
        <f t="shared" si="819"/>
        <v>1</v>
      </c>
      <c r="I2199" s="76">
        <f t="shared" si="820"/>
        <v>1</v>
      </c>
      <c r="J2199" s="76">
        <f t="shared" si="821"/>
        <v>1</v>
      </c>
      <c r="K2199" s="67">
        <f t="shared" si="822"/>
        <v>0</v>
      </c>
      <c r="L2199" s="67">
        <f t="shared" si="823"/>
        <v>0</v>
      </c>
      <c r="M2199" s="77">
        <f t="shared" si="824"/>
        <v>0</v>
      </c>
      <c r="N2199" s="76">
        <f t="shared" si="825"/>
        <v>1</v>
      </c>
      <c r="O2199" s="77">
        <f t="shared" si="826"/>
        <v>0.90348468271334792</v>
      </c>
      <c r="P2199" s="76">
        <f t="shared" si="827"/>
        <v>1</v>
      </c>
      <c r="Q2199" s="76">
        <f t="shared" si="828"/>
        <v>0</v>
      </c>
      <c r="R2199" s="76">
        <f t="shared" si="829"/>
        <v>0</v>
      </c>
      <c r="S2199" s="76">
        <f t="shared" si="830"/>
        <v>0.98204856816668251</v>
      </c>
      <c r="T2199" s="76">
        <f t="shared" si="831"/>
        <v>0.98204856816668251</v>
      </c>
      <c r="U2199" s="76">
        <f t="shared" si="832"/>
        <v>1</v>
      </c>
    </row>
    <row r="2200" spans="1:21" x14ac:dyDescent="0.25">
      <c r="A2200" s="71">
        <v>16</v>
      </c>
      <c r="B2200" s="72">
        <f t="shared" si="833"/>
        <v>46113</v>
      </c>
      <c r="C2200" s="73">
        <f t="shared" si="814"/>
        <v>46142</v>
      </c>
      <c r="D2200" s="67">
        <f t="shared" si="815"/>
        <v>30</v>
      </c>
      <c r="E2200" s="67">
        <f t="shared" si="816"/>
        <v>4</v>
      </c>
      <c r="F2200" s="74">
        <f t="shared" si="817"/>
        <v>46128</v>
      </c>
      <c r="G2200" s="67">
        <f t="shared" si="818"/>
        <v>24315</v>
      </c>
      <c r="H2200" s="75">
        <f t="shared" si="819"/>
        <v>1</v>
      </c>
      <c r="I2200" s="76">
        <f t="shared" si="820"/>
        <v>1</v>
      </c>
      <c r="J2200" s="76">
        <f t="shared" si="821"/>
        <v>1.06</v>
      </c>
      <c r="K2200" s="67">
        <f t="shared" si="822"/>
        <v>1</v>
      </c>
      <c r="L2200" s="67">
        <f t="shared" si="823"/>
        <v>30</v>
      </c>
      <c r="M2200" s="77">
        <f t="shared" si="824"/>
        <v>1</v>
      </c>
      <c r="N2200" s="76">
        <f t="shared" si="825"/>
        <v>1.06</v>
      </c>
      <c r="O2200" s="77">
        <f t="shared" si="826"/>
        <v>0.90448577680525166</v>
      </c>
      <c r="P2200" s="76">
        <f t="shared" si="827"/>
        <v>1</v>
      </c>
      <c r="Q2200" s="76">
        <f t="shared" si="828"/>
        <v>0</v>
      </c>
      <c r="R2200" s="76">
        <f t="shared" si="829"/>
        <v>0</v>
      </c>
      <c r="S2200" s="76">
        <f t="shared" si="830"/>
        <v>1.0421249167538769</v>
      </c>
      <c r="T2200" s="76">
        <f t="shared" si="831"/>
        <v>1.0421249167538769</v>
      </c>
      <c r="U2200" s="76">
        <f t="shared" si="832"/>
        <v>1.06</v>
      </c>
    </row>
    <row r="2201" spans="1:21" x14ac:dyDescent="0.25">
      <c r="A2201" s="71">
        <v>17</v>
      </c>
      <c r="B2201" s="72">
        <f t="shared" si="833"/>
        <v>46143</v>
      </c>
      <c r="C2201" s="73">
        <f t="shared" si="814"/>
        <v>46173</v>
      </c>
      <c r="D2201" s="67">
        <f t="shared" si="815"/>
        <v>31</v>
      </c>
      <c r="E2201" s="67">
        <f t="shared" si="816"/>
        <v>5</v>
      </c>
      <c r="F2201" s="74">
        <f t="shared" si="817"/>
        <v>46158.5</v>
      </c>
      <c r="G2201" s="67">
        <f t="shared" si="818"/>
        <v>24316</v>
      </c>
      <c r="H2201" s="75">
        <f t="shared" si="819"/>
        <v>1</v>
      </c>
      <c r="I2201" s="76">
        <f t="shared" si="820"/>
        <v>1.06</v>
      </c>
      <c r="J2201" s="76">
        <f t="shared" si="821"/>
        <v>1.06</v>
      </c>
      <c r="K2201" s="67">
        <f t="shared" si="822"/>
        <v>0</v>
      </c>
      <c r="L2201" s="67">
        <f t="shared" si="823"/>
        <v>0</v>
      </c>
      <c r="M2201" s="77">
        <f t="shared" si="824"/>
        <v>0</v>
      </c>
      <c r="N2201" s="76">
        <f t="shared" si="825"/>
        <v>1.06</v>
      </c>
      <c r="O2201" s="77">
        <f t="shared" si="826"/>
        <v>0.9054868708971554</v>
      </c>
      <c r="P2201" s="76">
        <f t="shared" si="827"/>
        <v>1</v>
      </c>
      <c r="Q2201" s="76">
        <f t="shared" si="828"/>
        <v>0</v>
      </c>
      <c r="R2201" s="76">
        <f t="shared" si="829"/>
        <v>0</v>
      </c>
      <c r="S2201" s="76">
        <f t="shared" si="830"/>
        <v>1.0432783512510704</v>
      </c>
      <c r="T2201" s="76">
        <f t="shared" si="831"/>
        <v>1.0432783512510704</v>
      </c>
      <c r="U2201" s="76">
        <f t="shared" si="832"/>
        <v>1.06</v>
      </c>
    </row>
    <row r="2202" spans="1:21" x14ac:dyDescent="0.25">
      <c r="A2202" s="71">
        <v>18</v>
      </c>
      <c r="B2202" s="72">
        <f t="shared" si="833"/>
        <v>46174</v>
      </c>
      <c r="C2202" s="73">
        <f t="shared" si="814"/>
        <v>46203</v>
      </c>
      <c r="D2202" s="67">
        <f t="shared" si="815"/>
        <v>30</v>
      </c>
      <c r="E2202" s="67">
        <f t="shared" si="816"/>
        <v>6</v>
      </c>
      <c r="F2202" s="74">
        <f t="shared" si="817"/>
        <v>46189</v>
      </c>
      <c r="G2202" s="67">
        <f t="shared" si="818"/>
        <v>24317</v>
      </c>
      <c r="H2202" s="75">
        <f t="shared" si="819"/>
        <v>1</v>
      </c>
      <c r="I2202" s="76">
        <f t="shared" si="820"/>
        <v>1.06</v>
      </c>
      <c r="J2202" s="76">
        <f t="shared" si="821"/>
        <v>1.06</v>
      </c>
      <c r="K2202" s="67">
        <f t="shared" si="822"/>
        <v>0</v>
      </c>
      <c r="L2202" s="67">
        <f t="shared" si="823"/>
        <v>0</v>
      </c>
      <c r="M2202" s="77">
        <f t="shared" si="824"/>
        <v>0</v>
      </c>
      <c r="N2202" s="76">
        <f t="shared" si="825"/>
        <v>1.06</v>
      </c>
      <c r="O2202" s="77">
        <f t="shared" si="826"/>
        <v>0.90648796498905915</v>
      </c>
      <c r="P2202" s="76">
        <f t="shared" si="827"/>
        <v>1</v>
      </c>
      <c r="Q2202" s="76">
        <f t="shared" si="828"/>
        <v>0</v>
      </c>
      <c r="R2202" s="76">
        <f t="shared" si="829"/>
        <v>0</v>
      </c>
      <c r="S2202" s="76">
        <f t="shared" si="830"/>
        <v>1.0444317857482639</v>
      </c>
      <c r="T2202" s="76">
        <f t="shared" si="831"/>
        <v>1.0444317857482639</v>
      </c>
      <c r="U2202" s="76">
        <f t="shared" si="832"/>
        <v>1.06</v>
      </c>
    </row>
    <row r="2203" spans="1:21" x14ac:dyDescent="0.25">
      <c r="A2203" s="71">
        <v>19</v>
      </c>
      <c r="B2203" s="72">
        <f t="shared" si="833"/>
        <v>46204</v>
      </c>
      <c r="C2203" s="73">
        <f t="shared" si="814"/>
        <v>46234</v>
      </c>
      <c r="D2203" s="67">
        <f t="shared" si="815"/>
        <v>31</v>
      </c>
      <c r="E2203" s="67">
        <f t="shared" si="816"/>
        <v>7</v>
      </c>
      <c r="F2203" s="74">
        <f t="shared" si="817"/>
        <v>46219.5</v>
      </c>
      <c r="G2203" s="67">
        <f t="shared" si="818"/>
        <v>24318</v>
      </c>
      <c r="H2203" s="75">
        <f t="shared" si="819"/>
        <v>1</v>
      </c>
      <c r="I2203" s="76">
        <f t="shared" si="820"/>
        <v>1.06</v>
      </c>
      <c r="J2203" s="76">
        <f t="shared" si="821"/>
        <v>1.06</v>
      </c>
      <c r="K2203" s="67">
        <f t="shared" si="822"/>
        <v>0</v>
      </c>
      <c r="L2203" s="67">
        <f t="shared" si="823"/>
        <v>0</v>
      </c>
      <c r="M2203" s="77">
        <f t="shared" si="824"/>
        <v>0</v>
      </c>
      <c r="N2203" s="76">
        <f t="shared" si="825"/>
        <v>1.06</v>
      </c>
      <c r="O2203" s="77">
        <f t="shared" si="826"/>
        <v>0.90748905908096278</v>
      </c>
      <c r="P2203" s="76">
        <f t="shared" si="827"/>
        <v>0.91666666666666663</v>
      </c>
      <c r="Q2203" s="76">
        <f t="shared" si="828"/>
        <v>8.333333333333337E-2</v>
      </c>
      <c r="R2203" s="76">
        <f t="shared" si="829"/>
        <v>0</v>
      </c>
      <c r="S2203" s="76">
        <f t="shared" si="830"/>
        <v>1.0455852202454572</v>
      </c>
      <c r="T2203" s="76">
        <f t="shared" si="831"/>
        <v>1.0455852202454572</v>
      </c>
      <c r="U2203" s="76">
        <f t="shared" si="832"/>
        <v>1.06</v>
      </c>
    </row>
    <row r="2204" spans="1:21" x14ac:dyDescent="0.25">
      <c r="A2204" s="71">
        <v>20</v>
      </c>
      <c r="B2204" s="72">
        <f t="shared" si="833"/>
        <v>46235</v>
      </c>
      <c r="C2204" s="73">
        <f t="shared" si="814"/>
        <v>46265</v>
      </c>
      <c r="D2204" s="67">
        <f t="shared" si="815"/>
        <v>31</v>
      </c>
      <c r="E2204" s="67">
        <f t="shared" si="816"/>
        <v>8</v>
      </c>
      <c r="F2204" s="74">
        <f t="shared" si="817"/>
        <v>46250.5</v>
      </c>
      <c r="G2204" s="67">
        <f t="shared" si="818"/>
        <v>24319</v>
      </c>
      <c r="H2204" s="75">
        <f t="shared" si="819"/>
        <v>1</v>
      </c>
      <c r="I2204" s="76">
        <f t="shared" si="820"/>
        <v>1.06</v>
      </c>
      <c r="J2204" s="76">
        <f t="shared" si="821"/>
        <v>1.06</v>
      </c>
      <c r="K2204" s="67">
        <f t="shared" si="822"/>
        <v>0</v>
      </c>
      <c r="L2204" s="67">
        <f t="shared" si="823"/>
        <v>0</v>
      </c>
      <c r="M2204" s="77">
        <f t="shared" si="824"/>
        <v>0</v>
      </c>
      <c r="N2204" s="76">
        <f t="shared" si="825"/>
        <v>1.06</v>
      </c>
      <c r="O2204" s="77">
        <f t="shared" si="826"/>
        <v>0.90850656455142231</v>
      </c>
      <c r="P2204" s="76">
        <f t="shared" si="827"/>
        <v>0.75</v>
      </c>
      <c r="Q2204" s="76">
        <f t="shared" si="828"/>
        <v>0.25</v>
      </c>
      <c r="R2204" s="76">
        <f t="shared" si="829"/>
        <v>0</v>
      </c>
      <c r="S2204" s="76">
        <f t="shared" si="830"/>
        <v>1.0467575635048996</v>
      </c>
      <c r="T2204" s="76">
        <f t="shared" si="831"/>
        <v>1.0467575635048996</v>
      </c>
      <c r="U2204" s="76">
        <f t="shared" si="832"/>
        <v>1.06</v>
      </c>
    </row>
    <row r="2205" spans="1:21" x14ac:dyDescent="0.25">
      <c r="A2205" s="71">
        <v>21</v>
      </c>
      <c r="B2205" s="72">
        <f t="shared" si="833"/>
        <v>46266</v>
      </c>
      <c r="C2205" s="73">
        <f t="shared" si="814"/>
        <v>46295</v>
      </c>
      <c r="D2205" s="67">
        <f t="shared" si="815"/>
        <v>30</v>
      </c>
      <c r="E2205" s="67">
        <f t="shared" si="816"/>
        <v>9</v>
      </c>
      <c r="F2205" s="74">
        <f t="shared" si="817"/>
        <v>46281</v>
      </c>
      <c r="G2205" s="67">
        <f t="shared" si="818"/>
        <v>24320</v>
      </c>
      <c r="H2205" s="75">
        <f t="shared" si="819"/>
        <v>1</v>
      </c>
      <c r="I2205" s="76">
        <f t="shared" si="820"/>
        <v>1.06</v>
      </c>
      <c r="J2205" s="76">
        <f t="shared" si="821"/>
        <v>1.06</v>
      </c>
      <c r="K2205" s="67">
        <f t="shared" si="822"/>
        <v>0</v>
      </c>
      <c r="L2205" s="67">
        <f t="shared" si="823"/>
        <v>0</v>
      </c>
      <c r="M2205" s="77">
        <f t="shared" si="824"/>
        <v>0</v>
      </c>
      <c r="N2205" s="76">
        <f t="shared" si="825"/>
        <v>1.06</v>
      </c>
      <c r="O2205" s="77">
        <f t="shared" si="826"/>
        <v>0.90950765864332606</v>
      </c>
      <c r="P2205" s="76">
        <f t="shared" si="827"/>
        <v>0.58333333333333337</v>
      </c>
      <c r="Q2205" s="76">
        <f t="shared" si="828"/>
        <v>0.41666666666666663</v>
      </c>
      <c r="R2205" s="76">
        <f t="shared" si="829"/>
        <v>0</v>
      </c>
      <c r="S2205" s="76">
        <f t="shared" si="830"/>
        <v>1.0479109980020931</v>
      </c>
      <c r="T2205" s="76">
        <f t="shared" si="831"/>
        <v>1.0479109980020931</v>
      </c>
      <c r="U2205" s="76">
        <f t="shared" si="832"/>
        <v>1.06</v>
      </c>
    </row>
    <row r="2206" spans="1:21" x14ac:dyDescent="0.25">
      <c r="A2206" s="71">
        <v>22</v>
      </c>
      <c r="B2206" s="72">
        <f t="shared" si="833"/>
        <v>46296</v>
      </c>
      <c r="C2206" s="73">
        <f t="shared" si="814"/>
        <v>46326</v>
      </c>
      <c r="D2206" s="67">
        <f t="shared" si="815"/>
        <v>31</v>
      </c>
      <c r="E2206" s="67">
        <f t="shared" si="816"/>
        <v>10</v>
      </c>
      <c r="F2206" s="74">
        <f t="shared" si="817"/>
        <v>46311.5</v>
      </c>
      <c r="G2206" s="67">
        <f t="shared" si="818"/>
        <v>24321</v>
      </c>
      <c r="H2206" s="75">
        <f t="shared" si="819"/>
        <v>1</v>
      </c>
      <c r="I2206" s="76">
        <f t="shared" si="820"/>
        <v>1.06</v>
      </c>
      <c r="J2206" s="76">
        <f t="shared" si="821"/>
        <v>1.06</v>
      </c>
      <c r="K2206" s="67">
        <f t="shared" si="822"/>
        <v>0</v>
      </c>
      <c r="L2206" s="67">
        <f t="shared" si="823"/>
        <v>0</v>
      </c>
      <c r="M2206" s="77">
        <f t="shared" si="824"/>
        <v>0</v>
      </c>
      <c r="N2206" s="76">
        <f t="shared" si="825"/>
        <v>1.06</v>
      </c>
      <c r="O2206" s="77">
        <f t="shared" si="826"/>
        <v>0.9105087527352298</v>
      </c>
      <c r="P2206" s="76">
        <f t="shared" si="827"/>
        <v>0.41666666666666669</v>
      </c>
      <c r="Q2206" s="76">
        <f t="shared" si="828"/>
        <v>0.58333333333333326</v>
      </c>
      <c r="R2206" s="76">
        <f t="shared" si="829"/>
        <v>0</v>
      </c>
      <c r="S2206" s="76">
        <f t="shared" si="830"/>
        <v>1.0490644324992866</v>
      </c>
      <c r="T2206" s="76">
        <f t="shared" si="831"/>
        <v>1.0490644324992866</v>
      </c>
      <c r="U2206" s="76">
        <f t="shared" si="832"/>
        <v>1.06</v>
      </c>
    </row>
    <row r="2207" spans="1:21" x14ac:dyDescent="0.25">
      <c r="A2207" s="71">
        <v>23</v>
      </c>
      <c r="B2207" s="72">
        <f t="shared" si="833"/>
        <v>46327</v>
      </c>
      <c r="C2207" s="73">
        <f t="shared" si="814"/>
        <v>46356</v>
      </c>
      <c r="D2207" s="67">
        <f t="shared" si="815"/>
        <v>30</v>
      </c>
      <c r="E2207" s="67">
        <f t="shared" si="816"/>
        <v>11</v>
      </c>
      <c r="F2207" s="74">
        <f t="shared" si="817"/>
        <v>46342</v>
      </c>
      <c r="G2207" s="67">
        <f t="shared" si="818"/>
        <v>24322</v>
      </c>
      <c r="H2207" s="75">
        <f t="shared" si="819"/>
        <v>1</v>
      </c>
      <c r="I2207" s="76">
        <f t="shared" si="820"/>
        <v>1.06</v>
      </c>
      <c r="J2207" s="76">
        <f t="shared" si="821"/>
        <v>1.06</v>
      </c>
      <c r="K2207" s="67">
        <f t="shared" si="822"/>
        <v>0</v>
      </c>
      <c r="L2207" s="67">
        <f t="shared" si="823"/>
        <v>0</v>
      </c>
      <c r="M2207" s="77">
        <f t="shared" si="824"/>
        <v>0</v>
      </c>
      <c r="N2207" s="76">
        <f t="shared" si="825"/>
        <v>1.06</v>
      </c>
      <c r="O2207" s="77">
        <f t="shared" si="826"/>
        <v>0.91150984682713354</v>
      </c>
      <c r="P2207" s="76">
        <f t="shared" si="827"/>
        <v>0.25</v>
      </c>
      <c r="Q2207" s="76">
        <f t="shared" si="828"/>
        <v>0.75</v>
      </c>
      <c r="R2207" s="76">
        <f t="shared" si="829"/>
        <v>0</v>
      </c>
      <c r="S2207" s="76">
        <f t="shared" si="830"/>
        <v>1.0502178669964799</v>
      </c>
      <c r="T2207" s="76">
        <f t="shared" si="831"/>
        <v>1.0502178669964799</v>
      </c>
      <c r="U2207" s="76">
        <f t="shared" si="832"/>
        <v>1.06</v>
      </c>
    </row>
    <row r="2208" spans="1:21" x14ac:dyDescent="0.25">
      <c r="A2208" s="71">
        <v>24</v>
      </c>
      <c r="B2208" s="72">
        <f t="shared" si="833"/>
        <v>46357</v>
      </c>
      <c r="C2208" s="73">
        <f t="shared" si="814"/>
        <v>46387</v>
      </c>
      <c r="D2208" s="67">
        <f t="shared" si="815"/>
        <v>31</v>
      </c>
      <c r="E2208" s="67">
        <f t="shared" si="816"/>
        <v>12</v>
      </c>
      <c r="F2208" s="74">
        <f t="shared" si="817"/>
        <v>46372.5</v>
      </c>
      <c r="G2208" s="67">
        <f t="shared" si="818"/>
        <v>24323</v>
      </c>
      <c r="H2208" s="75">
        <f t="shared" si="819"/>
        <v>1</v>
      </c>
      <c r="I2208" s="76">
        <f t="shared" si="820"/>
        <v>1.06</v>
      </c>
      <c r="J2208" s="76">
        <f t="shared" si="821"/>
        <v>1.06</v>
      </c>
      <c r="K2208" s="67">
        <f t="shared" si="822"/>
        <v>0</v>
      </c>
      <c r="L2208" s="67">
        <f t="shared" si="823"/>
        <v>0</v>
      </c>
      <c r="M2208" s="77">
        <f t="shared" si="824"/>
        <v>0</v>
      </c>
      <c r="N2208" s="76">
        <f t="shared" si="825"/>
        <v>1.06</v>
      </c>
      <c r="O2208" s="77">
        <f t="shared" si="826"/>
        <v>0.91251094091903728</v>
      </c>
      <c r="P2208" s="76">
        <f t="shared" si="827"/>
        <v>8.3333333333333329E-2</v>
      </c>
      <c r="Q2208" s="76">
        <f t="shared" si="828"/>
        <v>0.91666666666666663</v>
      </c>
      <c r="R2208" s="76">
        <f t="shared" si="829"/>
        <v>0</v>
      </c>
      <c r="S2208" s="76">
        <f t="shared" si="830"/>
        <v>1.0513713014936734</v>
      </c>
      <c r="T2208" s="76">
        <f t="shared" si="831"/>
        <v>1.0513713014936734</v>
      </c>
      <c r="U2208" s="76">
        <f t="shared" si="832"/>
        <v>1.06</v>
      </c>
    </row>
    <row r="2209" spans="1:21" x14ac:dyDescent="0.25">
      <c r="A2209" s="71">
        <v>25</v>
      </c>
      <c r="B2209" s="72">
        <f t="shared" si="833"/>
        <v>46388</v>
      </c>
      <c r="C2209" s="73">
        <f t="shared" si="814"/>
        <v>46418</v>
      </c>
      <c r="D2209" s="67">
        <f t="shared" si="815"/>
        <v>31</v>
      </c>
      <c r="E2209" s="67">
        <f t="shared" si="816"/>
        <v>1</v>
      </c>
      <c r="F2209" s="74">
        <f t="shared" si="817"/>
        <v>46403.5</v>
      </c>
      <c r="G2209" s="67">
        <f t="shared" si="818"/>
        <v>24324</v>
      </c>
      <c r="H2209" s="75">
        <f t="shared" si="819"/>
        <v>1</v>
      </c>
      <c r="I2209" s="76">
        <f t="shared" si="820"/>
        <v>1.06</v>
      </c>
      <c r="J2209" s="76">
        <f t="shared" si="821"/>
        <v>1.06</v>
      </c>
      <c r="K2209" s="67">
        <f t="shared" si="822"/>
        <v>0</v>
      </c>
      <c r="L2209" s="67">
        <f t="shared" si="823"/>
        <v>0</v>
      </c>
      <c r="M2209" s="77">
        <f t="shared" si="824"/>
        <v>0</v>
      </c>
      <c r="N2209" s="76">
        <f t="shared" si="825"/>
        <v>1.06</v>
      </c>
      <c r="O2209" s="77">
        <f t="shared" si="826"/>
        <v>0.91352844638949671</v>
      </c>
      <c r="P2209" s="76">
        <f t="shared" si="827"/>
        <v>0</v>
      </c>
      <c r="Q2209" s="76">
        <f t="shared" si="828"/>
        <v>1</v>
      </c>
      <c r="R2209" s="76">
        <f t="shared" si="829"/>
        <v>0</v>
      </c>
      <c r="S2209" s="76">
        <f t="shared" si="830"/>
        <v>1.0525436447531158</v>
      </c>
      <c r="T2209" s="76">
        <f t="shared" si="831"/>
        <v>0.97994363048235178</v>
      </c>
      <c r="U2209" s="76">
        <f t="shared" si="832"/>
        <v>1.06</v>
      </c>
    </row>
    <row r="2210" spans="1:21" x14ac:dyDescent="0.25">
      <c r="A2210" s="71">
        <v>26</v>
      </c>
      <c r="B2210" s="72">
        <f t="shared" si="833"/>
        <v>46419</v>
      </c>
      <c r="C2210" s="73">
        <f t="shared" si="814"/>
        <v>46446</v>
      </c>
      <c r="D2210" s="67">
        <f t="shared" si="815"/>
        <v>28</v>
      </c>
      <c r="E2210" s="67">
        <f t="shared" si="816"/>
        <v>2</v>
      </c>
      <c r="F2210" s="74">
        <f t="shared" si="817"/>
        <v>46433</v>
      </c>
      <c r="G2210" s="67">
        <f t="shared" si="818"/>
        <v>24325</v>
      </c>
      <c r="H2210" s="75">
        <f t="shared" si="819"/>
        <v>1</v>
      </c>
      <c r="I2210" s="76">
        <f t="shared" si="820"/>
        <v>1.06</v>
      </c>
      <c r="J2210" s="76">
        <f t="shared" si="821"/>
        <v>1.06</v>
      </c>
      <c r="K2210" s="67">
        <f t="shared" si="822"/>
        <v>0</v>
      </c>
      <c r="L2210" s="67">
        <f t="shared" si="823"/>
        <v>0</v>
      </c>
      <c r="M2210" s="77">
        <f t="shared" si="824"/>
        <v>0</v>
      </c>
      <c r="N2210" s="76">
        <f t="shared" si="825"/>
        <v>1.06</v>
      </c>
      <c r="O2210" s="77">
        <f t="shared" si="826"/>
        <v>0.91449671772428887</v>
      </c>
      <c r="P2210" s="76">
        <f t="shared" si="827"/>
        <v>0</v>
      </c>
      <c r="Q2210" s="76">
        <f t="shared" si="828"/>
        <v>1</v>
      </c>
      <c r="R2210" s="76">
        <f t="shared" si="829"/>
        <v>0</v>
      </c>
      <c r="S2210" s="76">
        <f t="shared" si="830"/>
        <v>1.0536592617258111</v>
      </c>
      <c r="T2210" s="76">
        <f t="shared" si="831"/>
        <v>0.98099609932451703</v>
      </c>
      <c r="U2210" s="76">
        <f t="shared" si="832"/>
        <v>1.06</v>
      </c>
    </row>
    <row r="2211" spans="1:21" x14ac:dyDescent="0.25">
      <c r="A2211" s="71">
        <v>27</v>
      </c>
      <c r="B2211" s="72">
        <f t="shared" si="833"/>
        <v>46447</v>
      </c>
      <c r="C2211" s="73">
        <f t="shared" si="814"/>
        <v>46477</v>
      </c>
      <c r="D2211" s="67">
        <f t="shared" si="815"/>
        <v>31</v>
      </c>
      <c r="E2211" s="67">
        <f t="shared" si="816"/>
        <v>3</v>
      </c>
      <c r="F2211" s="74">
        <f t="shared" si="817"/>
        <v>46462.5</v>
      </c>
      <c r="G2211" s="67">
        <f t="shared" si="818"/>
        <v>24326</v>
      </c>
      <c r="H2211" s="75">
        <f t="shared" si="819"/>
        <v>1</v>
      </c>
      <c r="I2211" s="76">
        <f t="shared" si="820"/>
        <v>1.06</v>
      </c>
      <c r="J2211" s="76">
        <f t="shared" si="821"/>
        <v>1.06</v>
      </c>
      <c r="K2211" s="67">
        <f t="shared" si="822"/>
        <v>0</v>
      </c>
      <c r="L2211" s="67">
        <f t="shared" si="823"/>
        <v>0</v>
      </c>
      <c r="M2211" s="77">
        <f t="shared" si="824"/>
        <v>0</v>
      </c>
      <c r="N2211" s="76">
        <f t="shared" si="825"/>
        <v>1.06</v>
      </c>
      <c r="O2211" s="77">
        <f t="shared" si="826"/>
        <v>0.91546498905908102</v>
      </c>
      <c r="P2211" s="76">
        <f t="shared" si="827"/>
        <v>0</v>
      </c>
      <c r="Q2211" s="76">
        <f t="shared" si="828"/>
        <v>1</v>
      </c>
      <c r="R2211" s="76">
        <f t="shared" si="829"/>
        <v>0</v>
      </c>
      <c r="S2211" s="76">
        <f t="shared" si="830"/>
        <v>1.0547748786985063</v>
      </c>
      <c r="T2211" s="76">
        <f t="shared" si="831"/>
        <v>0.98204856816668251</v>
      </c>
      <c r="U2211" s="76">
        <f t="shared" si="832"/>
        <v>1.06</v>
      </c>
    </row>
    <row r="2212" spans="1:21" x14ac:dyDescent="0.25">
      <c r="A2212" s="71">
        <v>28</v>
      </c>
      <c r="B2212" s="72">
        <f t="shared" si="833"/>
        <v>46478</v>
      </c>
      <c r="C2212" s="73">
        <f t="shared" si="814"/>
        <v>46507</v>
      </c>
      <c r="D2212" s="67">
        <f t="shared" si="815"/>
        <v>30</v>
      </c>
      <c r="E2212" s="67">
        <f t="shared" si="816"/>
        <v>4</v>
      </c>
      <c r="F2212" s="74">
        <f t="shared" si="817"/>
        <v>46493</v>
      </c>
      <c r="G2212" s="67">
        <f t="shared" si="818"/>
        <v>24327</v>
      </c>
      <c r="H2212" s="75">
        <f t="shared" si="819"/>
        <v>1</v>
      </c>
      <c r="I2212" s="76">
        <f t="shared" si="820"/>
        <v>1.06</v>
      </c>
      <c r="J2212" s="76">
        <f t="shared" si="821"/>
        <v>1.06</v>
      </c>
      <c r="K2212" s="67">
        <f t="shared" si="822"/>
        <v>0</v>
      </c>
      <c r="L2212" s="67">
        <f t="shared" si="823"/>
        <v>0</v>
      </c>
      <c r="M2212" s="77">
        <f t="shared" si="824"/>
        <v>0</v>
      </c>
      <c r="N2212" s="76">
        <f t="shared" si="825"/>
        <v>1.06</v>
      </c>
      <c r="O2212" s="77">
        <f t="shared" si="826"/>
        <v>0.91646608315098477</v>
      </c>
      <c r="P2212" s="76">
        <f t="shared" si="827"/>
        <v>0</v>
      </c>
      <c r="Q2212" s="76">
        <f t="shared" si="828"/>
        <v>1</v>
      </c>
      <c r="R2212" s="76">
        <f t="shared" si="829"/>
        <v>0</v>
      </c>
      <c r="S2212" s="76">
        <f t="shared" si="830"/>
        <v>1.0559283131956998</v>
      </c>
      <c r="T2212" s="76">
        <f t="shared" si="831"/>
        <v>1.0421249167538769</v>
      </c>
      <c r="U2212" s="76">
        <f t="shared" si="832"/>
        <v>1.06</v>
      </c>
    </row>
    <row r="2213" spans="1:21" x14ac:dyDescent="0.25">
      <c r="A2213" s="71">
        <v>29</v>
      </c>
      <c r="B2213" s="72">
        <f t="shared" si="833"/>
        <v>46508</v>
      </c>
      <c r="C2213" s="73">
        <f t="shared" si="814"/>
        <v>46538</v>
      </c>
      <c r="D2213" s="67">
        <f t="shared" si="815"/>
        <v>31</v>
      </c>
      <c r="E2213" s="67">
        <f t="shared" si="816"/>
        <v>5</v>
      </c>
      <c r="F2213" s="74">
        <f t="shared" si="817"/>
        <v>46523.5</v>
      </c>
      <c r="G2213" s="67">
        <f t="shared" si="818"/>
        <v>24328</v>
      </c>
      <c r="H2213" s="75">
        <f t="shared" si="819"/>
        <v>1</v>
      </c>
      <c r="I2213" s="76">
        <f t="shared" si="820"/>
        <v>1.06</v>
      </c>
      <c r="J2213" s="76">
        <f t="shared" si="821"/>
        <v>1.06</v>
      </c>
      <c r="K2213" s="67">
        <f t="shared" si="822"/>
        <v>0</v>
      </c>
      <c r="L2213" s="67">
        <f t="shared" si="823"/>
        <v>0</v>
      </c>
      <c r="M2213" s="77">
        <f t="shared" si="824"/>
        <v>0</v>
      </c>
      <c r="N2213" s="76">
        <f t="shared" si="825"/>
        <v>1.06</v>
      </c>
      <c r="O2213" s="77">
        <f t="shared" si="826"/>
        <v>0.9174671772428884</v>
      </c>
      <c r="P2213" s="76">
        <f t="shared" si="827"/>
        <v>0</v>
      </c>
      <c r="Q2213" s="76">
        <f t="shared" si="828"/>
        <v>1</v>
      </c>
      <c r="R2213" s="76">
        <f t="shared" si="829"/>
        <v>0</v>
      </c>
      <c r="S2213" s="76">
        <f t="shared" si="830"/>
        <v>1.0570817476928931</v>
      </c>
      <c r="T2213" s="76">
        <f t="shared" si="831"/>
        <v>1.0432783512510704</v>
      </c>
      <c r="U2213" s="76">
        <f t="shared" si="832"/>
        <v>1.06</v>
      </c>
    </row>
    <row r="2214" spans="1:21" x14ac:dyDescent="0.25">
      <c r="A2214" s="71">
        <v>30</v>
      </c>
      <c r="B2214" s="72">
        <f t="shared" si="833"/>
        <v>46539</v>
      </c>
      <c r="C2214" s="73">
        <f t="shared" si="814"/>
        <v>46568</v>
      </c>
      <c r="D2214" s="67">
        <f t="shared" si="815"/>
        <v>30</v>
      </c>
      <c r="E2214" s="67">
        <f t="shared" si="816"/>
        <v>6</v>
      </c>
      <c r="F2214" s="74">
        <f t="shared" si="817"/>
        <v>46554</v>
      </c>
      <c r="G2214" s="67">
        <f t="shared" si="818"/>
        <v>24329</v>
      </c>
      <c r="H2214" s="75">
        <f t="shared" si="819"/>
        <v>1</v>
      </c>
      <c r="I2214" s="76">
        <f t="shared" si="820"/>
        <v>1.06</v>
      </c>
      <c r="J2214" s="76">
        <f t="shared" si="821"/>
        <v>1.06</v>
      </c>
      <c r="K2214" s="67">
        <f t="shared" si="822"/>
        <v>0</v>
      </c>
      <c r="L2214" s="67">
        <f t="shared" si="823"/>
        <v>0</v>
      </c>
      <c r="M2214" s="77">
        <f t="shared" si="824"/>
        <v>0</v>
      </c>
      <c r="N2214" s="76">
        <f t="shared" si="825"/>
        <v>1.06</v>
      </c>
      <c r="O2214" s="77">
        <f t="shared" si="826"/>
        <v>0.91846827133479214</v>
      </c>
      <c r="P2214" s="76">
        <f t="shared" si="827"/>
        <v>0</v>
      </c>
      <c r="Q2214" s="76">
        <f t="shared" si="828"/>
        <v>1</v>
      </c>
      <c r="R2214" s="76">
        <f t="shared" si="829"/>
        <v>0</v>
      </c>
      <c r="S2214" s="76">
        <f t="shared" si="830"/>
        <v>1.0582351821900866</v>
      </c>
      <c r="T2214" s="76">
        <f t="shared" si="831"/>
        <v>1.0444317857482639</v>
      </c>
      <c r="U2214" s="76">
        <f t="shared" si="832"/>
        <v>1.06</v>
      </c>
    </row>
    <row r="2215" spans="1:21" x14ac:dyDescent="0.25">
      <c r="A2215" s="71">
        <v>31</v>
      </c>
      <c r="B2215" s="72">
        <f t="shared" si="833"/>
        <v>46569</v>
      </c>
      <c r="C2215" s="73">
        <f t="shared" si="814"/>
        <v>46599</v>
      </c>
      <c r="D2215" s="67">
        <f t="shared" si="815"/>
        <v>31</v>
      </c>
      <c r="E2215" s="67">
        <f t="shared" si="816"/>
        <v>7</v>
      </c>
      <c r="F2215" s="74">
        <f t="shared" si="817"/>
        <v>46584.5</v>
      </c>
      <c r="G2215" s="67">
        <f t="shared" si="818"/>
        <v>24330</v>
      </c>
      <c r="H2215" s="75">
        <f t="shared" si="819"/>
        <v>1</v>
      </c>
      <c r="I2215" s="76">
        <f t="shared" si="820"/>
        <v>1.06</v>
      </c>
      <c r="J2215" s="76">
        <f t="shared" si="821"/>
        <v>1.06</v>
      </c>
      <c r="K2215" s="67">
        <f t="shared" si="822"/>
        <v>0</v>
      </c>
      <c r="L2215" s="67">
        <f t="shared" si="823"/>
        <v>0</v>
      </c>
      <c r="M2215" s="77">
        <f t="shared" si="824"/>
        <v>0</v>
      </c>
      <c r="N2215" s="76">
        <f t="shared" si="825"/>
        <v>1.06</v>
      </c>
      <c r="O2215" s="77">
        <f t="shared" si="826"/>
        <v>0.91946936542669588</v>
      </c>
      <c r="P2215" s="76">
        <f t="shared" si="827"/>
        <v>0</v>
      </c>
      <c r="Q2215" s="76">
        <f t="shared" si="828"/>
        <v>0.91666666666666663</v>
      </c>
      <c r="R2215" s="76">
        <f t="shared" si="829"/>
        <v>8.333333333333337E-2</v>
      </c>
      <c r="S2215" s="76">
        <f t="shared" si="830"/>
        <v>1.0593886166872799</v>
      </c>
      <c r="T2215" s="76">
        <f t="shared" si="831"/>
        <v>1.0455852202454572</v>
      </c>
      <c r="U2215" s="76">
        <f t="shared" si="832"/>
        <v>1.06</v>
      </c>
    </row>
    <row r="2216" spans="1:21" x14ac:dyDescent="0.25">
      <c r="A2216" s="71">
        <v>32</v>
      </c>
      <c r="B2216" s="72">
        <f t="shared" si="833"/>
        <v>46600</v>
      </c>
      <c r="C2216" s="73">
        <f t="shared" si="814"/>
        <v>46630</v>
      </c>
      <c r="D2216" s="67">
        <f t="shared" si="815"/>
        <v>31</v>
      </c>
      <c r="E2216" s="67">
        <f t="shared" si="816"/>
        <v>8</v>
      </c>
      <c r="F2216" s="74">
        <f t="shared" si="817"/>
        <v>46615.5</v>
      </c>
      <c r="G2216" s="67">
        <f t="shared" si="818"/>
        <v>24331</v>
      </c>
      <c r="H2216" s="75">
        <f t="shared" si="819"/>
        <v>1</v>
      </c>
      <c r="I2216" s="76">
        <f t="shared" si="820"/>
        <v>1.06</v>
      </c>
      <c r="J2216" s="76">
        <f t="shared" si="821"/>
        <v>1.06</v>
      </c>
      <c r="K2216" s="67">
        <f t="shared" si="822"/>
        <v>0</v>
      </c>
      <c r="L2216" s="67">
        <f t="shared" si="823"/>
        <v>0</v>
      </c>
      <c r="M2216" s="77">
        <f t="shared" si="824"/>
        <v>0</v>
      </c>
      <c r="N2216" s="76">
        <f t="shared" si="825"/>
        <v>1.06</v>
      </c>
      <c r="O2216" s="77">
        <f t="shared" si="826"/>
        <v>0.92048687089715542</v>
      </c>
      <c r="P2216" s="76">
        <f t="shared" si="827"/>
        <v>0</v>
      </c>
      <c r="Q2216" s="76">
        <f t="shared" si="828"/>
        <v>0.75</v>
      </c>
      <c r="R2216" s="76">
        <f t="shared" si="829"/>
        <v>0.25</v>
      </c>
      <c r="S2216" s="76">
        <f t="shared" si="830"/>
        <v>1.0605609599467227</v>
      </c>
      <c r="T2216" s="76">
        <f t="shared" si="831"/>
        <v>1.0467575635048996</v>
      </c>
      <c r="U2216" s="76">
        <f t="shared" si="832"/>
        <v>1.06</v>
      </c>
    </row>
    <row r="2217" spans="1:21" x14ac:dyDescent="0.25">
      <c r="A2217" s="71">
        <v>33</v>
      </c>
      <c r="B2217" s="72">
        <f t="shared" si="833"/>
        <v>46631</v>
      </c>
      <c r="C2217" s="73">
        <f t="shared" si="814"/>
        <v>46660</v>
      </c>
      <c r="D2217" s="67">
        <f t="shared" si="815"/>
        <v>30</v>
      </c>
      <c r="E2217" s="67">
        <f t="shared" si="816"/>
        <v>9</v>
      </c>
      <c r="F2217" s="74">
        <f t="shared" si="817"/>
        <v>46646</v>
      </c>
      <c r="G2217" s="67">
        <f t="shared" si="818"/>
        <v>24332</v>
      </c>
      <c r="H2217" s="75">
        <f t="shared" si="819"/>
        <v>1</v>
      </c>
      <c r="I2217" s="76">
        <f t="shared" si="820"/>
        <v>1.06</v>
      </c>
      <c r="J2217" s="76">
        <f t="shared" si="821"/>
        <v>1.06</v>
      </c>
      <c r="K2217" s="67">
        <f t="shared" si="822"/>
        <v>0</v>
      </c>
      <c r="L2217" s="67">
        <f t="shared" si="823"/>
        <v>0</v>
      </c>
      <c r="M2217" s="77">
        <f t="shared" si="824"/>
        <v>0</v>
      </c>
      <c r="N2217" s="76">
        <f t="shared" si="825"/>
        <v>1.06</v>
      </c>
      <c r="O2217" s="77">
        <f t="shared" si="826"/>
        <v>0.92148796498905916</v>
      </c>
      <c r="P2217" s="76">
        <f t="shared" si="827"/>
        <v>0</v>
      </c>
      <c r="Q2217" s="76">
        <f t="shared" si="828"/>
        <v>0.58333333333333337</v>
      </c>
      <c r="R2217" s="76">
        <f t="shared" si="829"/>
        <v>0.41666666666666663</v>
      </c>
      <c r="S2217" s="76">
        <f t="shared" si="830"/>
        <v>1.061714394443916</v>
      </c>
      <c r="T2217" s="76">
        <f t="shared" si="831"/>
        <v>1.0479109980020931</v>
      </c>
      <c r="U2217" s="76">
        <f t="shared" si="832"/>
        <v>1.06</v>
      </c>
    </row>
    <row r="2218" spans="1:21" x14ac:dyDescent="0.25">
      <c r="A2218" s="71">
        <v>34</v>
      </c>
      <c r="B2218" s="72">
        <f t="shared" si="833"/>
        <v>46661</v>
      </c>
      <c r="C2218" s="73">
        <f t="shared" si="814"/>
        <v>46691</v>
      </c>
      <c r="D2218" s="67">
        <f t="shared" si="815"/>
        <v>31</v>
      </c>
      <c r="E2218" s="67">
        <f t="shared" si="816"/>
        <v>10</v>
      </c>
      <c r="F2218" s="74">
        <f t="shared" si="817"/>
        <v>46676.5</v>
      </c>
      <c r="G2218" s="67">
        <f t="shared" si="818"/>
        <v>24333</v>
      </c>
      <c r="H2218" s="75">
        <f t="shared" si="819"/>
        <v>1</v>
      </c>
      <c r="I2218" s="76">
        <f t="shared" si="820"/>
        <v>1.06</v>
      </c>
      <c r="J2218" s="76">
        <f t="shared" si="821"/>
        <v>1.06</v>
      </c>
      <c r="K2218" s="67">
        <f t="shared" si="822"/>
        <v>0</v>
      </c>
      <c r="L2218" s="67">
        <f t="shared" si="823"/>
        <v>0</v>
      </c>
      <c r="M2218" s="77">
        <f t="shared" si="824"/>
        <v>0</v>
      </c>
      <c r="N2218" s="76">
        <f t="shared" si="825"/>
        <v>1.06</v>
      </c>
      <c r="O2218" s="77">
        <f t="shared" si="826"/>
        <v>0.92248905908096279</v>
      </c>
      <c r="P2218" s="76">
        <f t="shared" si="827"/>
        <v>0</v>
      </c>
      <c r="Q2218" s="76">
        <f t="shared" si="828"/>
        <v>0.41666666666666669</v>
      </c>
      <c r="R2218" s="76">
        <f t="shared" si="829"/>
        <v>0.58333333333333326</v>
      </c>
      <c r="S2218" s="76">
        <f t="shared" si="830"/>
        <v>1.0628678289411093</v>
      </c>
      <c r="T2218" s="76">
        <f t="shared" si="831"/>
        <v>1.0490644324992866</v>
      </c>
      <c r="U2218" s="76">
        <f t="shared" si="832"/>
        <v>1.06</v>
      </c>
    </row>
    <row r="2219" spans="1:21" x14ac:dyDescent="0.25">
      <c r="A2219" s="71">
        <v>35</v>
      </c>
      <c r="B2219" s="72">
        <f t="shared" si="833"/>
        <v>46692</v>
      </c>
      <c r="C2219" s="73">
        <f t="shared" si="814"/>
        <v>46721</v>
      </c>
      <c r="D2219" s="67">
        <f t="shared" si="815"/>
        <v>30</v>
      </c>
      <c r="E2219" s="67">
        <f t="shared" si="816"/>
        <v>11</v>
      </c>
      <c r="F2219" s="74">
        <f t="shared" si="817"/>
        <v>46707</v>
      </c>
      <c r="G2219" s="67">
        <f t="shared" si="818"/>
        <v>24334</v>
      </c>
      <c r="H2219" s="75">
        <f t="shared" si="819"/>
        <v>1</v>
      </c>
      <c r="I2219" s="76">
        <f t="shared" si="820"/>
        <v>1.06</v>
      </c>
      <c r="J2219" s="76">
        <f t="shared" si="821"/>
        <v>1.06</v>
      </c>
      <c r="K2219" s="67">
        <f t="shared" si="822"/>
        <v>0</v>
      </c>
      <c r="L2219" s="67">
        <f t="shared" si="823"/>
        <v>0</v>
      </c>
      <c r="M2219" s="77">
        <f t="shared" si="824"/>
        <v>0</v>
      </c>
      <c r="N2219" s="76">
        <f t="shared" si="825"/>
        <v>1.06</v>
      </c>
      <c r="O2219" s="77">
        <f t="shared" si="826"/>
        <v>0.92349015317286653</v>
      </c>
      <c r="P2219" s="76">
        <f t="shared" si="827"/>
        <v>0</v>
      </c>
      <c r="Q2219" s="76">
        <f t="shared" si="828"/>
        <v>0.25</v>
      </c>
      <c r="R2219" s="76">
        <f t="shared" si="829"/>
        <v>0.75</v>
      </c>
      <c r="S2219" s="76">
        <f t="shared" si="830"/>
        <v>1.0640212634383026</v>
      </c>
      <c r="T2219" s="76">
        <f t="shared" si="831"/>
        <v>1.0502178669964799</v>
      </c>
      <c r="U2219" s="76">
        <f t="shared" si="832"/>
        <v>1.06</v>
      </c>
    </row>
    <row r="2220" spans="1:21" x14ac:dyDescent="0.25">
      <c r="A2220" s="71">
        <v>36</v>
      </c>
      <c r="B2220" s="72">
        <f t="shared" si="833"/>
        <v>46722</v>
      </c>
      <c r="C2220" s="73">
        <f t="shared" si="814"/>
        <v>46752</v>
      </c>
      <c r="D2220" s="67">
        <f t="shared" si="815"/>
        <v>31</v>
      </c>
      <c r="E2220" s="67">
        <f t="shared" si="816"/>
        <v>12</v>
      </c>
      <c r="F2220" s="74">
        <f t="shared" si="817"/>
        <v>46737.5</v>
      </c>
      <c r="G2220" s="67">
        <f t="shared" si="818"/>
        <v>24335</v>
      </c>
      <c r="H2220" s="75">
        <f t="shared" si="819"/>
        <v>1</v>
      </c>
      <c r="I2220" s="76">
        <f t="shared" si="820"/>
        <v>1.06</v>
      </c>
      <c r="J2220" s="76">
        <f t="shared" si="821"/>
        <v>1.06</v>
      </c>
      <c r="K2220" s="67">
        <f t="shared" si="822"/>
        <v>0</v>
      </c>
      <c r="L2220" s="67">
        <f t="shared" si="823"/>
        <v>0</v>
      </c>
      <c r="M2220" s="77">
        <f t="shared" si="824"/>
        <v>0</v>
      </c>
      <c r="N2220" s="76">
        <f t="shared" si="825"/>
        <v>1.06</v>
      </c>
      <c r="O2220" s="77">
        <f t="shared" si="826"/>
        <v>0.92449124726477028</v>
      </c>
      <c r="P2220" s="76">
        <f t="shared" si="827"/>
        <v>0</v>
      </c>
      <c r="Q2220" s="76">
        <f t="shared" si="828"/>
        <v>8.3333333333333329E-2</v>
      </c>
      <c r="R2220" s="76">
        <f t="shared" si="829"/>
        <v>0.91666666666666663</v>
      </c>
      <c r="S2220" s="76">
        <f t="shared" si="830"/>
        <v>1.0651746979354961</v>
      </c>
      <c r="T2220" s="76">
        <f t="shared" si="831"/>
        <v>1.0513713014936734</v>
      </c>
      <c r="U2220" s="76">
        <f t="shared" si="832"/>
        <v>1.06</v>
      </c>
    </row>
    <row r="2221" spans="1:21" x14ac:dyDescent="0.25">
      <c r="A2221" s="71">
        <v>37</v>
      </c>
      <c r="B2221" s="72">
        <f t="shared" si="833"/>
        <v>46753</v>
      </c>
      <c r="C2221" s="73">
        <f t="shared" si="814"/>
        <v>46783</v>
      </c>
      <c r="D2221" s="67">
        <f t="shared" si="815"/>
        <v>31</v>
      </c>
      <c r="E2221" s="67">
        <f t="shared" si="816"/>
        <v>1</v>
      </c>
      <c r="F2221" s="74">
        <f t="shared" si="817"/>
        <v>46768.5</v>
      </c>
      <c r="G2221" s="67">
        <f t="shared" si="818"/>
        <v>24336</v>
      </c>
      <c r="H2221" s="75">
        <f t="shared" si="819"/>
        <v>1</v>
      </c>
      <c r="I2221" s="76">
        <f t="shared" si="820"/>
        <v>1.06</v>
      </c>
      <c r="J2221" s="76">
        <f t="shared" si="821"/>
        <v>1.06</v>
      </c>
      <c r="K2221" s="67">
        <f t="shared" si="822"/>
        <v>0</v>
      </c>
      <c r="L2221" s="67">
        <f t="shared" si="823"/>
        <v>0</v>
      </c>
      <c r="M2221" s="77">
        <f t="shared" si="824"/>
        <v>0</v>
      </c>
      <c r="N2221" s="76">
        <f t="shared" si="825"/>
        <v>1.06</v>
      </c>
      <c r="O2221" s="77">
        <f t="shared" si="826"/>
        <v>0.92500000000000004</v>
      </c>
      <c r="P2221" s="76">
        <f t="shared" si="827"/>
        <v>0</v>
      </c>
      <c r="Q2221" s="76">
        <f t="shared" si="828"/>
        <v>0</v>
      </c>
      <c r="R2221" s="76">
        <f t="shared" si="829"/>
        <v>1</v>
      </c>
      <c r="S2221" s="76">
        <f t="shared" si="830"/>
        <v>1.0657608695652174</v>
      </c>
      <c r="T2221" s="76">
        <f t="shared" si="831"/>
        <v>0.97994363048235178</v>
      </c>
      <c r="U2221" s="76">
        <f t="shared" si="832"/>
        <v>1.06</v>
      </c>
    </row>
    <row r="2222" spans="1:21" x14ac:dyDescent="0.25">
      <c r="A2222" s="71">
        <v>38</v>
      </c>
      <c r="B2222" s="72">
        <f t="shared" si="833"/>
        <v>46784</v>
      </c>
      <c r="C2222" s="73">
        <f t="shared" si="814"/>
        <v>46812</v>
      </c>
      <c r="D2222" s="67">
        <f t="shared" si="815"/>
        <v>29</v>
      </c>
      <c r="E2222" s="67">
        <f t="shared" si="816"/>
        <v>2</v>
      </c>
      <c r="F2222" s="74">
        <f t="shared" si="817"/>
        <v>46798.5</v>
      </c>
      <c r="G2222" s="67">
        <f t="shared" si="818"/>
        <v>24337</v>
      </c>
      <c r="H2222" s="75">
        <f t="shared" si="819"/>
        <v>1</v>
      </c>
      <c r="I2222" s="76">
        <f t="shared" si="820"/>
        <v>1.06</v>
      </c>
      <c r="J2222" s="76">
        <f t="shared" si="821"/>
        <v>1.06</v>
      </c>
      <c r="K2222" s="67">
        <f t="shared" si="822"/>
        <v>0</v>
      </c>
      <c r="L2222" s="67">
        <f t="shared" si="823"/>
        <v>0</v>
      </c>
      <c r="M2222" s="77">
        <f t="shared" si="824"/>
        <v>0</v>
      </c>
      <c r="N2222" s="76">
        <f t="shared" si="825"/>
        <v>1.06</v>
      </c>
      <c r="O2222" s="77">
        <f t="shared" si="826"/>
        <v>0.92500000000000004</v>
      </c>
      <c r="P2222" s="76">
        <f t="shared" si="827"/>
        <v>0</v>
      </c>
      <c r="Q2222" s="76">
        <f t="shared" si="828"/>
        <v>0</v>
      </c>
      <c r="R2222" s="76">
        <f t="shared" si="829"/>
        <v>1</v>
      </c>
      <c r="S2222" s="76">
        <f t="shared" si="830"/>
        <v>1.0657608695652174</v>
      </c>
      <c r="T2222" s="76">
        <f t="shared" si="831"/>
        <v>0.98099609932451703</v>
      </c>
      <c r="U2222" s="76">
        <f t="shared" si="832"/>
        <v>1.06</v>
      </c>
    </row>
    <row r="2223" spans="1:21" x14ac:dyDescent="0.25">
      <c r="A2223" s="71">
        <v>39</v>
      </c>
      <c r="B2223" s="72">
        <f t="shared" si="833"/>
        <v>46813</v>
      </c>
      <c r="C2223" s="73">
        <f t="shared" si="814"/>
        <v>46843</v>
      </c>
      <c r="D2223" s="67">
        <f t="shared" si="815"/>
        <v>31</v>
      </c>
      <c r="E2223" s="67">
        <f t="shared" si="816"/>
        <v>3</v>
      </c>
      <c r="F2223" s="74">
        <f t="shared" si="817"/>
        <v>46828.5</v>
      </c>
      <c r="G2223" s="67">
        <f t="shared" si="818"/>
        <v>24338</v>
      </c>
      <c r="H2223" s="75">
        <f t="shared" si="819"/>
        <v>1</v>
      </c>
      <c r="I2223" s="76">
        <f t="shared" si="820"/>
        <v>1.06</v>
      </c>
      <c r="J2223" s="76">
        <f t="shared" si="821"/>
        <v>1.06</v>
      </c>
      <c r="K2223" s="67">
        <f t="shared" si="822"/>
        <v>0</v>
      </c>
      <c r="L2223" s="67">
        <f t="shared" si="823"/>
        <v>0</v>
      </c>
      <c r="M2223" s="77">
        <f t="shared" si="824"/>
        <v>0</v>
      </c>
      <c r="N2223" s="76">
        <f t="shared" si="825"/>
        <v>1.06</v>
      </c>
      <c r="O2223" s="77">
        <f t="shared" si="826"/>
        <v>0.92500000000000004</v>
      </c>
      <c r="P2223" s="76">
        <f t="shared" si="827"/>
        <v>0</v>
      </c>
      <c r="Q2223" s="76">
        <f t="shared" si="828"/>
        <v>0</v>
      </c>
      <c r="R2223" s="76">
        <f t="shared" si="829"/>
        <v>1</v>
      </c>
      <c r="S2223" s="76">
        <f t="shared" si="830"/>
        <v>1.0657608695652174</v>
      </c>
      <c r="T2223" s="76">
        <f t="shared" si="831"/>
        <v>0.98204856816668251</v>
      </c>
      <c r="U2223" s="76">
        <f t="shared" si="832"/>
        <v>1.06</v>
      </c>
    </row>
    <row r="2224" spans="1:21" x14ac:dyDescent="0.25">
      <c r="A2224" s="71">
        <v>40</v>
      </c>
      <c r="B2224" s="72">
        <f t="shared" si="833"/>
        <v>46844</v>
      </c>
      <c r="C2224" s="73">
        <f t="shared" si="814"/>
        <v>46873</v>
      </c>
      <c r="D2224" s="67">
        <f t="shared" si="815"/>
        <v>30</v>
      </c>
      <c r="E2224" s="67">
        <f t="shared" si="816"/>
        <v>4</v>
      </c>
      <c r="F2224" s="74">
        <f t="shared" si="817"/>
        <v>46859</v>
      </c>
      <c r="G2224" s="67">
        <f t="shared" si="818"/>
        <v>24339</v>
      </c>
      <c r="H2224" s="75">
        <f t="shared" si="819"/>
        <v>1</v>
      </c>
      <c r="I2224" s="76">
        <f t="shared" si="820"/>
        <v>1.06</v>
      </c>
      <c r="J2224" s="76">
        <f t="shared" si="821"/>
        <v>1.06</v>
      </c>
      <c r="K2224" s="67">
        <f t="shared" si="822"/>
        <v>0</v>
      </c>
      <c r="L2224" s="67">
        <f t="shared" si="823"/>
        <v>0</v>
      </c>
      <c r="M2224" s="77">
        <f t="shared" si="824"/>
        <v>0</v>
      </c>
      <c r="N2224" s="76">
        <f t="shared" si="825"/>
        <v>1.06</v>
      </c>
      <c r="O2224" s="77">
        <f t="shared" si="826"/>
        <v>0.92500000000000004</v>
      </c>
      <c r="P2224" s="76">
        <f t="shared" si="827"/>
        <v>0</v>
      </c>
      <c r="Q2224" s="76">
        <f t="shared" si="828"/>
        <v>0</v>
      </c>
      <c r="R2224" s="76">
        <f t="shared" si="829"/>
        <v>1</v>
      </c>
      <c r="S2224" s="76">
        <f t="shared" si="830"/>
        <v>1.0657608695652174</v>
      </c>
      <c r="T2224" s="76">
        <f t="shared" si="831"/>
        <v>1.0421249167538769</v>
      </c>
      <c r="U2224" s="76">
        <f t="shared" si="832"/>
        <v>1.06</v>
      </c>
    </row>
    <row r="2225" spans="1:21" x14ac:dyDescent="0.25">
      <c r="A2225" s="71">
        <v>41</v>
      </c>
      <c r="B2225" s="72">
        <f t="shared" si="833"/>
        <v>46874</v>
      </c>
      <c r="C2225" s="73">
        <f t="shared" si="814"/>
        <v>46904</v>
      </c>
      <c r="D2225" s="67">
        <f t="shared" si="815"/>
        <v>31</v>
      </c>
      <c r="E2225" s="67">
        <f t="shared" si="816"/>
        <v>5</v>
      </c>
      <c r="F2225" s="74">
        <f t="shared" si="817"/>
        <v>46889.5</v>
      </c>
      <c r="G2225" s="67">
        <f t="shared" si="818"/>
        <v>24340</v>
      </c>
      <c r="H2225" s="75">
        <f t="shared" si="819"/>
        <v>1</v>
      </c>
      <c r="I2225" s="76">
        <f t="shared" si="820"/>
        <v>1.06</v>
      </c>
      <c r="J2225" s="76">
        <f t="shared" si="821"/>
        <v>1.06</v>
      </c>
      <c r="K2225" s="67">
        <f t="shared" si="822"/>
        <v>0</v>
      </c>
      <c r="L2225" s="67">
        <f t="shared" si="823"/>
        <v>0</v>
      </c>
      <c r="M2225" s="77">
        <f t="shared" si="824"/>
        <v>0</v>
      </c>
      <c r="N2225" s="76">
        <f t="shared" si="825"/>
        <v>1.06</v>
      </c>
      <c r="O2225" s="77">
        <f t="shared" si="826"/>
        <v>0.92500000000000004</v>
      </c>
      <c r="P2225" s="76">
        <f t="shared" si="827"/>
        <v>0</v>
      </c>
      <c r="Q2225" s="76">
        <f t="shared" si="828"/>
        <v>0</v>
      </c>
      <c r="R2225" s="76">
        <f t="shared" si="829"/>
        <v>1</v>
      </c>
      <c r="S2225" s="76">
        <f t="shared" si="830"/>
        <v>1.0657608695652174</v>
      </c>
      <c r="T2225" s="76">
        <f t="shared" si="831"/>
        <v>1.0432783512510704</v>
      </c>
      <c r="U2225" s="76">
        <f t="shared" si="832"/>
        <v>1.06</v>
      </c>
    </row>
    <row r="2226" spans="1:21" x14ac:dyDescent="0.25">
      <c r="A2226" s="71">
        <v>42</v>
      </c>
      <c r="B2226" s="72">
        <f t="shared" si="833"/>
        <v>46905</v>
      </c>
      <c r="C2226" s="73">
        <f t="shared" si="814"/>
        <v>46934</v>
      </c>
      <c r="D2226" s="67">
        <f t="shared" si="815"/>
        <v>30</v>
      </c>
      <c r="E2226" s="67">
        <f t="shared" si="816"/>
        <v>6</v>
      </c>
      <c r="F2226" s="74">
        <f t="shared" si="817"/>
        <v>46920</v>
      </c>
      <c r="G2226" s="67">
        <f t="shared" si="818"/>
        <v>24341</v>
      </c>
      <c r="H2226" s="75">
        <f t="shared" si="819"/>
        <v>1</v>
      </c>
      <c r="I2226" s="76">
        <f t="shared" si="820"/>
        <v>1.06</v>
      </c>
      <c r="J2226" s="76">
        <f t="shared" si="821"/>
        <v>1.06</v>
      </c>
      <c r="K2226" s="67">
        <f t="shared" si="822"/>
        <v>0</v>
      </c>
      <c r="L2226" s="67">
        <f t="shared" si="823"/>
        <v>0</v>
      </c>
      <c r="M2226" s="77">
        <f t="shared" si="824"/>
        <v>0</v>
      </c>
      <c r="N2226" s="76">
        <f t="shared" si="825"/>
        <v>1.06</v>
      </c>
      <c r="O2226" s="77">
        <f t="shared" si="826"/>
        <v>0.92500000000000004</v>
      </c>
      <c r="P2226" s="76">
        <f t="shared" si="827"/>
        <v>0</v>
      </c>
      <c r="Q2226" s="76">
        <f t="shared" si="828"/>
        <v>0</v>
      </c>
      <c r="R2226" s="76">
        <f t="shared" si="829"/>
        <v>1</v>
      </c>
      <c r="S2226" s="76">
        <f t="shared" si="830"/>
        <v>1.0657608695652174</v>
      </c>
      <c r="T2226" s="76">
        <f t="shared" si="831"/>
        <v>1.0444317857482639</v>
      </c>
      <c r="U2226" s="76">
        <f t="shared" si="832"/>
        <v>1.06</v>
      </c>
    </row>
    <row r="2227" spans="1:21" x14ac:dyDescent="0.25">
      <c r="A2227" s="71">
        <v>43</v>
      </c>
      <c r="B2227" s="72">
        <f t="shared" si="833"/>
        <v>46935</v>
      </c>
      <c r="C2227" s="73">
        <f t="shared" si="814"/>
        <v>46965</v>
      </c>
      <c r="D2227" s="67">
        <f t="shared" si="815"/>
        <v>31</v>
      </c>
      <c r="E2227" s="67">
        <f t="shared" si="816"/>
        <v>7</v>
      </c>
      <c r="F2227" s="74">
        <f t="shared" si="817"/>
        <v>46950.5</v>
      </c>
      <c r="G2227" s="67">
        <f t="shared" si="818"/>
        <v>24342</v>
      </c>
      <c r="H2227" s="75">
        <f t="shared" si="819"/>
        <v>1</v>
      </c>
      <c r="I2227" s="76">
        <f t="shared" si="820"/>
        <v>1.06</v>
      </c>
      <c r="J2227" s="76">
        <f t="shared" si="821"/>
        <v>1.06</v>
      </c>
      <c r="K2227" s="67">
        <f t="shared" si="822"/>
        <v>0</v>
      </c>
      <c r="L2227" s="67">
        <f t="shared" si="823"/>
        <v>0</v>
      </c>
      <c r="M2227" s="77">
        <f t="shared" si="824"/>
        <v>0</v>
      </c>
      <c r="N2227" s="76">
        <f t="shared" si="825"/>
        <v>1.06</v>
      </c>
      <c r="O2227" s="77">
        <f t="shared" si="826"/>
        <v>0.92500000000000004</v>
      </c>
      <c r="P2227" s="76">
        <f t="shared" si="827"/>
        <v>0</v>
      </c>
      <c r="Q2227" s="76">
        <f t="shared" si="828"/>
        <v>0</v>
      </c>
      <c r="R2227" s="76">
        <f t="shared" si="829"/>
        <v>0.91666666666666663</v>
      </c>
      <c r="S2227" s="76">
        <f t="shared" si="830"/>
        <v>1.0657608695652174</v>
      </c>
      <c r="T2227" s="76">
        <f t="shared" si="831"/>
        <v>1.0455852202454572</v>
      </c>
      <c r="U2227" s="76">
        <f t="shared" si="832"/>
        <v>1.06</v>
      </c>
    </row>
    <row r="2228" spans="1:21" x14ac:dyDescent="0.25">
      <c r="A2228" s="71">
        <v>44</v>
      </c>
      <c r="B2228" s="72">
        <f t="shared" si="833"/>
        <v>46966</v>
      </c>
      <c r="C2228" s="73">
        <f t="shared" si="814"/>
        <v>46996</v>
      </c>
      <c r="D2228" s="67">
        <f t="shared" si="815"/>
        <v>31</v>
      </c>
      <c r="E2228" s="67">
        <f t="shared" si="816"/>
        <v>8</v>
      </c>
      <c r="F2228" s="74">
        <f t="shared" si="817"/>
        <v>46981.5</v>
      </c>
      <c r="G2228" s="67">
        <f t="shared" si="818"/>
        <v>24343</v>
      </c>
      <c r="H2228" s="75">
        <f t="shared" si="819"/>
        <v>1</v>
      </c>
      <c r="I2228" s="76">
        <f t="shared" si="820"/>
        <v>1.06</v>
      </c>
      <c r="J2228" s="76">
        <f t="shared" si="821"/>
        <v>1.06</v>
      </c>
      <c r="K2228" s="67">
        <f t="shared" si="822"/>
        <v>0</v>
      </c>
      <c r="L2228" s="67">
        <f t="shared" si="823"/>
        <v>0</v>
      </c>
      <c r="M2228" s="77">
        <f t="shared" si="824"/>
        <v>0</v>
      </c>
      <c r="N2228" s="76">
        <f t="shared" si="825"/>
        <v>1.06</v>
      </c>
      <c r="O2228" s="77">
        <f t="shared" si="826"/>
        <v>0.92500000000000004</v>
      </c>
      <c r="P2228" s="76">
        <f t="shared" si="827"/>
        <v>0</v>
      </c>
      <c r="Q2228" s="76">
        <f t="shared" si="828"/>
        <v>0</v>
      </c>
      <c r="R2228" s="76">
        <f t="shared" si="829"/>
        <v>0.75</v>
      </c>
      <c r="S2228" s="76">
        <f t="shared" si="830"/>
        <v>1.0657608695652174</v>
      </c>
      <c r="T2228" s="76">
        <f t="shared" si="831"/>
        <v>1.0467575635048996</v>
      </c>
      <c r="U2228" s="76">
        <f t="shared" si="832"/>
        <v>1.06</v>
      </c>
    </row>
    <row r="2229" spans="1:21" x14ac:dyDescent="0.25">
      <c r="A2229" s="71">
        <v>45</v>
      </c>
      <c r="B2229" s="72">
        <f t="shared" si="833"/>
        <v>46997</v>
      </c>
      <c r="C2229" s="73">
        <f t="shared" si="814"/>
        <v>47026</v>
      </c>
      <c r="D2229" s="67">
        <f t="shared" si="815"/>
        <v>30</v>
      </c>
      <c r="E2229" s="67">
        <f t="shared" si="816"/>
        <v>9</v>
      </c>
      <c r="F2229" s="74">
        <f t="shared" si="817"/>
        <v>47012</v>
      </c>
      <c r="G2229" s="67">
        <f t="shared" si="818"/>
        <v>24344</v>
      </c>
      <c r="H2229" s="75">
        <f t="shared" si="819"/>
        <v>1</v>
      </c>
      <c r="I2229" s="76">
        <f t="shared" si="820"/>
        <v>1.06</v>
      </c>
      <c r="J2229" s="76">
        <f t="shared" si="821"/>
        <v>1.06</v>
      </c>
      <c r="K2229" s="67">
        <f t="shared" si="822"/>
        <v>0</v>
      </c>
      <c r="L2229" s="67">
        <f t="shared" si="823"/>
        <v>0</v>
      </c>
      <c r="M2229" s="77">
        <f t="shared" si="824"/>
        <v>0</v>
      </c>
      <c r="N2229" s="76">
        <f t="shared" si="825"/>
        <v>1.06</v>
      </c>
      <c r="O2229" s="77">
        <f t="shared" si="826"/>
        <v>0.92500000000000004</v>
      </c>
      <c r="P2229" s="76">
        <f t="shared" si="827"/>
        <v>0</v>
      </c>
      <c r="Q2229" s="76">
        <f t="shared" si="828"/>
        <v>0</v>
      </c>
      <c r="R2229" s="76">
        <f t="shared" si="829"/>
        <v>0.58333333333333337</v>
      </c>
      <c r="S2229" s="76">
        <f t="shared" si="830"/>
        <v>1.0657608695652174</v>
      </c>
      <c r="T2229" s="76">
        <f t="shared" si="831"/>
        <v>1.0479109980020931</v>
      </c>
      <c r="U2229" s="76">
        <f t="shared" si="832"/>
        <v>1.06</v>
      </c>
    </row>
    <row r="2230" spans="1:21" x14ac:dyDescent="0.25">
      <c r="A2230" s="71">
        <v>46</v>
      </c>
      <c r="B2230" s="72">
        <f t="shared" si="833"/>
        <v>47027</v>
      </c>
      <c r="C2230" s="73">
        <f t="shared" si="814"/>
        <v>47057</v>
      </c>
      <c r="D2230" s="67">
        <f t="shared" si="815"/>
        <v>31</v>
      </c>
      <c r="E2230" s="67">
        <f t="shared" si="816"/>
        <v>10</v>
      </c>
      <c r="F2230" s="74">
        <f t="shared" si="817"/>
        <v>47042.5</v>
      </c>
      <c r="G2230" s="67">
        <f t="shared" si="818"/>
        <v>24345</v>
      </c>
      <c r="H2230" s="75">
        <f t="shared" si="819"/>
        <v>1</v>
      </c>
      <c r="I2230" s="76">
        <f t="shared" si="820"/>
        <v>1.06</v>
      </c>
      <c r="J2230" s="76">
        <f t="shared" si="821"/>
        <v>1.06</v>
      </c>
      <c r="K2230" s="67">
        <f t="shared" si="822"/>
        <v>0</v>
      </c>
      <c r="L2230" s="67">
        <f t="shared" si="823"/>
        <v>0</v>
      </c>
      <c r="M2230" s="77">
        <f t="shared" si="824"/>
        <v>0</v>
      </c>
      <c r="N2230" s="76">
        <f t="shared" si="825"/>
        <v>1.06</v>
      </c>
      <c r="O2230" s="77">
        <f t="shared" si="826"/>
        <v>0.92500000000000004</v>
      </c>
      <c r="P2230" s="76">
        <f t="shared" si="827"/>
        <v>0</v>
      </c>
      <c r="Q2230" s="76">
        <f t="shared" si="828"/>
        <v>0</v>
      </c>
      <c r="R2230" s="76">
        <f t="shared" si="829"/>
        <v>0.41666666666666669</v>
      </c>
      <c r="S2230" s="76">
        <f t="shared" si="830"/>
        <v>1.0657608695652174</v>
      </c>
      <c r="T2230" s="76">
        <f t="shared" si="831"/>
        <v>1.0490644324992866</v>
      </c>
      <c r="U2230" s="76">
        <f t="shared" si="832"/>
        <v>1.06</v>
      </c>
    </row>
    <row r="2231" spans="1:21" x14ac:dyDescent="0.25">
      <c r="A2231" s="71">
        <v>47</v>
      </c>
      <c r="B2231" s="72">
        <f t="shared" si="833"/>
        <v>47058</v>
      </c>
      <c r="C2231" s="73">
        <f t="shared" si="814"/>
        <v>47087</v>
      </c>
      <c r="D2231" s="67">
        <f t="shared" si="815"/>
        <v>30</v>
      </c>
      <c r="E2231" s="67">
        <f t="shared" si="816"/>
        <v>11</v>
      </c>
      <c r="F2231" s="74">
        <f t="shared" si="817"/>
        <v>47073</v>
      </c>
      <c r="G2231" s="67">
        <f t="shared" si="818"/>
        <v>24346</v>
      </c>
      <c r="H2231" s="75">
        <f t="shared" si="819"/>
        <v>1</v>
      </c>
      <c r="I2231" s="76">
        <f t="shared" si="820"/>
        <v>1.06</v>
      </c>
      <c r="J2231" s="76">
        <f t="shared" si="821"/>
        <v>1.06</v>
      </c>
      <c r="K2231" s="67">
        <f t="shared" si="822"/>
        <v>0</v>
      </c>
      <c r="L2231" s="67">
        <f t="shared" si="823"/>
        <v>0</v>
      </c>
      <c r="M2231" s="77">
        <f t="shared" si="824"/>
        <v>0</v>
      </c>
      <c r="N2231" s="76">
        <f t="shared" si="825"/>
        <v>1.06</v>
      </c>
      <c r="O2231" s="77">
        <f t="shared" si="826"/>
        <v>0.92500000000000004</v>
      </c>
      <c r="P2231" s="76">
        <f t="shared" si="827"/>
        <v>0</v>
      </c>
      <c r="Q2231" s="76">
        <f t="shared" si="828"/>
        <v>0</v>
      </c>
      <c r="R2231" s="76">
        <f t="shared" si="829"/>
        <v>0.25</v>
      </c>
      <c r="S2231" s="76">
        <f t="shared" si="830"/>
        <v>1.0657608695652174</v>
      </c>
      <c r="T2231" s="76">
        <f t="shared" si="831"/>
        <v>1.0502178669964799</v>
      </c>
      <c r="U2231" s="76">
        <f t="shared" si="832"/>
        <v>1.06</v>
      </c>
    </row>
    <row r="2232" spans="1:21" x14ac:dyDescent="0.25">
      <c r="A2232" s="71">
        <v>48</v>
      </c>
      <c r="B2232" s="72">
        <f t="shared" si="833"/>
        <v>47088</v>
      </c>
      <c r="C2232" s="73">
        <f t="shared" si="814"/>
        <v>47118</v>
      </c>
      <c r="D2232" s="67">
        <f t="shared" si="815"/>
        <v>31</v>
      </c>
      <c r="E2232" s="67">
        <f t="shared" si="816"/>
        <v>12</v>
      </c>
      <c r="F2232" s="74">
        <f t="shared" si="817"/>
        <v>47103.5</v>
      </c>
      <c r="G2232" s="67">
        <f t="shared" si="818"/>
        <v>24347</v>
      </c>
      <c r="H2232" s="75">
        <f t="shared" si="819"/>
        <v>1</v>
      </c>
      <c r="I2232" s="76">
        <f t="shared" si="820"/>
        <v>1.06</v>
      </c>
      <c r="J2232" s="76">
        <f t="shared" si="821"/>
        <v>1.06</v>
      </c>
      <c r="K2232" s="67">
        <f t="shared" si="822"/>
        <v>0</v>
      </c>
      <c r="L2232" s="67">
        <f t="shared" si="823"/>
        <v>0</v>
      </c>
      <c r="M2232" s="77">
        <f t="shared" si="824"/>
        <v>0</v>
      </c>
      <c r="N2232" s="76">
        <f t="shared" si="825"/>
        <v>1.06</v>
      </c>
      <c r="O2232" s="77">
        <f t="shared" si="826"/>
        <v>0.92500000000000004</v>
      </c>
      <c r="P2232" s="76">
        <f t="shared" si="827"/>
        <v>0</v>
      </c>
      <c r="Q2232" s="76">
        <f t="shared" si="828"/>
        <v>0</v>
      </c>
      <c r="R2232" s="76">
        <f t="shared" si="829"/>
        <v>8.3333333333333329E-2</v>
      </c>
      <c r="S2232" s="76">
        <f t="shared" si="830"/>
        <v>1.0657608695652174</v>
      </c>
      <c r="T2232" s="76">
        <f t="shared" si="831"/>
        <v>1.0513713014936734</v>
      </c>
      <c r="U2232" s="76">
        <f t="shared" si="832"/>
        <v>1.06</v>
      </c>
    </row>
    <row r="2233" spans="1:21" x14ac:dyDescent="0.25">
      <c r="A2233" s="81" t="s">
        <v>1187</v>
      </c>
      <c r="B2233" s="53">
        <f>EXP(SUMPRODUCT((rl_key=$A$2182)*(rl_cons="Y")*rl_ln1p))</f>
        <v>1.06</v>
      </c>
      <c r="C2233" s="53">
        <f>SUMPRODUCT($H$2185:$H$2232,$P$2185:$P$2232,$U$2185:$U$2232)/SUMPRODUCT($H$2185:$H$2232,$P$2185:$P$2232)</f>
        <v>1.03</v>
      </c>
      <c r="D2233" s="53">
        <f>SUMPRODUCT($H$2185:$H$2232,$Q$2185:$Q$2232,$U$2185:$U$2232)/SUMPRODUCT($H$2185:$H$2232,$Q$2185:$Q$2232)</f>
        <v>1.0600000000000003</v>
      </c>
      <c r="E2233" s="53">
        <f>SUMPRODUCT($H$2185:$H$2232,$R$2185:$R$2232,$U$2185:$U$2232)/SUMPRODUCT($H$2185:$H$2232,$R$2185:$R$2232)</f>
        <v>1.0600000000000003</v>
      </c>
      <c r="F2233" s="172">
        <f>SUMPRODUCT($H$2185:$H$2232,$Q$2185:$Q$2232,$O$2185:$O$2232)/SUMPRODUCT($H$2185:$H$2232,$Q$2185:$Q$2232)</f>
        <v>0.91598878555798668</v>
      </c>
      <c r="G2233" s="172">
        <f>SUMPRODUCT($H$2185:$H$2232,$R$2185:$R$2232,$O$2185:$O$2232)/SUMPRODUCT($H$2185:$H$2232,$R$2185:$R$2232)</f>
        <v>0.92449033552151683</v>
      </c>
    </row>
    <row r="2236" spans="1:21" x14ac:dyDescent="0.25">
      <c r="A2236" s="81" t="str">
        <f>INDEX(lr_key,41)</f>
        <v>BU-B|TN</v>
      </c>
      <c r="B2236" s="81" t="str">
        <f>INDEX(lr_state,41)</f>
        <v>TN</v>
      </c>
      <c r="C2236" s="55">
        <f>nr_TermMonths</f>
        <v>6</v>
      </c>
      <c r="D2236" s="55">
        <f>IF(COUNTIF(se_state,$B2236)=0,0,MATCH($B2236,se_state,0))</f>
        <v>0</v>
      </c>
      <c r="E2236" s="57">
        <f>IF($D2236=0,0,INDEX(se_sum,$D2236))</f>
        <v>0</v>
      </c>
      <c r="F2236" s="172">
        <f>IF(N(INDEX(lr_mind,41))=0,1,INDEX(lr_mind,41))</f>
        <v>0.92</v>
      </c>
      <c r="G2236" s="172">
        <f>IF(N(INDEX(lr_m0,41))=0,1,INDEX(lr_m0,41))</f>
        <v>0.91</v>
      </c>
      <c r="H2236" s="54">
        <f>IF(N(INDEX(lr_m0asof,41))=0,DATE(nr_PlanYear-1,10,1),INDEX(lr_m0asof,41))</f>
        <v>46295</v>
      </c>
      <c r="I2236" s="172">
        <f>IF(N(INDEX(lr_m1,41))=0,1,INDEX(lr_m1,41))</f>
        <v>0.90500000000000003</v>
      </c>
      <c r="J2236" s="172">
        <f>INDEX(lr_mprior,41)</f>
        <v>0</v>
      </c>
      <c r="K2236" s="172">
        <f>INDEX(lr_m2,41)</f>
        <v>0</v>
      </c>
      <c r="L2236" s="81" t="b">
        <f>NOT(ISBLANK(INDEX(lr_netp,41)))</f>
        <v>0</v>
      </c>
      <c r="M2236" s="52">
        <f>N(INDEX(lr_netp,41))</f>
        <v>0</v>
      </c>
      <c r="N2236" s="52">
        <f>IF(ISBLANK(INDEX(lr_netp1,41)),$M$2236,N(INDEX(lr_netp1,41)))</f>
        <v>0</v>
      </c>
      <c r="O2236" s="55">
        <f>IF(AND(nr_ModAdjMaster="ON",INDEX(lr_modadj,41)="ON"),1,0)</f>
        <v>1</v>
      </c>
    </row>
    <row r="2237" spans="1:21" x14ac:dyDescent="0.25">
      <c r="A2237" s="81">
        <f>EDATE($H$2236,-12)+1</f>
        <v>45931</v>
      </c>
      <c r="B2237" s="81">
        <f>$H$2236+1</f>
        <v>46296</v>
      </c>
      <c r="C2237" s="81">
        <f>DATE(nr_PlanYear,12,31)+1</f>
        <v>46753</v>
      </c>
      <c r="D2237" s="81">
        <f>DATE(nr_PlanYear+1,12,31)+1</f>
        <v>47119</v>
      </c>
      <c r="E2237" s="81">
        <f>IF(N($J$2236)=0,$F$2237-($G$2237-$F$2237)/($C$2237-$B$2237)*($B$2237-$A$2237),$J$2236)</f>
        <v>0.9139934354485777</v>
      </c>
      <c r="F2237" s="81">
        <f>$G$2236</f>
        <v>0.91</v>
      </c>
      <c r="G2237" s="81">
        <f>$I$2236</f>
        <v>0.90500000000000003</v>
      </c>
      <c r="H2237" s="81">
        <f>IF(N($K$2236)=0,$I$2236,$K$2236)</f>
        <v>0.90500000000000003</v>
      </c>
      <c r="I2237" s="81">
        <f>($F$2237-$E$2237)/($B$2237-$A$2237)</f>
        <v>-1.0940919037199081E-5</v>
      </c>
      <c r="J2237" s="81">
        <f>($G$2237-$F$2237)/($C$2237-$B$2237)</f>
        <v>-1.0940919037199135E-5</v>
      </c>
      <c r="K2237" s="81">
        <f>($H$2237-$G$2237)/($D$2237-$C$2237)</f>
        <v>0</v>
      </c>
    </row>
    <row r="2238" spans="1:21" ht="36" x14ac:dyDescent="0.25">
      <c r="A2238" s="50" t="s">
        <v>211</v>
      </c>
      <c r="B2238" s="50" t="s">
        <v>212</v>
      </c>
      <c r="C2238" s="50" t="s">
        <v>213</v>
      </c>
      <c r="D2238" s="50" t="s">
        <v>214</v>
      </c>
      <c r="E2238" s="50" t="s">
        <v>215</v>
      </c>
      <c r="F2238" s="50" t="s">
        <v>216</v>
      </c>
      <c r="G2238" s="50" t="s">
        <v>217</v>
      </c>
      <c r="H2238" s="50" t="s">
        <v>218</v>
      </c>
      <c r="I2238" s="50" t="s">
        <v>219</v>
      </c>
      <c r="J2238" s="50" t="s">
        <v>220</v>
      </c>
      <c r="K2238" s="50" t="s">
        <v>221</v>
      </c>
      <c r="L2238" s="50" t="s">
        <v>222</v>
      </c>
      <c r="M2238" s="50" t="s">
        <v>223</v>
      </c>
      <c r="N2238" s="50" t="s">
        <v>224</v>
      </c>
      <c r="O2238" s="50" t="s">
        <v>225</v>
      </c>
      <c r="P2238" s="50" t="s">
        <v>226</v>
      </c>
      <c r="Q2238" s="50" t="s">
        <v>227</v>
      </c>
      <c r="R2238" s="50" t="s">
        <v>228</v>
      </c>
      <c r="S2238" s="50" t="s">
        <v>229</v>
      </c>
      <c r="T2238" s="50" t="s">
        <v>230</v>
      </c>
      <c r="U2238" s="50" t="s">
        <v>231</v>
      </c>
    </row>
    <row r="2239" spans="1:21" x14ac:dyDescent="0.25">
      <c r="A2239" s="71">
        <v>1</v>
      </c>
      <c r="B2239" s="72">
        <f>DATE(nr_PlanYear-2,1,1)</f>
        <v>45658</v>
      </c>
      <c r="C2239" s="73">
        <f t="shared" ref="C2239:C2286" si="834">EOMONTH($B2239,0)</f>
        <v>45688</v>
      </c>
      <c r="D2239" s="67">
        <f t="shared" ref="D2239:D2286" si="835">$C2239-$B2239+1</f>
        <v>31</v>
      </c>
      <c r="E2239" s="67">
        <f t="shared" ref="E2239:E2286" si="836">MONTH($B2239)</f>
        <v>1</v>
      </c>
      <c r="F2239" s="74">
        <f t="shared" ref="F2239:F2286" si="837">($B2239+$C2239+1)/2</f>
        <v>45673.5</v>
      </c>
      <c r="G2239" s="67">
        <f t="shared" ref="G2239:G2286" si="838">YEAR($B2239)*12+MONTH($B2239)-1</f>
        <v>24300</v>
      </c>
      <c r="H2239" s="75">
        <f t="shared" ref="H2239:H2286" si="839">IF(OR(nr_SeasonOn="OFF",$D$2236=0,$E$2236=0),1,12*INDEX(se_block,$D$2236,$E2239)/$E$2236)</f>
        <v>1</v>
      </c>
      <c r="I2239" s="76">
        <f t="shared" ref="I2239:I2286" si="840">EXP(SUMPRODUCT((rl_eff&lt;$B2239)*(rl_key=$A$2236)*rl_ln1p))</f>
        <v>1</v>
      </c>
      <c r="J2239" s="76">
        <f t="shared" ref="J2239:J2286" si="841">EXP(SUMPRODUCT((rl_eff&lt;=$C2239)*(rl_key=$A$2236)*rl_ln1p))</f>
        <v>1</v>
      </c>
      <c r="K2239" s="67">
        <f t="shared" ref="K2239:K2286" si="842">COUNTIFS(rl_key,$A$2236,rl_eff,"&gt;="&amp;$B2239,rl_eff,"&lt;="&amp;$C2239)</f>
        <v>0</v>
      </c>
      <c r="L2239" s="67">
        <f t="shared" ref="L2239:L2286" si="843">SUMIFS(rl_daysafter,rl_key,$A$2236,rl_effmonth,$B2239,rl_first,1)</f>
        <v>0</v>
      </c>
      <c r="M2239" s="77">
        <f t="shared" ref="M2239:M2286" si="844">IF($K2239=0,0,MIN(1,$L2239/$D2239))</f>
        <v>0</v>
      </c>
      <c r="N2239" s="76">
        <f t="shared" ref="N2239:N2286" si="845">IF($K2239=0,$J2239,(1-$M2239)*$I2239+$M2239*$J2239)</f>
        <v>1</v>
      </c>
      <c r="O2239" s="77">
        <f t="shared" ref="O2239:O2286" si="846">IF($F2239&lt;$B$2237,$E$2237+$I$2237*($F2239-$A$2237),IF($F2239&lt;$C$2237,$F$2237+$J$2237*($F2239-$B$2237),$G$2237+$K$2237*($F2239-$C$2237)))</f>
        <v>0.91681072210065651</v>
      </c>
      <c r="P2239" s="76">
        <f t="shared" ref="P2239:P2286" si="847">MIN(1,MAX(0,(nr_MEndPm1-$G2239+0.5)/$C$2236))-MIN(1,MAX(0,(nr_MStartPm1-1-$G2239+0.5)/$C$2236))</f>
        <v>0</v>
      </c>
      <c r="Q2239" s="76">
        <f t="shared" ref="Q2239:Q2286" si="848">MIN(1,MAX(0,(nr_MEndP-$G2239+0.5)/$C$2236))-MIN(1,MAX(0,(nr_MStartP-1-$G2239+0.5)/$C$2236))</f>
        <v>0</v>
      </c>
      <c r="R2239" s="76">
        <f t="shared" ref="R2239:R2286" si="849">MIN(1,MAX(0,(nr_MEndP1-$G2239+0.5)/$C$2236))-MIN(1,MAX(0,(nr_MStartP1-1-$G2239+0.5)/$C$2236))</f>
        <v>0</v>
      </c>
      <c r="S2239" s="76">
        <f t="shared" ref="S2239:S2286" si="850">$N2239*IF($O$2236=1,$O2239/$F$2236,1)</f>
        <v>0.99653339358767012</v>
      </c>
      <c r="T2239" s="76">
        <f t="shared" ref="T2239:T2286" si="851">IF($G2239&lt;nr_MStartP,$S2239,$T2227*(1+IF($G2239&lt;nr_MStartP1,$M$2236,$N$2236)))</f>
        <v>0.99653339358767012</v>
      </c>
      <c r="U2239" s="76">
        <f t="shared" ref="U2239:U2286" si="852">IF($L$2236,$T2239,$N2239)</f>
        <v>1</v>
      </c>
    </row>
    <row r="2240" spans="1:21" x14ac:dyDescent="0.25">
      <c r="A2240" s="71">
        <v>2</v>
      </c>
      <c r="B2240" s="72">
        <f t="shared" ref="B2240:B2286" si="853">EDATE($B2239,1)</f>
        <v>45689</v>
      </c>
      <c r="C2240" s="73">
        <f t="shared" si="834"/>
        <v>45716</v>
      </c>
      <c r="D2240" s="67">
        <f t="shared" si="835"/>
        <v>28</v>
      </c>
      <c r="E2240" s="67">
        <f t="shared" si="836"/>
        <v>2</v>
      </c>
      <c r="F2240" s="74">
        <f t="shared" si="837"/>
        <v>45703</v>
      </c>
      <c r="G2240" s="67">
        <f t="shared" si="838"/>
        <v>24301</v>
      </c>
      <c r="H2240" s="75">
        <f t="shared" si="839"/>
        <v>1</v>
      </c>
      <c r="I2240" s="76">
        <f t="shared" si="840"/>
        <v>1</v>
      </c>
      <c r="J2240" s="76">
        <f t="shared" si="841"/>
        <v>1</v>
      </c>
      <c r="K2240" s="67">
        <f t="shared" si="842"/>
        <v>0</v>
      </c>
      <c r="L2240" s="67">
        <f t="shared" si="843"/>
        <v>0</v>
      </c>
      <c r="M2240" s="77">
        <f t="shared" si="844"/>
        <v>0</v>
      </c>
      <c r="N2240" s="76">
        <f t="shared" si="845"/>
        <v>1</v>
      </c>
      <c r="O2240" s="77">
        <f t="shared" si="846"/>
        <v>0.91648796498905905</v>
      </c>
      <c r="P2240" s="76">
        <f t="shared" si="847"/>
        <v>0</v>
      </c>
      <c r="Q2240" s="76">
        <f t="shared" si="848"/>
        <v>0</v>
      </c>
      <c r="R2240" s="76">
        <f t="shared" si="849"/>
        <v>0</v>
      </c>
      <c r="S2240" s="76">
        <f t="shared" si="850"/>
        <v>0.99618257064028148</v>
      </c>
      <c r="T2240" s="76">
        <f t="shared" si="851"/>
        <v>0.99618257064028148</v>
      </c>
      <c r="U2240" s="76">
        <f t="shared" si="852"/>
        <v>1</v>
      </c>
    </row>
    <row r="2241" spans="1:21" x14ac:dyDescent="0.25">
      <c r="A2241" s="71">
        <v>3</v>
      </c>
      <c r="B2241" s="72">
        <f t="shared" si="853"/>
        <v>45717</v>
      </c>
      <c r="C2241" s="73">
        <f t="shared" si="834"/>
        <v>45747</v>
      </c>
      <c r="D2241" s="67">
        <f t="shared" si="835"/>
        <v>31</v>
      </c>
      <c r="E2241" s="67">
        <f t="shared" si="836"/>
        <v>3</v>
      </c>
      <c r="F2241" s="74">
        <f t="shared" si="837"/>
        <v>45732.5</v>
      </c>
      <c r="G2241" s="67">
        <f t="shared" si="838"/>
        <v>24302</v>
      </c>
      <c r="H2241" s="75">
        <f t="shared" si="839"/>
        <v>1</v>
      </c>
      <c r="I2241" s="76">
        <f t="shared" si="840"/>
        <v>1</v>
      </c>
      <c r="J2241" s="76">
        <f t="shared" si="841"/>
        <v>1</v>
      </c>
      <c r="K2241" s="67">
        <f t="shared" si="842"/>
        <v>0</v>
      </c>
      <c r="L2241" s="67">
        <f t="shared" si="843"/>
        <v>0</v>
      </c>
      <c r="M2241" s="77">
        <f t="shared" si="844"/>
        <v>0</v>
      </c>
      <c r="N2241" s="76">
        <f t="shared" si="845"/>
        <v>1</v>
      </c>
      <c r="O2241" s="77">
        <f t="shared" si="846"/>
        <v>0.9161652078774617</v>
      </c>
      <c r="P2241" s="76">
        <f t="shared" si="847"/>
        <v>0</v>
      </c>
      <c r="Q2241" s="76">
        <f t="shared" si="848"/>
        <v>0</v>
      </c>
      <c r="R2241" s="76">
        <f t="shared" si="849"/>
        <v>0</v>
      </c>
      <c r="S2241" s="76">
        <f t="shared" si="850"/>
        <v>0.99583174769289307</v>
      </c>
      <c r="T2241" s="76">
        <f t="shared" si="851"/>
        <v>0.99583174769289307</v>
      </c>
      <c r="U2241" s="76">
        <f t="shared" si="852"/>
        <v>1</v>
      </c>
    </row>
    <row r="2242" spans="1:21" x14ac:dyDescent="0.25">
      <c r="A2242" s="71">
        <v>4</v>
      </c>
      <c r="B2242" s="72">
        <f t="shared" si="853"/>
        <v>45748</v>
      </c>
      <c r="C2242" s="73">
        <f t="shared" si="834"/>
        <v>45777</v>
      </c>
      <c r="D2242" s="67">
        <f t="shared" si="835"/>
        <v>30</v>
      </c>
      <c r="E2242" s="67">
        <f t="shared" si="836"/>
        <v>4</v>
      </c>
      <c r="F2242" s="74">
        <f t="shared" si="837"/>
        <v>45763</v>
      </c>
      <c r="G2242" s="67">
        <f t="shared" si="838"/>
        <v>24303</v>
      </c>
      <c r="H2242" s="75">
        <f t="shared" si="839"/>
        <v>1</v>
      </c>
      <c r="I2242" s="76">
        <f t="shared" si="840"/>
        <v>1</v>
      </c>
      <c r="J2242" s="76">
        <f t="shared" si="841"/>
        <v>1</v>
      </c>
      <c r="K2242" s="67">
        <f t="shared" si="842"/>
        <v>0</v>
      </c>
      <c r="L2242" s="67">
        <f t="shared" si="843"/>
        <v>0</v>
      </c>
      <c r="M2242" s="77">
        <f t="shared" si="844"/>
        <v>0</v>
      </c>
      <c r="N2242" s="76">
        <f t="shared" si="845"/>
        <v>1</v>
      </c>
      <c r="O2242" s="77">
        <f t="shared" si="846"/>
        <v>0.91583150984682715</v>
      </c>
      <c r="P2242" s="76">
        <f t="shared" si="847"/>
        <v>0</v>
      </c>
      <c r="Q2242" s="76">
        <f t="shared" si="848"/>
        <v>0</v>
      </c>
      <c r="R2242" s="76">
        <f t="shared" si="849"/>
        <v>0</v>
      </c>
      <c r="S2242" s="76">
        <f t="shared" si="850"/>
        <v>0.99546903244220342</v>
      </c>
      <c r="T2242" s="76">
        <f t="shared" si="851"/>
        <v>0.99546903244220342</v>
      </c>
      <c r="U2242" s="76">
        <f t="shared" si="852"/>
        <v>1</v>
      </c>
    </row>
    <row r="2243" spans="1:21" x14ac:dyDescent="0.25">
      <c r="A2243" s="71">
        <v>5</v>
      </c>
      <c r="B2243" s="72">
        <f t="shared" si="853"/>
        <v>45778</v>
      </c>
      <c r="C2243" s="73">
        <f t="shared" si="834"/>
        <v>45808</v>
      </c>
      <c r="D2243" s="67">
        <f t="shared" si="835"/>
        <v>31</v>
      </c>
      <c r="E2243" s="67">
        <f t="shared" si="836"/>
        <v>5</v>
      </c>
      <c r="F2243" s="74">
        <f t="shared" si="837"/>
        <v>45793.5</v>
      </c>
      <c r="G2243" s="67">
        <f t="shared" si="838"/>
        <v>24304</v>
      </c>
      <c r="H2243" s="75">
        <f t="shared" si="839"/>
        <v>1</v>
      </c>
      <c r="I2243" s="76">
        <f t="shared" si="840"/>
        <v>1</v>
      </c>
      <c r="J2243" s="76">
        <f t="shared" si="841"/>
        <v>1</v>
      </c>
      <c r="K2243" s="67">
        <f t="shared" si="842"/>
        <v>0</v>
      </c>
      <c r="L2243" s="67">
        <f t="shared" si="843"/>
        <v>0</v>
      </c>
      <c r="M2243" s="77">
        <f t="shared" si="844"/>
        <v>0</v>
      </c>
      <c r="N2243" s="76">
        <f t="shared" si="845"/>
        <v>1</v>
      </c>
      <c r="O2243" s="77">
        <f t="shared" si="846"/>
        <v>0.91549781181619261</v>
      </c>
      <c r="P2243" s="76">
        <f t="shared" si="847"/>
        <v>0</v>
      </c>
      <c r="Q2243" s="76">
        <f t="shared" si="848"/>
        <v>0</v>
      </c>
      <c r="R2243" s="76">
        <f t="shared" si="849"/>
        <v>0</v>
      </c>
      <c r="S2243" s="76">
        <f t="shared" si="850"/>
        <v>0.99510631719151366</v>
      </c>
      <c r="T2243" s="76">
        <f t="shared" si="851"/>
        <v>0.99510631719151366</v>
      </c>
      <c r="U2243" s="76">
        <f t="shared" si="852"/>
        <v>1</v>
      </c>
    </row>
    <row r="2244" spans="1:21" x14ac:dyDescent="0.25">
      <c r="A2244" s="71">
        <v>6</v>
      </c>
      <c r="B2244" s="72">
        <f t="shared" si="853"/>
        <v>45809</v>
      </c>
      <c r="C2244" s="73">
        <f t="shared" si="834"/>
        <v>45838</v>
      </c>
      <c r="D2244" s="67">
        <f t="shared" si="835"/>
        <v>30</v>
      </c>
      <c r="E2244" s="67">
        <f t="shared" si="836"/>
        <v>6</v>
      </c>
      <c r="F2244" s="74">
        <f t="shared" si="837"/>
        <v>45824</v>
      </c>
      <c r="G2244" s="67">
        <f t="shared" si="838"/>
        <v>24305</v>
      </c>
      <c r="H2244" s="75">
        <f t="shared" si="839"/>
        <v>1</v>
      </c>
      <c r="I2244" s="76">
        <f t="shared" si="840"/>
        <v>1</v>
      </c>
      <c r="J2244" s="76">
        <f t="shared" si="841"/>
        <v>1</v>
      </c>
      <c r="K2244" s="67">
        <f t="shared" si="842"/>
        <v>0</v>
      </c>
      <c r="L2244" s="67">
        <f t="shared" si="843"/>
        <v>0</v>
      </c>
      <c r="M2244" s="77">
        <f t="shared" si="844"/>
        <v>0</v>
      </c>
      <c r="N2244" s="76">
        <f t="shared" si="845"/>
        <v>1</v>
      </c>
      <c r="O2244" s="77">
        <f t="shared" si="846"/>
        <v>0.91516411378555795</v>
      </c>
      <c r="P2244" s="76">
        <f t="shared" si="847"/>
        <v>0</v>
      </c>
      <c r="Q2244" s="76">
        <f t="shared" si="848"/>
        <v>0</v>
      </c>
      <c r="R2244" s="76">
        <f t="shared" si="849"/>
        <v>0</v>
      </c>
      <c r="S2244" s="76">
        <f t="shared" si="850"/>
        <v>0.99474360194082379</v>
      </c>
      <c r="T2244" s="76">
        <f t="shared" si="851"/>
        <v>0.99474360194082379</v>
      </c>
      <c r="U2244" s="76">
        <f t="shared" si="852"/>
        <v>1</v>
      </c>
    </row>
    <row r="2245" spans="1:21" x14ac:dyDescent="0.25">
      <c r="A2245" s="71">
        <v>7</v>
      </c>
      <c r="B2245" s="72">
        <f t="shared" si="853"/>
        <v>45839</v>
      </c>
      <c r="C2245" s="73">
        <f t="shared" si="834"/>
        <v>45869</v>
      </c>
      <c r="D2245" s="67">
        <f t="shared" si="835"/>
        <v>31</v>
      </c>
      <c r="E2245" s="67">
        <f t="shared" si="836"/>
        <v>7</v>
      </c>
      <c r="F2245" s="74">
        <f t="shared" si="837"/>
        <v>45854.5</v>
      </c>
      <c r="G2245" s="67">
        <f t="shared" si="838"/>
        <v>24306</v>
      </c>
      <c r="H2245" s="75">
        <f t="shared" si="839"/>
        <v>1</v>
      </c>
      <c r="I2245" s="76">
        <f t="shared" si="840"/>
        <v>1</v>
      </c>
      <c r="J2245" s="76">
        <f t="shared" si="841"/>
        <v>1</v>
      </c>
      <c r="K2245" s="67">
        <f t="shared" si="842"/>
        <v>0</v>
      </c>
      <c r="L2245" s="67">
        <f t="shared" si="843"/>
        <v>0</v>
      </c>
      <c r="M2245" s="77">
        <f t="shared" si="844"/>
        <v>0</v>
      </c>
      <c r="N2245" s="76">
        <f t="shared" si="845"/>
        <v>1</v>
      </c>
      <c r="O2245" s="77">
        <f t="shared" si="846"/>
        <v>0.91483041575492341</v>
      </c>
      <c r="P2245" s="76">
        <f t="shared" si="847"/>
        <v>8.333333333333337E-2</v>
      </c>
      <c r="Q2245" s="76">
        <f t="shared" si="848"/>
        <v>0</v>
      </c>
      <c r="R2245" s="76">
        <f t="shared" si="849"/>
        <v>0</v>
      </c>
      <c r="S2245" s="76">
        <f t="shared" si="850"/>
        <v>0.99438088669013414</v>
      </c>
      <c r="T2245" s="76">
        <f t="shared" si="851"/>
        <v>0.99438088669013414</v>
      </c>
      <c r="U2245" s="76">
        <f t="shared" si="852"/>
        <v>1</v>
      </c>
    </row>
    <row r="2246" spans="1:21" x14ac:dyDescent="0.25">
      <c r="A2246" s="71">
        <v>8</v>
      </c>
      <c r="B2246" s="72">
        <f t="shared" si="853"/>
        <v>45870</v>
      </c>
      <c r="C2246" s="73">
        <f t="shared" si="834"/>
        <v>45900</v>
      </c>
      <c r="D2246" s="67">
        <f t="shared" si="835"/>
        <v>31</v>
      </c>
      <c r="E2246" s="67">
        <f t="shared" si="836"/>
        <v>8</v>
      </c>
      <c r="F2246" s="74">
        <f t="shared" si="837"/>
        <v>45885.5</v>
      </c>
      <c r="G2246" s="67">
        <f t="shared" si="838"/>
        <v>24307</v>
      </c>
      <c r="H2246" s="75">
        <f t="shared" si="839"/>
        <v>1</v>
      </c>
      <c r="I2246" s="76">
        <f t="shared" si="840"/>
        <v>1</v>
      </c>
      <c r="J2246" s="76">
        <f t="shared" si="841"/>
        <v>1</v>
      </c>
      <c r="K2246" s="67">
        <f t="shared" si="842"/>
        <v>0</v>
      </c>
      <c r="L2246" s="67">
        <f t="shared" si="843"/>
        <v>0</v>
      </c>
      <c r="M2246" s="77">
        <f t="shared" si="844"/>
        <v>0</v>
      </c>
      <c r="N2246" s="76">
        <f t="shared" si="845"/>
        <v>1</v>
      </c>
      <c r="O2246" s="77">
        <f t="shared" si="846"/>
        <v>0.91449124726477027</v>
      </c>
      <c r="P2246" s="76">
        <f t="shared" si="847"/>
        <v>0.25</v>
      </c>
      <c r="Q2246" s="76">
        <f t="shared" si="848"/>
        <v>0</v>
      </c>
      <c r="R2246" s="76">
        <f t="shared" si="849"/>
        <v>0</v>
      </c>
      <c r="S2246" s="76">
        <f t="shared" si="850"/>
        <v>0.99401222528779376</v>
      </c>
      <c r="T2246" s="76">
        <f t="shared" si="851"/>
        <v>0.99401222528779376</v>
      </c>
      <c r="U2246" s="76">
        <f t="shared" si="852"/>
        <v>1</v>
      </c>
    </row>
    <row r="2247" spans="1:21" x14ac:dyDescent="0.25">
      <c r="A2247" s="71">
        <v>9</v>
      </c>
      <c r="B2247" s="72">
        <f t="shared" si="853"/>
        <v>45901</v>
      </c>
      <c r="C2247" s="73">
        <f t="shared" si="834"/>
        <v>45930</v>
      </c>
      <c r="D2247" s="67">
        <f t="shared" si="835"/>
        <v>30</v>
      </c>
      <c r="E2247" s="67">
        <f t="shared" si="836"/>
        <v>9</v>
      </c>
      <c r="F2247" s="74">
        <f t="shared" si="837"/>
        <v>45916</v>
      </c>
      <c r="G2247" s="67">
        <f t="shared" si="838"/>
        <v>24308</v>
      </c>
      <c r="H2247" s="75">
        <f t="shared" si="839"/>
        <v>1</v>
      </c>
      <c r="I2247" s="76">
        <f t="shared" si="840"/>
        <v>1</v>
      </c>
      <c r="J2247" s="76">
        <f t="shared" si="841"/>
        <v>1</v>
      </c>
      <c r="K2247" s="67">
        <f t="shared" si="842"/>
        <v>0</v>
      </c>
      <c r="L2247" s="67">
        <f t="shared" si="843"/>
        <v>0</v>
      </c>
      <c r="M2247" s="77">
        <f t="shared" si="844"/>
        <v>0</v>
      </c>
      <c r="N2247" s="76">
        <f t="shared" si="845"/>
        <v>1</v>
      </c>
      <c r="O2247" s="77">
        <f t="shared" si="846"/>
        <v>0.91415754923413572</v>
      </c>
      <c r="P2247" s="76">
        <f t="shared" si="847"/>
        <v>0.41666666666666663</v>
      </c>
      <c r="Q2247" s="76">
        <f t="shared" si="848"/>
        <v>0</v>
      </c>
      <c r="R2247" s="76">
        <f t="shared" si="849"/>
        <v>0</v>
      </c>
      <c r="S2247" s="76">
        <f t="shared" si="850"/>
        <v>0.993649510037104</v>
      </c>
      <c r="T2247" s="76">
        <f t="shared" si="851"/>
        <v>0.993649510037104</v>
      </c>
      <c r="U2247" s="76">
        <f t="shared" si="852"/>
        <v>1</v>
      </c>
    </row>
    <row r="2248" spans="1:21" x14ac:dyDescent="0.25">
      <c r="A2248" s="71">
        <v>10</v>
      </c>
      <c r="B2248" s="72">
        <f t="shared" si="853"/>
        <v>45931</v>
      </c>
      <c r="C2248" s="73">
        <f t="shared" si="834"/>
        <v>45961</v>
      </c>
      <c r="D2248" s="67">
        <f t="shared" si="835"/>
        <v>31</v>
      </c>
      <c r="E2248" s="67">
        <f t="shared" si="836"/>
        <v>10</v>
      </c>
      <c r="F2248" s="74">
        <f t="shared" si="837"/>
        <v>45946.5</v>
      </c>
      <c r="G2248" s="67">
        <f t="shared" si="838"/>
        <v>24309</v>
      </c>
      <c r="H2248" s="75">
        <f t="shared" si="839"/>
        <v>1</v>
      </c>
      <c r="I2248" s="76">
        <f t="shared" si="840"/>
        <v>1</v>
      </c>
      <c r="J2248" s="76">
        <f t="shared" si="841"/>
        <v>1</v>
      </c>
      <c r="K2248" s="67">
        <f t="shared" si="842"/>
        <v>0</v>
      </c>
      <c r="L2248" s="67">
        <f t="shared" si="843"/>
        <v>0</v>
      </c>
      <c r="M2248" s="77">
        <f t="shared" si="844"/>
        <v>0</v>
      </c>
      <c r="N2248" s="76">
        <f t="shared" si="845"/>
        <v>1</v>
      </c>
      <c r="O2248" s="77">
        <f t="shared" si="846"/>
        <v>0.91382385120350107</v>
      </c>
      <c r="P2248" s="76">
        <f t="shared" si="847"/>
        <v>0.58333333333333326</v>
      </c>
      <c r="Q2248" s="76">
        <f t="shared" si="848"/>
        <v>0</v>
      </c>
      <c r="R2248" s="76">
        <f t="shared" si="849"/>
        <v>0</v>
      </c>
      <c r="S2248" s="76">
        <f t="shared" si="850"/>
        <v>0.99328679478641413</v>
      </c>
      <c r="T2248" s="76">
        <f t="shared" si="851"/>
        <v>0.99328679478641413</v>
      </c>
      <c r="U2248" s="76">
        <f t="shared" si="852"/>
        <v>1</v>
      </c>
    </row>
    <row r="2249" spans="1:21" x14ac:dyDescent="0.25">
      <c r="A2249" s="71">
        <v>11</v>
      </c>
      <c r="B2249" s="72">
        <f t="shared" si="853"/>
        <v>45962</v>
      </c>
      <c r="C2249" s="73">
        <f t="shared" si="834"/>
        <v>45991</v>
      </c>
      <c r="D2249" s="67">
        <f t="shared" si="835"/>
        <v>30</v>
      </c>
      <c r="E2249" s="67">
        <f t="shared" si="836"/>
        <v>11</v>
      </c>
      <c r="F2249" s="74">
        <f t="shared" si="837"/>
        <v>45977</v>
      </c>
      <c r="G2249" s="67">
        <f t="shared" si="838"/>
        <v>24310</v>
      </c>
      <c r="H2249" s="75">
        <f t="shared" si="839"/>
        <v>1</v>
      </c>
      <c r="I2249" s="76">
        <f t="shared" si="840"/>
        <v>1</v>
      </c>
      <c r="J2249" s="76">
        <f t="shared" si="841"/>
        <v>1</v>
      </c>
      <c r="K2249" s="67">
        <f t="shared" si="842"/>
        <v>0</v>
      </c>
      <c r="L2249" s="67">
        <f t="shared" si="843"/>
        <v>0</v>
      </c>
      <c r="M2249" s="77">
        <f t="shared" si="844"/>
        <v>0</v>
      </c>
      <c r="N2249" s="76">
        <f t="shared" si="845"/>
        <v>1</v>
      </c>
      <c r="O2249" s="77">
        <f t="shared" si="846"/>
        <v>0.91349015317286653</v>
      </c>
      <c r="P2249" s="76">
        <f t="shared" si="847"/>
        <v>0.75</v>
      </c>
      <c r="Q2249" s="76">
        <f t="shared" si="848"/>
        <v>0</v>
      </c>
      <c r="R2249" s="76">
        <f t="shared" si="849"/>
        <v>0</v>
      </c>
      <c r="S2249" s="76">
        <f t="shared" si="850"/>
        <v>0.99292407953572448</v>
      </c>
      <c r="T2249" s="76">
        <f t="shared" si="851"/>
        <v>0.99292407953572448</v>
      </c>
      <c r="U2249" s="76">
        <f t="shared" si="852"/>
        <v>1</v>
      </c>
    </row>
    <row r="2250" spans="1:21" x14ac:dyDescent="0.25">
      <c r="A2250" s="71">
        <v>12</v>
      </c>
      <c r="B2250" s="72">
        <f t="shared" si="853"/>
        <v>45992</v>
      </c>
      <c r="C2250" s="73">
        <f t="shared" si="834"/>
        <v>46022</v>
      </c>
      <c r="D2250" s="67">
        <f t="shared" si="835"/>
        <v>31</v>
      </c>
      <c r="E2250" s="67">
        <f t="shared" si="836"/>
        <v>12</v>
      </c>
      <c r="F2250" s="74">
        <f t="shared" si="837"/>
        <v>46007.5</v>
      </c>
      <c r="G2250" s="67">
        <f t="shared" si="838"/>
        <v>24311</v>
      </c>
      <c r="H2250" s="75">
        <f t="shared" si="839"/>
        <v>1</v>
      </c>
      <c r="I2250" s="76">
        <f t="shared" si="840"/>
        <v>1</v>
      </c>
      <c r="J2250" s="76">
        <f t="shared" si="841"/>
        <v>1</v>
      </c>
      <c r="K2250" s="67">
        <f t="shared" si="842"/>
        <v>0</v>
      </c>
      <c r="L2250" s="67">
        <f t="shared" si="843"/>
        <v>0</v>
      </c>
      <c r="M2250" s="77">
        <f t="shared" si="844"/>
        <v>0</v>
      </c>
      <c r="N2250" s="76">
        <f t="shared" si="845"/>
        <v>1</v>
      </c>
      <c r="O2250" s="77">
        <f t="shared" si="846"/>
        <v>0.91315645514223198</v>
      </c>
      <c r="P2250" s="76">
        <f t="shared" si="847"/>
        <v>0.91666666666666663</v>
      </c>
      <c r="Q2250" s="76">
        <f t="shared" si="848"/>
        <v>0</v>
      </c>
      <c r="R2250" s="76">
        <f t="shared" si="849"/>
        <v>0</v>
      </c>
      <c r="S2250" s="76">
        <f t="shared" si="850"/>
        <v>0.99256136428503472</v>
      </c>
      <c r="T2250" s="76">
        <f t="shared" si="851"/>
        <v>0.99256136428503472</v>
      </c>
      <c r="U2250" s="76">
        <f t="shared" si="852"/>
        <v>1</v>
      </c>
    </row>
    <row r="2251" spans="1:21" x14ac:dyDescent="0.25">
      <c r="A2251" s="71">
        <v>13</v>
      </c>
      <c r="B2251" s="72">
        <f t="shared" si="853"/>
        <v>46023</v>
      </c>
      <c r="C2251" s="73">
        <f t="shared" si="834"/>
        <v>46053</v>
      </c>
      <c r="D2251" s="67">
        <f t="shared" si="835"/>
        <v>31</v>
      </c>
      <c r="E2251" s="67">
        <f t="shared" si="836"/>
        <v>1</v>
      </c>
      <c r="F2251" s="74">
        <f t="shared" si="837"/>
        <v>46038.5</v>
      </c>
      <c r="G2251" s="67">
        <f t="shared" si="838"/>
        <v>24312</v>
      </c>
      <c r="H2251" s="75">
        <f t="shared" si="839"/>
        <v>1</v>
      </c>
      <c r="I2251" s="76">
        <f t="shared" si="840"/>
        <v>1</v>
      </c>
      <c r="J2251" s="76">
        <f t="shared" si="841"/>
        <v>1</v>
      </c>
      <c r="K2251" s="67">
        <f t="shared" si="842"/>
        <v>0</v>
      </c>
      <c r="L2251" s="67">
        <f t="shared" si="843"/>
        <v>0</v>
      </c>
      <c r="M2251" s="77">
        <f t="shared" si="844"/>
        <v>0</v>
      </c>
      <c r="N2251" s="76">
        <f t="shared" si="845"/>
        <v>1</v>
      </c>
      <c r="O2251" s="77">
        <f t="shared" si="846"/>
        <v>0.91281728665207884</v>
      </c>
      <c r="P2251" s="76">
        <f t="shared" si="847"/>
        <v>1</v>
      </c>
      <c r="Q2251" s="76">
        <f t="shared" si="848"/>
        <v>0</v>
      </c>
      <c r="R2251" s="76">
        <f t="shared" si="849"/>
        <v>0</v>
      </c>
      <c r="S2251" s="76">
        <f t="shared" si="850"/>
        <v>0.99219270288269434</v>
      </c>
      <c r="T2251" s="76">
        <f t="shared" si="851"/>
        <v>0.99219270288269434</v>
      </c>
      <c r="U2251" s="76">
        <f t="shared" si="852"/>
        <v>1</v>
      </c>
    </row>
    <row r="2252" spans="1:21" x14ac:dyDescent="0.25">
      <c r="A2252" s="71">
        <v>14</v>
      </c>
      <c r="B2252" s="72">
        <f t="shared" si="853"/>
        <v>46054</v>
      </c>
      <c r="C2252" s="73">
        <f t="shared" si="834"/>
        <v>46081</v>
      </c>
      <c r="D2252" s="67">
        <f t="shared" si="835"/>
        <v>28</v>
      </c>
      <c r="E2252" s="67">
        <f t="shared" si="836"/>
        <v>2</v>
      </c>
      <c r="F2252" s="74">
        <f t="shared" si="837"/>
        <v>46068</v>
      </c>
      <c r="G2252" s="67">
        <f t="shared" si="838"/>
        <v>24313</v>
      </c>
      <c r="H2252" s="75">
        <f t="shared" si="839"/>
        <v>1</v>
      </c>
      <c r="I2252" s="76">
        <f t="shared" si="840"/>
        <v>1</v>
      </c>
      <c r="J2252" s="76">
        <f t="shared" si="841"/>
        <v>1</v>
      </c>
      <c r="K2252" s="67">
        <f t="shared" si="842"/>
        <v>0</v>
      </c>
      <c r="L2252" s="67">
        <f t="shared" si="843"/>
        <v>0</v>
      </c>
      <c r="M2252" s="77">
        <f t="shared" si="844"/>
        <v>0</v>
      </c>
      <c r="N2252" s="76">
        <f t="shared" si="845"/>
        <v>1</v>
      </c>
      <c r="O2252" s="77">
        <f t="shared" si="846"/>
        <v>0.91249452954048138</v>
      </c>
      <c r="P2252" s="76">
        <f t="shared" si="847"/>
        <v>1</v>
      </c>
      <c r="Q2252" s="76">
        <f t="shared" si="848"/>
        <v>0</v>
      </c>
      <c r="R2252" s="76">
        <f t="shared" si="849"/>
        <v>0</v>
      </c>
      <c r="S2252" s="76">
        <f t="shared" si="850"/>
        <v>0.99184187993530581</v>
      </c>
      <c r="T2252" s="76">
        <f t="shared" si="851"/>
        <v>0.99184187993530581</v>
      </c>
      <c r="U2252" s="76">
        <f t="shared" si="852"/>
        <v>1</v>
      </c>
    </row>
    <row r="2253" spans="1:21" x14ac:dyDescent="0.25">
      <c r="A2253" s="71">
        <v>15</v>
      </c>
      <c r="B2253" s="72">
        <f t="shared" si="853"/>
        <v>46082</v>
      </c>
      <c r="C2253" s="73">
        <f t="shared" si="834"/>
        <v>46112</v>
      </c>
      <c r="D2253" s="67">
        <f t="shared" si="835"/>
        <v>31</v>
      </c>
      <c r="E2253" s="67">
        <f t="shared" si="836"/>
        <v>3</v>
      </c>
      <c r="F2253" s="74">
        <f t="shared" si="837"/>
        <v>46097.5</v>
      </c>
      <c r="G2253" s="67">
        <f t="shared" si="838"/>
        <v>24314</v>
      </c>
      <c r="H2253" s="75">
        <f t="shared" si="839"/>
        <v>1</v>
      </c>
      <c r="I2253" s="76">
        <f t="shared" si="840"/>
        <v>1</v>
      </c>
      <c r="J2253" s="76">
        <f t="shared" si="841"/>
        <v>1</v>
      </c>
      <c r="K2253" s="67">
        <f t="shared" si="842"/>
        <v>0</v>
      </c>
      <c r="L2253" s="67">
        <f t="shared" si="843"/>
        <v>0</v>
      </c>
      <c r="M2253" s="77">
        <f t="shared" si="844"/>
        <v>0</v>
      </c>
      <c r="N2253" s="76">
        <f t="shared" si="845"/>
        <v>1</v>
      </c>
      <c r="O2253" s="77">
        <f t="shared" si="846"/>
        <v>0.91217177242888403</v>
      </c>
      <c r="P2253" s="76">
        <f t="shared" si="847"/>
        <v>1</v>
      </c>
      <c r="Q2253" s="76">
        <f t="shared" si="848"/>
        <v>0</v>
      </c>
      <c r="R2253" s="76">
        <f t="shared" si="849"/>
        <v>0</v>
      </c>
      <c r="S2253" s="76">
        <f t="shared" si="850"/>
        <v>0.9914910569879174</v>
      </c>
      <c r="T2253" s="76">
        <f t="shared" si="851"/>
        <v>0.9914910569879174</v>
      </c>
      <c r="U2253" s="76">
        <f t="shared" si="852"/>
        <v>1</v>
      </c>
    </row>
    <row r="2254" spans="1:21" x14ac:dyDescent="0.25">
      <c r="A2254" s="71">
        <v>16</v>
      </c>
      <c r="B2254" s="72">
        <f t="shared" si="853"/>
        <v>46113</v>
      </c>
      <c r="C2254" s="73">
        <f t="shared" si="834"/>
        <v>46142</v>
      </c>
      <c r="D2254" s="67">
        <f t="shared" si="835"/>
        <v>30</v>
      </c>
      <c r="E2254" s="67">
        <f t="shared" si="836"/>
        <v>4</v>
      </c>
      <c r="F2254" s="74">
        <f t="shared" si="837"/>
        <v>46128</v>
      </c>
      <c r="G2254" s="67">
        <f t="shared" si="838"/>
        <v>24315</v>
      </c>
      <c r="H2254" s="75">
        <f t="shared" si="839"/>
        <v>1</v>
      </c>
      <c r="I2254" s="76">
        <f t="shared" si="840"/>
        <v>1</v>
      </c>
      <c r="J2254" s="76">
        <f t="shared" si="841"/>
        <v>1</v>
      </c>
      <c r="K2254" s="67">
        <f t="shared" si="842"/>
        <v>0</v>
      </c>
      <c r="L2254" s="67">
        <f t="shared" si="843"/>
        <v>0</v>
      </c>
      <c r="M2254" s="77">
        <f t="shared" si="844"/>
        <v>0</v>
      </c>
      <c r="N2254" s="76">
        <f t="shared" si="845"/>
        <v>1</v>
      </c>
      <c r="O2254" s="77">
        <f t="shared" si="846"/>
        <v>0.91183807439824949</v>
      </c>
      <c r="P2254" s="76">
        <f t="shared" si="847"/>
        <v>1</v>
      </c>
      <c r="Q2254" s="76">
        <f t="shared" si="848"/>
        <v>0</v>
      </c>
      <c r="R2254" s="76">
        <f t="shared" si="849"/>
        <v>0</v>
      </c>
      <c r="S2254" s="76">
        <f t="shared" si="850"/>
        <v>0.99112834173722764</v>
      </c>
      <c r="T2254" s="76">
        <f t="shared" si="851"/>
        <v>0.99112834173722764</v>
      </c>
      <c r="U2254" s="76">
        <f t="shared" si="852"/>
        <v>1</v>
      </c>
    </row>
    <row r="2255" spans="1:21" x14ac:dyDescent="0.25">
      <c r="A2255" s="71">
        <v>17</v>
      </c>
      <c r="B2255" s="72">
        <f t="shared" si="853"/>
        <v>46143</v>
      </c>
      <c r="C2255" s="73">
        <f t="shared" si="834"/>
        <v>46173</v>
      </c>
      <c r="D2255" s="67">
        <f t="shared" si="835"/>
        <v>31</v>
      </c>
      <c r="E2255" s="67">
        <f t="shared" si="836"/>
        <v>5</v>
      </c>
      <c r="F2255" s="74">
        <f t="shared" si="837"/>
        <v>46158.5</v>
      </c>
      <c r="G2255" s="67">
        <f t="shared" si="838"/>
        <v>24316</v>
      </c>
      <c r="H2255" s="75">
        <f t="shared" si="839"/>
        <v>1</v>
      </c>
      <c r="I2255" s="76">
        <f t="shared" si="840"/>
        <v>1</v>
      </c>
      <c r="J2255" s="76">
        <f t="shared" si="841"/>
        <v>1.02</v>
      </c>
      <c r="K2255" s="67">
        <f t="shared" si="842"/>
        <v>1</v>
      </c>
      <c r="L2255" s="67">
        <f t="shared" si="843"/>
        <v>31</v>
      </c>
      <c r="M2255" s="77">
        <f t="shared" si="844"/>
        <v>1</v>
      </c>
      <c r="N2255" s="76">
        <f t="shared" si="845"/>
        <v>1.02</v>
      </c>
      <c r="O2255" s="77">
        <f t="shared" si="846"/>
        <v>0.91150437636761494</v>
      </c>
      <c r="P2255" s="76">
        <f t="shared" si="847"/>
        <v>1</v>
      </c>
      <c r="Q2255" s="76">
        <f t="shared" si="848"/>
        <v>0</v>
      </c>
      <c r="R2255" s="76">
        <f t="shared" si="849"/>
        <v>0</v>
      </c>
      <c r="S2255" s="76">
        <f t="shared" si="850"/>
        <v>1.0105809390162688</v>
      </c>
      <c r="T2255" s="76">
        <f t="shared" si="851"/>
        <v>1.0105809390162688</v>
      </c>
      <c r="U2255" s="76">
        <f t="shared" si="852"/>
        <v>1.02</v>
      </c>
    </row>
    <row r="2256" spans="1:21" x14ac:dyDescent="0.25">
      <c r="A2256" s="71">
        <v>18</v>
      </c>
      <c r="B2256" s="72">
        <f t="shared" si="853"/>
        <v>46174</v>
      </c>
      <c r="C2256" s="73">
        <f t="shared" si="834"/>
        <v>46203</v>
      </c>
      <c r="D2256" s="67">
        <f t="shared" si="835"/>
        <v>30</v>
      </c>
      <c r="E2256" s="67">
        <f t="shared" si="836"/>
        <v>6</v>
      </c>
      <c r="F2256" s="74">
        <f t="shared" si="837"/>
        <v>46189</v>
      </c>
      <c r="G2256" s="67">
        <f t="shared" si="838"/>
        <v>24317</v>
      </c>
      <c r="H2256" s="75">
        <f t="shared" si="839"/>
        <v>1</v>
      </c>
      <c r="I2256" s="76">
        <f t="shared" si="840"/>
        <v>1.02</v>
      </c>
      <c r="J2256" s="76">
        <f t="shared" si="841"/>
        <v>1.02</v>
      </c>
      <c r="K2256" s="67">
        <f t="shared" si="842"/>
        <v>0</v>
      </c>
      <c r="L2256" s="67">
        <f t="shared" si="843"/>
        <v>0</v>
      </c>
      <c r="M2256" s="77">
        <f t="shared" si="844"/>
        <v>0</v>
      </c>
      <c r="N2256" s="76">
        <f t="shared" si="845"/>
        <v>1.02</v>
      </c>
      <c r="O2256" s="77">
        <f t="shared" si="846"/>
        <v>0.91117067833698029</v>
      </c>
      <c r="P2256" s="76">
        <f t="shared" si="847"/>
        <v>1</v>
      </c>
      <c r="Q2256" s="76">
        <f t="shared" si="848"/>
        <v>0</v>
      </c>
      <c r="R2256" s="76">
        <f t="shared" si="849"/>
        <v>0</v>
      </c>
      <c r="S2256" s="76">
        <f t="shared" si="850"/>
        <v>1.010210969460565</v>
      </c>
      <c r="T2256" s="76">
        <f t="shared" si="851"/>
        <v>1.010210969460565</v>
      </c>
      <c r="U2256" s="76">
        <f t="shared" si="852"/>
        <v>1.02</v>
      </c>
    </row>
    <row r="2257" spans="1:21" x14ac:dyDescent="0.25">
      <c r="A2257" s="71">
        <v>19</v>
      </c>
      <c r="B2257" s="72">
        <f t="shared" si="853"/>
        <v>46204</v>
      </c>
      <c r="C2257" s="73">
        <f t="shared" si="834"/>
        <v>46234</v>
      </c>
      <c r="D2257" s="67">
        <f t="shared" si="835"/>
        <v>31</v>
      </c>
      <c r="E2257" s="67">
        <f t="shared" si="836"/>
        <v>7</v>
      </c>
      <c r="F2257" s="74">
        <f t="shared" si="837"/>
        <v>46219.5</v>
      </c>
      <c r="G2257" s="67">
        <f t="shared" si="838"/>
        <v>24318</v>
      </c>
      <c r="H2257" s="75">
        <f t="shared" si="839"/>
        <v>1</v>
      </c>
      <c r="I2257" s="76">
        <f t="shared" si="840"/>
        <v>1.02</v>
      </c>
      <c r="J2257" s="76">
        <f t="shared" si="841"/>
        <v>1.02</v>
      </c>
      <c r="K2257" s="67">
        <f t="shared" si="842"/>
        <v>0</v>
      </c>
      <c r="L2257" s="67">
        <f t="shared" si="843"/>
        <v>0</v>
      </c>
      <c r="M2257" s="77">
        <f t="shared" si="844"/>
        <v>0</v>
      </c>
      <c r="N2257" s="76">
        <f t="shared" si="845"/>
        <v>1.02</v>
      </c>
      <c r="O2257" s="77">
        <f t="shared" si="846"/>
        <v>0.91083698030634574</v>
      </c>
      <c r="P2257" s="76">
        <f t="shared" si="847"/>
        <v>0.91666666666666663</v>
      </c>
      <c r="Q2257" s="76">
        <f t="shared" si="848"/>
        <v>8.333333333333337E-2</v>
      </c>
      <c r="R2257" s="76">
        <f t="shared" si="849"/>
        <v>0</v>
      </c>
      <c r="S2257" s="76">
        <f t="shared" si="850"/>
        <v>1.0098409999048616</v>
      </c>
      <c r="T2257" s="76">
        <f t="shared" si="851"/>
        <v>1.0098409999048616</v>
      </c>
      <c r="U2257" s="76">
        <f t="shared" si="852"/>
        <v>1.02</v>
      </c>
    </row>
    <row r="2258" spans="1:21" x14ac:dyDescent="0.25">
      <c r="A2258" s="71">
        <v>20</v>
      </c>
      <c r="B2258" s="72">
        <f t="shared" si="853"/>
        <v>46235</v>
      </c>
      <c r="C2258" s="73">
        <f t="shared" si="834"/>
        <v>46265</v>
      </c>
      <c r="D2258" s="67">
        <f t="shared" si="835"/>
        <v>31</v>
      </c>
      <c r="E2258" s="67">
        <f t="shared" si="836"/>
        <v>8</v>
      </c>
      <c r="F2258" s="74">
        <f t="shared" si="837"/>
        <v>46250.5</v>
      </c>
      <c r="G2258" s="67">
        <f t="shared" si="838"/>
        <v>24319</v>
      </c>
      <c r="H2258" s="75">
        <f t="shared" si="839"/>
        <v>1</v>
      </c>
      <c r="I2258" s="76">
        <f t="shared" si="840"/>
        <v>1.02</v>
      </c>
      <c r="J2258" s="76">
        <f t="shared" si="841"/>
        <v>1.02</v>
      </c>
      <c r="K2258" s="67">
        <f t="shared" si="842"/>
        <v>0</v>
      </c>
      <c r="L2258" s="67">
        <f t="shared" si="843"/>
        <v>0</v>
      </c>
      <c r="M2258" s="77">
        <f t="shared" si="844"/>
        <v>0</v>
      </c>
      <c r="N2258" s="76">
        <f t="shared" si="845"/>
        <v>1.02</v>
      </c>
      <c r="O2258" s="77">
        <f t="shared" si="846"/>
        <v>0.9104978118161926</v>
      </c>
      <c r="P2258" s="76">
        <f t="shared" si="847"/>
        <v>0.75</v>
      </c>
      <c r="Q2258" s="76">
        <f t="shared" si="848"/>
        <v>0.25</v>
      </c>
      <c r="R2258" s="76">
        <f t="shared" si="849"/>
        <v>0</v>
      </c>
      <c r="S2258" s="76">
        <f t="shared" si="850"/>
        <v>1.0094649652744743</v>
      </c>
      <c r="T2258" s="76">
        <f t="shared" si="851"/>
        <v>1.0094649652744743</v>
      </c>
      <c r="U2258" s="76">
        <f t="shared" si="852"/>
        <v>1.02</v>
      </c>
    </row>
    <row r="2259" spans="1:21" x14ac:dyDescent="0.25">
      <c r="A2259" s="71">
        <v>21</v>
      </c>
      <c r="B2259" s="72">
        <f t="shared" si="853"/>
        <v>46266</v>
      </c>
      <c r="C2259" s="73">
        <f t="shared" si="834"/>
        <v>46295</v>
      </c>
      <c r="D2259" s="67">
        <f t="shared" si="835"/>
        <v>30</v>
      </c>
      <c r="E2259" s="67">
        <f t="shared" si="836"/>
        <v>9</v>
      </c>
      <c r="F2259" s="74">
        <f t="shared" si="837"/>
        <v>46281</v>
      </c>
      <c r="G2259" s="67">
        <f t="shared" si="838"/>
        <v>24320</v>
      </c>
      <c r="H2259" s="75">
        <f t="shared" si="839"/>
        <v>1</v>
      </c>
      <c r="I2259" s="76">
        <f t="shared" si="840"/>
        <v>1.02</v>
      </c>
      <c r="J2259" s="76">
        <f t="shared" si="841"/>
        <v>1.02</v>
      </c>
      <c r="K2259" s="67">
        <f t="shared" si="842"/>
        <v>0</v>
      </c>
      <c r="L2259" s="67">
        <f t="shared" si="843"/>
        <v>0</v>
      </c>
      <c r="M2259" s="77">
        <f t="shared" si="844"/>
        <v>0</v>
      </c>
      <c r="N2259" s="76">
        <f t="shared" si="845"/>
        <v>1.02</v>
      </c>
      <c r="O2259" s="77">
        <f t="shared" si="846"/>
        <v>0.91016411378555806</v>
      </c>
      <c r="P2259" s="76">
        <f t="shared" si="847"/>
        <v>0.58333333333333337</v>
      </c>
      <c r="Q2259" s="76">
        <f t="shared" si="848"/>
        <v>0.41666666666666663</v>
      </c>
      <c r="R2259" s="76">
        <f t="shared" si="849"/>
        <v>0</v>
      </c>
      <c r="S2259" s="76">
        <f t="shared" si="850"/>
        <v>1.0090949957187709</v>
      </c>
      <c r="T2259" s="76">
        <f t="shared" si="851"/>
        <v>1.0090949957187709</v>
      </c>
      <c r="U2259" s="76">
        <f t="shared" si="852"/>
        <v>1.02</v>
      </c>
    </row>
    <row r="2260" spans="1:21" x14ac:dyDescent="0.25">
      <c r="A2260" s="71">
        <v>22</v>
      </c>
      <c r="B2260" s="72">
        <f t="shared" si="853"/>
        <v>46296</v>
      </c>
      <c r="C2260" s="73">
        <f t="shared" si="834"/>
        <v>46326</v>
      </c>
      <c r="D2260" s="67">
        <f t="shared" si="835"/>
        <v>31</v>
      </c>
      <c r="E2260" s="67">
        <f t="shared" si="836"/>
        <v>10</v>
      </c>
      <c r="F2260" s="74">
        <f t="shared" si="837"/>
        <v>46311.5</v>
      </c>
      <c r="G2260" s="67">
        <f t="shared" si="838"/>
        <v>24321</v>
      </c>
      <c r="H2260" s="75">
        <f t="shared" si="839"/>
        <v>1</v>
      </c>
      <c r="I2260" s="76">
        <f t="shared" si="840"/>
        <v>1.02</v>
      </c>
      <c r="J2260" s="76">
        <f t="shared" si="841"/>
        <v>1.02</v>
      </c>
      <c r="K2260" s="67">
        <f t="shared" si="842"/>
        <v>0</v>
      </c>
      <c r="L2260" s="67">
        <f t="shared" si="843"/>
        <v>0</v>
      </c>
      <c r="M2260" s="77">
        <f t="shared" si="844"/>
        <v>0</v>
      </c>
      <c r="N2260" s="76">
        <f t="shared" si="845"/>
        <v>1.02</v>
      </c>
      <c r="O2260" s="77">
        <f t="shared" si="846"/>
        <v>0.90983041575492341</v>
      </c>
      <c r="P2260" s="76">
        <f t="shared" si="847"/>
        <v>0.41666666666666669</v>
      </c>
      <c r="Q2260" s="76">
        <f t="shared" si="848"/>
        <v>0.58333333333333326</v>
      </c>
      <c r="R2260" s="76">
        <f t="shared" si="849"/>
        <v>0</v>
      </c>
      <c r="S2260" s="76">
        <f t="shared" si="850"/>
        <v>1.0087250261630671</v>
      </c>
      <c r="T2260" s="76">
        <f t="shared" si="851"/>
        <v>1.0087250261630671</v>
      </c>
      <c r="U2260" s="76">
        <f t="shared" si="852"/>
        <v>1.02</v>
      </c>
    </row>
    <row r="2261" spans="1:21" x14ac:dyDescent="0.25">
      <c r="A2261" s="71">
        <v>23</v>
      </c>
      <c r="B2261" s="72">
        <f t="shared" si="853"/>
        <v>46327</v>
      </c>
      <c r="C2261" s="73">
        <f t="shared" si="834"/>
        <v>46356</v>
      </c>
      <c r="D2261" s="67">
        <f t="shared" si="835"/>
        <v>30</v>
      </c>
      <c r="E2261" s="67">
        <f t="shared" si="836"/>
        <v>11</v>
      </c>
      <c r="F2261" s="74">
        <f t="shared" si="837"/>
        <v>46342</v>
      </c>
      <c r="G2261" s="67">
        <f t="shared" si="838"/>
        <v>24322</v>
      </c>
      <c r="H2261" s="75">
        <f t="shared" si="839"/>
        <v>1</v>
      </c>
      <c r="I2261" s="76">
        <f t="shared" si="840"/>
        <v>1.02</v>
      </c>
      <c r="J2261" s="76">
        <f t="shared" si="841"/>
        <v>1.02</v>
      </c>
      <c r="K2261" s="67">
        <f t="shared" si="842"/>
        <v>0</v>
      </c>
      <c r="L2261" s="67">
        <f t="shared" si="843"/>
        <v>0</v>
      </c>
      <c r="M2261" s="77">
        <f t="shared" si="844"/>
        <v>0</v>
      </c>
      <c r="N2261" s="76">
        <f t="shared" si="845"/>
        <v>1.02</v>
      </c>
      <c r="O2261" s="77">
        <f t="shared" si="846"/>
        <v>0.90949671772428886</v>
      </c>
      <c r="P2261" s="76">
        <f t="shared" si="847"/>
        <v>0.25</v>
      </c>
      <c r="Q2261" s="76">
        <f t="shared" si="848"/>
        <v>0.75</v>
      </c>
      <c r="R2261" s="76">
        <f t="shared" si="849"/>
        <v>0</v>
      </c>
      <c r="S2261" s="76">
        <f t="shared" si="850"/>
        <v>1.0083550566073638</v>
      </c>
      <c r="T2261" s="76">
        <f t="shared" si="851"/>
        <v>1.0083550566073638</v>
      </c>
      <c r="U2261" s="76">
        <f t="shared" si="852"/>
        <v>1.02</v>
      </c>
    </row>
    <row r="2262" spans="1:21" x14ac:dyDescent="0.25">
      <c r="A2262" s="71">
        <v>24</v>
      </c>
      <c r="B2262" s="72">
        <f t="shared" si="853"/>
        <v>46357</v>
      </c>
      <c r="C2262" s="73">
        <f t="shared" si="834"/>
        <v>46387</v>
      </c>
      <c r="D2262" s="67">
        <f t="shared" si="835"/>
        <v>31</v>
      </c>
      <c r="E2262" s="67">
        <f t="shared" si="836"/>
        <v>12</v>
      </c>
      <c r="F2262" s="74">
        <f t="shared" si="837"/>
        <v>46372.5</v>
      </c>
      <c r="G2262" s="67">
        <f t="shared" si="838"/>
        <v>24323</v>
      </c>
      <c r="H2262" s="75">
        <f t="shared" si="839"/>
        <v>1</v>
      </c>
      <c r="I2262" s="76">
        <f t="shared" si="840"/>
        <v>1.02</v>
      </c>
      <c r="J2262" s="76">
        <f t="shared" si="841"/>
        <v>1.02</v>
      </c>
      <c r="K2262" s="67">
        <f t="shared" si="842"/>
        <v>0</v>
      </c>
      <c r="L2262" s="67">
        <f t="shared" si="843"/>
        <v>0</v>
      </c>
      <c r="M2262" s="77">
        <f t="shared" si="844"/>
        <v>0</v>
      </c>
      <c r="N2262" s="76">
        <f t="shared" si="845"/>
        <v>1.02</v>
      </c>
      <c r="O2262" s="77">
        <f t="shared" si="846"/>
        <v>0.90916301969365432</v>
      </c>
      <c r="P2262" s="76">
        <f t="shared" si="847"/>
        <v>8.3333333333333329E-2</v>
      </c>
      <c r="Q2262" s="76">
        <f t="shared" si="848"/>
        <v>0.91666666666666663</v>
      </c>
      <c r="R2262" s="76">
        <f t="shared" si="849"/>
        <v>0</v>
      </c>
      <c r="S2262" s="76">
        <f t="shared" si="850"/>
        <v>1.0079850870516602</v>
      </c>
      <c r="T2262" s="76">
        <f t="shared" si="851"/>
        <v>1.0079850870516602</v>
      </c>
      <c r="U2262" s="76">
        <f t="shared" si="852"/>
        <v>1.02</v>
      </c>
    </row>
    <row r="2263" spans="1:21" x14ac:dyDescent="0.25">
      <c r="A2263" s="71">
        <v>25</v>
      </c>
      <c r="B2263" s="72">
        <f t="shared" si="853"/>
        <v>46388</v>
      </c>
      <c r="C2263" s="73">
        <f t="shared" si="834"/>
        <v>46418</v>
      </c>
      <c r="D2263" s="67">
        <f t="shared" si="835"/>
        <v>31</v>
      </c>
      <c r="E2263" s="67">
        <f t="shared" si="836"/>
        <v>1</v>
      </c>
      <c r="F2263" s="74">
        <f t="shared" si="837"/>
        <v>46403.5</v>
      </c>
      <c r="G2263" s="67">
        <f t="shared" si="838"/>
        <v>24324</v>
      </c>
      <c r="H2263" s="75">
        <f t="shared" si="839"/>
        <v>1</v>
      </c>
      <c r="I2263" s="76">
        <f t="shared" si="840"/>
        <v>1.02</v>
      </c>
      <c r="J2263" s="76">
        <f t="shared" si="841"/>
        <v>1.02</v>
      </c>
      <c r="K2263" s="67">
        <f t="shared" si="842"/>
        <v>0</v>
      </c>
      <c r="L2263" s="67">
        <f t="shared" si="843"/>
        <v>0</v>
      </c>
      <c r="M2263" s="77">
        <f t="shared" si="844"/>
        <v>0</v>
      </c>
      <c r="N2263" s="76">
        <f t="shared" si="845"/>
        <v>1.02</v>
      </c>
      <c r="O2263" s="77">
        <f t="shared" si="846"/>
        <v>0.90882385120350118</v>
      </c>
      <c r="P2263" s="76">
        <f t="shared" si="847"/>
        <v>0</v>
      </c>
      <c r="Q2263" s="76">
        <f t="shared" si="848"/>
        <v>1</v>
      </c>
      <c r="R2263" s="76">
        <f t="shared" si="849"/>
        <v>0</v>
      </c>
      <c r="S2263" s="76">
        <f t="shared" si="850"/>
        <v>1.0076090524212731</v>
      </c>
      <c r="T2263" s="76">
        <f t="shared" si="851"/>
        <v>0.99219270288269434</v>
      </c>
      <c r="U2263" s="76">
        <f t="shared" si="852"/>
        <v>1.02</v>
      </c>
    </row>
    <row r="2264" spans="1:21" x14ac:dyDescent="0.25">
      <c r="A2264" s="71">
        <v>26</v>
      </c>
      <c r="B2264" s="72">
        <f t="shared" si="853"/>
        <v>46419</v>
      </c>
      <c r="C2264" s="73">
        <f t="shared" si="834"/>
        <v>46446</v>
      </c>
      <c r="D2264" s="67">
        <f t="shared" si="835"/>
        <v>28</v>
      </c>
      <c r="E2264" s="67">
        <f t="shared" si="836"/>
        <v>2</v>
      </c>
      <c r="F2264" s="74">
        <f t="shared" si="837"/>
        <v>46433</v>
      </c>
      <c r="G2264" s="67">
        <f t="shared" si="838"/>
        <v>24325</v>
      </c>
      <c r="H2264" s="75">
        <f t="shared" si="839"/>
        <v>1</v>
      </c>
      <c r="I2264" s="76">
        <f t="shared" si="840"/>
        <v>1.02</v>
      </c>
      <c r="J2264" s="76">
        <f t="shared" si="841"/>
        <v>1.02</v>
      </c>
      <c r="K2264" s="67">
        <f t="shared" si="842"/>
        <v>0</v>
      </c>
      <c r="L2264" s="67">
        <f t="shared" si="843"/>
        <v>0</v>
      </c>
      <c r="M2264" s="77">
        <f t="shared" si="844"/>
        <v>0</v>
      </c>
      <c r="N2264" s="76">
        <f t="shared" si="845"/>
        <v>1.02</v>
      </c>
      <c r="O2264" s="77">
        <f t="shared" si="846"/>
        <v>0.90850109409190372</v>
      </c>
      <c r="P2264" s="76">
        <f t="shared" si="847"/>
        <v>0</v>
      </c>
      <c r="Q2264" s="76">
        <f t="shared" si="848"/>
        <v>1</v>
      </c>
      <c r="R2264" s="76">
        <f t="shared" si="849"/>
        <v>0</v>
      </c>
      <c r="S2264" s="76">
        <f t="shared" si="850"/>
        <v>1.0072512130149367</v>
      </c>
      <c r="T2264" s="76">
        <f t="shared" si="851"/>
        <v>0.99184187993530581</v>
      </c>
      <c r="U2264" s="76">
        <f t="shared" si="852"/>
        <v>1.02</v>
      </c>
    </row>
    <row r="2265" spans="1:21" x14ac:dyDescent="0.25">
      <c r="A2265" s="71">
        <v>27</v>
      </c>
      <c r="B2265" s="72">
        <f t="shared" si="853"/>
        <v>46447</v>
      </c>
      <c r="C2265" s="73">
        <f t="shared" si="834"/>
        <v>46477</v>
      </c>
      <c r="D2265" s="67">
        <f t="shared" si="835"/>
        <v>31</v>
      </c>
      <c r="E2265" s="67">
        <f t="shared" si="836"/>
        <v>3</v>
      </c>
      <c r="F2265" s="74">
        <f t="shared" si="837"/>
        <v>46462.5</v>
      </c>
      <c r="G2265" s="67">
        <f t="shared" si="838"/>
        <v>24326</v>
      </c>
      <c r="H2265" s="75">
        <f t="shared" si="839"/>
        <v>1</v>
      </c>
      <c r="I2265" s="76">
        <f t="shared" si="840"/>
        <v>1.02</v>
      </c>
      <c r="J2265" s="76">
        <f t="shared" si="841"/>
        <v>1.02</v>
      </c>
      <c r="K2265" s="67">
        <f t="shared" si="842"/>
        <v>0</v>
      </c>
      <c r="L2265" s="67">
        <f t="shared" si="843"/>
        <v>0</v>
      </c>
      <c r="M2265" s="77">
        <f t="shared" si="844"/>
        <v>0</v>
      </c>
      <c r="N2265" s="76">
        <f t="shared" si="845"/>
        <v>1.02</v>
      </c>
      <c r="O2265" s="77">
        <f t="shared" si="846"/>
        <v>0.90817833698030637</v>
      </c>
      <c r="P2265" s="76">
        <f t="shared" si="847"/>
        <v>0</v>
      </c>
      <c r="Q2265" s="76">
        <f t="shared" si="848"/>
        <v>1</v>
      </c>
      <c r="R2265" s="76">
        <f t="shared" si="849"/>
        <v>0</v>
      </c>
      <c r="S2265" s="76">
        <f t="shared" si="850"/>
        <v>1.0068933736086005</v>
      </c>
      <c r="T2265" s="76">
        <f t="shared" si="851"/>
        <v>0.9914910569879174</v>
      </c>
      <c r="U2265" s="76">
        <f t="shared" si="852"/>
        <v>1.02</v>
      </c>
    </row>
    <row r="2266" spans="1:21" x14ac:dyDescent="0.25">
      <c r="A2266" s="71">
        <v>28</v>
      </c>
      <c r="B2266" s="72">
        <f t="shared" si="853"/>
        <v>46478</v>
      </c>
      <c r="C2266" s="73">
        <f t="shared" si="834"/>
        <v>46507</v>
      </c>
      <c r="D2266" s="67">
        <f t="shared" si="835"/>
        <v>30</v>
      </c>
      <c r="E2266" s="67">
        <f t="shared" si="836"/>
        <v>4</v>
      </c>
      <c r="F2266" s="74">
        <f t="shared" si="837"/>
        <v>46493</v>
      </c>
      <c r="G2266" s="67">
        <f t="shared" si="838"/>
        <v>24327</v>
      </c>
      <c r="H2266" s="75">
        <f t="shared" si="839"/>
        <v>1</v>
      </c>
      <c r="I2266" s="76">
        <f t="shared" si="840"/>
        <v>1.02</v>
      </c>
      <c r="J2266" s="76">
        <f t="shared" si="841"/>
        <v>1.02</v>
      </c>
      <c r="K2266" s="67">
        <f t="shared" si="842"/>
        <v>0</v>
      </c>
      <c r="L2266" s="67">
        <f t="shared" si="843"/>
        <v>0</v>
      </c>
      <c r="M2266" s="77">
        <f t="shared" si="844"/>
        <v>0</v>
      </c>
      <c r="N2266" s="76">
        <f t="shared" si="845"/>
        <v>1.02</v>
      </c>
      <c r="O2266" s="77">
        <f t="shared" si="846"/>
        <v>0.90784463894967182</v>
      </c>
      <c r="P2266" s="76">
        <f t="shared" si="847"/>
        <v>0</v>
      </c>
      <c r="Q2266" s="76">
        <f t="shared" si="848"/>
        <v>1</v>
      </c>
      <c r="R2266" s="76">
        <f t="shared" si="849"/>
        <v>0</v>
      </c>
      <c r="S2266" s="76">
        <f t="shared" si="850"/>
        <v>1.006523404052897</v>
      </c>
      <c r="T2266" s="76">
        <f t="shared" si="851"/>
        <v>0.99112834173722764</v>
      </c>
      <c r="U2266" s="76">
        <f t="shared" si="852"/>
        <v>1.02</v>
      </c>
    </row>
    <row r="2267" spans="1:21" x14ac:dyDescent="0.25">
      <c r="A2267" s="71">
        <v>29</v>
      </c>
      <c r="B2267" s="72">
        <f t="shared" si="853"/>
        <v>46508</v>
      </c>
      <c r="C2267" s="73">
        <f t="shared" si="834"/>
        <v>46538</v>
      </c>
      <c r="D2267" s="67">
        <f t="shared" si="835"/>
        <v>31</v>
      </c>
      <c r="E2267" s="67">
        <f t="shared" si="836"/>
        <v>5</v>
      </c>
      <c r="F2267" s="74">
        <f t="shared" si="837"/>
        <v>46523.5</v>
      </c>
      <c r="G2267" s="67">
        <f t="shared" si="838"/>
        <v>24328</v>
      </c>
      <c r="H2267" s="75">
        <f t="shared" si="839"/>
        <v>1</v>
      </c>
      <c r="I2267" s="76">
        <f t="shared" si="840"/>
        <v>1.02</v>
      </c>
      <c r="J2267" s="76">
        <f t="shared" si="841"/>
        <v>1.02</v>
      </c>
      <c r="K2267" s="67">
        <f t="shared" si="842"/>
        <v>0</v>
      </c>
      <c r="L2267" s="67">
        <f t="shared" si="843"/>
        <v>0</v>
      </c>
      <c r="M2267" s="77">
        <f t="shared" si="844"/>
        <v>0</v>
      </c>
      <c r="N2267" s="76">
        <f t="shared" si="845"/>
        <v>1.02</v>
      </c>
      <c r="O2267" s="77">
        <f t="shared" si="846"/>
        <v>0.90751094091903728</v>
      </c>
      <c r="P2267" s="76">
        <f t="shared" si="847"/>
        <v>0</v>
      </c>
      <c r="Q2267" s="76">
        <f t="shared" si="848"/>
        <v>1</v>
      </c>
      <c r="R2267" s="76">
        <f t="shared" si="849"/>
        <v>0</v>
      </c>
      <c r="S2267" s="76">
        <f t="shared" si="850"/>
        <v>1.0061534344971934</v>
      </c>
      <c r="T2267" s="76">
        <f t="shared" si="851"/>
        <v>1.0105809390162688</v>
      </c>
      <c r="U2267" s="76">
        <f t="shared" si="852"/>
        <v>1.02</v>
      </c>
    </row>
    <row r="2268" spans="1:21" x14ac:dyDescent="0.25">
      <c r="A2268" s="71">
        <v>30</v>
      </c>
      <c r="B2268" s="72">
        <f t="shared" si="853"/>
        <v>46539</v>
      </c>
      <c r="C2268" s="73">
        <f t="shared" si="834"/>
        <v>46568</v>
      </c>
      <c r="D2268" s="67">
        <f t="shared" si="835"/>
        <v>30</v>
      </c>
      <c r="E2268" s="67">
        <f t="shared" si="836"/>
        <v>6</v>
      </c>
      <c r="F2268" s="74">
        <f t="shared" si="837"/>
        <v>46554</v>
      </c>
      <c r="G2268" s="67">
        <f t="shared" si="838"/>
        <v>24329</v>
      </c>
      <c r="H2268" s="75">
        <f t="shared" si="839"/>
        <v>1</v>
      </c>
      <c r="I2268" s="76">
        <f t="shared" si="840"/>
        <v>1.02</v>
      </c>
      <c r="J2268" s="76">
        <f t="shared" si="841"/>
        <v>1.02</v>
      </c>
      <c r="K2268" s="67">
        <f t="shared" si="842"/>
        <v>0</v>
      </c>
      <c r="L2268" s="67">
        <f t="shared" si="843"/>
        <v>0</v>
      </c>
      <c r="M2268" s="77">
        <f t="shared" si="844"/>
        <v>0</v>
      </c>
      <c r="N2268" s="76">
        <f t="shared" si="845"/>
        <v>1.02</v>
      </c>
      <c r="O2268" s="77">
        <f t="shared" si="846"/>
        <v>0.90717724288840262</v>
      </c>
      <c r="P2268" s="76">
        <f t="shared" si="847"/>
        <v>0</v>
      </c>
      <c r="Q2268" s="76">
        <f t="shared" si="848"/>
        <v>1</v>
      </c>
      <c r="R2268" s="76">
        <f t="shared" si="849"/>
        <v>0</v>
      </c>
      <c r="S2268" s="76">
        <f t="shared" si="850"/>
        <v>1.0057834649414898</v>
      </c>
      <c r="T2268" s="76">
        <f t="shared" si="851"/>
        <v>1.010210969460565</v>
      </c>
      <c r="U2268" s="76">
        <f t="shared" si="852"/>
        <v>1.02</v>
      </c>
    </row>
    <row r="2269" spans="1:21" x14ac:dyDescent="0.25">
      <c r="A2269" s="71">
        <v>31</v>
      </c>
      <c r="B2269" s="72">
        <f t="shared" si="853"/>
        <v>46569</v>
      </c>
      <c r="C2269" s="73">
        <f t="shared" si="834"/>
        <v>46599</v>
      </c>
      <c r="D2269" s="67">
        <f t="shared" si="835"/>
        <v>31</v>
      </c>
      <c r="E2269" s="67">
        <f t="shared" si="836"/>
        <v>7</v>
      </c>
      <c r="F2269" s="74">
        <f t="shared" si="837"/>
        <v>46584.5</v>
      </c>
      <c r="G2269" s="67">
        <f t="shared" si="838"/>
        <v>24330</v>
      </c>
      <c r="H2269" s="75">
        <f t="shared" si="839"/>
        <v>1</v>
      </c>
      <c r="I2269" s="76">
        <f t="shared" si="840"/>
        <v>1.02</v>
      </c>
      <c r="J2269" s="76">
        <f t="shared" si="841"/>
        <v>1.02</v>
      </c>
      <c r="K2269" s="67">
        <f t="shared" si="842"/>
        <v>0</v>
      </c>
      <c r="L2269" s="67">
        <f t="shared" si="843"/>
        <v>0</v>
      </c>
      <c r="M2269" s="77">
        <f t="shared" si="844"/>
        <v>0</v>
      </c>
      <c r="N2269" s="76">
        <f t="shared" si="845"/>
        <v>1.02</v>
      </c>
      <c r="O2269" s="77">
        <f t="shared" si="846"/>
        <v>0.90684354485776808</v>
      </c>
      <c r="P2269" s="76">
        <f t="shared" si="847"/>
        <v>0</v>
      </c>
      <c r="Q2269" s="76">
        <f t="shared" si="848"/>
        <v>0.91666666666666663</v>
      </c>
      <c r="R2269" s="76">
        <f t="shared" si="849"/>
        <v>8.333333333333337E-2</v>
      </c>
      <c r="S2269" s="76">
        <f t="shared" si="850"/>
        <v>1.0054134953857863</v>
      </c>
      <c r="T2269" s="76">
        <f t="shared" si="851"/>
        <v>1.0098409999048616</v>
      </c>
      <c r="U2269" s="76">
        <f t="shared" si="852"/>
        <v>1.02</v>
      </c>
    </row>
    <row r="2270" spans="1:21" x14ac:dyDescent="0.25">
      <c r="A2270" s="71">
        <v>32</v>
      </c>
      <c r="B2270" s="72">
        <f t="shared" si="853"/>
        <v>46600</v>
      </c>
      <c r="C2270" s="73">
        <f t="shared" si="834"/>
        <v>46630</v>
      </c>
      <c r="D2270" s="67">
        <f t="shared" si="835"/>
        <v>31</v>
      </c>
      <c r="E2270" s="67">
        <f t="shared" si="836"/>
        <v>8</v>
      </c>
      <c r="F2270" s="74">
        <f t="shared" si="837"/>
        <v>46615.5</v>
      </c>
      <c r="G2270" s="67">
        <f t="shared" si="838"/>
        <v>24331</v>
      </c>
      <c r="H2270" s="75">
        <f t="shared" si="839"/>
        <v>1</v>
      </c>
      <c r="I2270" s="76">
        <f t="shared" si="840"/>
        <v>1.02</v>
      </c>
      <c r="J2270" s="76">
        <f t="shared" si="841"/>
        <v>1.02</v>
      </c>
      <c r="K2270" s="67">
        <f t="shared" si="842"/>
        <v>0</v>
      </c>
      <c r="L2270" s="67">
        <f t="shared" si="843"/>
        <v>0</v>
      </c>
      <c r="M2270" s="77">
        <f t="shared" si="844"/>
        <v>0</v>
      </c>
      <c r="N2270" s="76">
        <f t="shared" si="845"/>
        <v>1.02</v>
      </c>
      <c r="O2270" s="77">
        <f t="shared" si="846"/>
        <v>0.90650437636761494</v>
      </c>
      <c r="P2270" s="76">
        <f t="shared" si="847"/>
        <v>0</v>
      </c>
      <c r="Q2270" s="76">
        <f t="shared" si="848"/>
        <v>0.75</v>
      </c>
      <c r="R2270" s="76">
        <f t="shared" si="849"/>
        <v>0.25</v>
      </c>
      <c r="S2270" s="76">
        <f t="shared" si="850"/>
        <v>1.0050374607553991</v>
      </c>
      <c r="T2270" s="76">
        <f t="shared" si="851"/>
        <v>1.0094649652744743</v>
      </c>
      <c r="U2270" s="76">
        <f t="shared" si="852"/>
        <v>1.02</v>
      </c>
    </row>
    <row r="2271" spans="1:21" x14ac:dyDescent="0.25">
      <c r="A2271" s="71">
        <v>33</v>
      </c>
      <c r="B2271" s="72">
        <f t="shared" si="853"/>
        <v>46631</v>
      </c>
      <c r="C2271" s="73">
        <f t="shared" si="834"/>
        <v>46660</v>
      </c>
      <c r="D2271" s="67">
        <f t="shared" si="835"/>
        <v>30</v>
      </c>
      <c r="E2271" s="67">
        <f t="shared" si="836"/>
        <v>9</v>
      </c>
      <c r="F2271" s="74">
        <f t="shared" si="837"/>
        <v>46646</v>
      </c>
      <c r="G2271" s="67">
        <f t="shared" si="838"/>
        <v>24332</v>
      </c>
      <c r="H2271" s="75">
        <f t="shared" si="839"/>
        <v>1</v>
      </c>
      <c r="I2271" s="76">
        <f t="shared" si="840"/>
        <v>1.02</v>
      </c>
      <c r="J2271" s="76">
        <f t="shared" si="841"/>
        <v>1.02</v>
      </c>
      <c r="K2271" s="67">
        <f t="shared" si="842"/>
        <v>0</v>
      </c>
      <c r="L2271" s="67">
        <f t="shared" si="843"/>
        <v>0</v>
      </c>
      <c r="M2271" s="77">
        <f t="shared" si="844"/>
        <v>0</v>
      </c>
      <c r="N2271" s="76">
        <f t="shared" si="845"/>
        <v>1.02</v>
      </c>
      <c r="O2271" s="77">
        <f t="shared" si="846"/>
        <v>0.90617067833698028</v>
      </c>
      <c r="P2271" s="76">
        <f t="shared" si="847"/>
        <v>0</v>
      </c>
      <c r="Q2271" s="76">
        <f t="shared" si="848"/>
        <v>0.58333333333333337</v>
      </c>
      <c r="R2271" s="76">
        <f t="shared" si="849"/>
        <v>0.41666666666666663</v>
      </c>
      <c r="S2271" s="76">
        <f t="shared" si="850"/>
        <v>1.0046674911996956</v>
      </c>
      <c r="T2271" s="76">
        <f t="shared" si="851"/>
        <v>1.0090949957187709</v>
      </c>
      <c r="U2271" s="76">
        <f t="shared" si="852"/>
        <v>1.02</v>
      </c>
    </row>
    <row r="2272" spans="1:21" x14ac:dyDescent="0.25">
      <c r="A2272" s="71">
        <v>34</v>
      </c>
      <c r="B2272" s="72">
        <f t="shared" si="853"/>
        <v>46661</v>
      </c>
      <c r="C2272" s="73">
        <f t="shared" si="834"/>
        <v>46691</v>
      </c>
      <c r="D2272" s="67">
        <f t="shared" si="835"/>
        <v>31</v>
      </c>
      <c r="E2272" s="67">
        <f t="shared" si="836"/>
        <v>10</v>
      </c>
      <c r="F2272" s="74">
        <f t="shared" si="837"/>
        <v>46676.5</v>
      </c>
      <c r="G2272" s="67">
        <f t="shared" si="838"/>
        <v>24333</v>
      </c>
      <c r="H2272" s="75">
        <f t="shared" si="839"/>
        <v>1</v>
      </c>
      <c r="I2272" s="76">
        <f t="shared" si="840"/>
        <v>1.02</v>
      </c>
      <c r="J2272" s="76">
        <f t="shared" si="841"/>
        <v>1.02</v>
      </c>
      <c r="K2272" s="67">
        <f t="shared" si="842"/>
        <v>0</v>
      </c>
      <c r="L2272" s="67">
        <f t="shared" si="843"/>
        <v>0</v>
      </c>
      <c r="M2272" s="77">
        <f t="shared" si="844"/>
        <v>0</v>
      </c>
      <c r="N2272" s="76">
        <f t="shared" si="845"/>
        <v>1.02</v>
      </c>
      <c r="O2272" s="77">
        <f t="shared" si="846"/>
        <v>0.90583698030634574</v>
      </c>
      <c r="P2272" s="76">
        <f t="shared" si="847"/>
        <v>0</v>
      </c>
      <c r="Q2272" s="76">
        <f t="shared" si="848"/>
        <v>0.41666666666666669</v>
      </c>
      <c r="R2272" s="76">
        <f t="shared" si="849"/>
        <v>0.58333333333333326</v>
      </c>
      <c r="S2272" s="76">
        <f t="shared" si="850"/>
        <v>1.004297521643992</v>
      </c>
      <c r="T2272" s="76">
        <f t="shared" si="851"/>
        <v>1.0087250261630671</v>
      </c>
      <c r="U2272" s="76">
        <f t="shared" si="852"/>
        <v>1.02</v>
      </c>
    </row>
    <row r="2273" spans="1:21" x14ac:dyDescent="0.25">
      <c r="A2273" s="71">
        <v>35</v>
      </c>
      <c r="B2273" s="72">
        <f t="shared" si="853"/>
        <v>46692</v>
      </c>
      <c r="C2273" s="73">
        <f t="shared" si="834"/>
        <v>46721</v>
      </c>
      <c r="D2273" s="67">
        <f t="shared" si="835"/>
        <v>30</v>
      </c>
      <c r="E2273" s="67">
        <f t="shared" si="836"/>
        <v>11</v>
      </c>
      <c r="F2273" s="74">
        <f t="shared" si="837"/>
        <v>46707</v>
      </c>
      <c r="G2273" s="67">
        <f t="shared" si="838"/>
        <v>24334</v>
      </c>
      <c r="H2273" s="75">
        <f t="shared" si="839"/>
        <v>1</v>
      </c>
      <c r="I2273" s="76">
        <f t="shared" si="840"/>
        <v>1.02</v>
      </c>
      <c r="J2273" s="76">
        <f t="shared" si="841"/>
        <v>1.02</v>
      </c>
      <c r="K2273" s="67">
        <f t="shared" si="842"/>
        <v>0</v>
      </c>
      <c r="L2273" s="67">
        <f t="shared" si="843"/>
        <v>0</v>
      </c>
      <c r="M2273" s="77">
        <f t="shared" si="844"/>
        <v>0</v>
      </c>
      <c r="N2273" s="76">
        <f t="shared" si="845"/>
        <v>1.02</v>
      </c>
      <c r="O2273" s="77">
        <f t="shared" si="846"/>
        <v>0.9055032822757112</v>
      </c>
      <c r="P2273" s="76">
        <f t="shared" si="847"/>
        <v>0</v>
      </c>
      <c r="Q2273" s="76">
        <f t="shared" si="848"/>
        <v>0.25</v>
      </c>
      <c r="R2273" s="76">
        <f t="shared" si="849"/>
        <v>0.75</v>
      </c>
      <c r="S2273" s="76">
        <f t="shared" si="850"/>
        <v>1.0039275520882884</v>
      </c>
      <c r="T2273" s="76">
        <f t="shared" si="851"/>
        <v>1.0083550566073638</v>
      </c>
      <c r="U2273" s="76">
        <f t="shared" si="852"/>
        <v>1.02</v>
      </c>
    </row>
    <row r="2274" spans="1:21" x14ac:dyDescent="0.25">
      <c r="A2274" s="71">
        <v>36</v>
      </c>
      <c r="B2274" s="72">
        <f t="shared" si="853"/>
        <v>46722</v>
      </c>
      <c r="C2274" s="73">
        <f t="shared" si="834"/>
        <v>46752</v>
      </c>
      <c r="D2274" s="67">
        <f t="shared" si="835"/>
        <v>31</v>
      </c>
      <c r="E2274" s="67">
        <f t="shared" si="836"/>
        <v>12</v>
      </c>
      <c r="F2274" s="74">
        <f t="shared" si="837"/>
        <v>46737.5</v>
      </c>
      <c r="G2274" s="67">
        <f t="shared" si="838"/>
        <v>24335</v>
      </c>
      <c r="H2274" s="75">
        <f t="shared" si="839"/>
        <v>1</v>
      </c>
      <c r="I2274" s="76">
        <f t="shared" si="840"/>
        <v>1.02</v>
      </c>
      <c r="J2274" s="76">
        <f t="shared" si="841"/>
        <v>1.02</v>
      </c>
      <c r="K2274" s="67">
        <f t="shared" si="842"/>
        <v>0</v>
      </c>
      <c r="L2274" s="67">
        <f t="shared" si="843"/>
        <v>0</v>
      </c>
      <c r="M2274" s="77">
        <f t="shared" si="844"/>
        <v>0</v>
      </c>
      <c r="N2274" s="76">
        <f t="shared" si="845"/>
        <v>1.02</v>
      </c>
      <c r="O2274" s="77">
        <f t="shared" si="846"/>
        <v>0.90516958424507665</v>
      </c>
      <c r="P2274" s="76">
        <f t="shared" si="847"/>
        <v>0</v>
      </c>
      <c r="Q2274" s="76">
        <f t="shared" si="848"/>
        <v>8.3333333333333329E-2</v>
      </c>
      <c r="R2274" s="76">
        <f t="shared" si="849"/>
        <v>0.91666666666666663</v>
      </c>
      <c r="S2274" s="76">
        <f t="shared" si="850"/>
        <v>1.0035575825325849</v>
      </c>
      <c r="T2274" s="76">
        <f t="shared" si="851"/>
        <v>1.0079850870516602</v>
      </c>
      <c r="U2274" s="76">
        <f t="shared" si="852"/>
        <v>1.02</v>
      </c>
    </row>
    <row r="2275" spans="1:21" x14ac:dyDescent="0.25">
      <c r="A2275" s="71">
        <v>37</v>
      </c>
      <c r="B2275" s="72">
        <f t="shared" si="853"/>
        <v>46753</v>
      </c>
      <c r="C2275" s="73">
        <f t="shared" si="834"/>
        <v>46783</v>
      </c>
      <c r="D2275" s="67">
        <f t="shared" si="835"/>
        <v>31</v>
      </c>
      <c r="E2275" s="67">
        <f t="shared" si="836"/>
        <v>1</v>
      </c>
      <c r="F2275" s="74">
        <f t="shared" si="837"/>
        <v>46768.5</v>
      </c>
      <c r="G2275" s="67">
        <f t="shared" si="838"/>
        <v>24336</v>
      </c>
      <c r="H2275" s="75">
        <f t="shared" si="839"/>
        <v>1</v>
      </c>
      <c r="I2275" s="76">
        <f t="shared" si="840"/>
        <v>1.02</v>
      </c>
      <c r="J2275" s="76">
        <f t="shared" si="841"/>
        <v>1.02</v>
      </c>
      <c r="K2275" s="67">
        <f t="shared" si="842"/>
        <v>0</v>
      </c>
      <c r="L2275" s="67">
        <f t="shared" si="843"/>
        <v>0</v>
      </c>
      <c r="M2275" s="77">
        <f t="shared" si="844"/>
        <v>0</v>
      </c>
      <c r="N2275" s="76">
        <f t="shared" si="845"/>
        <v>1.02</v>
      </c>
      <c r="O2275" s="77">
        <f t="shared" si="846"/>
        <v>0.90500000000000003</v>
      </c>
      <c r="P2275" s="76">
        <f t="shared" si="847"/>
        <v>0</v>
      </c>
      <c r="Q2275" s="76">
        <f t="shared" si="848"/>
        <v>0</v>
      </c>
      <c r="R2275" s="76">
        <f t="shared" si="849"/>
        <v>1</v>
      </c>
      <c r="S2275" s="76">
        <f t="shared" si="850"/>
        <v>1.0033695652173913</v>
      </c>
      <c r="T2275" s="76">
        <f t="shared" si="851"/>
        <v>0.99219270288269434</v>
      </c>
      <c r="U2275" s="76">
        <f t="shared" si="852"/>
        <v>1.02</v>
      </c>
    </row>
    <row r="2276" spans="1:21" x14ac:dyDescent="0.25">
      <c r="A2276" s="71">
        <v>38</v>
      </c>
      <c r="B2276" s="72">
        <f t="shared" si="853"/>
        <v>46784</v>
      </c>
      <c r="C2276" s="73">
        <f t="shared" si="834"/>
        <v>46812</v>
      </c>
      <c r="D2276" s="67">
        <f t="shared" si="835"/>
        <v>29</v>
      </c>
      <c r="E2276" s="67">
        <f t="shared" si="836"/>
        <v>2</v>
      </c>
      <c r="F2276" s="74">
        <f t="shared" si="837"/>
        <v>46798.5</v>
      </c>
      <c r="G2276" s="67">
        <f t="shared" si="838"/>
        <v>24337</v>
      </c>
      <c r="H2276" s="75">
        <f t="shared" si="839"/>
        <v>1</v>
      </c>
      <c r="I2276" s="76">
        <f t="shared" si="840"/>
        <v>1.02</v>
      </c>
      <c r="J2276" s="76">
        <f t="shared" si="841"/>
        <v>1.02</v>
      </c>
      <c r="K2276" s="67">
        <f t="shared" si="842"/>
        <v>0</v>
      </c>
      <c r="L2276" s="67">
        <f t="shared" si="843"/>
        <v>0</v>
      </c>
      <c r="M2276" s="77">
        <f t="shared" si="844"/>
        <v>0</v>
      </c>
      <c r="N2276" s="76">
        <f t="shared" si="845"/>
        <v>1.02</v>
      </c>
      <c r="O2276" s="77">
        <f t="shared" si="846"/>
        <v>0.90500000000000003</v>
      </c>
      <c r="P2276" s="76">
        <f t="shared" si="847"/>
        <v>0</v>
      </c>
      <c r="Q2276" s="76">
        <f t="shared" si="848"/>
        <v>0</v>
      </c>
      <c r="R2276" s="76">
        <f t="shared" si="849"/>
        <v>1</v>
      </c>
      <c r="S2276" s="76">
        <f t="shared" si="850"/>
        <v>1.0033695652173913</v>
      </c>
      <c r="T2276" s="76">
        <f t="shared" si="851"/>
        <v>0.99184187993530581</v>
      </c>
      <c r="U2276" s="76">
        <f t="shared" si="852"/>
        <v>1.02</v>
      </c>
    </row>
    <row r="2277" spans="1:21" x14ac:dyDescent="0.25">
      <c r="A2277" s="71">
        <v>39</v>
      </c>
      <c r="B2277" s="72">
        <f t="shared" si="853"/>
        <v>46813</v>
      </c>
      <c r="C2277" s="73">
        <f t="shared" si="834"/>
        <v>46843</v>
      </c>
      <c r="D2277" s="67">
        <f t="shared" si="835"/>
        <v>31</v>
      </c>
      <c r="E2277" s="67">
        <f t="shared" si="836"/>
        <v>3</v>
      </c>
      <c r="F2277" s="74">
        <f t="shared" si="837"/>
        <v>46828.5</v>
      </c>
      <c r="G2277" s="67">
        <f t="shared" si="838"/>
        <v>24338</v>
      </c>
      <c r="H2277" s="75">
        <f t="shared" si="839"/>
        <v>1</v>
      </c>
      <c r="I2277" s="76">
        <f t="shared" si="840"/>
        <v>1.02</v>
      </c>
      <c r="J2277" s="76">
        <f t="shared" si="841"/>
        <v>1.02</v>
      </c>
      <c r="K2277" s="67">
        <f t="shared" si="842"/>
        <v>0</v>
      </c>
      <c r="L2277" s="67">
        <f t="shared" si="843"/>
        <v>0</v>
      </c>
      <c r="M2277" s="77">
        <f t="shared" si="844"/>
        <v>0</v>
      </c>
      <c r="N2277" s="76">
        <f t="shared" si="845"/>
        <v>1.02</v>
      </c>
      <c r="O2277" s="77">
        <f t="shared" si="846"/>
        <v>0.90500000000000003</v>
      </c>
      <c r="P2277" s="76">
        <f t="shared" si="847"/>
        <v>0</v>
      </c>
      <c r="Q2277" s="76">
        <f t="shared" si="848"/>
        <v>0</v>
      </c>
      <c r="R2277" s="76">
        <f t="shared" si="849"/>
        <v>1</v>
      </c>
      <c r="S2277" s="76">
        <f t="shared" si="850"/>
        <v>1.0033695652173913</v>
      </c>
      <c r="T2277" s="76">
        <f t="shared" si="851"/>
        <v>0.9914910569879174</v>
      </c>
      <c r="U2277" s="76">
        <f t="shared" si="852"/>
        <v>1.02</v>
      </c>
    </row>
    <row r="2278" spans="1:21" x14ac:dyDescent="0.25">
      <c r="A2278" s="71">
        <v>40</v>
      </c>
      <c r="B2278" s="72">
        <f t="shared" si="853"/>
        <v>46844</v>
      </c>
      <c r="C2278" s="73">
        <f t="shared" si="834"/>
        <v>46873</v>
      </c>
      <c r="D2278" s="67">
        <f t="shared" si="835"/>
        <v>30</v>
      </c>
      <c r="E2278" s="67">
        <f t="shared" si="836"/>
        <v>4</v>
      </c>
      <c r="F2278" s="74">
        <f t="shared" si="837"/>
        <v>46859</v>
      </c>
      <c r="G2278" s="67">
        <f t="shared" si="838"/>
        <v>24339</v>
      </c>
      <c r="H2278" s="75">
        <f t="shared" si="839"/>
        <v>1</v>
      </c>
      <c r="I2278" s="76">
        <f t="shared" si="840"/>
        <v>1.02</v>
      </c>
      <c r="J2278" s="76">
        <f t="shared" si="841"/>
        <v>1.02</v>
      </c>
      <c r="K2278" s="67">
        <f t="shared" si="842"/>
        <v>0</v>
      </c>
      <c r="L2278" s="67">
        <f t="shared" si="843"/>
        <v>0</v>
      </c>
      <c r="M2278" s="77">
        <f t="shared" si="844"/>
        <v>0</v>
      </c>
      <c r="N2278" s="76">
        <f t="shared" si="845"/>
        <v>1.02</v>
      </c>
      <c r="O2278" s="77">
        <f t="shared" si="846"/>
        <v>0.90500000000000003</v>
      </c>
      <c r="P2278" s="76">
        <f t="shared" si="847"/>
        <v>0</v>
      </c>
      <c r="Q2278" s="76">
        <f t="shared" si="848"/>
        <v>0</v>
      </c>
      <c r="R2278" s="76">
        <f t="shared" si="849"/>
        <v>1</v>
      </c>
      <c r="S2278" s="76">
        <f t="shared" si="850"/>
        <v>1.0033695652173913</v>
      </c>
      <c r="T2278" s="76">
        <f t="shared" si="851"/>
        <v>0.99112834173722764</v>
      </c>
      <c r="U2278" s="76">
        <f t="shared" si="852"/>
        <v>1.02</v>
      </c>
    </row>
    <row r="2279" spans="1:21" x14ac:dyDescent="0.25">
      <c r="A2279" s="71">
        <v>41</v>
      </c>
      <c r="B2279" s="72">
        <f t="shared" si="853"/>
        <v>46874</v>
      </c>
      <c r="C2279" s="73">
        <f t="shared" si="834"/>
        <v>46904</v>
      </c>
      <c r="D2279" s="67">
        <f t="shared" si="835"/>
        <v>31</v>
      </c>
      <c r="E2279" s="67">
        <f t="shared" si="836"/>
        <v>5</v>
      </c>
      <c r="F2279" s="74">
        <f t="shared" si="837"/>
        <v>46889.5</v>
      </c>
      <c r="G2279" s="67">
        <f t="shared" si="838"/>
        <v>24340</v>
      </c>
      <c r="H2279" s="75">
        <f t="shared" si="839"/>
        <v>1</v>
      </c>
      <c r="I2279" s="76">
        <f t="shared" si="840"/>
        <v>1.02</v>
      </c>
      <c r="J2279" s="76">
        <f t="shared" si="841"/>
        <v>1.02</v>
      </c>
      <c r="K2279" s="67">
        <f t="shared" si="842"/>
        <v>0</v>
      </c>
      <c r="L2279" s="67">
        <f t="shared" si="843"/>
        <v>0</v>
      </c>
      <c r="M2279" s="77">
        <f t="shared" si="844"/>
        <v>0</v>
      </c>
      <c r="N2279" s="76">
        <f t="shared" si="845"/>
        <v>1.02</v>
      </c>
      <c r="O2279" s="77">
        <f t="shared" si="846"/>
        <v>0.90500000000000003</v>
      </c>
      <c r="P2279" s="76">
        <f t="shared" si="847"/>
        <v>0</v>
      </c>
      <c r="Q2279" s="76">
        <f t="shared" si="848"/>
        <v>0</v>
      </c>
      <c r="R2279" s="76">
        <f t="shared" si="849"/>
        <v>1</v>
      </c>
      <c r="S2279" s="76">
        <f t="shared" si="850"/>
        <v>1.0033695652173913</v>
      </c>
      <c r="T2279" s="76">
        <f t="shared" si="851"/>
        <v>1.0105809390162688</v>
      </c>
      <c r="U2279" s="76">
        <f t="shared" si="852"/>
        <v>1.02</v>
      </c>
    </row>
    <row r="2280" spans="1:21" x14ac:dyDescent="0.25">
      <c r="A2280" s="71">
        <v>42</v>
      </c>
      <c r="B2280" s="72">
        <f t="shared" si="853"/>
        <v>46905</v>
      </c>
      <c r="C2280" s="73">
        <f t="shared" si="834"/>
        <v>46934</v>
      </c>
      <c r="D2280" s="67">
        <f t="shared" si="835"/>
        <v>30</v>
      </c>
      <c r="E2280" s="67">
        <f t="shared" si="836"/>
        <v>6</v>
      </c>
      <c r="F2280" s="74">
        <f t="shared" si="837"/>
        <v>46920</v>
      </c>
      <c r="G2280" s="67">
        <f t="shared" si="838"/>
        <v>24341</v>
      </c>
      <c r="H2280" s="75">
        <f t="shared" si="839"/>
        <v>1</v>
      </c>
      <c r="I2280" s="76">
        <f t="shared" si="840"/>
        <v>1.02</v>
      </c>
      <c r="J2280" s="76">
        <f t="shared" si="841"/>
        <v>1.02</v>
      </c>
      <c r="K2280" s="67">
        <f t="shared" si="842"/>
        <v>0</v>
      </c>
      <c r="L2280" s="67">
        <f t="shared" si="843"/>
        <v>0</v>
      </c>
      <c r="M2280" s="77">
        <f t="shared" si="844"/>
        <v>0</v>
      </c>
      <c r="N2280" s="76">
        <f t="shared" si="845"/>
        <v>1.02</v>
      </c>
      <c r="O2280" s="77">
        <f t="shared" si="846"/>
        <v>0.90500000000000003</v>
      </c>
      <c r="P2280" s="76">
        <f t="shared" si="847"/>
        <v>0</v>
      </c>
      <c r="Q2280" s="76">
        <f t="shared" si="848"/>
        <v>0</v>
      </c>
      <c r="R2280" s="76">
        <f t="shared" si="849"/>
        <v>1</v>
      </c>
      <c r="S2280" s="76">
        <f t="shared" si="850"/>
        <v>1.0033695652173913</v>
      </c>
      <c r="T2280" s="76">
        <f t="shared" si="851"/>
        <v>1.010210969460565</v>
      </c>
      <c r="U2280" s="76">
        <f t="shared" si="852"/>
        <v>1.02</v>
      </c>
    </row>
    <row r="2281" spans="1:21" x14ac:dyDescent="0.25">
      <c r="A2281" s="71">
        <v>43</v>
      </c>
      <c r="B2281" s="72">
        <f t="shared" si="853"/>
        <v>46935</v>
      </c>
      <c r="C2281" s="73">
        <f t="shared" si="834"/>
        <v>46965</v>
      </c>
      <c r="D2281" s="67">
        <f t="shared" si="835"/>
        <v>31</v>
      </c>
      <c r="E2281" s="67">
        <f t="shared" si="836"/>
        <v>7</v>
      </c>
      <c r="F2281" s="74">
        <f t="shared" si="837"/>
        <v>46950.5</v>
      </c>
      <c r="G2281" s="67">
        <f t="shared" si="838"/>
        <v>24342</v>
      </c>
      <c r="H2281" s="75">
        <f t="shared" si="839"/>
        <v>1</v>
      </c>
      <c r="I2281" s="76">
        <f t="shared" si="840"/>
        <v>1.02</v>
      </c>
      <c r="J2281" s="76">
        <f t="shared" si="841"/>
        <v>1.02</v>
      </c>
      <c r="K2281" s="67">
        <f t="shared" si="842"/>
        <v>0</v>
      </c>
      <c r="L2281" s="67">
        <f t="shared" si="843"/>
        <v>0</v>
      </c>
      <c r="M2281" s="77">
        <f t="shared" si="844"/>
        <v>0</v>
      </c>
      <c r="N2281" s="76">
        <f t="shared" si="845"/>
        <v>1.02</v>
      </c>
      <c r="O2281" s="77">
        <f t="shared" si="846"/>
        <v>0.90500000000000003</v>
      </c>
      <c r="P2281" s="76">
        <f t="shared" si="847"/>
        <v>0</v>
      </c>
      <c r="Q2281" s="76">
        <f t="shared" si="848"/>
        <v>0</v>
      </c>
      <c r="R2281" s="76">
        <f t="shared" si="849"/>
        <v>0.91666666666666663</v>
      </c>
      <c r="S2281" s="76">
        <f t="shared" si="850"/>
        <v>1.0033695652173913</v>
      </c>
      <c r="T2281" s="76">
        <f t="shared" si="851"/>
        <v>1.0098409999048616</v>
      </c>
      <c r="U2281" s="76">
        <f t="shared" si="852"/>
        <v>1.02</v>
      </c>
    </row>
    <row r="2282" spans="1:21" x14ac:dyDescent="0.25">
      <c r="A2282" s="71">
        <v>44</v>
      </c>
      <c r="B2282" s="72">
        <f t="shared" si="853"/>
        <v>46966</v>
      </c>
      <c r="C2282" s="73">
        <f t="shared" si="834"/>
        <v>46996</v>
      </c>
      <c r="D2282" s="67">
        <f t="shared" si="835"/>
        <v>31</v>
      </c>
      <c r="E2282" s="67">
        <f t="shared" si="836"/>
        <v>8</v>
      </c>
      <c r="F2282" s="74">
        <f t="shared" si="837"/>
        <v>46981.5</v>
      </c>
      <c r="G2282" s="67">
        <f t="shared" si="838"/>
        <v>24343</v>
      </c>
      <c r="H2282" s="75">
        <f t="shared" si="839"/>
        <v>1</v>
      </c>
      <c r="I2282" s="76">
        <f t="shared" si="840"/>
        <v>1.02</v>
      </c>
      <c r="J2282" s="76">
        <f t="shared" si="841"/>
        <v>1.02</v>
      </c>
      <c r="K2282" s="67">
        <f t="shared" si="842"/>
        <v>0</v>
      </c>
      <c r="L2282" s="67">
        <f t="shared" si="843"/>
        <v>0</v>
      </c>
      <c r="M2282" s="77">
        <f t="shared" si="844"/>
        <v>0</v>
      </c>
      <c r="N2282" s="76">
        <f t="shared" si="845"/>
        <v>1.02</v>
      </c>
      <c r="O2282" s="77">
        <f t="shared" si="846"/>
        <v>0.90500000000000003</v>
      </c>
      <c r="P2282" s="76">
        <f t="shared" si="847"/>
        <v>0</v>
      </c>
      <c r="Q2282" s="76">
        <f t="shared" si="848"/>
        <v>0</v>
      </c>
      <c r="R2282" s="76">
        <f t="shared" si="849"/>
        <v>0.75</v>
      </c>
      <c r="S2282" s="76">
        <f t="shared" si="850"/>
        <v>1.0033695652173913</v>
      </c>
      <c r="T2282" s="76">
        <f t="shared" si="851"/>
        <v>1.0094649652744743</v>
      </c>
      <c r="U2282" s="76">
        <f t="shared" si="852"/>
        <v>1.02</v>
      </c>
    </row>
    <row r="2283" spans="1:21" x14ac:dyDescent="0.25">
      <c r="A2283" s="71">
        <v>45</v>
      </c>
      <c r="B2283" s="72">
        <f t="shared" si="853"/>
        <v>46997</v>
      </c>
      <c r="C2283" s="73">
        <f t="shared" si="834"/>
        <v>47026</v>
      </c>
      <c r="D2283" s="67">
        <f t="shared" si="835"/>
        <v>30</v>
      </c>
      <c r="E2283" s="67">
        <f t="shared" si="836"/>
        <v>9</v>
      </c>
      <c r="F2283" s="74">
        <f t="shared" si="837"/>
        <v>47012</v>
      </c>
      <c r="G2283" s="67">
        <f t="shared" si="838"/>
        <v>24344</v>
      </c>
      <c r="H2283" s="75">
        <f t="shared" si="839"/>
        <v>1</v>
      </c>
      <c r="I2283" s="76">
        <f t="shared" si="840"/>
        <v>1.02</v>
      </c>
      <c r="J2283" s="76">
        <f t="shared" si="841"/>
        <v>1.02</v>
      </c>
      <c r="K2283" s="67">
        <f t="shared" si="842"/>
        <v>0</v>
      </c>
      <c r="L2283" s="67">
        <f t="shared" si="843"/>
        <v>0</v>
      </c>
      <c r="M2283" s="77">
        <f t="shared" si="844"/>
        <v>0</v>
      </c>
      <c r="N2283" s="76">
        <f t="shared" si="845"/>
        <v>1.02</v>
      </c>
      <c r="O2283" s="77">
        <f t="shared" si="846"/>
        <v>0.90500000000000003</v>
      </c>
      <c r="P2283" s="76">
        <f t="shared" si="847"/>
        <v>0</v>
      </c>
      <c r="Q2283" s="76">
        <f t="shared" si="848"/>
        <v>0</v>
      </c>
      <c r="R2283" s="76">
        <f t="shared" si="849"/>
        <v>0.58333333333333337</v>
      </c>
      <c r="S2283" s="76">
        <f t="shared" si="850"/>
        <v>1.0033695652173913</v>
      </c>
      <c r="T2283" s="76">
        <f t="shared" si="851"/>
        <v>1.0090949957187709</v>
      </c>
      <c r="U2283" s="76">
        <f t="shared" si="852"/>
        <v>1.02</v>
      </c>
    </row>
    <row r="2284" spans="1:21" x14ac:dyDescent="0.25">
      <c r="A2284" s="71">
        <v>46</v>
      </c>
      <c r="B2284" s="72">
        <f t="shared" si="853"/>
        <v>47027</v>
      </c>
      <c r="C2284" s="73">
        <f t="shared" si="834"/>
        <v>47057</v>
      </c>
      <c r="D2284" s="67">
        <f t="shared" si="835"/>
        <v>31</v>
      </c>
      <c r="E2284" s="67">
        <f t="shared" si="836"/>
        <v>10</v>
      </c>
      <c r="F2284" s="74">
        <f t="shared" si="837"/>
        <v>47042.5</v>
      </c>
      <c r="G2284" s="67">
        <f t="shared" si="838"/>
        <v>24345</v>
      </c>
      <c r="H2284" s="75">
        <f t="shared" si="839"/>
        <v>1</v>
      </c>
      <c r="I2284" s="76">
        <f t="shared" si="840"/>
        <v>1.02</v>
      </c>
      <c r="J2284" s="76">
        <f t="shared" si="841"/>
        <v>1.02</v>
      </c>
      <c r="K2284" s="67">
        <f t="shared" si="842"/>
        <v>0</v>
      </c>
      <c r="L2284" s="67">
        <f t="shared" si="843"/>
        <v>0</v>
      </c>
      <c r="M2284" s="77">
        <f t="shared" si="844"/>
        <v>0</v>
      </c>
      <c r="N2284" s="76">
        <f t="shared" si="845"/>
        <v>1.02</v>
      </c>
      <c r="O2284" s="77">
        <f t="shared" si="846"/>
        <v>0.90500000000000003</v>
      </c>
      <c r="P2284" s="76">
        <f t="shared" si="847"/>
        <v>0</v>
      </c>
      <c r="Q2284" s="76">
        <f t="shared" si="848"/>
        <v>0</v>
      </c>
      <c r="R2284" s="76">
        <f t="shared" si="849"/>
        <v>0.41666666666666669</v>
      </c>
      <c r="S2284" s="76">
        <f t="shared" si="850"/>
        <v>1.0033695652173913</v>
      </c>
      <c r="T2284" s="76">
        <f t="shared" si="851"/>
        <v>1.0087250261630671</v>
      </c>
      <c r="U2284" s="76">
        <f t="shared" si="852"/>
        <v>1.02</v>
      </c>
    </row>
    <row r="2285" spans="1:21" x14ac:dyDescent="0.25">
      <c r="A2285" s="71">
        <v>47</v>
      </c>
      <c r="B2285" s="72">
        <f t="shared" si="853"/>
        <v>47058</v>
      </c>
      <c r="C2285" s="73">
        <f t="shared" si="834"/>
        <v>47087</v>
      </c>
      <c r="D2285" s="67">
        <f t="shared" si="835"/>
        <v>30</v>
      </c>
      <c r="E2285" s="67">
        <f t="shared" si="836"/>
        <v>11</v>
      </c>
      <c r="F2285" s="74">
        <f t="shared" si="837"/>
        <v>47073</v>
      </c>
      <c r="G2285" s="67">
        <f t="shared" si="838"/>
        <v>24346</v>
      </c>
      <c r="H2285" s="75">
        <f t="shared" si="839"/>
        <v>1</v>
      </c>
      <c r="I2285" s="76">
        <f t="shared" si="840"/>
        <v>1.02</v>
      </c>
      <c r="J2285" s="76">
        <f t="shared" si="841"/>
        <v>1.02</v>
      </c>
      <c r="K2285" s="67">
        <f t="shared" si="842"/>
        <v>0</v>
      </c>
      <c r="L2285" s="67">
        <f t="shared" si="843"/>
        <v>0</v>
      </c>
      <c r="M2285" s="77">
        <f t="shared" si="844"/>
        <v>0</v>
      </c>
      <c r="N2285" s="76">
        <f t="shared" si="845"/>
        <v>1.02</v>
      </c>
      <c r="O2285" s="77">
        <f t="shared" si="846"/>
        <v>0.90500000000000003</v>
      </c>
      <c r="P2285" s="76">
        <f t="shared" si="847"/>
        <v>0</v>
      </c>
      <c r="Q2285" s="76">
        <f t="shared" si="848"/>
        <v>0</v>
      </c>
      <c r="R2285" s="76">
        <f t="shared" si="849"/>
        <v>0.25</v>
      </c>
      <c r="S2285" s="76">
        <f t="shared" si="850"/>
        <v>1.0033695652173913</v>
      </c>
      <c r="T2285" s="76">
        <f t="shared" si="851"/>
        <v>1.0083550566073638</v>
      </c>
      <c r="U2285" s="76">
        <f t="shared" si="852"/>
        <v>1.02</v>
      </c>
    </row>
    <row r="2286" spans="1:21" x14ac:dyDescent="0.25">
      <c r="A2286" s="71">
        <v>48</v>
      </c>
      <c r="B2286" s="72">
        <f t="shared" si="853"/>
        <v>47088</v>
      </c>
      <c r="C2286" s="73">
        <f t="shared" si="834"/>
        <v>47118</v>
      </c>
      <c r="D2286" s="67">
        <f t="shared" si="835"/>
        <v>31</v>
      </c>
      <c r="E2286" s="67">
        <f t="shared" si="836"/>
        <v>12</v>
      </c>
      <c r="F2286" s="74">
        <f t="shared" si="837"/>
        <v>47103.5</v>
      </c>
      <c r="G2286" s="67">
        <f t="shared" si="838"/>
        <v>24347</v>
      </c>
      <c r="H2286" s="75">
        <f t="shared" si="839"/>
        <v>1</v>
      </c>
      <c r="I2286" s="76">
        <f t="shared" si="840"/>
        <v>1.02</v>
      </c>
      <c r="J2286" s="76">
        <f t="shared" si="841"/>
        <v>1.02</v>
      </c>
      <c r="K2286" s="67">
        <f t="shared" si="842"/>
        <v>0</v>
      </c>
      <c r="L2286" s="67">
        <f t="shared" si="843"/>
        <v>0</v>
      </c>
      <c r="M2286" s="77">
        <f t="shared" si="844"/>
        <v>0</v>
      </c>
      <c r="N2286" s="76">
        <f t="shared" si="845"/>
        <v>1.02</v>
      </c>
      <c r="O2286" s="77">
        <f t="shared" si="846"/>
        <v>0.90500000000000003</v>
      </c>
      <c r="P2286" s="76">
        <f t="shared" si="847"/>
        <v>0</v>
      </c>
      <c r="Q2286" s="76">
        <f t="shared" si="848"/>
        <v>0</v>
      </c>
      <c r="R2286" s="76">
        <f t="shared" si="849"/>
        <v>8.3333333333333329E-2</v>
      </c>
      <c r="S2286" s="76">
        <f t="shared" si="850"/>
        <v>1.0033695652173913</v>
      </c>
      <c r="T2286" s="76">
        <f t="shared" si="851"/>
        <v>1.0079850870516602</v>
      </c>
      <c r="U2286" s="76">
        <f t="shared" si="852"/>
        <v>1.02</v>
      </c>
    </row>
    <row r="2287" spans="1:21" x14ac:dyDescent="0.25">
      <c r="A2287" s="81" t="s">
        <v>1187</v>
      </c>
      <c r="B2287" s="53">
        <f>EXP(SUMPRODUCT((rl_key=$A$2236)*(rl_cons="Y")*rl_ln1p))</f>
        <v>1.02</v>
      </c>
      <c r="C2287" s="53">
        <f>SUMPRODUCT($H$2239:$H$2286,$P$2239:$P$2286,$U$2239:$U$2286)/SUMPRODUCT($H$2239:$H$2286,$P$2239:$P$2286)</f>
        <v>1.0083333333333335</v>
      </c>
      <c r="D2287" s="53">
        <f>SUMPRODUCT($H$2239:$H$2286,$Q$2239:$Q$2286,$U$2239:$U$2286)/SUMPRODUCT($H$2239:$H$2286,$Q$2239:$Q$2286)</f>
        <v>1.0200000000000002</v>
      </c>
      <c r="E2287" s="53">
        <f>SUMPRODUCT($H$2239:$H$2286,$R$2239:$R$2286,$U$2239:$U$2286)/SUMPRODUCT($H$2239:$H$2286,$R$2239:$R$2286)</f>
        <v>1.0200000000000002</v>
      </c>
      <c r="F2287" s="172">
        <f>SUMPRODUCT($H$2239:$H$2286,$Q$2239:$Q$2286,$O$2239:$O$2286)/SUMPRODUCT($H$2239:$H$2286,$Q$2239:$Q$2286)</f>
        <v>0.9080037381473377</v>
      </c>
      <c r="G2287" s="172">
        <f>SUMPRODUCT($H$2239:$H$2286,$R$2239:$R$2286,$O$2239:$O$2286)/SUMPRODUCT($H$2239:$H$2286,$R$2239:$R$2286)</f>
        <v>0.90516988815949428</v>
      </c>
    </row>
    <row r="2290" spans="1:21" x14ac:dyDescent="0.25">
      <c r="A2290" s="81" t="str">
        <f>INDEX(lr_key,42)</f>
        <v>BU-B|TX</v>
      </c>
      <c r="B2290" s="81" t="str">
        <f>INDEX(lr_state,42)</f>
        <v>TX</v>
      </c>
      <c r="C2290" s="55">
        <f>nr_TermMonths</f>
        <v>6</v>
      </c>
      <c r="D2290" s="55">
        <f>IF(COUNTIF(se_state,$B2290)=0,0,MATCH($B2290,se_state,0))</f>
        <v>0</v>
      </c>
      <c r="E2290" s="57">
        <f>IF($D2290=0,0,INDEX(se_sum,$D2290))</f>
        <v>0</v>
      </c>
      <c r="F2290" s="172">
        <f>IF(N(INDEX(lr_mind,42))=0,1,INDEX(lr_mind,42))</f>
        <v>0.92</v>
      </c>
      <c r="G2290" s="172">
        <f>IF(N(INDEX(lr_m0,42))=0,1,INDEX(lr_m0,42))</f>
        <v>0.91</v>
      </c>
      <c r="H2290" s="54">
        <f>IF(N(INDEX(lr_m0asof,42))=0,DATE(nr_PlanYear-1,10,1),INDEX(lr_m0asof,42))</f>
        <v>46295</v>
      </c>
      <c r="I2290" s="172">
        <f>IF(N(INDEX(lr_m1,42))=0,1,INDEX(lr_m1,42))</f>
        <v>0.92</v>
      </c>
      <c r="J2290" s="172">
        <f>INDEX(lr_mprior,42)</f>
        <v>0</v>
      </c>
      <c r="K2290" s="172">
        <f>INDEX(lr_m2,42)</f>
        <v>0</v>
      </c>
      <c r="L2290" s="81" t="b">
        <f>NOT(ISBLANK(INDEX(lr_netp,42)))</f>
        <v>0</v>
      </c>
      <c r="M2290" s="52">
        <f>N(INDEX(lr_netp,42))</f>
        <v>0</v>
      </c>
      <c r="N2290" s="52">
        <f>IF(ISBLANK(INDEX(lr_netp1,42)),$M$2290,N(INDEX(lr_netp1,42)))</f>
        <v>0</v>
      </c>
      <c r="O2290" s="55">
        <f>IF(AND(nr_ModAdjMaster="ON",INDEX(lr_modadj,42)="ON"),1,0)</f>
        <v>1</v>
      </c>
    </row>
    <row r="2291" spans="1:21" x14ac:dyDescent="0.25">
      <c r="A2291" s="81">
        <f>EDATE($H$2290,-12)+1</f>
        <v>45931</v>
      </c>
      <c r="B2291" s="81">
        <f>$H$2290+1</f>
        <v>46296</v>
      </c>
      <c r="C2291" s="81">
        <f>DATE(nr_PlanYear,12,31)+1</f>
        <v>46753</v>
      </c>
      <c r="D2291" s="81">
        <f>DATE(nr_PlanYear+1,12,31)+1</f>
        <v>47119</v>
      </c>
      <c r="E2291" s="81">
        <f>IF(N($J$2290)=0,$F$2291-($G$2291-$F$2291)/($C$2291-$B$2291)*($B$2291-$A$2291),$J$2290)</f>
        <v>0.9020131291028447</v>
      </c>
      <c r="F2291" s="81">
        <f>$G$2290</f>
        <v>0.91</v>
      </c>
      <c r="G2291" s="81">
        <f>$I$2290</f>
        <v>0.92</v>
      </c>
      <c r="H2291" s="81">
        <f>IF(N($K$2290)=0,$I$2290,$K$2290)</f>
        <v>0.92</v>
      </c>
      <c r="I2291" s="81">
        <f>($F$2291-$E$2291)/($B$2291-$A$2291)</f>
        <v>2.1881838074398162E-5</v>
      </c>
      <c r="J2291" s="81">
        <f>($G$2291-$F$2291)/($C$2291-$B$2291)</f>
        <v>2.188183807439827E-5</v>
      </c>
      <c r="K2291" s="81">
        <f>($H$2291-$G$2291)/($D$2291-$C$2291)</f>
        <v>0</v>
      </c>
    </row>
    <row r="2292" spans="1:21" ht="36" x14ac:dyDescent="0.25">
      <c r="A2292" s="50" t="s">
        <v>211</v>
      </c>
      <c r="B2292" s="50" t="s">
        <v>212</v>
      </c>
      <c r="C2292" s="50" t="s">
        <v>213</v>
      </c>
      <c r="D2292" s="50" t="s">
        <v>214</v>
      </c>
      <c r="E2292" s="50" t="s">
        <v>215</v>
      </c>
      <c r="F2292" s="50" t="s">
        <v>216</v>
      </c>
      <c r="G2292" s="50" t="s">
        <v>217</v>
      </c>
      <c r="H2292" s="50" t="s">
        <v>218</v>
      </c>
      <c r="I2292" s="50" t="s">
        <v>219</v>
      </c>
      <c r="J2292" s="50" t="s">
        <v>220</v>
      </c>
      <c r="K2292" s="50" t="s">
        <v>221</v>
      </c>
      <c r="L2292" s="50" t="s">
        <v>222</v>
      </c>
      <c r="M2292" s="50" t="s">
        <v>223</v>
      </c>
      <c r="N2292" s="50" t="s">
        <v>224</v>
      </c>
      <c r="O2292" s="50" t="s">
        <v>225</v>
      </c>
      <c r="P2292" s="50" t="s">
        <v>226</v>
      </c>
      <c r="Q2292" s="50" t="s">
        <v>227</v>
      </c>
      <c r="R2292" s="50" t="s">
        <v>228</v>
      </c>
      <c r="S2292" s="50" t="s">
        <v>229</v>
      </c>
      <c r="T2292" s="50" t="s">
        <v>230</v>
      </c>
      <c r="U2292" s="50" t="s">
        <v>231</v>
      </c>
    </row>
    <row r="2293" spans="1:21" x14ac:dyDescent="0.25">
      <c r="A2293" s="71">
        <v>1</v>
      </c>
      <c r="B2293" s="72">
        <f>DATE(nr_PlanYear-2,1,1)</f>
        <v>45658</v>
      </c>
      <c r="C2293" s="73">
        <f t="shared" ref="C2293:C2340" si="854">EOMONTH($B2293,0)</f>
        <v>45688</v>
      </c>
      <c r="D2293" s="67">
        <f t="shared" ref="D2293:D2340" si="855">$C2293-$B2293+1</f>
        <v>31</v>
      </c>
      <c r="E2293" s="67">
        <f t="shared" ref="E2293:E2340" si="856">MONTH($B2293)</f>
        <v>1</v>
      </c>
      <c r="F2293" s="74">
        <f t="shared" ref="F2293:F2340" si="857">($B2293+$C2293+1)/2</f>
        <v>45673.5</v>
      </c>
      <c r="G2293" s="67">
        <f t="shared" ref="G2293:G2340" si="858">YEAR($B2293)*12+MONTH($B2293)-1</f>
        <v>24300</v>
      </c>
      <c r="H2293" s="75">
        <f t="shared" ref="H2293:H2340" si="859">IF(OR(nr_SeasonOn="OFF",$D$2290=0,$E$2290=0),1,12*INDEX(se_block,$D$2290,$E2293)/$E$2290)</f>
        <v>1</v>
      </c>
      <c r="I2293" s="76">
        <f t="shared" ref="I2293:I2340" si="860">EXP(SUMPRODUCT((rl_eff&lt;$B2293)*(rl_key=$A$2290)*rl_ln1p))</f>
        <v>1</v>
      </c>
      <c r="J2293" s="76">
        <f t="shared" ref="J2293:J2340" si="861">EXP(SUMPRODUCT((rl_eff&lt;=$C2293)*(rl_key=$A$2290)*rl_ln1p))</f>
        <v>1</v>
      </c>
      <c r="K2293" s="67">
        <f t="shared" ref="K2293:K2340" si="862">COUNTIFS(rl_key,$A$2290,rl_eff,"&gt;="&amp;$B2293,rl_eff,"&lt;="&amp;$C2293)</f>
        <v>0</v>
      </c>
      <c r="L2293" s="67">
        <f t="shared" ref="L2293:L2340" si="863">SUMIFS(rl_daysafter,rl_key,$A$2290,rl_effmonth,$B2293,rl_first,1)</f>
        <v>0</v>
      </c>
      <c r="M2293" s="77">
        <f t="shared" ref="M2293:M2340" si="864">IF($K2293=0,0,MIN(1,$L2293/$D2293))</f>
        <v>0</v>
      </c>
      <c r="N2293" s="76">
        <f t="shared" ref="N2293:N2340" si="865">IF($K2293=0,$J2293,(1-$M2293)*$I2293+$M2293*$J2293)</f>
        <v>1</v>
      </c>
      <c r="O2293" s="77">
        <f t="shared" ref="O2293:O2340" si="866">IF($F2293&lt;$B$2291,$E$2291+$I$2291*($F2293-$A$2291),IF($F2293&lt;$C$2291,$F$2291+$J$2291*($F2293-$B$2291),$G$2291+$K$2291*($F2293-$C$2291)))</f>
        <v>0.89637855579868719</v>
      </c>
      <c r="P2293" s="76">
        <f t="shared" ref="P2293:P2340" si="867">MIN(1,MAX(0,(nr_MEndPm1-$G2293+0.5)/$C$2290))-MIN(1,MAX(0,(nr_MStartPm1-1-$G2293+0.5)/$C$2290))</f>
        <v>0</v>
      </c>
      <c r="Q2293" s="76">
        <f t="shared" ref="Q2293:Q2340" si="868">MIN(1,MAX(0,(nr_MEndP-$G2293+0.5)/$C$2290))-MIN(1,MAX(0,(nr_MStartP-1-$G2293+0.5)/$C$2290))</f>
        <v>0</v>
      </c>
      <c r="R2293" s="76">
        <f t="shared" ref="R2293:R2340" si="869">MIN(1,MAX(0,(nr_MEndP1-$G2293+0.5)/$C$2290))-MIN(1,MAX(0,(nr_MStartP1-1-$G2293+0.5)/$C$2290))</f>
        <v>0</v>
      </c>
      <c r="S2293" s="76">
        <f t="shared" ref="S2293:S2340" si="870">$N2293*IF($O$2290=1,$O2293/$F$2290,1)</f>
        <v>0.97432451717248603</v>
      </c>
      <c r="T2293" s="76">
        <f t="shared" ref="T2293:T2340" si="871">IF($G2293&lt;nr_MStartP,$S2293,$T2281*(1+IF($G2293&lt;nr_MStartP1,$M$2290,$N$2290)))</f>
        <v>0.97432451717248603</v>
      </c>
      <c r="U2293" s="76">
        <f t="shared" ref="U2293:U2340" si="872">IF($L$2290,$T2293,$N2293)</f>
        <v>1</v>
      </c>
    </row>
    <row r="2294" spans="1:21" x14ac:dyDescent="0.25">
      <c r="A2294" s="71">
        <v>2</v>
      </c>
      <c r="B2294" s="72">
        <f t="shared" ref="B2294:B2340" si="873">EDATE($B2293,1)</f>
        <v>45689</v>
      </c>
      <c r="C2294" s="73">
        <f t="shared" si="854"/>
        <v>45716</v>
      </c>
      <c r="D2294" s="67">
        <f t="shared" si="855"/>
        <v>28</v>
      </c>
      <c r="E2294" s="67">
        <f t="shared" si="856"/>
        <v>2</v>
      </c>
      <c r="F2294" s="74">
        <f t="shared" si="857"/>
        <v>45703</v>
      </c>
      <c r="G2294" s="67">
        <f t="shared" si="858"/>
        <v>24301</v>
      </c>
      <c r="H2294" s="75">
        <f t="shared" si="859"/>
        <v>1</v>
      </c>
      <c r="I2294" s="76">
        <f t="shared" si="860"/>
        <v>1</v>
      </c>
      <c r="J2294" s="76">
        <f t="shared" si="861"/>
        <v>1</v>
      </c>
      <c r="K2294" s="67">
        <f t="shared" si="862"/>
        <v>0</v>
      </c>
      <c r="L2294" s="67">
        <f t="shared" si="863"/>
        <v>0</v>
      </c>
      <c r="M2294" s="77">
        <f t="shared" si="864"/>
        <v>0</v>
      </c>
      <c r="N2294" s="76">
        <f t="shared" si="865"/>
        <v>1</v>
      </c>
      <c r="O2294" s="77">
        <f t="shared" si="866"/>
        <v>0.89702407002188189</v>
      </c>
      <c r="P2294" s="76">
        <f t="shared" si="867"/>
        <v>0</v>
      </c>
      <c r="Q2294" s="76">
        <f t="shared" si="868"/>
        <v>0</v>
      </c>
      <c r="R2294" s="76">
        <f t="shared" si="869"/>
        <v>0</v>
      </c>
      <c r="S2294" s="76">
        <f t="shared" si="870"/>
        <v>0.97502616306726286</v>
      </c>
      <c r="T2294" s="76">
        <f t="shared" si="871"/>
        <v>0.97502616306726286</v>
      </c>
      <c r="U2294" s="76">
        <f t="shared" si="872"/>
        <v>1</v>
      </c>
    </row>
    <row r="2295" spans="1:21" x14ac:dyDescent="0.25">
      <c r="A2295" s="71">
        <v>3</v>
      </c>
      <c r="B2295" s="72">
        <f t="shared" si="873"/>
        <v>45717</v>
      </c>
      <c r="C2295" s="73">
        <f t="shared" si="854"/>
        <v>45747</v>
      </c>
      <c r="D2295" s="67">
        <f t="shared" si="855"/>
        <v>31</v>
      </c>
      <c r="E2295" s="67">
        <f t="shared" si="856"/>
        <v>3</v>
      </c>
      <c r="F2295" s="74">
        <f t="shared" si="857"/>
        <v>45732.5</v>
      </c>
      <c r="G2295" s="67">
        <f t="shared" si="858"/>
        <v>24302</v>
      </c>
      <c r="H2295" s="75">
        <f t="shared" si="859"/>
        <v>1</v>
      </c>
      <c r="I2295" s="76">
        <f t="shared" si="860"/>
        <v>1</v>
      </c>
      <c r="J2295" s="76">
        <f t="shared" si="861"/>
        <v>1</v>
      </c>
      <c r="K2295" s="67">
        <f t="shared" si="862"/>
        <v>0</v>
      </c>
      <c r="L2295" s="67">
        <f t="shared" si="863"/>
        <v>0</v>
      </c>
      <c r="M2295" s="77">
        <f t="shared" si="864"/>
        <v>0</v>
      </c>
      <c r="N2295" s="76">
        <f t="shared" si="865"/>
        <v>1</v>
      </c>
      <c r="O2295" s="77">
        <f t="shared" si="866"/>
        <v>0.8976695842450767</v>
      </c>
      <c r="P2295" s="76">
        <f t="shared" si="867"/>
        <v>0</v>
      </c>
      <c r="Q2295" s="76">
        <f t="shared" si="868"/>
        <v>0</v>
      </c>
      <c r="R2295" s="76">
        <f t="shared" si="869"/>
        <v>0</v>
      </c>
      <c r="S2295" s="76">
        <f t="shared" si="870"/>
        <v>0.97572780896203981</v>
      </c>
      <c r="T2295" s="76">
        <f t="shared" si="871"/>
        <v>0.97572780896203981</v>
      </c>
      <c r="U2295" s="76">
        <f t="shared" si="872"/>
        <v>1</v>
      </c>
    </row>
    <row r="2296" spans="1:21" x14ac:dyDescent="0.25">
      <c r="A2296" s="71">
        <v>4</v>
      </c>
      <c r="B2296" s="72">
        <f t="shared" si="873"/>
        <v>45748</v>
      </c>
      <c r="C2296" s="73">
        <f t="shared" si="854"/>
        <v>45777</v>
      </c>
      <c r="D2296" s="67">
        <f t="shared" si="855"/>
        <v>30</v>
      </c>
      <c r="E2296" s="67">
        <f t="shared" si="856"/>
        <v>4</v>
      </c>
      <c r="F2296" s="74">
        <f t="shared" si="857"/>
        <v>45763</v>
      </c>
      <c r="G2296" s="67">
        <f t="shared" si="858"/>
        <v>24303</v>
      </c>
      <c r="H2296" s="75">
        <f t="shared" si="859"/>
        <v>1</v>
      </c>
      <c r="I2296" s="76">
        <f t="shared" si="860"/>
        <v>1</v>
      </c>
      <c r="J2296" s="76">
        <f t="shared" si="861"/>
        <v>1</v>
      </c>
      <c r="K2296" s="67">
        <f t="shared" si="862"/>
        <v>0</v>
      </c>
      <c r="L2296" s="67">
        <f t="shared" si="863"/>
        <v>0</v>
      </c>
      <c r="M2296" s="77">
        <f t="shared" si="864"/>
        <v>0</v>
      </c>
      <c r="N2296" s="76">
        <f t="shared" si="865"/>
        <v>1</v>
      </c>
      <c r="O2296" s="77">
        <f t="shared" si="866"/>
        <v>0.89833698030634579</v>
      </c>
      <c r="P2296" s="76">
        <f t="shared" si="867"/>
        <v>0</v>
      </c>
      <c r="Q2296" s="76">
        <f t="shared" si="868"/>
        <v>0</v>
      </c>
      <c r="R2296" s="76">
        <f t="shared" si="869"/>
        <v>0</v>
      </c>
      <c r="S2296" s="76">
        <f t="shared" si="870"/>
        <v>0.97645323946341933</v>
      </c>
      <c r="T2296" s="76">
        <f t="shared" si="871"/>
        <v>0.97645323946341933</v>
      </c>
      <c r="U2296" s="76">
        <f t="shared" si="872"/>
        <v>1</v>
      </c>
    </row>
    <row r="2297" spans="1:21" x14ac:dyDescent="0.25">
      <c r="A2297" s="71">
        <v>5</v>
      </c>
      <c r="B2297" s="72">
        <f t="shared" si="873"/>
        <v>45778</v>
      </c>
      <c r="C2297" s="73">
        <f t="shared" si="854"/>
        <v>45808</v>
      </c>
      <c r="D2297" s="67">
        <f t="shared" si="855"/>
        <v>31</v>
      </c>
      <c r="E2297" s="67">
        <f t="shared" si="856"/>
        <v>5</v>
      </c>
      <c r="F2297" s="74">
        <f t="shared" si="857"/>
        <v>45793.5</v>
      </c>
      <c r="G2297" s="67">
        <f t="shared" si="858"/>
        <v>24304</v>
      </c>
      <c r="H2297" s="75">
        <f t="shared" si="859"/>
        <v>1</v>
      </c>
      <c r="I2297" s="76">
        <f t="shared" si="860"/>
        <v>1</v>
      </c>
      <c r="J2297" s="76">
        <f t="shared" si="861"/>
        <v>1</v>
      </c>
      <c r="K2297" s="67">
        <f t="shared" si="862"/>
        <v>0</v>
      </c>
      <c r="L2297" s="67">
        <f t="shared" si="863"/>
        <v>0</v>
      </c>
      <c r="M2297" s="77">
        <f t="shared" si="864"/>
        <v>0</v>
      </c>
      <c r="N2297" s="76">
        <f t="shared" si="865"/>
        <v>1</v>
      </c>
      <c r="O2297" s="77">
        <f t="shared" si="866"/>
        <v>0.89900437636761499</v>
      </c>
      <c r="P2297" s="76">
        <f t="shared" si="867"/>
        <v>0</v>
      </c>
      <c r="Q2297" s="76">
        <f t="shared" si="868"/>
        <v>0</v>
      </c>
      <c r="R2297" s="76">
        <f t="shared" si="869"/>
        <v>0</v>
      </c>
      <c r="S2297" s="76">
        <f t="shared" si="870"/>
        <v>0.97717866996479885</v>
      </c>
      <c r="T2297" s="76">
        <f t="shared" si="871"/>
        <v>0.97717866996479885</v>
      </c>
      <c r="U2297" s="76">
        <f t="shared" si="872"/>
        <v>1</v>
      </c>
    </row>
    <row r="2298" spans="1:21" x14ac:dyDescent="0.25">
      <c r="A2298" s="71">
        <v>6</v>
      </c>
      <c r="B2298" s="72">
        <f t="shared" si="873"/>
        <v>45809</v>
      </c>
      <c r="C2298" s="73">
        <f t="shared" si="854"/>
        <v>45838</v>
      </c>
      <c r="D2298" s="67">
        <f t="shared" si="855"/>
        <v>30</v>
      </c>
      <c r="E2298" s="67">
        <f t="shared" si="856"/>
        <v>6</v>
      </c>
      <c r="F2298" s="74">
        <f t="shared" si="857"/>
        <v>45824</v>
      </c>
      <c r="G2298" s="67">
        <f t="shared" si="858"/>
        <v>24305</v>
      </c>
      <c r="H2298" s="75">
        <f t="shared" si="859"/>
        <v>1</v>
      </c>
      <c r="I2298" s="76">
        <f t="shared" si="860"/>
        <v>1</v>
      </c>
      <c r="J2298" s="76">
        <f t="shared" si="861"/>
        <v>1</v>
      </c>
      <c r="K2298" s="67">
        <f t="shared" si="862"/>
        <v>0</v>
      </c>
      <c r="L2298" s="67">
        <f t="shared" si="863"/>
        <v>0</v>
      </c>
      <c r="M2298" s="77">
        <f t="shared" si="864"/>
        <v>0</v>
      </c>
      <c r="N2298" s="76">
        <f t="shared" si="865"/>
        <v>1</v>
      </c>
      <c r="O2298" s="77">
        <f t="shared" si="866"/>
        <v>0.89967177242888408</v>
      </c>
      <c r="P2298" s="76">
        <f t="shared" si="867"/>
        <v>0</v>
      </c>
      <c r="Q2298" s="76">
        <f t="shared" si="868"/>
        <v>0</v>
      </c>
      <c r="R2298" s="76">
        <f t="shared" si="869"/>
        <v>0</v>
      </c>
      <c r="S2298" s="76">
        <f t="shared" si="870"/>
        <v>0.97790410046617826</v>
      </c>
      <c r="T2298" s="76">
        <f t="shared" si="871"/>
        <v>0.97790410046617826</v>
      </c>
      <c r="U2298" s="76">
        <f t="shared" si="872"/>
        <v>1</v>
      </c>
    </row>
    <row r="2299" spans="1:21" x14ac:dyDescent="0.25">
      <c r="A2299" s="71">
        <v>7</v>
      </c>
      <c r="B2299" s="72">
        <f t="shared" si="873"/>
        <v>45839</v>
      </c>
      <c r="C2299" s="73">
        <f t="shared" si="854"/>
        <v>45869</v>
      </c>
      <c r="D2299" s="67">
        <f t="shared" si="855"/>
        <v>31</v>
      </c>
      <c r="E2299" s="67">
        <f t="shared" si="856"/>
        <v>7</v>
      </c>
      <c r="F2299" s="74">
        <f t="shared" si="857"/>
        <v>45854.5</v>
      </c>
      <c r="G2299" s="67">
        <f t="shared" si="858"/>
        <v>24306</v>
      </c>
      <c r="H2299" s="75">
        <f t="shared" si="859"/>
        <v>1</v>
      </c>
      <c r="I2299" s="76">
        <f t="shared" si="860"/>
        <v>1</v>
      </c>
      <c r="J2299" s="76">
        <f t="shared" si="861"/>
        <v>1</v>
      </c>
      <c r="K2299" s="67">
        <f t="shared" si="862"/>
        <v>0</v>
      </c>
      <c r="L2299" s="67">
        <f t="shared" si="863"/>
        <v>0</v>
      </c>
      <c r="M2299" s="77">
        <f t="shared" si="864"/>
        <v>0</v>
      </c>
      <c r="N2299" s="76">
        <f t="shared" si="865"/>
        <v>1</v>
      </c>
      <c r="O2299" s="77">
        <f t="shared" si="866"/>
        <v>0.90033916849015327</v>
      </c>
      <c r="P2299" s="76">
        <f t="shared" si="867"/>
        <v>8.333333333333337E-2</v>
      </c>
      <c r="Q2299" s="76">
        <f t="shared" si="868"/>
        <v>0</v>
      </c>
      <c r="R2299" s="76">
        <f t="shared" si="869"/>
        <v>0</v>
      </c>
      <c r="S2299" s="76">
        <f t="shared" si="870"/>
        <v>0.97862953096755789</v>
      </c>
      <c r="T2299" s="76">
        <f t="shared" si="871"/>
        <v>0.97862953096755789</v>
      </c>
      <c r="U2299" s="76">
        <f t="shared" si="872"/>
        <v>1</v>
      </c>
    </row>
    <row r="2300" spans="1:21" x14ac:dyDescent="0.25">
      <c r="A2300" s="71">
        <v>8</v>
      </c>
      <c r="B2300" s="72">
        <f t="shared" si="873"/>
        <v>45870</v>
      </c>
      <c r="C2300" s="73">
        <f t="shared" si="854"/>
        <v>45900</v>
      </c>
      <c r="D2300" s="67">
        <f t="shared" si="855"/>
        <v>31</v>
      </c>
      <c r="E2300" s="67">
        <f t="shared" si="856"/>
        <v>8</v>
      </c>
      <c r="F2300" s="74">
        <f t="shared" si="857"/>
        <v>45885.5</v>
      </c>
      <c r="G2300" s="67">
        <f t="shared" si="858"/>
        <v>24307</v>
      </c>
      <c r="H2300" s="75">
        <f t="shared" si="859"/>
        <v>1</v>
      </c>
      <c r="I2300" s="76">
        <f t="shared" si="860"/>
        <v>1</v>
      </c>
      <c r="J2300" s="76">
        <f t="shared" si="861"/>
        <v>1</v>
      </c>
      <c r="K2300" s="67">
        <f t="shared" si="862"/>
        <v>0</v>
      </c>
      <c r="L2300" s="67">
        <f t="shared" si="863"/>
        <v>0</v>
      </c>
      <c r="M2300" s="77">
        <f t="shared" si="864"/>
        <v>0</v>
      </c>
      <c r="N2300" s="76">
        <f t="shared" si="865"/>
        <v>1</v>
      </c>
      <c r="O2300" s="77">
        <f t="shared" si="866"/>
        <v>0.90101750547045956</v>
      </c>
      <c r="P2300" s="76">
        <f t="shared" si="867"/>
        <v>0.25</v>
      </c>
      <c r="Q2300" s="76">
        <f t="shared" si="868"/>
        <v>0</v>
      </c>
      <c r="R2300" s="76">
        <f t="shared" si="869"/>
        <v>0</v>
      </c>
      <c r="S2300" s="76">
        <f t="shared" si="870"/>
        <v>0.97936685377223864</v>
      </c>
      <c r="T2300" s="76">
        <f t="shared" si="871"/>
        <v>0.97936685377223864</v>
      </c>
      <c r="U2300" s="76">
        <f t="shared" si="872"/>
        <v>1</v>
      </c>
    </row>
    <row r="2301" spans="1:21" x14ac:dyDescent="0.25">
      <c r="A2301" s="71">
        <v>9</v>
      </c>
      <c r="B2301" s="72">
        <f t="shared" si="873"/>
        <v>45901</v>
      </c>
      <c r="C2301" s="73">
        <f t="shared" si="854"/>
        <v>45930</v>
      </c>
      <c r="D2301" s="67">
        <f t="shared" si="855"/>
        <v>30</v>
      </c>
      <c r="E2301" s="67">
        <f t="shared" si="856"/>
        <v>9</v>
      </c>
      <c r="F2301" s="74">
        <f t="shared" si="857"/>
        <v>45916</v>
      </c>
      <c r="G2301" s="67">
        <f t="shared" si="858"/>
        <v>24308</v>
      </c>
      <c r="H2301" s="75">
        <f t="shared" si="859"/>
        <v>1</v>
      </c>
      <c r="I2301" s="76">
        <f t="shared" si="860"/>
        <v>1</v>
      </c>
      <c r="J2301" s="76">
        <f t="shared" si="861"/>
        <v>1</v>
      </c>
      <c r="K2301" s="67">
        <f t="shared" si="862"/>
        <v>0</v>
      </c>
      <c r="L2301" s="67">
        <f t="shared" si="863"/>
        <v>0</v>
      </c>
      <c r="M2301" s="77">
        <f t="shared" si="864"/>
        <v>0</v>
      </c>
      <c r="N2301" s="76">
        <f t="shared" si="865"/>
        <v>1</v>
      </c>
      <c r="O2301" s="77">
        <f t="shared" si="866"/>
        <v>0.90168490153172876</v>
      </c>
      <c r="P2301" s="76">
        <f t="shared" si="867"/>
        <v>0.41666666666666663</v>
      </c>
      <c r="Q2301" s="76">
        <f t="shared" si="868"/>
        <v>0</v>
      </c>
      <c r="R2301" s="76">
        <f t="shared" si="869"/>
        <v>0</v>
      </c>
      <c r="S2301" s="76">
        <f t="shared" si="870"/>
        <v>0.98009228427361816</v>
      </c>
      <c r="T2301" s="76">
        <f t="shared" si="871"/>
        <v>0.98009228427361816</v>
      </c>
      <c r="U2301" s="76">
        <f t="shared" si="872"/>
        <v>1</v>
      </c>
    </row>
    <row r="2302" spans="1:21" x14ac:dyDescent="0.25">
      <c r="A2302" s="71">
        <v>10</v>
      </c>
      <c r="B2302" s="72">
        <f t="shared" si="873"/>
        <v>45931</v>
      </c>
      <c r="C2302" s="73">
        <f t="shared" si="854"/>
        <v>45961</v>
      </c>
      <c r="D2302" s="67">
        <f t="shared" si="855"/>
        <v>31</v>
      </c>
      <c r="E2302" s="67">
        <f t="shared" si="856"/>
        <v>10</v>
      </c>
      <c r="F2302" s="74">
        <f t="shared" si="857"/>
        <v>45946.5</v>
      </c>
      <c r="G2302" s="67">
        <f t="shared" si="858"/>
        <v>24309</v>
      </c>
      <c r="H2302" s="75">
        <f t="shared" si="859"/>
        <v>1</v>
      </c>
      <c r="I2302" s="76">
        <f t="shared" si="860"/>
        <v>1</v>
      </c>
      <c r="J2302" s="76">
        <f t="shared" si="861"/>
        <v>1</v>
      </c>
      <c r="K2302" s="67">
        <f t="shared" si="862"/>
        <v>0</v>
      </c>
      <c r="L2302" s="67">
        <f t="shared" si="863"/>
        <v>0</v>
      </c>
      <c r="M2302" s="77">
        <f t="shared" si="864"/>
        <v>0</v>
      </c>
      <c r="N2302" s="76">
        <f t="shared" si="865"/>
        <v>1</v>
      </c>
      <c r="O2302" s="77">
        <f t="shared" si="866"/>
        <v>0.90235229759299784</v>
      </c>
      <c r="P2302" s="76">
        <f t="shared" si="867"/>
        <v>0.58333333333333326</v>
      </c>
      <c r="Q2302" s="76">
        <f t="shared" si="868"/>
        <v>0</v>
      </c>
      <c r="R2302" s="76">
        <f t="shared" si="869"/>
        <v>0</v>
      </c>
      <c r="S2302" s="76">
        <f t="shared" si="870"/>
        <v>0.98081771477499757</v>
      </c>
      <c r="T2302" s="76">
        <f t="shared" si="871"/>
        <v>0.98081771477499757</v>
      </c>
      <c r="U2302" s="76">
        <f t="shared" si="872"/>
        <v>1</v>
      </c>
    </row>
    <row r="2303" spans="1:21" x14ac:dyDescent="0.25">
      <c r="A2303" s="71">
        <v>11</v>
      </c>
      <c r="B2303" s="72">
        <f t="shared" si="873"/>
        <v>45962</v>
      </c>
      <c r="C2303" s="73">
        <f t="shared" si="854"/>
        <v>45991</v>
      </c>
      <c r="D2303" s="67">
        <f t="shared" si="855"/>
        <v>30</v>
      </c>
      <c r="E2303" s="67">
        <f t="shared" si="856"/>
        <v>11</v>
      </c>
      <c r="F2303" s="74">
        <f t="shared" si="857"/>
        <v>45977</v>
      </c>
      <c r="G2303" s="67">
        <f t="shared" si="858"/>
        <v>24310</v>
      </c>
      <c r="H2303" s="75">
        <f t="shared" si="859"/>
        <v>1</v>
      </c>
      <c r="I2303" s="76">
        <f t="shared" si="860"/>
        <v>1</v>
      </c>
      <c r="J2303" s="76">
        <f t="shared" si="861"/>
        <v>1</v>
      </c>
      <c r="K2303" s="67">
        <f t="shared" si="862"/>
        <v>0</v>
      </c>
      <c r="L2303" s="67">
        <f t="shared" si="863"/>
        <v>0</v>
      </c>
      <c r="M2303" s="77">
        <f t="shared" si="864"/>
        <v>0</v>
      </c>
      <c r="N2303" s="76">
        <f t="shared" si="865"/>
        <v>1</v>
      </c>
      <c r="O2303" s="77">
        <f t="shared" si="866"/>
        <v>0.90301969365426704</v>
      </c>
      <c r="P2303" s="76">
        <f t="shared" si="867"/>
        <v>0.75</v>
      </c>
      <c r="Q2303" s="76">
        <f t="shared" si="868"/>
        <v>0</v>
      </c>
      <c r="R2303" s="76">
        <f t="shared" si="869"/>
        <v>0</v>
      </c>
      <c r="S2303" s="76">
        <f t="shared" si="870"/>
        <v>0.9815431452763772</v>
      </c>
      <c r="T2303" s="76">
        <f t="shared" si="871"/>
        <v>0.9815431452763772</v>
      </c>
      <c r="U2303" s="76">
        <f t="shared" si="872"/>
        <v>1</v>
      </c>
    </row>
    <row r="2304" spans="1:21" x14ac:dyDescent="0.25">
      <c r="A2304" s="71">
        <v>12</v>
      </c>
      <c r="B2304" s="72">
        <f t="shared" si="873"/>
        <v>45992</v>
      </c>
      <c r="C2304" s="73">
        <f t="shared" si="854"/>
        <v>46022</v>
      </c>
      <c r="D2304" s="67">
        <f t="shared" si="855"/>
        <v>31</v>
      </c>
      <c r="E2304" s="67">
        <f t="shared" si="856"/>
        <v>12</v>
      </c>
      <c r="F2304" s="74">
        <f t="shared" si="857"/>
        <v>46007.5</v>
      </c>
      <c r="G2304" s="67">
        <f t="shared" si="858"/>
        <v>24311</v>
      </c>
      <c r="H2304" s="75">
        <f t="shared" si="859"/>
        <v>1</v>
      </c>
      <c r="I2304" s="76">
        <f t="shared" si="860"/>
        <v>1</v>
      </c>
      <c r="J2304" s="76">
        <f t="shared" si="861"/>
        <v>1</v>
      </c>
      <c r="K2304" s="67">
        <f t="shared" si="862"/>
        <v>0</v>
      </c>
      <c r="L2304" s="67">
        <f t="shared" si="863"/>
        <v>0</v>
      </c>
      <c r="M2304" s="77">
        <f t="shared" si="864"/>
        <v>0</v>
      </c>
      <c r="N2304" s="76">
        <f t="shared" si="865"/>
        <v>1</v>
      </c>
      <c r="O2304" s="77">
        <f t="shared" si="866"/>
        <v>0.90368708971553613</v>
      </c>
      <c r="P2304" s="76">
        <f t="shared" si="867"/>
        <v>0.91666666666666663</v>
      </c>
      <c r="Q2304" s="76">
        <f t="shared" si="868"/>
        <v>0</v>
      </c>
      <c r="R2304" s="76">
        <f t="shared" si="869"/>
        <v>0</v>
      </c>
      <c r="S2304" s="76">
        <f t="shared" si="870"/>
        <v>0.98226857577775661</v>
      </c>
      <c r="T2304" s="76">
        <f t="shared" si="871"/>
        <v>0.98226857577775661</v>
      </c>
      <c r="U2304" s="76">
        <f t="shared" si="872"/>
        <v>1</v>
      </c>
    </row>
    <row r="2305" spans="1:21" x14ac:dyDescent="0.25">
      <c r="A2305" s="71">
        <v>13</v>
      </c>
      <c r="B2305" s="72">
        <f t="shared" si="873"/>
        <v>46023</v>
      </c>
      <c r="C2305" s="73">
        <f t="shared" si="854"/>
        <v>46053</v>
      </c>
      <c r="D2305" s="67">
        <f t="shared" si="855"/>
        <v>31</v>
      </c>
      <c r="E2305" s="67">
        <f t="shared" si="856"/>
        <v>1</v>
      </c>
      <c r="F2305" s="74">
        <f t="shared" si="857"/>
        <v>46038.5</v>
      </c>
      <c r="G2305" s="67">
        <f t="shared" si="858"/>
        <v>24312</v>
      </c>
      <c r="H2305" s="75">
        <f t="shared" si="859"/>
        <v>1</v>
      </c>
      <c r="I2305" s="76">
        <f t="shared" si="860"/>
        <v>1</v>
      </c>
      <c r="J2305" s="76">
        <f t="shared" si="861"/>
        <v>1</v>
      </c>
      <c r="K2305" s="67">
        <f t="shared" si="862"/>
        <v>0</v>
      </c>
      <c r="L2305" s="67">
        <f t="shared" si="863"/>
        <v>0</v>
      </c>
      <c r="M2305" s="77">
        <f t="shared" si="864"/>
        <v>0</v>
      </c>
      <c r="N2305" s="76">
        <f t="shared" si="865"/>
        <v>1</v>
      </c>
      <c r="O2305" s="77">
        <f t="shared" si="866"/>
        <v>0.90436542669584252</v>
      </c>
      <c r="P2305" s="76">
        <f t="shared" si="867"/>
        <v>1</v>
      </c>
      <c r="Q2305" s="76">
        <f t="shared" si="868"/>
        <v>0</v>
      </c>
      <c r="R2305" s="76">
        <f t="shared" si="869"/>
        <v>0</v>
      </c>
      <c r="S2305" s="76">
        <f t="shared" si="870"/>
        <v>0.98300589858243748</v>
      </c>
      <c r="T2305" s="76">
        <f t="shared" si="871"/>
        <v>0.98300589858243748</v>
      </c>
      <c r="U2305" s="76">
        <f t="shared" si="872"/>
        <v>1</v>
      </c>
    </row>
    <row r="2306" spans="1:21" x14ac:dyDescent="0.25">
      <c r="A2306" s="71">
        <v>14</v>
      </c>
      <c r="B2306" s="72">
        <f t="shared" si="873"/>
        <v>46054</v>
      </c>
      <c r="C2306" s="73">
        <f t="shared" si="854"/>
        <v>46081</v>
      </c>
      <c r="D2306" s="67">
        <f t="shared" si="855"/>
        <v>28</v>
      </c>
      <c r="E2306" s="67">
        <f t="shared" si="856"/>
        <v>2</v>
      </c>
      <c r="F2306" s="74">
        <f t="shared" si="857"/>
        <v>46068</v>
      </c>
      <c r="G2306" s="67">
        <f t="shared" si="858"/>
        <v>24313</v>
      </c>
      <c r="H2306" s="75">
        <f t="shared" si="859"/>
        <v>1</v>
      </c>
      <c r="I2306" s="76">
        <f t="shared" si="860"/>
        <v>1</v>
      </c>
      <c r="J2306" s="76">
        <f t="shared" si="861"/>
        <v>1</v>
      </c>
      <c r="K2306" s="67">
        <f t="shared" si="862"/>
        <v>0</v>
      </c>
      <c r="L2306" s="67">
        <f t="shared" si="863"/>
        <v>0</v>
      </c>
      <c r="M2306" s="77">
        <f t="shared" si="864"/>
        <v>0</v>
      </c>
      <c r="N2306" s="76">
        <f t="shared" si="865"/>
        <v>1</v>
      </c>
      <c r="O2306" s="77">
        <f t="shared" si="866"/>
        <v>0.90501094091903722</v>
      </c>
      <c r="P2306" s="76">
        <f t="shared" si="867"/>
        <v>1</v>
      </c>
      <c r="Q2306" s="76">
        <f t="shared" si="868"/>
        <v>0</v>
      </c>
      <c r="R2306" s="76">
        <f t="shared" si="869"/>
        <v>0</v>
      </c>
      <c r="S2306" s="76">
        <f t="shared" si="870"/>
        <v>0.98370754447721431</v>
      </c>
      <c r="T2306" s="76">
        <f t="shared" si="871"/>
        <v>0.98370754447721431</v>
      </c>
      <c r="U2306" s="76">
        <f t="shared" si="872"/>
        <v>1</v>
      </c>
    </row>
    <row r="2307" spans="1:21" x14ac:dyDescent="0.25">
      <c r="A2307" s="71">
        <v>15</v>
      </c>
      <c r="B2307" s="72">
        <f t="shared" si="873"/>
        <v>46082</v>
      </c>
      <c r="C2307" s="73">
        <f t="shared" si="854"/>
        <v>46112</v>
      </c>
      <c r="D2307" s="67">
        <f t="shared" si="855"/>
        <v>31</v>
      </c>
      <c r="E2307" s="67">
        <f t="shared" si="856"/>
        <v>3</v>
      </c>
      <c r="F2307" s="74">
        <f t="shared" si="857"/>
        <v>46097.5</v>
      </c>
      <c r="G2307" s="67">
        <f t="shared" si="858"/>
        <v>24314</v>
      </c>
      <c r="H2307" s="75">
        <f t="shared" si="859"/>
        <v>1</v>
      </c>
      <c r="I2307" s="76">
        <f t="shared" si="860"/>
        <v>1</v>
      </c>
      <c r="J2307" s="76">
        <f t="shared" si="861"/>
        <v>1</v>
      </c>
      <c r="K2307" s="67">
        <f t="shared" si="862"/>
        <v>0</v>
      </c>
      <c r="L2307" s="67">
        <f t="shared" si="863"/>
        <v>0</v>
      </c>
      <c r="M2307" s="77">
        <f t="shared" si="864"/>
        <v>0</v>
      </c>
      <c r="N2307" s="76">
        <f t="shared" si="865"/>
        <v>1</v>
      </c>
      <c r="O2307" s="77">
        <f t="shared" si="866"/>
        <v>0.90565645514223203</v>
      </c>
      <c r="P2307" s="76">
        <f t="shared" si="867"/>
        <v>1</v>
      </c>
      <c r="Q2307" s="76">
        <f t="shared" si="868"/>
        <v>0</v>
      </c>
      <c r="R2307" s="76">
        <f t="shared" si="869"/>
        <v>0</v>
      </c>
      <c r="S2307" s="76">
        <f t="shared" si="870"/>
        <v>0.98440919037199126</v>
      </c>
      <c r="T2307" s="76">
        <f t="shared" si="871"/>
        <v>0.98440919037199126</v>
      </c>
      <c r="U2307" s="76">
        <f t="shared" si="872"/>
        <v>1</v>
      </c>
    </row>
    <row r="2308" spans="1:21" x14ac:dyDescent="0.25">
      <c r="A2308" s="71">
        <v>16</v>
      </c>
      <c r="B2308" s="72">
        <f t="shared" si="873"/>
        <v>46113</v>
      </c>
      <c r="C2308" s="73">
        <f t="shared" si="854"/>
        <v>46142</v>
      </c>
      <c r="D2308" s="67">
        <f t="shared" si="855"/>
        <v>30</v>
      </c>
      <c r="E2308" s="67">
        <f t="shared" si="856"/>
        <v>4</v>
      </c>
      <c r="F2308" s="74">
        <f t="shared" si="857"/>
        <v>46128</v>
      </c>
      <c r="G2308" s="67">
        <f t="shared" si="858"/>
        <v>24315</v>
      </c>
      <c r="H2308" s="75">
        <f t="shared" si="859"/>
        <v>1</v>
      </c>
      <c r="I2308" s="76">
        <f t="shared" si="860"/>
        <v>1</v>
      </c>
      <c r="J2308" s="76">
        <f t="shared" si="861"/>
        <v>1</v>
      </c>
      <c r="K2308" s="67">
        <f t="shared" si="862"/>
        <v>0</v>
      </c>
      <c r="L2308" s="67">
        <f t="shared" si="863"/>
        <v>0</v>
      </c>
      <c r="M2308" s="77">
        <f t="shared" si="864"/>
        <v>0</v>
      </c>
      <c r="N2308" s="76">
        <f t="shared" si="865"/>
        <v>1</v>
      </c>
      <c r="O2308" s="77">
        <f t="shared" si="866"/>
        <v>0.90632385120350112</v>
      </c>
      <c r="P2308" s="76">
        <f t="shared" si="867"/>
        <v>1</v>
      </c>
      <c r="Q2308" s="76">
        <f t="shared" si="868"/>
        <v>0</v>
      </c>
      <c r="R2308" s="76">
        <f t="shared" si="869"/>
        <v>0</v>
      </c>
      <c r="S2308" s="76">
        <f t="shared" si="870"/>
        <v>0.98513462087337078</v>
      </c>
      <c r="T2308" s="76">
        <f t="shared" si="871"/>
        <v>0.98513462087337078</v>
      </c>
      <c r="U2308" s="76">
        <f t="shared" si="872"/>
        <v>1</v>
      </c>
    </row>
    <row r="2309" spans="1:21" x14ac:dyDescent="0.25">
      <c r="A2309" s="71">
        <v>17</v>
      </c>
      <c r="B2309" s="72">
        <f t="shared" si="873"/>
        <v>46143</v>
      </c>
      <c r="C2309" s="73">
        <f t="shared" si="854"/>
        <v>46173</v>
      </c>
      <c r="D2309" s="67">
        <f t="shared" si="855"/>
        <v>31</v>
      </c>
      <c r="E2309" s="67">
        <f t="shared" si="856"/>
        <v>5</v>
      </c>
      <c r="F2309" s="74">
        <f t="shared" si="857"/>
        <v>46158.5</v>
      </c>
      <c r="G2309" s="67">
        <f t="shared" si="858"/>
        <v>24316</v>
      </c>
      <c r="H2309" s="75">
        <f t="shared" si="859"/>
        <v>1</v>
      </c>
      <c r="I2309" s="76">
        <f t="shared" si="860"/>
        <v>1</v>
      </c>
      <c r="J2309" s="76">
        <f t="shared" si="861"/>
        <v>1</v>
      </c>
      <c r="K2309" s="67">
        <f t="shared" si="862"/>
        <v>0</v>
      </c>
      <c r="L2309" s="67">
        <f t="shared" si="863"/>
        <v>0</v>
      </c>
      <c r="M2309" s="77">
        <f t="shared" si="864"/>
        <v>0</v>
      </c>
      <c r="N2309" s="76">
        <f t="shared" si="865"/>
        <v>1</v>
      </c>
      <c r="O2309" s="77">
        <f t="shared" si="866"/>
        <v>0.90699124726477032</v>
      </c>
      <c r="P2309" s="76">
        <f t="shared" si="867"/>
        <v>1</v>
      </c>
      <c r="Q2309" s="76">
        <f t="shared" si="868"/>
        <v>0</v>
      </c>
      <c r="R2309" s="76">
        <f t="shared" si="869"/>
        <v>0</v>
      </c>
      <c r="S2309" s="76">
        <f t="shared" si="870"/>
        <v>0.9858600513747503</v>
      </c>
      <c r="T2309" s="76">
        <f t="shared" si="871"/>
        <v>0.9858600513747503</v>
      </c>
      <c r="U2309" s="76">
        <f t="shared" si="872"/>
        <v>1</v>
      </c>
    </row>
    <row r="2310" spans="1:21" x14ac:dyDescent="0.25">
      <c r="A2310" s="71">
        <v>18</v>
      </c>
      <c r="B2310" s="72">
        <f t="shared" si="873"/>
        <v>46174</v>
      </c>
      <c r="C2310" s="73">
        <f t="shared" si="854"/>
        <v>46203</v>
      </c>
      <c r="D2310" s="67">
        <f t="shared" si="855"/>
        <v>30</v>
      </c>
      <c r="E2310" s="67">
        <f t="shared" si="856"/>
        <v>6</v>
      </c>
      <c r="F2310" s="74">
        <f t="shared" si="857"/>
        <v>46189</v>
      </c>
      <c r="G2310" s="67">
        <f t="shared" si="858"/>
        <v>24317</v>
      </c>
      <c r="H2310" s="75">
        <f t="shared" si="859"/>
        <v>1</v>
      </c>
      <c r="I2310" s="76">
        <f t="shared" si="860"/>
        <v>1</v>
      </c>
      <c r="J2310" s="76">
        <f t="shared" si="861"/>
        <v>1</v>
      </c>
      <c r="K2310" s="67">
        <f t="shared" si="862"/>
        <v>0</v>
      </c>
      <c r="L2310" s="67">
        <f t="shared" si="863"/>
        <v>0</v>
      </c>
      <c r="M2310" s="77">
        <f t="shared" si="864"/>
        <v>0</v>
      </c>
      <c r="N2310" s="76">
        <f t="shared" si="865"/>
        <v>1</v>
      </c>
      <c r="O2310" s="77">
        <f t="shared" si="866"/>
        <v>0.9076586433260394</v>
      </c>
      <c r="P2310" s="76">
        <f t="shared" si="867"/>
        <v>1</v>
      </c>
      <c r="Q2310" s="76">
        <f t="shared" si="868"/>
        <v>0</v>
      </c>
      <c r="R2310" s="76">
        <f t="shared" si="869"/>
        <v>0</v>
      </c>
      <c r="S2310" s="76">
        <f t="shared" si="870"/>
        <v>0.98658548187612971</v>
      </c>
      <c r="T2310" s="76">
        <f t="shared" si="871"/>
        <v>0.98658548187612971</v>
      </c>
      <c r="U2310" s="76">
        <f t="shared" si="872"/>
        <v>1</v>
      </c>
    </row>
    <row r="2311" spans="1:21" x14ac:dyDescent="0.25">
      <c r="A2311" s="71">
        <v>19</v>
      </c>
      <c r="B2311" s="72">
        <f t="shared" si="873"/>
        <v>46204</v>
      </c>
      <c r="C2311" s="73">
        <f t="shared" si="854"/>
        <v>46234</v>
      </c>
      <c r="D2311" s="67">
        <f t="shared" si="855"/>
        <v>31</v>
      </c>
      <c r="E2311" s="67">
        <f t="shared" si="856"/>
        <v>7</v>
      </c>
      <c r="F2311" s="74">
        <f t="shared" si="857"/>
        <v>46219.5</v>
      </c>
      <c r="G2311" s="67">
        <f t="shared" si="858"/>
        <v>24318</v>
      </c>
      <c r="H2311" s="75">
        <f t="shared" si="859"/>
        <v>1</v>
      </c>
      <c r="I2311" s="76">
        <f t="shared" si="860"/>
        <v>1</v>
      </c>
      <c r="J2311" s="76">
        <f t="shared" si="861"/>
        <v>1</v>
      </c>
      <c r="K2311" s="67">
        <f t="shared" si="862"/>
        <v>0</v>
      </c>
      <c r="L2311" s="67">
        <f t="shared" si="863"/>
        <v>0</v>
      </c>
      <c r="M2311" s="77">
        <f t="shared" si="864"/>
        <v>0</v>
      </c>
      <c r="N2311" s="76">
        <f t="shared" si="865"/>
        <v>1</v>
      </c>
      <c r="O2311" s="77">
        <f t="shared" si="866"/>
        <v>0.9083260393873086</v>
      </c>
      <c r="P2311" s="76">
        <f t="shared" si="867"/>
        <v>0.91666666666666663</v>
      </c>
      <c r="Q2311" s="76">
        <f t="shared" si="868"/>
        <v>8.333333333333337E-2</v>
      </c>
      <c r="R2311" s="76">
        <f t="shared" si="869"/>
        <v>0</v>
      </c>
      <c r="S2311" s="76">
        <f t="shared" si="870"/>
        <v>0.98731091237750934</v>
      </c>
      <c r="T2311" s="76">
        <f t="shared" si="871"/>
        <v>0.98731091237750934</v>
      </c>
      <c r="U2311" s="76">
        <f t="shared" si="872"/>
        <v>1</v>
      </c>
    </row>
    <row r="2312" spans="1:21" x14ac:dyDescent="0.25">
      <c r="A2312" s="71">
        <v>20</v>
      </c>
      <c r="B2312" s="72">
        <f t="shared" si="873"/>
        <v>46235</v>
      </c>
      <c r="C2312" s="73">
        <f t="shared" si="854"/>
        <v>46265</v>
      </c>
      <c r="D2312" s="67">
        <f t="shared" si="855"/>
        <v>31</v>
      </c>
      <c r="E2312" s="67">
        <f t="shared" si="856"/>
        <v>8</v>
      </c>
      <c r="F2312" s="74">
        <f t="shared" si="857"/>
        <v>46250.5</v>
      </c>
      <c r="G2312" s="67">
        <f t="shared" si="858"/>
        <v>24319</v>
      </c>
      <c r="H2312" s="75">
        <f t="shared" si="859"/>
        <v>1</v>
      </c>
      <c r="I2312" s="76">
        <f t="shared" si="860"/>
        <v>1</v>
      </c>
      <c r="J2312" s="76">
        <f t="shared" si="861"/>
        <v>1</v>
      </c>
      <c r="K2312" s="67">
        <f t="shared" si="862"/>
        <v>0</v>
      </c>
      <c r="L2312" s="67">
        <f t="shared" si="863"/>
        <v>0</v>
      </c>
      <c r="M2312" s="77">
        <f t="shared" si="864"/>
        <v>0</v>
      </c>
      <c r="N2312" s="76">
        <f t="shared" si="865"/>
        <v>1</v>
      </c>
      <c r="O2312" s="77">
        <f t="shared" si="866"/>
        <v>0.90900437636761489</v>
      </c>
      <c r="P2312" s="76">
        <f t="shared" si="867"/>
        <v>0.75</v>
      </c>
      <c r="Q2312" s="76">
        <f t="shared" si="868"/>
        <v>0.25</v>
      </c>
      <c r="R2312" s="76">
        <f t="shared" si="869"/>
        <v>0</v>
      </c>
      <c r="S2312" s="76">
        <f t="shared" si="870"/>
        <v>0.98804823518219009</v>
      </c>
      <c r="T2312" s="76">
        <f t="shared" si="871"/>
        <v>0.98804823518219009</v>
      </c>
      <c r="U2312" s="76">
        <f t="shared" si="872"/>
        <v>1</v>
      </c>
    </row>
    <row r="2313" spans="1:21" x14ac:dyDescent="0.25">
      <c r="A2313" s="71">
        <v>21</v>
      </c>
      <c r="B2313" s="72">
        <f t="shared" si="873"/>
        <v>46266</v>
      </c>
      <c r="C2313" s="73">
        <f t="shared" si="854"/>
        <v>46295</v>
      </c>
      <c r="D2313" s="67">
        <f t="shared" si="855"/>
        <v>30</v>
      </c>
      <c r="E2313" s="67">
        <f t="shared" si="856"/>
        <v>9</v>
      </c>
      <c r="F2313" s="74">
        <f t="shared" si="857"/>
        <v>46281</v>
      </c>
      <c r="G2313" s="67">
        <f t="shared" si="858"/>
        <v>24320</v>
      </c>
      <c r="H2313" s="75">
        <f t="shared" si="859"/>
        <v>1</v>
      </c>
      <c r="I2313" s="76">
        <f t="shared" si="860"/>
        <v>1</v>
      </c>
      <c r="J2313" s="76">
        <f t="shared" si="861"/>
        <v>1</v>
      </c>
      <c r="K2313" s="67">
        <f t="shared" si="862"/>
        <v>0</v>
      </c>
      <c r="L2313" s="67">
        <f t="shared" si="863"/>
        <v>0</v>
      </c>
      <c r="M2313" s="77">
        <f t="shared" si="864"/>
        <v>0</v>
      </c>
      <c r="N2313" s="76">
        <f t="shared" si="865"/>
        <v>1</v>
      </c>
      <c r="O2313" s="77">
        <f t="shared" si="866"/>
        <v>0.90967177242888408</v>
      </c>
      <c r="P2313" s="76">
        <f t="shared" si="867"/>
        <v>0.58333333333333337</v>
      </c>
      <c r="Q2313" s="76">
        <f t="shared" si="868"/>
        <v>0.41666666666666663</v>
      </c>
      <c r="R2313" s="76">
        <f t="shared" si="869"/>
        <v>0</v>
      </c>
      <c r="S2313" s="76">
        <f t="shared" si="870"/>
        <v>0.98877366568356961</v>
      </c>
      <c r="T2313" s="76">
        <f t="shared" si="871"/>
        <v>0.98877366568356961</v>
      </c>
      <c r="U2313" s="76">
        <f t="shared" si="872"/>
        <v>1</v>
      </c>
    </row>
    <row r="2314" spans="1:21" x14ac:dyDescent="0.25">
      <c r="A2314" s="71">
        <v>22</v>
      </c>
      <c r="B2314" s="72">
        <f t="shared" si="873"/>
        <v>46296</v>
      </c>
      <c r="C2314" s="73">
        <f t="shared" si="854"/>
        <v>46326</v>
      </c>
      <c r="D2314" s="67">
        <f t="shared" si="855"/>
        <v>31</v>
      </c>
      <c r="E2314" s="67">
        <f t="shared" si="856"/>
        <v>10</v>
      </c>
      <c r="F2314" s="74">
        <f t="shared" si="857"/>
        <v>46311.5</v>
      </c>
      <c r="G2314" s="67">
        <f t="shared" si="858"/>
        <v>24321</v>
      </c>
      <c r="H2314" s="75">
        <f t="shared" si="859"/>
        <v>1</v>
      </c>
      <c r="I2314" s="76">
        <f t="shared" si="860"/>
        <v>1</v>
      </c>
      <c r="J2314" s="76">
        <f t="shared" si="861"/>
        <v>1</v>
      </c>
      <c r="K2314" s="67">
        <f t="shared" si="862"/>
        <v>0</v>
      </c>
      <c r="L2314" s="67">
        <f t="shared" si="863"/>
        <v>0</v>
      </c>
      <c r="M2314" s="77">
        <f t="shared" si="864"/>
        <v>0</v>
      </c>
      <c r="N2314" s="76">
        <f t="shared" si="865"/>
        <v>1</v>
      </c>
      <c r="O2314" s="77">
        <f t="shared" si="866"/>
        <v>0.91033916849015317</v>
      </c>
      <c r="P2314" s="76">
        <f t="shared" si="867"/>
        <v>0.41666666666666669</v>
      </c>
      <c r="Q2314" s="76">
        <f t="shared" si="868"/>
        <v>0.58333333333333326</v>
      </c>
      <c r="R2314" s="76">
        <f t="shared" si="869"/>
        <v>0</v>
      </c>
      <c r="S2314" s="76">
        <f t="shared" si="870"/>
        <v>0.98949909618494902</v>
      </c>
      <c r="T2314" s="76">
        <f t="shared" si="871"/>
        <v>0.98949909618494902</v>
      </c>
      <c r="U2314" s="76">
        <f t="shared" si="872"/>
        <v>1</v>
      </c>
    </row>
    <row r="2315" spans="1:21" x14ac:dyDescent="0.25">
      <c r="A2315" s="71">
        <v>23</v>
      </c>
      <c r="B2315" s="72">
        <f t="shared" si="873"/>
        <v>46327</v>
      </c>
      <c r="C2315" s="73">
        <f t="shared" si="854"/>
        <v>46356</v>
      </c>
      <c r="D2315" s="67">
        <f t="shared" si="855"/>
        <v>30</v>
      </c>
      <c r="E2315" s="67">
        <f t="shared" si="856"/>
        <v>11</v>
      </c>
      <c r="F2315" s="74">
        <f t="shared" si="857"/>
        <v>46342</v>
      </c>
      <c r="G2315" s="67">
        <f t="shared" si="858"/>
        <v>24322</v>
      </c>
      <c r="H2315" s="75">
        <f t="shared" si="859"/>
        <v>1</v>
      </c>
      <c r="I2315" s="76">
        <f t="shared" si="860"/>
        <v>1</v>
      </c>
      <c r="J2315" s="76">
        <f t="shared" si="861"/>
        <v>1</v>
      </c>
      <c r="K2315" s="67">
        <f t="shared" si="862"/>
        <v>0</v>
      </c>
      <c r="L2315" s="67">
        <f t="shared" si="863"/>
        <v>0</v>
      </c>
      <c r="M2315" s="77">
        <f t="shared" si="864"/>
        <v>0</v>
      </c>
      <c r="N2315" s="76">
        <f t="shared" si="865"/>
        <v>1</v>
      </c>
      <c r="O2315" s="77">
        <f t="shared" si="866"/>
        <v>0.91100656455142237</v>
      </c>
      <c r="P2315" s="76">
        <f t="shared" si="867"/>
        <v>0.25</v>
      </c>
      <c r="Q2315" s="76">
        <f t="shared" si="868"/>
        <v>0.75</v>
      </c>
      <c r="R2315" s="76">
        <f t="shared" si="869"/>
        <v>0</v>
      </c>
      <c r="S2315" s="76">
        <f t="shared" si="870"/>
        <v>0.99022452668632865</v>
      </c>
      <c r="T2315" s="76">
        <f t="shared" si="871"/>
        <v>0.99022452668632865</v>
      </c>
      <c r="U2315" s="76">
        <f t="shared" si="872"/>
        <v>1</v>
      </c>
    </row>
    <row r="2316" spans="1:21" x14ac:dyDescent="0.25">
      <c r="A2316" s="71">
        <v>24</v>
      </c>
      <c r="B2316" s="72">
        <f t="shared" si="873"/>
        <v>46357</v>
      </c>
      <c r="C2316" s="73">
        <f t="shared" si="854"/>
        <v>46387</v>
      </c>
      <c r="D2316" s="67">
        <f t="shared" si="855"/>
        <v>31</v>
      </c>
      <c r="E2316" s="67">
        <f t="shared" si="856"/>
        <v>12</v>
      </c>
      <c r="F2316" s="74">
        <f t="shared" si="857"/>
        <v>46372.5</v>
      </c>
      <c r="G2316" s="67">
        <f t="shared" si="858"/>
        <v>24323</v>
      </c>
      <c r="H2316" s="75">
        <f t="shared" si="859"/>
        <v>1</v>
      </c>
      <c r="I2316" s="76">
        <f t="shared" si="860"/>
        <v>1</v>
      </c>
      <c r="J2316" s="76">
        <f t="shared" si="861"/>
        <v>1</v>
      </c>
      <c r="K2316" s="67">
        <f t="shared" si="862"/>
        <v>0</v>
      </c>
      <c r="L2316" s="67">
        <f t="shared" si="863"/>
        <v>0</v>
      </c>
      <c r="M2316" s="77">
        <f t="shared" si="864"/>
        <v>0</v>
      </c>
      <c r="N2316" s="76">
        <f t="shared" si="865"/>
        <v>1</v>
      </c>
      <c r="O2316" s="77">
        <f t="shared" si="866"/>
        <v>0.91167396061269146</v>
      </c>
      <c r="P2316" s="76">
        <f t="shared" si="867"/>
        <v>8.3333333333333329E-2</v>
      </c>
      <c r="Q2316" s="76">
        <f t="shared" si="868"/>
        <v>0.91666666666666663</v>
      </c>
      <c r="R2316" s="76">
        <f t="shared" si="869"/>
        <v>0</v>
      </c>
      <c r="S2316" s="76">
        <f t="shared" si="870"/>
        <v>0.99094995718770806</v>
      </c>
      <c r="T2316" s="76">
        <f t="shared" si="871"/>
        <v>0.99094995718770806</v>
      </c>
      <c r="U2316" s="76">
        <f t="shared" si="872"/>
        <v>1</v>
      </c>
    </row>
    <row r="2317" spans="1:21" x14ac:dyDescent="0.25">
      <c r="A2317" s="71">
        <v>25</v>
      </c>
      <c r="B2317" s="72">
        <f t="shared" si="873"/>
        <v>46388</v>
      </c>
      <c r="C2317" s="73">
        <f t="shared" si="854"/>
        <v>46418</v>
      </c>
      <c r="D2317" s="67">
        <f t="shared" si="855"/>
        <v>31</v>
      </c>
      <c r="E2317" s="67">
        <f t="shared" si="856"/>
        <v>1</v>
      </c>
      <c r="F2317" s="74">
        <f t="shared" si="857"/>
        <v>46403.5</v>
      </c>
      <c r="G2317" s="67">
        <f t="shared" si="858"/>
        <v>24324</v>
      </c>
      <c r="H2317" s="75">
        <f t="shared" si="859"/>
        <v>1</v>
      </c>
      <c r="I2317" s="76">
        <f t="shared" si="860"/>
        <v>1</v>
      </c>
      <c r="J2317" s="76">
        <f t="shared" si="861"/>
        <v>1</v>
      </c>
      <c r="K2317" s="67">
        <f t="shared" si="862"/>
        <v>0</v>
      </c>
      <c r="L2317" s="67">
        <f t="shared" si="863"/>
        <v>0</v>
      </c>
      <c r="M2317" s="77">
        <f t="shared" si="864"/>
        <v>0</v>
      </c>
      <c r="N2317" s="76">
        <f t="shared" si="865"/>
        <v>1</v>
      </c>
      <c r="O2317" s="77">
        <f t="shared" si="866"/>
        <v>0.91235229759299785</v>
      </c>
      <c r="P2317" s="76">
        <f t="shared" si="867"/>
        <v>0</v>
      </c>
      <c r="Q2317" s="76">
        <f t="shared" si="868"/>
        <v>1</v>
      </c>
      <c r="R2317" s="76">
        <f t="shared" si="869"/>
        <v>0</v>
      </c>
      <c r="S2317" s="76">
        <f t="shared" si="870"/>
        <v>0.99168727999238893</v>
      </c>
      <c r="T2317" s="76">
        <f t="shared" si="871"/>
        <v>0.98300589858243748</v>
      </c>
      <c r="U2317" s="76">
        <f t="shared" si="872"/>
        <v>1</v>
      </c>
    </row>
    <row r="2318" spans="1:21" x14ac:dyDescent="0.25">
      <c r="A2318" s="71">
        <v>26</v>
      </c>
      <c r="B2318" s="72">
        <f t="shared" si="873"/>
        <v>46419</v>
      </c>
      <c r="C2318" s="73">
        <f t="shared" si="854"/>
        <v>46446</v>
      </c>
      <c r="D2318" s="67">
        <f t="shared" si="855"/>
        <v>28</v>
      </c>
      <c r="E2318" s="67">
        <f t="shared" si="856"/>
        <v>2</v>
      </c>
      <c r="F2318" s="74">
        <f t="shared" si="857"/>
        <v>46433</v>
      </c>
      <c r="G2318" s="67">
        <f t="shared" si="858"/>
        <v>24325</v>
      </c>
      <c r="H2318" s="75">
        <f t="shared" si="859"/>
        <v>1</v>
      </c>
      <c r="I2318" s="76">
        <f t="shared" si="860"/>
        <v>1</v>
      </c>
      <c r="J2318" s="76">
        <f t="shared" si="861"/>
        <v>1.04</v>
      </c>
      <c r="K2318" s="67">
        <f t="shared" si="862"/>
        <v>1</v>
      </c>
      <c r="L2318" s="67">
        <f t="shared" si="863"/>
        <v>28</v>
      </c>
      <c r="M2318" s="77">
        <f t="shared" si="864"/>
        <v>1</v>
      </c>
      <c r="N2318" s="76">
        <f t="shared" si="865"/>
        <v>1.04</v>
      </c>
      <c r="O2318" s="77">
        <f t="shared" si="866"/>
        <v>0.91299781181619255</v>
      </c>
      <c r="P2318" s="76">
        <f t="shared" si="867"/>
        <v>0</v>
      </c>
      <c r="Q2318" s="76">
        <f t="shared" si="868"/>
        <v>1</v>
      </c>
      <c r="R2318" s="76">
        <f t="shared" si="869"/>
        <v>0</v>
      </c>
      <c r="S2318" s="76">
        <f t="shared" si="870"/>
        <v>1.0320844829226525</v>
      </c>
      <c r="T2318" s="76">
        <f t="shared" si="871"/>
        <v>0.98370754447721431</v>
      </c>
      <c r="U2318" s="76">
        <f t="shared" si="872"/>
        <v>1.04</v>
      </c>
    </row>
    <row r="2319" spans="1:21" x14ac:dyDescent="0.25">
      <c r="A2319" s="71">
        <v>27</v>
      </c>
      <c r="B2319" s="72">
        <f t="shared" si="873"/>
        <v>46447</v>
      </c>
      <c r="C2319" s="73">
        <f t="shared" si="854"/>
        <v>46477</v>
      </c>
      <c r="D2319" s="67">
        <f t="shared" si="855"/>
        <v>31</v>
      </c>
      <c r="E2319" s="67">
        <f t="shared" si="856"/>
        <v>3</v>
      </c>
      <c r="F2319" s="74">
        <f t="shared" si="857"/>
        <v>46462.5</v>
      </c>
      <c r="G2319" s="67">
        <f t="shared" si="858"/>
        <v>24326</v>
      </c>
      <c r="H2319" s="75">
        <f t="shared" si="859"/>
        <v>1</v>
      </c>
      <c r="I2319" s="76">
        <f t="shared" si="860"/>
        <v>1.04</v>
      </c>
      <c r="J2319" s="76">
        <f t="shared" si="861"/>
        <v>1.04</v>
      </c>
      <c r="K2319" s="67">
        <f t="shared" si="862"/>
        <v>0</v>
      </c>
      <c r="L2319" s="67">
        <f t="shared" si="863"/>
        <v>0</v>
      </c>
      <c r="M2319" s="77">
        <f t="shared" si="864"/>
        <v>0</v>
      </c>
      <c r="N2319" s="76">
        <f t="shared" si="865"/>
        <v>1.04</v>
      </c>
      <c r="O2319" s="77">
        <f t="shared" si="866"/>
        <v>0.91364332603938736</v>
      </c>
      <c r="P2319" s="76">
        <f t="shared" si="867"/>
        <v>0</v>
      </c>
      <c r="Q2319" s="76">
        <f t="shared" si="868"/>
        <v>1</v>
      </c>
      <c r="R2319" s="76">
        <f t="shared" si="869"/>
        <v>0</v>
      </c>
      <c r="S2319" s="76">
        <f t="shared" si="870"/>
        <v>1.0328141946532206</v>
      </c>
      <c r="T2319" s="76">
        <f t="shared" si="871"/>
        <v>0.98440919037199126</v>
      </c>
      <c r="U2319" s="76">
        <f t="shared" si="872"/>
        <v>1.04</v>
      </c>
    </row>
    <row r="2320" spans="1:21" x14ac:dyDescent="0.25">
      <c r="A2320" s="71">
        <v>28</v>
      </c>
      <c r="B2320" s="72">
        <f t="shared" si="873"/>
        <v>46478</v>
      </c>
      <c r="C2320" s="73">
        <f t="shared" si="854"/>
        <v>46507</v>
      </c>
      <c r="D2320" s="67">
        <f t="shared" si="855"/>
        <v>30</v>
      </c>
      <c r="E2320" s="67">
        <f t="shared" si="856"/>
        <v>4</v>
      </c>
      <c r="F2320" s="74">
        <f t="shared" si="857"/>
        <v>46493</v>
      </c>
      <c r="G2320" s="67">
        <f t="shared" si="858"/>
        <v>24327</v>
      </c>
      <c r="H2320" s="75">
        <f t="shared" si="859"/>
        <v>1</v>
      </c>
      <c r="I2320" s="76">
        <f t="shared" si="860"/>
        <v>1.04</v>
      </c>
      <c r="J2320" s="76">
        <f t="shared" si="861"/>
        <v>1.04</v>
      </c>
      <c r="K2320" s="67">
        <f t="shared" si="862"/>
        <v>0</v>
      </c>
      <c r="L2320" s="67">
        <f t="shared" si="863"/>
        <v>0</v>
      </c>
      <c r="M2320" s="77">
        <f t="shared" si="864"/>
        <v>0</v>
      </c>
      <c r="N2320" s="76">
        <f t="shared" si="865"/>
        <v>1.04</v>
      </c>
      <c r="O2320" s="77">
        <f t="shared" si="866"/>
        <v>0.91431072210065645</v>
      </c>
      <c r="P2320" s="76">
        <f t="shared" si="867"/>
        <v>0</v>
      </c>
      <c r="Q2320" s="76">
        <f t="shared" si="868"/>
        <v>1</v>
      </c>
      <c r="R2320" s="76">
        <f t="shared" si="869"/>
        <v>0</v>
      </c>
      <c r="S2320" s="76">
        <f t="shared" si="870"/>
        <v>1.0335686423746551</v>
      </c>
      <c r="T2320" s="76">
        <f t="shared" si="871"/>
        <v>0.98513462087337078</v>
      </c>
      <c r="U2320" s="76">
        <f t="shared" si="872"/>
        <v>1.04</v>
      </c>
    </row>
    <row r="2321" spans="1:21" x14ac:dyDescent="0.25">
      <c r="A2321" s="71">
        <v>29</v>
      </c>
      <c r="B2321" s="72">
        <f t="shared" si="873"/>
        <v>46508</v>
      </c>
      <c r="C2321" s="73">
        <f t="shared" si="854"/>
        <v>46538</v>
      </c>
      <c r="D2321" s="67">
        <f t="shared" si="855"/>
        <v>31</v>
      </c>
      <c r="E2321" s="67">
        <f t="shared" si="856"/>
        <v>5</v>
      </c>
      <c r="F2321" s="74">
        <f t="shared" si="857"/>
        <v>46523.5</v>
      </c>
      <c r="G2321" s="67">
        <f t="shared" si="858"/>
        <v>24328</v>
      </c>
      <c r="H2321" s="75">
        <f t="shared" si="859"/>
        <v>1</v>
      </c>
      <c r="I2321" s="76">
        <f t="shared" si="860"/>
        <v>1.04</v>
      </c>
      <c r="J2321" s="76">
        <f t="shared" si="861"/>
        <v>1.04</v>
      </c>
      <c r="K2321" s="67">
        <f t="shared" si="862"/>
        <v>0</v>
      </c>
      <c r="L2321" s="67">
        <f t="shared" si="863"/>
        <v>0</v>
      </c>
      <c r="M2321" s="77">
        <f t="shared" si="864"/>
        <v>0</v>
      </c>
      <c r="N2321" s="76">
        <f t="shared" si="865"/>
        <v>1.04</v>
      </c>
      <c r="O2321" s="77">
        <f t="shared" si="866"/>
        <v>0.91497811816192565</v>
      </c>
      <c r="P2321" s="76">
        <f t="shared" si="867"/>
        <v>0</v>
      </c>
      <c r="Q2321" s="76">
        <f t="shared" si="868"/>
        <v>1</v>
      </c>
      <c r="R2321" s="76">
        <f t="shared" si="869"/>
        <v>0</v>
      </c>
      <c r="S2321" s="76">
        <f t="shared" si="870"/>
        <v>1.0343230900960898</v>
      </c>
      <c r="T2321" s="76">
        <f t="shared" si="871"/>
        <v>0.9858600513747503</v>
      </c>
      <c r="U2321" s="76">
        <f t="shared" si="872"/>
        <v>1.04</v>
      </c>
    </row>
    <row r="2322" spans="1:21" x14ac:dyDescent="0.25">
      <c r="A2322" s="71">
        <v>30</v>
      </c>
      <c r="B2322" s="72">
        <f t="shared" si="873"/>
        <v>46539</v>
      </c>
      <c r="C2322" s="73">
        <f t="shared" si="854"/>
        <v>46568</v>
      </c>
      <c r="D2322" s="67">
        <f t="shared" si="855"/>
        <v>30</v>
      </c>
      <c r="E2322" s="67">
        <f t="shared" si="856"/>
        <v>6</v>
      </c>
      <c r="F2322" s="74">
        <f t="shared" si="857"/>
        <v>46554</v>
      </c>
      <c r="G2322" s="67">
        <f t="shared" si="858"/>
        <v>24329</v>
      </c>
      <c r="H2322" s="75">
        <f t="shared" si="859"/>
        <v>1</v>
      </c>
      <c r="I2322" s="76">
        <f t="shared" si="860"/>
        <v>1.04</v>
      </c>
      <c r="J2322" s="76">
        <f t="shared" si="861"/>
        <v>1.04</v>
      </c>
      <c r="K2322" s="67">
        <f t="shared" si="862"/>
        <v>0</v>
      </c>
      <c r="L2322" s="67">
        <f t="shared" si="863"/>
        <v>0</v>
      </c>
      <c r="M2322" s="77">
        <f t="shared" si="864"/>
        <v>0</v>
      </c>
      <c r="N2322" s="76">
        <f t="shared" si="865"/>
        <v>1.04</v>
      </c>
      <c r="O2322" s="77">
        <f t="shared" si="866"/>
        <v>0.91564551422319473</v>
      </c>
      <c r="P2322" s="76">
        <f t="shared" si="867"/>
        <v>0</v>
      </c>
      <c r="Q2322" s="76">
        <f t="shared" si="868"/>
        <v>1</v>
      </c>
      <c r="R2322" s="76">
        <f t="shared" si="869"/>
        <v>0</v>
      </c>
      <c r="S2322" s="76">
        <f t="shared" si="870"/>
        <v>1.0350775378175245</v>
      </c>
      <c r="T2322" s="76">
        <f t="shared" si="871"/>
        <v>0.98658548187612971</v>
      </c>
      <c r="U2322" s="76">
        <f t="shared" si="872"/>
        <v>1.04</v>
      </c>
    </row>
    <row r="2323" spans="1:21" x14ac:dyDescent="0.25">
      <c r="A2323" s="71">
        <v>31</v>
      </c>
      <c r="B2323" s="72">
        <f t="shared" si="873"/>
        <v>46569</v>
      </c>
      <c r="C2323" s="73">
        <f t="shared" si="854"/>
        <v>46599</v>
      </c>
      <c r="D2323" s="67">
        <f t="shared" si="855"/>
        <v>31</v>
      </c>
      <c r="E2323" s="67">
        <f t="shared" si="856"/>
        <v>7</v>
      </c>
      <c r="F2323" s="74">
        <f t="shared" si="857"/>
        <v>46584.5</v>
      </c>
      <c r="G2323" s="67">
        <f t="shared" si="858"/>
        <v>24330</v>
      </c>
      <c r="H2323" s="75">
        <f t="shared" si="859"/>
        <v>1</v>
      </c>
      <c r="I2323" s="76">
        <f t="shared" si="860"/>
        <v>1.04</v>
      </c>
      <c r="J2323" s="76">
        <f t="shared" si="861"/>
        <v>1.04</v>
      </c>
      <c r="K2323" s="67">
        <f t="shared" si="862"/>
        <v>0</v>
      </c>
      <c r="L2323" s="67">
        <f t="shared" si="863"/>
        <v>0</v>
      </c>
      <c r="M2323" s="77">
        <f t="shared" si="864"/>
        <v>0</v>
      </c>
      <c r="N2323" s="76">
        <f t="shared" si="865"/>
        <v>1.04</v>
      </c>
      <c r="O2323" s="77">
        <f t="shared" si="866"/>
        <v>0.91631291028446393</v>
      </c>
      <c r="P2323" s="76">
        <f t="shared" si="867"/>
        <v>0</v>
      </c>
      <c r="Q2323" s="76">
        <f t="shared" si="868"/>
        <v>0.91666666666666663</v>
      </c>
      <c r="R2323" s="76">
        <f t="shared" si="869"/>
        <v>8.333333333333337E-2</v>
      </c>
      <c r="S2323" s="76">
        <f t="shared" si="870"/>
        <v>1.0358319855389593</v>
      </c>
      <c r="T2323" s="76">
        <f t="shared" si="871"/>
        <v>0.98731091237750934</v>
      </c>
      <c r="U2323" s="76">
        <f t="shared" si="872"/>
        <v>1.04</v>
      </c>
    </row>
    <row r="2324" spans="1:21" x14ac:dyDescent="0.25">
      <c r="A2324" s="71">
        <v>32</v>
      </c>
      <c r="B2324" s="72">
        <f t="shared" si="873"/>
        <v>46600</v>
      </c>
      <c r="C2324" s="73">
        <f t="shared" si="854"/>
        <v>46630</v>
      </c>
      <c r="D2324" s="67">
        <f t="shared" si="855"/>
        <v>31</v>
      </c>
      <c r="E2324" s="67">
        <f t="shared" si="856"/>
        <v>8</v>
      </c>
      <c r="F2324" s="74">
        <f t="shared" si="857"/>
        <v>46615.5</v>
      </c>
      <c r="G2324" s="67">
        <f t="shared" si="858"/>
        <v>24331</v>
      </c>
      <c r="H2324" s="75">
        <f t="shared" si="859"/>
        <v>1</v>
      </c>
      <c r="I2324" s="76">
        <f t="shared" si="860"/>
        <v>1.04</v>
      </c>
      <c r="J2324" s="76">
        <f t="shared" si="861"/>
        <v>1.04</v>
      </c>
      <c r="K2324" s="67">
        <f t="shared" si="862"/>
        <v>0</v>
      </c>
      <c r="L2324" s="67">
        <f t="shared" si="863"/>
        <v>0</v>
      </c>
      <c r="M2324" s="77">
        <f t="shared" si="864"/>
        <v>0</v>
      </c>
      <c r="N2324" s="76">
        <f t="shared" si="865"/>
        <v>1.04</v>
      </c>
      <c r="O2324" s="77">
        <f t="shared" si="866"/>
        <v>0.91699124726477033</v>
      </c>
      <c r="P2324" s="76">
        <f t="shared" si="867"/>
        <v>0</v>
      </c>
      <c r="Q2324" s="76">
        <f t="shared" si="868"/>
        <v>0.75</v>
      </c>
      <c r="R2324" s="76">
        <f t="shared" si="869"/>
        <v>0.25</v>
      </c>
      <c r="S2324" s="76">
        <f t="shared" si="870"/>
        <v>1.0365988012558274</v>
      </c>
      <c r="T2324" s="76">
        <f t="shared" si="871"/>
        <v>0.98804823518219009</v>
      </c>
      <c r="U2324" s="76">
        <f t="shared" si="872"/>
        <v>1.04</v>
      </c>
    </row>
    <row r="2325" spans="1:21" x14ac:dyDescent="0.25">
      <c r="A2325" s="71">
        <v>33</v>
      </c>
      <c r="B2325" s="72">
        <f t="shared" si="873"/>
        <v>46631</v>
      </c>
      <c r="C2325" s="73">
        <f t="shared" si="854"/>
        <v>46660</v>
      </c>
      <c r="D2325" s="67">
        <f t="shared" si="855"/>
        <v>30</v>
      </c>
      <c r="E2325" s="67">
        <f t="shared" si="856"/>
        <v>9</v>
      </c>
      <c r="F2325" s="74">
        <f t="shared" si="857"/>
        <v>46646</v>
      </c>
      <c r="G2325" s="67">
        <f t="shared" si="858"/>
        <v>24332</v>
      </c>
      <c r="H2325" s="75">
        <f t="shared" si="859"/>
        <v>1</v>
      </c>
      <c r="I2325" s="76">
        <f t="shared" si="860"/>
        <v>1.04</v>
      </c>
      <c r="J2325" s="76">
        <f t="shared" si="861"/>
        <v>1.04</v>
      </c>
      <c r="K2325" s="67">
        <f t="shared" si="862"/>
        <v>0</v>
      </c>
      <c r="L2325" s="67">
        <f t="shared" si="863"/>
        <v>0</v>
      </c>
      <c r="M2325" s="77">
        <f t="shared" si="864"/>
        <v>0</v>
      </c>
      <c r="N2325" s="76">
        <f t="shared" si="865"/>
        <v>1.04</v>
      </c>
      <c r="O2325" s="77">
        <f t="shared" si="866"/>
        <v>0.91765864332603941</v>
      </c>
      <c r="P2325" s="76">
        <f t="shared" si="867"/>
        <v>0</v>
      </c>
      <c r="Q2325" s="76">
        <f t="shared" si="868"/>
        <v>0.58333333333333337</v>
      </c>
      <c r="R2325" s="76">
        <f t="shared" si="869"/>
        <v>0.41666666666666663</v>
      </c>
      <c r="S2325" s="76">
        <f t="shared" si="870"/>
        <v>1.0373532489772619</v>
      </c>
      <c r="T2325" s="76">
        <f t="shared" si="871"/>
        <v>0.98877366568356961</v>
      </c>
      <c r="U2325" s="76">
        <f t="shared" si="872"/>
        <v>1.04</v>
      </c>
    </row>
    <row r="2326" spans="1:21" x14ac:dyDescent="0.25">
      <c r="A2326" s="71">
        <v>34</v>
      </c>
      <c r="B2326" s="72">
        <f t="shared" si="873"/>
        <v>46661</v>
      </c>
      <c r="C2326" s="73">
        <f t="shared" si="854"/>
        <v>46691</v>
      </c>
      <c r="D2326" s="67">
        <f t="shared" si="855"/>
        <v>31</v>
      </c>
      <c r="E2326" s="67">
        <f t="shared" si="856"/>
        <v>10</v>
      </c>
      <c r="F2326" s="74">
        <f t="shared" si="857"/>
        <v>46676.5</v>
      </c>
      <c r="G2326" s="67">
        <f t="shared" si="858"/>
        <v>24333</v>
      </c>
      <c r="H2326" s="75">
        <f t="shared" si="859"/>
        <v>1</v>
      </c>
      <c r="I2326" s="76">
        <f t="shared" si="860"/>
        <v>1.04</v>
      </c>
      <c r="J2326" s="76">
        <f t="shared" si="861"/>
        <v>1.04</v>
      </c>
      <c r="K2326" s="67">
        <f t="shared" si="862"/>
        <v>0</v>
      </c>
      <c r="L2326" s="67">
        <f t="shared" si="863"/>
        <v>0</v>
      </c>
      <c r="M2326" s="77">
        <f t="shared" si="864"/>
        <v>0</v>
      </c>
      <c r="N2326" s="76">
        <f t="shared" si="865"/>
        <v>1.04</v>
      </c>
      <c r="O2326" s="77">
        <f t="shared" si="866"/>
        <v>0.91832603938730861</v>
      </c>
      <c r="P2326" s="76">
        <f t="shared" si="867"/>
        <v>0</v>
      </c>
      <c r="Q2326" s="76">
        <f t="shared" si="868"/>
        <v>0.41666666666666669</v>
      </c>
      <c r="R2326" s="76">
        <f t="shared" si="869"/>
        <v>0.58333333333333326</v>
      </c>
      <c r="S2326" s="76">
        <f t="shared" si="870"/>
        <v>1.0381076966986966</v>
      </c>
      <c r="T2326" s="76">
        <f t="shared" si="871"/>
        <v>0.98949909618494902</v>
      </c>
      <c r="U2326" s="76">
        <f t="shared" si="872"/>
        <v>1.04</v>
      </c>
    </row>
    <row r="2327" spans="1:21" x14ac:dyDescent="0.25">
      <c r="A2327" s="71">
        <v>35</v>
      </c>
      <c r="B2327" s="72">
        <f t="shared" si="873"/>
        <v>46692</v>
      </c>
      <c r="C2327" s="73">
        <f t="shared" si="854"/>
        <v>46721</v>
      </c>
      <c r="D2327" s="67">
        <f t="shared" si="855"/>
        <v>30</v>
      </c>
      <c r="E2327" s="67">
        <f t="shared" si="856"/>
        <v>11</v>
      </c>
      <c r="F2327" s="74">
        <f t="shared" si="857"/>
        <v>46707</v>
      </c>
      <c r="G2327" s="67">
        <f t="shared" si="858"/>
        <v>24334</v>
      </c>
      <c r="H2327" s="75">
        <f t="shared" si="859"/>
        <v>1</v>
      </c>
      <c r="I2327" s="76">
        <f t="shared" si="860"/>
        <v>1.04</v>
      </c>
      <c r="J2327" s="76">
        <f t="shared" si="861"/>
        <v>1.04</v>
      </c>
      <c r="K2327" s="67">
        <f t="shared" si="862"/>
        <v>0</v>
      </c>
      <c r="L2327" s="67">
        <f t="shared" si="863"/>
        <v>0</v>
      </c>
      <c r="M2327" s="77">
        <f t="shared" si="864"/>
        <v>0</v>
      </c>
      <c r="N2327" s="76">
        <f t="shared" si="865"/>
        <v>1.04</v>
      </c>
      <c r="O2327" s="77">
        <f t="shared" si="866"/>
        <v>0.9189934354485777</v>
      </c>
      <c r="P2327" s="76">
        <f t="shared" si="867"/>
        <v>0</v>
      </c>
      <c r="Q2327" s="76">
        <f t="shared" si="868"/>
        <v>0.25</v>
      </c>
      <c r="R2327" s="76">
        <f t="shared" si="869"/>
        <v>0.75</v>
      </c>
      <c r="S2327" s="76">
        <f t="shared" si="870"/>
        <v>1.0388621444201314</v>
      </c>
      <c r="T2327" s="76">
        <f t="shared" si="871"/>
        <v>0.99022452668632865</v>
      </c>
      <c r="U2327" s="76">
        <f t="shared" si="872"/>
        <v>1.04</v>
      </c>
    </row>
    <row r="2328" spans="1:21" x14ac:dyDescent="0.25">
      <c r="A2328" s="71">
        <v>36</v>
      </c>
      <c r="B2328" s="72">
        <f t="shared" si="873"/>
        <v>46722</v>
      </c>
      <c r="C2328" s="73">
        <f t="shared" si="854"/>
        <v>46752</v>
      </c>
      <c r="D2328" s="67">
        <f t="shared" si="855"/>
        <v>31</v>
      </c>
      <c r="E2328" s="67">
        <f t="shared" si="856"/>
        <v>12</v>
      </c>
      <c r="F2328" s="74">
        <f t="shared" si="857"/>
        <v>46737.5</v>
      </c>
      <c r="G2328" s="67">
        <f t="shared" si="858"/>
        <v>24335</v>
      </c>
      <c r="H2328" s="75">
        <f t="shared" si="859"/>
        <v>1</v>
      </c>
      <c r="I2328" s="76">
        <f t="shared" si="860"/>
        <v>1.04</v>
      </c>
      <c r="J2328" s="76">
        <f t="shared" si="861"/>
        <v>1.04</v>
      </c>
      <c r="K2328" s="67">
        <f t="shared" si="862"/>
        <v>0</v>
      </c>
      <c r="L2328" s="67">
        <f t="shared" si="863"/>
        <v>0</v>
      </c>
      <c r="M2328" s="77">
        <f t="shared" si="864"/>
        <v>0</v>
      </c>
      <c r="N2328" s="76">
        <f t="shared" si="865"/>
        <v>1.04</v>
      </c>
      <c r="O2328" s="77">
        <f t="shared" si="866"/>
        <v>0.9196608315098469</v>
      </c>
      <c r="P2328" s="76">
        <f t="shared" si="867"/>
        <v>0</v>
      </c>
      <c r="Q2328" s="76">
        <f t="shared" si="868"/>
        <v>8.3333333333333329E-2</v>
      </c>
      <c r="R2328" s="76">
        <f t="shared" si="869"/>
        <v>0.91666666666666663</v>
      </c>
      <c r="S2328" s="76">
        <f t="shared" si="870"/>
        <v>1.0396165921415661</v>
      </c>
      <c r="T2328" s="76">
        <f t="shared" si="871"/>
        <v>0.99094995718770806</v>
      </c>
      <c r="U2328" s="76">
        <f t="shared" si="872"/>
        <v>1.04</v>
      </c>
    </row>
    <row r="2329" spans="1:21" x14ac:dyDescent="0.25">
      <c r="A2329" s="71">
        <v>37</v>
      </c>
      <c r="B2329" s="72">
        <f t="shared" si="873"/>
        <v>46753</v>
      </c>
      <c r="C2329" s="73">
        <f t="shared" si="854"/>
        <v>46783</v>
      </c>
      <c r="D2329" s="67">
        <f t="shared" si="855"/>
        <v>31</v>
      </c>
      <c r="E2329" s="67">
        <f t="shared" si="856"/>
        <v>1</v>
      </c>
      <c r="F2329" s="74">
        <f t="shared" si="857"/>
        <v>46768.5</v>
      </c>
      <c r="G2329" s="67">
        <f t="shared" si="858"/>
        <v>24336</v>
      </c>
      <c r="H2329" s="75">
        <f t="shared" si="859"/>
        <v>1</v>
      </c>
      <c r="I2329" s="76">
        <f t="shared" si="860"/>
        <v>1.04</v>
      </c>
      <c r="J2329" s="76">
        <f t="shared" si="861"/>
        <v>1.04</v>
      </c>
      <c r="K2329" s="67">
        <f t="shared" si="862"/>
        <v>0</v>
      </c>
      <c r="L2329" s="67">
        <f t="shared" si="863"/>
        <v>0</v>
      </c>
      <c r="M2329" s="77">
        <f t="shared" si="864"/>
        <v>0</v>
      </c>
      <c r="N2329" s="76">
        <f t="shared" si="865"/>
        <v>1.04</v>
      </c>
      <c r="O2329" s="77">
        <f t="shared" si="866"/>
        <v>0.92</v>
      </c>
      <c r="P2329" s="76">
        <f t="shared" si="867"/>
        <v>0</v>
      </c>
      <c r="Q2329" s="76">
        <f t="shared" si="868"/>
        <v>0</v>
      </c>
      <c r="R2329" s="76">
        <f t="shared" si="869"/>
        <v>1</v>
      </c>
      <c r="S2329" s="76">
        <f t="shared" si="870"/>
        <v>1.04</v>
      </c>
      <c r="T2329" s="76">
        <f t="shared" si="871"/>
        <v>0.98300589858243748</v>
      </c>
      <c r="U2329" s="76">
        <f t="shared" si="872"/>
        <v>1.04</v>
      </c>
    </row>
    <row r="2330" spans="1:21" x14ac:dyDescent="0.25">
      <c r="A2330" s="71">
        <v>38</v>
      </c>
      <c r="B2330" s="72">
        <f t="shared" si="873"/>
        <v>46784</v>
      </c>
      <c r="C2330" s="73">
        <f t="shared" si="854"/>
        <v>46812</v>
      </c>
      <c r="D2330" s="67">
        <f t="shared" si="855"/>
        <v>29</v>
      </c>
      <c r="E2330" s="67">
        <f t="shared" si="856"/>
        <v>2</v>
      </c>
      <c r="F2330" s="74">
        <f t="shared" si="857"/>
        <v>46798.5</v>
      </c>
      <c r="G2330" s="67">
        <f t="shared" si="858"/>
        <v>24337</v>
      </c>
      <c r="H2330" s="75">
        <f t="shared" si="859"/>
        <v>1</v>
      </c>
      <c r="I2330" s="76">
        <f t="shared" si="860"/>
        <v>1.04</v>
      </c>
      <c r="J2330" s="76">
        <f t="shared" si="861"/>
        <v>1.04</v>
      </c>
      <c r="K2330" s="67">
        <f t="shared" si="862"/>
        <v>0</v>
      </c>
      <c r="L2330" s="67">
        <f t="shared" si="863"/>
        <v>0</v>
      </c>
      <c r="M2330" s="77">
        <f t="shared" si="864"/>
        <v>0</v>
      </c>
      <c r="N2330" s="76">
        <f t="shared" si="865"/>
        <v>1.04</v>
      </c>
      <c r="O2330" s="77">
        <f t="shared" si="866"/>
        <v>0.92</v>
      </c>
      <c r="P2330" s="76">
        <f t="shared" si="867"/>
        <v>0</v>
      </c>
      <c r="Q2330" s="76">
        <f t="shared" si="868"/>
        <v>0</v>
      </c>
      <c r="R2330" s="76">
        <f t="shared" si="869"/>
        <v>1</v>
      </c>
      <c r="S2330" s="76">
        <f t="shared" si="870"/>
        <v>1.04</v>
      </c>
      <c r="T2330" s="76">
        <f t="shared" si="871"/>
        <v>0.98370754447721431</v>
      </c>
      <c r="U2330" s="76">
        <f t="shared" si="872"/>
        <v>1.04</v>
      </c>
    </row>
    <row r="2331" spans="1:21" x14ac:dyDescent="0.25">
      <c r="A2331" s="71">
        <v>39</v>
      </c>
      <c r="B2331" s="72">
        <f t="shared" si="873"/>
        <v>46813</v>
      </c>
      <c r="C2331" s="73">
        <f t="shared" si="854"/>
        <v>46843</v>
      </c>
      <c r="D2331" s="67">
        <f t="shared" si="855"/>
        <v>31</v>
      </c>
      <c r="E2331" s="67">
        <f t="shared" si="856"/>
        <v>3</v>
      </c>
      <c r="F2331" s="74">
        <f t="shared" si="857"/>
        <v>46828.5</v>
      </c>
      <c r="G2331" s="67">
        <f t="shared" si="858"/>
        <v>24338</v>
      </c>
      <c r="H2331" s="75">
        <f t="shared" si="859"/>
        <v>1</v>
      </c>
      <c r="I2331" s="76">
        <f t="shared" si="860"/>
        <v>1.04</v>
      </c>
      <c r="J2331" s="76">
        <f t="shared" si="861"/>
        <v>1.04</v>
      </c>
      <c r="K2331" s="67">
        <f t="shared" si="862"/>
        <v>0</v>
      </c>
      <c r="L2331" s="67">
        <f t="shared" si="863"/>
        <v>0</v>
      </c>
      <c r="M2331" s="77">
        <f t="shared" si="864"/>
        <v>0</v>
      </c>
      <c r="N2331" s="76">
        <f t="shared" si="865"/>
        <v>1.04</v>
      </c>
      <c r="O2331" s="77">
        <f t="shared" si="866"/>
        <v>0.92</v>
      </c>
      <c r="P2331" s="76">
        <f t="shared" si="867"/>
        <v>0</v>
      </c>
      <c r="Q2331" s="76">
        <f t="shared" si="868"/>
        <v>0</v>
      </c>
      <c r="R2331" s="76">
        <f t="shared" si="869"/>
        <v>1</v>
      </c>
      <c r="S2331" s="76">
        <f t="shared" si="870"/>
        <v>1.04</v>
      </c>
      <c r="T2331" s="76">
        <f t="shared" si="871"/>
        <v>0.98440919037199126</v>
      </c>
      <c r="U2331" s="76">
        <f t="shared" si="872"/>
        <v>1.04</v>
      </c>
    </row>
    <row r="2332" spans="1:21" x14ac:dyDescent="0.25">
      <c r="A2332" s="71">
        <v>40</v>
      </c>
      <c r="B2332" s="72">
        <f t="shared" si="873"/>
        <v>46844</v>
      </c>
      <c r="C2332" s="73">
        <f t="shared" si="854"/>
        <v>46873</v>
      </c>
      <c r="D2332" s="67">
        <f t="shared" si="855"/>
        <v>30</v>
      </c>
      <c r="E2332" s="67">
        <f t="shared" si="856"/>
        <v>4</v>
      </c>
      <c r="F2332" s="74">
        <f t="shared" si="857"/>
        <v>46859</v>
      </c>
      <c r="G2332" s="67">
        <f t="shared" si="858"/>
        <v>24339</v>
      </c>
      <c r="H2332" s="75">
        <f t="shared" si="859"/>
        <v>1</v>
      </c>
      <c r="I2332" s="76">
        <f t="shared" si="860"/>
        <v>1.04</v>
      </c>
      <c r="J2332" s="76">
        <f t="shared" si="861"/>
        <v>1.04</v>
      </c>
      <c r="K2332" s="67">
        <f t="shared" si="862"/>
        <v>0</v>
      </c>
      <c r="L2332" s="67">
        <f t="shared" si="863"/>
        <v>0</v>
      </c>
      <c r="M2332" s="77">
        <f t="shared" si="864"/>
        <v>0</v>
      </c>
      <c r="N2332" s="76">
        <f t="shared" si="865"/>
        <v>1.04</v>
      </c>
      <c r="O2332" s="77">
        <f t="shared" si="866"/>
        <v>0.92</v>
      </c>
      <c r="P2332" s="76">
        <f t="shared" si="867"/>
        <v>0</v>
      </c>
      <c r="Q2332" s="76">
        <f t="shared" si="868"/>
        <v>0</v>
      </c>
      <c r="R2332" s="76">
        <f t="shared" si="869"/>
        <v>1</v>
      </c>
      <c r="S2332" s="76">
        <f t="shared" si="870"/>
        <v>1.04</v>
      </c>
      <c r="T2332" s="76">
        <f t="shared" si="871"/>
        <v>0.98513462087337078</v>
      </c>
      <c r="U2332" s="76">
        <f t="shared" si="872"/>
        <v>1.04</v>
      </c>
    </row>
    <row r="2333" spans="1:21" x14ac:dyDescent="0.25">
      <c r="A2333" s="71">
        <v>41</v>
      </c>
      <c r="B2333" s="72">
        <f t="shared" si="873"/>
        <v>46874</v>
      </c>
      <c r="C2333" s="73">
        <f t="shared" si="854"/>
        <v>46904</v>
      </c>
      <c r="D2333" s="67">
        <f t="shared" si="855"/>
        <v>31</v>
      </c>
      <c r="E2333" s="67">
        <f t="shared" si="856"/>
        <v>5</v>
      </c>
      <c r="F2333" s="74">
        <f t="shared" si="857"/>
        <v>46889.5</v>
      </c>
      <c r="G2333" s="67">
        <f t="shared" si="858"/>
        <v>24340</v>
      </c>
      <c r="H2333" s="75">
        <f t="shared" si="859"/>
        <v>1</v>
      </c>
      <c r="I2333" s="76">
        <f t="shared" si="860"/>
        <v>1.04</v>
      </c>
      <c r="J2333" s="76">
        <f t="shared" si="861"/>
        <v>1.04</v>
      </c>
      <c r="K2333" s="67">
        <f t="shared" si="862"/>
        <v>0</v>
      </c>
      <c r="L2333" s="67">
        <f t="shared" si="863"/>
        <v>0</v>
      </c>
      <c r="M2333" s="77">
        <f t="shared" si="864"/>
        <v>0</v>
      </c>
      <c r="N2333" s="76">
        <f t="shared" si="865"/>
        <v>1.04</v>
      </c>
      <c r="O2333" s="77">
        <f t="shared" si="866"/>
        <v>0.92</v>
      </c>
      <c r="P2333" s="76">
        <f t="shared" si="867"/>
        <v>0</v>
      </c>
      <c r="Q2333" s="76">
        <f t="shared" si="868"/>
        <v>0</v>
      </c>
      <c r="R2333" s="76">
        <f t="shared" si="869"/>
        <v>1</v>
      </c>
      <c r="S2333" s="76">
        <f t="shared" si="870"/>
        <v>1.04</v>
      </c>
      <c r="T2333" s="76">
        <f t="shared" si="871"/>
        <v>0.9858600513747503</v>
      </c>
      <c r="U2333" s="76">
        <f t="shared" si="872"/>
        <v>1.04</v>
      </c>
    </row>
    <row r="2334" spans="1:21" x14ac:dyDescent="0.25">
      <c r="A2334" s="71">
        <v>42</v>
      </c>
      <c r="B2334" s="72">
        <f t="shared" si="873"/>
        <v>46905</v>
      </c>
      <c r="C2334" s="73">
        <f t="shared" si="854"/>
        <v>46934</v>
      </c>
      <c r="D2334" s="67">
        <f t="shared" si="855"/>
        <v>30</v>
      </c>
      <c r="E2334" s="67">
        <f t="shared" si="856"/>
        <v>6</v>
      </c>
      <c r="F2334" s="74">
        <f t="shared" si="857"/>
        <v>46920</v>
      </c>
      <c r="G2334" s="67">
        <f t="shared" si="858"/>
        <v>24341</v>
      </c>
      <c r="H2334" s="75">
        <f t="shared" si="859"/>
        <v>1</v>
      </c>
      <c r="I2334" s="76">
        <f t="shared" si="860"/>
        <v>1.04</v>
      </c>
      <c r="J2334" s="76">
        <f t="shared" si="861"/>
        <v>1.04</v>
      </c>
      <c r="K2334" s="67">
        <f t="shared" si="862"/>
        <v>0</v>
      </c>
      <c r="L2334" s="67">
        <f t="shared" si="863"/>
        <v>0</v>
      </c>
      <c r="M2334" s="77">
        <f t="shared" si="864"/>
        <v>0</v>
      </c>
      <c r="N2334" s="76">
        <f t="shared" si="865"/>
        <v>1.04</v>
      </c>
      <c r="O2334" s="77">
        <f t="shared" si="866"/>
        <v>0.92</v>
      </c>
      <c r="P2334" s="76">
        <f t="shared" si="867"/>
        <v>0</v>
      </c>
      <c r="Q2334" s="76">
        <f t="shared" si="868"/>
        <v>0</v>
      </c>
      <c r="R2334" s="76">
        <f t="shared" si="869"/>
        <v>1</v>
      </c>
      <c r="S2334" s="76">
        <f t="shared" si="870"/>
        <v>1.04</v>
      </c>
      <c r="T2334" s="76">
        <f t="shared" si="871"/>
        <v>0.98658548187612971</v>
      </c>
      <c r="U2334" s="76">
        <f t="shared" si="872"/>
        <v>1.04</v>
      </c>
    </row>
    <row r="2335" spans="1:21" x14ac:dyDescent="0.25">
      <c r="A2335" s="71">
        <v>43</v>
      </c>
      <c r="B2335" s="72">
        <f t="shared" si="873"/>
        <v>46935</v>
      </c>
      <c r="C2335" s="73">
        <f t="shared" si="854"/>
        <v>46965</v>
      </c>
      <c r="D2335" s="67">
        <f t="shared" si="855"/>
        <v>31</v>
      </c>
      <c r="E2335" s="67">
        <f t="shared" si="856"/>
        <v>7</v>
      </c>
      <c r="F2335" s="74">
        <f t="shared" si="857"/>
        <v>46950.5</v>
      </c>
      <c r="G2335" s="67">
        <f t="shared" si="858"/>
        <v>24342</v>
      </c>
      <c r="H2335" s="75">
        <f t="shared" si="859"/>
        <v>1</v>
      </c>
      <c r="I2335" s="76">
        <f t="shared" si="860"/>
        <v>1.04</v>
      </c>
      <c r="J2335" s="76">
        <f t="shared" si="861"/>
        <v>1.04</v>
      </c>
      <c r="K2335" s="67">
        <f t="shared" si="862"/>
        <v>0</v>
      </c>
      <c r="L2335" s="67">
        <f t="shared" si="863"/>
        <v>0</v>
      </c>
      <c r="M2335" s="77">
        <f t="shared" si="864"/>
        <v>0</v>
      </c>
      <c r="N2335" s="76">
        <f t="shared" si="865"/>
        <v>1.04</v>
      </c>
      <c r="O2335" s="77">
        <f t="shared" si="866"/>
        <v>0.92</v>
      </c>
      <c r="P2335" s="76">
        <f t="shared" si="867"/>
        <v>0</v>
      </c>
      <c r="Q2335" s="76">
        <f t="shared" si="868"/>
        <v>0</v>
      </c>
      <c r="R2335" s="76">
        <f t="shared" si="869"/>
        <v>0.91666666666666663</v>
      </c>
      <c r="S2335" s="76">
        <f t="shared" si="870"/>
        <v>1.04</v>
      </c>
      <c r="T2335" s="76">
        <f t="shared" si="871"/>
        <v>0.98731091237750934</v>
      </c>
      <c r="U2335" s="76">
        <f t="shared" si="872"/>
        <v>1.04</v>
      </c>
    </row>
    <row r="2336" spans="1:21" x14ac:dyDescent="0.25">
      <c r="A2336" s="71">
        <v>44</v>
      </c>
      <c r="B2336" s="72">
        <f t="shared" si="873"/>
        <v>46966</v>
      </c>
      <c r="C2336" s="73">
        <f t="shared" si="854"/>
        <v>46996</v>
      </c>
      <c r="D2336" s="67">
        <f t="shared" si="855"/>
        <v>31</v>
      </c>
      <c r="E2336" s="67">
        <f t="shared" si="856"/>
        <v>8</v>
      </c>
      <c r="F2336" s="74">
        <f t="shared" si="857"/>
        <v>46981.5</v>
      </c>
      <c r="G2336" s="67">
        <f t="shared" si="858"/>
        <v>24343</v>
      </c>
      <c r="H2336" s="75">
        <f t="shared" si="859"/>
        <v>1</v>
      </c>
      <c r="I2336" s="76">
        <f t="shared" si="860"/>
        <v>1.04</v>
      </c>
      <c r="J2336" s="76">
        <f t="shared" si="861"/>
        <v>1.04</v>
      </c>
      <c r="K2336" s="67">
        <f t="shared" si="862"/>
        <v>0</v>
      </c>
      <c r="L2336" s="67">
        <f t="shared" si="863"/>
        <v>0</v>
      </c>
      <c r="M2336" s="77">
        <f t="shared" si="864"/>
        <v>0</v>
      </c>
      <c r="N2336" s="76">
        <f t="shared" si="865"/>
        <v>1.04</v>
      </c>
      <c r="O2336" s="77">
        <f t="shared" si="866"/>
        <v>0.92</v>
      </c>
      <c r="P2336" s="76">
        <f t="shared" si="867"/>
        <v>0</v>
      </c>
      <c r="Q2336" s="76">
        <f t="shared" si="868"/>
        <v>0</v>
      </c>
      <c r="R2336" s="76">
        <f t="shared" si="869"/>
        <v>0.75</v>
      </c>
      <c r="S2336" s="76">
        <f t="shared" si="870"/>
        <v>1.04</v>
      </c>
      <c r="T2336" s="76">
        <f t="shared" si="871"/>
        <v>0.98804823518219009</v>
      </c>
      <c r="U2336" s="76">
        <f t="shared" si="872"/>
        <v>1.04</v>
      </c>
    </row>
    <row r="2337" spans="1:21" x14ac:dyDescent="0.25">
      <c r="A2337" s="71">
        <v>45</v>
      </c>
      <c r="B2337" s="72">
        <f t="shared" si="873"/>
        <v>46997</v>
      </c>
      <c r="C2337" s="73">
        <f t="shared" si="854"/>
        <v>47026</v>
      </c>
      <c r="D2337" s="67">
        <f t="shared" si="855"/>
        <v>30</v>
      </c>
      <c r="E2337" s="67">
        <f t="shared" si="856"/>
        <v>9</v>
      </c>
      <c r="F2337" s="74">
        <f t="shared" si="857"/>
        <v>47012</v>
      </c>
      <c r="G2337" s="67">
        <f t="shared" si="858"/>
        <v>24344</v>
      </c>
      <c r="H2337" s="75">
        <f t="shared" si="859"/>
        <v>1</v>
      </c>
      <c r="I2337" s="76">
        <f t="shared" si="860"/>
        <v>1.04</v>
      </c>
      <c r="J2337" s="76">
        <f t="shared" si="861"/>
        <v>1.04</v>
      </c>
      <c r="K2337" s="67">
        <f t="shared" si="862"/>
        <v>0</v>
      </c>
      <c r="L2337" s="67">
        <f t="shared" si="863"/>
        <v>0</v>
      </c>
      <c r="M2337" s="77">
        <f t="shared" si="864"/>
        <v>0</v>
      </c>
      <c r="N2337" s="76">
        <f t="shared" si="865"/>
        <v>1.04</v>
      </c>
      <c r="O2337" s="77">
        <f t="shared" si="866"/>
        <v>0.92</v>
      </c>
      <c r="P2337" s="76">
        <f t="shared" si="867"/>
        <v>0</v>
      </c>
      <c r="Q2337" s="76">
        <f t="shared" si="868"/>
        <v>0</v>
      </c>
      <c r="R2337" s="76">
        <f t="shared" si="869"/>
        <v>0.58333333333333337</v>
      </c>
      <c r="S2337" s="76">
        <f t="shared" si="870"/>
        <v>1.04</v>
      </c>
      <c r="T2337" s="76">
        <f t="shared" si="871"/>
        <v>0.98877366568356961</v>
      </c>
      <c r="U2337" s="76">
        <f t="shared" si="872"/>
        <v>1.04</v>
      </c>
    </row>
    <row r="2338" spans="1:21" x14ac:dyDescent="0.25">
      <c r="A2338" s="71">
        <v>46</v>
      </c>
      <c r="B2338" s="72">
        <f t="shared" si="873"/>
        <v>47027</v>
      </c>
      <c r="C2338" s="73">
        <f t="shared" si="854"/>
        <v>47057</v>
      </c>
      <c r="D2338" s="67">
        <f t="shared" si="855"/>
        <v>31</v>
      </c>
      <c r="E2338" s="67">
        <f t="shared" si="856"/>
        <v>10</v>
      </c>
      <c r="F2338" s="74">
        <f t="shared" si="857"/>
        <v>47042.5</v>
      </c>
      <c r="G2338" s="67">
        <f t="shared" si="858"/>
        <v>24345</v>
      </c>
      <c r="H2338" s="75">
        <f t="shared" si="859"/>
        <v>1</v>
      </c>
      <c r="I2338" s="76">
        <f t="shared" si="860"/>
        <v>1.04</v>
      </c>
      <c r="J2338" s="76">
        <f t="shared" si="861"/>
        <v>1.04</v>
      </c>
      <c r="K2338" s="67">
        <f t="shared" si="862"/>
        <v>0</v>
      </c>
      <c r="L2338" s="67">
        <f t="shared" si="863"/>
        <v>0</v>
      </c>
      <c r="M2338" s="77">
        <f t="shared" si="864"/>
        <v>0</v>
      </c>
      <c r="N2338" s="76">
        <f t="shared" si="865"/>
        <v>1.04</v>
      </c>
      <c r="O2338" s="77">
        <f t="shared" si="866"/>
        <v>0.92</v>
      </c>
      <c r="P2338" s="76">
        <f t="shared" si="867"/>
        <v>0</v>
      </c>
      <c r="Q2338" s="76">
        <f t="shared" si="868"/>
        <v>0</v>
      </c>
      <c r="R2338" s="76">
        <f t="shared" si="869"/>
        <v>0.41666666666666669</v>
      </c>
      <c r="S2338" s="76">
        <f t="shared" si="870"/>
        <v>1.04</v>
      </c>
      <c r="T2338" s="76">
        <f t="shared" si="871"/>
        <v>0.98949909618494902</v>
      </c>
      <c r="U2338" s="76">
        <f t="shared" si="872"/>
        <v>1.04</v>
      </c>
    </row>
    <row r="2339" spans="1:21" x14ac:dyDescent="0.25">
      <c r="A2339" s="71">
        <v>47</v>
      </c>
      <c r="B2339" s="72">
        <f t="shared" si="873"/>
        <v>47058</v>
      </c>
      <c r="C2339" s="73">
        <f t="shared" si="854"/>
        <v>47087</v>
      </c>
      <c r="D2339" s="67">
        <f t="shared" si="855"/>
        <v>30</v>
      </c>
      <c r="E2339" s="67">
        <f t="shared" si="856"/>
        <v>11</v>
      </c>
      <c r="F2339" s="74">
        <f t="shared" si="857"/>
        <v>47073</v>
      </c>
      <c r="G2339" s="67">
        <f t="shared" si="858"/>
        <v>24346</v>
      </c>
      <c r="H2339" s="75">
        <f t="shared" si="859"/>
        <v>1</v>
      </c>
      <c r="I2339" s="76">
        <f t="shared" si="860"/>
        <v>1.04</v>
      </c>
      <c r="J2339" s="76">
        <f t="shared" si="861"/>
        <v>1.04</v>
      </c>
      <c r="K2339" s="67">
        <f t="shared" si="862"/>
        <v>0</v>
      </c>
      <c r="L2339" s="67">
        <f t="shared" si="863"/>
        <v>0</v>
      </c>
      <c r="M2339" s="77">
        <f t="shared" si="864"/>
        <v>0</v>
      </c>
      <c r="N2339" s="76">
        <f t="shared" si="865"/>
        <v>1.04</v>
      </c>
      <c r="O2339" s="77">
        <f t="shared" si="866"/>
        <v>0.92</v>
      </c>
      <c r="P2339" s="76">
        <f t="shared" si="867"/>
        <v>0</v>
      </c>
      <c r="Q2339" s="76">
        <f t="shared" si="868"/>
        <v>0</v>
      </c>
      <c r="R2339" s="76">
        <f t="shared" si="869"/>
        <v>0.25</v>
      </c>
      <c r="S2339" s="76">
        <f t="shared" si="870"/>
        <v>1.04</v>
      </c>
      <c r="T2339" s="76">
        <f t="shared" si="871"/>
        <v>0.99022452668632865</v>
      </c>
      <c r="U2339" s="76">
        <f t="shared" si="872"/>
        <v>1.04</v>
      </c>
    </row>
    <row r="2340" spans="1:21" x14ac:dyDescent="0.25">
      <c r="A2340" s="71">
        <v>48</v>
      </c>
      <c r="B2340" s="72">
        <f t="shared" si="873"/>
        <v>47088</v>
      </c>
      <c r="C2340" s="73">
        <f t="shared" si="854"/>
        <v>47118</v>
      </c>
      <c r="D2340" s="67">
        <f t="shared" si="855"/>
        <v>31</v>
      </c>
      <c r="E2340" s="67">
        <f t="shared" si="856"/>
        <v>12</v>
      </c>
      <c r="F2340" s="74">
        <f t="shared" si="857"/>
        <v>47103.5</v>
      </c>
      <c r="G2340" s="67">
        <f t="shared" si="858"/>
        <v>24347</v>
      </c>
      <c r="H2340" s="75">
        <f t="shared" si="859"/>
        <v>1</v>
      </c>
      <c r="I2340" s="76">
        <f t="shared" si="860"/>
        <v>1.04</v>
      </c>
      <c r="J2340" s="76">
        <f t="shared" si="861"/>
        <v>1.04</v>
      </c>
      <c r="K2340" s="67">
        <f t="shared" si="862"/>
        <v>0</v>
      </c>
      <c r="L2340" s="67">
        <f t="shared" si="863"/>
        <v>0</v>
      </c>
      <c r="M2340" s="77">
        <f t="shared" si="864"/>
        <v>0</v>
      </c>
      <c r="N2340" s="76">
        <f t="shared" si="865"/>
        <v>1.04</v>
      </c>
      <c r="O2340" s="77">
        <f t="shared" si="866"/>
        <v>0.92</v>
      </c>
      <c r="P2340" s="76">
        <f t="shared" si="867"/>
        <v>0</v>
      </c>
      <c r="Q2340" s="76">
        <f t="shared" si="868"/>
        <v>0</v>
      </c>
      <c r="R2340" s="76">
        <f t="shared" si="869"/>
        <v>8.3333333333333329E-2</v>
      </c>
      <c r="S2340" s="76">
        <f t="shared" si="870"/>
        <v>1.04</v>
      </c>
      <c r="T2340" s="76">
        <f t="shared" si="871"/>
        <v>0.99094995718770806</v>
      </c>
      <c r="U2340" s="76">
        <f t="shared" si="872"/>
        <v>1.04</v>
      </c>
    </row>
    <row r="2341" spans="1:21" x14ac:dyDescent="0.25">
      <c r="A2341" s="81" t="s">
        <v>1187</v>
      </c>
      <c r="B2341" s="53">
        <f>EXP(SUMPRODUCT((rl_key=$A$2290)*(rl_cons="Y")*rl_ln1p))</f>
        <v>1</v>
      </c>
      <c r="C2341" s="53">
        <f>SUMPRODUCT($H$2293:$H$2340,$P$2293:$P$2340,$U$2293:$U$2340)/SUMPRODUCT($H$2293:$H$2340,$P$2293:$P$2340)</f>
        <v>1</v>
      </c>
      <c r="D2341" s="53">
        <f>SUMPRODUCT($H$2293:$H$2340,$Q$2293:$Q$2340,$U$2293:$U$2340)/SUMPRODUCT($H$2293:$H$2340,$Q$2293:$Q$2340)</f>
        <v>1.0266666666666666</v>
      </c>
      <c r="E2341" s="53">
        <f>SUMPRODUCT($H$2293:$H$2340,$R$2293:$R$2340,$U$2293:$U$2340)/SUMPRODUCT($H$2293:$H$2340,$R$2293:$R$2340)</f>
        <v>1.0399999999999998</v>
      </c>
      <c r="F2341" s="172">
        <f>SUMPRODUCT($H$2293:$H$2340,$Q$2293:$Q$2340,$O$2293:$O$2340)/SUMPRODUCT($H$2293:$H$2340,$Q$2293:$Q$2340)</f>
        <v>0.91399252370532447</v>
      </c>
      <c r="G2341" s="172">
        <f>SUMPRODUCT($H$2293:$H$2340,$R$2293:$R$2340,$O$2293:$O$2340)/SUMPRODUCT($H$2293:$H$2340,$R$2293:$R$2340)</f>
        <v>0.91966022368101141</v>
      </c>
    </row>
    <row r="2344" spans="1:21" x14ac:dyDescent="0.25">
      <c r="A2344" s="81" t="str">
        <f>INDEX(lr_key,43)</f>
        <v>BU-C|AZ</v>
      </c>
      <c r="B2344" s="81" t="str">
        <f>INDEX(lr_state,43)</f>
        <v>AZ</v>
      </c>
      <c r="C2344" s="55">
        <f>nr_TermMonths</f>
        <v>6</v>
      </c>
      <c r="D2344" s="55">
        <f>IF(COUNTIF(se_state,$B2344)=0,0,MATCH($B2344,se_state,0))</f>
        <v>0</v>
      </c>
      <c r="E2344" s="57">
        <f>IF($D2344=0,0,INDEX(se_sum,$D2344))</f>
        <v>0</v>
      </c>
      <c r="F2344" s="172">
        <f>IF(N(INDEX(lr_mind,43))=0,1,INDEX(lr_mind,43))</f>
        <v>0.92</v>
      </c>
      <c r="G2344" s="172">
        <f>IF(N(INDEX(lr_m0,43))=0,1,INDEX(lr_m0,43))</f>
        <v>0.91</v>
      </c>
      <c r="H2344" s="54">
        <f>IF(N(INDEX(lr_m0asof,43))=0,DATE(nr_PlanYear-1,10,1),INDEX(lr_m0asof,43))</f>
        <v>46295</v>
      </c>
      <c r="I2344" s="172">
        <f>IF(N(INDEX(lr_m1,43))=0,1,INDEX(lr_m1,43))</f>
        <v>0.9</v>
      </c>
      <c r="J2344" s="172">
        <f>INDEX(lr_mprior,43)</f>
        <v>0</v>
      </c>
      <c r="K2344" s="172">
        <f>INDEX(lr_m2,43)</f>
        <v>0</v>
      </c>
      <c r="L2344" s="81" t="b">
        <f>NOT(ISBLANK(INDEX(lr_netp,43)))</f>
        <v>0</v>
      </c>
      <c r="M2344" s="52">
        <f>N(INDEX(lr_netp,43))</f>
        <v>0</v>
      </c>
      <c r="N2344" s="52">
        <f>IF(ISBLANK(INDEX(lr_netp1,43)),$M$2344,N(INDEX(lr_netp1,43)))</f>
        <v>0</v>
      </c>
      <c r="O2344" s="55">
        <f>IF(AND(nr_ModAdjMaster="ON",INDEX(lr_modadj,43)="ON"),1,0)</f>
        <v>1</v>
      </c>
    </row>
    <row r="2345" spans="1:21" x14ac:dyDescent="0.25">
      <c r="A2345" s="81">
        <f>EDATE($H$2344,-12)+1</f>
        <v>45931</v>
      </c>
      <c r="B2345" s="81">
        <f>$H$2344+1</f>
        <v>46296</v>
      </c>
      <c r="C2345" s="81">
        <f>DATE(nr_PlanYear,12,31)+1</f>
        <v>46753</v>
      </c>
      <c r="D2345" s="81">
        <f>DATE(nr_PlanYear+1,12,31)+1</f>
        <v>47119</v>
      </c>
      <c r="E2345" s="81">
        <f>IF(N($J$2344)=0,$F$2345-($G$2345-$F$2345)/($C$2345-$B$2345)*($B$2345-$A$2345),$J$2344)</f>
        <v>0.91798687089715536</v>
      </c>
      <c r="F2345" s="81">
        <f>$G$2344</f>
        <v>0.91</v>
      </c>
      <c r="G2345" s="81">
        <f>$I$2344</f>
        <v>0.9</v>
      </c>
      <c r="H2345" s="81">
        <f>IF(N($K$2344)=0,$I$2344,$K$2344)</f>
        <v>0.9</v>
      </c>
      <c r="I2345" s="81">
        <f>($F$2345-$E$2345)/($B$2345-$A$2345)</f>
        <v>-2.1881838074398162E-5</v>
      </c>
      <c r="J2345" s="81">
        <f>($G$2345-$F$2345)/($C$2345-$B$2345)</f>
        <v>-2.188183807439827E-5</v>
      </c>
      <c r="K2345" s="81">
        <f>($H$2345-$G$2345)/($D$2345-$C$2345)</f>
        <v>0</v>
      </c>
    </row>
    <row r="2346" spans="1:21" ht="36" x14ac:dyDescent="0.25">
      <c r="A2346" s="50" t="s">
        <v>211</v>
      </c>
      <c r="B2346" s="50" t="s">
        <v>212</v>
      </c>
      <c r="C2346" s="50" t="s">
        <v>213</v>
      </c>
      <c r="D2346" s="50" t="s">
        <v>214</v>
      </c>
      <c r="E2346" s="50" t="s">
        <v>215</v>
      </c>
      <c r="F2346" s="50" t="s">
        <v>216</v>
      </c>
      <c r="G2346" s="50" t="s">
        <v>217</v>
      </c>
      <c r="H2346" s="50" t="s">
        <v>218</v>
      </c>
      <c r="I2346" s="50" t="s">
        <v>219</v>
      </c>
      <c r="J2346" s="50" t="s">
        <v>220</v>
      </c>
      <c r="K2346" s="50" t="s">
        <v>221</v>
      </c>
      <c r="L2346" s="50" t="s">
        <v>222</v>
      </c>
      <c r="M2346" s="50" t="s">
        <v>223</v>
      </c>
      <c r="N2346" s="50" t="s">
        <v>224</v>
      </c>
      <c r="O2346" s="50" t="s">
        <v>225</v>
      </c>
      <c r="P2346" s="50" t="s">
        <v>226</v>
      </c>
      <c r="Q2346" s="50" t="s">
        <v>227</v>
      </c>
      <c r="R2346" s="50" t="s">
        <v>228</v>
      </c>
      <c r="S2346" s="50" t="s">
        <v>229</v>
      </c>
      <c r="T2346" s="50" t="s">
        <v>230</v>
      </c>
      <c r="U2346" s="50" t="s">
        <v>231</v>
      </c>
    </row>
    <row r="2347" spans="1:21" x14ac:dyDescent="0.25">
      <c r="A2347" s="71">
        <v>1</v>
      </c>
      <c r="B2347" s="72">
        <f>DATE(nr_PlanYear-2,1,1)</f>
        <v>45658</v>
      </c>
      <c r="C2347" s="73">
        <f t="shared" ref="C2347:C2394" si="874">EOMONTH($B2347,0)</f>
        <v>45688</v>
      </c>
      <c r="D2347" s="67">
        <f t="shared" ref="D2347:D2394" si="875">$C2347-$B2347+1</f>
        <v>31</v>
      </c>
      <c r="E2347" s="67">
        <f t="shared" ref="E2347:E2394" si="876">MONTH($B2347)</f>
        <v>1</v>
      </c>
      <c r="F2347" s="74">
        <f t="shared" ref="F2347:F2394" si="877">($B2347+$C2347+1)/2</f>
        <v>45673.5</v>
      </c>
      <c r="G2347" s="67">
        <f t="shared" ref="G2347:G2394" si="878">YEAR($B2347)*12+MONTH($B2347)-1</f>
        <v>24300</v>
      </c>
      <c r="H2347" s="75">
        <f t="shared" ref="H2347:H2394" si="879">IF(OR(nr_SeasonOn="OFF",$D$2344=0,$E$2344=0),1,12*INDEX(se_block,$D$2344,$E2347)/$E$2344)</f>
        <v>1</v>
      </c>
      <c r="I2347" s="76">
        <f t="shared" ref="I2347:I2394" si="880">EXP(SUMPRODUCT((rl_eff&lt;$B2347)*(rl_key=$A$2344)*rl_ln1p))</f>
        <v>1</v>
      </c>
      <c r="J2347" s="76">
        <f t="shared" ref="J2347:J2394" si="881">EXP(SUMPRODUCT((rl_eff&lt;=$C2347)*(rl_key=$A$2344)*rl_ln1p))</f>
        <v>1</v>
      </c>
      <c r="K2347" s="67">
        <f t="shared" ref="K2347:K2394" si="882">COUNTIFS(rl_key,$A$2344,rl_eff,"&gt;="&amp;$B2347,rl_eff,"&lt;="&amp;$C2347)</f>
        <v>0</v>
      </c>
      <c r="L2347" s="67">
        <f t="shared" ref="L2347:L2394" si="883">SUMIFS(rl_daysafter,rl_key,$A$2344,rl_effmonth,$B2347,rl_first,1)</f>
        <v>0</v>
      </c>
      <c r="M2347" s="77">
        <f t="shared" ref="M2347:M2394" si="884">IF($K2347=0,0,MIN(1,$L2347/$D2347))</f>
        <v>0</v>
      </c>
      <c r="N2347" s="76">
        <f t="shared" ref="N2347:N2394" si="885">IF($K2347=0,$J2347,(1-$M2347)*$I2347+$M2347*$J2347)</f>
        <v>1</v>
      </c>
      <c r="O2347" s="77">
        <f t="shared" ref="O2347:O2394" si="886">IF($F2347&lt;$B$2345,$E$2345+$I$2345*($F2347-$A$2345),IF($F2347&lt;$C$2345,$F$2345+$J$2345*($F2347-$B$2345),$G$2345+$K$2345*($F2347-$C$2345)))</f>
        <v>0.92362144420131287</v>
      </c>
      <c r="P2347" s="76">
        <f t="shared" ref="P2347:P2394" si="887">MIN(1,MAX(0,(nr_MEndPm1-$G2347+0.5)/$C$2344))-MIN(1,MAX(0,(nr_MStartPm1-1-$G2347+0.5)/$C$2344))</f>
        <v>0</v>
      </c>
      <c r="Q2347" s="76">
        <f t="shared" ref="Q2347:Q2394" si="888">MIN(1,MAX(0,(nr_MEndP-$G2347+0.5)/$C$2344))-MIN(1,MAX(0,(nr_MStartP-1-$G2347+0.5)/$C$2344))</f>
        <v>0</v>
      </c>
      <c r="R2347" s="76">
        <f t="shared" ref="R2347:R2394" si="889">MIN(1,MAX(0,(nr_MEndP1-$G2347+0.5)/$C$2344))-MIN(1,MAX(0,(nr_MStartP1-1-$G2347+0.5)/$C$2344))</f>
        <v>0</v>
      </c>
      <c r="S2347" s="76">
        <f t="shared" ref="S2347:S2394" si="890">$N2347*IF($O$2344=1,$O2347/$F$2344,1)</f>
        <v>1.0039363523927314</v>
      </c>
      <c r="T2347" s="76">
        <f t="shared" ref="T2347:T2394" si="891">IF($G2347&lt;nr_MStartP,$S2347,$T2335*(1+IF($G2347&lt;nr_MStartP1,$M$2344,$N$2344)))</f>
        <v>1.0039363523927314</v>
      </c>
      <c r="U2347" s="76">
        <f t="shared" ref="U2347:U2394" si="892">IF($L$2344,$T2347,$N2347)</f>
        <v>1</v>
      </c>
    </row>
    <row r="2348" spans="1:21" x14ac:dyDescent="0.25">
      <c r="A2348" s="71">
        <v>2</v>
      </c>
      <c r="B2348" s="72">
        <f t="shared" ref="B2348:B2394" si="893">EDATE($B2347,1)</f>
        <v>45689</v>
      </c>
      <c r="C2348" s="73">
        <f t="shared" si="874"/>
        <v>45716</v>
      </c>
      <c r="D2348" s="67">
        <f t="shared" si="875"/>
        <v>28</v>
      </c>
      <c r="E2348" s="67">
        <f t="shared" si="876"/>
        <v>2</v>
      </c>
      <c r="F2348" s="74">
        <f t="shared" si="877"/>
        <v>45703</v>
      </c>
      <c r="G2348" s="67">
        <f t="shared" si="878"/>
        <v>24301</v>
      </c>
      <c r="H2348" s="75">
        <f t="shared" si="879"/>
        <v>1</v>
      </c>
      <c r="I2348" s="76">
        <f t="shared" si="880"/>
        <v>1</v>
      </c>
      <c r="J2348" s="76">
        <f t="shared" si="881"/>
        <v>1</v>
      </c>
      <c r="K2348" s="67">
        <f t="shared" si="882"/>
        <v>0</v>
      </c>
      <c r="L2348" s="67">
        <f t="shared" si="883"/>
        <v>0</v>
      </c>
      <c r="M2348" s="77">
        <f t="shared" si="884"/>
        <v>0</v>
      </c>
      <c r="N2348" s="76">
        <f t="shared" si="885"/>
        <v>1</v>
      </c>
      <c r="O2348" s="77">
        <f t="shared" si="886"/>
        <v>0.92297592997811817</v>
      </c>
      <c r="P2348" s="76">
        <f t="shared" si="887"/>
        <v>0</v>
      </c>
      <c r="Q2348" s="76">
        <f t="shared" si="888"/>
        <v>0</v>
      </c>
      <c r="R2348" s="76">
        <f t="shared" si="889"/>
        <v>0</v>
      </c>
      <c r="S2348" s="76">
        <f t="shared" si="890"/>
        <v>1.0032347064979545</v>
      </c>
      <c r="T2348" s="76">
        <f t="shared" si="891"/>
        <v>1.0032347064979545</v>
      </c>
      <c r="U2348" s="76">
        <f t="shared" si="892"/>
        <v>1</v>
      </c>
    </row>
    <row r="2349" spans="1:21" x14ac:dyDescent="0.25">
      <c r="A2349" s="71">
        <v>3</v>
      </c>
      <c r="B2349" s="72">
        <f t="shared" si="893"/>
        <v>45717</v>
      </c>
      <c r="C2349" s="73">
        <f t="shared" si="874"/>
        <v>45747</v>
      </c>
      <c r="D2349" s="67">
        <f t="shared" si="875"/>
        <v>31</v>
      </c>
      <c r="E2349" s="67">
        <f t="shared" si="876"/>
        <v>3</v>
      </c>
      <c r="F2349" s="74">
        <f t="shared" si="877"/>
        <v>45732.5</v>
      </c>
      <c r="G2349" s="67">
        <f t="shared" si="878"/>
        <v>24302</v>
      </c>
      <c r="H2349" s="75">
        <f t="shared" si="879"/>
        <v>1</v>
      </c>
      <c r="I2349" s="76">
        <f t="shared" si="880"/>
        <v>1</v>
      </c>
      <c r="J2349" s="76">
        <f t="shared" si="881"/>
        <v>1</v>
      </c>
      <c r="K2349" s="67">
        <f t="shared" si="882"/>
        <v>0</v>
      </c>
      <c r="L2349" s="67">
        <f t="shared" si="883"/>
        <v>0</v>
      </c>
      <c r="M2349" s="77">
        <f t="shared" si="884"/>
        <v>0</v>
      </c>
      <c r="N2349" s="76">
        <f t="shared" si="885"/>
        <v>1</v>
      </c>
      <c r="O2349" s="77">
        <f t="shared" si="886"/>
        <v>0.92233041575492336</v>
      </c>
      <c r="P2349" s="76">
        <f t="shared" si="887"/>
        <v>0</v>
      </c>
      <c r="Q2349" s="76">
        <f t="shared" si="888"/>
        <v>0</v>
      </c>
      <c r="R2349" s="76">
        <f t="shared" si="889"/>
        <v>0</v>
      </c>
      <c r="S2349" s="76">
        <f t="shared" si="890"/>
        <v>1.0025330606031775</v>
      </c>
      <c r="T2349" s="76">
        <f t="shared" si="891"/>
        <v>1.0025330606031775</v>
      </c>
      <c r="U2349" s="76">
        <f t="shared" si="892"/>
        <v>1</v>
      </c>
    </row>
    <row r="2350" spans="1:21" x14ac:dyDescent="0.25">
      <c r="A2350" s="71">
        <v>4</v>
      </c>
      <c r="B2350" s="72">
        <f t="shared" si="893"/>
        <v>45748</v>
      </c>
      <c r="C2350" s="73">
        <f t="shared" si="874"/>
        <v>45777</v>
      </c>
      <c r="D2350" s="67">
        <f t="shared" si="875"/>
        <v>30</v>
      </c>
      <c r="E2350" s="67">
        <f t="shared" si="876"/>
        <v>4</v>
      </c>
      <c r="F2350" s="74">
        <f t="shared" si="877"/>
        <v>45763</v>
      </c>
      <c r="G2350" s="67">
        <f t="shared" si="878"/>
        <v>24303</v>
      </c>
      <c r="H2350" s="75">
        <f t="shared" si="879"/>
        <v>1</v>
      </c>
      <c r="I2350" s="76">
        <f t="shared" si="880"/>
        <v>1</v>
      </c>
      <c r="J2350" s="76">
        <f t="shared" si="881"/>
        <v>1</v>
      </c>
      <c r="K2350" s="67">
        <f t="shared" si="882"/>
        <v>0</v>
      </c>
      <c r="L2350" s="67">
        <f t="shared" si="883"/>
        <v>0</v>
      </c>
      <c r="M2350" s="77">
        <f t="shared" si="884"/>
        <v>0</v>
      </c>
      <c r="N2350" s="76">
        <f t="shared" si="885"/>
        <v>1</v>
      </c>
      <c r="O2350" s="77">
        <f t="shared" si="886"/>
        <v>0.92166301969365427</v>
      </c>
      <c r="P2350" s="76">
        <f t="shared" si="887"/>
        <v>0</v>
      </c>
      <c r="Q2350" s="76">
        <f t="shared" si="888"/>
        <v>0</v>
      </c>
      <c r="R2350" s="76">
        <f t="shared" si="889"/>
        <v>0</v>
      </c>
      <c r="S2350" s="76">
        <f t="shared" si="890"/>
        <v>1.0018076301017982</v>
      </c>
      <c r="T2350" s="76">
        <f t="shared" si="891"/>
        <v>1.0018076301017982</v>
      </c>
      <c r="U2350" s="76">
        <f t="shared" si="892"/>
        <v>1</v>
      </c>
    </row>
    <row r="2351" spans="1:21" x14ac:dyDescent="0.25">
      <c r="A2351" s="71">
        <v>5</v>
      </c>
      <c r="B2351" s="72">
        <f t="shared" si="893"/>
        <v>45778</v>
      </c>
      <c r="C2351" s="73">
        <f t="shared" si="874"/>
        <v>45808</v>
      </c>
      <c r="D2351" s="67">
        <f t="shared" si="875"/>
        <v>31</v>
      </c>
      <c r="E2351" s="67">
        <f t="shared" si="876"/>
        <v>5</v>
      </c>
      <c r="F2351" s="74">
        <f t="shared" si="877"/>
        <v>45793.5</v>
      </c>
      <c r="G2351" s="67">
        <f t="shared" si="878"/>
        <v>24304</v>
      </c>
      <c r="H2351" s="75">
        <f t="shared" si="879"/>
        <v>1</v>
      </c>
      <c r="I2351" s="76">
        <f t="shared" si="880"/>
        <v>1</v>
      </c>
      <c r="J2351" s="76">
        <f t="shared" si="881"/>
        <v>1</v>
      </c>
      <c r="K2351" s="67">
        <f t="shared" si="882"/>
        <v>0</v>
      </c>
      <c r="L2351" s="67">
        <f t="shared" si="883"/>
        <v>0</v>
      </c>
      <c r="M2351" s="77">
        <f t="shared" si="884"/>
        <v>0</v>
      </c>
      <c r="N2351" s="76">
        <f t="shared" si="885"/>
        <v>1</v>
      </c>
      <c r="O2351" s="77">
        <f t="shared" si="886"/>
        <v>0.92099562363238507</v>
      </c>
      <c r="P2351" s="76">
        <f t="shared" si="887"/>
        <v>0</v>
      </c>
      <c r="Q2351" s="76">
        <f t="shared" si="888"/>
        <v>0</v>
      </c>
      <c r="R2351" s="76">
        <f t="shared" si="889"/>
        <v>0</v>
      </c>
      <c r="S2351" s="76">
        <f t="shared" si="890"/>
        <v>1.0010821996004184</v>
      </c>
      <c r="T2351" s="76">
        <f t="shared" si="891"/>
        <v>1.0010821996004184</v>
      </c>
      <c r="U2351" s="76">
        <f t="shared" si="892"/>
        <v>1</v>
      </c>
    </row>
    <row r="2352" spans="1:21" x14ac:dyDescent="0.25">
      <c r="A2352" s="71">
        <v>6</v>
      </c>
      <c r="B2352" s="72">
        <f t="shared" si="893"/>
        <v>45809</v>
      </c>
      <c r="C2352" s="73">
        <f t="shared" si="874"/>
        <v>45838</v>
      </c>
      <c r="D2352" s="67">
        <f t="shared" si="875"/>
        <v>30</v>
      </c>
      <c r="E2352" s="67">
        <f t="shared" si="876"/>
        <v>6</v>
      </c>
      <c r="F2352" s="74">
        <f t="shared" si="877"/>
        <v>45824</v>
      </c>
      <c r="G2352" s="67">
        <f t="shared" si="878"/>
        <v>24305</v>
      </c>
      <c r="H2352" s="75">
        <f t="shared" si="879"/>
        <v>1</v>
      </c>
      <c r="I2352" s="76">
        <f t="shared" si="880"/>
        <v>1</v>
      </c>
      <c r="J2352" s="76">
        <f t="shared" si="881"/>
        <v>1</v>
      </c>
      <c r="K2352" s="67">
        <f t="shared" si="882"/>
        <v>0</v>
      </c>
      <c r="L2352" s="67">
        <f t="shared" si="883"/>
        <v>0</v>
      </c>
      <c r="M2352" s="77">
        <f t="shared" si="884"/>
        <v>0</v>
      </c>
      <c r="N2352" s="76">
        <f t="shared" si="885"/>
        <v>1</v>
      </c>
      <c r="O2352" s="77">
        <f t="shared" si="886"/>
        <v>0.92032822757111599</v>
      </c>
      <c r="P2352" s="76">
        <f t="shared" si="887"/>
        <v>0</v>
      </c>
      <c r="Q2352" s="76">
        <f t="shared" si="888"/>
        <v>0</v>
      </c>
      <c r="R2352" s="76">
        <f t="shared" si="889"/>
        <v>0</v>
      </c>
      <c r="S2352" s="76">
        <f t="shared" si="890"/>
        <v>1.0003567690990391</v>
      </c>
      <c r="T2352" s="76">
        <f t="shared" si="891"/>
        <v>1.0003567690990391</v>
      </c>
      <c r="U2352" s="76">
        <f t="shared" si="892"/>
        <v>1</v>
      </c>
    </row>
    <row r="2353" spans="1:21" x14ac:dyDescent="0.25">
      <c r="A2353" s="71">
        <v>7</v>
      </c>
      <c r="B2353" s="72">
        <f t="shared" si="893"/>
        <v>45839</v>
      </c>
      <c r="C2353" s="73">
        <f t="shared" si="874"/>
        <v>45869</v>
      </c>
      <c r="D2353" s="67">
        <f t="shared" si="875"/>
        <v>31</v>
      </c>
      <c r="E2353" s="67">
        <f t="shared" si="876"/>
        <v>7</v>
      </c>
      <c r="F2353" s="74">
        <f t="shared" si="877"/>
        <v>45854.5</v>
      </c>
      <c r="G2353" s="67">
        <f t="shared" si="878"/>
        <v>24306</v>
      </c>
      <c r="H2353" s="75">
        <f t="shared" si="879"/>
        <v>1</v>
      </c>
      <c r="I2353" s="76">
        <f t="shared" si="880"/>
        <v>1</v>
      </c>
      <c r="J2353" s="76">
        <f t="shared" si="881"/>
        <v>1</v>
      </c>
      <c r="K2353" s="67">
        <f t="shared" si="882"/>
        <v>0</v>
      </c>
      <c r="L2353" s="67">
        <f t="shared" si="883"/>
        <v>0</v>
      </c>
      <c r="M2353" s="77">
        <f t="shared" si="884"/>
        <v>0</v>
      </c>
      <c r="N2353" s="76">
        <f t="shared" si="885"/>
        <v>1</v>
      </c>
      <c r="O2353" s="77">
        <f t="shared" si="886"/>
        <v>0.91966083150984679</v>
      </c>
      <c r="P2353" s="76">
        <f t="shared" si="887"/>
        <v>8.333333333333337E-2</v>
      </c>
      <c r="Q2353" s="76">
        <f t="shared" si="888"/>
        <v>0</v>
      </c>
      <c r="R2353" s="76">
        <f t="shared" si="889"/>
        <v>0</v>
      </c>
      <c r="S2353" s="76">
        <f t="shared" si="890"/>
        <v>0.99963133859765951</v>
      </c>
      <c r="T2353" s="76">
        <f t="shared" si="891"/>
        <v>0.99963133859765951</v>
      </c>
      <c r="U2353" s="76">
        <f t="shared" si="892"/>
        <v>1</v>
      </c>
    </row>
    <row r="2354" spans="1:21" x14ac:dyDescent="0.25">
      <c r="A2354" s="71">
        <v>8</v>
      </c>
      <c r="B2354" s="72">
        <f t="shared" si="893"/>
        <v>45870</v>
      </c>
      <c r="C2354" s="73">
        <f t="shared" si="874"/>
        <v>45900</v>
      </c>
      <c r="D2354" s="67">
        <f t="shared" si="875"/>
        <v>31</v>
      </c>
      <c r="E2354" s="67">
        <f t="shared" si="876"/>
        <v>8</v>
      </c>
      <c r="F2354" s="74">
        <f t="shared" si="877"/>
        <v>45885.5</v>
      </c>
      <c r="G2354" s="67">
        <f t="shared" si="878"/>
        <v>24307</v>
      </c>
      <c r="H2354" s="75">
        <f t="shared" si="879"/>
        <v>1</v>
      </c>
      <c r="I2354" s="76">
        <f t="shared" si="880"/>
        <v>1</v>
      </c>
      <c r="J2354" s="76">
        <f t="shared" si="881"/>
        <v>1</v>
      </c>
      <c r="K2354" s="67">
        <f t="shared" si="882"/>
        <v>0</v>
      </c>
      <c r="L2354" s="67">
        <f t="shared" si="883"/>
        <v>0</v>
      </c>
      <c r="M2354" s="77">
        <f t="shared" si="884"/>
        <v>0</v>
      </c>
      <c r="N2354" s="76">
        <f t="shared" si="885"/>
        <v>1</v>
      </c>
      <c r="O2354" s="77">
        <f t="shared" si="886"/>
        <v>0.91898249452954051</v>
      </c>
      <c r="P2354" s="76">
        <f t="shared" si="887"/>
        <v>0.25</v>
      </c>
      <c r="Q2354" s="76">
        <f t="shared" si="888"/>
        <v>0</v>
      </c>
      <c r="R2354" s="76">
        <f t="shared" si="889"/>
        <v>0</v>
      </c>
      <c r="S2354" s="76">
        <f t="shared" si="890"/>
        <v>0.99889401579297876</v>
      </c>
      <c r="T2354" s="76">
        <f t="shared" si="891"/>
        <v>0.99889401579297876</v>
      </c>
      <c r="U2354" s="76">
        <f t="shared" si="892"/>
        <v>1</v>
      </c>
    </row>
    <row r="2355" spans="1:21" x14ac:dyDescent="0.25">
      <c r="A2355" s="71">
        <v>9</v>
      </c>
      <c r="B2355" s="72">
        <f t="shared" si="893"/>
        <v>45901</v>
      </c>
      <c r="C2355" s="73">
        <f t="shared" si="874"/>
        <v>45930</v>
      </c>
      <c r="D2355" s="67">
        <f t="shared" si="875"/>
        <v>30</v>
      </c>
      <c r="E2355" s="67">
        <f t="shared" si="876"/>
        <v>9</v>
      </c>
      <c r="F2355" s="74">
        <f t="shared" si="877"/>
        <v>45916</v>
      </c>
      <c r="G2355" s="67">
        <f t="shared" si="878"/>
        <v>24308</v>
      </c>
      <c r="H2355" s="75">
        <f t="shared" si="879"/>
        <v>1</v>
      </c>
      <c r="I2355" s="76">
        <f t="shared" si="880"/>
        <v>1</v>
      </c>
      <c r="J2355" s="76">
        <f t="shared" si="881"/>
        <v>1</v>
      </c>
      <c r="K2355" s="67">
        <f t="shared" si="882"/>
        <v>0</v>
      </c>
      <c r="L2355" s="67">
        <f t="shared" si="883"/>
        <v>0</v>
      </c>
      <c r="M2355" s="77">
        <f t="shared" si="884"/>
        <v>0</v>
      </c>
      <c r="N2355" s="76">
        <f t="shared" si="885"/>
        <v>1</v>
      </c>
      <c r="O2355" s="77">
        <f t="shared" si="886"/>
        <v>0.91831509846827131</v>
      </c>
      <c r="P2355" s="76">
        <f t="shared" si="887"/>
        <v>0.41666666666666663</v>
      </c>
      <c r="Q2355" s="76">
        <f t="shared" si="888"/>
        <v>0</v>
      </c>
      <c r="R2355" s="76">
        <f t="shared" si="889"/>
        <v>0</v>
      </c>
      <c r="S2355" s="76">
        <f t="shared" si="890"/>
        <v>0.99816858529159924</v>
      </c>
      <c r="T2355" s="76">
        <f t="shared" si="891"/>
        <v>0.99816858529159924</v>
      </c>
      <c r="U2355" s="76">
        <f t="shared" si="892"/>
        <v>1</v>
      </c>
    </row>
    <row r="2356" spans="1:21" x14ac:dyDescent="0.25">
      <c r="A2356" s="71">
        <v>10</v>
      </c>
      <c r="B2356" s="72">
        <f t="shared" si="893"/>
        <v>45931</v>
      </c>
      <c r="C2356" s="73">
        <f t="shared" si="874"/>
        <v>45961</v>
      </c>
      <c r="D2356" s="67">
        <f t="shared" si="875"/>
        <v>31</v>
      </c>
      <c r="E2356" s="67">
        <f t="shared" si="876"/>
        <v>10</v>
      </c>
      <c r="F2356" s="74">
        <f t="shared" si="877"/>
        <v>45946.5</v>
      </c>
      <c r="G2356" s="67">
        <f t="shared" si="878"/>
        <v>24309</v>
      </c>
      <c r="H2356" s="75">
        <f t="shared" si="879"/>
        <v>1</v>
      </c>
      <c r="I2356" s="76">
        <f t="shared" si="880"/>
        <v>1</v>
      </c>
      <c r="J2356" s="76">
        <f t="shared" si="881"/>
        <v>1</v>
      </c>
      <c r="K2356" s="67">
        <f t="shared" si="882"/>
        <v>0</v>
      </c>
      <c r="L2356" s="67">
        <f t="shared" si="883"/>
        <v>0</v>
      </c>
      <c r="M2356" s="77">
        <f t="shared" si="884"/>
        <v>0</v>
      </c>
      <c r="N2356" s="76">
        <f t="shared" si="885"/>
        <v>1</v>
      </c>
      <c r="O2356" s="77">
        <f t="shared" si="886"/>
        <v>0.91764770240700222</v>
      </c>
      <c r="P2356" s="76">
        <f t="shared" si="887"/>
        <v>0.58333333333333326</v>
      </c>
      <c r="Q2356" s="76">
        <f t="shared" si="888"/>
        <v>0</v>
      </c>
      <c r="R2356" s="76">
        <f t="shared" si="889"/>
        <v>0</v>
      </c>
      <c r="S2356" s="76">
        <f t="shared" si="890"/>
        <v>0.99744315479021972</v>
      </c>
      <c r="T2356" s="76">
        <f t="shared" si="891"/>
        <v>0.99744315479021972</v>
      </c>
      <c r="U2356" s="76">
        <f t="shared" si="892"/>
        <v>1</v>
      </c>
    </row>
    <row r="2357" spans="1:21" x14ac:dyDescent="0.25">
      <c r="A2357" s="71">
        <v>11</v>
      </c>
      <c r="B2357" s="72">
        <f t="shared" si="893"/>
        <v>45962</v>
      </c>
      <c r="C2357" s="73">
        <f t="shared" si="874"/>
        <v>45991</v>
      </c>
      <c r="D2357" s="67">
        <f t="shared" si="875"/>
        <v>30</v>
      </c>
      <c r="E2357" s="67">
        <f t="shared" si="876"/>
        <v>11</v>
      </c>
      <c r="F2357" s="74">
        <f t="shared" si="877"/>
        <v>45977</v>
      </c>
      <c r="G2357" s="67">
        <f t="shared" si="878"/>
        <v>24310</v>
      </c>
      <c r="H2357" s="75">
        <f t="shared" si="879"/>
        <v>1</v>
      </c>
      <c r="I2357" s="76">
        <f t="shared" si="880"/>
        <v>1</v>
      </c>
      <c r="J2357" s="76">
        <f t="shared" si="881"/>
        <v>1</v>
      </c>
      <c r="K2357" s="67">
        <f t="shared" si="882"/>
        <v>0</v>
      </c>
      <c r="L2357" s="67">
        <f t="shared" si="883"/>
        <v>0</v>
      </c>
      <c r="M2357" s="77">
        <f t="shared" si="884"/>
        <v>0</v>
      </c>
      <c r="N2357" s="76">
        <f t="shared" si="885"/>
        <v>1</v>
      </c>
      <c r="O2357" s="77">
        <f t="shared" si="886"/>
        <v>0.91698030634573302</v>
      </c>
      <c r="P2357" s="76">
        <f t="shared" si="887"/>
        <v>0.75</v>
      </c>
      <c r="Q2357" s="76">
        <f t="shared" si="888"/>
        <v>0</v>
      </c>
      <c r="R2357" s="76">
        <f t="shared" si="889"/>
        <v>0</v>
      </c>
      <c r="S2357" s="76">
        <f t="shared" si="890"/>
        <v>0.9967177242888402</v>
      </c>
      <c r="T2357" s="76">
        <f t="shared" si="891"/>
        <v>0.9967177242888402</v>
      </c>
      <c r="U2357" s="76">
        <f t="shared" si="892"/>
        <v>1</v>
      </c>
    </row>
    <row r="2358" spans="1:21" x14ac:dyDescent="0.25">
      <c r="A2358" s="71">
        <v>12</v>
      </c>
      <c r="B2358" s="72">
        <f t="shared" si="893"/>
        <v>45992</v>
      </c>
      <c r="C2358" s="73">
        <f t="shared" si="874"/>
        <v>46022</v>
      </c>
      <c r="D2358" s="67">
        <f t="shared" si="875"/>
        <v>31</v>
      </c>
      <c r="E2358" s="67">
        <f t="shared" si="876"/>
        <v>12</v>
      </c>
      <c r="F2358" s="74">
        <f t="shared" si="877"/>
        <v>46007.5</v>
      </c>
      <c r="G2358" s="67">
        <f t="shared" si="878"/>
        <v>24311</v>
      </c>
      <c r="H2358" s="75">
        <f t="shared" si="879"/>
        <v>1</v>
      </c>
      <c r="I2358" s="76">
        <f t="shared" si="880"/>
        <v>1</v>
      </c>
      <c r="J2358" s="76">
        <f t="shared" si="881"/>
        <v>1</v>
      </c>
      <c r="K2358" s="67">
        <f t="shared" si="882"/>
        <v>0</v>
      </c>
      <c r="L2358" s="67">
        <f t="shared" si="883"/>
        <v>0</v>
      </c>
      <c r="M2358" s="77">
        <f t="shared" si="884"/>
        <v>0</v>
      </c>
      <c r="N2358" s="76">
        <f t="shared" si="885"/>
        <v>1</v>
      </c>
      <c r="O2358" s="77">
        <f t="shared" si="886"/>
        <v>0.91631291028446393</v>
      </c>
      <c r="P2358" s="76">
        <f t="shared" si="887"/>
        <v>0.91666666666666663</v>
      </c>
      <c r="Q2358" s="76">
        <f t="shared" si="888"/>
        <v>0</v>
      </c>
      <c r="R2358" s="76">
        <f t="shared" si="889"/>
        <v>0</v>
      </c>
      <c r="S2358" s="76">
        <f t="shared" si="890"/>
        <v>0.99599229378746079</v>
      </c>
      <c r="T2358" s="76">
        <f t="shared" si="891"/>
        <v>0.99599229378746079</v>
      </c>
      <c r="U2358" s="76">
        <f t="shared" si="892"/>
        <v>1</v>
      </c>
    </row>
    <row r="2359" spans="1:21" x14ac:dyDescent="0.25">
      <c r="A2359" s="71">
        <v>13</v>
      </c>
      <c r="B2359" s="72">
        <f t="shared" si="893"/>
        <v>46023</v>
      </c>
      <c r="C2359" s="73">
        <f t="shared" si="874"/>
        <v>46053</v>
      </c>
      <c r="D2359" s="67">
        <f t="shared" si="875"/>
        <v>31</v>
      </c>
      <c r="E2359" s="67">
        <f t="shared" si="876"/>
        <v>1</v>
      </c>
      <c r="F2359" s="74">
        <f t="shared" si="877"/>
        <v>46038.5</v>
      </c>
      <c r="G2359" s="67">
        <f t="shared" si="878"/>
        <v>24312</v>
      </c>
      <c r="H2359" s="75">
        <f t="shared" si="879"/>
        <v>1</v>
      </c>
      <c r="I2359" s="76">
        <f t="shared" si="880"/>
        <v>1</v>
      </c>
      <c r="J2359" s="76">
        <f t="shared" si="881"/>
        <v>1</v>
      </c>
      <c r="K2359" s="67">
        <f t="shared" si="882"/>
        <v>0</v>
      </c>
      <c r="L2359" s="67">
        <f t="shared" si="883"/>
        <v>0</v>
      </c>
      <c r="M2359" s="77">
        <f t="shared" si="884"/>
        <v>0</v>
      </c>
      <c r="N2359" s="76">
        <f t="shared" si="885"/>
        <v>1</v>
      </c>
      <c r="O2359" s="77">
        <f t="shared" si="886"/>
        <v>0.91563457330415754</v>
      </c>
      <c r="P2359" s="76">
        <f t="shared" si="887"/>
        <v>1</v>
      </c>
      <c r="Q2359" s="76">
        <f t="shared" si="888"/>
        <v>0</v>
      </c>
      <c r="R2359" s="76">
        <f t="shared" si="889"/>
        <v>0</v>
      </c>
      <c r="S2359" s="76">
        <f t="shared" si="890"/>
        <v>0.99525497098277993</v>
      </c>
      <c r="T2359" s="76">
        <f t="shared" si="891"/>
        <v>0.99525497098277993</v>
      </c>
      <c r="U2359" s="76">
        <f t="shared" si="892"/>
        <v>1</v>
      </c>
    </row>
    <row r="2360" spans="1:21" x14ac:dyDescent="0.25">
      <c r="A2360" s="71">
        <v>14</v>
      </c>
      <c r="B2360" s="72">
        <f t="shared" si="893"/>
        <v>46054</v>
      </c>
      <c r="C2360" s="73">
        <f t="shared" si="874"/>
        <v>46081</v>
      </c>
      <c r="D2360" s="67">
        <f t="shared" si="875"/>
        <v>28</v>
      </c>
      <c r="E2360" s="67">
        <f t="shared" si="876"/>
        <v>2</v>
      </c>
      <c r="F2360" s="74">
        <f t="shared" si="877"/>
        <v>46068</v>
      </c>
      <c r="G2360" s="67">
        <f t="shared" si="878"/>
        <v>24313</v>
      </c>
      <c r="H2360" s="75">
        <f t="shared" si="879"/>
        <v>1</v>
      </c>
      <c r="I2360" s="76">
        <f t="shared" si="880"/>
        <v>1</v>
      </c>
      <c r="J2360" s="76">
        <f t="shared" si="881"/>
        <v>1</v>
      </c>
      <c r="K2360" s="67">
        <f t="shared" si="882"/>
        <v>0</v>
      </c>
      <c r="L2360" s="67">
        <f t="shared" si="883"/>
        <v>0</v>
      </c>
      <c r="M2360" s="77">
        <f t="shared" si="884"/>
        <v>0</v>
      </c>
      <c r="N2360" s="76">
        <f t="shared" si="885"/>
        <v>1</v>
      </c>
      <c r="O2360" s="77">
        <f t="shared" si="886"/>
        <v>0.91498905908096284</v>
      </c>
      <c r="P2360" s="76">
        <f t="shared" si="887"/>
        <v>1</v>
      </c>
      <c r="Q2360" s="76">
        <f t="shared" si="888"/>
        <v>0</v>
      </c>
      <c r="R2360" s="76">
        <f t="shared" si="889"/>
        <v>0</v>
      </c>
      <c r="S2360" s="76">
        <f t="shared" si="890"/>
        <v>0.99455332508800309</v>
      </c>
      <c r="T2360" s="76">
        <f t="shared" si="891"/>
        <v>0.99455332508800309</v>
      </c>
      <c r="U2360" s="76">
        <f t="shared" si="892"/>
        <v>1</v>
      </c>
    </row>
    <row r="2361" spans="1:21" x14ac:dyDescent="0.25">
      <c r="A2361" s="71">
        <v>15</v>
      </c>
      <c r="B2361" s="72">
        <f t="shared" si="893"/>
        <v>46082</v>
      </c>
      <c r="C2361" s="73">
        <f t="shared" si="874"/>
        <v>46112</v>
      </c>
      <c r="D2361" s="67">
        <f t="shared" si="875"/>
        <v>31</v>
      </c>
      <c r="E2361" s="67">
        <f t="shared" si="876"/>
        <v>3</v>
      </c>
      <c r="F2361" s="74">
        <f t="shared" si="877"/>
        <v>46097.5</v>
      </c>
      <c r="G2361" s="67">
        <f t="shared" si="878"/>
        <v>24314</v>
      </c>
      <c r="H2361" s="75">
        <f t="shared" si="879"/>
        <v>1</v>
      </c>
      <c r="I2361" s="76">
        <f t="shared" si="880"/>
        <v>1</v>
      </c>
      <c r="J2361" s="76">
        <f t="shared" si="881"/>
        <v>1</v>
      </c>
      <c r="K2361" s="67">
        <f t="shared" si="882"/>
        <v>0</v>
      </c>
      <c r="L2361" s="67">
        <f t="shared" si="883"/>
        <v>0</v>
      </c>
      <c r="M2361" s="77">
        <f t="shared" si="884"/>
        <v>0</v>
      </c>
      <c r="N2361" s="76">
        <f t="shared" si="885"/>
        <v>1</v>
      </c>
      <c r="O2361" s="77">
        <f t="shared" si="886"/>
        <v>0.91434354485776803</v>
      </c>
      <c r="P2361" s="76">
        <f t="shared" si="887"/>
        <v>1</v>
      </c>
      <c r="Q2361" s="76">
        <f t="shared" si="888"/>
        <v>0</v>
      </c>
      <c r="R2361" s="76">
        <f t="shared" si="889"/>
        <v>0</v>
      </c>
      <c r="S2361" s="76">
        <f t="shared" si="890"/>
        <v>0.99385167919322603</v>
      </c>
      <c r="T2361" s="76">
        <f t="shared" si="891"/>
        <v>0.99385167919322603</v>
      </c>
      <c r="U2361" s="76">
        <f t="shared" si="892"/>
        <v>1</v>
      </c>
    </row>
    <row r="2362" spans="1:21" x14ac:dyDescent="0.25">
      <c r="A2362" s="71">
        <v>16</v>
      </c>
      <c r="B2362" s="72">
        <f t="shared" si="893"/>
        <v>46113</v>
      </c>
      <c r="C2362" s="73">
        <f t="shared" si="874"/>
        <v>46142</v>
      </c>
      <c r="D2362" s="67">
        <f t="shared" si="875"/>
        <v>30</v>
      </c>
      <c r="E2362" s="67">
        <f t="shared" si="876"/>
        <v>4</v>
      </c>
      <c r="F2362" s="74">
        <f t="shared" si="877"/>
        <v>46128</v>
      </c>
      <c r="G2362" s="67">
        <f t="shared" si="878"/>
        <v>24315</v>
      </c>
      <c r="H2362" s="75">
        <f t="shared" si="879"/>
        <v>1</v>
      </c>
      <c r="I2362" s="76">
        <f t="shared" si="880"/>
        <v>1</v>
      </c>
      <c r="J2362" s="76">
        <f t="shared" si="881"/>
        <v>1</v>
      </c>
      <c r="K2362" s="67">
        <f t="shared" si="882"/>
        <v>0</v>
      </c>
      <c r="L2362" s="67">
        <f t="shared" si="883"/>
        <v>0</v>
      </c>
      <c r="M2362" s="77">
        <f t="shared" si="884"/>
        <v>0</v>
      </c>
      <c r="N2362" s="76">
        <f t="shared" si="885"/>
        <v>1</v>
      </c>
      <c r="O2362" s="77">
        <f t="shared" si="886"/>
        <v>0.91367614879649894</v>
      </c>
      <c r="P2362" s="76">
        <f t="shared" si="887"/>
        <v>1</v>
      </c>
      <c r="Q2362" s="76">
        <f t="shared" si="888"/>
        <v>0</v>
      </c>
      <c r="R2362" s="76">
        <f t="shared" si="889"/>
        <v>0</v>
      </c>
      <c r="S2362" s="76">
        <f t="shared" si="890"/>
        <v>0.99312624869184662</v>
      </c>
      <c r="T2362" s="76">
        <f t="shared" si="891"/>
        <v>0.99312624869184662</v>
      </c>
      <c r="U2362" s="76">
        <f t="shared" si="892"/>
        <v>1</v>
      </c>
    </row>
    <row r="2363" spans="1:21" x14ac:dyDescent="0.25">
      <c r="A2363" s="71">
        <v>17</v>
      </c>
      <c r="B2363" s="72">
        <f t="shared" si="893"/>
        <v>46143</v>
      </c>
      <c r="C2363" s="73">
        <f t="shared" si="874"/>
        <v>46173</v>
      </c>
      <c r="D2363" s="67">
        <f t="shared" si="875"/>
        <v>31</v>
      </c>
      <c r="E2363" s="67">
        <f t="shared" si="876"/>
        <v>5</v>
      </c>
      <c r="F2363" s="74">
        <f t="shared" si="877"/>
        <v>46158.5</v>
      </c>
      <c r="G2363" s="67">
        <f t="shared" si="878"/>
        <v>24316</v>
      </c>
      <c r="H2363" s="75">
        <f t="shared" si="879"/>
        <v>1</v>
      </c>
      <c r="I2363" s="76">
        <f t="shared" si="880"/>
        <v>1</v>
      </c>
      <c r="J2363" s="76">
        <f t="shared" si="881"/>
        <v>1</v>
      </c>
      <c r="K2363" s="67">
        <f t="shared" si="882"/>
        <v>0</v>
      </c>
      <c r="L2363" s="67">
        <f t="shared" si="883"/>
        <v>0</v>
      </c>
      <c r="M2363" s="77">
        <f t="shared" si="884"/>
        <v>0</v>
      </c>
      <c r="N2363" s="76">
        <f t="shared" si="885"/>
        <v>1</v>
      </c>
      <c r="O2363" s="77">
        <f t="shared" si="886"/>
        <v>0.91300875273522974</v>
      </c>
      <c r="P2363" s="76">
        <f t="shared" si="887"/>
        <v>1</v>
      </c>
      <c r="Q2363" s="76">
        <f t="shared" si="888"/>
        <v>0</v>
      </c>
      <c r="R2363" s="76">
        <f t="shared" si="889"/>
        <v>0</v>
      </c>
      <c r="S2363" s="76">
        <f t="shared" si="890"/>
        <v>0.9924008181904671</v>
      </c>
      <c r="T2363" s="76">
        <f t="shared" si="891"/>
        <v>0.9924008181904671</v>
      </c>
      <c r="U2363" s="76">
        <f t="shared" si="892"/>
        <v>1</v>
      </c>
    </row>
    <row r="2364" spans="1:21" x14ac:dyDescent="0.25">
      <c r="A2364" s="71">
        <v>18</v>
      </c>
      <c r="B2364" s="72">
        <f t="shared" si="893"/>
        <v>46174</v>
      </c>
      <c r="C2364" s="73">
        <f t="shared" si="874"/>
        <v>46203</v>
      </c>
      <c r="D2364" s="67">
        <f t="shared" si="875"/>
        <v>30</v>
      </c>
      <c r="E2364" s="67">
        <f t="shared" si="876"/>
        <v>6</v>
      </c>
      <c r="F2364" s="74">
        <f t="shared" si="877"/>
        <v>46189</v>
      </c>
      <c r="G2364" s="67">
        <f t="shared" si="878"/>
        <v>24317</v>
      </c>
      <c r="H2364" s="75">
        <f t="shared" si="879"/>
        <v>1</v>
      </c>
      <c r="I2364" s="76">
        <f t="shared" si="880"/>
        <v>1</v>
      </c>
      <c r="J2364" s="76">
        <f t="shared" si="881"/>
        <v>1</v>
      </c>
      <c r="K2364" s="67">
        <f t="shared" si="882"/>
        <v>0</v>
      </c>
      <c r="L2364" s="67">
        <f t="shared" si="883"/>
        <v>0</v>
      </c>
      <c r="M2364" s="77">
        <f t="shared" si="884"/>
        <v>0</v>
      </c>
      <c r="N2364" s="76">
        <f t="shared" si="885"/>
        <v>1</v>
      </c>
      <c r="O2364" s="77">
        <f t="shared" si="886"/>
        <v>0.91234135667396066</v>
      </c>
      <c r="P2364" s="76">
        <f t="shared" si="887"/>
        <v>1</v>
      </c>
      <c r="Q2364" s="76">
        <f t="shared" si="888"/>
        <v>0</v>
      </c>
      <c r="R2364" s="76">
        <f t="shared" si="889"/>
        <v>0</v>
      </c>
      <c r="S2364" s="76">
        <f t="shared" si="890"/>
        <v>0.99167538768908758</v>
      </c>
      <c r="T2364" s="76">
        <f t="shared" si="891"/>
        <v>0.99167538768908758</v>
      </c>
      <c r="U2364" s="76">
        <f t="shared" si="892"/>
        <v>1</v>
      </c>
    </row>
    <row r="2365" spans="1:21" x14ac:dyDescent="0.25">
      <c r="A2365" s="71">
        <v>19</v>
      </c>
      <c r="B2365" s="72">
        <f t="shared" si="893"/>
        <v>46204</v>
      </c>
      <c r="C2365" s="73">
        <f t="shared" si="874"/>
        <v>46234</v>
      </c>
      <c r="D2365" s="67">
        <f t="shared" si="875"/>
        <v>31</v>
      </c>
      <c r="E2365" s="67">
        <f t="shared" si="876"/>
        <v>7</v>
      </c>
      <c r="F2365" s="74">
        <f t="shared" si="877"/>
        <v>46219.5</v>
      </c>
      <c r="G2365" s="67">
        <f t="shared" si="878"/>
        <v>24318</v>
      </c>
      <c r="H2365" s="75">
        <f t="shared" si="879"/>
        <v>1</v>
      </c>
      <c r="I2365" s="76">
        <f t="shared" si="880"/>
        <v>1</v>
      </c>
      <c r="J2365" s="76">
        <f t="shared" si="881"/>
        <v>1.04</v>
      </c>
      <c r="K2365" s="67">
        <f t="shared" si="882"/>
        <v>1</v>
      </c>
      <c r="L2365" s="67">
        <f t="shared" si="883"/>
        <v>31</v>
      </c>
      <c r="M2365" s="77">
        <f t="shared" si="884"/>
        <v>1</v>
      </c>
      <c r="N2365" s="76">
        <f t="shared" si="885"/>
        <v>1.04</v>
      </c>
      <c r="O2365" s="77">
        <f t="shared" si="886"/>
        <v>0.91167396061269146</v>
      </c>
      <c r="P2365" s="76">
        <f t="shared" si="887"/>
        <v>0.91666666666666663</v>
      </c>
      <c r="Q2365" s="76">
        <f t="shared" si="888"/>
        <v>8.333333333333337E-2</v>
      </c>
      <c r="R2365" s="76">
        <f t="shared" si="889"/>
        <v>0</v>
      </c>
      <c r="S2365" s="76">
        <f t="shared" si="890"/>
        <v>1.0305879554752164</v>
      </c>
      <c r="T2365" s="76">
        <f t="shared" si="891"/>
        <v>1.0305879554752164</v>
      </c>
      <c r="U2365" s="76">
        <f t="shared" si="892"/>
        <v>1.04</v>
      </c>
    </row>
    <row r="2366" spans="1:21" x14ac:dyDescent="0.25">
      <c r="A2366" s="71">
        <v>20</v>
      </c>
      <c r="B2366" s="72">
        <f t="shared" si="893"/>
        <v>46235</v>
      </c>
      <c r="C2366" s="73">
        <f t="shared" si="874"/>
        <v>46265</v>
      </c>
      <c r="D2366" s="67">
        <f t="shared" si="875"/>
        <v>31</v>
      </c>
      <c r="E2366" s="67">
        <f t="shared" si="876"/>
        <v>8</v>
      </c>
      <c r="F2366" s="74">
        <f t="shared" si="877"/>
        <v>46250.5</v>
      </c>
      <c r="G2366" s="67">
        <f t="shared" si="878"/>
        <v>24319</v>
      </c>
      <c r="H2366" s="75">
        <f t="shared" si="879"/>
        <v>1</v>
      </c>
      <c r="I2366" s="76">
        <f t="shared" si="880"/>
        <v>1.04</v>
      </c>
      <c r="J2366" s="76">
        <f t="shared" si="881"/>
        <v>1.04</v>
      </c>
      <c r="K2366" s="67">
        <f t="shared" si="882"/>
        <v>0</v>
      </c>
      <c r="L2366" s="67">
        <f t="shared" si="883"/>
        <v>0</v>
      </c>
      <c r="M2366" s="77">
        <f t="shared" si="884"/>
        <v>0</v>
      </c>
      <c r="N2366" s="76">
        <f t="shared" si="885"/>
        <v>1.04</v>
      </c>
      <c r="O2366" s="77">
        <f t="shared" si="886"/>
        <v>0.91099562363238518</v>
      </c>
      <c r="P2366" s="76">
        <f t="shared" si="887"/>
        <v>0.75</v>
      </c>
      <c r="Q2366" s="76">
        <f t="shared" si="888"/>
        <v>0.25</v>
      </c>
      <c r="R2366" s="76">
        <f t="shared" si="889"/>
        <v>0</v>
      </c>
      <c r="S2366" s="76">
        <f t="shared" si="890"/>
        <v>1.0298211397583485</v>
      </c>
      <c r="T2366" s="76">
        <f t="shared" si="891"/>
        <v>1.0298211397583485</v>
      </c>
      <c r="U2366" s="76">
        <f t="shared" si="892"/>
        <v>1.04</v>
      </c>
    </row>
    <row r="2367" spans="1:21" x14ac:dyDescent="0.25">
      <c r="A2367" s="71">
        <v>21</v>
      </c>
      <c r="B2367" s="72">
        <f t="shared" si="893"/>
        <v>46266</v>
      </c>
      <c r="C2367" s="73">
        <f t="shared" si="874"/>
        <v>46295</v>
      </c>
      <c r="D2367" s="67">
        <f t="shared" si="875"/>
        <v>30</v>
      </c>
      <c r="E2367" s="67">
        <f t="shared" si="876"/>
        <v>9</v>
      </c>
      <c r="F2367" s="74">
        <f t="shared" si="877"/>
        <v>46281</v>
      </c>
      <c r="G2367" s="67">
        <f t="shared" si="878"/>
        <v>24320</v>
      </c>
      <c r="H2367" s="75">
        <f t="shared" si="879"/>
        <v>1</v>
      </c>
      <c r="I2367" s="76">
        <f t="shared" si="880"/>
        <v>1.04</v>
      </c>
      <c r="J2367" s="76">
        <f t="shared" si="881"/>
        <v>1.04</v>
      </c>
      <c r="K2367" s="67">
        <f t="shared" si="882"/>
        <v>0</v>
      </c>
      <c r="L2367" s="67">
        <f t="shared" si="883"/>
        <v>0</v>
      </c>
      <c r="M2367" s="77">
        <f t="shared" si="884"/>
        <v>0</v>
      </c>
      <c r="N2367" s="76">
        <f t="shared" si="885"/>
        <v>1.04</v>
      </c>
      <c r="O2367" s="77">
        <f t="shared" si="886"/>
        <v>0.91032822757111598</v>
      </c>
      <c r="P2367" s="76">
        <f t="shared" si="887"/>
        <v>0.58333333333333337</v>
      </c>
      <c r="Q2367" s="76">
        <f t="shared" si="888"/>
        <v>0.41666666666666663</v>
      </c>
      <c r="R2367" s="76">
        <f t="shared" si="889"/>
        <v>0</v>
      </c>
      <c r="S2367" s="76">
        <f t="shared" si="890"/>
        <v>1.0290666920369138</v>
      </c>
      <c r="T2367" s="76">
        <f t="shared" si="891"/>
        <v>1.0290666920369138</v>
      </c>
      <c r="U2367" s="76">
        <f t="shared" si="892"/>
        <v>1.04</v>
      </c>
    </row>
    <row r="2368" spans="1:21" x14ac:dyDescent="0.25">
      <c r="A2368" s="71">
        <v>22</v>
      </c>
      <c r="B2368" s="72">
        <f t="shared" si="893"/>
        <v>46296</v>
      </c>
      <c r="C2368" s="73">
        <f t="shared" si="874"/>
        <v>46326</v>
      </c>
      <c r="D2368" s="67">
        <f t="shared" si="875"/>
        <v>31</v>
      </c>
      <c r="E2368" s="67">
        <f t="shared" si="876"/>
        <v>10</v>
      </c>
      <c r="F2368" s="74">
        <f t="shared" si="877"/>
        <v>46311.5</v>
      </c>
      <c r="G2368" s="67">
        <f t="shared" si="878"/>
        <v>24321</v>
      </c>
      <c r="H2368" s="75">
        <f t="shared" si="879"/>
        <v>1</v>
      </c>
      <c r="I2368" s="76">
        <f t="shared" si="880"/>
        <v>1.04</v>
      </c>
      <c r="J2368" s="76">
        <f t="shared" si="881"/>
        <v>1.04</v>
      </c>
      <c r="K2368" s="67">
        <f t="shared" si="882"/>
        <v>0</v>
      </c>
      <c r="L2368" s="67">
        <f t="shared" si="883"/>
        <v>0</v>
      </c>
      <c r="M2368" s="77">
        <f t="shared" si="884"/>
        <v>0</v>
      </c>
      <c r="N2368" s="76">
        <f t="shared" si="885"/>
        <v>1.04</v>
      </c>
      <c r="O2368" s="77">
        <f t="shared" si="886"/>
        <v>0.90966083150984689</v>
      </c>
      <c r="P2368" s="76">
        <f t="shared" si="887"/>
        <v>0.41666666666666669</v>
      </c>
      <c r="Q2368" s="76">
        <f t="shared" si="888"/>
        <v>0.58333333333333326</v>
      </c>
      <c r="R2368" s="76">
        <f t="shared" si="889"/>
        <v>0</v>
      </c>
      <c r="S2368" s="76">
        <f t="shared" si="890"/>
        <v>1.0283122443154791</v>
      </c>
      <c r="T2368" s="76">
        <f t="shared" si="891"/>
        <v>1.0283122443154791</v>
      </c>
      <c r="U2368" s="76">
        <f t="shared" si="892"/>
        <v>1.04</v>
      </c>
    </row>
    <row r="2369" spans="1:21" x14ac:dyDescent="0.25">
      <c r="A2369" s="71">
        <v>23</v>
      </c>
      <c r="B2369" s="72">
        <f t="shared" si="893"/>
        <v>46327</v>
      </c>
      <c r="C2369" s="73">
        <f t="shared" si="874"/>
        <v>46356</v>
      </c>
      <c r="D2369" s="67">
        <f t="shared" si="875"/>
        <v>30</v>
      </c>
      <c r="E2369" s="67">
        <f t="shared" si="876"/>
        <v>11</v>
      </c>
      <c r="F2369" s="74">
        <f t="shared" si="877"/>
        <v>46342</v>
      </c>
      <c r="G2369" s="67">
        <f t="shared" si="878"/>
        <v>24322</v>
      </c>
      <c r="H2369" s="75">
        <f t="shared" si="879"/>
        <v>1</v>
      </c>
      <c r="I2369" s="76">
        <f t="shared" si="880"/>
        <v>1.04</v>
      </c>
      <c r="J2369" s="76">
        <f t="shared" si="881"/>
        <v>1.04</v>
      </c>
      <c r="K2369" s="67">
        <f t="shared" si="882"/>
        <v>0</v>
      </c>
      <c r="L2369" s="67">
        <f t="shared" si="883"/>
        <v>0</v>
      </c>
      <c r="M2369" s="77">
        <f t="shared" si="884"/>
        <v>0</v>
      </c>
      <c r="N2369" s="76">
        <f t="shared" si="885"/>
        <v>1.04</v>
      </c>
      <c r="O2369" s="77">
        <f t="shared" si="886"/>
        <v>0.90899343544857769</v>
      </c>
      <c r="P2369" s="76">
        <f t="shared" si="887"/>
        <v>0.25</v>
      </c>
      <c r="Q2369" s="76">
        <f t="shared" si="888"/>
        <v>0.75</v>
      </c>
      <c r="R2369" s="76">
        <f t="shared" si="889"/>
        <v>0</v>
      </c>
      <c r="S2369" s="76">
        <f t="shared" si="890"/>
        <v>1.0275577965940443</v>
      </c>
      <c r="T2369" s="76">
        <f t="shared" si="891"/>
        <v>1.0275577965940443</v>
      </c>
      <c r="U2369" s="76">
        <f t="shared" si="892"/>
        <v>1.04</v>
      </c>
    </row>
    <row r="2370" spans="1:21" x14ac:dyDescent="0.25">
      <c r="A2370" s="71">
        <v>24</v>
      </c>
      <c r="B2370" s="72">
        <f t="shared" si="893"/>
        <v>46357</v>
      </c>
      <c r="C2370" s="73">
        <f t="shared" si="874"/>
        <v>46387</v>
      </c>
      <c r="D2370" s="67">
        <f t="shared" si="875"/>
        <v>31</v>
      </c>
      <c r="E2370" s="67">
        <f t="shared" si="876"/>
        <v>12</v>
      </c>
      <c r="F2370" s="74">
        <f t="shared" si="877"/>
        <v>46372.5</v>
      </c>
      <c r="G2370" s="67">
        <f t="shared" si="878"/>
        <v>24323</v>
      </c>
      <c r="H2370" s="75">
        <f t="shared" si="879"/>
        <v>1</v>
      </c>
      <c r="I2370" s="76">
        <f t="shared" si="880"/>
        <v>1.04</v>
      </c>
      <c r="J2370" s="76">
        <f t="shared" si="881"/>
        <v>1.04</v>
      </c>
      <c r="K2370" s="67">
        <f t="shared" si="882"/>
        <v>0</v>
      </c>
      <c r="L2370" s="67">
        <f t="shared" si="883"/>
        <v>0</v>
      </c>
      <c r="M2370" s="77">
        <f t="shared" si="884"/>
        <v>0</v>
      </c>
      <c r="N2370" s="76">
        <f t="shared" si="885"/>
        <v>1.04</v>
      </c>
      <c r="O2370" s="77">
        <f t="shared" si="886"/>
        <v>0.9083260393873086</v>
      </c>
      <c r="P2370" s="76">
        <f t="shared" si="887"/>
        <v>8.3333333333333329E-2</v>
      </c>
      <c r="Q2370" s="76">
        <f t="shared" si="888"/>
        <v>0.91666666666666663</v>
      </c>
      <c r="R2370" s="76">
        <f t="shared" si="889"/>
        <v>0</v>
      </c>
      <c r="S2370" s="76">
        <f t="shared" si="890"/>
        <v>1.0268033488726098</v>
      </c>
      <c r="T2370" s="76">
        <f t="shared" si="891"/>
        <v>1.0268033488726098</v>
      </c>
      <c r="U2370" s="76">
        <f t="shared" si="892"/>
        <v>1.04</v>
      </c>
    </row>
    <row r="2371" spans="1:21" x14ac:dyDescent="0.25">
      <c r="A2371" s="71">
        <v>25</v>
      </c>
      <c r="B2371" s="72">
        <f t="shared" si="893"/>
        <v>46388</v>
      </c>
      <c r="C2371" s="73">
        <f t="shared" si="874"/>
        <v>46418</v>
      </c>
      <c r="D2371" s="67">
        <f t="shared" si="875"/>
        <v>31</v>
      </c>
      <c r="E2371" s="67">
        <f t="shared" si="876"/>
        <v>1</v>
      </c>
      <c r="F2371" s="74">
        <f t="shared" si="877"/>
        <v>46403.5</v>
      </c>
      <c r="G2371" s="67">
        <f t="shared" si="878"/>
        <v>24324</v>
      </c>
      <c r="H2371" s="75">
        <f t="shared" si="879"/>
        <v>1</v>
      </c>
      <c r="I2371" s="76">
        <f t="shared" si="880"/>
        <v>1.04</v>
      </c>
      <c r="J2371" s="76">
        <f t="shared" si="881"/>
        <v>1.04</v>
      </c>
      <c r="K2371" s="67">
        <f t="shared" si="882"/>
        <v>0</v>
      </c>
      <c r="L2371" s="67">
        <f t="shared" si="883"/>
        <v>0</v>
      </c>
      <c r="M2371" s="77">
        <f t="shared" si="884"/>
        <v>0</v>
      </c>
      <c r="N2371" s="76">
        <f t="shared" si="885"/>
        <v>1.04</v>
      </c>
      <c r="O2371" s="77">
        <f t="shared" si="886"/>
        <v>0.90764770240700221</v>
      </c>
      <c r="P2371" s="76">
        <f t="shared" si="887"/>
        <v>0</v>
      </c>
      <c r="Q2371" s="76">
        <f t="shared" si="888"/>
        <v>1</v>
      </c>
      <c r="R2371" s="76">
        <f t="shared" si="889"/>
        <v>0</v>
      </c>
      <c r="S2371" s="76">
        <f t="shared" si="890"/>
        <v>1.0260365331557417</v>
      </c>
      <c r="T2371" s="76">
        <f t="shared" si="891"/>
        <v>0.99525497098277993</v>
      </c>
      <c r="U2371" s="76">
        <f t="shared" si="892"/>
        <v>1.04</v>
      </c>
    </row>
    <row r="2372" spans="1:21" x14ac:dyDescent="0.25">
      <c r="A2372" s="71">
        <v>26</v>
      </c>
      <c r="B2372" s="72">
        <f t="shared" si="893"/>
        <v>46419</v>
      </c>
      <c r="C2372" s="73">
        <f t="shared" si="874"/>
        <v>46446</v>
      </c>
      <c r="D2372" s="67">
        <f t="shared" si="875"/>
        <v>28</v>
      </c>
      <c r="E2372" s="67">
        <f t="shared" si="876"/>
        <v>2</v>
      </c>
      <c r="F2372" s="74">
        <f t="shared" si="877"/>
        <v>46433</v>
      </c>
      <c r="G2372" s="67">
        <f t="shared" si="878"/>
        <v>24325</v>
      </c>
      <c r="H2372" s="75">
        <f t="shared" si="879"/>
        <v>1</v>
      </c>
      <c r="I2372" s="76">
        <f t="shared" si="880"/>
        <v>1.04</v>
      </c>
      <c r="J2372" s="76">
        <f t="shared" si="881"/>
        <v>1.04</v>
      </c>
      <c r="K2372" s="67">
        <f t="shared" si="882"/>
        <v>0</v>
      </c>
      <c r="L2372" s="67">
        <f t="shared" si="883"/>
        <v>0</v>
      </c>
      <c r="M2372" s="77">
        <f t="shared" si="884"/>
        <v>0</v>
      </c>
      <c r="N2372" s="76">
        <f t="shared" si="885"/>
        <v>1.04</v>
      </c>
      <c r="O2372" s="77">
        <f t="shared" si="886"/>
        <v>0.90700218818380751</v>
      </c>
      <c r="P2372" s="76">
        <f t="shared" si="887"/>
        <v>0</v>
      </c>
      <c r="Q2372" s="76">
        <f t="shared" si="888"/>
        <v>1</v>
      </c>
      <c r="R2372" s="76">
        <f t="shared" si="889"/>
        <v>0</v>
      </c>
      <c r="S2372" s="76">
        <f t="shared" si="890"/>
        <v>1.0253068214251737</v>
      </c>
      <c r="T2372" s="76">
        <f t="shared" si="891"/>
        <v>0.99455332508800309</v>
      </c>
      <c r="U2372" s="76">
        <f t="shared" si="892"/>
        <v>1.04</v>
      </c>
    </row>
    <row r="2373" spans="1:21" x14ac:dyDescent="0.25">
      <c r="A2373" s="71">
        <v>27</v>
      </c>
      <c r="B2373" s="72">
        <f t="shared" si="893"/>
        <v>46447</v>
      </c>
      <c r="C2373" s="73">
        <f t="shared" si="874"/>
        <v>46477</v>
      </c>
      <c r="D2373" s="67">
        <f t="shared" si="875"/>
        <v>31</v>
      </c>
      <c r="E2373" s="67">
        <f t="shared" si="876"/>
        <v>3</v>
      </c>
      <c r="F2373" s="74">
        <f t="shared" si="877"/>
        <v>46462.5</v>
      </c>
      <c r="G2373" s="67">
        <f t="shared" si="878"/>
        <v>24326</v>
      </c>
      <c r="H2373" s="75">
        <f t="shared" si="879"/>
        <v>1</v>
      </c>
      <c r="I2373" s="76">
        <f t="shared" si="880"/>
        <v>1.04</v>
      </c>
      <c r="J2373" s="76">
        <f t="shared" si="881"/>
        <v>1.04</v>
      </c>
      <c r="K2373" s="67">
        <f t="shared" si="882"/>
        <v>0</v>
      </c>
      <c r="L2373" s="67">
        <f t="shared" si="883"/>
        <v>0</v>
      </c>
      <c r="M2373" s="77">
        <f t="shared" si="884"/>
        <v>0</v>
      </c>
      <c r="N2373" s="76">
        <f t="shared" si="885"/>
        <v>1.04</v>
      </c>
      <c r="O2373" s="77">
        <f t="shared" si="886"/>
        <v>0.9063566739606127</v>
      </c>
      <c r="P2373" s="76">
        <f t="shared" si="887"/>
        <v>0</v>
      </c>
      <c r="Q2373" s="76">
        <f t="shared" si="888"/>
        <v>1</v>
      </c>
      <c r="R2373" s="76">
        <f t="shared" si="889"/>
        <v>0</v>
      </c>
      <c r="S2373" s="76">
        <f t="shared" si="890"/>
        <v>1.0245771096946057</v>
      </c>
      <c r="T2373" s="76">
        <f t="shared" si="891"/>
        <v>0.99385167919322603</v>
      </c>
      <c r="U2373" s="76">
        <f t="shared" si="892"/>
        <v>1.04</v>
      </c>
    </row>
    <row r="2374" spans="1:21" x14ac:dyDescent="0.25">
      <c r="A2374" s="71">
        <v>28</v>
      </c>
      <c r="B2374" s="72">
        <f t="shared" si="893"/>
        <v>46478</v>
      </c>
      <c r="C2374" s="73">
        <f t="shared" si="874"/>
        <v>46507</v>
      </c>
      <c r="D2374" s="67">
        <f t="shared" si="875"/>
        <v>30</v>
      </c>
      <c r="E2374" s="67">
        <f t="shared" si="876"/>
        <v>4</v>
      </c>
      <c r="F2374" s="74">
        <f t="shared" si="877"/>
        <v>46493</v>
      </c>
      <c r="G2374" s="67">
        <f t="shared" si="878"/>
        <v>24327</v>
      </c>
      <c r="H2374" s="75">
        <f t="shared" si="879"/>
        <v>1</v>
      </c>
      <c r="I2374" s="76">
        <f t="shared" si="880"/>
        <v>1.04</v>
      </c>
      <c r="J2374" s="76">
        <f t="shared" si="881"/>
        <v>1.04</v>
      </c>
      <c r="K2374" s="67">
        <f t="shared" si="882"/>
        <v>0</v>
      </c>
      <c r="L2374" s="67">
        <f t="shared" si="883"/>
        <v>0</v>
      </c>
      <c r="M2374" s="77">
        <f t="shared" si="884"/>
        <v>0</v>
      </c>
      <c r="N2374" s="76">
        <f t="shared" si="885"/>
        <v>1.04</v>
      </c>
      <c r="O2374" s="77">
        <f t="shared" si="886"/>
        <v>0.90568927789934361</v>
      </c>
      <c r="P2374" s="76">
        <f t="shared" si="887"/>
        <v>0</v>
      </c>
      <c r="Q2374" s="76">
        <f t="shared" si="888"/>
        <v>1</v>
      </c>
      <c r="R2374" s="76">
        <f t="shared" si="889"/>
        <v>0</v>
      </c>
      <c r="S2374" s="76">
        <f t="shared" si="890"/>
        <v>1.023822661973171</v>
      </c>
      <c r="T2374" s="76">
        <f t="shared" si="891"/>
        <v>0.99312624869184662</v>
      </c>
      <c r="U2374" s="76">
        <f t="shared" si="892"/>
        <v>1.04</v>
      </c>
    </row>
    <row r="2375" spans="1:21" x14ac:dyDescent="0.25">
      <c r="A2375" s="71">
        <v>29</v>
      </c>
      <c r="B2375" s="72">
        <f t="shared" si="893"/>
        <v>46508</v>
      </c>
      <c r="C2375" s="73">
        <f t="shared" si="874"/>
        <v>46538</v>
      </c>
      <c r="D2375" s="67">
        <f t="shared" si="875"/>
        <v>31</v>
      </c>
      <c r="E2375" s="67">
        <f t="shared" si="876"/>
        <v>5</v>
      </c>
      <c r="F2375" s="74">
        <f t="shared" si="877"/>
        <v>46523.5</v>
      </c>
      <c r="G2375" s="67">
        <f t="shared" si="878"/>
        <v>24328</v>
      </c>
      <c r="H2375" s="75">
        <f t="shared" si="879"/>
        <v>1</v>
      </c>
      <c r="I2375" s="76">
        <f t="shared" si="880"/>
        <v>1.04</v>
      </c>
      <c r="J2375" s="76">
        <f t="shared" si="881"/>
        <v>1.04</v>
      </c>
      <c r="K2375" s="67">
        <f t="shared" si="882"/>
        <v>0</v>
      </c>
      <c r="L2375" s="67">
        <f t="shared" si="883"/>
        <v>0</v>
      </c>
      <c r="M2375" s="77">
        <f t="shared" si="884"/>
        <v>0</v>
      </c>
      <c r="N2375" s="76">
        <f t="shared" si="885"/>
        <v>1.04</v>
      </c>
      <c r="O2375" s="77">
        <f t="shared" si="886"/>
        <v>0.90502188183807442</v>
      </c>
      <c r="P2375" s="76">
        <f t="shared" si="887"/>
        <v>0</v>
      </c>
      <c r="Q2375" s="76">
        <f t="shared" si="888"/>
        <v>1</v>
      </c>
      <c r="R2375" s="76">
        <f t="shared" si="889"/>
        <v>0</v>
      </c>
      <c r="S2375" s="76">
        <f t="shared" si="890"/>
        <v>1.0230682142517362</v>
      </c>
      <c r="T2375" s="76">
        <f t="shared" si="891"/>
        <v>0.9924008181904671</v>
      </c>
      <c r="U2375" s="76">
        <f t="shared" si="892"/>
        <v>1.04</v>
      </c>
    </row>
    <row r="2376" spans="1:21" x14ac:dyDescent="0.25">
      <c r="A2376" s="71">
        <v>30</v>
      </c>
      <c r="B2376" s="72">
        <f t="shared" si="893"/>
        <v>46539</v>
      </c>
      <c r="C2376" s="73">
        <f t="shared" si="874"/>
        <v>46568</v>
      </c>
      <c r="D2376" s="67">
        <f t="shared" si="875"/>
        <v>30</v>
      </c>
      <c r="E2376" s="67">
        <f t="shared" si="876"/>
        <v>6</v>
      </c>
      <c r="F2376" s="74">
        <f t="shared" si="877"/>
        <v>46554</v>
      </c>
      <c r="G2376" s="67">
        <f t="shared" si="878"/>
        <v>24329</v>
      </c>
      <c r="H2376" s="75">
        <f t="shared" si="879"/>
        <v>1</v>
      </c>
      <c r="I2376" s="76">
        <f t="shared" si="880"/>
        <v>1.04</v>
      </c>
      <c r="J2376" s="76">
        <f t="shared" si="881"/>
        <v>1.04</v>
      </c>
      <c r="K2376" s="67">
        <f t="shared" si="882"/>
        <v>0</v>
      </c>
      <c r="L2376" s="67">
        <f t="shared" si="883"/>
        <v>0</v>
      </c>
      <c r="M2376" s="77">
        <f t="shared" si="884"/>
        <v>0</v>
      </c>
      <c r="N2376" s="76">
        <f t="shared" si="885"/>
        <v>1.04</v>
      </c>
      <c r="O2376" s="77">
        <f t="shared" si="886"/>
        <v>0.90435448577680533</v>
      </c>
      <c r="P2376" s="76">
        <f t="shared" si="887"/>
        <v>0</v>
      </c>
      <c r="Q2376" s="76">
        <f t="shared" si="888"/>
        <v>1</v>
      </c>
      <c r="R2376" s="76">
        <f t="shared" si="889"/>
        <v>0</v>
      </c>
      <c r="S2376" s="76">
        <f t="shared" si="890"/>
        <v>1.0223137665303017</v>
      </c>
      <c r="T2376" s="76">
        <f t="shared" si="891"/>
        <v>0.99167538768908758</v>
      </c>
      <c r="U2376" s="76">
        <f t="shared" si="892"/>
        <v>1.04</v>
      </c>
    </row>
    <row r="2377" spans="1:21" x14ac:dyDescent="0.25">
      <c r="A2377" s="71">
        <v>31</v>
      </c>
      <c r="B2377" s="72">
        <f t="shared" si="893"/>
        <v>46569</v>
      </c>
      <c r="C2377" s="73">
        <f t="shared" si="874"/>
        <v>46599</v>
      </c>
      <c r="D2377" s="67">
        <f t="shared" si="875"/>
        <v>31</v>
      </c>
      <c r="E2377" s="67">
        <f t="shared" si="876"/>
        <v>7</v>
      </c>
      <c r="F2377" s="74">
        <f t="shared" si="877"/>
        <v>46584.5</v>
      </c>
      <c r="G2377" s="67">
        <f t="shared" si="878"/>
        <v>24330</v>
      </c>
      <c r="H2377" s="75">
        <f t="shared" si="879"/>
        <v>1</v>
      </c>
      <c r="I2377" s="76">
        <f t="shared" si="880"/>
        <v>1.04</v>
      </c>
      <c r="J2377" s="76">
        <f t="shared" si="881"/>
        <v>1.04</v>
      </c>
      <c r="K2377" s="67">
        <f t="shared" si="882"/>
        <v>0</v>
      </c>
      <c r="L2377" s="67">
        <f t="shared" si="883"/>
        <v>0</v>
      </c>
      <c r="M2377" s="77">
        <f t="shared" si="884"/>
        <v>0</v>
      </c>
      <c r="N2377" s="76">
        <f t="shared" si="885"/>
        <v>1.04</v>
      </c>
      <c r="O2377" s="77">
        <f t="shared" si="886"/>
        <v>0.90368708971553613</v>
      </c>
      <c r="P2377" s="76">
        <f t="shared" si="887"/>
        <v>0</v>
      </c>
      <c r="Q2377" s="76">
        <f t="shared" si="888"/>
        <v>0.91666666666666663</v>
      </c>
      <c r="R2377" s="76">
        <f t="shared" si="889"/>
        <v>8.333333333333337E-2</v>
      </c>
      <c r="S2377" s="76">
        <f t="shared" si="890"/>
        <v>1.021559318808867</v>
      </c>
      <c r="T2377" s="76">
        <f t="shared" si="891"/>
        <v>1.0305879554752164</v>
      </c>
      <c r="U2377" s="76">
        <f t="shared" si="892"/>
        <v>1.04</v>
      </c>
    </row>
    <row r="2378" spans="1:21" x14ac:dyDescent="0.25">
      <c r="A2378" s="71">
        <v>32</v>
      </c>
      <c r="B2378" s="72">
        <f t="shared" si="893"/>
        <v>46600</v>
      </c>
      <c r="C2378" s="73">
        <f t="shared" si="874"/>
        <v>46630</v>
      </c>
      <c r="D2378" s="67">
        <f t="shared" si="875"/>
        <v>31</v>
      </c>
      <c r="E2378" s="67">
        <f t="shared" si="876"/>
        <v>8</v>
      </c>
      <c r="F2378" s="74">
        <f t="shared" si="877"/>
        <v>46615.5</v>
      </c>
      <c r="G2378" s="67">
        <f t="shared" si="878"/>
        <v>24331</v>
      </c>
      <c r="H2378" s="75">
        <f t="shared" si="879"/>
        <v>1</v>
      </c>
      <c r="I2378" s="76">
        <f t="shared" si="880"/>
        <v>1.04</v>
      </c>
      <c r="J2378" s="76">
        <f t="shared" si="881"/>
        <v>1.04</v>
      </c>
      <c r="K2378" s="67">
        <f t="shared" si="882"/>
        <v>0</v>
      </c>
      <c r="L2378" s="67">
        <f t="shared" si="883"/>
        <v>0</v>
      </c>
      <c r="M2378" s="77">
        <f t="shared" si="884"/>
        <v>0</v>
      </c>
      <c r="N2378" s="76">
        <f t="shared" si="885"/>
        <v>1.04</v>
      </c>
      <c r="O2378" s="77">
        <f t="shared" si="886"/>
        <v>0.90300875273522974</v>
      </c>
      <c r="P2378" s="76">
        <f t="shared" si="887"/>
        <v>0</v>
      </c>
      <c r="Q2378" s="76">
        <f t="shared" si="888"/>
        <v>0.75</v>
      </c>
      <c r="R2378" s="76">
        <f t="shared" si="889"/>
        <v>0.25</v>
      </c>
      <c r="S2378" s="76">
        <f t="shared" si="890"/>
        <v>1.0207925030919989</v>
      </c>
      <c r="T2378" s="76">
        <f t="shared" si="891"/>
        <v>1.0298211397583485</v>
      </c>
      <c r="U2378" s="76">
        <f t="shared" si="892"/>
        <v>1.04</v>
      </c>
    </row>
    <row r="2379" spans="1:21" x14ac:dyDescent="0.25">
      <c r="A2379" s="71">
        <v>33</v>
      </c>
      <c r="B2379" s="72">
        <f t="shared" si="893"/>
        <v>46631</v>
      </c>
      <c r="C2379" s="73">
        <f t="shared" si="874"/>
        <v>46660</v>
      </c>
      <c r="D2379" s="67">
        <f t="shared" si="875"/>
        <v>30</v>
      </c>
      <c r="E2379" s="67">
        <f t="shared" si="876"/>
        <v>9</v>
      </c>
      <c r="F2379" s="74">
        <f t="shared" si="877"/>
        <v>46646</v>
      </c>
      <c r="G2379" s="67">
        <f t="shared" si="878"/>
        <v>24332</v>
      </c>
      <c r="H2379" s="75">
        <f t="shared" si="879"/>
        <v>1</v>
      </c>
      <c r="I2379" s="76">
        <f t="shared" si="880"/>
        <v>1.04</v>
      </c>
      <c r="J2379" s="76">
        <f t="shared" si="881"/>
        <v>1.04</v>
      </c>
      <c r="K2379" s="67">
        <f t="shared" si="882"/>
        <v>0</v>
      </c>
      <c r="L2379" s="67">
        <f t="shared" si="883"/>
        <v>0</v>
      </c>
      <c r="M2379" s="77">
        <f t="shared" si="884"/>
        <v>0</v>
      </c>
      <c r="N2379" s="76">
        <f t="shared" si="885"/>
        <v>1.04</v>
      </c>
      <c r="O2379" s="77">
        <f t="shared" si="886"/>
        <v>0.90234135667396065</v>
      </c>
      <c r="P2379" s="76">
        <f t="shared" si="887"/>
        <v>0</v>
      </c>
      <c r="Q2379" s="76">
        <f t="shared" si="888"/>
        <v>0.58333333333333337</v>
      </c>
      <c r="R2379" s="76">
        <f t="shared" si="889"/>
        <v>0.41666666666666663</v>
      </c>
      <c r="S2379" s="76">
        <f t="shared" si="890"/>
        <v>1.0200380553705641</v>
      </c>
      <c r="T2379" s="76">
        <f t="shared" si="891"/>
        <v>1.0290666920369138</v>
      </c>
      <c r="U2379" s="76">
        <f t="shared" si="892"/>
        <v>1.04</v>
      </c>
    </row>
    <row r="2380" spans="1:21" x14ac:dyDescent="0.25">
      <c r="A2380" s="71">
        <v>34</v>
      </c>
      <c r="B2380" s="72">
        <f t="shared" si="893"/>
        <v>46661</v>
      </c>
      <c r="C2380" s="73">
        <f t="shared" si="874"/>
        <v>46691</v>
      </c>
      <c r="D2380" s="67">
        <f t="shared" si="875"/>
        <v>31</v>
      </c>
      <c r="E2380" s="67">
        <f t="shared" si="876"/>
        <v>10</v>
      </c>
      <c r="F2380" s="74">
        <f t="shared" si="877"/>
        <v>46676.5</v>
      </c>
      <c r="G2380" s="67">
        <f t="shared" si="878"/>
        <v>24333</v>
      </c>
      <c r="H2380" s="75">
        <f t="shared" si="879"/>
        <v>1</v>
      </c>
      <c r="I2380" s="76">
        <f t="shared" si="880"/>
        <v>1.04</v>
      </c>
      <c r="J2380" s="76">
        <f t="shared" si="881"/>
        <v>1.04</v>
      </c>
      <c r="K2380" s="67">
        <f t="shared" si="882"/>
        <v>0</v>
      </c>
      <c r="L2380" s="67">
        <f t="shared" si="883"/>
        <v>0</v>
      </c>
      <c r="M2380" s="77">
        <f t="shared" si="884"/>
        <v>0</v>
      </c>
      <c r="N2380" s="76">
        <f t="shared" si="885"/>
        <v>1.04</v>
      </c>
      <c r="O2380" s="77">
        <f t="shared" si="886"/>
        <v>0.90167396061269145</v>
      </c>
      <c r="P2380" s="76">
        <f t="shared" si="887"/>
        <v>0</v>
      </c>
      <c r="Q2380" s="76">
        <f t="shared" si="888"/>
        <v>0.41666666666666669</v>
      </c>
      <c r="R2380" s="76">
        <f t="shared" si="889"/>
        <v>0.58333333333333326</v>
      </c>
      <c r="S2380" s="76">
        <f t="shared" si="890"/>
        <v>1.0192836076491294</v>
      </c>
      <c r="T2380" s="76">
        <f t="shared" si="891"/>
        <v>1.0283122443154791</v>
      </c>
      <c r="U2380" s="76">
        <f t="shared" si="892"/>
        <v>1.04</v>
      </c>
    </row>
    <row r="2381" spans="1:21" x14ac:dyDescent="0.25">
      <c r="A2381" s="71">
        <v>35</v>
      </c>
      <c r="B2381" s="72">
        <f t="shared" si="893"/>
        <v>46692</v>
      </c>
      <c r="C2381" s="73">
        <f t="shared" si="874"/>
        <v>46721</v>
      </c>
      <c r="D2381" s="67">
        <f t="shared" si="875"/>
        <v>30</v>
      </c>
      <c r="E2381" s="67">
        <f t="shared" si="876"/>
        <v>11</v>
      </c>
      <c r="F2381" s="74">
        <f t="shared" si="877"/>
        <v>46707</v>
      </c>
      <c r="G2381" s="67">
        <f t="shared" si="878"/>
        <v>24334</v>
      </c>
      <c r="H2381" s="75">
        <f t="shared" si="879"/>
        <v>1</v>
      </c>
      <c r="I2381" s="76">
        <f t="shared" si="880"/>
        <v>1.04</v>
      </c>
      <c r="J2381" s="76">
        <f t="shared" si="881"/>
        <v>1.04</v>
      </c>
      <c r="K2381" s="67">
        <f t="shared" si="882"/>
        <v>0</v>
      </c>
      <c r="L2381" s="67">
        <f t="shared" si="883"/>
        <v>0</v>
      </c>
      <c r="M2381" s="77">
        <f t="shared" si="884"/>
        <v>0</v>
      </c>
      <c r="N2381" s="76">
        <f t="shared" si="885"/>
        <v>1.04</v>
      </c>
      <c r="O2381" s="77">
        <f t="shared" si="886"/>
        <v>0.90100656455142236</v>
      </c>
      <c r="P2381" s="76">
        <f t="shared" si="887"/>
        <v>0</v>
      </c>
      <c r="Q2381" s="76">
        <f t="shared" si="888"/>
        <v>0.25</v>
      </c>
      <c r="R2381" s="76">
        <f t="shared" si="889"/>
        <v>0.75</v>
      </c>
      <c r="S2381" s="76">
        <f t="shared" si="890"/>
        <v>1.0185291599276949</v>
      </c>
      <c r="T2381" s="76">
        <f t="shared" si="891"/>
        <v>1.0275577965940443</v>
      </c>
      <c r="U2381" s="76">
        <f t="shared" si="892"/>
        <v>1.04</v>
      </c>
    </row>
    <row r="2382" spans="1:21" x14ac:dyDescent="0.25">
      <c r="A2382" s="71">
        <v>36</v>
      </c>
      <c r="B2382" s="72">
        <f t="shared" si="893"/>
        <v>46722</v>
      </c>
      <c r="C2382" s="73">
        <f t="shared" si="874"/>
        <v>46752</v>
      </c>
      <c r="D2382" s="67">
        <f t="shared" si="875"/>
        <v>31</v>
      </c>
      <c r="E2382" s="67">
        <f t="shared" si="876"/>
        <v>12</v>
      </c>
      <c r="F2382" s="74">
        <f t="shared" si="877"/>
        <v>46737.5</v>
      </c>
      <c r="G2382" s="67">
        <f t="shared" si="878"/>
        <v>24335</v>
      </c>
      <c r="H2382" s="75">
        <f t="shared" si="879"/>
        <v>1</v>
      </c>
      <c r="I2382" s="76">
        <f t="shared" si="880"/>
        <v>1.04</v>
      </c>
      <c r="J2382" s="76">
        <f t="shared" si="881"/>
        <v>1.04</v>
      </c>
      <c r="K2382" s="67">
        <f t="shared" si="882"/>
        <v>0</v>
      </c>
      <c r="L2382" s="67">
        <f t="shared" si="883"/>
        <v>0</v>
      </c>
      <c r="M2382" s="77">
        <f t="shared" si="884"/>
        <v>0</v>
      </c>
      <c r="N2382" s="76">
        <f t="shared" si="885"/>
        <v>1.04</v>
      </c>
      <c r="O2382" s="77">
        <f t="shared" si="886"/>
        <v>0.90033916849015316</v>
      </c>
      <c r="P2382" s="76">
        <f t="shared" si="887"/>
        <v>0</v>
      </c>
      <c r="Q2382" s="76">
        <f t="shared" si="888"/>
        <v>8.3333333333333329E-2</v>
      </c>
      <c r="R2382" s="76">
        <f t="shared" si="889"/>
        <v>0.91666666666666663</v>
      </c>
      <c r="S2382" s="76">
        <f t="shared" si="890"/>
        <v>1.0177747122062601</v>
      </c>
      <c r="T2382" s="76">
        <f t="shared" si="891"/>
        <v>1.0268033488726098</v>
      </c>
      <c r="U2382" s="76">
        <f t="shared" si="892"/>
        <v>1.04</v>
      </c>
    </row>
    <row r="2383" spans="1:21" x14ac:dyDescent="0.25">
      <c r="A2383" s="71">
        <v>37</v>
      </c>
      <c r="B2383" s="72">
        <f t="shared" si="893"/>
        <v>46753</v>
      </c>
      <c r="C2383" s="73">
        <f t="shared" si="874"/>
        <v>46783</v>
      </c>
      <c r="D2383" s="67">
        <f t="shared" si="875"/>
        <v>31</v>
      </c>
      <c r="E2383" s="67">
        <f t="shared" si="876"/>
        <v>1</v>
      </c>
      <c r="F2383" s="74">
        <f t="shared" si="877"/>
        <v>46768.5</v>
      </c>
      <c r="G2383" s="67">
        <f t="shared" si="878"/>
        <v>24336</v>
      </c>
      <c r="H2383" s="75">
        <f t="shared" si="879"/>
        <v>1</v>
      </c>
      <c r="I2383" s="76">
        <f t="shared" si="880"/>
        <v>1.04</v>
      </c>
      <c r="J2383" s="76">
        <f t="shared" si="881"/>
        <v>1.04</v>
      </c>
      <c r="K2383" s="67">
        <f t="shared" si="882"/>
        <v>0</v>
      </c>
      <c r="L2383" s="67">
        <f t="shared" si="883"/>
        <v>0</v>
      </c>
      <c r="M2383" s="77">
        <f t="shared" si="884"/>
        <v>0</v>
      </c>
      <c r="N2383" s="76">
        <f t="shared" si="885"/>
        <v>1.04</v>
      </c>
      <c r="O2383" s="77">
        <f t="shared" si="886"/>
        <v>0.9</v>
      </c>
      <c r="P2383" s="76">
        <f t="shared" si="887"/>
        <v>0</v>
      </c>
      <c r="Q2383" s="76">
        <f t="shared" si="888"/>
        <v>0</v>
      </c>
      <c r="R2383" s="76">
        <f t="shared" si="889"/>
        <v>1</v>
      </c>
      <c r="S2383" s="76">
        <f t="shared" si="890"/>
        <v>1.0173913043478262</v>
      </c>
      <c r="T2383" s="76">
        <f t="shared" si="891"/>
        <v>0.99525497098277993</v>
      </c>
      <c r="U2383" s="76">
        <f t="shared" si="892"/>
        <v>1.04</v>
      </c>
    </row>
    <row r="2384" spans="1:21" x14ac:dyDescent="0.25">
      <c r="A2384" s="71">
        <v>38</v>
      </c>
      <c r="B2384" s="72">
        <f t="shared" si="893"/>
        <v>46784</v>
      </c>
      <c r="C2384" s="73">
        <f t="shared" si="874"/>
        <v>46812</v>
      </c>
      <c r="D2384" s="67">
        <f t="shared" si="875"/>
        <v>29</v>
      </c>
      <c r="E2384" s="67">
        <f t="shared" si="876"/>
        <v>2</v>
      </c>
      <c r="F2384" s="74">
        <f t="shared" si="877"/>
        <v>46798.5</v>
      </c>
      <c r="G2384" s="67">
        <f t="shared" si="878"/>
        <v>24337</v>
      </c>
      <c r="H2384" s="75">
        <f t="shared" si="879"/>
        <v>1</v>
      </c>
      <c r="I2384" s="76">
        <f t="shared" si="880"/>
        <v>1.04</v>
      </c>
      <c r="J2384" s="76">
        <f t="shared" si="881"/>
        <v>1.04</v>
      </c>
      <c r="K2384" s="67">
        <f t="shared" si="882"/>
        <v>0</v>
      </c>
      <c r="L2384" s="67">
        <f t="shared" si="883"/>
        <v>0</v>
      </c>
      <c r="M2384" s="77">
        <f t="shared" si="884"/>
        <v>0</v>
      </c>
      <c r="N2384" s="76">
        <f t="shared" si="885"/>
        <v>1.04</v>
      </c>
      <c r="O2384" s="77">
        <f t="shared" si="886"/>
        <v>0.9</v>
      </c>
      <c r="P2384" s="76">
        <f t="shared" si="887"/>
        <v>0</v>
      </c>
      <c r="Q2384" s="76">
        <f t="shared" si="888"/>
        <v>0</v>
      </c>
      <c r="R2384" s="76">
        <f t="shared" si="889"/>
        <v>1</v>
      </c>
      <c r="S2384" s="76">
        <f t="shared" si="890"/>
        <v>1.0173913043478262</v>
      </c>
      <c r="T2384" s="76">
        <f t="shared" si="891"/>
        <v>0.99455332508800309</v>
      </c>
      <c r="U2384" s="76">
        <f t="shared" si="892"/>
        <v>1.04</v>
      </c>
    </row>
    <row r="2385" spans="1:21" x14ac:dyDescent="0.25">
      <c r="A2385" s="71">
        <v>39</v>
      </c>
      <c r="B2385" s="72">
        <f t="shared" si="893"/>
        <v>46813</v>
      </c>
      <c r="C2385" s="73">
        <f t="shared" si="874"/>
        <v>46843</v>
      </c>
      <c r="D2385" s="67">
        <f t="shared" si="875"/>
        <v>31</v>
      </c>
      <c r="E2385" s="67">
        <f t="shared" si="876"/>
        <v>3</v>
      </c>
      <c r="F2385" s="74">
        <f t="shared" si="877"/>
        <v>46828.5</v>
      </c>
      <c r="G2385" s="67">
        <f t="shared" si="878"/>
        <v>24338</v>
      </c>
      <c r="H2385" s="75">
        <f t="shared" si="879"/>
        <v>1</v>
      </c>
      <c r="I2385" s="76">
        <f t="shared" si="880"/>
        <v>1.04</v>
      </c>
      <c r="J2385" s="76">
        <f t="shared" si="881"/>
        <v>1.04</v>
      </c>
      <c r="K2385" s="67">
        <f t="shared" si="882"/>
        <v>0</v>
      </c>
      <c r="L2385" s="67">
        <f t="shared" si="883"/>
        <v>0</v>
      </c>
      <c r="M2385" s="77">
        <f t="shared" si="884"/>
        <v>0</v>
      </c>
      <c r="N2385" s="76">
        <f t="shared" si="885"/>
        <v>1.04</v>
      </c>
      <c r="O2385" s="77">
        <f t="shared" si="886"/>
        <v>0.9</v>
      </c>
      <c r="P2385" s="76">
        <f t="shared" si="887"/>
        <v>0</v>
      </c>
      <c r="Q2385" s="76">
        <f t="shared" si="888"/>
        <v>0</v>
      </c>
      <c r="R2385" s="76">
        <f t="shared" si="889"/>
        <v>1</v>
      </c>
      <c r="S2385" s="76">
        <f t="shared" si="890"/>
        <v>1.0173913043478262</v>
      </c>
      <c r="T2385" s="76">
        <f t="shared" si="891"/>
        <v>0.99385167919322603</v>
      </c>
      <c r="U2385" s="76">
        <f t="shared" si="892"/>
        <v>1.04</v>
      </c>
    </row>
    <row r="2386" spans="1:21" x14ac:dyDescent="0.25">
      <c r="A2386" s="71">
        <v>40</v>
      </c>
      <c r="B2386" s="72">
        <f t="shared" si="893"/>
        <v>46844</v>
      </c>
      <c r="C2386" s="73">
        <f t="shared" si="874"/>
        <v>46873</v>
      </c>
      <c r="D2386" s="67">
        <f t="shared" si="875"/>
        <v>30</v>
      </c>
      <c r="E2386" s="67">
        <f t="shared" si="876"/>
        <v>4</v>
      </c>
      <c r="F2386" s="74">
        <f t="shared" si="877"/>
        <v>46859</v>
      </c>
      <c r="G2386" s="67">
        <f t="shared" si="878"/>
        <v>24339</v>
      </c>
      <c r="H2386" s="75">
        <f t="shared" si="879"/>
        <v>1</v>
      </c>
      <c r="I2386" s="76">
        <f t="shared" si="880"/>
        <v>1.04</v>
      </c>
      <c r="J2386" s="76">
        <f t="shared" si="881"/>
        <v>1.04</v>
      </c>
      <c r="K2386" s="67">
        <f t="shared" si="882"/>
        <v>0</v>
      </c>
      <c r="L2386" s="67">
        <f t="shared" si="883"/>
        <v>0</v>
      </c>
      <c r="M2386" s="77">
        <f t="shared" si="884"/>
        <v>0</v>
      </c>
      <c r="N2386" s="76">
        <f t="shared" si="885"/>
        <v>1.04</v>
      </c>
      <c r="O2386" s="77">
        <f t="shared" si="886"/>
        <v>0.9</v>
      </c>
      <c r="P2386" s="76">
        <f t="shared" si="887"/>
        <v>0</v>
      </c>
      <c r="Q2386" s="76">
        <f t="shared" si="888"/>
        <v>0</v>
      </c>
      <c r="R2386" s="76">
        <f t="shared" si="889"/>
        <v>1</v>
      </c>
      <c r="S2386" s="76">
        <f t="shared" si="890"/>
        <v>1.0173913043478262</v>
      </c>
      <c r="T2386" s="76">
        <f t="shared" si="891"/>
        <v>0.99312624869184662</v>
      </c>
      <c r="U2386" s="76">
        <f t="shared" si="892"/>
        <v>1.04</v>
      </c>
    </row>
    <row r="2387" spans="1:21" x14ac:dyDescent="0.25">
      <c r="A2387" s="71">
        <v>41</v>
      </c>
      <c r="B2387" s="72">
        <f t="shared" si="893"/>
        <v>46874</v>
      </c>
      <c r="C2387" s="73">
        <f t="shared" si="874"/>
        <v>46904</v>
      </c>
      <c r="D2387" s="67">
        <f t="shared" si="875"/>
        <v>31</v>
      </c>
      <c r="E2387" s="67">
        <f t="shared" si="876"/>
        <v>5</v>
      </c>
      <c r="F2387" s="74">
        <f t="shared" si="877"/>
        <v>46889.5</v>
      </c>
      <c r="G2387" s="67">
        <f t="shared" si="878"/>
        <v>24340</v>
      </c>
      <c r="H2387" s="75">
        <f t="shared" si="879"/>
        <v>1</v>
      </c>
      <c r="I2387" s="76">
        <f t="shared" si="880"/>
        <v>1.04</v>
      </c>
      <c r="J2387" s="76">
        <f t="shared" si="881"/>
        <v>1.04</v>
      </c>
      <c r="K2387" s="67">
        <f t="shared" si="882"/>
        <v>0</v>
      </c>
      <c r="L2387" s="67">
        <f t="shared" si="883"/>
        <v>0</v>
      </c>
      <c r="M2387" s="77">
        <f t="shared" si="884"/>
        <v>0</v>
      </c>
      <c r="N2387" s="76">
        <f t="shared" si="885"/>
        <v>1.04</v>
      </c>
      <c r="O2387" s="77">
        <f t="shared" si="886"/>
        <v>0.9</v>
      </c>
      <c r="P2387" s="76">
        <f t="shared" si="887"/>
        <v>0</v>
      </c>
      <c r="Q2387" s="76">
        <f t="shared" si="888"/>
        <v>0</v>
      </c>
      <c r="R2387" s="76">
        <f t="shared" si="889"/>
        <v>1</v>
      </c>
      <c r="S2387" s="76">
        <f t="shared" si="890"/>
        <v>1.0173913043478262</v>
      </c>
      <c r="T2387" s="76">
        <f t="shared" si="891"/>
        <v>0.9924008181904671</v>
      </c>
      <c r="U2387" s="76">
        <f t="shared" si="892"/>
        <v>1.04</v>
      </c>
    </row>
    <row r="2388" spans="1:21" x14ac:dyDescent="0.25">
      <c r="A2388" s="71">
        <v>42</v>
      </c>
      <c r="B2388" s="72">
        <f t="shared" si="893"/>
        <v>46905</v>
      </c>
      <c r="C2388" s="73">
        <f t="shared" si="874"/>
        <v>46934</v>
      </c>
      <c r="D2388" s="67">
        <f t="shared" si="875"/>
        <v>30</v>
      </c>
      <c r="E2388" s="67">
        <f t="shared" si="876"/>
        <v>6</v>
      </c>
      <c r="F2388" s="74">
        <f t="shared" si="877"/>
        <v>46920</v>
      </c>
      <c r="G2388" s="67">
        <f t="shared" si="878"/>
        <v>24341</v>
      </c>
      <c r="H2388" s="75">
        <f t="shared" si="879"/>
        <v>1</v>
      </c>
      <c r="I2388" s="76">
        <f t="shared" si="880"/>
        <v>1.04</v>
      </c>
      <c r="J2388" s="76">
        <f t="shared" si="881"/>
        <v>1.04</v>
      </c>
      <c r="K2388" s="67">
        <f t="shared" si="882"/>
        <v>0</v>
      </c>
      <c r="L2388" s="67">
        <f t="shared" si="883"/>
        <v>0</v>
      </c>
      <c r="M2388" s="77">
        <f t="shared" si="884"/>
        <v>0</v>
      </c>
      <c r="N2388" s="76">
        <f t="shared" si="885"/>
        <v>1.04</v>
      </c>
      <c r="O2388" s="77">
        <f t="shared" si="886"/>
        <v>0.9</v>
      </c>
      <c r="P2388" s="76">
        <f t="shared" si="887"/>
        <v>0</v>
      </c>
      <c r="Q2388" s="76">
        <f t="shared" si="888"/>
        <v>0</v>
      </c>
      <c r="R2388" s="76">
        <f t="shared" si="889"/>
        <v>1</v>
      </c>
      <c r="S2388" s="76">
        <f t="shared" si="890"/>
        <v>1.0173913043478262</v>
      </c>
      <c r="T2388" s="76">
        <f t="shared" si="891"/>
        <v>0.99167538768908758</v>
      </c>
      <c r="U2388" s="76">
        <f t="shared" si="892"/>
        <v>1.04</v>
      </c>
    </row>
    <row r="2389" spans="1:21" x14ac:dyDescent="0.25">
      <c r="A2389" s="71">
        <v>43</v>
      </c>
      <c r="B2389" s="72">
        <f t="shared" si="893"/>
        <v>46935</v>
      </c>
      <c r="C2389" s="73">
        <f t="shared" si="874"/>
        <v>46965</v>
      </c>
      <c r="D2389" s="67">
        <f t="shared" si="875"/>
        <v>31</v>
      </c>
      <c r="E2389" s="67">
        <f t="shared" si="876"/>
        <v>7</v>
      </c>
      <c r="F2389" s="74">
        <f t="shared" si="877"/>
        <v>46950.5</v>
      </c>
      <c r="G2389" s="67">
        <f t="shared" si="878"/>
        <v>24342</v>
      </c>
      <c r="H2389" s="75">
        <f t="shared" si="879"/>
        <v>1</v>
      </c>
      <c r="I2389" s="76">
        <f t="shared" si="880"/>
        <v>1.04</v>
      </c>
      <c r="J2389" s="76">
        <f t="shared" si="881"/>
        <v>1.04</v>
      </c>
      <c r="K2389" s="67">
        <f t="shared" si="882"/>
        <v>0</v>
      </c>
      <c r="L2389" s="67">
        <f t="shared" si="883"/>
        <v>0</v>
      </c>
      <c r="M2389" s="77">
        <f t="shared" si="884"/>
        <v>0</v>
      </c>
      <c r="N2389" s="76">
        <f t="shared" si="885"/>
        <v>1.04</v>
      </c>
      <c r="O2389" s="77">
        <f t="shared" si="886"/>
        <v>0.9</v>
      </c>
      <c r="P2389" s="76">
        <f t="shared" si="887"/>
        <v>0</v>
      </c>
      <c r="Q2389" s="76">
        <f t="shared" si="888"/>
        <v>0</v>
      </c>
      <c r="R2389" s="76">
        <f t="shared" si="889"/>
        <v>0.91666666666666663</v>
      </c>
      <c r="S2389" s="76">
        <f t="shared" si="890"/>
        <v>1.0173913043478262</v>
      </c>
      <c r="T2389" s="76">
        <f t="shared" si="891"/>
        <v>1.0305879554752164</v>
      </c>
      <c r="U2389" s="76">
        <f t="shared" si="892"/>
        <v>1.04</v>
      </c>
    </row>
    <row r="2390" spans="1:21" x14ac:dyDescent="0.25">
      <c r="A2390" s="71">
        <v>44</v>
      </c>
      <c r="B2390" s="72">
        <f t="shared" si="893"/>
        <v>46966</v>
      </c>
      <c r="C2390" s="73">
        <f t="shared" si="874"/>
        <v>46996</v>
      </c>
      <c r="D2390" s="67">
        <f t="shared" si="875"/>
        <v>31</v>
      </c>
      <c r="E2390" s="67">
        <f t="shared" si="876"/>
        <v>8</v>
      </c>
      <c r="F2390" s="74">
        <f t="shared" si="877"/>
        <v>46981.5</v>
      </c>
      <c r="G2390" s="67">
        <f t="shared" si="878"/>
        <v>24343</v>
      </c>
      <c r="H2390" s="75">
        <f t="shared" si="879"/>
        <v>1</v>
      </c>
      <c r="I2390" s="76">
        <f t="shared" si="880"/>
        <v>1.04</v>
      </c>
      <c r="J2390" s="76">
        <f t="shared" si="881"/>
        <v>1.04</v>
      </c>
      <c r="K2390" s="67">
        <f t="shared" si="882"/>
        <v>0</v>
      </c>
      <c r="L2390" s="67">
        <f t="shared" si="883"/>
        <v>0</v>
      </c>
      <c r="M2390" s="77">
        <f t="shared" si="884"/>
        <v>0</v>
      </c>
      <c r="N2390" s="76">
        <f t="shared" si="885"/>
        <v>1.04</v>
      </c>
      <c r="O2390" s="77">
        <f t="shared" si="886"/>
        <v>0.9</v>
      </c>
      <c r="P2390" s="76">
        <f t="shared" si="887"/>
        <v>0</v>
      </c>
      <c r="Q2390" s="76">
        <f t="shared" si="888"/>
        <v>0</v>
      </c>
      <c r="R2390" s="76">
        <f t="shared" si="889"/>
        <v>0.75</v>
      </c>
      <c r="S2390" s="76">
        <f t="shared" si="890"/>
        <v>1.0173913043478262</v>
      </c>
      <c r="T2390" s="76">
        <f t="shared" si="891"/>
        <v>1.0298211397583485</v>
      </c>
      <c r="U2390" s="76">
        <f t="shared" si="892"/>
        <v>1.04</v>
      </c>
    </row>
    <row r="2391" spans="1:21" x14ac:dyDescent="0.25">
      <c r="A2391" s="71">
        <v>45</v>
      </c>
      <c r="B2391" s="72">
        <f t="shared" si="893"/>
        <v>46997</v>
      </c>
      <c r="C2391" s="73">
        <f t="shared" si="874"/>
        <v>47026</v>
      </c>
      <c r="D2391" s="67">
        <f t="shared" si="875"/>
        <v>30</v>
      </c>
      <c r="E2391" s="67">
        <f t="shared" si="876"/>
        <v>9</v>
      </c>
      <c r="F2391" s="74">
        <f t="shared" si="877"/>
        <v>47012</v>
      </c>
      <c r="G2391" s="67">
        <f t="shared" si="878"/>
        <v>24344</v>
      </c>
      <c r="H2391" s="75">
        <f t="shared" si="879"/>
        <v>1</v>
      </c>
      <c r="I2391" s="76">
        <f t="shared" si="880"/>
        <v>1.04</v>
      </c>
      <c r="J2391" s="76">
        <f t="shared" si="881"/>
        <v>1.04</v>
      </c>
      <c r="K2391" s="67">
        <f t="shared" si="882"/>
        <v>0</v>
      </c>
      <c r="L2391" s="67">
        <f t="shared" si="883"/>
        <v>0</v>
      </c>
      <c r="M2391" s="77">
        <f t="shared" si="884"/>
        <v>0</v>
      </c>
      <c r="N2391" s="76">
        <f t="shared" si="885"/>
        <v>1.04</v>
      </c>
      <c r="O2391" s="77">
        <f t="shared" si="886"/>
        <v>0.9</v>
      </c>
      <c r="P2391" s="76">
        <f t="shared" si="887"/>
        <v>0</v>
      </c>
      <c r="Q2391" s="76">
        <f t="shared" si="888"/>
        <v>0</v>
      </c>
      <c r="R2391" s="76">
        <f t="shared" si="889"/>
        <v>0.58333333333333337</v>
      </c>
      <c r="S2391" s="76">
        <f t="shared" si="890"/>
        <v>1.0173913043478262</v>
      </c>
      <c r="T2391" s="76">
        <f t="shared" si="891"/>
        <v>1.0290666920369138</v>
      </c>
      <c r="U2391" s="76">
        <f t="shared" si="892"/>
        <v>1.04</v>
      </c>
    </row>
    <row r="2392" spans="1:21" x14ac:dyDescent="0.25">
      <c r="A2392" s="71">
        <v>46</v>
      </c>
      <c r="B2392" s="72">
        <f t="shared" si="893"/>
        <v>47027</v>
      </c>
      <c r="C2392" s="73">
        <f t="shared" si="874"/>
        <v>47057</v>
      </c>
      <c r="D2392" s="67">
        <f t="shared" si="875"/>
        <v>31</v>
      </c>
      <c r="E2392" s="67">
        <f t="shared" si="876"/>
        <v>10</v>
      </c>
      <c r="F2392" s="74">
        <f t="shared" si="877"/>
        <v>47042.5</v>
      </c>
      <c r="G2392" s="67">
        <f t="shared" si="878"/>
        <v>24345</v>
      </c>
      <c r="H2392" s="75">
        <f t="shared" si="879"/>
        <v>1</v>
      </c>
      <c r="I2392" s="76">
        <f t="shared" si="880"/>
        <v>1.04</v>
      </c>
      <c r="J2392" s="76">
        <f t="shared" si="881"/>
        <v>1.04</v>
      </c>
      <c r="K2392" s="67">
        <f t="shared" si="882"/>
        <v>0</v>
      </c>
      <c r="L2392" s="67">
        <f t="shared" si="883"/>
        <v>0</v>
      </c>
      <c r="M2392" s="77">
        <f t="shared" si="884"/>
        <v>0</v>
      </c>
      <c r="N2392" s="76">
        <f t="shared" si="885"/>
        <v>1.04</v>
      </c>
      <c r="O2392" s="77">
        <f t="shared" si="886"/>
        <v>0.9</v>
      </c>
      <c r="P2392" s="76">
        <f t="shared" si="887"/>
        <v>0</v>
      </c>
      <c r="Q2392" s="76">
        <f t="shared" si="888"/>
        <v>0</v>
      </c>
      <c r="R2392" s="76">
        <f t="shared" si="889"/>
        <v>0.41666666666666669</v>
      </c>
      <c r="S2392" s="76">
        <f t="shared" si="890"/>
        <v>1.0173913043478262</v>
      </c>
      <c r="T2392" s="76">
        <f t="shared" si="891"/>
        <v>1.0283122443154791</v>
      </c>
      <c r="U2392" s="76">
        <f t="shared" si="892"/>
        <v>1.04</v>
      </c>
    </row>
    <row r="2393" spans="1:21" x14ac:dyDescent="0.25">
      <c r="A2393" s="71">
        <v>47</v>
      </c>
      <c r="B2393" s="72">
        <f t="shared" si="893"/>
        <v>47058</v>
      </c>
      <c r="C2393" s="73">
        <f t="shared" si="874"/>
        <v>47087</v>
      </c>
      <c r="D2393" s="67">
        <f t="shared" si="875"/>
        <v>30</v>
      </c>
      <c r="E2393" s="67">
        <f t="shared" si="876"/>
        <v>11</v>
      </c>
      <c r="F2393" s="74">
        <f t="shared" si="877"/>
        <v>47073</v>
      </c>
      <c r="G2393" s="67">
        <f t="shared" si="878"/>
        <v>24346</v>
      </c>
      <c r="H2393" s="75">
        <f t="shared" si="879"/>
        <v>1</v>
      </c>
      <c r="I2393" s="76">
        <f t="shared" si="880"/>
        <v>1.04</v>
      </c>
      <c r="J2393" s="76">
        <f t="shared" si="881"/>
        <v>1.04</v>
      </c>
      <c r="K2393" s="67">
        <f t="shared" si="882"/>
        <v>0</v>
      </c>
      <c r="L2393" s="67">
        <f t="shared" si="883"/>
        <v>0</v>
      </c>
      <c r="M2393" s="77">
        <f t="shared" si="884"/>
        <v>0</v>
      </c>
      <c r="N2393" s="76">
        <f t="shared" si="885"/>
        <v>1.04</v>
      </c>
      <c r="O2393" s="77">
        <f t="shared" si="886"/>
        <v>0.9</v>
      </c>
      <c r="P2393" s="76">
        <f t="shared" si="887"/>
        <v>0</v>
      </c>
      <c r="Q2393" s="76">
        <f t="shared" si="888"/>
        <v>0</v>
      </c>
      <c r="R2393" s="76">
        <f t="shared" si="889"/>
        <v>0.25</v>
      </c>
      <c r="S2393" s="76">
        <f t="shared" si="890"/>
        <v>1.0173913043478262</v>
      </c>
      <c r="T2393" s="76">
        <f t="shared" si="891"/>
        <v>1.0275577965940443</v>
      </c>
      <c r="U2393" s="76">
        <f t="shared" si="892"/>
        <v>1.04</v>
      </c>
    </row>
    <row r="2394" spans="1:21" x14ac:dyDescent="0.25">
      <c r="A2394" s="71">
        <v>48</v>
      </c>
      <c r="B2394" s="72">
        <f t="shared" si="893"/>
        <v>47088</v>
      </c>
      <c r="C2394" s="73">
        <f t="shared" si="874"/>
        <v>47118</v>
      </c>
      <c r="D2394" s="67">
        <f t="shared" si="875"/>
        <v>31</v>
      </c>
      <c r="E2394" s="67">
        <f t="shared" si="876"/>
        <v>12</v>
      </c>
      <c r="F2394" s="74">
        <f t="shared" si="877"/>
        <v>47103.5</v>
      </c>
      <c r="G2394" s="67">
        <f t="shared" si="878"/>
        <v>24347</v>
      </c>
      <c r="H2394" s="75">
        <f t="shared" si="879"/>
        <v>1</v>
      </c>
      <c r="I2394" s="76">
        <f t="shared" si="880"/>
        <v>1.04</v>
      </c>
      <c r="J2394" s="76">
        <f t="shared" si="881"/>
        <v>1.04</v>
      </c>
      <c r="K2394" s="67">
        <f t="shared" si="882"/>
        <v>0</v>
      </c>
      <c r="L2394" s="67">
        <f t="shared" si="883"/>
        <v>0</v>
      </c>
      <c r="M2394" s="77">
        <f t="shared" si="884"/>
        <v>0</v>
      </c>
      <c r="N2394" s="76">
        <f t="shared" si="885"/>
        <v>1.04</v>
      </c>
      <c r="O2394" s="77">
        <f t="shared" si="886"/>
        <v>0.9</v>
      </c>
      <c r="P2394" s="76">
        <f t="shared" si="887"/>
        <v>0</v>
      </c>
      <c r="Q2394" s="76">
        <f t="shared" si="888"/>
        <v>0</v>
      </c>
      <c r="R2394" s="76">
        <f t="shared" si="889"/>
        <v>8.3333333333333329E-2</v>
      </c>
      <c r="S2394" s="76">
        <f t="shared" si="890"/>
        <v>1.0173913043478262</v>
      </c>
      <c r="T2394" s="76">
        <f t="shared" si="891"/>
        <v>1.0268033488726098</v>
      </c>
      <c r="U2394" s="76">
        <f t="shared" si="892"/>
        <v>1.04</v>
      </c>
    </row>
    <row r="2395" spans="1:21" x14ac:dyDescent="0.25">
      <c r="A2395" s="81" t="s">
        <v>1187</v>
      </c>
      <c r="B2395" s="53">
        <f>EXP(SUMPRODUCT((rl_key=$A$2344)*(rl_cons="Y")*rl_ln1p))</f>
        <v>1.04</v>
      </c>
      <c r="C2395" s="53">
        <f>SUMPRODUCT($H$2347:$H$2394,$P$2347:$P$2394,$U$2347:$U$2394)/SUMPRODUCT($H$2347:$H$2394,$P$2347:$P$2394)</f>
        <v>1.01</v>
      </c>
      <c r="D2395" s="53">
        <f>SUMPRODUCT($H$2347:$H$2394,$Q$2347:$Q$2394,$U$2347:$U$2394)/SUMPRODUCT($H$2347:$H$2394,$Q$2347:$Q$2394)</f>
        <v>1.0399999999999998</v>
      </c>
      <c r="E2395" s="53">
        <f>SUMPRODUCT($H$2347:$H$2394,$R$2347:$R$2394,$U$2347:$U$2394)/SUMPRODUCT($H$2347:$H$2394,$R$2347:$R$2394)</f>
        <v>1.0399999999999998</v>
      </c>
      <c r="F2395" s="172">
        <f>SUMPRODUCT($H$2347:$H$2394,$Q$2347:$Q$2394,$O$2347:$O$2394)/SUMPRODUCT($H$2347:$H$2394,$Q$2347:$Q$2394)</f>
        <v>0.90600747629467537</v>
      </c>
      <c r="G2395" s="172">
        <f>SUMPRODUCT($H$2347:$H$2394,$R$2347:$R$2394,$O$2347:$O$2394)/SUMPRODUCT($H$2347:$H$2394,$R$2347:$R$2394)</f>
        <v>0.90033977631898854</v>
      </c>
    </row>
    <row r="2398" spans="1:21" x14ac:dyDescent="0.25">
      <c r="A2398" s="81" t="str">
        <f>INDEX(lr_key,44)</f>
        <v>BU-C|CA</v>
      </c>
      <c r="B2398" s="81" t="str">
        <f>INDEX(lr_state,44)</f>
        <v>CA</v>
      </c>
      <c r="C2398" s="55">
        <f>nr_TermMonths</f>
        <v>6</v>
      </c>
      <c r="D2398" s="55">
        <f>IF(COUNTIF(se_state,$B2398)=0,0,MATCH($B2398,se_state,0))</f>
        <v>0</v>
      </c>
      <c r="E2398" s="57">
        <f>IF($D2398=0,0,INDEX(se_sum,$D2398))</f>
        <v>0</v>
      </c>
      <c r="F2398" s="172">
        <f>IF(N(INDEX(lr_mind,44))=0,1,INDEX(lr_mind,44))</f>
        <v>0.92</v>
      </c>
      <c r="G2398" s="172">
        <f>IF(N(INDEX(lr_m0,44))=0,1,INDEX(lr_m0,44))</f>
        <v>0.91</v>
      </c>
      <c r="H2398" s="54">
        <f>IF(N(INDEX(lr_m0asof,44))=0,DATE(nr_PlanYear-1,10,1),INDEX(lr_m0asof,44))</f>
        <v>46295</v>
      </c>
      <c r="I2398" s="172">
        <f>IF(N(INDEX(lr_m1,44))=0,1,INDEX(lr_m1,44))</f>
        <v>0.91500000000000004</v>
      </c>
      <c r="J2398" s="172">
        <f>INDEX(lr_mprior,44)</f>
        <v>0</v>
      </c>
      <c r="K2398" s="172">
        <f>INDEX(lr_m2,44)</f>
        <v>0</v>
      </c>
      <c r="L2398" s="81" t="b">
        <f>NOT(ISBLANK(INDEX(lr_netp,44)))</f>
        <v>0</v>
      </c>
      <c r="M2398" s="52">
        <f>N(INDEX(lr_netp,44))</f>
        <v>0</v>
      </c>
      <c r="N2398" s="52">
        <f>IF(ISBLANK(INDEX(lr_netp1,44)),$M$2398,N(INDEX(lr_netp1,44)))</f>
        <v>0</v>
      </c>
      <c r="O2398" s="55">
        <f>IF(AND(nr_ModAdjMaster="ON",INDEX(lr_modadj,44)="ON"),1,0)</f>
        <v>1</v>
      </c>
    </row>
    <row r="2399" spans="1:21" x14ac:dyDescent="0.25">
      <c r="A2399" s="81">
        <f>EDATE($H$2398,-12)+1</f>
        <v>45931</v>
      </c>
      <c r="B2399" s="81">
        <f>$H$2398+1</f>
        <v>46296</v>
      </c>
      <c r="C2399" s="81">
        <f>DATE(nr_PlanYear,12,31)+1</f>
        <v>46753</v>
      </c>
      <c r="D2399" s="81">
        <f>DATE(nr_PlanYear+1,12,31)+1</f>
        <v>47119</v>
      </c>
      <c r="E2399" s="81">
        <f>IF(N($J$2398)=0,$F$2399-($G$2399-$F$2399)/($C$2399-$B$2399)*($B$2399-$A$2399),$J$2398)</f>
        <v>0.90600656455142237</v>
      </c>
      <c r="F2399" s="81">
        <f>$G$2398</f>
        <v>0.91</v>
      </c>
      <c r="G2399" s="81">
        <f>$I$2398</f>
        <v>0.91500000000000004</v>
      </c>
      <c r="H2399" s="81">
        <f>IF(N($K$2398)=0,$I$2398,$K$2398)</f>
        <v>0.91500000000000004</v>
      </c>
      <c r="I2399" s="81">
        <f>($F$2399-$E$2399)/($B$2399-$A$2399)</f>
        <v>1.0940919037199081E-5</v>
      </c>
      <c r="J2399" s="81">
        <f>($G$2399-$F$2399)/($C$2399-$B$2399)</f>
        <v>1.0940919037199135E-5</v>
      </c>
      <c r="K2399" s="81">
        <f>($H$2399-$G$2399)/($D$2399-$C$2399)</f>
        <v>0</v>
      </c>
    </row>
    <row r="2400" spans="1:21" ht="36" x14ac:dyDescent="0.25">
      <c r="A2400" s="50" t="s">
        <v>211</v>
      </c>
      <c r="B2400" s="50" t="s">
        <v>212</v>
      </c>
      <c r="C2400" s="50" t="s">
        <v>213</v>
      </c>
      <c r="D2400" s="50" t="s">
        <v>214</v>
      </c>
      <c r="E2400" s="50" t="s">
        <v>215</v>
      </c>
      <c r="F2400" s="50" t="s">
        <v>216</v>
      </c>
      <c r="G2400" s="50" t="s">
        <v>217</v>
      </c>
      <c r="H2400" s="50" t="s">
        <v>218</v>
      </c>
      <c r="I2400" s="50" t="s">
        <v>219</v>
      </c>
      <c r="J2400" s="50" t="s">
        <v>220</v>
      </c>
      <c r="K2400" s="50" t="s">
        <v>221</v>
      </c>
      <c r="L2400" s="50" t="s">
        <v>222</v>
      </c>
      <c r="M2400" s="50" t="s">
        <v>223</v>
      </c>
      <c r="N2400" s="50" t="s">
        <v>224</v>
      </c>
      <c r="O2400" s="50" t="s">
        <v>225</v>
      </c>
      <c r="P2400" s="50" t="s">
        <v>226</v>
      </c>
      <c r="Q2400" s="50" t="s">
        <v>227</v>
      </c>
      <c r="R2400" s="50" t="s">
        <v>228</v>
      </c>
      <c r="S2400" s="50" t="s">
        <v>229</v>
      </c>
      <c r="T2400" s="50" t="s">
        <v>230</v>
      </c>
      <c r="U2400" s="50" t="s">
        <v>231</v>
      </c>
    </row>
    <row r="2401" spans="1:21" x14ac:dyDescent="0.25">
      <c r="A2401" s="71">
        <v>1</v>
      </c>
      <c r="B2401" s="72">
        <f>DATE(nr_PlanYear-2,1,1)</f>
        <v>45658</v>
      </c>
      <c r="C2401" s="73">
        <f t="shared" ref="C2401:C2448" si="894">EOMONTH($B2401,0)</f>
        <v>45688</v>
      </c>
      <c r="D2401" s="67">
        <f t="shared" ref="D2401:D2448" si="895">$C2401-$B2401+1</f>
        <v>31</v>
      </c>
      <c r="E2401" s="67">
        <f t="shared" ref="E2401:E2448" si="896">MONTH($B2401)</f>
        <v>1</v>
      </c>
      <c r="F2401" s="74">
        <f t="shared" ref="F2401:F2448" si="897">($B2401+$C2401+1)/2</f>
        <v>45673.5</v>
      </c>
      <c r="G2401" s="67">
        <f t="shared" ref="G2401:G2448" si="898">YEAR($B2401)*12+MONTH($B2401)-1</f>
        <v>24300</v>
      </c>
      <c r="H2401" s="75">
        <f t="shared" ref="H2401:H2448" si="899">IF(OR(nr_SeasonOn="OFF",$D$2398=0,$E$2398=0),1,12*INDEX(se_block,$D$2398,$E2401)/$E$2398)</f>
        <v>1</v>
      </c>
      <c r="I2401" s="76">
        <f t="shared" ref="I2401:I2448" si="900">EXP(SUMPRODUCT((rl_eff&lt;$B2401)*(rl_key=$A$2398)*rl_ln1p))</f>
        <v>1</v>
      </c>
      <c r="J2401" s="76">
        <f t="shared" ref="J2401:J2448" si="901">EXP(SUMPRODUCT((rl_eff&lt;=$C2401)*(rl_key=$A$2398)*rl_ln1p))</f>
        <v>1</v>
      </c>
      <c r="K2401" s="67">
        <f t="shared" ref="K2401:K2448" si="902">COUNTIFS(rl_key,$A$2398,rl_eff,"&gt;="&amp;$B2401,rl_eff,"&lt;="&amp;$C2401)</f>
        <v>0</v>
      </c>
      <c r="L2401" s="67">
        <f t="shared" ref="L2401:L2448" si="903">SUMIFS(rl_daysafter,rl_key,$A$2398,rl_effmonth,$B2401,rl_first,1)</f>
        <v>0</v>
      </c>
      <c r="M2401" s="77">
        <f t="shared" ref="M2401:M2448" si="904">IF($K2401=0,0,MIN(1,$L2401/$D2401))</f>
        <v>0</v>
      </c>
      <c r="N2401" s="76">
        <f t="shared" ref="N2401:N2448" si="905">IF($K2401=0,$J2401,(1-$M2401)*$I2401+$M2401*$J2401)</f>
        <v>1</v>
      </c>
      <c r="O2401" s="77">
        <f t="shared" ref="O2401:O2448" si="906">IF($F2401&lt;$B$2399,$E$2399+$I$2399*($F2401-$A$2399),IF($F2401&lt;$C$2399,$F$2399+$J$2399*($F2401-$B$2399),$G$2399+$K$2399*($F2401-$C$2399)))</f>
        <v>0.90318927789934356</v>
      </c>
      <c r="P2401" s="76">
        <f t="shared" ref="P2401:P2448" si="907">MIN(1,MAX(0,(nr_MEndPm1-$G2401+0.5)/$C$2398))-MIN(1,MAX(0,(nr_MStartPm1-1-$G2401+0.5)/$C$2398))</f>
        <v>0</v>
      </c>
      <c r="Q2401" s="76">
        <f t="shared" ref="Q2401:Q2448" si="908">MIN(1,MAX(0,(nr_MEndP-$G2401+0.5)/$C$2398))-MIN(1,MAX(0,(nr_MStartP-1-$G2401+0.5)/$C$2398))</f>
        <v>0</v>
      </c>
      <c r="R2401" s="76">
        <f t="shared" ref="R2401:R2448" si="909">MIN(1,MAX(0,(nr_MEndP1-$G2401+0.5)/$C$2398))-MIN(1,MAX(0,(nr_MStartP1-1-$G2401+0.5)/$C$2398))</f>
        <v>0</v>
      </c>
      <c r="S2401" s="76">
        <f t="shared" ref="S2401:S2448" si="910">$N2401*IF($O$2398=1,$O2401/$F$2398,1)</f>
        <v>0.98172747597754728</v>
      </c>
      <c r="T2401" s="76">
        <f t="shared" ref="T2401:T2448" si="911">IF($G2401&lt;nr_MStartP,$S2401,$T2389*(1+IF($G2401&lt;nr_MStartP1,$M$2398,$N$2398)))</f>
        <v>0.98172747597754728</v>
      </c>
      <c r="U2401" s="76">
        <f t="shared" ref="U2401:U2448" si="912">IF($L$2398,$T2401,$N2401)</f>
        <v>1</v>
      </c>
    </row>
    <row r="2402" spans="1:21" x14ac:dyDescent="0.25">
      <c r="A2402" s="71">
        <v>2</v>
      </c>
      <c r="B2402" s="72">
        <f t="shared" ref="B2402:B2448" si="913">EDATE($B2401,1)</f>
        <v>45689</v>
      </c>
      <c r="C2402" s="73">
        <f t="shared" si="894"/>
        <v>45716</v>
      </c>
      <c r="D2402" s="67">
        <f t="shared" si="895"/>
        <v>28</v>
      </c>
      <c r="E2402" s="67">
        <f t="shared" si="896"/>
        <v>2</v>
      </c>
      <c r="F2402" s="74">
        <f t="shared" si="897"/>
        <v>45703</v>
      </c>
      <c r="G2402" s="67">
        <f t="shared" si="898"/>
        <v>24301</v>
      </c>
      <c r="H2402" s="75">
        <f t="shared" si="899"/>
        <v>1</v>
      </c>
      <c r="I2402" s="76">
        <f t="shared" si="900"/>
        <v>1</v>
      </c>
      <c r="J2402" s="76">
        <f t="shared" si="901"/>
        <v>1</v>
      </c>
      <c r="K2402" s="67">
        <f t="shared" si="902"/>
        <v>0</v>
      </c>
      <c r="L2402" s="67">
        <f t="shared" si="903"/>
        <v>0</v>
      </c>
      <c r="M2402" s="77">
        <f t="shared" si="904"/>
        <v>0</v>
      </c>
      <c r="N2402" s="76">
        <f t="shared" si="905"/>
        <v>1</v>
      </c>
      <c r="O2402" s="77">
        <f t="shared" si="906"/>
        <v>0.90351203501094102</v>
      </c>
      <c r="P2402" s="76">
        <f t="shared" si="907"/>
        <v>0</v>
      </c>
      <c r="Q2402" s="76">
        <f t="shared" si="908"/>
        <v>0</v>
      </c>
      <c r="R2402" s="76">
        <f t="shared" si="909"/>
        <v>0</v>
      </c>
      <c r="S2402" s="76">
        <f t="shared" si="910"/>
        <v>0.98207829892493581</v>
      </c>
      <c r="T2402" s="76">
        <f t="shared" si="911"/>
        <v>0.98207829892493581</v>
      </c>
      <c r="U2402" s="76">
        <f t="shared" si="912"/>
        <v>1</v>
      </c>
    </row>
    <row r="2403" spans="1:21" x14ac:dyDescent="0.25">
      <c r="A2403" s="71">
        <v>3</v>
      </c>
      <c r="B2403" s="72">
        <f t="shared" si="913"/>
        <v>45717</v>
      </c>
      <c r="C2403" s="73">
        <f t="shared" si="894"/>
        <v>45747</v>
      </c>
      <c r="D2403" s="67">
        <f t="shared" si="895"/>
        <v>31</v>
      </c>
      <c r="E2403" s="67">
        <f t="shared" si="896"/>
        <v>3</v>
      </c>
      <c r="F2403" s="74">
        <f t="shared" si="897"/>
        <v>45732.5</v>
      </c>
      <c r="G2403" s="67">
        <f t="shared" si="898"/>
        <v>24302</v>
      </c>
      <c r="H2403" s="75">
        <f t="shared" si="899"/>
        <v>1</v>
      </c>
      <c r="I2403" s="76">
        <f t="shared" si="900"/>
        <v>1</v>
      </c>
      <c r="J2403" s="76">
        <f t="shared" si="901"/>
        <v>1</v>
      </c>
      <c r="K2403" s="67">
        <f t="shared" si="902"/>
        <v>0</v>
      </c>
      <c r="L2403" s="67">
        <f t="shared" si="903"/>
        <v>0</v>
      </c>
      <c r="M2403" s="77">
        <f t="shared" si="904"/>
        <v>0</v>
      </c>
      <c r="N2403" s="76">
        <f t="shared" si="905"/>
        <v>1</v>
      </c>
      <c r="O2403" s="77">
        <f t="shared" si="906"/>
        <v>0.90383479212253837</v>
      </c>
      <c r="P2403" s="76">
        <f t="shared" si="907"/>
        <v>0</v>
      </c>
      <c r="Q2403" s="76">
        <f t="shared" si="908"/>
        <v>0</v>
      </c>
      <c r="R2403" s="76">
        <f t="shared" si="909"/>
        <v>0</v>
      </c>
      <c r="S2403" s="76">
        <f t="shared" si="910"/>
        <v>0.98242912187232423</v>
      </c>
      <c r="T2403" s="76">
        <f t="shared" si="911"/>
        <v>0.98242912187232423</v>
      </c>
      <c r="U2403" s="76">
        <f t="shared" si="912"/>
        <v>1</v>
      </c>
    </row>
    <row r="2404" spans="1:21" x14ac:dyDescent="0.25">
      <c r="A2404" s="71">
        <v>4</v>
      </c>
      <c r="B2404" s="72">
        <f t="shared" si="913"/>
        <v>45748</v>
      </c>
      <c r="C2404" s="73">
        <f t="shared" si="894"/>
        <v>45777</v>
      </c>
      <c r="D2404" s="67">
        <f t="shared" si="895"/>
        <v>30</v>
      </c>
      <c r="E2404" s="67">
        <f t="shared" si="896"/>
        <v>4</v>
      </c>
      <c r="F2404" s="74">
        <f t="shared" si="897"/>
        <v>45763</v>
      </c>
      <c r="G2404" s="67">
        <f t="shared" si="898"/>
        <v>24303</v>
      </c>
      <c r="H2404" s="75">
        <f t="shared" si="899"/>
        <v>1</v>
      </c>
      <c r="I2404" s="76">
        <f t="shared" si="900"/>
        <v>1</v>
      </c>
      <c r="J2404" s="76">
        <f t="shared" si="901"/>
        <v>1</v>
      </c>
      <c r="K2404" s="67">
        <f t="shared" si="902"/>
        <v>0</v>
      </c>
      <c r="L2404" s="67">
        <f t="shared" si="903"/>
        <v>0</v>
      </c>
      <c r="M2404" s="77">
        <f t="shared" si="904"/>
        <v>0</v>
      </c>
      <c r="N2404" s="76">
        <f t="shared" si="905"/>
        <v>1</v>
      </c>
      <c r="O2404" s="77">
        <f t="shared" si="906"/>
        <v>0.90416849015317291</v>
      </c>
      <c r="P2404" s="76">
        <f t="shared" si="907"/>
        <v>0</v>
      </c>
      <c r="Q2404" s="76">
        <f t="shared" si="908"/>
        <v>0</v>
      </c>
      <c r="R2404" s="76">
        <f t="shared" si="909"/>
        <v>0</v>
      </c>
      <c r="S2404" s="76">
        <f t="shared" si="910"/>
        <v>0.98279183712301399</v>
      </c>
      <c r="T2404" s="76">
        <f t="shared" si="911"/>
        <v>0.98279183712301399</v>
      </c>
      <c r="U2404" s="76">
        <f t="shared" si="912"/>
        <v>1</v>
      </c>
    </row>
    <row r="2405" spans="1:21" x14ac:dyDescent="0.25">
      <c r="A2405" s="71">
        <v>5</v>
      </c>
      <c r="B2405" s="72">
        <f t="shared" si="913"/>
        <v>45778</v>
      </c>
      <c r="C2405" s="73">
        <f t="shared" si="894"/>
        <v>45808</v>
      </c>
      <c r="D2405" s="67">
        <f t="shared" si="895"/>
        <v>31</v>
      </c>
      <c r="E2405" s="67">
        <f t="shared" si="896"/>
        <v>5</v>
      </c>
      <c r="F2405" s="74">
        <f t="shared" si="897"/>
        <v>45793.5</v>
      </c>
      <c r="G2405" s="67">
        <f t="shared" si="898"/>
        <v>24304</v>
      </c>
      <c r="H2405" s="75">
        <f t="shared" si="899"/>
        <v>1</v>
      </c>
      <c r="I2405" s="76">
        <f t="shared" si="900"/>
        <v>1</v>
      </c>
      <c r="J2405" s="76">
        <f t="shared" si="901"/>
        <v>1</v>
      </c>
      <c r="K2405" s="67">
        <f t="shared" si="902"/>
        <v>0</v>
      </c>
      <c r="L2405" s="67">
        <f t="shared" si="903"/>
        <v>0</v>
      </c>
      <c r="M2405" s="77">
        <f t="shared" si="904"/>
        <v>0</v>
      </c>
      <c r="N2405" s="76">
        <f t="shared" si="905"/>
        <v>1</v>
      </c>
      <c r="O2405" s="77">
        <f t="shared" si="906"/>
        <v>0.90450218818380745</v>
      </c>
      <c r="P2405" s="76">
        <f t="shared" si="907"/>
        <v>0</v>
      </c>
      <c r="Q2405" s="76">
        <f t="shared" si="908"/>
        <v>0</v>
      </c>
      <c r="R2405" s="76">
        <f t="shared" si="909"/>
        <v>0</v>
      </c>
      <c r="S2405" s="76">
        <f t="shared" si="910"/>
        <v>0.98315455237370375</v>
      </c>
      <c r="T2405" s="76">
        <f t="shared" si="911"/>
        <v>0.98315455237370375</v>
      </c>
      <c r="U2405" s="76">
        <f t="shared" si="912"/>
        <v>1</v>
      </c>
    </row>
    <row r="2406" spans="1:21" x14ac:dyDescent="0.25">
      <c r="A2406" s="71">
        <v>6</v>
      </c>
      <c r="B2406" s="72">
        <f t="shared" si="913"/>
        <v>45809</v>
      </c>
      <c r="C2406" s="73">
        <f t="shared" si="894"/>
        <v>45838</v>
      </c>
      <c r="D2406" s="67">
        <f t="shared" si="895"/>
        <v>30</v>
      </c>
      <c r="E2406" s="67">
        <f t="shared" si="896"/>
        <v>6</v>
      </c>
      <c r="F2406" s="74">
        <f t="shared" si="897"/>
        <v>45824</v>
      </c>
      <c r="G2406" s="67">
        <f t="shared" si="898"/>
        <v>24305</v>
      </c>
      <c r="H2406" s="75">
        <f t="shared" si="899"/>
        <v>1</v>
      </c>
      <c r="I2406" s="76">
        <f t="shared" si="900"/>
        <v>1</v>
      </c>
      <c r="J2406" s="76">
        <f t="shared" si="901"/>
        <v>1</v>
      </c>
      <c r="K2406" s="67">
        <f t="shared" si="902"/>
        <v>0</v>
      </c>
      <c r="L2406" s="67">
        <f t="shared" si="903"/>
        <v>0</v>
      </c>
      <c r="M2406" s="77">
        <f t="shared" si="904"/>
        <v>0</v>
      </c>
      <c r="N2406" s="76">
        <f t="shared" si="905"/>
        <v>1</v>
      </c>
      <c r="O2406" s="77">
        <f t="shared" si="906"/>
        <v>0.90483588621444211</v>
      </c>
      <c r="P2406" s="76">
        <f t="shared" si="907"/>
        <v>0</v>
      </c>
      <c r="Q2406" s="76">
        <f t="shared" si="908"/>
        <v>0</v>
      </c>
      <c r="R2406" s="76">
        <f t="shared" si="909"/>
        <v>0</v>
      </c>
      <c r="S2406" s="76">
        <f t="shared" si="910"/>
        <v>0.98351726762439351</v>
      </c>
      <c r="T2406" s="76">
        <f t="shared" si="911"/>
        <v>0.98351726762439351</v>
      </c>
      <c r="U2406" s="76">
        <f t="shared" si="912"/>
        <v>1</v>
      </c>
    </row>
    <row r="2407" spans="1:21" x14ac:dyDescent="0.25">
      <c r="A2407" s="71">
        <v>7</v>
      </c>
      <c r="B2407" s="72">
        <f t="shared" si="913"/>
        <v>45839</v>
      </c>
      <c r="C2407" s="73">
        <f t="shared" si="894"/>
        <v>45869</v>
      </c>
      <c r="D2407" s="67">
        <f t="shared" si="895"/>
        <v>31</v>
      </c>
      <c r="E2407" s="67">
        <f t="shared" si="896"/>
        <v>7</v>
      </c>
      <c r="F2407" s="74">
        <f t="shared" si="897"/>
        <v>45854.5</v>
      </c>
      <c r="G2407" s="67">
        <f t="shared" si="898"/>
        <v>24306</v>
      </c>
      <c r="H2407" s="75">
        <f t="shared" si="899"/>
        <v>1</v>
      </c>
      <c r="I2407" s="76">
        <f t="shared" si="900"/>
        <v>1</v>
      </c>
      <c r="J2407" s="76">
        <f t="shared" si="901"/>
        <v>1</v>
      </c>
      <c r="K2407" s="67">
        <f t="shared" si="902"/>
        <v>0</v>
      </c>
      <c r="L2407" s="67">
        <f t="shared" si="903"/>
        <v>0</v>
      </c>
      <c r="M2407" s="77">
        <f t="shared" si="904"/>
        <v>0</v>
      </c>
      <c r="N2407" s="76">
        <f t="shared" si="905"/>
        <v>1</v>
      </c>
      <c r="O2407" s="77">
        <f t="shared" si="906"/>
        <v>0.90516958424507665</v>
      </c>
      <c r="P2407" s="76">
        <f t="shared" si="907"/>
        <v>8.333333333333337E-2</v>
      </c>
      <c r="Q2407" s="76">
        <f t="shared" si="908"/>
        <v>0</v>
      </c>
      <c r="R2407" s="76">
        <f t="shared" si="909"/>
        <v>0</v>
      </c>
      <c r="S2407" s="76">
        <f t="shared" si="910"/>
        <v>0.98387998287508327</v>
      </c>
      <c r="T2407" s="76">
        <f t="shared" si="911"/>
        <v>0.98387998287508327</v>
      </c>
      <c r="U2407" s="76">
        <f t="shared" si="912"/>
        <v>1</v>
      </c>
    </row>
    <row r="2408" spans="1:21" x14ac:dyDescent="0.25">
      <c r="A2408" s="71">
        <v>8</v>
      </c>
      <c r="B2408" s="72">
        <f t="shared" si="913"/>
        <v>45870</v>
      </c>
      <c r="C2408" s="73">
        <f t="shared" si="894"/>
        <v>45900</v>
      </c>
      <c r="D2408" s="67">
        <f t="shared" si="895"/>
        <v>31</v>
      </c>
      <c r="E2408" s="67">
        <f t="shared" si="896"/>
        <v>8</v>
      </c>
      <c r="F2408" s="74">
        <f t="shared" si="897"/>
        <v>45885.5</v>
      </c>
      <c r="G2408" s="67">
        <f t="shared" si="898"/>
        <v>24307</v>
      </c>
      <c r="H2408" s="75">
        <f t="shared" si="899"/>
        <v>1</v>
      </c>
      <c r="I2408" s="76">
        <f t="shared" si="900"/>
        <v>1</v>
      </c>
      <c r="J2408" s="76">
        <f t="shared" si="901"/>
        <v>1</v>
      </c>
      <c r="K2408" s="67">
        <f t="shared" si="902"/>
        <v>0</v>
      </c>
      <c r="L2408" s="67">
        <f t="shared" si="903"/>
        <v>0</v>
      </c>
      <c r="M2408" s="77">
        <f t="shared" si="904"/>
        <v>0</v>
      </c>
      <c r="N2408" s="76">
        <f t="shared" si="905"/>
        <v>1</v>
      </c>
      <c r="O2408" s="77">
        <f t="shared" si="906"/>
        <v>0.90550875273522979</v>
      </c>
      <c r="P2408" s="76">
        <f t="shared" si="907"/>
        <v>0.25</v>
      </c>
      <c r="Q2408" s="76">
        <f t="shared" si="908"/>
        <v>0</v>
      </c>
      <c r="R2408" s="76">
        <f t="shared" si="909"/>
        <v>0</v>
      </c>
      <c r="S2408" s="76">
        <f t="shared" si="910"/>
        <v>0.98424864427742365</v>
      </c>
      <c r="T2408" s="76">
        <f t="shared" si="911"/>
        <v>0.98424864427742365</v>
      </c>
      <c r="U2408" s="76">
        <f t="shared" si="912"/>
        <v>1</v>
      </c>
    </row>
    <row r="2409" spans="1:21" x14ac:dyDescent="0.25">
      <c r="A2409" s="71">
        <v>9</v>
      </c>
      <c r="B2409" s="72">
        <f t="shared" si="913"/>
        <v>45901</v>
      </c>
      <c r="C2409" s="73">
        <f t="shared" si="894"/>
        <v>45930</v>
      </c>
      <c r="D2409" s="67">
        <f t="shared" si="895"/>
        <v>30</v>
      </c>
      <c r="E2409" s="67">
        <f t="shared" si="896"/>
        <v>9</v>
      </c>
      <c r="F2409" s="74">
        <f t="shared" si="897"/>
        <v>45916</v>
      </c>
      <c r="G2409" s="67">
        <f t="shared" si="898"/>
        <v>24308</v>
      </c>
      <c r="H2409" s="75">
        <f t="shared" si="899"/>
        <v>1</v>
      </c>
      <c r="I2409" s="76">
        <f t="shared" si="900"/>
        <v>1</v>
      </c>
      <c r="J2409" s="76">
        <f t="shared" si="901"/>
        <v>1</v>
      </c>
      <c r="K2409" s="67">
        <f t="shared" si="902"/>
        <v>0</v>
      </c>
      <c r="L2409" s="67">
        <f t="shared" si="903"/>
        <v>0</v>
      </c>
      <c r="M2409" s="77">
        <f t="shared" si="904"/>
        <v>0</v>
      </c>
      <c r="N2409" s="76">
        <f t="shared" si="905"/>
        <v>1</v>
      </c>
      <c r="O2409" s="77">
        <f t="shared" si="906"/>
        <v>0.90584245076586434</v>
      </c>
      <c r="P2409" s="76">
        <f t="shared" si="907"/>
        <v>0.41666666666666663</v>
      </c>
      <c r="Q2409" s="76">
        <f t="shared" si="908"/>
        <v>0</v>
      </c>
      <c r="R2409" s="76">
        <f t="shared" si="909"/>
        <v>0</v>
      </c>
      <c r="S2409" s="76">
        <f t="shared" si="910"/>
        <v>0.98461135952811341</v>
      </c>
      <c r="T2409" s="76">
        <f t="shared" si="911"/>
        <v>0.98461135952811341</v>
      </c>
      <c r="U2409" s="76">
        <f t="shared" si="912"/>
        <v>1</v>
      </c>
    </row>
    <row r="2410" spans="1:21" x14ac:dyDescent="0.25">
      <c r="A2410" s="71">
        <v>10</v>
      </c>
      <c r="B2410" s="72">
        <f t="shared" si="913"/>
        <v>45931</v>
      </c>
      <c r="C2410" s="73">
        <f t="shared" si="894"/>
        <v>45961</v>
      </c>
      <c r="D2410" s="67">
        <f t="shared" si="895"/>
        <v>31</v>
      </c>
      <c r="E2410" s="67">
        <f t="shared" si="896"/>
        <v>10</v>
      </c>
      <c r="F2410" s="74">
        <f t="shared" si="897"/>
        <v>45946.5</v>
      </c>
      <c r="G2410" s="67">
        <f t="shared" si="898"/>
        <v>24309</v>
      </c>
      <c r="H2410" s="75">
        <f t="shared" si="899"/>
        <v>1</v>
      </c>
      <c r="I2410" s="76">
        <f t="shared" si="900"/>
        <v>1</v>
      </c>
      <c r="J2410" s="76">
        <f t="shared" si="901"/>
        <v>1</v>
      </c>
      <c r="K2410" s="67">
        <f t="shared" si="902"/>
        <v>0</v>
      </c>
      <c r="L2410" s="67">
        <f t="shared" si="903"/>
        <v>0</v>
      </c>
      <c r="M2410" s="77">
        <f t="shared" si="904"/>
        <v>0</v>
      </c>
      <c r="N2410" s="76">
        <f t="shared" si="905"/>
        <v>1</v>
      </c>
      <c r="O2410" s="77">
        <f t="shared" si="906"/>
        <v>0.90617614879649899</v>
      </c>
      <c r="P2410" s="76">
        <f t="shared" si="907"/>
        <v>0.58333333333333326</v>
      </c>
      <c r="Q2410" s="76">
        <f t="shared" si="908"/>
        <v>0</v>
      </c>
      <c r="R2410" s="76">
        <f t="shared" si="909"/>
        <v>0</v>
      </c>
      <c r="S2410" s="76">
        <f t="shared" si="910"/>
        <v>0.98497407477880317</v>
      </c>
      <c r="T2410" s="76">
        <f t="shared" si="911"/>
        <v>0.98497407477880317</v>
      </c>
      <c r="U2410" s="76">
        <f t="shared" si="912"/>
        <v>1</v>
      </c>
    </row>
    <row r="2411" spans="1:21" x14ac:dyDescent="0.25">
      <c r="A2411" s="71">
        <v>11</v>
      </c>
      <c r="B2411" s="72">
        <f t="shared" si="913"/>
        <v>45962</v>
      </c>
      <c r="C2411" s="73">
        <f t="shared" si="894"/>
        <v>45991</v>
      </c>
      <c r="D2411" s="67">
        <f t="shared" si="895"/>
        <v>30</v>
      </c>
      <c r="E2411" s="67">
        <f t="shared" si="896"/>
        <v>11</v>
      </c>
      <c r="F2411" s="74">
        <f t="shared" si="897"/>
        <v>45977</v>
      </c>
      <c r="G2411" s="67">
        <f t="shared" si="898"/>
        <v>24310</v>
      </c>
      <c r="H2411" s="75">
        <f t="shared" si="899"/>
        <v>1</v>
      </c>
      <c r="I2411" s="76">
        <f t="shared" si="900"/>
        <v>1</v>
      </c>
      <c r="J2411" s="76">
        <f t="shared" si="901"/>
        <v>1</v>
      </c>
      <c r="K2411" s="67">
        <f t="shared" si="902"/>
        <v>0</v>
      </c>
      <c r="L2411" s="67">
        <f t="shared" si="903"/>
        <v>0</v>
      </c>
      <c r="M2411" s="77">
        <f t="shared" si="904"/>
        <v>0</v>
      </c>
      <c r="N2411" s="76">
        <f t="shared" si="905"/>
        <v>1</v>
      </c>
      <c r="O2411" s="77">
        <f t="shared" si="906"/>
        <v>0.90650984682713354</v>
      </c>
      <c r="P2411" s="76">
        <f t="shared" si="907"/>
        <v>0.75</v>
      </c>
      <c r="Q2411" s="76">
        <f t="shared" si="908"/>
        <v>0</v>
      </c>
      <c r="R2411" s="76">
        <f t="shared" si="909"/>
        <v>0</v>
      </c>
      <c r="S2411" s="76">
        <f t="shared" si="910"/>
        <v>0.98533679002949293</v>
      </c>
      <c r="T2411" s="76">
        <f t="shared" si="911"/>
        <v>0.98533679002949293</v>
      </c>
      <c r="U2411" s="76">
        <f t="shared" si="912"/>
        <v>1</v>
      </c>
    </row>
    <row r="2412" spans="1:21" x14ac:dyDescent="0.25">
      <c r="A2412" s="71">
        <v>12</v>
      </c>
      <c r="B2412" s="72">
        <f t="shared" si="913"/>
        <v>45992</v>
      </c>
      <c r="C2412" s="73">
        <f t="shared" si="894"/>
        <v>46022</v>
      </c>
      <c r="D2412" s="67">
        <f t="shared" si="895"/>
        <v>31</v>
      </c>
      <c r="E2412" s="67">
        <f t="shared" si="896"/>
        <v>12</v>
      </c>
      <c r="F2412" s="74">
        <f t="shared" si="897"/>
        <v>46007.5</v>
      </c>
      <c r="G2412" s="67">
        <f t="shared" si="898"/>
        <v>24311</v>
      </c>
      <c r="H2412" s="75">
        <f t="shared" si="899"/>
        <v>1</v>
      </c>
      <c r="I2412" s="76">
        <f t="shared" si="900"/>
        <v>1</v>
      </c>
      <c r="J2412" s="76">
        <f t="shared" si="901"/>
        <v>1</v>
      </c>
      <c r="K2412" s="67">
        <f t="shared" si="902"/>
        <v>0</v>
      </c>
      <c r="L2412" s="67">
        <f t="shared" si="903"/>
        <v>0</v>
      </c>
      <c r="M2412" s="77">
        <f t="shared" si="904"/>
        <v>0</v>
      </c>
      <c r="N2412" s="76">
        <f t="shared" si="905"/>
        <v>1</v>
      </c>
      <c r="O2412" s="77">
        <f t="shared" si="906"/>
        <v>0.90684354485776808</v>
      </c>
      <c r="P2412" s="76">
        <f t="shared" si="907"/>
        <v>0.91666666666666663</v>
      </c>
      <c r="Q2412" s="76">
        <f t="shared" si="908"/>
        <v>0</v>
      </c>
      <c r="R2412" s="76">
        <f t="shared" si="909"/>
        <v>0</v>
      </c>
      <c r="S2412" s="76">
        <f t="shared" si="910"/>
        <v>0.98569950528018269</v>
      </c>
      <c r="T2412" s="76">
        <f t="shared" si="911"/>
        <v>0.98569950528018269</v>
      </c>
      <c r="U2412" s="76">
        <f t="shared" si="912"/>
        <v>1</v>
      </c>
    </row>
    <row r="2413" spans="1:21" x14ac:dyDescent="0.25">
      <c r="A2413" s="71">
        <v>13</v>
      </c>
      <c r="B2413" s="72">
        <f t="shared" si="913"/>
        <v>46023</v>
      </c>
      <c r="C2413" s="73">
        <f t="shared" si="894"/>
        <v>46053</v>
      </c>
      <c r="D2413" s="67">
        <f t="shared" si="895"/>
        <v>31</v>
      </c>
      <c r="E2413" s="67">
        <f t="shared" si="896"/>
        <v>1</v>
      </c>
      <c r="F2413" s="74">
        <f t="shared" si="897"/>
        <v>46038.5</v>
      </c>
      <c r="G2413" s="67">
        <f t="shared" si="898"/>
        <v>24312</v>
      </c>
      <c r="H2413" s="75">
        <f t="shared" si="899"/>
        <v>1</v>
      </c>
      <c r="I2413" s="76">
        <f t="shared" si="900"/>
        <v>1</v>
      </c>
      <c r="J2413" s="76">
        <f t="shared" si="901"/>
        <v>1</v>
      </c>
      <c r="K2413" s="67">
        <f t="shared" si="902"/>
        <v>0</v>
      </c>
      <c r="L2413" s="67">
        <f t="shared" si="903"/>
        <v>0</v>
      </c>
      <c r="M2413" s="77">
        <f t="shared" si="904"/>
        <v>0</v>
      </c>
      <c r="N2413" s="76">
        <f t="shared" si="905"/>
        <v>1</v>
      </c>
      <c r="O2413" s="77">
        <f t="shared" si="906"/>
        <v>0.90718271334792122</v>
      </c>
      <c r="P2413" s="76">
        <f t="shared" si="907"/>
        <v>1</v>
      </c>
      <c r="Q2413" s="76">
        <f t="shared" si="908"/>
        <v>0</v>
      </c>
      <c r="R2413" s="76">
        <f t="shared" si="909"/>
        <v>0</v>
      </c>
      <c r="S2413" s="76">
        <f t="shared" si="910"/>
        <v>0.98606816668252306</v>
      </c>
      <c r="T2413" s="76">
        <f t="shared" si="911"/>
        <v>0.98606816668252306</v>
      </c>
      <c r="U2413" s="76">
        <f t="shared" si="912"/>
        <v>1</v>
      </c>
    </row>
    <row r="2414" spans="1:21" x14ac:dyDescent="0.25">
      <c r="A2414" s="71">
        <v>14</v>
      </c>
      <c r="B2414" s="72">
        <f t="shared" si="913"/>
        <v>46054</v>
      </c>
      <c r="C2414" s="73">
        <f t="shared" si="894"/>
        <v>46081</v>
      </c>
      <c r="D2414" s="67">
        <f t="shared" si="895"/>
        <v>28</v>
      </c>
      <c r="E2414" s="67">
        <f t="shared" si="896"/>
        <v>2</v>
      </c>
      <c r="F2414" s="74">
        <f t="shared" si="897"/>
        <v>46068</v>
      </c>
      <c r="G2414" s="67">
        <f t="shared" si="898"/>
        <v>24313</v>
      </c>
      <c r="H2414" s="75">
        <f t="shared" si="899"/>
        <v>1</v>
      </c>
      <c r="I2414" s="76">
        <f t="shared" si="900"/>
        <v>1</v>
      </c>
      <c r="J2414" s="76">
        <f t="shared" si="901"/>
        <v>1</v>
      </c>
      <c r="K2414" s="67">
        <f t="shared" si="902"/>
        <v>0</v>
      </c>
      <c r="L2414" s="67">
        <f t="shared" si="903"/>
        <v>0</v>
      </c>
      <c r="M2414" s="77">
        <f t="shared" si="904"/>
        <v>0</v>
      </c>
      <c r="N2414" s="76">
        <f t="shared" si="905"/>
        <v>1</v>
      </c>
      <c r="O2414" s="77">
        <f t="shared" si="906"/>
        <v>0.90750547045951868</v>
      </c>
      <c r="P2414" s="76">
        <f t="shared" si="907"/>
        <v>1</v>
      </c>
      <c r="Q2414" s="76">
        <f t="shared" si="908"/>
        <v>0</v>
      </c>
      <c r="R2414" s="76">
        <f t="shared" si="909"/>
        <v>0</v>
      </c>
      <c r="S2414" s="76">
        <f t="shared" si="910"/>
        <v>0.98641898962991159</v>
      </c>
      <c r="T2414" s="76">
        <f t="shared" si="911"/>
        <v>0.98641898962991159</v>
      </c>
      <c r="U2414" s="76">
        <f t="shared" si="912"/>
        <v>1</v>
      </c>
    </row>
    <row r="2415" spans="1:21" x14ac:dyDescent="0.25">
      <c r="A2415" s="71">
        <v>15</v>
      </c>
      <c r="B2415" s="72">
        <f t="shared" si="913"/>
        <v>46082</v>
      </c>
      <c r="C2415" s="73">
        <f t="shared" si="894"/>
        <v>46112</v>
      </c>
      <c r="D2415" s="67">
        <f t="shared" si="895"/>
        <v>31</v>
      </c>
      <c r="E2415" s="67">
        <f t="shared" si="896"/>
        <v>3</v>
      </c>
      <c r="F2415" s="74">
        <f t="shared" si="897"/>
        <v>46097.5</v>
      </c>
      <c r="G2415" s="67">
        <f t="shared" si="898"/>
        <v>24314</v>
      </c>
      <c r="H2415" s="75">
        <f t="shared" si="899"/>
        <v>1</v>
      </c>
      <c r="I2415" s="76">
        <f t="shared" si="900"/>
        <v>1</v>
      </c>
      <c r="J2415" s="76">
        <f t="shared" si="901"/>
        <v>1</v>
      </c>
      <c r="K2415" s="67">
        <f t="shared" si="902"/>
        <v>0</v>
      </c>
      <c r="L2415" s="67">
        <f t="shared" si="903"/>
        <v>0</v>
      </c>
      <c r="M2415" s="77">
        <f t="shared" si="904"/>
        <v>0</v>
      </c>
      <c r="N2415" s="76">
        <f t="shared" si="905"/>
        <v>1</v>
      </c>
      <c r="O2415" s="77">
        <f t="shared" si="906"/>
        <v>0.90782822757111603</v>
      </c>
      <c r="P2415" s="76">
        <f t="shared" si="907"/>
        <v>1</v>
      </c>
      <c r="Q2415" s="76">
        <f t="shared" si="908"/>
        <v>0</v>
      </c>
      <c r="R2415" s="76">
        <f t="shared" si="909"/>
        <v>0</v>
      </c>
      <c r="S2415" s="76">
        <f t="shared" si="910"/>
        <v>0.98676981257730001</v>
      </c>
      <c r="T2415" s="76">
        <f t="shared" si="911"/>
        <v>0.98676981257730001</v>
      </c>
      <c r="U2415" s="76">
        <f t="shared" si="912"/>
        <v>1</v>
      </c>
    </row>
    <row r="2416" spans="1:21" x14ac:dyDescent="0.25">
      <c r="A2416" s="71">
        <v>16</v>
      </c>
      <c r="B2416" s="72">
        <f t="shared" si="913"/>
        <v>46113</v>
      </c>
      <c r="C2416" s="73">
        <f t="shared" si="894"/>
        <v>46142</v>
      </c>
      <c r="D2416" s="67">
        <f t="shared" si="895"/>
        <v>30</v>
      </c>
      <c r="E2416" s="67">
        <f t="shared" si="896"/>
        <v>4</v>
      </c>
      <c r="F2416" s="74">
        <f t="shared" si="897"/>
        <v>46128</v>
      </c>
      <c r="G2416" s="67">
        <f t="shared" si="898"/>
        <v>24315</v>
      </c>
      <c r="H2416" s="75">
        <f t="shared" si="899"/>
        <v>1</v>
      </c>
      <c r="I2416" s="76">
        <f t="shared" si="900"/>
        <v>1</v>
      </c>
      <c r="J2416" s="76">
        <f t="shared" si="901"/>
        <v>1</v>
      </c>
      <c r="K2416" s="67">
        <f t="shared" si="902"/>
        <v>0</v>
      </c>
      <c r="L2416" s="67">
        <f t="shared" si="903"/>
        <v>0</v>
      </c>
      <c r="M2416" s="77">
        <f t="shared" si="904"/>
        <v>0</v>
      </c>
      <c r="N2416" s="76">
        <f t="shared" si="905"/>
        <v>1</v>
      </c>
      <c r="O2416" s="77">
        <f t="shared" si="906"/>
        <v>0.90816192560175057</v>
      </c>
      <c r="P2416" s="76">
        <f t="shared" si="907"/>
        <v>1</v>
      </c>
      <c r="Q2416" s="76">
        <f t="shared" si="908"/>
        <v>0</v>
      </c>
      <c r="R2416" s="76">
        <f t="shared" si="909"/>
        <v>0</v>
      </c>
      <c r="S2416" s="76">
        <f t="shared" si="910"/>
        <v>0.98713252782798966</v>
      </c>
      <c r="T2416" s="76">
        <f t="shared" si="911"/>
        <v>0.98713252782798966</v>
      </c>
      <c r="U2416" s="76">
        <f t="shared" si="912"/>
        <v>1</v>
      </c>
    </row>
    <row r="2417" spans="1:21" x14ac:dyDescent="0.25">
      <c r="A2417" s="71">
        <v>17</v>
      </c>
      <c r="B2417" s="72">
        <f t="shared" si="913"/>
        <v>46143</v>
      </c>
      <c r="C2417" s="73">
        <f t="shared" si="894"/>
        <v>46173</v>
      </c>
      <c r="D2417" s="67">
        <f t="shared" si="895"/>
        <v>31</v>
      </c>
      <c r="E2417" s="67">
        <f t="shared" si="896"/>
        <v>5</v>
      </c>
      <c r="F2417" s="74">
        <f t="shared" si="897"/>
        <v>46158.5</v>
      </c>
      <c r="G2417" s="67">
        <f t="shared" si="898"/>
        <v>24316</v>
      </c>
      <c r="H2417" s="75">
        <f t="shared" si="899"/>
        <v>1</v>
      </c>
      <c r="I2417" s="76">
        <f t="shared" si="900"/>
        <v>1</v>
      </c>
      <c r="J2417" s="76">
        <f t="shared" si="901"/>
        <v>1</v>
      </c>
      <c r="K2417" s="67">
        <f t="shared" si="902"/>
        <v>0</v>
      </c>
      <c r="L2417" s="67">
        <f t="shared" si="903"/>
        <v>0</v>
      </c>
      <c r="M2417" s="77">
        <f t="shared" si="904"/>
        <v>0</v>
      </c>
      <c r="N2417" s="76">
        <f t="shared" si="905"/>
        <v>1</v>
      </c>
      <c r="O2417" s="77">
        <f t="shared" si="906"/>
        <v>0.90849562363238512</v>
      </c>
      <c r="P2417" s="76">
        <f t="shared" si="907"/>
        <v>1</v>
      </c>
      <c r="Q2417" s="76">
        <f t="shared" si="908"/>
        <v>0</v>
      </c>
      <c r="R2417" s="76">
        <f t="shared" si="909"/>
        <v>0</v>
      </c>
      <c r="S2417" s="76">
        <f t="shared" si="910"/>
        <v>0.98749524307867942</v>
      </c>
      <c r="T2417" s="76">
        <f t="shared" si="911"/>
        <v>0.98749524307867942</v>
      </c>
      <c r="U2417" s="76">
        <f t="shared" si="912"/>
        <v>1</v>
      </c>
    </row>
    <row r="2418" spans="1:21" x14ac:dyDescent="0.25">
      <c r="A2418" s="71">
        <v>18</v>
      </c>
      <c r="B2418" s="72">
        <f t="shared" si="913"/>
        <v>46174</v>
      </c>
      <c r="C2418" s="73">
        <f t="shared" si="894"/>
        <v>46203</v>
      </c>
      <c r="D2418" s="67">
        <f t="shared" si="895"/>
        <v>30</v>
      </c>
      <c r="E2418" s="67">
        <f t="shared" si="896"/>
        <v>6</v>
      </c>
      <c r="F2418" s="74">
        <f t="shared" si="897"/>
        <v>46189</v>
      </c>
      <c r="G2418" s="67">
        <f t="shared" si="898"/>
        <v>24317</v>
      </c>
      <c r="H2418" s="75">
        <f t="shared" si="899"/>
        <v>1</v>
      </c>
      <c r="I2418" s="76">
        <f t="shared" si="900"/>
        <v>1</v>
      </c>
      <c r="J2418" s="76">
        <f t="shared" si="901"/>
        <v>1</v>
      </c>
      <c r="K2418" s="67">
        <f t="shared" si="902"/>
        <v>0</v>
      </c>
      <c r="L2418" s="67">
        <f t="shared" si="903"/>
        <v>0</v>
      </c>
      <c r="M2418" s="77">
        <f t="shared" si="904"/>
        <v>0</v>
      </c>
      <c r="N2418" s="76">
        <f t="shared" si="905"/>
        <v>1</v>
      </c>
      <c r="O2418" s="77">
        <f t="shared" si="906"/>
        <v>0.90882932166301977</v>
      </c>
      <c r="P2418" s="76">
        <f t="shared" si="907"/>
        <v>1</v>
      </c>
      <c r="Q2418" s="76">
        <f t="shared" si="908"/>
        <v>0</v>
      </c>
      <c r="R2418" s="76">
        <f t="shared" si="909"/>
        <v>0</v>
      </c>
      <c r="S2418" s="76">
        <f t="shared" si="910"/>
        <v>0.98785795832936929</v>
      </c>
      <c r="T2418" s="76">
        <f t="shared" si="911"/>
        <v>0.98785795832936929</v>
      </c>
      <c r="U2418" s="76">
        <f t="shared" si="912"/>
        <v>1</v>
      </c>
    </row>
    <row r="2419" spans="1:21" x14ac:dyDescent="0.25">
      <c r="A2419" s="71">
        <v>19</v>
      </c>
      <c r="B2419" s="72">
        <f t="shared" si="913"/>
        <v>46204</v>
      </c>
      <c r="C2419" s="73">
        <f t="shared" si="894"/>
        <v>46234</v>
      </c>
      <c r="D2419" s="67">
        <f t="shared" si="895"/>
        <v>31</v>
      </c>
      <c r="E2419" s="67">
        <f t="shared" si="896"/>
        <v>7</v>
      </c>
      <c r="F2419" s="74">
        <f t="shared" si="897"/>
        <v>46219.5</v>
      </c>
      <c r="G2419" s="67">
        <f t="shared" si="898"/>
        <v>24318</v>
      </c>
      <c r="H2419" s="75">
        <f t="shared" si="899"/>
        <v>1</v>
      </c>
      <c r="I2419" s="76">
        <f t="shared" si="900"/>
        <v>1</v>
      </c>
      <c r="J2419" s="76">
        <f t="shared" si="901"/>
        <v>1</v>
      </c>
      <c r="K2419" s="67">
        <f t="shared" si="902"/>
        <v>0</v>
      </c>
      <c r="L2419" s="67">
        <f t="shared" si="903"/>
        <v>0</v>
      </c>
      <c r="M2419" s="77">
        <f t="shared" si="904"/>
        <v>0</v>
      </c>
      <c r="N2419" s="76">
        <f t="shared" si="905"/>
        <v>1</v>
      </c>
      <c r="O2419" s="77">
        <f t="shared" si="906"/>
        <v>0.90916301969365432</v>
      </c>
      <c r="P2419" s="76">
        <f t="shared" si="907"/>
        <v>0.91666666666666663</v>
      </c>
      <c r="Q2419" s="76">
        <f t="shared" si="908"/>
        <v>8.333333333333337E-2</v>
      </c>
      <c r="R2419" s="76">
        <f t="shared" si="909"/>
        <v>0</v>
      </c>
      <c r="S2419" s="76">
        <f t="shared" si="910"/>
        <v>0.98822067358005905</v>
      </c>
      <c r="T2419" s="76">
        <f t="shared" si="911"/>
        <v>0.98822067358005905</v>
      </c>
      <c r="U2419" s="76">
        <f t="shared" si="912"/>
        <v>1</v>
      </c>
    </row>
    <row r="2420" spans="1:21" x14ac:dyDescent="0.25">
      <c r="A2420" s="71">
        <v>20</v>
      </c>
      <c r="B2420" s="72">
        <f t="shared" si="913"/>
        <v>46235</v>
      </c>
      <c r="C2420" s="73">
        <f t="shared" si="894"/>
        <v>46265</v>
      </c>
      <c r="D2420" s="67">
        <f t="shared" si="895"/>
        <v>31</v>
      </c>
      <c r="E2420" s="67">
        <f t="shared" si="896"/>
        <v>8</v>
      </c>
      <c r="F2420" s="74">
        <f t="shared" si="897"/>
        <v>46250.5</v>
      </c>
      <c r="G2420" s="67">
        <f t="shared" si="898"/>
        <v>24319</v>
      </c>
      <c r="H2420" s="75">
        <f t="shared" si="899"/>
        <v>1</v>
      </c>
      <c r="I2420" s="76">
        <f t="shared" si="900"/>
        <v>1</v>
      </c>
      <c r="J2420" s="76">
        <f t="shared" si="901"/>
        <v>1.05</v>
      </c>
      <c r="K2420" s="67">
        <f t="shared" si="902"/>
        <v>1</v>
      </c>
      <c r="L2420" s="67">
        <f t="shared" si="903"/>
        <v>31</v>
      </c>
      <c r="M2420" s="77">
        <f t="shared" si="904"/>
        <v>1</v>
      </c>
      <c r="N2420" s="76">
        <f t="shared" si="905"/>
        <v>1.05</v>
      </c>
      <c r="O2420" s="77">
        <f t="shared" si="906"/>
        <v>0.90950218818380746</v>
      </c>
      <c r="P2420" s="76">
        <f t="shared" si="907"/>
        <v>0.75</v>
      </c>
      <c r="Q2420" s="76">
        <f t="shared" si="908"/>
        <v>0.25</v>
      </c>
      <c r="R2420" s="76">
        <f t="shared" si="909"/>
        <v>0</v>
      </c>
      <c r="S2420" s="76">
        <f t="shared" si="910"/>
        <v>1.0380188017315193</v>
      </c>
      <c r="T2420" s="76">
        <f t="shared" si="911"/>
        <v>1.0380188017315193</v>
      </c>
      <c r="U2420" s="76">
        <f t="shared" si="912"/>
        <v>1.05</v>
      </c>
    </row>
    <row r="2421" spans="1:21" x14ac:dyDescent="0.25">
      <c r="A2421" s="71">
        <v>21</v>
      </c>
      <c r="B2421" s="72">
        <f t="shared" si="913"/>
        <v>46266</v>
      </c>
      <c r="C2421" s="73">
        <f t="shared" si="894"/>
        <v>46295</v>
      </c>
      <c r="D2421" s="67">
        <f t="shared" si="895"/>
        <v>30</v>
      </c>
      <c r="E2421" s="67">
        <f t="shared" si="896"/>
        <v>9</v>
      </c>
      <c r="F2421" s="74">
        <f t="shared" si="897"/>
        <v>46281</v>
      </c>
      <c r="G2421" s="67">
        <f t="shared" si="898"/>
        <v>24320</v>
      </c>
      <c r="H2421" s="75">
        <f t="shared" si="899"/>
        <v>1</v>
      </c>
      <c r="I2421" s="76">
        <f t="shared" si="900"/>
        <v>1.05</v>
      </c>
      <c r="J2421" s="76">
        <f t="shared" si="901"/>
        <v>1.05</v>
      </c>
      <c r="K2421" s="67">
        <f t="shared" si="902"/>
        <v>0</v>
      </c>
      <c r="L2421" s="67">
        <f t="shared" si="903"/>
        <v>0</v>
      </c>
      <c r="M2421" s="77">
        <f t="shared" si="904"/>
        <v>0</v>
      </c>
      <c r="N2421" s="76">
        <f t="shared" si="905"/>
        <v>1.05</v>
      </c>
      <c r="O2421" s="77">
        <f t="shared" si="906"/>
        <v>0.909835886214442</v>
      </c>
      <c r="P2421" s="76">
        <f t="shared" si="907"/>
        <v>0.58333333333333337</v>
      </c>
      <c r="Q2421" s="76">
        <f t="shared" si="908"/>
        <v>0.41666666666666663</v>
      </c>
      <c r="R2421" s="76">
        <f t="shared" si="909"/>
        <v>0</v>
      </c>
      <c r="S2421" s="76">
        <f t="shared" si="910"/>
        <v>1.0383996527447437</v>
      </c>
      <c r="T2421" s="76">
        <f t="shared" si="911"/>
        <v>1.0383996527447437</v>
      </c>
      <c r="U2421" s="76">
        <f t="shared" si="912"/>
        <v>1.05</v>
      </c>
    </row>
    <row r="2422" spans="1:21" x14ac:dyDescent="0.25">
      <c r="A2422" s="71">
        <v>22</v>
      </c>
      <c r="B2422" s="72">
        <f t="shared" si="913"/>
        <v>46296</v>
      </c>
      <c r="C2422" s="73">
        <f t="shared" si="894"/>
        <v>46326</v>
      </c>
      <c r="D2422" s="67">
        <f t="shared" si="895"/>
        <v>31</v>
      </c>
      <c r="E2422" s="67">
        <f t="shared" si="896"/>
        <v>10</v>
      </c>
      <c r="F2422" s="74">
        <f t="shared" si="897"/>
        <v>46311.5</v>
      </c>
      <c r="G2422" s="67">
        <f t="shared" si="898"/>
        <v>24321</v>
      </c>
      <c r="H2422" s="75">
        <f t="shared" si="899"/>
        <v>1</v>
      </c>
      <c r="I2422" s="76">
        <f t="shared" si="900"/>
        <v>1.05</v>
      </c>
      <c r="J2422" s="76">
        <f t="shared" si="901"/>
        <v>1.05</v>
      </c>
      <c r="K2422" s="67">
        <f t="shared" si="902"/>
        <v>0</v>
      </c>
      <c r="L2422" s="67">
        <f t="shared" si="903"/>
        <v>0</v>
      </c>
      <c r="M2422" s="77">
        <f t="shared" si="904"/>
        <v>0</v>
      </c>
      <c r="N2422" s="76">
        <f t="shared" si="905"/>
        <v>1.05</v>
      </c>
      <c r="O2422" s="77">
        <f t="shared" si="906"/>
        <v>0.91016958424507666</v>
      </c>
      <c r="P2422" s="76">
        <f t="shared" si="907"/>
        <v>0.41666666666666669</v>
      </c>
      <c r="Q2422" s="76">
        <f t="shared" si="908"/>
        <v>0.58333333333333326</v>
      </c>
      <c r="R2422" s="76">
        <f t="shared" si="909"/>
        <v>0</v>
      </c>
      <c r="S2422" s="76">
        <f t="shared" si="910"/>
        <v>1.038780503757968</v>
      </c>
      <c r="T2422" s="76">
        <f t="shared" si="911"/>
        <v>1.038780503757968</v>
      </c>
      <c r="U2422" s="76">
        <f t="shared" si="912"/>
        <v>1.05</v>
      </c>
    </row>
    <row r="2423" spans="1:21" x14ac:dyDescent="0.25">
      <c r="A2423" s="71">
        <v>23</v>
      </c>
      <c r="B2423" s="72">
        <f t="shared" si="913"/>
        <v>46327</v>
      </c>
      <c r="C2423" s="73">
        <f t="shared" si="894"/>
        <v>46356</v>
      </c>
      <c r="D2423" s="67">
        <f t="shared" si="895"/>
        <v>30</v>
      </c>
      <c r="E2423" s="67">
        <f t="shared" si="896"/>
        <v>11</v>
      </c>
      <c r="F2423" s="74">
        <f t="shared" si="897"/>
        <v>46342</v>
      </c>
      <c r="G2423" s="67">
        <f t="shared" si="898"/>
        <v>24322</v>
      </c>
      <c r="H2423" s="75">
        <f t="shared" si="899"/>
        <v>1</v>
      </c>
      <c r="I2423" s="76">
        <f t="shared" si="900"/>
        <v>1.05</v>
      </c>
      <c r="J2423" s="76">
        <f t="shared" si="901"/>
        <v>1.05</v>
      </c>
      <c r="K2423" s="67">
        <f t="shared" si="902"/>
        <v>0</v>
      </c>
      <c r="L2423" s="67">
        <f t="shared" si="903"/>
        <v>0</v>
      </c>
      <c r="M2423" s="77">
        <f t="shared" si="904"/>
        <v>0</v>
      </c>
      <c r="N2423" s="76">
        <f t="shared" si="905"/>
        <v>1.05</v>
      </c>
      <c r="O2423" s="77">
        <f t="shared" si="906"/>
        <v>0.9105032822757112</v>
      </c>
      <c r="P2423" s="76">
        <f t="shared" si="907"/>
        <v>0.25</v>
      </c>
      <c r="Q2423" s="76">
        <f t="shared" si="908"/>
        <v>0.75</v>
      </c>
      <c r="R2423" s="76">
        <f t="shared" si="909"/>
        <v>0</v>
      </c>
      <c r="S2423" s="76">
        <f t="shared" si="910"/>
        <v>1.0391613547711922</v>
      </c>
      <c r="T2423" s="76">
        <f t="shared" si="911"/>
        <v>1.0391613547711922</v>
      </c>
      <c r="U2423" s="76">
        <f t="shared" si="912"/>
        <v>1.05</v>
      </c>
    </row>
    <row r="2424" spans="1:21" x14ac:dyDescent="0.25">
      <c r="A2424" s="71">
        <v>24</v>
      </c>
      <c r="B2424" s="72">
        <f t="shared" si="913"/>
        <v>46357</v>
      </c>
      <c r="C2424" s="73">
        <f t="shared" si="894"/>
        <v>46387</v>
      </c>
      <c r="D2424" s="67">
        <f t="shared" si="895"/>
        <v>31</v>
      </c>
      <c r="E2424" s="67">
        <f t="shared" si="896"/>
        <v>12</v>
      </c>
      <c r="F2424" s="74">
        <f t="shared" si="897"/>
        <v>46372.5</v>
      </c>
      <c r="G2424" s="67">
        <f t="shared" si="898"/>
        <v>24323</v>
      </c>
      <c r="H2424" s="75">
        <f t="shared" si="899"/>
        <v>1</v>
      </c>
      <c r="I2424" s="76">
        <f t="shared" si="900"/>
        <v>1.05</v>
      </c>
      <c r="J2424" s="76">
        <f t="shared" si="901"/>
        <v>1.05</v>
      </c>
      <c r="K2424" s="67">
        <f t="shared" si="902"/>
        <v>0</v>
      </c>
      <c r="L2424" s="67">
        <f t="shared" si="903"/>
        <v>0</v>
      </c>
      <c r="M2424" s="77">
        <f t="shared" si="904"/>
        <v>0</v>
      </c>
      <c r="N2424" s="76">
        <f t="shared" si="905"/>
        <v>1.05</v>
      </c>
      <c r="O2424" s="77">
        <f t="shared" si="906"/>
        <v>0.91083698030634574</v>
      </c>
      <c r="P2424" s="76">
        <f t="shared" si="907"/>
        <v>8.3333333333333329E-2</v>
      </c>
      <c r="Q2424" s="76">
        <f t="shared" si="908"/>
        <v>0.91666666666666663</v>
      </c>
      <c r="R2424" s="76">
        <f t="shared" si="909"/>
        <v>0</v>
      </c>
      <c r="S2424" s="76">
        <f t="shared" si="910"/>
        <v>1.0395422057844164</v>
      </c>
      <c r="T2424" s="76">
        <f t="shared" si="911"/>
        <v>1.0395422057844164</v>
      </c>
      <c r="U2424" s="76">
        <f t="shared" si="912"/>
        <v>1.05</v>
      </c>
    </row>
    <row r="2425" spans="1:21" x14ac:dyDescent="0.25">
      <c r="A2425" s="71">
        <v>25</v>
      </c>
      <c r="B2425" s="72">
        <f t="shared" si="913"/>
        <v>46388</v>
      </c>
      <c r="C2425" s="73">
        <f t="shared" si="894"/>
        <v>46418</v>
      </c>
      <c r="D2425" s="67">
        <f t="shared" si="895"/>
        <v>31</v>
      </c>
      <c r="E2425" s="67">
        <f t="shared" si="896"/>
        <v>1</v>
      </c>
      <c r="F2425" s="74">
        <f t="shared" si="897"/>
        <v>46403.5</v>
      </c>
      <c r="G2425" s="67">
        <f t="shared" si="898"/>
        <v>24324</v>
      </c>
      <c r="H2425" s="75">
        <f t="shared" si="899"/>
        <v>1</v>
      </c>
      <c r="I2425" s="76">
        <f t="shared" si="900"/>
        <v>1.05</v>
      </c>
      <c r="J2425" s="76">
        <f t="shared" si="901"/>
        <v>1.05</v>
      </c>
      <c r="K2425" s="67">
        <f t="shared" si="902"/>
        <v>0</v>
      </c>
      <c r="L2425" s="67">
        <f t="shared" si="903"/>
        <v>0</v>
      </c>
      <c r="M2425" s="77">
        <f t="shared" si="904"/>
        <v>0</v>
      </c>
      <c r="N2425" s="76">
        <f t="shared" si="905"/>
        <v>1.05</v>
      </c>
      <c r="O2425" s="77">
        <f t="shared" si="906"/>
        <v>0.91117614879649889</v>
      </c>
      <c r="P2425" s="76">
        <f t="shared" si="907"/>
        <v>0</v>
      </c>
      <c r="Q2425" s="76">
        <f t="shared" si="908"/>
        <v>1</v>
      </c>
      <c r="R2425" s="76">
        <f t="shared" si="909"/>
        <v>0</v>
      </c>
      <c r="S2425" s="76">
        <f t="shared" si="910"/>
        <v>1.0399293002568737</v>
      </c>
      <c r="T2425" s="76">
        <f t="shared" si="911"/>
        <v>0.98606816668252306</v>
      </c>
      <c r="U2425" s="76">
        <f t="shared" si="912"/>
        <v>1.05</v>
      </c>
    </row>
    <row r="2426" spans="1:21" x14ac:dyDescent="0.25">
      <c r="A2426" s="71">
        <v>26</v>
      </c>
      <c r="B2426" s="72">
        <f t="shared" si="913"/>
        <v>46419</v>
      </c>
      <c r="C2426" s="73">
        <f t="shared" si="894"/>
        <v>46446</v>
      </c>
      <c r="D2426" s="67">
        <f t="shared" si="895"/>
        <v>28</v>
      </c>
      <c r="E2426" s="67">
        <f t="shared" si="896"/>
        <v>2</v>
      </c>
      <c r="F2426" s="74">
        <f t="shared" si="897"/>
        <v>46433</v>
      </c>
      <c r="G2426" s="67">
        <f t="shared" si="898"/>
        <v>24325</v>
      </c>
      <c r="H2426" s="75">
        <f t="shared" si="899"/>
        <v>1</v>
      </c>
      <c r="I2426" s="76">
        <f t="shared" si="900"/>
        <v>1.05</v>
      </c>
      <c r="J2426" s="76">
        <f t="shared" si="901"/>
        <v>1.05</v>
      </c>
      <c r="K2426" s="67">
        <f t="shared" si="902"/>
        <v>0</v>
      </c>
      <c r="L2426" s="67">
        <f t="shared" si="903"/>
        <v>0</v>
      </c>
      <c r="M2426" s="77">
        <f t="shared" si="904"/>
        <v>0</v>
      </c>
      <c r="N2426" s="76">
        <f t="shared" si="905"/>
        <v>1.05</v>
      </c>
      <c r="O2426" s="77">
        <f t="shared" si="906"/>
        <v>0.91149890590809635</v>
      </c>
      <c r="P2426" s="76">
        <f t="shared" si="907"/>
        <v>0</v>
      </c>
      <c r="Q2426" s="76">
        <f t="shared" si="908"/>
        <v>1</v>
      </c>
      <c r="R2426" s="76">
        <f t="shared" si="909"/>
        <v>0</v>
      </c>
      <c r="S2426" s="76">
        <f t="shared" si="910"/>
        <v>1.0402976643516317</v>
      </c>
      <c r="T2426" s="76">
        <f t="shared" si="911"/>
        <v>0.98641898962991159</v>
      </c>
      <c r="U2426" s="76">
        <f t="shared" si="912"/>
        <v>1.05</v>
      </c>
    </row>
    <row r="2427" spans="1:21" x14ac:dyDescent="0.25">
      <c r="A2427" s="71">
        <v>27</v>
      </c>
      <c r="B2427" s="72">
        <f t="shared" si="913"/>
        <v>46447</v>
      </c>
      <c r="C2427" s="73">
        <f t="shared" si="894"/>
        <v>46477</v>
      </c>
      <c r="D2427" s="67">
        <f t="shared" si="895"/>
        <v>31</v>
      </c>
      <c r="E2427" s="67">
        <f t="shared" si="896"/>
        <v>3</v>
      </c>
      <c r="F2427" s="74">
        <f t="shared" si="897"/>
        <v>46462.5</v>
      </c>
      <c r="G2427" s="67">
        <f t="shared" si="898"/>
        <v>24326</v>
      </c>
      <c r="H2427" s="75">
        <f t="shared" si="899"/>
        <v>1</v>
      </c>
      <c r="I2427" s="76">
        <f t="shared" si="900"/>
        <v>1.05</v>
      </c>
      <c r="J2427" s="76">
        <f t="shared" si="901"/>
        <v>1.05</v>
      </c>
      <c r="K2427" s="67">
        <f t="shared" si="902"/>
        <v>0</v>
      </c>
      <c r="L2427" s="67">
        <f t="shared" si="903"/>
        <v>0</v>
      </c>
      <c r="M2427" s="77">
        <f t="shared" si="904"/>
        <v>0</v>
      </c>
      <c r="N2427" s="76">
        <f t="shared" si="905"/>
        <v>1.05</v>
      </c>
      <c r="O2427" s="77">
        <f t="shared" si="906"/>
        <v>0.9118216630196937</v>
      </c>
      <c r="P2427" s="76">
        <f t="shared" si="907"/>
        <v>0</v>
      </c>
      <c r="Q2427" s="76">
        <f t="shared" si="908"/>
        <v>1</v>
      </c>
      <c r="R2427" s="76">
        <f t="shared" si="909"/>
        <v>0</v>
      </c>
      <c r="S2427" s="76">
        <f t="shared" si="910"/>
        <v>1.0406660284463896</v>
      </c>
      <c r="T2427" s="76">
        <f t="shared" si="911"/>
        <v>0.98676981257730001</v>
      </c>
      <c r="U2427" s="76">
        <f t="shared" si="912"/>
        <v>1.05</v>
      </c>
    </row>
    <row r="2428" spans="1:21" x14ac:dyDescent="0.25">
      <c r="A2428" s="71">
        <v>28</v>
      </c>
      <c r="B2428" s="72">
        <f t="shared" si="913"/>
        <v>46478</v>
      </c>
      <c r="C2428" s="73">
        <f t="shared" si="894"/>
        <v>46507</v>
      </c>
      <c r="D2428" s="67">
        <f t="shared" si="895"/>
        <v>30</v>
      </c>
      <c r="E2428" s="67">
        <f t="shared" si="896"/>
        <v>4</v>
      </c>
      <c r="F2428" s="74">
        <f t="shared" si="897"/>
        <v>46493</v>
      </c>
      <c r="G2428" s="67">
        <f t="shared" si="898"/>
        <v>24327</v>
      </c>
      <c r="H2428" s="75">
        <f t="shared" si="899"/>
        <v>1</v>
      </c>
      <c r="I2428" s="76">
        <f t="shared" si="900"/>
        <v>1.05</v>
      </c>
      <c r="J2428" s="76">
        <f t="shared" si="901"/>
        <v>1.05</v>
      </c>
      <c r="K2428" s="67">
        <f t="shared" si="902"/>
        <v>0</v>
      </c>
      <c r="L2428" s="67">
        <f t="shared" si="903"/>
        <v>0</v>
      </c>
      <c r="M2428" s="77">
        <f t="shared" si="904"/>
        <v>0</v>
      </c>
      <c r="N2428" s="76">
        <f t="shared" si="905"/>
        <v>1.05</v>
      </c>
      <c r="O2428" s="77">
        <f t="shared" si="906"/>
        <v>0.91215536105032824</v>
      </c>
      <c r="P2428" s="76">
        <f t="shared" si="907"/>
        <v>0</v>
      </c>
      <c r="Q2428" s="76">
        <f t="shared" si="908"/>
        <v>1</v>
      </c>
      <c r="R2428" s="76">
        <f t="shared" si="909"/>
        <v>0</v>
      </c>
      <c r="S2428" s="76">
        <f t="shared" si="910"/>
        <v>1.0410468794596137</v>
      </c>
      <c r="T2428" s="76">
        <f t="shared" si="911"/>
        <v>0.98713252782798966</v>
      </c>
      <c r="U2428" s="76">
        <f t="shared" si="912"/>
        <v>1.05</v>
      </c>
    </row>
    <row r="2429" spans="1:21" x14ac:dyDescent="0.25">
      <c r="A2429" s="71">
        <v>29</v>
      </c>
      <c r="B2429" s="72">
        <f t="shared" si="913"/>
        <v>46508</v>
      </c>
      <c r="C2429" s="73">
        <f t="shared" si="894"/>
        <v>46538</v>
      </c>
      <c r="D2429" s="67">
        <f t="shared" si="895"/>
        <v>31</v>
      </c>
      <c r="E2429" s="67">
        <f t="shared" si="896"/>
        <v>5</v>
      </c>
      <c r="F2429" s="74">
        <f t="shared" si="897"/>
        <v>46523.5</v>
      </c>
      <c r="G2429" s="67">
        <f t="shared" si="898"/>
        <v>24328</v>
      </c>
      <c r="H2429" s="75">
        <f t="shared" si="899"/>
        <v>1</v>
      </c>
      <c r="I2429" s="76">
        <f t="shared" si="900"/>
        <v>1.05</v>
      </c>
      <c r="J2429" s="76">
        <f t="shared" si="901"/>
        <v>1.05</v>
      </c>
      <c r="K2429" s="67">
        <f t="shared" si="902"/>
        <v>0</v>
      </c>
      <c r="L2429" s="67">
        <f t="shared" si="903"/>
        <v>0</v>
      </c>
      <c r="M2429" s="77">
        <f t="shared" si="904"/>
        <v>0</v>
      </c>
      <c r="N2429" s="76">
        <f t="shared" si="905"/>
        <v>1.05</v>
      </c>
      <c r="O2429" s="77">
        <f t="shared" si="906"/>
        <v>0.91248905908096278</v>
      </c>
      <c r="P2429" s="76">
        <f t="shared" si="907"/>
        <v>0</v>
      </c>
      <c r="Q2429" s="76">
        <f t="shared" si="908"/>
        <v>1</v>
      </c>
      <c r="R2429" s="76">
        <f t="shared" si="909"/>
        <v>0</v>
      </c>
      <c r="S2429" s="76">
        <f t="shared" si="910"/>
        <v>1.0414277304728381</v>
      </c>
      <c r="T2429" s="76">
        <f t="shared" si="911"/>
        <v>0.98749524307867942</v>
      </c>
      <c r="U2429" s="76">
        <f t="shared" si="912"/>
        <v>1.05</v>
      </c>
    </row>
    <row r="2430" spans="1:21" x14ac:dyDescent="0.25">
      <c r="A2430" s="71">
        <v>30</v>
      </c>
      <c r="B2430" s="72">
        <f t="shared" si="913"/>
        <v>46539</v>
      </c>
      <c r="C2430" s="73">
        <f t="shared" si="894"/>
        <v>46568</v>
      </c>
      <c r="D2430" s="67">
        <f t="shared" si="895"/>
        <v>30</v>
      </c>
      <c r="E2430" s="67">
        <f t="shared" si="896"/>
        <v>6</v>
      </c>
      <c r="F2430" s="74">
        <f t="shared" si="897"/>
        <v>46554</v>
      </c>
      <c r="G2430" s="67">
        <f t="shared" si="898"/>
        <v>24329</v>
      </c>
      <c r="H2430" s="75">
        <f t="shared" si="899"/>
        <v>1</v>
      </c>
      <c r="I2430" s="76">
        <f t="shared" si="900"/>
        <v>1.05</v>
      </c>
      <c r="J2430" s="76">
        <f t="shared" si="901"/>
        <v>1.05</v>
      </c>
      <c r="K2430" s="67">
        <f t="shared" si="902"/>
        <v>0</v>
      </c>
      <c r="L2430" s="67">
        <f t="shared" si="903"/>
        <v>0</v>
      </c>
      <c r="M2430" s="77">
        <f t="shared" si="904"/>
        <v>0</v>
      </c>
      <c r="N2430" s="76">
        <f t="shared" si="905"/>
        <v>1.05</v>
      </c>
      <c r="O2430" s="77">
        <f t="shared" si="906"/>
        <v>0.91282275711159744</v>
      </c>
      <c r="P2430" s="76">
        <f t="shared" si="907"/>
        <v>0</v>
      </c>
      <c r="Q2430" s="76">
        <f t="shared" si="908"/>
        <v>1</v>
      </c>
      <c r="R2430" s="76">
        <f t="shared" si="909"/>
        <v>0</v>
      </c>
      <c r="S2430" s="76">
        <f t="shared" si="910"/>
        <v>1.0418085814860623</v>
      </c>
      <c r="T2430" s="76">
        <f t="shared" si="911"/>
        <v>0.98785795832936929</v>
      </c>
      <c r="U2430" s="76">
        <f t="shared" si="912"/>
        <v>1.05</v>
      </c>
    </row>
    <row r="2431" spans="1:21" x14ac:dyDescent="0.25">
      <c r="A2431" s="71">
        <v>31</v>
      </c>
      <c r="B2431" s="72">
        <f t="shared" si="913"/>
        <v>46569</v>
      </c>
      <c r="C2431" s="73">
        <f t="shared" si="894"/>
        <v>46599</v>
      </c>
      <c r="D2431" s="67">
        <f t="shared" si="895"/>
        <v>31</v>
      </c>
      <c r="E2431" s="67">
        <f t="shared" si="896"/>
        <v>7</v>
      </c>
      <c r="F2431" s="74">
        <f t="shared" si="897"/>
        <v>46584.5</v>
      </c>
      <c r="G2431" s="67">
        <f t="shared" si="898"/>
        <v>24330</v>
      </c>
      <c r="H2431" s="75">
        <f t="shared" si="899"/>
        <v>1</v>
      </c>
      <c r="I2431" s="76">
        <f t="shared" si="900"/>
        <v>1.05</v>
      </c>
      <c r="J2431" s="76">
        <f t="shared" si="901"/>
        <v>1.05</v>
      </c>
      <c r="K2431" s="67">
        <f t="shared" si="902"/>
        <v>0</v>
      </c>
      <c r="L2431" s="67">
        <f t="shared" si="903"/>
        <v>0</v>
      </c>
      <c r="M2431" s="77">
        <f t="shared" si="904"/>
        <v>0</v>
      </c>
      <c r="N2431" s="76">
        <f t="shared" si="905"/>
        <v>1.05</v>
      </c>
      <c r="O2431" s="77">
        <f t="shared" si="906"/>
        <v>0.91315645514223198</v>
      </c>
      <c r="P2431" s="76">
        <f t="shared" si="907"/>
        <v>0</v>
      </c>
      <c r="Q2431" s="76">
        <f t="shared" si="908"/>
        <v>0.91666666666666663</v>
      </c>
      <c r="R2431" s="76">
        <f t="shared" si="909"/>
        <v>8.333333333333337E-2</v>
      </c>
      <c r="S2431" s="76">
        <f t="shared" si="910"/>
        <v>1.0421894324992864</v>
      </c>
      <c r="T2431" s="76">
        <f t="shared" si="911"/>
        <v>0.98822067358005905</v>
      </c>
      <c r="U2431" s="76">
        <f t="shared" si="912"/>
        <v>1.05</v>
      </c>
    </row>
    <row r="2432" spans="1:21" x14ac:dyDescent="0.25">
      <c r="A2432" s="71">
        <v>32</v>
      </c>
      <c r="B2432" s="72">
        <f t="shared" si="913"/>
        <v>46600</v>
      </c>
      <c r="C2432" s="73">
        <f t="shared" si="894"/>
        <v>46630</v>
      </c>
      <c r="D2432" s="67">
        <f t="shared" si="895"/>
        <v>31</v>
      </c>
      <c r="E2432" s="67">
        <f t="shared" si="896"/>
        <v>8</v>
      </c>
      <c r="F2432" s="74">
        <f t="shared" si="897"/>
        <v>46615.5</v>
      </c>
      <c r="G2432" s="67">
        <f t="shared" si="898"/>
        <v>24331</v>
      </c>
      <c r="H2432" s="75">
        <f t="shared" si="899"/>
        <v>1</v>
      </c>
      <c r="I2432" s="76">
        <f t="shared" si="900"/>
        <v>1.05</v>
      </c>
      <c r="J2432" s="76">
        <f t="shared" si="901"/>
        <v>1.05</v>
      </c>
      <c r="K2432" s="67">
        <f t="shared" si="902"/>
        <v>0</v>
      </c>
      <c r="L2432" s="67">
        <f t="shared" si="903"/>
        <v>0</v>
      </c>
      <c r="M2432" s="77">
        <f t="shared" si="904"/>
        <v>0</v>
      </c>
      <c r="N2432" s="76">
        <f t="shared" si="905"/>
        <v>1.05</v>
      </c>
      <c r="O2432" s="77">
        <f t="shared" si="906"/>
        <v>0.91349562363238512</v>
      </c>
      <c r="P2432" s="76">
        <f t="shared" si="907"/>
        <v>0</v>
      </c>
      <c r="Q2432" s="76">
        <f t="shared" si="908"/>
        <v>0.75</v>
      </c>
      <c r="R2432" s="76">
        <f t="shared" si="909"/>
        <v>0.25</v>
      </c>
      <c r="S2432" s="76">
        <f t="shared" si="910"/>
        <v>1.042576526971744</v>
      </c>
      <c r="T2432" s="76">
        <f t="shared" si="911"/>
        <v>1.0380188017315193</v>
      </c>
      <c r="U2432" s="76">
        <f t="shared" si="912"/>
        <v>1.05</v>
      </c>
    </row>
    <row r="2433" spans="1:21" x14ac:dyDescent="0.25">
      <c r="A2433" s="71">
        <v>33</v>
      </c>
      <c r="B2433" s="72">
        <f t="shared" si="913"/>
        <v>46631</v>
      </c>
      <c r="C2433" s="73">
        <f t="shared" si="894"/>
        <v>46660</v>
      </c>
      <c r="D2433" s="67">
        <f t="shared" si="895"/>
        <v>30</v>
      </c>
      <c r="E2433" s="67">
        <f t="shared" si="896"/>
        <v>9</v>
      </c>
      <c r="F2433" s="74">
        <f t="shared" si="897"/>
        <v>46646</v>
      </c>
      <c r="G2433" s="67">
        <f t="shared" si="898"/>
        <v>24332</v>
      </c>
      <c r="H2433" s="75">
        <f t="shared" si="899"/>
        <v>1</v>
      </c>
      <c r="I2433" s="76">
        <f t="shared" si="900"/>
        <v>1.05</v>
      </c>
      <c r="J2433" s="76">
        <f t="shared" si="901"/>
        <v>1.05</v>
      </c>
      <c r="K2433" s="67">
        <f t="shared" si="902"/>
        <v>0</v>
      </c>
      <c r="L2433" s="67">
        <f t="shared" si="903"/>
        <v>0</v>
      </c>
      <c r="M2433" s="77">
        <f t="shared" si="904"/>
        <v>0</v>
      </c>
      <c r="N2433" s="76">
        <f t="shared" si="905"/>
        <v>1.05</v>
      </c>
      <c r="O2433" s="77">
        <f t="shared" si="906"/>
        <v>0.91382932166301978</v>
      </c>
      <c r="P2433" s="76">
        <f t="shared" si="907"/>
        <v>0</v>
      </c>
      <c r="Q2433" s="76">
        <f t="shared" si="908"/>
        <v>0.58333333333333337</v>
      </c>
      <c r="R2433" s="76">
        <f t="shared" si="909"/>
        <v>0.41666666666666663</v>
      </c>
      <c r="S2433" s="76">
        <f t="shared" si="910"/>
        <v>1.0429573779849683</v>
      </c>
      <c r="T2433" s="76">
        <f t="shared" si="911"/>
        <v>1.0383996527447437</v>
      </c>
      <c r="U2433" s="76">
        <f t="shared" si="912"/>
        <v>1.05</v>
      </c>
    </row>
    <row r="2434" spans="1:21" x14ac:dyDescent="0.25">
      <c r="A2434" s="71">
        <v>34</v>
      </c>
      <c r="B2434" s="72">
        <f t="shared" si="913"/>
        <v>46661</v>
      </c>
      <c r="C2434" s="73">
        <f t="shared" si="894"/>
        <v>46691</v>
      </c>
      <c r="D2434" s="67">
        <f t="shared" si="895"/>
        <v>31</v>
      </c>
      <c r="E2434" s="67">
        <f t="shared" si="896"/>
        <v>10</v>
      </c>
      <c r="F2434" s="74">
        <f t="shared" si="897"/>
        <v>46676.5</v>
      </c>
      <c r="G2434" s="67">
        <f t="shared" si="898"/>
        <v>24333</v>
      </c>
      <c r="H2434" s="75">
        <f t="shared" si="899"/>
        <v>1</v>
      </c>
      <c r="I2434" s="76">
        <f t="shared" si="900"/>
        <v>1.05</v>
      </c>
      <c r="J2434" s="76">
        <f t="shared" si="901"/>
        <v>1.05</v>
      </c>
      <c r="K2434" s="67">
        <f t="shared" si="902"/>
        <v>0</v>
      </c>
      <c r="L2434" s="67">
        <f t="shared" si="903"/>
        <v>0</v>
      </c>
      <c r="M2434" s="77">
        <f t="shared" si="904"/>
        <v>0</v>
      </c>
      <c r="N2434" s="76">
        <f t="shared" si="905"/>
        <v>1.05</v>
      </c>
      <c r="O2434" s="77">
        <f t="shared" si="906"/>
        <v>0.91416301969365432</v>
      </c>
      <c r="P2434" s="76">
        <f t="shared" si="907"/>
        <v>0</v>
      </c>
      <c r="Q2434" s="76">
        <f t="shared" si="908"/>
        <v>0.41666666666666669</v>
      </c>
      <c r="R2434" s="76">
        <f t="shared" si="909"/>
        <v>0.58333333333333326</v>
      </c>
      <c r="S2434" s="76">
        <f t="shared" si="910"/>
        <v>1.0433382289981923</v>
      </c>
      <c r="T2434" s="76">
        <f t="shared" si="911"/>
        <v>1.038780503757968</v>
      </c>
      <c r="U2434" s="76">
        <f t="shared" si="912"/>
        <v>1.05</v>
      </c>
    </row>
    <row r="2435" spans="1:21" x14ac:dyDescent="0.25">
      <c r="A2435" s="71">
        <v>35</v>
      </c>
      <c r="B2435" s="72">
        <f t="shared" si="913"/>
        <v>46692</v>
      </c>
      <c r="C2435" s="73">
        <f t="shared" si="894"/>
        <v>46721</v>
      </c>
      <c r="D2435" s="67">
        <f t="shared" si="895"/>
        <v>30</v>
      </c>
      <c r="E2435" s="67">
        <f t="shared" si="896"/>
        <v>11</v>
      </c>
      <c r="F2435" s="74">
        <f t="shared" si="897"/>
        <v>46707</v>
      </c>
      <c r="G2435" s="67">
        <f t="shared" si="898"/>
        <v>24334</v>
      </c>
      <c r="H2435" s="75">
        <f t="shared" si="899"/>
        <v>1</v>
      </c>
      <c r="I2435" s="76">
        <f t="shared" si="900"/>
        <v>1.05</v>
      </c>
      <c r="J2435" s="76">
        <f t="shared" si="901"/>
        <v>1.05</v>
      </c>
      <c r="K2435" s="67">
        <f t="shared" si="902"/>
        <v>0</v>
      </c>
      <c r="L2435" s="67">
        <f t="shared" si="903"/>
        <v>0</v>
      </c>
      <c r="M2435" s="77">
        <f t="shared" si="904"/>
        <v>0</v>
      </c>
      <c r="N2435" s="76">
        <f t="shared" si="905"/>
        <v>1.05</v>
      </c>
      <c r="O2435" s="77">
        <f t="shared" si="906"/>
        <v>0.91449671772428887</v>
      </c>
      <c r="P2435" s="76">
        <f t="shared" si="907"/>
        <v>0</v>
      </c>
      <c r="Q2435" s="76">
        <f t="shared" si="908"/>
        <v>0.25</v>
      </c>
      <c r="R2435" s="76">
        <f t="shared" si="909"/>
        <v>0.75</v>
      </c>
      <c r="S2435" s="76">
        <f t="shared" si="910"/>
        <v>1.0437190800114167</v>
      </c>
      <c r="T2435" s="76">
        <f t="shared" si="911"/>
        <v>1.0391613547711922</v>
      </c>
      <c r="U2435" s="76">
        <f t="shared" si="912"/>
        <v>1.05</v>
      </c>
    </row>
    <row r="2436" spans="1:21" x14ac:dyDescent="0.25">
      <c r="A2436" s="71">
        <v>36</v>
      </c>
      <c r="B2436" s="72">
        <f t="shared" si="913"/>
        <v>46722</v>
      </c>
      <c r="C2436" s="73">
        <f t="shared" si="894"/>
        <v>46752</v>
      </c>
      <c r="D2436" s="67">
        <f t="shared" si="895"/>
        <v>31</v>
      </c>
      <c r="E2436" s="67">
        <f t="shared" si="896"/>
        <v>12</v>
      </c>
      <c r="F2436" s="74">
        <f t="shared" si="897"/>
        <v>46737.5</v>
      </c>
      <c r="G2436" s="67">
        <f t="shared" si="898"/>
        <v>24335</v>
      </c>
      <c r="H2436" s="75">
        <f t="shared" si="899"/>
        <v>1</v>
      </c>
      <c r="I2436" s="76">
        <f t="shared" si="900"/>
        <v>1.05</v>
      </c>
      <c r="J2436" s="76">
        <f t="shared" si="901"/>
        <v>1.05</v>
      </c>
      <c r="K2436" s="67">
        <f t="shared" si="902"/>
        <v>0</v>
      </c>
      <c r="L2436" s="67">
        <f t="shared" si="903"/>
        <v>0</v>
      </c>
      <c r="M2436" s="77">
        <f t="shared" si="904"/>
        <v>0</v>
      </c>
      <c r="N2436" s="76">
        <f t="shared" si="905"/>
        <v>1.05</v>
      </c>
      <c r="O2436" s="77">
        <f t="shared" si="906"/>
        <v>0.91483041575492341</v>
      </c>
      <c r="P2436" s="76">
        <f t="shared" si="907"/>
        <v>0</v>
      </c>
      <c r="Q2436" s="76">
        <f t="shared" si="908"/>
        <v>8.3333333333333329E-2</v>
      </c>
      <c r="R2436" s="76">
        <f t="shared" si="909"/>
        <v>0.91666666666666663</v>
      </c>
      <c r="S2436" s="76">
        <f t="shared" si="910"/>
        <v>1.0440999310246408</v>
      </c>
      <c r="T2436" s="76">
        <f t="shared" si="911"/>
        <v>1.0395422057844164</v>
      </c>
      <c r="U2436" s="76">
        <f t="shared" si="912"/>
        <v>1.05</v>
      </c>
    </row>
    <row r="2437" spans="1:21" x14ac:dyDescent="0.25">
      <c r="A2437" s="71">
        <v>37</v>
      </c>
      <c r="B2437" s="72">
        <f t="shared" si="913"/>
        <v>46753</v>
      </c>
      <c r="C2437" s="73">
        <f t="shared" si="894"/>
        <v>46783</v>
      </c>
      <c r="D2437" s="67">
        <f t="shared" si="895"/>
        <v>31</v>
      </c>
      <c r="E2437" s="67">
        <f t="shared" si="896"/>
        <v>1</v>
      </c>
      <c r="F2437" s="74">
        <f t="shared" si="897"/>
        <v>46768.5</v>
      </c>
      <c r="G2437" s="67">
        <f t="shared" si="898"/>
        <v>24336</v>
      </c>
      <c r="H2437" s="75">
        <f t="shared" si="899"/>
        <v>1</v>
      </c>
      <c r="I2437" s="76">
        <f t="shared" si="900"/>
        <v>1.05</v>
      </c>
      <c r="J2437" s="76">
        <f t="shared" si="901"/>
        <v>1.05</v>
      </c>
      <c r="K2437" s="67">
        <f t="shared" si="902"/>
        <v>0</v>
      </c>
      <c r="L2437" s="67">
        <f t="shared" si="903"/>
        <v>0</v>
      </c>
      <c r="M2437" s="77">
        <f t="shared" si="904"/>
        <v>0</v>
      </c>
      <c r="N2437" s="76">
        <f t="shared" si="905"/>
        <v>1.05</v>
      </c>
      <c r="O2437" s="77">
        <f t="shared" si="906"/>
        <v>0.91500000000000004</v>
      </c>
      <c r="P2437" s="76">
        <f t="shared" si="907"/>
        <v>0</v>
      </c>
      <c r="Q2437" s="76">
        <f t="shared" si="908"/>
        <v>0</v>
      </c>
      <c r="R2437" s="76">
        <f t="shared" si="909"/>
        <v>1</v>
      </c>
      <c r="S2437" s="76">
        <f t="shared" si="910"/>
        <v>1.0442934782608695</v>
      </c>
      <c r="T2437" s="76">
        <f t="shared" si="911"/>
        <v>0.98606816668252306</v>
      </c>
      <c r="U2437" s="76">
        <f t="shared" si="912"/>
        <v>1.05</v>
      </c>
    </row>
    <row r="2438" spans="1:21" x14ac:dyDescent="0.25">
      <c r="A2438" s="71">
        <v>38</v>
      </c>
      <c r="B2438" s="72">
        <f t="shared" si="913"/>
        <v>46784</v>
      </c>
      <c r="C2438" s="73">
        <f t="shared" si="894"/>
        <v>46812</v>
      </c>
      <c r="D2438" s="67">
        <f t="shared" si="895"/>
        <v>29</v>
      </c>
      <c r="E2438" s="67">
        <f t="shared" si="896"/>
        <v>2</v>
      </c>
      <c r="F2438" s="74">
        <f t="shared" si="897"/>
        <v>46798.5</v>
      </c>
      <c r="G2438" s="67">
        <f t="shared" si="898"/>
        <v>24337</v>
      </c>
      <c r="H2438" s="75">
        <f t="shared" si="899"/>
        <v>1</v>
      </c>
      <c r="I2438" s="76">
        <f t="shared" si="900"/>
        <v>1.05</v>
      </c>
      <c r="J2438" s="76">
        <f t="shared" si="901"/>
        <v>1.05</v>
      </c>
      <c r="K2438" s="67">
        <f t="shared" si="902"/>
        <v>0</v>
      </c>
      <c r="L2438" s="67">
        <f t="shared" si="903"/>
        <v>0</v>
      </c>
      <c r="M2438" s="77">
        <f t="shared" si="904"/>
        <v>0</v>
      </c>
      <c r="N2438" s="76">
        <f t="shared" si="905"/>
        <v>1.05</v>
      </c>
      <c r="O2438" s="77">
        <f t="shared" si="906"/>
        <v>0.91500000000000004</v>
      </c>
      <c r="P2438" s="76">
        <f t="shared" si="907"/>
        <v>0</v>
      </c>
      <c r="Q2438" s="76">
        <f t="shared" si="908"/>
        <v>0</v>
      </c>
      <c r="R2438" s="76">
        <f t="shared" si="909"/>
        <v>1</v>
      </c>
      <c r="S2438" s="76">
        <f t="shared" si="910"/>
        <v>1.0442934782608695</v>
      </c>
      <c r="T2438" s="76">
        <f t="shared" si="911"/>
        <v>0.98641898962991159</v>
      </c>
      <c r="U2438" s="76">
        <f t="shared" si="912"/>
        <v>1.05</v>
      </c>
    </row>
    <row r="2439" spans="1:21" x14ac:dyDescent="0.25">
      <c r="A2439" s="71">
        <v>39</v>
      </c>
      <c r="B2439" s="72">
        <f t="shared" si="913"/>
        <v>46813</v>
      </c>
      <c r="C2439" s="73">
        <f t="shared" si="894"/>
        <v>46843</v>
      </c>
      <c r="D2439" s="67">
        <f t="shared" si="895"/>
        <v>31</v>
      </c>
      <c r="E2439" s="67">
        <f t="shared" si="896"/>
        <v>3</v>
      </c>
      <c r="F2439" s="74">
        <f t="shared" si="897"/>
        <v>46828.5</v>
      </c>
      <c r="G2439" s="67">
        <f t="shared" si="898"/>
        <v>24338</v>
      </c>
      <c r="H2439" s="75">
        <f t="shared" si="899"/>
        <v>1</v>
      </c>
      <c r="I2439" s="76">
        <f t="shared" si="900"/>
        <v>1.05</v>
      </c>
      <c r="J2439" s="76">
        <f t="shared" si="901"/>
        <v>1.05</v>
      </c>
      <c r="K2439" s="67">
        <f t="shared" si="902"/>
        <v>0</v>
      </c>
      <c r="L2439" s="67">
        <f t="shared" si="903"/>
        <v>0</v>
      </c>
      <c r="M2439" s="77">
        <f t="shared" si="904"/>
        <v>0</v>
      </c>
      <c r="N2439" s="76">
        <f t="shared" si="905"/>
        <v>1.05</v>
      </c>
      <c r="O2439" s="77">
        <f t="shared" si="906"/>
        <v>0.91500000000000004</v>
      </c>
      <c r="P2439" s="76">
        <f t="shared" si="907"/>
        <v>0</v>
      </c>
      <c r="Q2439" s="76">
        <f t="shared" si="908"/>
        <v>0</v>
      </c>
      <c r="R2439" s="76">
        <f t="shared" si="909"/>
        <v>1</v>
      </c>
      <c r="S2439" s="76">
        <f t="shared" si="910"/>
        <v>1.0442934782608695</v>
      </c>
      <c r="T2439" s="76">
        <f t="shared" si="911"/>
        <v>0.98676981257730001</v>
      </c>
      <c r="U2439" s="76">
        <f t="shared" si="912"/>
        <v>1.05</v>
      </c>
    </row>
    <row r="2440" spans="1:21" x14ac:dyDescent="0.25">
      <c r="A2440" s="71">
        <v>40</v>
      </c>
      <c r="B2440" s="72">
        <f t="shared" si="913"/>
        <v>46844</v>
      </c>
      <c r="C2440" s="73">
        <f t="shared" si="894"/>
        <v>46873</v>
      </c>
      <c r="D2440" s="67">
        <f t="shared" si="895"/>
        <v>30</v>
      </c>
      <c r="E2440" s="67">
        <f t="shared" si="896"/>
        <v>4</v>
      </c>
      <c r="F2440" s="74">
        <f t="shared" si="897"/>
        <v>46859</v>
      </c>
      <c r="G2440" s="67">
        <f t="shared" si="898"/>
        <v>24339</v>
      </c>
      <c r="H2440" s="75">
        <f t="shared" si="899"/>
        <v>1</v>
      </c>
      <c r="I2440" s="76">
        <f t="shared" si="900"/>
        <v>1.05</v>
      </c>
      <c r="J2440" s="76">
        <f t="shared" si="901"/>
        <v>1.05</v>
      </c>
      <c r="K2440" s="67">
        <f t="shared" si="902"/>
        <v>0</v>
      </c>
      <c r="L2440" s="67">
        <f t="shared" si="903"/>
        <v>0</v>
      </c>
      <c r="M2440" s="77">
        <f t="shared" si="904"/>
        <v>0</v>
      </c>
      <c r="N2440" s="76">
        <f t="shared" si="905"/>
        <v>1.05</v>
      </c>
      <c r="O2440" s="77">
        <f t="shared" si="906"/>
        <v>0.91500000000000004</v>
      </c>
      <c r="P2440" s="76">
        <f t="shared" si="907"/>
        <v>0</v>
      </c>
      <c r="Q2440" s="76">
        <f t="shared" si="908"/>
        <v>0</v>
      </c>
      <c r="R2440" s="76">
        <f t="shared" si="909"/>
        <v>1</v>
      </c>
      <c r="S2440" s="76">
        <f t="shared" si="910"/>
        <v>1.0442934782608695</v>
      </c>
      <c r="T2440" s="76">
        <f t="shared" si="911"/>
        <v>0.98713252782798966</v>
      </c>
      <c r="U2440" s="76">
        <f t="shared" si="912"/>
        <v>1.05</v>
      </c>
    </row>
    <row r="2441" spans="1:21" x14ac:dyDescent="0.25">
      <c r="A2441" s="71">
        <v>41</v>
      </c>
      <c r="B2441" s="72">
        <f t="shared" si="913"/>
        <v>46874</v>
      </c>
      <c r="C2441" s="73">
        <f t="shared" si="894"/>
        <v>46904</v>
      </c>
      <c r="D2441" s="67">
        <f t="shared" si="895"/>
        <v>31</v>
      </c>
      <c r="E2441" s="67">
        <f t="shared" si="896"/>
        <v>5</v>
      </c>
      <c r="F2441" s="74">
        <f t="shared" si="897"/>
        <v>46889.5</v>
      </c>
      <c r="G2441" s="67">
        <f t="shared" si="898"/>
        <v>24340</v>
      </c>
      <c r="H2441" s="75">
        <f t="shared" si="899"/>
        <v>1</v>
      </c>
      <c r="I2441" s="76">
        <f t="shared" si="900"/>
        <v>1.05</v>
      </c>
      <c r="J2441" s="76">
        <f t="shared" si="901"/>
        <v>1.05</v>
      </c>
      <c r="K2441" s="67">
        <f t="shared" si="902"/>
        <v>0</v>
      </c>
      <c r="L2441" s="67">
        <f t="shared" si="903"/>
        <v>0</v>
      </c>
      <c r="M2441" s="77">
        <f t="shared" si="904"/>
        <v>0</v>
      </c>
      <c r="N2441" s="76">
        <f t="shared" si="905"/>
        <v>1.05</v>
      </c>
      <c r="O2441" s="77">
        <f t="shared" si="906"/>
        <v>0.91500000000000004</v>
      </c>
      <c r="P2441" s="76">
        <f t="shared" si="907"/>
        <v>0</v>
      </c>
      <c r="Q2441" s="76">
        <f t="shared" si="908"/>
        <v>0</v>
      </c>
      <c r="R2441" s="76">
        <f t="shared" si="909"/>
        <v>1</v>
      </c>
      <c r="S2441" s="76">
        <f t="shared" si="910"/>
        <v>1.0442934782608695</v>
      </c>
      <c r="T2441" s="76">
        <f t="shared" si="911"/>
        <v>0.98749524307867942</v>
      </c>
      <c r="U2441" s="76">
        <f t="shared" si="912"/>
        <v>1.05</v>
      </c>
    </row>
    <row r="2442" spans="1:21" x14ac:dyDescent="0.25">
      <c r="A2442" s="71">
        <v>42</v>
      </c>
      <c r="B2442" s="72">
        <f t="shared" si="913"/>
        <v>46905</v>
      </c>
      <c r="C2442" s="73">
        <f t="shared" si="894"/>
        <v>46934</v>
      </c>
      <c r="D2442" s="67">
        <f t="shared" si="895"/>
        <v>30</v>
      </c>
      <c r="E2442" s="67">
        <f t="shared" si="896"/>
        <v>6</v>
      </c>
      <c r="F2442" s="74">
        <f t="shared" si="897"/>
        <v>46920</v>
      </c>
      <c r="G2442" s="67">
        <f t="shared" si="898"/>
        <v>24341</v>
      </c>
      <c r="H2442" s="75">
        <f t="shared" si="899"/>
        <v>1</v>
      </c>
      <c r="I2442" s="76">
        <f t="shared" si="900"/>
        <v>1.05</v>
      </c>
      <c r="J2442" s="76">
        <f t="shared" si="901"/>
        <v>1.05</v>
      </c>
      <c r="K2442" s="67">
        <f t="shared" si="902"/>
        <v>0</v>
      </c>
      <c r="L2442" s="67">
        <f t="shared" si="903"/>
        <v>0</v>
      </c>
      <c r="M2442" s="77">
        <f t="shared" si="904"/>
        <v>0</v>
      </c>
      <c r="N2442" s="76">
        <f t="shared" si="905"/>
        <v>1.05</v>
      </c>
      <c r="O2442" s="77">
        <f t="shared" si="906"/>
        <v>0.91500000000000004</v>
      </c>
      <c r="P2442" s="76">
        <f t="shared" si="907"/>
        <v>0</v>
      </c>
      <c r="Q2442" s="76">
        <f t="shared" si="908"/>
        <v>0</v>
      </c>
      <c r="R2442" s="76">
        <f t="shared" si="909"/>
        <v>1</v>
      </c>
      <c r="S2442" s="76">
        <f t="shared" si="910"/>
        <v>1.0442934782608695</v>
      </c>
      <c r="T2442" s="76">
        <f t="shared" si="911"/>
        <v>0.98785795832936929</v>
      </c>
      <c r="U2442" s="76">
        <f t="shared" si="912"/>
        <v>1.05</v>
      </c>
    </row>
    <row r="2443" spans="1:21" x14ac:dyDescent="0.25">
      <c r="A2443" s="71">
        <v>43</v>
      </c>
      <c r="B2443" s="72">
        <f t="shared" si="913"/>
        <v>46935</v>
      </c>
      <c r="C2443" s="73">
        <f t="shared" si="894"/>
        <v>46965</v>
      </c>
      <c r="D2443" s="67">
        <f t="shared" si="895"/>
        <v>31</v>
      </c>
      <c r="E2443" s="67">
        <f t="shared" si="896"/>
        <v>7</v>
      </c>
      <c r="F2443" s="74">
        <f t="shared" si="897"/>
        <v>46950.5</v>
      </c>
      <c r="G2443" s="67">
        <f t="shared" si="898"/>
        <v>24342</v>
      </c>
      <c r="H2443" s="75">
        <f t="shared" si="899"/>
        <v>1</v>
      </c>
      <c r="I2443" s="76">
        <f t="shared" si="900"/>
        <v>1.05</v>
      </c>
      <c r="J2443" s="76">
        <f t="shared" si="901"/>
        <v>1.05</v>
      </c>
      <c r="K2443" s="67">
        <f t="shared" si="902"/>
        <v>0</v>
      </c>
      <c r="L2443" s="67">
        <f t="shared" si="903"/>
        <v>0</v>
      </c>
      <c r="M2443" s="77">
        <f t="shared" si="904"/>
        <v>0</v>
      </c>
      <c r="N2443" s="76">
        <f t="shared" si="905"/>
        <v>1.05</v>
      </c>
      <c r="O2443" s="77">
        <f t="shared" si="906"/>
        <v>0.91500000000000004</v>
      </c>
      <c r="P2443" s="76">
        <f t="shared" si="907"/>
        <v>0</v>
      </c>
      <c r="Q2443" s="76">
        <f t="shared" si="908"/>
        <v>0</v>
      </c>
      <c r="R2443" s="76">
        <f t="shared" si="909"/>
        <v>0.91666666666666663</v>
      </c>
      <c r="S2443" s="76">
        <f t="shared" si="910"/>
        <v>1.0442934782608695</v>
      </c>
      <c r="T2443" s="76">
        <f t="shared" si="911"/>
        <v>0.98822067358005905</v>
      </c>
      <c r="U2443" s="76">
        <f t="shared" si="912"/>
        <v>1.05</v>
      </c>
    </row>
    <row r="2444" spans="1:21" x14ac:dyDescent="0.25">
      <c r="A2444" s="71">
        <v>44</v>
      </c>
      <c r="B2444" s="72">
        <f t="shared" si="913"/>
        <v>46966</v>
      </c>
      <c r="C2444" s="73">
        <f t="shared" si="894"/>
        <v>46996</v>
      </c>
      <c r="D2444" s="67">
        <f t="shared" si="895"/>
        <v>31</v>
      </c>
      <c r="E2444" s="67">
        <f t="shared" si="896"/>
        <v>8</v>
      </c>
      <c r="F2444" s="74">
        <f t="shared" si="897"/>
        <v>46981.5</v>
      </c>
      <c r="G2444" s="67">
        <f t="shared" si="898"/>
        <v>24343</v>
      </c>
      <c r="H2444" s="75">
        <f t="shared" si="899"/>
        <v>1</v>
      </c>
      <c r="I2444" s="76">
        <f t="shared" si="900"/>
        <v>1.05</v>
      </c>
      <c r="J2444" s="76">
        <f t="shared" si="901"/>
        <v>1.05</v>
      </c>
      <c r="K2444" s="67">
        <f t="shared" si="902"/>
        <v>0</v>
      </c>
      <c r="L2444" s="67">
        <f t="shared" si="903"/>
        <v>0</v>
      </c>
      <c r="M2444" s="77">
        <f t="shared" si="904"/>
        <v>0</v>
      </c>
      <c r="N2444" s="76">
        <f t="shared" si="905"/>
        <v>1.05</v>
      </c>
      <c r="O2444" s="77">
        <f t="shared" si="906"/>
        <v>0.91500000000000004</v>
      </c>
      <c r="P2444" s="76">
        <f t="shared" si="907"/>
        <v>0</v>
      </c>
      <c r="Q2444" s="76">
        <f t="shared" si="908"/>
        <v>0</v>
      </c>
      <c r="R2444" s="76">
        <f t="shared" si="909"/>
        <v>0.75</v>
      </c>
      <c r="S2444" s="76">
        <f t="shared" si="910"/>
        <v>1.0442934782608695</v>
      </c>
      <c r="T2444" s="76">
        <f t="shared" si="911"/>
        <v>1.0380188017315193</v>
      </c>
      <c r="U2444" s="76">
        <f t="shared" si="912"/>
        <v>1.05</v>
      </c>
    </row>
    <row r="2445" spans="1:21" x14ac:dyDescent="0.25">
      <c r="A2445" s="71">
        <v>45</v>
      </c>
      <c r="B2445" s="72">
        <f t="shared" si="913"/>
        <v>46997</v>
      </c>
      <c r="C2445" s="73">
        <f t="shared" si="894"/>
        <v>47026</v>
      </c>
      <c r="D2445" s="67">
        <f t="shared" si="895"/>
        <v>30</v>
      </c>
      <c r="E2445" s="67">
        <f t="shared" si="896"/>
        <v>9</v>
      </c>
      <c r="F2445" s="74">
        <f t="shared" si="897"/>
        <v>47012</v>
      </c>
      <c r="G2445" s="67">
        <f t="shared" si="898"/>
        <v>24344</v>
      </c>
      <c r="H2445" s="75">
        <f t="shared" si="899"/>
        <v>1</v>
      </c>
      <c r="I2445" s="76">
        <f t="shared" si="900"/>
        <v>1.05</v>
      </c>
      <c r="J2445" s="76">
        <f t="shared" si="901"/>
        <v>1.05</v>
      </c>
      <c r="K2445" s="67">
        <f t="shared" si="902"/>
        <v>0</v>
      </c>
      <c r="L2445" s="67">
        <f t="shared" si="903"/>
        <v>0</v>
      </c>
      <c r="M2445" s="77">
        <f t="shared" si="904"/>
        <v>0</v>
      </c>
      <c r="N2445" s="76">
        <f t="shared" si="905"/>
        <v>1.05</v>
      </c>
      <c r="O2445" s="77">
        <f t="shared" si="906"/>
        <v>0.91500000000000004</v>
      </c>
      <c r="P2445" s="76">
        <f t="shared" si="907"/>
        <v>0</v>
      </c>
      <c r="Q2445" s="76">
        <f t="shared" si="908"/>
        <v>0</v>
      </c>
      <c r="R2445" s="76">
        <f t="shared" si="909"/>
        <v>0.58333333333333337</v>
      </c>
      <c r="S2445" s="76">
        <f t="shared" si="910"/>
        <v>1.0442934782608695</v>
      </c>
      <c r="T2445" s="76">
        <f t="shared" si="911"/>
        <v>1.0383996527447437</v>
      </c>
      <c r="U2445" s="76">
        <f t="shared" si="912"/>
        <v>1.05</v>
      </c>
    </row>
    <row r="2446" spans="1:21" x14ac:dyDescent="0.25">
      <c r="A2446" s="71">
        <v>46</v>
      </c>
      <c r="B2446" s="72">
        <f t="shared" si="913"/>
        <v>47027</v>
      </c>
      <c r="C2446" s="73">
        <f t="shared" si="894"/>
        <v>47057</v>
      </c>
      <c r="D2446" s="67">
        <f t="shared" si="895"/>
        <v>31</v>
      </c>
      <c r="E2446" s="67">
        <f t="shared" si="896"/>
        <v>10</v>
      </c>
      <c r="F2446" s="74">
        <f t="shared" si="897"/>
        <v>47042.5</v>
      </c>
      <c r="G2446" s="67">
        <f t="shared" si="898"/>
        <v>24345</v>
      </c>
      <c r="H2446" s="75">
        <f t="shared" si="899"/>
        <v>1</v>
      </c>
      <c r="I2446" s="76">
        <f t="shared" si="900"/>
        <v>1.05</v>
      </c>
      <c r="J2446" s="76">
        <f t="shared" si="901"/>
        <v>1.05</v>
      </c>
      <c r="K2446" s="67">
        <f t="shared" si="902"/>
        <v>0</v>
      </c>
      <c r="L2446" s="67">
        <f t="shared" si="903"/>
        <v>0</v>
      </c>
      <c r="M2446" s="77">
        <f t="shared" si="904"/>
        <v>0</v>
      </c>
      <c r="N2446" s="76">
        <f t="shared" si="905"/>
        <v>1.05</v>
      </c>
      <c r="O2446" s="77">
        <f t="shared" si="906"/>
        <v>0.91500000000000004</v>
      </c>
      <c r="P2446" s="76">
        <f t="shared" si="907"/>
        <v>0</v>
      </c>
      <c r="Q2446" s="76">
        <f t="shared" si="908"/>
        <v>0</v>
      </c>
      <c r="R2446" s="76">
        <f t="shared" si="909"/>
        <v>0.41666666666666669</v>
      </c>
      <c r="S2446" s="76">
        <f t="shared" si="910"/>
        <v>1.0442934782608695</v>
      </c>
      <c r="T2446" s="76">
        <f t="shared" si="911"/>
        <v>1.038780503757968</v>
      </c>
      <c r="U2446" s="76">
        <f t="shared" si="912"/>
        <v>1.05</v>
      </c>
    </row>
    <row r="2447" spans="1:21" x14ac:dyDescent="0.25">
      <c r="A2447" s="71">
        <v>47</v>
      </c>
      <c r="B2447" s="72">
        <f t="shared" si="913"/>
        <v>47058</v>
      </c>
      <c r="C2447" s="73">
        <f t="shared" si="894"/>
        <v>47087</v>
      </c>
      <c r="D2447" s="67">
        <f t="shared" si="895"/>
        <v>30</v>
      </c>
      <c r="E2447" s="67">
        <f t="shared" si="896"/>
        <v>11</v>
      </c>
      <c r="F2447" s="74">
        <f t="shared" si="897"/>
        <v>47073</v>
      </c>
      <c r="G2447" s="67">
        <f t="shared" si="898"/>
        <v>24346</v>
      </c>
      <c r="H2447" s="75">
        <f t="shared" si="899"/>
        <v>1</v>
      </c>
      <c r="I2447" s="76">
        <f t="shared" si="900"/>
        <v>1.05</v>
      </c>
      <c r="J2447" s="76">
        <f t="shared" si="901"/>
        <v>1.05</v>
      </c>
      <c r="K2447" s="67">
        <f t="shared" si="902"/>
        <v>0</v>
      </c>
      <c r="L2447" s="67">
        <f t="shared" si="903"/>
        <v>0</v>
      </c>
      <c r="M2447" s="77">
        <f t="shared" si="904"/>
        <v>0</v>
      </c>
      <c r="N2447" s="76">
        <f t="shared" si="905"/>
        <v>1.05</v>
      </c>
      <c r="O2447" s="77">
        <f t="shared" si="906"/>
        <v>0.91500000000000004</v>
      </c>
      <c r="P2447" s="76">
        <f t="shared" si="907"/>
        <v>0</v>
      </c>
      <c r="Q2447" s="76">
        <f t="shared" si="908"/>
        <v>0</v>
      </c>
      <c r="R2447" s="76">
        <f t="shared" si="909"/>
        <v>0.25</v>
      </c>
      <c r="S2447" s="76">
        <f t="shared" si="910"/>
        <v>1.0442934782608695</v>
      </c>
      <c r="T2447" s="76">
        <f t="shared" si="911"/>
        <v>1.0391613547711922</v>
      </c>
      <c r="U2447" s="76">
        <f t="shared" si="912"/>
        <v>1.05</v>
      </c>
    </row>
    <row r="2448" spans="1:21" x14ac:dyDescent="0.25">
      <c r="A2448" s="71">
        <v>48</v>
      </c>
      <c r="B2448" s="72">
        <f t="shared" si="913"/>
        <v>47088</v>
      </c>
      <c r="C2448" s="73">
        <f t="shared" si="894"/>
        <v>47118</v>
      </c>
      <c r="D2448" s="67">
        <f t="shared" si="895"/>
        <v>31</v>
      </c>
      <c r="E2448" s="67">
        <f t="shared" si="896"/>
        <v>12</v>
      </c>
      <c r="F2448" s="74">
        <f t="shared" si="897"/>
        <v>47103.5</v>
      </c>
      <c r="G2448" s="67">
        <f t="shared" si="898"/>
        <v>24347</v>
      </c>
      <c r="H2448" s="75">
        <f t="shared" si="899"/>
        <v>1</v>
      </c>
      <c r="I2448" s="76">
        <f t="shared" si="900"/>
        <v>1.05</v>
      </c>
      <c r="J2448" s="76">
        <f t="shared" si="901"/>
        <v>1.05</v>
      </c>
      <c r="K2448" s="67">
        <f t="shared" si="902"/>
        <v>0</v>
      </c>
      <c r="L2448" s="67">
        <f t="shared" si="903"/>
        <v>0</v>
      </c>
      <c r="M2448" s="77">
        <f t="shared" si="904"/>
        <v>0</v>
      </c>
      <c r="N2448" s="76">
        <f t="shared" si="905"/>
        <v>1.05</v>
      </c>
      <c r="O2448" s="77">
        <f t="shared" si="906"/>
        <v>0.91500000000000004</v>
      </c>
      <c r="P2448" s="76">
        <f t="shared" si="907"/>
        <v>0</v>
      </c>
      <c r="Q2448" s="76">
        <f t="shared" si="908"/>
        <v>0</v>
      </c>
      <c r="R2448" s="76">
        <f t="shared" si="909"/>
        <v>8.3333333333333329E-2</v>
      </c>
      <c r="S2448" s="76">
        <f t="shared" si="910"/>
        <v>1.0442934782608695</v>
      </c>
      <c r="T2448" s="76">
        <f t="shared" si="911"/>
        <v>1.0395422057844164</v>
      </c>
      <c r="U2448" s="76">
        <f t="shared" si="912"/>
        <v>1.05</v>
      </c>
    </row>
    <row r="2449" spans="1:21" x14ac:dyDescent="0.25">
      <c r="A2449" s="81" t="s">
        <v>1187</v>
      </c>
      <c r="B2449" s="53">
        <f>EXP(SUMPRODUCT((rl_key=$A$2398)*(rl_cons="Y")*rl_ln1p))</f>
        <v>1.05</v>
      </c>
      <c r="C2449" s="53">
        <f>SUMPRODUCT($H$2401:$H$2448,$P$2401:$P$2448,$U$2401:$U$2448)/SUMPRODUCT($H$2401:$H$2448,$P$2401:$P$2448)</f>
        <v>1.0086805555555556</v>
      </c>
      <c r="D2449" s="53">
        <f>SUMPRODUCT($H$2401:$H$2448,$Q$2401:$Q$2448,$U$2401:$U$2448)/SUMPRODUCT($H$2401:$H$2448,$Q$2401:$Q$2448)</f>
        <v>1.049652777777778</v>
      </c>
      <c r="E2449" s="53">
        <f>SUMPRODUCT($H$2401:$H$2448,$R$2401:$R$2448,$U$2401:$U$2448)/SUMPRODUCT($H$2401:$H$2448,$R$2401:$R$2448)</f>
        <v>1.05</v>
      </c>
      <c r="F2449" s="172">
        <f>SUMPRODUCT($H$2401:$H$2448,$Q$2401:$Q$2448,$O$2401:$O$2448)/SUMPRODUCT($H$2401:$H$2448,$Q$2401:$Q$2448)</f>
        <v>0.91199626185266247</v>
      </c>
      <c r="G2449" s="172">
        <f>SUMPRODUCT($H$2401:$H$2448,$R$2401:$R$2448,$O$2401:$O$2448)/SUMPRODUCT($H$2401:$H$2448,$R$2401:$R$2448)</f>
        <v>0.91483011184050556</v>
      </c>
    </row>
    <row r="2452" spans="1:21" x14ac:dyDescent="0.25">
      <c r="A2452" s="81" t="str">
        <f>INDEX(lr_key,45)</f>
        <v>BU-C|CO</v>
      </c>
      <c r="B2452" s="81" t="str">
        <f>INDEX(lr_state,45)</f>
        <v>CO</v>
      </c>
      <c r="C2452" s="55">
        <f>nr_TermMonths</f>
        <v>6</v>
      </c>
      <c r="D2452" s="55">
        <f>IF(COUNTIF(se_state,$B2452)=0,0,MATCH($B2452,se_state,0))</f>
        <v>0</v>
      </c>
      <c r="E2452" s="57">
        <f>IF($D2452=0,0,INDEX(se_sum,$D2452))</f>
        <v>0</v>
      </c>
      <c r="F2452" s="172">
        <f>IF(N(INDEX(lr_mind,45))=0,1,INDEX(lr_mind,45))</f>
        <v>0.92</v>
      </c>
      <c r="G2452" s="172">
        <f>IF(N(INDEX(lr_m0,45))=0,1,INDEX(lr_m0,45))</f>
        <v>0.91</v>
      </c>
      <c r="H2452" s="54">
        <f>IF(N(INDEX(lr_m0asof,45))=0,DATE(nr_PlanYear-1,10,1),INDEX(lr_m0asof,45))</f>
        <v>46295</v>
      </c>
      <c r="I2452" s="172">
        <f>IF(N(INDEX(lr_m1,45))=0,1,INDEX(lr_m1,45))</f>
        <v>0.93</v>
      </c>
      <c r="J2452" s="172">
        <f>INDEX(lr_mprior,45)</f>
        <v>0</v>
      </c>
      <c r="K2452" s="172">
        <f>INDEX(lr_m2,45)</f>
        <v>0</v>
      </c>
      <c r="L2452" s="81" t="b">
        <f>NOT(ISBLANK(INDEX(lr_netp,45)))</f>
        <v>0</v>
      </c>
      <c r="M2452" s="52">
        <f>N(INDEX(lr_netp,45))</f>
        <v>0</v>
      </c>
      <c r="N2452" s="52">
        <f>IF(ISBLANK(INDEX(lr_netp1,45)),$M$2452,N(INDEX(lr_netp1,45)))</f>
        <v>0</v>
      </c>
      <c r="O2452" s="55">
        <f>IF(AND(nr_ModAdjMaster="ON",INDEX(lr_modadj,45)="ON"),1,0)</f>
        <v>1</v>
      </c>
    </row>
    <row r="2453" spans="1:21" x14ac:dyDescent="0.25">
      <c r="A2453" s="81">
        <f>EDATE($H$2452,-12)+1</f>
        <v>45931</v>
      </c>
      <c r="B2453" s="81">
        <f>$H$2452+1</f>
        <v>46296</v>
      </c>
      <c r="C2453" s="81">
        <f>DATE(nr_PlanYear,12,31)+1</f>
        <v>46753</v>
      </c>
      <c r="D2453" s="81">
        <f>DATE(nr_PlanYear+1,12,31)+1</f>
        <v>47119</v>
      </c>
      <c r="E2453" s="81">
        <f>IF(N($J$2452)=0,$F$2453-($G$2453-$F$2453)/($C$2453-$B$2453)*($B$2453-$A$2453),$J$2452)</f>
        <v>0.89402625820568926</v>
      </c>
      <c r="F2453" s="81">
        <f>$G$2452</f>
        <v>0.91</v>
      </c>
      <c r="G2453" s="81">
        <f>$I$2452</f>
        <v>0.93</v>
      </c>
      <c r="H2453" s="81">
        <f>IF(N($K$2452)=0,$I$2452,$K$2452)</f>
        <v>0.93</v>
      </c>
      <c r="I2453" s="81">
        <f>($F$2453-$E$2453)/($B$2453-$A$2453)</f>
        <v>4.3763676148796628E-5</v>
      </c>
      <c r="J2453" s="81">
        <f>($G$2453-$F$2453)/($C$2453-$B$2453)</f>
        <v>4.376367614879654E-5</v>
      </c>
      <c r="K2453" s="81">
        <f>($H$2453-$G$2453)/($D$2453-$C$2453)</f>
        <v>0</v>
      </c>
    </row>
    <row r="2454" spans="1:21" ht="36" x14ac:dyDescent="0.25">
      <c r="A2454" s="50" t="s">
        <v>211</v>
      </c>
      <c r="B2454" s="50" t="s">
        <v>212</v>
      </c>
      <c r="C2454" s="50" t="s">
        <v>213</v>
      </c>
      <c r="D2454" s="50" t="s">
        <v>214</v>
      </c>
      <c r="E2454" s="50" t="s">
        <v>215</v>
      </c>
      <c r="F2454" s="50" t="s">
        <v>216</v>
      </c>
      <c r="G2454" s="50" t="s">
        <v>217</v>
      </c>
      <c r="H2454" s="50" t="s">
        <v>218</v>
      </c>
      <c r="I2454" s="50" t="s">
        <v>219</v>
      </c>
      <c r="J2454" s="50" t="s">
        <v>220</v>
      </c>
      <c r="K2454" s="50" t="s">
        <v>221</v>
      </c>
      <c r="L2454" s="50" t="s">
        <v>222</v>
      </c>
      <c r="M2454" s="50" t="s">
        <v>223</v>
      </c>
      <c r="N2454" s="50" t="s">
        <v>224</v>
      </c>
      <c r="O2454" s="50" t="s">
        <v>225</v>
      </c>
      <c r="P2454" s="50" t="s">
        <v>226</v>
      </c>
      <c r="Q2454" s="50" t="s">
        <v>227</v>
      </c>
      <c r="R2454" s="50" t="s">
        <v>228</v>
      </c>
      <c r="S2454" s="50" t="s">
        <v>229</v>
      </c>
      <c r="T2454" s="50" t="s">
        <v>230</v>
      </c>
      <c r="U2454" s="50" t="s">
        <v>231</v>
      </c>
    </row>
    <row r="2455" spans="1:21" x14ac:dyDescent="0.25">
      <c r="A2455" s="71">
        <v>1</v>
      </c>
      <c r="B2455" s="72">
        <f>DATE(nr_PlanYear-2,1,1)</f>
        <v>45658</v>
      </c>
      <c r="C2455" s="73">
        <f t="shared" ref="C2455:C2502" si="914">EOMONTH($B2455,0)</f>
        <v>45688</v>
      </c>
      <c r="D2455" s="67">
        <f t="shared" ref="D2455:D2502" si="915">$C2455-$B2455+1</f>
        <v>31</v>
      </c>
      <c r="E2455" s="67">
        <f t="shared" ref="E2455:E2502" si="916">MONTH($B2455)</f>
        <v>1</v>
      </c>
      <c r="F2455" s="74">
        <f t="shared" ref="F2455:F2502" si="917">($B2455+$C2455+1)/2</f>
        <v>45673.5</v>
      </c>
      <c r="G2455" s="67">
        <f t="shared" ref="G2455:G2502" si="918">YEAR($B2455)*12+MONTH($B2455)-1</f>
        <v>24300</v>
      </c>
      <c r="H2455" s="75">
        <f t="shared" ref="H2455:H2502" si="919">IF(OR(nr_SeasonOn="OFF",$D$2452=0,$E$2452=0),1,12*INDEX(se_block,$D$2452,$E2455)/$E$2452)</f>
        <v>1</v>
      </c>
      <c r="I2455" s="76">
        <f t="shared" ref="I2455:I2502" si="920">EXP(SUMPRODUCT((rl_eff&lt;$B2455)*(rl_key=$A$2452)*rl_ln1p))</f>
        <v>1</v>
      </c>
      <c r="J2455" s="76">
        <f t="shared" ref="J2455:J2502" si="921">EXP(SUMPRODUCT((rl_eff&lt;=$C2455)*(rl_key=$A$2452)*rl_ln1p))</f>
        <v>1</v>
      </c>
      <c r="K2455" s="67">
        <f t="shared" ref="K2455:K2502" si="922">COUNTIFS(rl_key,$A$2452,rl_eff,"&gt;="&amp;$B2455,rl_eff,"&lt;="&amp;$C2455)</f>
        <v>0</v>
      </c>
      <c r="L2455" s="67">
        <f t="shared" ref="L2455:L2502" si="923">SUMIFS(rl_daysafter,rl_key,$A$2452,rl_effmonth,$B2455,rl_first,1)</f>
        <v>0</v>
      </c>
      <c r="M2455" s="77">
        <f t="shared" ref="M2455:M2502" si="924">IF($K2455=0,0,MIN(1,$L2455/$D2455))</f>
        <v>0</v>
      </c>
      <c r="N2455" s="76">
        <f t="shared" ref="N2455:N2502" si="925">IF($K2455=0,$J2455,(1-$M2455)*$I2455+$M2455*$J2455)</f>
        <v>1</v>
      </c>
      <c r="O2455" s="77">
        <f t="shared" ref="O2455:O2502" si="926">IF($F2455&lt;$B$2453,$E$2453+$I$2453*($F2455-$A$2453),IF($F2455&lt;$C$2453,$F$2453+$J$2453*($F2455-$B$2453),$G$2453+$K$2453*($F2455-$C$2453)))</f>
        <v>0.88275711159737413</v>
      </c>
      <c r="P2455" s="76">
        <f t="shared" ref="P2455:P2502" si="927">MIN(1,MAX(0,(nr_MEndPm1-$G2455+0.5)/$C$2452))-MIN(1,MAX(0,(nr_MStartPm1-1-$G2455+0.5)/$C$2452))</f>
        <v>0</v>
      </c>
      <c r="Q2455" s="76">
        <f t="shared" ref="Q2455:Q2502" si="928">MIN(1,MAX(0,(nr_MEndP-$G2455+0.5)/$C$2452))-MIN(1,MAX(0,(nr_MStartP-1-$G2455+0.5)/$C$2452))</f>
        <v>0</v>
      </c>
      <c r="R2455" s="76">
        <f t="shared" ref="R2455:R2502" si="929">MIN(1,MAX(0,(nr_MEndP1-$G2455+0.5)/$C$2452))-MIN(1,MAX(0,(nr_MStartP1-1-$G2455+0.5)/$C$2452))</f>
        <v>0</v>
      </c>
      <c r="S2455" s="76">
        <f t="shared" ref="S2455:S2502" si="930">$N2455*IF($O$2452=1,$O2455/$F$2452,1)</f>
        <v>0.95951859956236318</v>
      </c>
      <c r="T2455" s="76">
        <f t="shared" ref="T2455:T2502" si="931">IF($G2455&lt;nr_MStartP,$S2455,$T2443*(1+IF($G2455&lt;nr_MStartP1,$M$2452,$N$2452)))</f>
        <v>0.95951859956236318</v>
      </c>
      <c r="U2455" s="76">
        <f t="shared" ref="U2455:U2502" si="932">IF($L$2452,$T2455,$N2455)</f>
        <v>1</v>
      </c>
    </row>
    <row r="2456" spans="1:21" x14ac:dyDescent="0.25">
      <c r="A2456" s="71">
        <v>2</v>
      </c>
      <c r="B2456" s="72">
        <f t="shared" ref="B2456:B2502" si="933">EDATE($B2455,1)</f>
        <v>45689</v>
      </c>
      <c r="C2456" s="73">
        <f t="shared" si="914"/>
        <v>45716</v>
      </c>
      <c r="D2456" s="67">
        <f t="shared" si="915"/>
        <v>28</v>
      </c>
      <c r="E2456" s="67">
        <f t="shared" si="916"/>
        <v>2</v>
      </c>
      <c r="F2456" s="74">
        <f t="shared" si="917"/>
        <v>45703</v>
      </c>
      <c r="G2456" s="67">
        <f t="shared" si="918"/>
        <v>24301</v>
      </c>
      <c r="H2456" s="75">
        <f t="shared" si="919"/>
        <v>1</v>
      </c>
      <c r="I2456" s="76">
        <f t="shared" si="920"/>
        <v>1</v>
      </c>
      <c r="J2456" s="76">
        <f t="shared" si="921"/>
        <v>1</v>
      </c>
      <c r="K2456" s="67">
        <f t="shared" si="922"/>
        <v>0</v>
      </c>
      <c r="L2456" s="67">
        <f t="shared" si="923"/>
        <v>0</v>
      </c>
      <c r="M2456" s="77">
        <f t="shared" si="924"/>
        <v>0</v>
      </c>
      <c r="N2456" s="76">
        <f t="shared" si="925"/>
        <v>1</v>
      </c>
      <c r="O2456" s="77">
        <f t="shared" si="926"/>
        <v>0.88404814004376364</v>
      </c>
      <c r="P2456" s="76">
        <f t="shared" si="927"/>
        <v>0</v>
      </c>
      <c r="Q2456" s="76">
        <f t="shared" si="928"/>
        <v>0</v>
      </c>
      <c r="R2456" s="76">
        <f t="shared" si="929"/>
        <v>0</v>
      </c>
      <c r="S2456" s="76">
        <f t="shared" si="930"/>
        <v>0.96092189135191697</v>
      </c>
      <c r="T2456" s="76">
        <f t="shared" si="931"/>
        <v>0.96092189135191697</v>
      </c>
      <c r="U2456" s="76">
        <f t="shared" si="932"/>
        <v>1</v>
      </c>
    </row>
    <row r="2457" spans="1:21" x14ac:dyDescent="0.25">
      <c r="A2457" s="71">
        <v>3</v>
      </c>
      <c r="B2457" s="72">
        <f t="shared" si="933"/>
        <v>45717</v>
      </c>
      <c r="C2457" s="73">
        <f t="shared" si="914"/>
        <v>45747</v>
      </c>
      <c r="D2457" s="67">
        <f t="shared" si="915"/>
        <v>31</v>
      </c>
      <c r="E2457" s="67">
        <f t="shared" si="916"/>
        <v>3</v>
      </c>
      <c r="F2457" s="74">
        <f t="shared" si="917"/>
        <v>45732.5</v>
      </c>
      <c r="G2457" s="67">
        <f t="shared" si="918"/>
        <v>24302</v>
      </c>
      <c r="H2457" s="75">
        <f t="shared" si="919"/>
        <v>1</v>
      </c>
      <c r="I2457" s="76">
        <f t="shared" si="920"/>
        <v>1</v>
      </c>
      <c r="J2457" s="76">
        <f t="shared" si="921"/>
        <v>1</v>
      </c>
      <c r="K2457" s="67">
        <f t="shared" si="922"/>
        <v>0</v>
      </c>
      <c r="L2457" s="67">
        <f t="shared" si="923"/>
        <v>0</v>
      </c>
      <c r="M2457" s="77">
        <f t="shared" si="924"/>
        <v>0</v>
      </c>
      <c r="N2457" s="76">
        <f t="shared" si="925"/>
        <v>1</v>
      </c>
      <c r="O2457" s="77">
        <f t="shared" si="926"/>
        <v>0.88533916849015315</v>
      </c>
      <c r="P2457" s="76">
        <f t="shared" si="927"/>
        <v>0</v>
      </c>
      <c r="Q2457" s="76">
        <f t="shared" si="928"/>
        <v>0</v>
      </c>
      <c r="R2457" s="76">
        <f t="shared" si="929"/>
        <v>0</v>
      </c>
      <c r="S2457" s="76">
        <f t="shared" si="930"/>
        <v>0.96232518314147075</v>
      </c>
      <c r="T2457" s="76">
        <f t="shared" si="931"/>
        <v>0.96232518314147075</v>
      </c>
      <c r="U2457" s="76">
        <f t="shared" si="932"/>
        <v>1</v>
      </c>
    </row>
    <row r="2458" spans="1:21" x14ac:dyDescent="0.25">
      <c r="A2458" s="71">
        <v>4</v>
      </c>
      <c r="B2458" s="72">
        <f t="shared" si="933"/>
        <v>45748</v>
      </c>
      <c r="C2458" s="73">
        <f t="shared" si="914"/>
        <v>45777</v>
      </c>
      <c r="D2458" s="67">
        <f t="shared" si="915"/>
        <v>30</v>
      </c>
      <c r="E2458" s="67">
        <f t="shared" si="916"/>
        <v>4</v>
      </c>
      <c r="F2458" s="74">
        <f t="shared" si="917"/>
        <v>45763</v>
      </c>
      <c r="G2458" s="67">
        <f t="shared" si="918"/>
        <v>24303</v>
      </c>
      <c r="H2458" s="75">
        <f t="shared" si="919"/>
        <v>1</v>
      </c>
      <c r="I2458" s="76">
        <f t="shared" si="920"/>
        <v>1</v>
      </c>
      <c r="J2458" s="76">
        <f t="shared" si="921"/>
        <v>1</v>
      </c>
      <c r="K2458" s="67">
        <f t="shared" si="922"/>
        <v>0</v>
      </c>
      <c r="L2458" s="67">
        <f t="shared" si="923"/>
        <v>0</v>
      </c>
      <c r="M2458" s="77">
        <f t="shared" si="924"/>
        <v>0</v>
      </c>
      <c r="N2458" s="76">
        <f t="shared" si="925"/>
        <v>1</v>
      </c>
      <c r="O2458" s="77">
        <f t="shared" si="926"/>
        <v>0.88667396061269144</v>
      </c>
      <c r="P2458" s="76">
        <f t="shared" si="927"/>
        <v>0</v>
      </c>
      <c r="Q2458" s="76">
        <f t="shared" si="928"/>
        <v>0</v>
      </c>
      <c r="R2458" s="76">
        <f t="shared" si="929"/>
        <v>0</v>
      </c>
      <c r="S2458" s="76">
        <f t="shared" si="930"/>
        <v>0.96377604414422979</v>
      </c>
      <c r="T2458" s="76">
        <f t="shared" si="931"/>
        <v>0.96377604414422979</v>
      </c>
      <c r="U2458" s="76">
        <f t="shared" si="932"/>
        <v>1</v>
      </c>
    </row>
    <row r="2459" spans="1:21" x14ac:dyDescent="0.25">
      <c r="A2459" s="71">
        <v>5</v>
      </c>
      <c r="B2459" s="72">
        <f t="shared" si="933"/>
        <v>45778</v>
      </c>
      <c r="C2459" s="73">
        <f t="shared" si="914"/>
        <v>45808</v>
      </c>
      <c r="D2459" s="67">
        <f t="shared" si="915"/>
        <v>31</v>
      </c>
      <c r="E2459" s="67">
        <f t="shared" si="916"/>
        <v>5</v>
      </c>
      <c r="F2459" s="74">
        <f t="shared" si="917"/>
        <v>45793.5</v>
      </c>
      <c r="G2459" s="67">
        <f t="shared" si="918"/>
        <v>24304</v>
      </c>
      <c r="H2459" s="75">
        <f t="shared" si="919"/>
        <v>1</v>
      </c>
      <c r="I2459" s="76">
        <f t="shared" si="920"/>
        <v>1</v>
      </c>
      <c r="J2459" s="76">
        <f t="shared" si="921"/>
        <v>1</v>
      </c>
      <c r="K2459" s="67">
        <f t="shared" si="922"/>
        <v>0</v>
      </c>
      <c r="L2459" s="67">
        <f t="shared" si="923"/>
        <v>0</v>
      </c>
      <c r="M2459" s="77">
        <f t="shared" si="924"/>
        <v>0</v>
      </c>
      <c r="N2459" s="76">
        <f t="shared" si="925"/>
        <v>1</v>
      </c>
      <c r="O2459" s="77">
        <f t="shared" si="926"/>
        <v>0.88800875273522972</v>
      </c>
      <c r="P2459" s="76">
        <f t="shared" si="927"/>
        <v>0</v>
      </c>
      <c r="Q2459" s="76">
        <f t="shared" si="928"/>
        <v>0</v>
      </c>
      <c r="R2459" s="76">
        <f t="shared" si="929"/>
        <v>0</v>
      </c>
      <c r="S2459" s="76">
        <f t="shared" si="930"/>
        <v>0.96522690514698883</v>
      </c>
      <c r="T2459" s="76">
        <f t="shared" si="931"/>
        <v>0.96522690514698883</v>
      </c>
      <c r="U2459" s="76">
        <f t="shared" si="932"/>
        <v>1</v>
      </c>
    </row>
    <row r="2460" spans="1:21" x14ac:dyDescent="0.25">
      <c r="A2460" s="71">
        <v>6</v>
      </c>
      <c r="B2460" s="72">
        <f t="shared" si="933"/>
        <v>45809</v>
      </c>
      <c r="C2460" s="73">
        <f t="shared" si="914"/>
        <v>45838</v>
      </c>
      <c r="D2460" s="67">
        <f t="shared" si="915"/>
        <v>30</v>
      </c>
      <c r="E2460" s="67">
        <f t="shared" si="916"/>
        <v>6</v>
      </c>
      <c r="F2460" s="74">
        <f t="shared" si="917"/>
        <v>45824</v>
      </c>
      <c r="G2460" s="67">
        <f t="shared" si="918"/>
        <v>24305</v>
      </c>
      <c r="H2460" s="75">
        <f t="shared" si="919"/>
        <v>1</v>
      </c>
      <c r="I2460" s="76">
        <f t="shared" si="920"/>
        <v>1</v>
      </c>
      <c r="J2460" s="76">
        <f t="shared" si="921"/>
        <v>1</v>
      </c>
      <c r="K2460" s="67">
        <f t="shared" si="922"/>
        <v>0</v>
      </c>
      <c r="L2460" s="67">
        <f t="shared" si="923"/>
        <v>0</v>
      </c>
      <c r="M2460" s="77">
        <f t="shared" si="924"/>
        <v>0</v>
      </c>
      <c r="N2460" s="76">
        <f t="shared" si="925"/>
        <v>1</v>
      </c>
      <c r="O2460" s="77">
        <f t="shared" si="926"/>
        <v>0.88934354485776801</v>
      </c>
      <c r="P2460" s="76">
        <f t="shared" si="927"/>
        <v>0</v>
      </c>
      <c r="Q2460" s="76">
        <f t="shared" si="928"/>
        <v>0</v>
      </c>
      <c r="R2460" s="76">
        <f t="shared" si="929"/>
        <v>0</v>
      </c>
      <c r="S2460" s="76">
        <f t="shared" si="930"/>
        <v>0.96667776614974776</v>
      </c>
      <c r="T2460" s="76">
        <f t="shared" si="931"/>
        <v>0.96667776614974776</v>
      </c>
      <c r="U2460" s="76">
        <f t="shared" si="932"/>
        <v>1</v>
      </c>
    </row>
    <row r="2461" spans="1:21" x14ac:dyDescent="0.25">
      <c r="A2461" s="71">
        <v>7</v>
      </c>
      <c r="B2461" s="72">
        <f t="shared" si="933"/>
        <v>45839</v>
      </c>
      <c r="C2461" s="73">
        <f t="shared" si="914"/>
        <v>45869</v>
      </c>
      <c r="D2461" s="67">
        <f t="shared" si="915"/>
        <v>31</v>
      </c>
      <c r="E2461" s="67">
        <f t="shared" si="916"/>
        <v>7</v>
      </c>
      <c r="F2461" s="74">
        <f t="shared" si="917"/>
        <v>45854.5</v>
      </c>
      <c r="G2461" s="67">
        <f t="shared" si="918"/>
        <v>24306</v>
      </c>
      <c r="H2461" s="75">
        <f t="shared" si="919"/>
        <v>1</v>
      </c>
      <c r="I2461" s="76">
        <f t="shared" si="920"/>
        <v>1</v>
      </c>
      <c r="J2461" s="76">
        <f t="shared" si="921"/>
        <v>1</v>
      </c>
      <c r="K2461" s="67">
        <f t="shared" si="922"/>
        <v>0</v>
      </c>
      <c r="L2461" s="67">
        <f t="shared" si="923"/>
        <v>0</v>
      </c>
      <c r="M2461" s="77">
        <f t="shared" si="924"/>
        <v>0</v>
      </c>
      <c r="N2461" s="76">
        <f t="shared" si="925"/>
        <v>1</v>
      </c>
      <c r="O2461" s="77">
        <f t="shared" si="926"/>
        <v>0.8906783369803063</v>
      </c>
      <c r="P2461" s="76">
        <f t="shared" si="927"/>
        <v>8.333333333333337E-2</v>
      </c>
      <c r="Q2461" s="76">
        <f t="shared" si="928"/>
        <v>0</v>
      </c>
      <c r="R2461" s="76">
        <f t="shared" si="929"/>
        <v>0</v>
      </c>
      <c r="S2461" s="76">
        <f t="shared" si="930"/>
        <v>0.9681286271525068</v>
      </c>
      <c r="T2461" s="76">
        <f t="shared" si="931"/>
        <v>0.9681286271525068</v>
      </c>
      <c r="U2461" s="76">
        <f t="shared" si="932"/>
        <v>1</v>
      </c>
    </row>
    <row r="2462" spans="1:21" x14ac:dyDescent="0.25">
      <c r="A2462" s="71">
        <v>8</v>
      </c>
      <c r="B2462" s="72">
        <f t="shared" si="933"/>
        <v>45870</v>
      </c>
      <c r="C2462" s="73">
        <f t="shared" si="914"/>
        <v>45900</v>
      </c>
      <c r="D2462" s="67">
        <f t="shared" si="915"/>
        <v>31</v>
      </c>
      <c r="E2462" s="67">
        <f t="shared" si="916"/>
        <v>8</v>
      </c>
      <c r="F2462" s="74">
        <f t="shared" si="917"/>
        <v>45885.5</v>
      </c>
      <c r="G2462" s="67">
        <f t="shared" si="918"/>
        <v>24307</v>
      </c>
      <c r="H2462" s="75">
        <f t="shared" si="919"/>
        <v>1</v>
      </c>
      <c r="I2462" s="76">
        <f t="shared" si="920"/>
        <v>1</v>
      </c>
      <c r="J2462" s="76">
        <f t="shared" si="921"/>
        <v>1</v>
      </c>
      <c r="K2462" s="67">
        <f t="shared" si="922"/>
        <v>0</v>
      </c>
      <c r="L2462" s="67">
        <f t="shared" si="923"/>
        <v>0</v>
      </c>
      <c r="M2462" s="77">
        <f t="shared" si="924"/>
        <v>0</v>
      </c>
      <c r="N2462" s="76">
        <f t="shared" si="925"/>
        <v>1</v>
      </c>
      <c r="O2462" s="77">
        <f t="shared" si="926"/>
        <v>0.89203501094091897</v>
      </c>
      <c r="P2462" s="76">
        <f t="shared" si="927"/>
        <v>0.25</v>
      </c>
      <c r="Q2462" s="76">
        <f t="shared" si="928"/>
        <v>0</v>
      </c>
      <c r="R2462" s="76">
        <f t="shared" si="929"/>
        <v>0</v>
      </c>
      <c r="S2462" s="76">
        <f t="shared" si="930"/>
        <v>0.96960327276186842</v>
      </c>
      <c r="T2462" s="76">
        <f t="shared" si="931"/>
        <v>0.96960327276186842</v>
      </c>
      <c r="U2462" s="76">
        <f t="shared" si="932"/>
        <v>1</v>
      </c>
    </row>
    <row r="2463" spans="1:21" x14ac:dyDescent="0.25">
      <c r="A2463" s="71">
        <v>9</v>
      </c>
      <c r="B2463" s="72">
        <f t="shared" si="933"/>
        <v>45901</v>
      </c>
      <c r="C2463" s="73">
        <f t="shared" si="914"/>
        <v>45930</v>
      </c>
      <c r="D2463" s="67">
        <f t="shared" si="915"/>
        <v>30</v>
      </c>
      <c r="E2463" s="67">
        <f t="shared" si="916"/>
        <v>9</v>
      </c>
      <c r="F2463" s="74">
        <f t="shared" si="917"/>
        <v>45916</v>
      </c>
      <c r="G2463" s="67">
        <f t="shared" si="918"/>
        <v>24308</v>
      </c>
      <c r="H2463" s="75">
        <f t="shared" si="919"/>
        <v>1</v>
      </c>
      <c r="I2463" s="76">
        <f t="shared" si="920"/>
        <v>1</v>
      </c>
      <c r="J2463" s="76">
        <f t="shared" si="921"/>
        <v>1</v>
      </c>
      <c r="K2463" s="67">
        <f t="shared" si="922"/>
        <v>0</v>
      </c>
      <c r="L2463" s="67">
        <f t="shared" si="923"/>
        <v>0</v>
      </c>
      <c r="M2463" s="77">
        <f t="shared" si="924"/>
        <v>0</v>
      </c>
      <c r="N2463" s="76">
        <f t="shared" si="925"/>
        <v>1</v>
      </c>
      <c r="O2463" s="77">
        <f t="shared" si="926"/>
        <v>0.89336980306345726</v>
      </c>
      <c r="P2463" s="76">
        <f t="shared" si="927"/>
        <v>0.41666666666666663</v>
      </c>
      <c r="Q2463" s="76">
        <f t="shared" si="928"/>
        <v>0</v>
      </c>
      <c r="R2463" s="76">
        <f t="shared" si="929"/>
        <v>0</v>
      </c>
      <c r="S2463" s="76">
        <f t="shared" si="930"/>
        <v>0.97105413376462746</v>
      </c>
      <c r="T2463" s="76">
        <f t="shared" si="931"/>
        <v>0.97105413376462746</v>
      </c>
      <c r="U2463" s="76">
        <f t="shared" si="932"/>
        <v>1</v>
      </c>
    </row>
    <row r="2464" spans="1:21" x14ac:dyDescent="0.25">
      <c r="A2464" s="71">
        <v>10</v>
      </c>
      <c r="B2464" s="72">
        <f t="shared" si="933"/>
        <v>45931</v>
      </c>
      <c r="C2464" s="73">
        <f t="shared" si="914"/>
        <v>45961</v>
      </c>
      <c r="D2464" s="67">
        <f t="shared" si="915"/>
        <v>31</v>
      </c>
      <c r="E2464" s="67">
        <f t="shared" si="916"/>
        <v>10</v>
      </c>
      <c r="F2464" s="74">
        <f t="shared" si="917"/>
        <v>45946.5</v>
      </c>
      <c r="G2464" s="67">
        <f t="shared" si="918"/>
        <v>24309</v>
      </c>
      <c r="H2464" s="75">
        <f t="shared" si="919"/>
        <v>1</v>
      </c>
      <c r="I2464" s="76">
        <f t="shared" si="920"/>
        <v>1</v>
      </c>
      <c r="J2464" s="76">
        <f t="shared" si="921"/>
        <v>1</v>
      </c>
      <c r="K2464" s="67">
        <f t="shared" si="922"/>
        <v>0</v>
      </c>
      <c r="L2464" s="67">
        <f t="shared" si="923"/>
        <v>0</v>
      </c>
      <c r="M2464" s="77">
        <f t="shared" si="924"/>
        <v>0</v>
      </c>
      <c r="N2464" s="76">
        <f t="shared" si="925"/>
        <v>1</v>
      </c>
      <c r="O2464" s="77">
        <f t="shared" si="926"/>
        <v>0.89470459518599565</v>
      </c>
      <c r="P2464" s="76">
        <f t="shared" si="927"/>
        <v>0.58333333333333326</v>
      </c>
      <c r="Q2464" s="76">
        <f t="shared" si="928"/>
        <v>0</v>
      </c>
      <c r="R2464" s="76">
        <f t="shared" si="929"/>
        <v>0</v>
      </c>
      <c r="S2464" s="76">
        <f t="shared" si="930"/>
        <v>0.9725049947673865</v>
      </c>
      <c r="T2464" s="76">
        <f t="shared" si="931"/>
        <v>0.9725049947673865</v>
      </c>
      <c r="U2464" s="76">
        <f t="shared" si="932"/>
        <v>1</v>
      </c>
    </row>
    <row r="2465" spans="1:21" x14ac:dyDescent="0.25">
      <c r="A2465" s="71">
        <v>11</v>
      </c>
      <c r="B2465" s="72">
        <f t="shared" si="933"/>
        <v>45962</v>
      </c>
      <c r="C2465" s="73">
        <f t="shared" si="914"/>
        <v>45991</v>
      </c>
      <c r="D2465" s="67">
        <f t="shared" si="915"/>
        <v>30</v>
      </c>
      <c r="E2465" s="67">
        <f t="shared" si="916"/>
        <v>11</v>
      </c>
      <c r="F2465" s="74">
        <f t="shared" si="917"/>
        <v>45977</v>
      </c>
      <c r="G2465" s="67">
        <f t="shared" si="918"/>
        <v>24310</v>
      </c>
      <c r="H2465" s="75">
        <f t="shared" si="919"/>
        <v>1</v>
      </c>
      <c r="I2465" s="76">
        <f t="shared" si="920"/>
        <v>1</v>
      </c>
      <c r="J2465" s="76">
        <f t="shared" si="921"/>
        <v>1</v>
      </c>
      <c r="K2465" s="67">
        <f t="shared" si="922"/>
        <v>0</v>
      </c>
      <c r="L2465" s="67">
        <f t="shared" si="923"/>
        <v>0</v>
      </c>
      <c r="M2465" s="77">
        <f t="shared" si="924"/>
        <v>0</v>
      </c>
      <c r="N2465" s="76">
        <f t="shared" si="925"/>
        <v>1</v>
      </c>
      <c r="O2465" s="77">
        <f t="shared" si="926"/>
        <v>0.89603938730853394</v>
      </c>
      <c r="P2465" s="76">
        <f t="shared" si="927"/>
        <v>0.75</v>
      </c>
      <c r="Q2465" s="76">
        <f t="shared" si="928"/>
        <v>0</v>
      </c>
      <c r="R2465" s="76">
        <f t="shared" si="929"/>
        <v>0</v>
      </c>
      <c r="S2465" s="76">
        <f t="shared" si="930"/>
        <v>0.97395585577014554</v>
      </c>
      <c r="T2465" s="76">
        <f t="shared" si="931"/>
        <v>0.97395585577014554</v>
      </c>
      <c r="U2465" s="76">
        <f t="shared" si="932"/>
        <v>1</v>
      </c>
    </row>
    <row r="2466" spans="1:21" x14ac:dyDescent="0.25">
      <c r="A2466" s="71">
        <v>12</v>
      </c>
      <c r="B2466" s="72">
        <f t="shared" si="933"/>
        <v>45992</v>
      </c>
      <c r="C2466" s="73">
        <f t="shared" si="914"/>
        <v>46022</v>
      </c>
      <c r="D2466" s="67">
        <f t="shared" si="915"/>
        <v>31</v>
      </c>
      <c r="E2466" s="67">
        <f t="shared" si="916"/>
        <v>12</v>
      </c>
      <c r="F2466" s="74">
        <f t="shared" si="917"/>
        <v>46007.5</v>
      </c>
      <c r="G2466" s="67">
        <f t="shared" si="918"/>
        <v>24311</v>
      </c>
      <c r="H2466" s="75">
        <f t="shared" si="919"/>
        <v>1</v>
      </c>
      <c r="I2466" s="76">
        <f t="shared" si="920"/>
        <v>1</v>
      </c>
      <c r="J2466" s="76">
        <f t="shared" si="921"/>
        <v>1</v>
      </c>
      <c r="K2466" s="67">
        <f t="shared" si="922"/>
        <v>0</v>
      </c>
      <c r="L2466" s="67">
        <f t="shared" si="923"/>
        <v>0</v>
      </c>
      <c r="M2466" s="77">
        <f t="shared" si="924"/>
        <v>0</v>
      </c>
      <c r="N2466" s="76">
        <f t="shared" si="925"/>
        <v>1</v>
      </c>
      <c r="O2466" s="77">
        <f t="shared" si="926"/>
        <v>0.89737417943107223</v>
      </c>
      <c r="P2466" s="76">
        <f t="shared" si="927"/>
        <v>0.91666666666666663</v>
      </c>
      <c r="Q2466" s="76">
        <f t="shared" si="928"/>
        <v>0</v>
      </c>
      <c r="R2466" s="76">
        <f t="shared" si="929"/>
        <v>0</v>
      </c>
      <c r="S2466" s="76">
        <f t="shared" si="930"/>
        <v>0.97540671677290458</v>
      </c>
      <c r="T2466" s="76">
        <f t="shared" si="931"/>
        <v>0.97540671677290458</v>
      </c>
      <c r="U2466" s="76">
        <f t="shared" si="932"/>
        <v>1</v>
      </c>
    </row>
    <row r="2467" spans="1:21" x14ac:dyDescent="0.25">
      <c r="A2467" s="71">
        <v>13</v>
      </c>
      <c r="B2467" s="72">
        <f t="shared" si="933"/>
        <v>46023</v>
      </c>
      <c r="C2467" s="73">
        <f t="shared" si="914"/>
        <v>46053</v>
      </c>
      <c r="D2467" s="67">
        <f t="shared" si="915"/>
        <v>31</v>
      </c>
      <c r="E2467" s="67">
        <f t="shared" si="916"/>
        <v>1</v>
      </c>
      <c r="F2467" s="74">
        <f t="shared" si="917"/>
        <v>46038.5</v>
      </c>
      <c r="G2467" s="67">
        <f t="shared" si="918"/>
        <v>24312</v>
      </c>
      <c r="H2467" s="75">
        <f t="shared" si="919"/>
        <v>1</v>
      </c>
      <c r="I2467" s="76">
        <f t="shared" si="920"/>
        <v>1</v>
      </c>
      <c r="J2467" s="76">
        <f t="shared" si="921"/>
        <v>1</v>
      </c>
      <c r="K2467" s="67">
        <f t="shared" si="922"/>
        <v>0</v>
      </c>
      <c r="L2467" s="67">
        <f t="shared" si="923"/>
        <v>0</v>
      </c>
      <c r="M2467" s="77">
        <f t="shared" si="924"/>
        <v>0</v>
      </c>
      <c r="N2467" s="76">
        <f t="shared" si="925"/>
        <v>1</v>
      </c>
      <c r="O2467" s="77">
        <f t="shared" si="926"/>
        <v>0.8987308533916849</v>
      </c>
      <c r="P2467" s="76">
        <f t="shared" si="927"/>
        <v>1</v>
      </c>
      <c r="Q2467" s="76">
        <f t="shared" si="928"/>
        <v>0</v>
      </c>
      <c r="R2467" s="76">
        <f t="shared" si="929"/>
        <v>0</v>
      </c>
      <c r="S2467" s="76">
        <f t="shared" si="930"/>
        <v>0.97688136238226619</v>
      </c>
      <c r="T2467" s="76">
        <f t="shared" si="931"/>
        <v>0.97688136238226619</v>
      </c>
      <c r="U2467" s="76">
        <f t="shared" si="932"/>
        <v>1</v>
      </c>
    </row>
    <row r="2468" spans="1:21" x14ac:dyDescent="0.25">
      <c r="A2468" s="71">
        <v>14</v>
      </c>
      <c r="B2468" s="72">
        <f t="shared" si="933"/>
        <v>46054</v>
      </c>
      <c r="C2468" s="73">
        <f t="shared" si="914"/>
        <v>46081</v>
      </c>
      <c r="D2468" s="67">
        <f t="shared" si="915"/>
        <v>28</v>
      </c>
      <c r="E2468" s="67">
        <f t="shared" si="916"/>
        <v>2</v>
      </c>
      <c r="F2468" s="74">
        <f t="shared" si="917"/>
        <v>46068</v>
      </c>
      <c r="G2468" s="67">
        <f t="shared" si="918"/>
        <v>24313</v>
      </c>
      <c r="H2468" s="75">
        <f t="shared" si="919"/>
        <v>1</v>
      </c>
      <c r="I2468" s="76">
        <f t="shared" si="920"/>
        <v>1</v>
      </c>
      <c r="J2468" s="76">
        <f t="shared" si="921"/>
        <v>1</v>
      </c>
      <c r="K2468" s="67">
        <f t="shared" si="922"/>
        <v>0</v>
      </c>
      <c r="L2468" s="67">
        <f t="shared" si="923"/>
        <v>0</v>
      </c>
      <c r="M2468" s="77">
        <f t="shared" si="924"/>
        <v>0</v>
      </c>
      <c r="N2468" s="76">
        <f t="shared" si="925"/>
        <v>1</v>
      </c>
      <c r="O2468" s="77">
        <f t="shared" si="926"/>
        <v>0.90002188183807441</v>
      </c>
      <c r="P2468" s="76">
        <f t="shared" si="927"/>
        <v>1</v>
      </c>
      <c r="Q2468" s="76">
        <f t="shared" si="928"/>
        <v>0</v>
      </c>
      <c r="R2468" s="76">
        <f t="shared" si="929"/>
        <v>0</v>
      </c>
      <c r="S2468" s="76">
        <f t="shared" si="930"/>
        <v>0.97828465417181998</v>
      </c>
      <c r="T2468" s="76">
        <f t="shared" si="931"/>
        <v>0.97828465417181998</v>
      </c>
      <c r="U2468" s="76">
        <f t="shared" si="932"/>
        <v>1</v>
      </c>
    </row>
    <row r="2469" spans="1:21" x14ac:dyDescent="0.25">
      <c r="A2469" s="71">
        <v>15</v>
      </c>
      <c r="B2469" s="72">
        <f t="shared" si="933"/>
        <v>46082</v>
      </c>
      <c r="C2469" s="73">
        <f t="shared" si="914"/>
        <v>46112</v>
      </c>
      <c r="D2469" s="67">
        <f t="shared" si="915"/>
        <v>31</v>
      </c>
      <c r="E2469" s="67">
        <f t="shared" si="916"/>
        <v>3</v>
      </c>
      <c r="F2469" s="74">
        <f t="shared" si="917"/>
        <v>46097.5</v>
      </c>
      <c r="G2469" s="67">
        <f t="shared" si="918"/>
        <v>24314</v>
      </c>
      <c r="H2469" s="75">
        <f t="shared" si="919"/>
        <v>1</v>
      </c>
      <c r="I2469" s="76">
        <f t="shared" si="920"/>
        <v>1</v>
      </c>
      <c r="J2469" s="76">
        <f t="shared" si="921"/>
        <v>1</v>
      </c>
      <c r="K2469" s="67">
        <f t="shared" si="922"/>
        <v>0</v>
      </c>
      <c r="L2469" s="67">
        <f t="shared" si="923"/>
        <v>0</v>
      </c>
      <c r="M2469" s="77">
        <f t="shared" si="924"/>
        <v>0</v>
      </c>
      <c r="N2469" s="76">
        <f t="shared" si="925"/>
        <v>1</v>
      </c>
      <c r="O2469" s="77">
        <f t="shared" si="926"/>
        <v>0.90131291028446392</v>
      </c>
      <c r="P2469" s="76">
        <f t="shared" si="927"/>
        <v>1</v>
      </c>
      <c r="Q2469" s="76">
        <f t="shared" si="928"/>
        <v>0</v>
      </c>
      <c r="R2469" s="76">
        <f t="shared" si="929"/>
        <v>0</v>
      </c>
      <c r="S2469" s="76">
        <f t="shared" si="930"/>
        <v>0.97968794596137376</v>
      </c>
      <c r="T2469" s="76">
        <f t="shared" si="931"/>
        <v>0.97968794596137376</v>
      </c>
      <c r="U2469" s="76">
        <f t="shared" si="932"/>
        <v>1</v>
      </c>
    </row>
    <row r="2470" spans="1:21" x14ac:dyDescent="0.25">
      <c r="A2470" s="71">
        <v>16</v>
      </c>
      <c r="B2470" s="72">
        <f t="shared" si="933"/>
        <v>46113</v>
      </c>
      <c r="C2470" s="73">
        <f t="shared" si="914"/>
        <v>46142</v>
      </c>
      <c r="D2470" s="67">
        <f t="shared" si="915"/>
        <v>30</v>
      </c>
      <c r="E2470" s="67">
        <f t="shared" si="916"/>
        <v>4</v>
      </c>
      <c r="F2470" s="74">
        <f t="shared" si="917"/>
        <v>46128</v>
      </c>
      <c r="G2470" s="67">
        <f t="shared" si="918"/>
        <v>24315</v>
      </c>
      <c r="H2470" s="75">
        <f t="shared" si="919"/>
        <v>1</v>
      </c>
      <c r="I2470" s="76">
        <f t="shared" si="920"/>
        <v>1</v>
      </c>
      <c r="J2470" s="76">
        <f t="shared" si="921"/>
        <v>1</v>
      </c>
      <c r="K2470" s="67">
        <f t="shared" si="922"/>
        <v>0</v>
      </c>
      <c r="L2470" s="67">
        <f t="shared" si="923"/>
        <v>0</v>
      </c>
      <c r="M2470" s="77">
        <f t="shared" si="924"/>
        <v>0</v>
      </c>
      <c r="N2470" s="76">
        <f t="shared" si="925"/>
        <v>1</v>
      </c>
      <c r="O2470" s="77">
        <f t="shared" si="926"/>
        <v>0.90264770240700221</v>
      </c>
      <c r="P2470" s="76">
        <f t="shared" si="927"/>
        <v>1</v>
      </c>
      <c r="Q2470" s="76">
        <f t="shared" si="928"/>
        <v>0</v>
      </c>
      <c r="R2470" s="76">
        <f t="shared" si="929"/>
        <v>0</v>
      </c>
      <c r="S2470" s="76">
        <f t="shared" si="930"/>
        <v>0.9811388069641328</v>
      </c>
      <c r="T2470" s="76">
        <f t="shared" si="931"/>
        <v>0.9811388069641328</v>
      </c>
      <c r="U2470" s="76">
        <f t="shared" si="932"/>
        <v>1</v>
      </c>
    </row>
    <row r="2471" spans="1:21" x14ac:dyDescent="0.25">
      <c r="A2471" s="71">
        <v>17</v>
      </c>
      <c r="B2471" s="72">
        <f t="shared" si="933"/>
        <v>46143</v>
      </c>
      <c r="C2471" s="73">
        <f t="shared" si="914"/>
        <v>46173</v>
      </c>
      <c r="D2471" s="67">
        <f t="shared" si="915"/>
        <v>31</v>
      </c>
      <c r="E2471" s="67">
        <f t="shared" si="916"/>
        <v>5</v>
      </c>
      <c r="F2471" s="74">
        <f t="shared" si="917"/>
        <v>46158.5</v>
      </c>
      <c r="G2471" s="67">
        <f t="shared" si="918"/>
        <v>24316</v>
      </c>
      <c r="H2471" s="75">
        <f t="shared" si="919"/>
        <v>1</v>
      </c>
      <c r="I2471" s="76">
        <f t="shared" si="920"/>
        <v>1</v>
      </c>
      <c r="J2471" s="76">
        <f t="shared" si="921"/>
        <v>1</v>
      </c>
      <c r="K2471" s="67">
        <f t="shared" si="922"/>
        <v>0</v>
      </c>
      <c r="L2471" s="67">
        <f t="shared" si="923"/>
        <v>0</v>
      </c>
      <c r="M2471" s="77">
        <f t="shared" si="924"/>
        <v>0</v>
      </c>
      <c r="N2471" s="76">
        <f t="shared" si="925"/>
        <v>1</v>
      </c>
      <c r="O2471" s="77">
        <f t="shared" si="926"/>
        <v>0.90398249452954049</v>
      </c>
      <c r="P2471" s="76">
        <f t="shared" si="927"/>
        <v>1</v>
      </c>
      <c r="Q2471" s="76">
        <f t="shared" si="928"/>
        <v>0</v>
      </c>
      <c r="R2471" s="76">
        <f t="shared" si="929"/>
        <v>0</v>
      </c>
      <c r="S2471" s="76">
        <f t="shared" si="930"/>
        <v>0.98258966796689184</v>
      </c>
      <c r="T2471" s="76">
        <f t="shared" si="931"/>
        <v>0.98258966796689184</v>
      </c>
      <c r="U2471" s="76">
        <f t="shared" si="932"/>
        <v>1</v>
      </c>
    </row>
    <row r="2472" spans="1:21" x14ac:dyDescent="0.25">
      <c r="A2472" s="71">
        <v>18</v>
      </c>
      <c r="B2472" s="72">
        <f t="shared" si="933"/>
        <v>46174</v>
      </c>
      <c r="C2472" s="73">
        <f t="shared" si="914"/>
        <v>46203</v>
      </c>
      <c r="D2472" s="67">
        <f t="shared" si="915"/>
        <v>30</v>
      </c>
      <c r="E2472" s="67">
        <f t="shared" si="916"/>
        <v>6</v>
      </c>
      <c r="F2472" s="74">
        <f t="shared" si="917"/>
        <v>46189</v>
      </c>
      <c r="G2472" s="67">
        <f t="shared" si="918"/>
        <v>24317</v>
      </c>
      <c r="H2472" s="75">
        <f t="shared" si="919"/>
        <v>1</v>
      </c>
      <c r="I2472" s="76">
        <f t="shared" si="920"/>
        <v>1</v>
      </c>
      <c r="J2472" s="76">
        <f t="shared" si="921"/>
        <v>1</v>
      </c>
      <c r="K2472" s="67">
        <f t="shared" si="922"/>
        <v>0</v>
      </c>
      <c r="L2472" s="67">
        <f t="shared" si="923"/>
        <v>0</v>
      </c>
      <c r="M2472" s="77">
        <f t="shared" si="924"/>
        <v>0</v>
      </c>
      <c r="N2472" s="76">
        <f t="shared" si="925"/>
        <v>1</v>
      </c>
      <c r="O2472" s="77">
        <f t="shared" si="926"/>
        <v>0.90531728665207878</v>
      </c>
      <c r="P2472" s="76">
        <f t="shared" si="927"/>
        <v>1</v>
      </c>
      <c r="Q2472" s="76">
        <f t="shared" si="928"/>
        <v>0</v>
      </c>
      <c r="R2472" s="76">
        <f t="shared" si="929"/>
        <v>0</v>
      </c>
      <c r="S2472" s="76">
        <f t="shared" si="930"/>
        <v>0.98404052896965077</v>
      </c>
      <c r="T2472" s="76">
        <f t="shared" si="931"/>
        <v>0.98404052896965077</v>
      </c>
      <c r="U2472" s="76">
        <f t="shared" si="932"/>
        <v>1</v>
      </c>
    </row>
    <row r="2473" spans="1:21" x14ac:dyDescent="0.25">
      <c r="A2473" s="71">
        <v>19</v>
      </c>
      <c r="B2473" s="72">
        <f t="shared" si="933"/>
        <v>46204</v>
      </c>
      <c r="C2473" s="73">
        <f t="shared" si="914"/>
        <v>46234</v>
      </c>
      <c r="D2473" s="67">
        <f t="shared" si="915"/>
        <v>31</v>
      </c>
      <c r="E2473" s="67">
        <f t="shared" si="916"/>
        <v>7</v>
      </c>
      <c r="F2473" s="74">
        <f t="shared" si="917"/>
        <v>46219.5</v>
      </c>
      <c r="G2473" s="67">
        <f t="shared" si="918"/>
        <v>24318</v>
      </c>
      <c r="H2473" s="75">
        <f t="shared" si="919"/>
        <v>1</v>
      </c>
      <c r="I2473" s="76">
        <f t="shared" si="920"/>
        <v>1</v>
      </c>
      <c r="J2473" s="76">
        <f t="shared" si="921"/>
        <v>1</v>
      </c>
      <c r="K2473" s="67">
        <f t="shared" si="922"/>
        <v>0</v>
      </c>
      <c r="L2473" s="67">
        <f t="shared" si="923"/>
        <v>0</v>
      </c>
      <c r="M2473" s="77">
        <f t="shared" si="924"/>
        <v>0</v>
      </c>
      <c r="N2473" s="76">
        <f t="shared" si="925"/>
        <v>1</v>
      </c>
      <c r="O2473" s="77">
        <f t="shared" si="926"/>
        <v>0.90665207877461707</v>
      </c>
      <c r="P2473" s="76">
        <f t="shared" si="927"/>
        <v>0.91666666666666663</v>
      </c>
      <c r="Q2473" s="76">
        <f t="shared" si="928"/>
        <v>8.333333333333337E-2</v>
      </c>
      <c r="R2473" s="76">
        <f t="shared" si="929"/>
        <v>0</v>
      </c>
      <c r="S2473" s="76">
        <f t="shared" si="930"/>
        <v>0.98549138997240981</v>
      </c>
      <c r="T2473" s="76">
        <f t="shared" si="931"/>
        <v>0.98549138997240981</v>
      </c>
      <c r="U2473" s="76">
        <f t="shared" si="932"/>
        <v>1</v>
      </c>
    </row>
    <row r="2474" spans="1:21" x14ac:dyDescent="0.25">
      <c r="A2474" s="71">
        <v>20</v>
      </c>
      <c r="B2474" s="72">
        <f t="shared" si="933"/>
        <v>46235</v>
      </c>
      <c r="C2474" s="73">
        <f t="shared" si="914"/>
        <v>46265</v>
      </c>
      <c r="D2474" s="67">
        <f t="shared" si="915"/>
        <v>31</v>
      </c>
      <c r="E2474" s="67">
        <f t="shared" si="916"/>
        <v>8</v>
      </c>
      <c r="F2474" s="74">
        <f t="shared" si="917"/>
        <v>46250.5</v>
      </c>
      <c r="G2474" s="67">
        <f t="shared" si="918"/>
        <v>24319</v>
      </c>
      <c r="H2474" s="75">
        <f t="shared" si="919"/>
        <v>1</v>
      </c>
      <c r="I2474" s="76">
        <f t="shared" si="920"/>
        <v>1</v>
      </c>
      <c r="J2474" s="76">
        <f t="shared" si="921"/>
        <v>1</v>
      </c>
      <c r="K2474" s="67">
        <f t="shared" si="922"/>
        <v>0</v>
      </c>
      <c r="L2474" s="67">
        <f t="shared" si="923"/>
        <v>0</v>
      </c>
      <c r="M2474" s="77">
        <f t="shared" si="924"/>
        <v>0</v>
      </c>
      <c r="N2474" s="76">
        <f t="shared" si="925"/>
        <v>1</v>
      </c>
      <c r="O2474" s="77">
        <f t="shared" si="926"/>
        <v>0.90800875273522974</v>
      </c>
      <c r="P2474" s="76">
        <f t="shared" si="927"/>
        <v>0.75</v>
      </c>
      <c r="Q2474" s="76">
        <f t="shared" si="928"/>
        <v>0.25</v>
      </c>
      <c r="R2474" s="76">
        <f t="shared" si="929"/>
        <v>0</v>
      </c>
      <c r="S2474" s="76">
        <f t="shared" si="930"/>
        <v>0.98696603558177143</v>
      </c>
      <c r="T2474" s="76">
        <f t="shared" si="931"/>
        <v>0.98696603558177143</v>
      </c>
      <c r="U2474" s="76">
        <f t="shared" si="932"/>
        <v>1</v>
      </c>
    </row>
    <row r="2475" spans="1:21" x14ac:dyDescent="0.25">
      <c r="A2475" s="71">
        <v>21</v>
      </c>
      <c r="B2475" s="72">
        <f t="shared" si="933"/>
        <v>46266</v>
      </c>
      <c r="C2475" s="73">
        <f t="shared" si="914"/>
        <v>46295</v>
      </c>
      <c r="D2475" s="67">
        <f t="shared" si="915"/>
        <v>30</v>
      </c>
      <c r="E2475" s="67">
        <f t="shared" si="916"/>
        <v>9</v>
      </c>
      <c r="F2475" s="74">
        <f t="shared" si="917"/>
        <v>46281</v>
      </c>
      <c r="G2475" s="67">
        <f t="shared" si="918"/>
        <v>24320</v>
      </c>
      <c r="H2475" s="75">
        <f t="shared" si="919"/>
        <v>1</v>
      </c>
      <c r="I2475" s="76">
        <f t="shared" si="920"/>
        <v>1</v>
      </c>
      <c r="J2475" s="76">
        <f t="shared" si="921"/>
        <v>1</v>
      </c>
      <c r="K2475" s="67">
        <f t="shared" si="922"/>
        <v>0</v>
      </c>
      <c r="L2475" s="67">
        <f t="shared" si="923"/>
        <v>0</v>
      </c>
      <c r="M2475" s="77">
        <f t="shared" si="924"/>
        <v>0</v>
      </c>
      <c r="N2475" s="76">
        <f t="shared" si="925"/>
        <v>1</v>
      </c>
      <c r="O2475" s="77">
        <f t="shared" si="926"/>
        <v>0.90934354485776803</v>
      </c>
      <c r="P2475" s="76">
        <f t="shared" si="927"/>
        <v>0.58333333333333337</v>
      </c>
      <c r="Q2475" s="76">
        <f t="shared" si="928"/>
        <v>0.41666666666666663</v>
      </c>
      <c r="R2475" s="76">
        <f t="shared" si="929"/>
        <v>0</v>
      </c>
      <c r="S2475" s="76">
        <f t="shared" si="930"/>
        <v>0.98841689658453047</v>
      </c>
      <c r="T2475" s="76">
        <f t="shared" si="931"/>
        <v>0.98841689658453047</v>
      </c>
      <c r="U2475" s="76">
        <f t="shared" si="932"/>
        <v>1</v>
      </c>
    </row>
    <row r="2476" spans="1:21" x14ac:dyDescent="0.25">
      <c r="A2476" s="71">
        <v>22</v>
      </c>
      <c r="B2476" s="72">
        <f t="shared" si="933"/>
        <v>46296</v>
      </c>
      <c r="C2476" s="73">
        <f t="shared" si="914"/>
        <v>46326</v>
      </c>
      <c r="D2476" s="67">
        <f t="shared" si="915"/>
        <v>31</v>
      </c>
      <c r="E2476" s="67">
        <f t="shared" si="916"/>
        <v>10</v>
      </c>
      <c r="F2476" s="74">
        <f t="shared" si="917"/>
        <v>46311.5</v>
      </c>
      <c r="G2476" s="67">
        <f t="shared" si="918"/>
        <v>24321</v>
      </c>
      <c r="H2476" s="75">
        <f t="shared" si="919"/>
        <v>1</v>
      </c>
      <c r="I2476" s="76">
        <f t="shared" si="920"/>
        <v>1</v>
      </c>
      <c r="J2476" s="76">
        <f t="shared" si="921"/>
        <v>1</v>
      </c>
      <c r="K2476" s="67">
        <f t="shared" si="922"/>
        <v>0</v>
      </c>
      <c r="L2476" s="67">
        <f t="shared" si="923"/>
        <v>0</v>
      </c>
      <c r="M2476" s="77">
        <f t="shared" si="924"/>
        <v>0</v>
      </c>
      <c r="N2476" s="76">
        <f t="shared" si="925"/>
        <v>1</v>
      </c>
      <c r="O2476" s="77">
        <f t="shared" si="926"/>
        <v>0.91067833698030642</v>
      </c>
      <c r="P2476" s="76">
        <f t="shared" si="927"/>
        <v>0.41666666666666669</v>
      </c>
      <c r="Q2476" s="76">
        <f t="shared" si="928"/>
        <v>0.58333333333333326</v>
      </c>
      <c r="R2476" s="76">
        <f t="shared" si="929"/>
        <v>0</v>
      </c>
      <c r="S2476" s="76">
        <f t="shared" si="930"/>
        <v>0.98986775758728951</v>
      </c>
      <c r="T2476" s="76">
        <f t="shared" si="931"/>
        <v>0.98986775758728951</v>
      </c>
      <c r="U2476" s="76">
        <f t="shared" si="932"/>
        <v>1</v>
      </c>
    </row>
    <row r="2477" spans="1:21" x14ac:dyDescent="0.25">
      <c r="A2477" s="71">
        <v>23</v>
      </c>
      <c r="B2477" s="72">
        <f t="shared" si="933"/>
        <v>46327</v>
      </c>
      <c r="C2477" s="73">
        <f t="shared" si="914"/>
        <v>46356</v>
      </c>
      <c r="D2477" s="67">
        <f t="shared" si="915"/>
        <v>30</v>
      </c>
      <c r="E2477" s="67">
        <f t="shared" si="916"/>
        <v>11</v>
      </c>
      <c r="F2477" s="74">
        <f t="shared" si="917"/>
        <v>46342</v>
      </c>
      <c r="G2477" s="67">
        <f t="shared" si="918"/>
        <v>24322</v>
      </c>
      <c r="H2477" s="75">
        <f t="shared" si="919"/>
        <v>1</v>
      </c>
      <c r="I2477" s="76">
        <f t="shared" si="920"/>
        <v>1</v>
      </c>
      <c r="J2477" s="76">
        <f t="shared" si="921"/>
        <v>1</v>
      </c>
      <c r="K2477" s="67">
        <f t="shared" si="922"/>
        <v>0</v>
      </c>
      <c r="L2477" s="67">
        <f t="shared" si="923"/>
        <v>0</v>
      </c>
      <c r="M2477" s="77">
        <f t="shared" si="924"/>
        <v>0</v>
      </c>
      <c r="N2477" s="76">
        <f t="shared" si="925"/>
        <v>1</v>
      </c>
      <c r="O2477" s="77">
        <f t="shared" si="926"/>
        <v>0.91201312910284471</v>
      </c>
      <c r="P2477" s="76">
        <f t="shared" si="927"/>
        <v>0.25</v>
      </c>
      <c r="Q2477" s="76">
        <f t="shared" si="928"/>
        <v>0.75</v>
      </c>
      <c r="R2477" s="76">
        <f t="shared" si="929"/>
        <v>0</v>
      </c>
      <c r="S2477" s="76">
        <f t="shared" si="930"/>
        <v>0.99131861859004855</v>
      </c>
      <c r="T2477" s="76">
        <f t="shared" si="931"/>
        <v>0.99131861859004855</v>
      </c>
      <c r="U2477" s="76">
        <f t="shared" si="932"/>
        <v>1</v>
      </c>
    </row>
    <row r="2478" spans="1:21" x14ac:dyDescent="0.25">
      <c r="A2478" s="71">
        <v>24</v>
      </c>
      <c r="B2478" s="72">
        <f t="shared" si="933"/>
        <v>46357</v>
      </c>
      <c r="C2478" s="73">
        <f t="shared" si="914"/>
        <v>46387</v>
      </c>
      <c r="D2478" s="67">
        <f t="shared" si="915"/>
        <v>31</v>
      </c>
      <c r="E2478" s="67">
        <f t="shared" si="916"/>
        <v>12</v>
      </c>
      <c r="F2478" s="74">
        <f t="shared" si="917"/>
        <v>46372.5</v>
      </c>
      <c r="G2478" s="67">
        <f t="shared" si="918"/>
        <v>24323</v>
      </c>
      <c r="H2478" s="75">
        <f t="shared" si="919"/>
        <v>1</v>
      </c>
      <c r="I2478" s="76">
        <f t="shared" si="920"/>
        <v>1</v>
      </c>
      <c r="J2478" s="76">
        <f t="shared" si="921"/>
        <v>1</v>
      </c>
      <c r="K2478" s="67">
        <f t="shared" si="922"/>
        <v>0</v>
      </c>
      <c r="L2478" s="67">
        <f t="shared" si="923"/>
        <v>0</v>
      </c>
      <c r="M2478" s="77">
        <f t="shared" si="924"/>
        <v>0</v>
      </c>
      <c r="N2478" s="76">
        <f t="shared" si="925"/>
        <v>1</v>
      </c>
      <c r="O2478" s="77">
        <f t="shared" si="926"/>
        <v>0.913347921225383</v>
      </c>
      <c r="P2478" s="76">
        <f t="shared" si="927"/>
        <v>8.3333333333333329E-2</v>
      </c>
      <c r="Q2478" s="76">
        <f t="shared" si="928"/>
        <v>0.91666666666666663</v>
      </c>
      <c r="R2478" s="76">
        <f t="shared" si="929"/>
        <v>0</v>
      </c>
      <c r="S2478" s="76">
        <f t="shared" si="930"/>
        <v>0.99276947959280759</v>
      </c>
      <c r="T2478" s="76">
        <f t="shared" si="931"/>
        <v>0.99276947959280759</v>
      </c>
      <c r="U2478" s="76">
        <f t="shared" si="932"/>
        <v>1</v>
      </c>
    </row>
    <row r="2479" spans="1:21" x14ac:dyDescent="0.25">
      <c r="A2479" s="71">
        <v>25</v>
      </c>
      <c r="B2479" s="72">
        <f t="shared" si="933"/>
        <v>46388</v>
      </c>
      <c r="C2479" s="73">
        <f t="shared" si="914"/>
        <v>46418</v>
      </c>
      <c r="D2479" s="67">
        <f t="shared" si="915"/>
        <v>31</v>
      </c>
      <c r="E2479" s="67">
        <f t="shared" si="916"/>
        <v>1</v>
      </c>
      <c r="F2479" s="74">
        <f t="shared" si="917"/>
        <v>46403.5</v>
      </c>
      <c r="G2479" s="67">
        <f t="shared" si="918"/>
        <v>24324</v>
      </c>
      <c r="H2479" s="75">
        <f t="shared" si="919"/>
        <v>1</v>
      </c>
      <c r="I2479" s="76">
        <f t="shared" si="920"/>
        <v>1</v>
      </c>
      <c r="J2479" s="76">
        <f t="shared" si="921"/>
        <v>1</v>
      </c>
      <c r="K2479" s="67">
        <f t="shared" si="922"/>
        <v>0</v>
      </c>
      <c r="L2479" s="67">
        <f t="shared" si="923"/>
        <v>0</v>
      </c>
      <c r="M2479" s="77">
        <f t="shared" si="924"/>
        <v>0</v>
      </c>
      <c r="N2479" s="76">
        <f t="shared" si="925"/>
        <v>1</v>
      </c>
      <c r="O2479" s="77">
        <f t="shared" si="926"/>
        <v>0.91470459518599567</v>
      </c>
      <c r="P2479" s="76">
        <f t="shared" si="927"/>
        <v>0</v>
      </c>
      <c r="Q2479" s="76">
        <f t="shared" si="928"/>
        <v>1</v>
      </c>
      <c r="R2479" s="76">
        <f t="shared" si="929"/>
        <v>0</v>
      </c>
      <c r="S2479" s="76">
        <f t="shared" si="930"/>
        <v>0.9942441252021692</v>
      </c>
      <c r="T2479" s="76">
        <f t="shared" si="931"/>
        <v>0.97688136238226619</v>
      </c>
      <c r="U2479" s="76">
        <f t="shared" si="932"/>
        <v>1</v>
      </c>
    </row>
    <row r="2480" spans="1:21" x14ac:dyDescent="0.25">
      <c r="A2480" s="71">
        <v>26</v>
      </c>
      <c r="B2480" s="72">
        <f t="shared" si="933"/>
        <v>46419</v>
      </c>
      <c r="C2480" s="73">
        <f t="shared" si="914"/>
        <v>46446</v>
      </c>
      <c r="D2480" s="67">
        <f t="shared" si="915"/>
        <v>28</v>
      </c>
      <c r="E2480" s="67">
        <f t="shared" si="916"/>
        <v>2</v>
      </c>
      <c r="F2480" s="74">
        <f t="shared" si="917"/>
        <v>46433</v>
      </c>
      <c r="G2480" s="67">
        <f t="shared" si="918"/>
        <v>24325</v>
      </c>
      <c r="H2480" s="75">
        <f t="shared" si="919"/>
        <v>1</v>
      </c>
      <c r="I2480" s="76">
        <f t="shared" si="920"/>
        <v>1</v>
      </c>
      <c r="J2480" s="76">
        <f t="shared" si="921"/>
        <v>1</v>
      </c>
      <c r="K2480" s="67">
        <f t="shared" si="922"/>
        <v>0</v>
      </c>
      <c r="L2480" s="67">
        <f t="shared" si="923"/>
        <v>0</v>
      </c>
      <c r="M2480" s="77">
        <f t="shared" si="924"/>
        <v>0</v>
      </c>
      <c r="N2480" s="76">
        <f t="shared" si="925"/>
        <v>1</v>
      </c>
      <c r="O2480" s="77">
        <f t="shared" si="926"/>
        <v>0.91599562363238518</v>
      </c>
      <c r="P2480" s="76">
        <f t="shared" si="927"/>
        <v>0</v>
      </c>
      <c r="Q2480" s="76">
        <f t="shared" si="928"/>
        <v>1</v>
      </c>
      <c r="R2480" s="76">
        <f t="shared" si="929"/>
        <v>0</v>
      </c>
      <c r="S2480" s="76">
        <f t="shared" si="930"/>
        <v>0.99564741699172299</v>
      </c>
      <c r="T2480" s="76">
        <f t="shared" si="931"/>
        <v>0.97828465417181998</v>
      </c>
      <c r="U2480" s="76">
        <f t="shared" si="932"/>
        <v>1</v>
      </c>
    </row>
    <row r="2481" spans="1:21" x14ac:dyDescent="0.25">
      <c r="A2481" s="71">
        <v>27</v>
      </c>
      <c r="B2481" s="72">
        <f t="shared" si="933"/>
        <v>46447</v>
      </c>
      <c r="C2481" s="73">
        <f t="shared" si="914"/>
        <v>46477</v>
      </c>
      <c r="D2481" s="67">
        <f t="shared" si="915"/>
        <v>31</v>
      </c>
      <c r="E2481" s="67">
        <f t="shared" si="916"/>
        <v>3</v>
      </c>
      <c r="F2481" s="74">
        <f t="shared" si="917"/>
        <v>46462.5</v>
      </c>
      <c r="G2481" s="67">
        <f t="shared" si="918"/>
        <v>24326</v>
      </c>
      <c r="H2481" s="75">
        <f t="shared" si="919"/>
        <v>1</v>
      </c>
      <c r="I2481" s="76">
        <f t="shared" si="920"/>
        <v>1</v>
      </c>
      <c r="J2481" s="76">
        <f t="shared" si="921"/>
        <v>1</v>
      </c>
      <c r="K2481" s="67">
        <f t="shared" si="922"/>
        <v>0</v>
      </c>
      <c r="L2481" s="67">
        <f t="shared" si="923"/>
        <v>0</v>
      </c>
      <c r="M2481" s="77">
        <f t="shared" si="924"/>
        <v>0</v>
      </c>
      <c r="N2481" s="76">
        <f t="shared" si="925"/>
        <v>1</v>
      </c>
      <c r="O2481" s="77">
        <f t="shared" si="926"/>
        <v>0.91728665207877469</v>
      </c>
      <c r="P2481" s="76">
        <f t="shared" si="927"/>
        <v>0</v>
      </c>
      <c r="Q2481" s="76">
        <f t="shared" si="928"/>
        <v>1</v>
      </c>
      <c r="R2481" s="76">
        <f t="shared" si="929"/>
        <v>0</v>
      </c>
      <c r="S2481" s="76">
        <f t="shared" si="930"/>
        <v>0.99705070878127677</v>
      </c>
      <c r="T2481" s="76">
        <f t="shared" si="931"/>
        <v>0.97968794596137376</v>
      </c>
      <c r="U2481" s="76">
        <f t="shared" si="932"/>
        <v>1</v>
      </c>
    </row>
    <row r="2482" spans="1:21" x14ac:dyDescent="0.25">
      <c r="A2482" s="71">
        <v>28</v>
      </c>
      <c r="B2482" s="72">
        <f t="shared" si="933"/>
        <v>46478</v>
      </c>
      <c r="C2482" s="73">
        <f t="shared" si="914"/>
        <v>46507</v>
      </c>
      <c r="D2482" s="67">
        <f t="shared" si="915"/>
        <v>30</v>
      </c>
      <c r="E2482" s="67">
        <f t="shared" si="916"/>
        <v>4</v>
      </c>
      <c r="F2482" s="74">
        <f t="shared" si="917"/>
        <v>46493</v>
      </c>
      <c r="G2482" s="67">
        <f t="shared" si="918"/>
        <v>24327</v>
      </c>
      <c r="H2482" s="75">
        <f t="shared" si="919"/>
        <v>1</v>
      </c>
      <c r="I2482" s="76">
        <f t="shared" si="920"/>
        <v>1</v>
      </c>
      <c r="J2482" s="76">
        <f t="shared" si="921"/>
        <v>1</v>
      </c>
      <c r="K2482" s="67">
        <f t="shared" si="922"/>
        <v>0</v>
      </c>
      <c r="L2482" s="67">
        <f t="shared" si="923"/>
        <v>0</v>
      </c>
      <c r="M2482" s="77">
        <f t="shared" si="924"/>
        <v>0</v>
      </c>
      <c r="N2482" s="76">
        <f t="shared" si="925"/>
        <v>1</v>
      </c>
      <c r="O2482" s="77">
        <f t="shared" si="926"/>
        <v>0.91862144420131298</v>
      </c>
      <c r="P2482" s="76">
        <f t="shared" si="927"/>
        <v>0</v>
      </c>
      <c r="Q2482" s="76">
        <f t="shared" si="928"/>
        <v>1</v>
      </c>
      <c r="R2482" s="76">
        <f t="shared" si="929"/>
        <v>0</v>
      </c>
      <c r="S2482" s="76">
        <f t="shared" si="930"/>
        <v>0.99850156978403581</v>
      </c>
      <c r="T2482" s="76">
        <f t="shared" si="931"/>
        <v>0.9811388069641328</v>
      </c>
      <c r="U2482" s="76">
        <f t="shared" si="932"/>
        <v>1</v>
      </c>
    </row>
    <row r="2483" spans="1:21" x14ac:dyDescent="0.25">
      <c r="A2483" s="71">
        <v>29</v>
      </c>
      <c r="B2483" s="72">
        <f t="shared" si="933"/>
        <v>46508</v>
      </c>
      <c r="C2483" s="73">
        <f t="shared" si="914"/>
        <v>46538</v>
      </c>
      <c r="D2483" s="67">
        <f t="shared" si="915"/>
        <v>31</v>
      </c>
      <c r="E2483" s="67">
        <f t="shared" si="916"/>
        <v>5</v>
      </c>
      <c r="F2483" s="74">
        <f t="shared" si="917"/>
        <v>46523.5</v>
      </c>
      <c r="G2483" s="67">
        <f t="shared" si="918"/>
        <v>24328</v>
      </c>
      <c r="H2483" s="75">
        <f t="shared" si="919"/>
        <v>1</v>
      </c>
      <c r="I2483" s="76">
        <f t="shared" si="920"/>
        <v>1</v>
      </c>
      <c r="J2483" s="76">
        <f t="shared" si="921"/>
        <v>1</v>
      </c>
      <c r="K2483" s="67">
        <f t="shared" si="922"/>
        <v>0</v>
      </c>
      <c r="L2483" s="67">
        <f t="shared" si="923"/>
        <v>0</v>
      </c>
      <c r="M2483" s="77">
        <f t="shared" si="924"/>
        <v>0</v>
      </c>
      <c r="N2483" s="76">
        <f t="shared" si="925"/>
        <v>1</v>
      </c>
      <c r="O2483" s="77">
        <f t="shared" si="926"/>
        <v>0.91995623632385126</v>
      </c>
      <c r="P2483" s="76">
        <f t="shared" si="927"/>
        <v>0</v>
      </c>
      <c r="Q2483" s="76">
        <f t="shared" si="928"/>
        <v>1</v>
      </c>
      <c r="R2483" s="76">
        <f t="shared" si="929"/>
        <v>0</v>
      </c>
      <c r="S2483" s="76">
        <f t="shared" si="930"/>
        <v>0.99995243078679485</v>
      </c>
      <c r="T2483" s="76">
        <f t="shared" si="931"/>
        <v>0.98258966796689184</v>
      </c>
      <c r="U2483" s="76">
        <f t="shared" si="932"/>
        <v>1</v>
      </c>
    </row>
    <row r="2484" spans="1:21" x14ac:dyDescent="0.25">
      <c r="A2484" s="71">
        <v>30</v>
      </c>
      <c r="B2484" s="72">
        <f t="shared" si="933"/>
        <v>46539</v>
      </c>
      <c r="C2484" s="73">
        <f t="shared" si="914"/>
        <v>46568</v>
      </c>
      <c r="D2484" s="67">
        <f t="shared" si="915"/>
        <v>30</v>
      </c>
      <c r="E2484" s="67">
        <f t="shared" si="916"/>
        <v>6</v>
      </c>
      <c r="F2484" s="74">
        <f t="shared" si="917"/>
        <v>46554</v>
      </c>
      <c r="G2484" s="67">
        <f t="shared" si="918"/>
        <v>24329</v>
      </c>
      <c r="H2484" s="75">
        <f t="shared" si="919"/>
        <v>1</v>
      </c>
      <c r="I2484" s="76">
        <f t="shared" si="920"/>
        <v>1</v>
      </c>
      <c r="J2484" s="76">
        <f t="shared" si="921"/>
        <v>1</v>
      </c>
      <c r="K2484" s="67">
        <f t="shared" si="922"/>
        <v>0</v>
      </c>
      <c r="L2484" s="67">
        <f t="shared" si="923"/>
        <v>0</v>
      </c>
      <c r="M2484" s="77">
        <f t="shared" si="924"/>
        <v>0</v>
      </c>
      <c r="N2484" s="76">
        <f t="shared" si="925"/>
        <v>1</v>
      </c>
      <c r="O2484" s="77">
        <f t="shared" si="926"/>
        <v>0.92129102844638955</v>
      </c>
      <c r="P2484" s="76">
        <f t="shared" si="927"/>
        <v>0</v>
      </c>
      <c r="Q2484" s="76">
        <f t="shared" si="928"/>
        <v>1</v>
      </c>
      <c r="R2484" s="76">
        <f t="shared" si="929"/>
        <v>0</v>
      </c>
      <c r="S2484" s="76">
        <f t="shared" si="930"/>
        <v>1.0014032917895539</v>
      </c>
      <c r="T2484" s="76">
        <f t="shared" si="931"/>
        <v>0.98404052896965077</v>
      </c>
      <c r="U2484" s="76">
        <f t="shared" si="932"/>
        <v>1</v>
      </c>
    </row>
    <row r="2485" spans="1:21" x14ac:dyDescent="0.25">
      <c r="A2485" s="71">
        <v>31</v>
      </c>
      <c r="B2485" s="72">
        <f t="shared" si="933"/>
        <v>46569</v>
      </c>
      <c r="C2485" s="73">
        <f t="shared" si="914"/>
        <v>46599</v>
      </c>
      <c r="D2485" s="67">
        <f t="shared" si="915"/>
        <v>31</v>
      </c>
      <c r="E2485" s="67">
        <f t="shared" si="916"/>
        <v>7</v>
      </c>
      <c r="F2485" s="74">
        <f t="shared" si="917"/>
        <v>46584.5</v>
      </c>
      <c r="G2485" s="67">
        <f t="shared" si="918"/>
        <v>24330</v>
      </c>
      <c r="H2485" s="75">
        <f t="shared" si="919"/>
        <v>1</v>
      </c>
      <c r="I2485" s="76">
        <f t="shared" si="920"/>
        <v>1</v>
      </c>
      <c r="J2485" s="76">
        <f t="shared" si="921"/>
        <v>1</v>
      </c>
      <c r="K2485" s="67">
        <f t="shared" si="922"/>
        <v>0</v>
      </c>
      <c r="L2485" s="67">
        <f t="shared" si="923"/>
        <v>0</v>
      </c>
      <c r="M2485" s="77">
        <f t="shared" si="924"/>
        <v>0</v>
      </c>
      <c r="N2485" s="76">
        <f t="shared" si="925"/>
        <v>1</v>
      </c>
      <c r="O2485" s="77">
        <f t="shared" si="926"/>
        <v>0.92262582056892783</v>
      </c>
      <c r="P2485" s="76">
        <f t="shared" si="927"/>
        <v>0</v>
      </c>
      <c r="Q2485" s="76">
        <f t="shared" si="928"/>
        <v>0.91666666666666663</v>
      </c>
      <c r="R2485" s="76">
        <f t="shared" si="929"/>
        <v>8.333333333333337E-2</v>
      </c>
      <c r="S2485" s="76">
        <f t="shared" si="930"/>
        <v>1.0028541527923127</v>
      </c>
      <c r="T2485" s="76">
        <f t="shared" si="931"/>
        <v>0.98549138997240981</v>
      </c>
      <c r="U2485" s="76">
        <f t="shared" si="932"/>
        <v>1</v>
      </c>
    </row>
    <row r="2486" spans="1:21" x14ac:dyDescent="0.25">
      <c r="A2486" s="71">
        <v>32</v>
      </c>
      <c r="B2486" s="72">
        <f t="shared" si="933"/>
        <v>46600</v>
      </c>
      <c r="C2486" s="73">
        <f t="shared" si="914"/>
        <v>46630</v>
      </c>
      <c r="D2486" s="67">
        <f t="shared" si="915"/>
        <v>31</v>
      </c>
      <c r="E2486" s="67">
        <f t="shared" si="916"/>
        <v>8</v>
      </c>
      <c r="F2486" s="74">
        <f t="shared" si="917"/>
        <v>46615.5</v>
      </c>
      <c r="G2486" s="67">
        <f t="shared" si="918"/>
        <v>24331</v>
      </c>
      <c r="H2486" s="75">
        <f t="shared" si="919"/>
        <v>1</v>
      </c>
      <c r="I2486" s="76">
        <f t="shared" si="920"/>
        <v>1</v>
      </c>
      <c r="J2486" s="76">
        <f t="shared" si="921"/>
        <v>1</v>
      </c>
      <c r="K2486" s="67">
        <f t="shared" si="922"/>
        <v>0</v>
      </c>
      <c r="L2486" s="67">
        <f t="shared" si="923"/>
        <v>0</v>
      </c>
      <c r="M2486" s="77">
        <f t="shared" si="924"/>
        <v>0</v>
      </c>
      <c r="N2486" s="76">
        <f t="shared" si="925"/>
        <v>1</v>
      </c>
      <c r="O2486" s="77">
        <f t="shared" si="926"/>
        <v>0.92398249452954051</v>
      </c>
      <c r="P2486" s="76">
        <f t="shared" si="927"/>
        <v>0</v>
      </c>
      <c r="Q2486" s="76">
        <f t="shared" si="928"/>
        <v>0.75</v>
      </c>
      <c r="R2486" s="76">
        <f t="shared" si="929"/>
        <v>0.25</v>
      </c>
      <c r="S2486" s="76">
        <f t="shared" si="930"/>
        <v>1.0043287984016744</v>
      </c>
      <c r="T2486" s="76">
        <f t="shared" si="931"/>
        <v>0.98696603558177143</v>
      </c>
      <c r="U2486" s="76">
        <f t="shared" si="932"/>
        <v>1</v>
      </c>
    </row>
    <row r="2487" spans="1:21" x14ac:dyDescent="0.25">
      <c r="A2487" s="71">
        <v>33</v>
      </c>
      <c r="B2487" s="72">
        <f t="shared" si="933"/>
        <v>46631</v>
      </c>
      <c r="C2487" s="73">
        <f t="shared" si="914"/>
        <v>46660</v>
      </c>
      <c r="D2487" s="67">
        <f t="shared" si="915"/>
        <v>30</v>
      </c>
      <c r="E2487" s="67">
        <f t="shared" si="916"/>
        <v>9</v>
      </c>
      <c r="F2487" s="74">
        <f t="shared" si="917"/>
        <v>46646</v>
      </c>
      <c r="G2487" s="67">
        <f t="shared" si="918"/>
        <v>24332</v>
      </c>
      <c r="H2487" s="75">
        <f t="shared" si="919"/>
        <v>1</v>
      </c>
      <c r="I2487" s="76">
        <f t="shared" si="920"/>
        <v>1</v>
      </c>
      <c r="J2487" s="76">
        <f t="shared" si="921"/>
        <v>1</v>
      </c>
      <c r="K2487" s="67">
        <f t="shared" si="922"/>
        <v>0</v>
      </c>
      <c r="L2487" s="67">
        <f t="shared" si="923"/>
        <v>0</v>
      </c>
      <c r="M2487" s="77">
        <f t="shared" si="924"/>
        <v>0</v>
      </c>
      <c r="N2487" s="76">
        <f t="shared" si="925"/>
        <v>1</v>
      </c>
      <c r="O2487" s="77">
        <f t="shared" si="926"/>
        <v>0.9253172866520788</v>
      </c>
      <c r="P2487" s="76">
        <f t="shared" si="927"/>
        <v>0</v>
      </c>
      <c r="Q2487" s="76">
        <f t="shared" si="928"/>
        <v>0.58333333333333337</v>
      </c>
      <c r="R2487" s="76">
        <f t="shared" si="929"/>
        <v>0.41666666666666663</v>
      </c>
      <c r="S2487" s="76">
        <f t="shared" si="930"/>
        <v>1.0057796594044335</v>
      </c>
      <c r="T2487" s="76">
        <f t="shared" si="931"/>
        <v>0.98841689658453047</v>
      </c>
      <c r="U2487" s="76">
        <f t="shared" si="932"/>
        <v>1</v>
      </c>
    </row>
    <row r="2488" spans="1:21" x14ac:dyDescent="0.25">
      <c r="A2488" s="71">
        <v>34</v>
      </c>
      <c r="B2488" s="72">
        <f t="shared" si="933"/>
        <v>46661</v>
      </c>
      <c r="C2488" s="73">
        <f t="shared" si="914"/>
        <v>46691</v>
      </c>
      <c r="D2488" s="67">
        <f t="shared" si="915"/>
        <v>31</v>
      </c>
      <c r="E2488" s="67">
        <f t="shared" si="916"/>
        <v>10</v>
      </c>
      <c r="F2488" s="74">
        <f t="shared" si="917"/>
        <v>46676.5</v>
      </c>
      <c r="G2488" s="67">
        <f t="shared" si="918"/>
        <v>24333</v>
      </c>
      <c r="H2488" s="75">
        <f t="shared" si="919"/>
        <v>1</v>
      </c>
      <c r="I2488" s="76">
        <f t="shared" si="920"/>
        <v>1</v>
      </c>
      <c r="J2488" s="76">
        <f t="shared" si="921"/>
        <v>1</v>
      </c>
      <c r="K2488" s="67">
        <f t="shared" si="922"/>
        <v>0</v>
      </c>
      <c r="L2488" s="67">
        <f t="shared" si="923"/>
        <v>0</v>
      </c>
      <c r="M2488" s="77">
        <f t="shared" si="924"/>
        <v>0</v>
      </c>
      <c r="N2488" s="76">
        <f t="shared" si="925"/>
        <v>1</v>
      </c>
      <c r="O2488" s="77">
        <f t="shared" si="926"/>
        <v>0.92665207877461708</v>
      </c>
      <c r="P2488" s="76">
        <f t="shared" si="927"/>
        <v>0</v>
      </c>
      <c r="Q2488" s="76">
        <f t="shared" si="928"/>
        <v>0.41666666666666669</v>
      </c>
      <c r="R2488" s="76">
        <f t="shared" si="929"/>
        <v>0.58333333333333326</v>
      </c>
      <c r="S2488" s="76">
        <f t="shared" si="930"/>
        <v>1.0072305204071925</v>
      </c>
      <c r="T2488" s="76">
        <f t="shared" si="931"/>
        <v>0.98986775758728951</v>
      </c>
      <c r="U2488" s="76">
        <f t="shared" si="932"/>
        <v>1</v>
      </c>
    </row>
    <row r="2489" spans="1:21" x14ac:dyDescent="0.25">
      <c r="A2489" s="71">
        <v>35</v>
      </c>
      <c r="B2489" s="72">
        <f t="shared" si="933"/>
        <v>46692</v>
      </c>
      <c r="C2489" s="73">
        <f t="shared" si="914"/>
        <v>46721</v>
      </c>
      <c r="D2489" s="67">
        <f t="shared" si="915"/>
        <v>30</v>
      </c>
      <c r="E2489" s="67">
        <f t="shared" si="916"/>
        <v>11</v>
      </c>
      <c r="F2489" s="74">
        <f t="shared" si="917"/>
        <v>46707</v>
      </c>
      <c r="G2489" s="67">
        <f t="shared" si="918"/>
        <v>24334</v>
      </c>
      <c r="H2489" s="75">
        <f t="shared" si="919"/>
        <v>1</v>
      </c>
      <c r="I2489" s="76">
        <f t="shared" si="920"/>
        <v>1</v>
      </c>
      <c r="J2489" s="76">
        <f t="shared" si="921"/>
        <v>1</v>
      </c>
      <c r="K2489" s="67">
        <f t="shared" si="922"/>
        <v>0</v>
      </c>
      <c r="L2489" s="67">
        <f t="shared" si="923"/>
        <v>0</v>
      </c>
      <c r="M2489" s="77">
        <f t="shared" si="924"/>
        <v>0</v>
      </c>
      <c r="N2489" s="76">
        <f t="shared" si="925"/>
        <v>1</v>
      </c>
      <c r="O2489" s="77">
        <f t="shared" si="926"/>
        <v>0.92798687089715537</v>
      </c>
      <c r="P2489" s="76">
        <f t="shared" si="927"/>
        <v>0</v>
      </c>
      <c r="Q2489" s="76">
        <f t="shared" si="928"/>
        <v>0.25</v>
      </c>
      <c r="R2489" s="76">
        <f t="shared" si="929"/>
        <v>0.75</v>
      </c>
      <c r="S2489" s="76">
        <f t="shared" si="930"/>
        <v>1.0086813814099513</v>
      </c>
      <c r="T2489" s="76">
        <f t="shared" si="931"/>
        <v>0.99131861859004855</v>
      </c>
      <c r="U2489" s="76">
        <f t="shared" si="932"/>
        <v>1</v>
      </c>
    </row>
    <row r="2490" spans="1:21" x14ac:dyDescent="0.25">
      <c r="A2490" s="71">
        <v>36</v>
      </c>
      <c r="B2490" s="72">
        <f t="shared" si="933"/>
        <v>46722</v>
      </c>
      <c r="C2490" s="73">
        <f t="shared" si="914"/>
        <v>46752</v>
      </c>
      <c r="D2490" s="67">
        <f t="shared" si="915"/>
        <v>31</v>
      </c>
      <c r="E2490" s="67">
        <f t="shared" si="916"/>
        <v>12</v>
      </c>
      <c r="F2490" s="74">
        <f t="shared" si="917"/>
        <v>46737.5</v>
      </c>
      <c r="G2490" s="67">
        <f t="shared" si="918"/>
        <v>24335</v>
      </c>
      <c r="H2490" s="75">
        <f t="shared" si="919"/>
        <v>1</v>
      </c>
      <c r="I2490" s="76">
        <f t="shared" si="920"/>
        <v>1</v>
      </c>
      <c r="J2490" s="76">
        <f t="shared" si="921"/>
        <v>1</v>
      </c>
      <c r="K2490" s="67">
        <f t="shared" si="922"/>
        <v>0</v>
      </c>
      <c r="L2490" s="67">
        <f t="shared" si="923"/>
        <v>0</v>
      </c>
      <c r="M2490" s="77">
        <f t="shared" si="924"/>
        <v>0</v>
      </c>
      <c r="N2490" s="76">
        <f t="shared" si="925"/>
        <v>1</v>
      </c>
      <c r="O2490" s="77">
        <f t="shared" si="926"/>
        <v>0.92932166301969366</v>
      </c>
      <c r="P2490" s="76">
        <f t="shared" si="927"/>
        <v>0</v>
      </c>
      <c r="Q2490" s="76">
        <f t="shared" si="928"/>
        <v>8.3333333333333329E-2</v>
      </c>
      <c r="R2490" s="76">
        <f t="shared" si="929"/>
        <v>0.91666666666666663</v>
      </c>
      <c r="S2490" s="76">
        <f t="shared" si="930"/>
        <v>1.0101322424127104</v>
      </c>
      <c r="T2490" s="76">
        <f t="shared" si="931"/>
        <v>0.99276947959280759</v>
      </c>
      <c r="U2490" s="76">
        <f t="shared" si="932"/>
        <v>1</v>
      </c>
    </row>
    <row r="2491" spans="1:21" x14ac:dyDescent="0.25">
      <c r="A2491" s="71">
        <v>37</v>
      </c>
      <c r="B2491" s="72">
        <f t="shared" si="933"/>
        <v>46753</v>
      </c>
      <c r="C2491" s="73">
        <f t="shared" si="914"/>
        <v>46783</v>
      </c>
      <c r="D2491" s="67">
        <f t="shared" si="915"/>
        <v>31</v>
      </c>
      <c r="E2491" s="67">
        <f t="shared" si="916"/>
        <v>1</v>
      </c>
      <c r="F2491" s="74">
        <f t="shared" si="917"/>
        <v>46768.5</v>
      </c>
      <c r="G2491" s="67">
        <f t="shared" si="918"/>
        <v>24336</v>
      </c>
      <c r="H2491" s="75">
        <f t="shared" si="919"/>
        <v>1</v>
      </c>
      <c r="I2491" s="76">
        <f t="shared" si="920"/>
        <v>1</v>
      </c>
      <c r="J2491" s="76">
        <f t="shared" si="921"/>
        <v>1</v>
      </c>
      <c r="K2491" s="67">
        <f t="shared" si="922"/>
        <v>0</v>
      </c>
      <c r="L2491" s="67">
        <f t="shared" si="923"/>
        <v>0</v>
      </c>
      <c r="M2491" s="77">
        <f t="shared" si="924"/>
        <v>0</v>
      </c>
      <c r="N2491" s="76">
        <f t="shared" si="925"/>
        <v>1</v>
      </c>
      <c r="O2491" s="77">
        <f t="shared" si="926"/>
        <v>0.93</v>
      </c>
      <c r="P2491" s="76">
        <f t="shared" si="927"/>
        <v>0</v>
      </c>
      <c r="Q2491" s="76">
        <f t="shared" si="928"/>
        <v>0</v>
      </c>
      <c r="R2491" s="76">
        <f t="shared" si="929"/>
        <v>1</v>
      </c>
      <c r="S2491" s="76">
        <f t="shared" si="930"/>
        <v>1.0108695652173914</v>
      </c>
      <c r="T2491" s="76">
        <f t="shared" si="931"/>
        <v>0.97688136238226619</v>
      </c>
      <c r="U2491" s="76">
        <f t="shared" si="932"/>
        <v>1</v>
      </c>
    </row>
    <row r="2492" spans="1:21" x14ac:dyDescent="0.25">
      <c r="A2492" s="71">
        <v>38</v>
      </c>
      <c r="B2492" s="72">
        <f t="shared" si="933"/>
        <v>46784</v>
      </c>
      <c r="C2492" s="73">
        <f t="shared" si="914"/>
        <v>46812</v>
      </c>
      <c r="D2492" s="67">
        <f t="shared" si="915"/>
        <v>29</v>
      </c>
      <c r="E2492" s="67">
        <f t="shared" si="916"/>
        <v>2</v>
      </c>
      <c r="F2492" s="74">
        <f t="shared" si="917"/>
        <v>46798.5</v>
      </c>
      <c r="G2492" s="67">
        <f t="shared" si="918"/>
        <v>24337</v>
      </c>
      <c r="H2492" s="75">
        <f t="shared" si="919"/>
        <v>1</v>
      </c>
      <c r="I2492" s="76">
        <f t="shared" si="920"/>
        <v>1</v>
      </c>
      <c r="J2492" s="76">
        <f t="shared" si="921"/>
        <v>1</v>
      </c>
      <c r="K2492" s="67">
        <f t="shared" si="922"/>
        <v>0</v>
      </c>
      <c r="L2492" s="67">
        <f t="shared" si="923"/>
        <v>0</v>
      </c>
      <c r="M2492" s="77">
        <f t="shared" si="924"/>
        <v>0</v>
      </c>
      <c r="N2492" s="76">
        <f t="shared" si="925"/>
        <v>1</v>
      </c>
      <c r="O2492" s="77">
        <f t="shared" si="926"/>
        <v>0.93</v>
      </c>
      <c r="P2492" s="76">
        <f t="shared" si="927"/>
        <v>0</v>
      </c>
      <c r="Q2492" s="76">
        <f t="shared" si="928"/>
        <v>0</v>
      </c>
      <c r="R2492" s="76">
        <f t="shared" si="929"/>
        <v>1</v>
      </c>
      <c r="S2492" s="76">
        <f t="shared" si="930"/>
        <v>1.0108695652173914</v>
      </c>
      <c r="T2492" s="76">
        <f t="shared" si="931"/>
        <v>0.97828465417181998</v>
      </c>
      <c r="U2492" s="76">
        <f t="shared" si="932"/>
        <v>1</v>
      </c>
    </row>
    <row r="2493" spans="1:21" x14ac:dyDescent="0.25">
      <c r="A2493" s="71">
        <v>39</v>
      </c>
      <c r="B2493" s="72">
        <f t="shared" si="933"/>
        <v>46813</v>
      </c>
      <c r="C2493" s="73">
        <f t="shared" si="914"/>
        <v>46843</v>
      </c>
      <c r="D2493" s="67">
        <f t="shared" si="915"/>
        <v>31</v>
      </c>
      <c r="E2493" s="67">
        <f t="shared" si="916"/>
        <v>3</v>
      </c>
      <c r="F2493" s="74">
        <f t="shared" si="917"/>
        <v>46828.5</v>
      </c>
      <c r="G2493" s="67">
        <f t="shared" si="918"/>
        <v>24338</v>
      </c>
      <c r="H2493" s="75">
        <f t="shared" si="919"/>
        <v>1</v>
      </c>
      <c r="I2493" s="76">
        <f t="shared" si="920"/>
        <v>1</v>
      </c>
      <c r="J2493" s="76">
        <f t="shared" si="921"/>
        <v>1</v>
      </c>
      <c r="K2493" s="67">
        <f t="shared" si="922"/>
        <v>0</v>
      </c>
      <c r="L2493" s="67">
        <f t="shared" si="923"/>
        <v>0</v>
      </c>
      <c r="M2493" s="77">
        <f t="shared" si="924"/>
        <v>0</v>
      </c>
      <c r="N2493" s="76">
        <f t="shared" si="925"/>
        <v>1</v>
      </c>
      <c r="O2493" s="77">
        <f t="shared" si="926"/>
        <v>0.93</v>
      </c>
      <c r="P2493" s="76">
        <f t="shared" si="927"/>
        <v>0</v>
      </c>
      <c r="Q2493" s="76">
        <f t="shared" si="928"/>
        <v>0</v>
      </c>
      <c r="R2493" s="76">
        <f t="shared" si="929"/>
        <v>1</v>
      </c>
      <c r="S2493" s="76">
        <f t="shared" si="930"/>
        <v>1.0108695652173914</v>
      </c>
      <c r="T2493" s="76">
        <f t="shared" si="931"/>
        <v>0.97968794596137376</v>
      </c>
      <c r="U2493" s="76">
        <f t="shared" si="932"/>
        <v>1</v>
      </c>
    </row>
    <row r="2494" spans="1:21" x14ac:dyDescent="0.25">
      <c r="A2494" s="71">
        <v>40</v>
      </c>
      <c r="B2494" s="72">
        <f t="shared" si="933"/>
        <v>46844</v>
      </c>
      <c r="C2494" s="73">
        <f t="shared" si="914"/>
        <v>46873</v>
      </c>
      <c r="D2494" s="67">
        <f t="shared" si="915"/>
        <v>30</v>
      </c>
      <c r="E2494" s="67">
        <f t="shared" si="916"/>
        <v>4</v>
      </c>
      <c r="F2494" s="74">
        <f t="shared" si="917"/>
        <v>46859</v>
      </c>
      <c r="G2494" s="67">
        <f t="shared" si="918"/>
        <v>24339</v>
      </c>
      <c r="H2494" s="75">
        <f t="shared" si="919"/>
        <v>1</v>
      </c>
      <c r="I2494" s="76">
        <f t="shared" si="920"/>
        <v>1</v>
      </c>
      <c r="J2494" s="76">
        <f t="shared" si="921"/>
        <v>1</v>
      </c>
      <c r="K2494" s="67">
        <f t="shared" si="922"/>
        <v>0</v>
      </c>
      <c r="L2494" s="67">
        <f t="shared" si="923"/>
        <v>0</v>
      </c>
      <c r="M2494" s="77">
        <f t="shared" si="924"/>
        <v>0</v>
      </c>
      <c r="N2494" s="76">
        <f t="shared" si="925"/>
        <v>1</v>
      </c>
      <c r="O2494" s="77">
        <f t="shared" si="926"/>
        <v>0.93</v>
      </c>
      <c r="P2494" s="76">
        <f t="shared" si="927"/>
        <v>0</v>
      </c>
      <c r="Q2494" s="76">
        <f t="shared" si="928"/>
        <v>0</v>
      </c>
      <c r="R2494" s="76">
        <f t="shared" si="929"/>
        <v>1</v>
      </c>
      <c r="S2494" s="76">
        <f t="shared" si="930"/>
        <v>1.0108695652173914</v>
      </c>
      <c r="T2494" s="76">
        <f t="shared" si="931"/>
        <v>0.9811388069641328</v>
      </c>
      <c r="U2494" s="76">
        <f t="shared" si="932"/>
        <v>1</v>
      </c>
    </row>
    <row r="2495" spans="1:21" x14ac:dyDescent="0.25">
      <c r="A2495" s="71">
        <v>41</v>
      </c>
      <c r="B2495" s="72">
        <f t="shared" si="933"/>
        <v>46874</v>
      </c>
      <c r="C2495" s="73">
        <f t="shared" si="914"/>
        <v>46904</v>
      </c>
      <c r="D2495" s="67">
        <f t="shared" si="915"/>
        <v>31</v>
      </c>
      <c r="E2495" s="67">
        <f t="shared" si="916"/>
        <v>5</v>
      </c>
      <c r="F2495" s="74">
        <f t="shared" si="917"/>
        <v>46889.5</v>
      </c>
      <c r="G2495" s="67">
        <f t="shared" si="918"/>
        <v>24340</v>
      </c>
      <c r="H2495" s="75">
        <f t="shared" si="919"/>
        <v>1</v>
      </c>
      <c r="I2495" s="76">
        <f t="shared" si="920"/>
        <v>1</v>
      </c>
      <c r="J2495" s="76">
        <f t="shared" si="921"/>
        <v>1</v>
      </c>
      <c r="K2495" s="67">
        <f t="shared" si="922"/>
        <v>0</v>
      </c>
      <c r="L2495" s="67">
        <f t="shared" si="923"/>
        <v>0</v>
      </c>
      <c r="M2495" s="77">
        <f t="shared" si="924"/>
        <v>0</v>
      </c>
      <c r="N2495" s="76">
        <f t="shared" si="925"/>
        <v>1</v>
      </c>
      <c r="O2495" s="77">
        <f t="shared" si="926"/>
        <v>0.93</v>
      </c>
      <c r="P2495" s="76">
        <f t="shared" si="927"/>
        <v>0</v>
      </c>
      <c r="Q2495" s="76">
        <f t="shared" si="928"/>
        <v>0</v>
      </c>
      <c r="R2495" s="76">
        <f t="shared" si="929"/>
        <v>1</v>
      </c>
      <c r="S2495" s="76">
        <f t="shared" si="930"/>
        <v>1.0108695652173914</v>
      </c>
      <c r="T2495" s="76">
        <f t="shared" si="931"/>
        <v>0.98258966796689184</v>
      </c>
      <c r="U2495" s="76">
        <f t="shared" si="932"/>
        <v>1</v>
      </c>
    </row>
    <row r="2496" spans="1:21" x14ac:dyDescent="0.25">
      <c r="A2496" s="71">
        <v>42</v>
      </c>
      <c r="B2496" s="72">
        <f t="shared" si="933"/>
        <v>46905</v>
      </c>
      <c r="C2496" s="73">
        <f t="shared" si="914"/>
        <v>46934</v>
      </c>
      <c r="D2496" s="67">
        <f t="shared" si="915"/>
        <v>30</v>
      </c>
      <c r="E2496" s="67">
        <f t="shared" si="916"/>
        <v>6</v>
      </c>
      <c r="F2496" s="74">
        <f t="shared" si="917"/>
        <v>46920</v>
      </c>
      <c r="G2496" s="67">
        <f t="shared" si="918"/>
        <v>24341</v>
      </c>
      <c r="H2496" s="75">
        <f t="shared" si="919"/>
        <v>1</v>
      </c>
      <c r="I2496" s="76">
        <f t="shared" si="920"/>
        <v>1</v>
      </c>
      <c r="J2496" s="76">
        <f t="shared" si="921"/>
        <v>1</v>
      </c>
      <c r="K2496" s="67">
        <f t="shared" si="922"/>
        <v>0</v>
      </c>
      <c r="L2496" s="67">
        <f t="shared" si="923"/>
        <v>0</v>
      </c>
      <c r="M2496" s="77">
        <f t="shared" si="924"/>
        <v>0</v>
      </c>
      <c r="N2496" s="76">
        <f t="shared" si="925"/>
        <v>1</v>
      </c>
      <c r="O2496" s="77">
        <f t="shared" si="926"/>
        <v>0.93</v>
      </c>
      <c r="P2496" s="76">
        <f t="shared" si="927"/>
        <v>0</v>
      </c>
      <c r="Q2496" s="76">
        <f t="shared" si="928"/>
        <v>0</v>
      </c>
      <c r="R2496" s="76">
        <f t="shared" si="929"/>
        <v>1</v>
      </c>
      <c r="S2496" s="76">
        <f t="shared" si="930"/>
        <v>1.0108695652173914</v>
      </c>
      <c r="T2496" s="76">
        <f t="shared" si="931"/>
        <v>0.98404052896965077</v>
      </c>
      <c r="U2496" s="76">
        <f t="shared" si="932"/>
        <v>1</v>
      </c>
    </row>
    <row r="2497" spans="1:21" x14ac:dyDescent="0.25">
      <c r="A2497" s="71">
        <v>43</v>
      </c>
      <c r="B2497" s="72">
        <f t="shared" si="933"/>
        <v>46935</v>
      </c>
      <c r="C2497" s="73">
        <f t="shared" si="914"/>
        <v>46965</v>
      </c>
      <c r="D2497" s="67">
        <f t="shared" si="915"/>
        <v>31</v>
      </c>
      <c r="E2497" s="67">
        <f t="shared" si="916"/>
        <v>7</v>
      </c>
      <c r="F2497" s="74">
        <f t="shared" si="917"/>
        <v>46950.5</v>
      </c>
      <c r="G2497" s="67">
        <f t="shared" si="918"/>
        <v>24342</v>
      </c>
      <c r="H2497" s="75">
        <f t="shared" si="919"/>
        <v>1</v>
      </c>
      <c r="I2497" s="76">
        <f t="shared" si="920"/>
        <v>1</v>
      </c>
      <c r="J2497" s="76">
        <f t="shared" si="921"/>
        <v>1</v>
      </c>
      <c r="K2497" s="67">
        <f t="shared" si="922"/>
        <v>0</v>
      </c>
      <c r="L2497" s="67">
        <f t="shared" si="923"/>
        <v>0</v>
      </c>
      <c r="M2497" s="77">
        <f t="shared" si="924"/>
        <v>0</v>
      </c>
      <c r="N2497" s="76">
        <f t="shared" si="925"/>
        <v>1</v>
      </c>
      <c r="O2497" s="77">
        <f t="shared" si="926"/>
        <v>0.93</v>
      </c>
      <c r="P2497" s="76">
        <f t="shared" si="927"/>
        <v>0</v>
      </c>
      <c r="Q2497" s="76">
        <f t="shared" si="928"/>
        <v>0</v>
      </c>
      <c r="R2497" s="76">
        <f t="shared" si="929"/>
        <v>0.91666666666666663</v>
      </c>
      <c r="S2497" s="76">
        <f t="shared" si="930"/>
        <v>1.0108695652173914</v>
      </c>
      <c r="T2497" s="76">
        <f t="shared" si="931"/>
        <v>0.98549138997240981</v>
      </c>
      <c r="U2497" s="76">
        <f t="shared" si="932"/>
        <v>1</v>
      </c>
    </row>
    <row r="2498" spans="1:21" x14ac:dyDescent="0.25">
      <c r="A2498" s="71">
        <v>44</v>
      </c>
      <c r="B2498" s="72">
        <f t="shared" si="933"/>
        <v>46966</v>
      </c>
      <c r="C2498" s="73">
        <f t="shared" si="914"/>
        <v>46996</v>
      </c>
      <c r="D2498" s="67">
        <f t="shared" si="915"/>
        <v>31</v>
      </c>
      <c r="E2498" s="67">
        <f t="shared" si="916"/>
        <v>8</v>
      </c>
      <c r="F2498" s="74">
        <f t="shared" si="917"/>
        <v>46981.5</v>
      </c>
      <c r="G2498" s="67">
        <f t="shared" si="918"/>
        <v>24343</v>
      </c>
      <c r="H2498" s="75">
        <f t="shared" si="919"/>
        <v>1</v>
      </c>
      <c r="I2498" s="76">
        <f t="shared" si="920"/>
        <v>1</v>
      </c>
      <c r="J2498" s="76">
        <f t="shared" si="921"/>
        <v>1</v>
      </c>
      <c r="K2498" s="67">
        <f t="shared" si="922"/>
        <v>0</v>
      </c>
      <c r="L2498" s="67">
        <f t="shared" si="923"/>
        <v>0</v>
      </c>
      <c r="M2498" s="77">
        <f t="shared" si="924"/>
        <v>0</v>
      </c>
      <c r="N2498" s="76">
        <f t="shared" si="925"/>
        <v>1</v>
      </c>
      <c r="O2498" s="77">
        <f t="shared" si="926"/>
        <v>0.93</v>
      </c>
      <c r="P2498" s="76">
        <f t="shared" si="927"/>
        <v>0</v>
      </c>
      <c r="Q2498" s="76">
        <f t="shared" si="928"/>
        <v>0</v>
      </c>
      <c r="R2498" s="76">
        <f t="shared" si="929"/>
        <v>0.75</v>
      </c>
      <c r="S2498" s="76">
        <f t="shared" si="930"/>
        <v>1.0108695652173914</v>
      </c>
      <c r="T2498" s="76">
        <f t="shared" si="931"/>
        <v>0.98696603558177143</v>
      </c>
      <c r="U2498" s="76">
        <f t="shared" si="932"/>
        <v>1</v>
      </c>
    </row>
    <row r="2499" spans="1:21" x14ac:dyDescent="0.25">
      <c r="A2499" s="71">
        <v>45</v>
      </c>
      <c r="B2499" s="72">
        <f t="shared" si="933"/>
        <v>46997</v>
      </c>
      <c r="C2499" s="73">
        <f t="shared" si="914"/>
        <v>47026</v>
      </c>
      <c r="D2499" s="67">
        <f t="shared" si="915"/>
        <v>30</v>
      </c>
      <c r="E2499" s="67">
        <f t="shared" si="916"/>
        <v>9</v>
      </c>
      <c r="F2499" s="74">
        <f t="shared" si="917"/>
        <v>47012</v>
      </c>
      <c r="G2499" s="67">
        <f t="shared" si="918"/>
        <v>24344</v>
      </c>
      <c r="H2499" s="75">
        <f t="shared" si="919"/>
        <v>1</v>
      </c>
      <c r="I2499" s="76">
        <f t="shared" si="920"/>
        <v>1</v>
      </c>
      <c r="J2499" s="76">
        <f t="shared" si="921"/>
        <v>1</v>
      </c>
      <c r="K2499" s="67">
        <f t="shared" si="922"/>
        <v>0</v>
      </c>
      <c r="L2499" s="67">
        <f t="shared" si="923"/>
        <v>0</v>
      </c>
      <c r="M2499" s="77">
        <f t="shared" si="924"/>
        <v>0</v>
      </c>
      <c r="N2499" s="76">
        <f t="shared" si="925"/>
        <v>1</v>
      </c>
      <c r="O2499" s="77">
        <f t="shared" si="926"/>
        <v>0.93</v>
      </c>
      <c r="P2499" s="76">
        <f t="shared" si="927"/>
        <v>0</v>
      </c>
      <c r="Q2499" s="76">
        <f t="shared" si="928"/>
        <v>0</v>
      </c>
      <c r="R2499" s="76">
        <f t="shared" si="929"/>
        <v>0.58333333333333337</v>
      </c>
      <c r="S2499" s="76">
        <f t="shared" si="930"/>
        <v>1.0108695652173914</v>
      </c>
      <c r="T2499" s="76">
        <f t="shared" si="931"/>
        <v>0.98841689658453047</v>
      </c>
      <c r="U2499" s="76">
        <f t="shared" si="932"/>
        <v>1</v>
      </c>
    </row>
    <row r="2500" spans="1:21" x14ac:dyDescent="0.25">
      <c r="A2500" s="71">
        <v>46</v>
      </c>
      <c r="B2500" s="72">
        <f t="shared" si="933"/>
        <v>47027</v>
      </c>
      <c r="C2500" s="73">
        <f t="shared" si="914"/>
        <v>47057</v>
      </c>
      <c r="D2500" s="67">
        <f t="shared" si="915"/>
        <v>31</v>
      </c>
      <c r="E2500" s="67">
        <f t="shared" si="916"/>
        <v>10</v>
      </c>
      <c r="F2500" s="74">
        <f t="shared" si="917"/>
        <v>47042.5</v>
      </c>
      <c r="G2500" s="67">
        <f t="shared" si="918"/>
        <v>24345</v>
      </c>
      <c r="H2500" s="75">
        <f t="shared" si="919"/>
        <v>1</v>
      </c>
      <c r="I2500" s="76">
        <f t="shared" si="920"/>
        <v>1</v>
      </c>
      <c r="J2500" s="76">
        <f t="shared" si="921"/>
        <v>1</v>
      </c>
      <c r="K2500" s="67">
        <f t="shared" si="922"/>
        <v>0</v>
      </c>
      <c r="L2500" s="67">
        <f t="shared" si="923"/>
        <v>0</v>
      </c>
      <c r="M2500" s="77">
        <f t="shared" si="924"/>
        <v>0</v>
      </c>
      <c r="N2500" s="76">
        <f t="shared" si="925"/>
        <v>1</v>
      </c>
      <c r="O2500" s="77">
        <f t="shared" si="926"/>
        <v>0.93</v>
      </c>
      <c r="P2500" s="76">
        <f t="shared" si="927"/>
        <v>0</v>
      </c>
      <c r="Q2500" s="76">
        <f t="shared" si="928"/>
        <v>0</v>
      </c>
      <c r="R2500" s="76">
        <f t="shared" si="929"/>
        <v>0.41666666666666669</v>
      </c>
      <c r="S2500" s="76">
        <f t="shared" si="930"/>
        <v>1.0108695652173914</v>
      </c>
      <c r="T2500" s="76">
        <f t="shared" si="931"/>
        <v>0.98986775758728951</v>
      </c>
      <c r="U2500" s="76">
        <f t="shared" si="932"/>
        <v>1</v>
      </c>
    </row>
    <row r="2501" spans="1:21" x14ac:dyDescent="0.25">
      <c r="A2501" s="71">
        <v>47</v>
      </c>
      <c r="B2501" s="72">
        <f t="shared" si="933"/>
        <v>47058</v>
      </c>
      <c r="C2501" s="73">
        <f t="shared" si="914"/>
        <v>47087</v>
      </c>
      <c r="D2501" s="67">
        <f t="shared" si="915"/>
        <v>30</v>
      </c>
      <c r="E2501" s="67">
        <f t="shared" si="916"/>
        <v>11</v>
      </c>
      <c r="F2501" s="74">
        <f t="shared" si="917"/>
        <v>47073</v>
      </c>
      <c r="G2501" s="67">
        <f t="shared" si="918"/>
        <v>24346</v>
      </c>
      <c r="H2501" s="75">
        <f t="shared" si="919"/>
        <v>1</v>
      </c>
      <c r="I2501" s="76">
        <f t="shared" si="920"/>
        <v>1</v>
      </c>
      <c r="J2501" s="76">
        <f t="shared" si="921"/>
        <v>1</v>
      </c>
      <c r="K2501" s="67">
        <f t="shared" si="922"/>
        <v>0</v>
      </c>
      <c r="L2501" s="67">
        <f t="shared" si="923"/>
        <v>0</v>
      </c>
      <c r="M2501" s="77">
        <f t="shared" si="924"/>
        <v>0</v>
      </c>
      <c r="N2501" s="76">
        <f t="shared" si="925"/>
        <v>1</v>
      </c>
      <c r="O2501" s="77">
        <f t="shared" si="926"/>
        <v>0.93</v>
      </c>
      <c r="P2501" s="76">
        <f t="shared" si="927"/>
        <v>0</v>
      </c>
      <c r="Q2501" s="76">
        <f t="shared" si="928"/>
        <v>0</v>
      </c>
      <c r="R2501" s="76">
        <f t="shared" si="929"/>
        <v>0.25</v>
      </c>
      <c r="S2501" s="76">
        <f t="shared" si="930"/>
        <v>1.0108695652173914</v>
      </c>
      <c r="T2501" s="76">
        <f t="shared" si="931"/>
        <v>0.99131861859004855</v>
      </c>
      <c r="U2501" s="76">
        <f t="shared" si="932"/>
        <v>1</v>
      </c>
    </row>
    <row r="2502" spans="1:21" x14ac:dyDescent="0.25">
      <c r="A2502" s="71">
        <v>48</v>
      </c>
      <c r="B2502" s="72">
        <f t="shared" si="933"/>
        <v>47088</v>
      </c>
      <c r="C2502" s="73">
        <f t="shared" si="914"/>
        <v>47118</v>
      </c>
      <c r="D2502" s="67">
        <f t="shared" si="915"/>
        <v>31</v>
      </c>
      <c r="E2502" s="67">
        <f t="shared" si="916"/>
        <v>12</v>
      </c>
      <c r="F2502" s="74">
        <f t="shared" si="917"/>
        <v>47103.5</v>
      </c>
      <c r="G2502" s="67">
        <f t="shared" si="918"/>
        <v>24347</v>
      </c>
      <c r="H2502" s="75">
        <f t="shared" si="919"/>
        <v>1</v>
      </c>
      <c r="I2502" s="76">
        <f t="shared" si="920"/>
        <v>1</v>
      </c>
      <c r="J2502" s="76">
        <f t="shared" si="921"/>
        <v>1</v>
      </c>
      <c r="K2502" s="67">
        <f t="shared" si="922"/>
        <v>0</v>
      </c>
      <c r="L2502" s="67">
        <f t="shared" si="923"/>
        <v>0</v>
      </c>
      <c r="M2502" s="77">
        <f t="shared" si="924"/>
        <v>0</v>
      </c>
      <c r="N2502" s="76">
        <f t="shared" si="925"/>
        <v>1</v>
      </c>
      <c r="O2502" s="77">
        <f t="shared" si="926"/>
        <v>0.93</v>
      </c>
      <c r="P2502" s="76">
        <f t="shared" si="927"/>
        <v>0</v>
      </c>
      <c r="Q2502" s="76">
        <f t="shared" si="928"/>
        <v>0</v>
      </c>
      <c r="R2502" s="76">
        <f t="shared" si="929"/>
        <v>8.3333333333333329E-2</v>
      </c>
      <c r="S2502" s="76">
        <f t="shared" si="930"/>
        <v>1.0108695652173914</v>
      </c>
      <c r="T2502" s="76">
        <f t="shared" si="931"/>
        <v>0.99276947959280759</v>
      </c>
      <c r="U2502" s="76">
        <f t="shared" si="932"/>
        <v>1</v>
      </c>
    </row>
    <row r="2503" spans="1:21" x14ac:dyDescent="0.25">
      <c r="A2503" s="81" t="s">
        <v>1187</v>
      </c>
      <c r="B2503" s="53">
        <f>EXP(SUMPRODUCT((rl_key=$A$2452)*(rl_cons="Y")*rl_ln1p))</f>
        <v>1</v>
      </c>
      <c r="C2503" s="53">
        <f>SUMPRODUCT($H$2455:$H$2502,$P$2455:$P$2502,$U$2455:$U$2502)/SUMPRODUCT($H$2455:$H$2502,$P$2455:$P$2502)</f>
        <v>1</v>
      </c>
      <c r="D2503" s="53">
        <f>SUMPRODUCT($H$2455:$H$2502,$Q$2455:$Q$2502,$U$2455:$U$2502)/SUMPRODUCT($H$2455:$H$2502,$Q$2455:$Q$2502)</f>
        <v>1</v>
      </c>
      <c r="E2503" s="53">
        <f>SUMPRODUCT($H$2455:$H$2502,$R$2455:$R$2502,$U$2455:$U$2502)/SUMPRODUCT($H$2455:$H$2502,$R$2455:$R$2502)</f>
        <v>1</v>
      </c>
      <c r="F2503" s="172">
        <f>SUMPRODUCT($H$2455:$H$2502,$Q$2455:$Q$2502,$O$2455:$O$2502)/SUMPRODUCT($H$2455:$H$2502,$Q$2455:$Q$2502)</f>
        <v>0.91798504741064912</v>
      </c>
      <c r="G2503" s="172">
        <f>SUMPRODUCT($H$2455:$H$2502,$R$2455:$R$2502,$O$2455:$O$2502)/SUMPRODUCT($H$2455:$H$2502,$R$2455:$R$2502)</f>
        <v>0.92932044736202268</v>
      </c>
    </row>
    <row r="2506" spans="1:21" x14ac:dyDescent="0.25">
      <c r="A2506" s="81" t="str">
        <f>INDEX(lr_key,46)</f>
        <v>BU-C|CT</v>
      </c>
      <c r="B2506" s="81" t="str">
        <f>INDEX(lr_state,46)</f>
        <v>CT</v>
      </c>
      <c r="C2506" s="55">
        <f>nr_TermMonths</f>
        <v>6</v>
      </c>
      <c r="D2506" s="55">
        <f>IF(COUNTIF(se_state,$B2506)=0,0,MATCH($B2506,se_state,0))</f>
        <v>0</v>
      </c>
      <c r="E2506" s="57">
        <f>IF($D2506=0,0,INDEX(se_sum,$D2506))</f>
        <v>0</v>
      </c>
      <c r="F2506" s="172">
        <f>IF(N(INDEX(lr_mind,46))=0,1,INDEX(lr_mind,46))</f>
        <v>0.92</v>
      </c>
      <c r="G2506" s="172">
        <f>IF(N(INDEX(lr_m0,46))=0,1,INDEX(lr_m0,46))</f>
        <v>0.91</v>
      </c>
      <c r="H2506" s="54">
        <f>IF(N(INDEX(lr_m0asof,46))=0,DATE(nr_PlanYear-1,10,1),INDEX(lr_m0asof,46))</f>
        <v>46295</v>
      </c>
      <c r="I2506" s="172">
        <f>IF(N(INDEX(lr_m1,46))=0,1,INDEX(lr_m1,46))</f>
        <v>0.91</v>
      </c>
      <c r="J2506" s="172">
        <f>INDEX(lr_mprior,46)</f>
        <v>0</v>
      </c>
      <c r="K2506" s="172">
        <f>INDEX(lr_m2,46)</f>
        <v>0</v>
      </c>
      <c r="L2506" s="81" t="b">
        <f>NOT(ISBLANK(INDEX(lr_netp,46)))</f>
        <v>0</v>
      </c>
      <c r="M2506" s="52">
        <f>N(INDEX(lr_netp,46))</f>
        <v>0</v>
      </c>
      <c r="N2506" s="52">
        <f>IF(ISBLANK(INDEX(lr_netp1,46)),$M$2506,N(INDEX(lr_netp1,46)))</f>
        <v>0</v>
      </c>
      <c r="O2506" s="55">
        <f>IF(AND(nr_ModAdjMaster="ON",INDEX(lr_modadj,46)="ON"),1,0)</f>
        <v>1</v>
      </c>
    </row>
    <row r="2507" spans="1:21" x14ac:dyDescent="0.25">
      <c r="A2507" s="81">
        <f>EDATE($H$2506,-12)+1</f>
        <v>45931</v>
      </c>
      <c r="B2507" s="81">
        <f>$H$2506+1</f>
        <v>46296</v>
      </c>
      <c r="C2507" s="81">
        <f>DATE(nr_PlanYear,12,31)+1</f>
        <v>46753</v>
      </c>
      <c r="D2507" s="81">
        <f>DATE(nr_PlanYear+1,12,31)+1</f>
        <v>47119</v>
      </c>
      <c r="E2507" s="81">
        <f>IF(N($J$2506)=0,$F$2507-($G$2507-$F$2507)/($C$2507-$B$2507)*($B$2507-$A$2507),$J$2506)</f>
        <v>0.91</v>
      </c>
      <c r="F2507" s="81">
        <f>$G$2506</f>
        <v>0.91</v>
      </c>
      <c r="G2507" s="81">
        <f>$I$2506</f>
        <v>0.91</v>
      </c>
      <c r="H2507" s="81">
        <f>IF(N($K$2506)=0,$I$2506,$K$2506)</f>
        <v>0.91</v>
      </c>
      <c r="I2507" s="81">
        <f>($F$2507-$E$2507)/($B$2507-$A$2507)</f>
        <v>0</v>
      </c>
      <c r="J2507" s="81">
        <f>($G$2507-$F$2507)/($C$2507-$B$2507)</f>
        <v>0</v>
      </c>
      <c r="K2507" s="81">
        <f>($H$2507-$G$2507)/($D$2507-$C$2507)</f>
        <v>0</v>
      </c>
    </row>
    <row r="2508" spans="1:21" ht="36" x14ac:dyDescent="0.25">
      <c r="A2508" s="50" t="s">
        <v>211</v>
      </c>
      <c r="B2508" s="50" t="s">
        <v>212</v>
      </c>
      <c r="C2508" s="50" t="s">
        <v>213</v>
      </c>
      <c r="D2508" s="50" t="s">
        <v>214</v>
      </c>
      <c r="E2508" s="50" t="s">
        <v>215</v>
      </c>
      <c r="F2508" s="50" t="s">
        <v>216</v>
      </c>
      <c r="G2508" s="50" t="s">
        <v>217</v>
      </c>
      <c r="H2508" s="50" t="s">
        <v>218</v>
      </c>
      <c r="I2508" s="50" t="s">
        <v>219</v>
      </c>
      <c r="J2508" s="50" t="s">
        <v>220</v>
      </c>
      <c r="K2508" s="50" t="s">
        <v>221</v>
      </c>
      <c r="L2508" s="50" t="s">
        <v>222</v>
      </c>
      <c r="M2508" s="50" t="s">
        <v>223</v>
      </c>
      <c r="N2508" s="50" t="s">
        <v>224</v>
      </c>
      <c r="O2508" s="50" t="s">
        <v>225</v>
      </c>
      <c r="P2508" s="50" t="s">
        <v>226</v>
      </c>
      <c r="Q2508" s="50" t="s">
        <v>227</v>
      </c>
      <c r="R2508" s="50" t="s">
        <v>228</v>
      </c>
      <c r="S2508" s="50" t="s">
        <v>229</v>
      </c>
      <c r="T2508" s="50" t="s">
        <v>230</v>
      </c>
      <c r="U2508" s="50" t="s">
        <v>231</v>
      </c>
    </row>
    <row r="2509" spans="1:21" x14ac:dyDescent="0.25">
      <c r="A2509" s="71">
        <v>1</v>
      </c>
      <c r="B2509" s="72">
        <f>DATE(nr_PlanYear-2,1,1)</f>
        <v>45658</v>
      </c>
      <c r="C2509" s="73">
        <f t="shared" ref="C2509:C2556" si="934">EOMONTH($B2509,0)</f>
        <v>45688</v>
      </c>
      <c r="D2509" s="67">
        <f t="shared" ref="D2509:D2556" si="935">$C2509-$B2509+1</f>
        <v>31</v>
      </c>
      <c r="E2509" s="67">
        <f t="shared" ref="E2509:E2556" si="936">MONTH($B2509)</f>
        <v>1</v>
      </c>
      <c r="F2509" s="74">
        <f t="shared" ref="F2509:F2556" si="937">($B2509+$C2509+1)/2</f>
        <v>45673.5</v>
      </c>
      <c r="G2509" s="67">
        <f t="shared" ref="G2509:G2556" si="938">YEAR($B2509)*12+MONTH($B2509)-1</f>
        <v>24300</v>
      </c>
      <c r="H2509" s="75">
        <f t="shared" ref="H2509:H2556" si="939">IF(OR(nr_SeasonOn="OFF",$D$2506=0,$E$2506=0),1,12*INDEX(se_block,$D$2506,$E2509)/$E$2506)</f>
        <v>1</v>
      </c>
      <c r="I2509" s="76">
        <f t="shared" ref="I2509:I2556" si="940">EXP(SUMPRODUCT((rl_eff&lt;$B2509)*(rl_key=$A$2506)*rl_ln1p))</f>
        <v>1</v>
      </c>
      <c r="J2509" s="76">
        <f t="shared" ref="J2509:J2556" si="941">EXP(SUMPRODUCT((rl_eff&lt;=$C2509)*(rl_key=$A$2506)*rl_ln1p))</f>
        <v>1</v>
      </c>
      <c r="K2509" s="67">
        <f t="shared" ref="K2509:K2556" si="942">COUNTIFS(rl_key,$A$2506,rl_eff,"&gt;="&amp;$B2509,rl_eff,"&lt;="&amp;$C2509)</f>
        <v>0</v>
      </c>
      <c r="L2509" s="67">
        <f t="shared" ref="L2509:L2556" si="943">SUMIFS(rl_daysafter,rl_key,$A$2506,rl_effmonth,$B2509,rl_first,1)</f>
        <v>0</v>
      </c>
      <c r="M2509" s="77">
        <f t="shared" ref="M2509:M2556" si="944">IF($K2509=0,0,MIN(1,$L2509/$D2509))</f>
        <v>0</v>
      </c>
      <c r="N2509" s="76">
        <f t="shared" ref="N2509:N2556" si="945">IF($K2509=0,$J2509,(1-$M2509)*$I2509+$M2509*$J2509)</f>
        <v>1</v>
      </c>
      <c r="O2509" s="77">
        <f t="shared" ref="O2509:O2556" si="946">IF($F2509&lt;$B$2507,$E$2507+$I$2507*($F2509-$A$2507),IF($F2509&lt;$C$2507,$F$2507+$J$2507*($F2509-$B$2507),$G$2507+$K$2507*($F2509-$C$2507)))</f>
        <v>0.91</v>
      </c>
      <c r="P2509" s="76">
        <f t="shared" ref="P2509:P2556" si="947">MIN(1,MAX(0,(nr_MEndPm1-$G2509+0.5)/$C$2506))-MIN(1,MAX(0,(nr_MStartPm1-1-$G2509+0.5)/$C$2506))</f>
        <v>0</v>
      </c>
      <c r="Q2509" s="76">
        <f t="shared" ref="Q2509:Q2556" si="948">MIN(1,MAX(0,(nr_MEndP-$G2509+0.5)/$C$2506))-MIN(1,MAX(0,(nr_MStartP-1-$G2509+0.5)/$C$2506))</f>
        <v>0</v>
      </c>
      <c r="R2509" s="76">
        <f t="shared" ref="R2509:R2556" si="949">MIN(1,MAX(0,(nr_MEndP1-$G2509+0.5)/$C$2506))-MIN(1,MAX(0,(nr_MStartP1-1-$G2509+0.5)/$C$2506))</f>
        <v>0</v>
      </c>
      <c r="S2509" s="76">
        <f t="shared" ref="S2509:S2556" si="950">$N2509*IF($O$2506=1,$O2509/$F$2506,1)</f>
        <v>0.98913043478260865</v>
      </c>
      <c r="T2509" s="76">
        <f t="shared" ref="T2509:T2556" si="951">IF($G2509&lt;nr_MStartP,$S2509,$T2497*(1+IF($G2509&lt;nr_MStartP1,$M$2506,$N$2506)))</f>
        <v>0.98913043478260865</v>
      </c>
      <c r="U2509" s="76">
        <f t="shared" ref="U2509:U2556" si="952">IF($L$2506,$T2509,$N2509)</f>
        <v>1</v>
      </c>
    </row>
    <row r="2510" spans="1:21" x14ac:dyDescent="0.25">
      <c r="A2510" s="71">
        <v>2</v>
      </c>
      <c r="B2510" s="72">
        <f t="shared" ref="B2510:B2556" si="953">EDATE($B2509,1)</f>
        <v>45689</v>
      </c>
      <c r="C2510" s="73">
        <f t="shared" si="934"/>
        <v>45716</v>
      </c>
      <c r="D2510" s="67">
        <f t="shared" si="935"/>
        <v>28</v>
      </c>
      <c r="E2510" s="67">
        <f t="shared" si="936"/>
        <v>2</v>
      </c>
      <c r="F2510" s="74">
        <f t="shared" si="937"/>
        <v>45703</v>
      </c>
      <c r="G2510" s="67">
        <f t="shared" si="938"/>
        <v>24301</v>
      </c>
      <c r="H2510" s="75">
        <f t="shared" si="939"/>
        <v>1</v>
      </c>
      <c r="I2510" s="76">
        <f t="shared" si="940"/>
        <v>1</v>
      </c>
      <c r="J2510" s="76">
        <f t="shared" si="941"/>
        <v>1</v>
      </c>
      <c r="K2510" s="67">
        <f t="shared" si="942"/>
        <v>0</v>
      </c>
      <c r="L2510" s="67">
        <f t="shared" si="943"/>
        <v>0</v>
      </c>
      <c r="M2510" s="77">
        <f t="shared" si="944"/>
        <v>0</v>
      </c>
      <c r="N2510" s="76">
        <f t="shared" si="945"/>
        <v>1</v>
      </c>
      <c r="O2510" s="77">
        <f t="shared" si="946"/>
        <v>0.91</v>
      </c>
      <c r="P2510" s="76">
        <f t="shared" si="947"/>
        <v>0</v>
      </c>
      <c r="Q2510" s="76">
        <f t="shared" si="948"/>
        <v>0</v>
      </c>
      <c r="R2510" s="76">
        <f t="shared" si="949"/>
        <v>0</v>
      </c>
      <c r="S2510" s="76">
        <f t="shared" si="950"/>
        <v>0.98913043478260865</v>
      </c>
      <c r="T2510" s="76">
        <f t="shared" si="951"/>
        <v>0.98913043478260865</v>
      </c>
      <c r="U2510" s="76">
        <f t="shared" si="952"/>
        <v>1</v>
      </c>
    </row>
    <row r="2511" spans="1:21" x14ac:dyDescent="0.25">
      <c r="A2511" s="71">
        <v>3</v>
      </c>
      <c r="B2511" s="72">
        <f t="shared" si="953"/>
        <v>45717</v>
      </c>
      <c r="C2511" s="73">
        <f t="shared" si="934"/>
        <v>45747</v>
      </c>
      <c r="D2511" s="67">
        <f t="shared" si="935"/>
        <v>31</v>
      </c>
      <c r="E2511" s="67">
        <f t="shared" si="936"/>
        <v>3</v>
      </c>
      <c r="F2511" s="74">
        <f t="shared" si="937"/>
        <v>45732.5</v>
      </c>
      <c r="G2511" s="67">
        <f t="shared" si="938"/>
        <v>24302</v>
      </c>
      <c r="H2511" s="75">
        <f t="shared" si="939"/>
        <v>1</v>
      </c>
      <c r="I2511" s="76">
        <f t="shared" si="940"/>
        <v>1</v>
      </c>
      <c r="J2511" s="76">
        <f t="shared" si="941"/>
        <v>1</v>
      </c>
      <c r="K2511" s="67">
        <f t="shared" si="942"/>
        <v>0</v>
      </c>
      <c r="L2511" s="67">
        <f t="shared" si="943"/>
        <v>0</v>
      </c>
      <c r="M2511" s="77">
        <f t="shared" si="944"/>
        <v>0</v>
      </c>
      <c r="N2511" s="76">
        <f t="shared" si="945"/>
        <v>1</v>
      </c>
      <c r="O2511" s="77">
        <f t="shared" si="946"/>
        <v>0.91</v>
      </c>
      <c r="P2511" s="76">
        <f t="shared" si="947"/>
        <v>0</v>
      </c>
      <c r="Q2511" s="76">
        <f t="shared" si="948"/>
        <v>0</v>
      </c>
      <c r="R2511" s="76">
        <f t="shared" si="949"/>
        <v>0</v>
      </c>
      <c r="S2511" s="76">
        <f t="shared" si="950"/>
        <v>0.98913043478260865</v>
      </c>
      <c r="T2511" s="76">
        <f t="shared" si="951"/>
        <v>0.98913043478260865</v>
      </c>
      <c r="U2511" s="76">
        <f t="shared" si="952"/>
        <v>1</v>
      </c>
    </row>
    <row r="2512" spans="1:21" x14ac:dyDescent="0.25">
      <c r="A2512" s="71">
        <v>4</v>
      </c>
      <c r="B2512" s="72">
        <f t="shared" si="953"/>
        <v>45748</v>
      </c>
      <c r="C2512" s="73">
        <f t="shared" si="934"/>
        <v>45777</v>
      </c>
      <c r="D2512" s="67">
        <f t="shared" si="935"/>
        <v>30</v>
      </c>
      <c r="E2512" s="67">
        <f t="shared" si="936"/>
        <v>4</v>
      </c>
      <c r="F2512" s="74">
        <f t="shared" si="937"/>
        <v>45763</v>
      </c>
      <c r="G2512" s="67">
        <f t="shared" si="938"/>
        <v>24303</v>
      </c>
      <c r="H2512" s="75">
        <f t="shared" si="939"/>
        <v>1</v>
      </c>
      <c r="I2512" s="76">
        <f t="shared" si="940"/>
        <v>1</v>
      </c>
      <c r="J2512" s="76">
        <f t="shared" si="941"/>
        <v>1</v>
      </c>
      <c r="K2512" s="67">
        <f t="shared" si="942"/>
        <v>0</v>
      </c>
      <c r="L2512" s="67">
        <f t="shared" si="943"/>
        <v>0</v>
      </c>
      <c r="M2512" s="77">
        <f t="shared" si="944"/>
        <v>0</v>
      </c>
      <c r="N2512" s="76">
        <f t="shared" si="945"/>
        <v>1</v>
      </c>
      <c r="O2512" s="77">
        <f t="shared" si="946"/>
        <v>0.91</v>
      </c>
      <c r="P2512" s="76">
        <f t="shared" si="947"/>
        <v>0</v>
      </c>
      <c r="Q2512" s="76">
        <f t="shared" si="948"/>
        <v>0</v>
      </c>
      <c r="R2512" s="76">
        <f t="shared" si="949"/>
        <v>0</v>
      </c>
      <c r="S2512" s="76">
        <f t="shared" si="950"/>
        <v>0.98913043478260865</v>
      </c>
      <c r="T2512" s="76">
        <f t="shared" si="951"/>
        <v>0.98913043478260865</v>
      </c>
      <c r="U2512" s="76">
        <f t="shared" si="952"/>
        <v>1</v>
      </c>
    </row>
    <row r="2513" spans="1:21" x14ac:dyDescent="0.25">
      <c r="A2513" s="71">
        <v>5</v>
      </c>
      <c r="B2513" s="72">
        <f t="shared" si="953"/>
        <v>45778</v>
      </c>
      <c r="C2513" s="73">
        <f t="shared" si="934"/>
        <v>45808</v>
      </c>
      <c r="D2513" s="67">
        <f t="shared" si="935"/>
        <v>31</v>
      </c>
      <c r="E2513" s="67">
        <f t="shared" si="936"/>
        <v>5</v>
      </c>
      <c r="F2513" s="74">
        <f t="shared" si="937"/>
        <v>45793.5</v>
      </c>
      <c r="G2513" s="67">
        <f t="shared" si="938"/>
        <v>24304</v>
      </c>
      <c r="H2513" s="75">
        <f t="shared" si="939"/>
        <v>1</v>
      </c>
      <c r="I2513" s="76">
        <f t="shared" si="940"/>
        <v>1</v>
      </c>
      <c r="J2513" s="76">
        <f t="shared" si="941"/>
        <v>1</v>
      </c>
      <c r="K2513" s="67">
        <f t="shared" si="942"/>
        <v>0</v>
      </c>
      <c r="L2513" s="67">
        <f t="shared" si="943"/>
        <v>0</v>
      </c>
      <c r="M2513" s="77">
        <f t="shared" si="944"/>
        <v>0</v>
      </c>
      <c r="N2513" s="76">
        <f t="shared" si="945"/>
        <v>1</v>
      </c>
      <c r="O2513" s="77">
        <f t="shared" si="946"/>
        <v>0.91</v>
      </c>
      <c r="P2513" s="76">
        <f t="shared" si="947"/>
        <v>0</v>
      </c>
      <c r="Q2513" s="76">
        <f t="shared" si="948"/>
        <v>0</v>
      </c>
      <c r="R2513" s="76">
        <f t="shared" si="949"/>
        <v>0</v>
      </c>
      <c r="S2513" s="76">
        <f t="shared" si="950"/>
        <v>0.98913043478260865</v>
      </c>
      <c r="T2513" s="76">
        <f t="shared" si="951"/>
        <v>0.98913043478260865</v>
      </c>
      <c r="U2513" s="76">
        <f t="shared" si="952"/>
        <v>1</v>
      </c>
    </row>
    <row r="2514" spans="1:21" x14ac:dyDescent="0.25">
      <c r="A2514" s="71">
        <v>6</v>
      </c>
      <c r="B2514" s="72">
        <f t="shared" si="953"/>
        <v>45809</v>
      </c>
      <c r="C2514" s="73">
        <f t="shared" si="934"/>
        <v>45838</v>
      </c>
      <c r="D2514" s="67">
        <f t="shared" si="935"/>
        <v>30</v>
      </c>
      <c r="E2514" s="67">
        <f t="shared" si="936"/>
        <v>6</v>
      </c>
      <c r="F2514" s="74">
        <f t="shared" si="937"/>
        <v>45824</v>
      </c>
      <c r="G2514" s="67">
        <f t="shared" si="938"/>
        <v>24305</v>
      </c>
      <c r="H2514" s="75">
        <f t="shared" si="939"/>
        <v>1</v>
      </c>
      <c r="I2514" s="76">
        <f t="shared" si="940"/>
        <v>1</v>
      </c>
      <c r="J2514" s="76">
        <f t="shared" si="941"/>
        <v>1</v>
      </c>
      <c r="K2514" s="67">
        <f t="shared" si="942"/>
        <v>0</v>
      </c>
      <c r="L2514" s="67">
        <f t="shared" si="943"/>
        <v>0</v>
      </c>
      <c r="M2514" s="77">
        <f t="shared" si="944"/>
        <v>0</v>
      </c>
      <c r="N2514" s="76">
        <f t="shared" si="945"/>
        <v>1</v>
      </c>
      <c r="O2514" s="77">
        <f t="shared" si="946"/>
        <v>0.91</v>
      </c>
      <c r="P2514" s="76">
        <f t="shared" si="947"/>
        <v>0</v>
      </c>
      <c r="Q2514" s="76">
        <f t="shared" si="948"/>
        <v>0</v>
      </c>
      <c r="R2514" s="76">
        <f t="shared" si="949"/>
        <v>0</v>
      </c>
      <c r="S2514" s="76">
        <f t="shared" si="950"/>
        <v>0.98913043478260865</v>
      </c>
      <c r="T2514" s="76">
        <f t="shared" si="951"/>
        <v>0.98913043478260865</v>
      </c>
      <c r="U2514" s="76">
        <f t="shared" si="952"/>
        <v>1</v>
      </c>
    </row>
    <row r="2515" spans="1:21" x14ac:dyDescent="0.25">
      <c r="A2515" s="71">
        <v>7</v>
      </c>
      <c r="B2515" s="72">
        <f t="shared" si="953"/>
        <v>45839</v>
      </c>
      <c r="C2515" s="73">
        <f t="shared" si="934"/>
        <v>45869</v>
      </c>
      <c r="D2515" s="67">
        <f t="shared" si="935"/>
        <v>31</v>
      </c>
      <c r="E2515" s="67">
        <f t="shared" si="936"/>
        <v>7</v>
      </c>
      <c r="F2515" s="74">
        <f t="shared" si="937"/>
        <v>45854.5</v>
      </c>
      <c r="G2515" s="67">
        <f t="shared" si="938"/>
        <v>24306</v>
      </c>
      <c r="H2515" s="75">
        <f t="shared" si="939"/>
        <v>1</v>
      </c>
      <c r="I2515" s="76">
        <f t="shared" si="940"/>
        <v>1</v>
      </c>
      <c r="J2515" s="76">
        <f t="shared" si="941"/>
        <v>1</v>
      </c>
      <c r="K2515" s="67">
        <f t="shared" si="942"/>
        <v>0</v>
      </c>
      <c r="L2515" s="67">
        <f t="shared" si="943"/>
        <v>0</v>
      </c>
      <c r="M2515" s="77">
        <f t="shared" si="944"/>
        <v>0</v>
      </c>
      <c r="N2515" s="76">
        <f t="shared" si="945"/>
        <v>1</v>
      </c>
      <c r="O2515" s="77">
        <f t="shared" si="946"/>
        <v>0.91</v>
      </c>
      <c r="P2515" s="76">
        <f t="shared" si="947"/>
        <v>8.333333333333337E-2</v>
      </c>
      <c r="Q2515" s="76">
        <f t="shared" si="948"/>
        <v>0</v>
      </c>
      <c r="R2515" s="76">
        <f t="shared" si="949"/>
        <v>0</v>
      </c>
      <c r="S2515" s="76">
        <f t="shared" si="950"/>
        <v>0.98913043478260865</v>
      </c>
      <c r="T2515" s="76">
        <f t="shared" si="951"/>
        <v>0.98913043478260865</v>
      </c>
      <c r="U2515" s="76">
        <f t="shared" si="952"/>
        <v>1</v>
      </c>
    </row>
    <row r="2516" spans="1:21" x14ac:dyDescent="0.25">
      <c r="A2516" s="71">
        <v>8</v>
      </c>
      <c r="B2516" s="72">
        <f t="shared" si="953"/>
        <v>45870</v>
      </c>
      <c r="C2516" s="73">
        <f t="shared" si="934"/>
        <v>45900</v>
      </c>
      <c r="D2516" s="67">
        <f t="shared" si="935"/>
        <v>31</v>
      </c>
      <c r="E2516" s="67">
        <f t="shared" si="936"/>
        <v>8</v>
      </c>
      <c r="F2516" s="74">
        <f t="shared" si="937"/>
        <v>45885.5</v>
      </c>
      <c r="G2516" s="67">
        <f t="shared" si="938"/>
        <v>24307</v>
      </c>
      <c r="H2516" s="75">
        <f t="shared" si="939"/>
        <v>1</v>
      </c>
      <c r="I2516" s="76">
        <f t="shared" si="940"/>
        <v>1</v>
      </c>
      <c r="J2516" s="76">
        <f t="shared" si="941"/>
        <v>1</v>
      </c>
      <c r="K2516" s="67">
        <f t="shared" si="942"/>
        <v>0</v>
      </c>
      <c r="L2516" s="67">
        <f t="shared" si="943"/>
        <v>0</v>
      </c>
      <c r="M2516" s="77">
        <f t="shared" si="944"/>
        <v>0</v>
      </c>
      <c r="N2516" s="76">
        <f t="shared" si="945"/>
        <v>1</v>
      </c>
      <c r="O2516" s="77">
        <f t="shared" si="946"/>
        <v>0.91</v>
      </c>
      <c r="P2516" s="76">
        <f t="shared" si="947"/>
        <v>0.25</v>
      </c>
      <c r="Q2516" s="76">
        <f t="shared" si="948"/>
        <v>0</v>
      </c>
      <c r="R2516" s="76">
        <f t="shared" si="949"/>
        <v>0</v>
      </c>
      <c r="S2516" s="76">
        <f t="shared" si="950"/>
        <v>0.98913043478260865</v>
      </c>
      <c r="T2516" s="76">
        <f t="shared" si="951"/>
        <v>0.98913043478260865</v>
      </c>
      <c r="U2516" s="76">
        <f t="shared" si="952"/>
        <v>1</v>
      </c>
    </row>
    <row r="2517" spans="1:21" x14ac:dyDescent="0.25">
      <c r="A2517" s="71">
        <v>9</v>
      </c>
      <c r="B2517" s="72">
        <f t="shared" si="953"/>
        <v>45901</v>
      </c>
      <c r="C2517" s="73">
        <f t="shared" si="934"/>
        <v>45930</v>
      </c>
      <c r="D2517" s="67">
        <f t="shared" si="935"/>
        <v>30</v>
      </c>
      <c r="E2517" s="67">
        <f t="shared" si="936"/>
        <v>9</v>
      </c>
      <c r="F2517" s="74">
        <f t="shared" si="937"/>
        <v>45916</v>
      </c>
      <c r="G2517" s="67">
        <f t="shared" si="938"/>
        <v>24308</v>
      </c>
      <c r="H2517" s="75">
        <f t="shared" si="939"/>
        <v>1</v>
      </c>
      <c r="I2517" s="76">
        <f t="shared" si="940"/>
        <v>1</v>
      </c>
      <c r="J2517" s="76">
        <f t="shared" si="941"/>
        <v>1</v>
      </c>
      <c r="K2517" s="67">
        <f t="shared" si="942"/>
        <v>0</v>
      </c>
      <c r="L2517" s="67">
        <f t="shared" si="943"/>
        <v>0</v>
      </c>
      <c r="M2517" s="77">
        <f t="shared" si="944"/>
        <v>0</v>
      </c>
      <c r="N2517" s="76">
        <f t="shared" si="945"/>
        <v>1</v>
      </c>
      <c r="O2517" s="77">
        <f t="shared" si="946"/>
        <v>0.91</v>
      </c>
      <c r="P2517" s="76">
        <f t="shared" si="947"/>
        <v>0.41666666666666663</v>
      </c>
      <c r="Q2517" s="76">
        <f t="shared" si="948"/>
        <v>0</v>
      </c>
      <c r="R2517" s="76">
        <f t="shared" si="949"/>
        <v>0</v>
      </c>
      <c r="S2517" s="76">
        <f t="shared" si="950"/>
        <v>0.98913043478260865</v>
      </c>
      <c r="T2517" s="76">
        <f t="shared" si="951"/>
        <v>0.98913043478260865</v>
      </c>
      <c r="U2517" s="76">
        <f t="shared" si="952"/>
        <v>1</v>
      </c>
    </row>
    <row r="2518" spans="1:21" x14ac:dyDescent="0.25">
      <c r="A2518" s="71">
        <v>10</v>
      </c>
      <c r="B2518" s="72">
        <f t="shared" si="953"/>
        <v>45931</v>
      </c>
      <c r="C2518" s="73">
        <f t="shared" si="934"/>
        <v>45961</v>
      </c>
      <c r="D2518" s="67">
        <f t="shared" si="935"/>
        <v>31</v>
      </c>
      <c r="E2518" s="67">
        <f t="shared" si="936"/>
        <v>10</v>
      </c>
      <c r="F2518" s="74">
        <f t="shared" si="937"/>
        <v>45946.5</v>
      </c>
      <c r="G2518" s="67">
        <f t="shared" si="938"/>
        <v>24309</v>
      </c>
      <c r="H2518" s="75">
        <f t="shared" si="939"/>
        <v>1</v>
      </c>
      <c r="I2518" s="76">
        <f t="shared" si="940"/>
        <v>1</v>
      </c>
      <c r="J2518" s="76">
        <f t="shared" si="941"/>
        <v>1</v>
      </c>
      <c r="K2518" s="67">
        <f t="shared" si="942"/>
        <v>0</v>
      </c>
      <c r="L2518" s="67">
        <f t="shared" si="943"/>
        <v>0</v>
      </c>
      <c r="M2518" s="77">
        <f t="shared" si="944"/>
        <v>0</v>
      </c>
      <c r="N2518" s="76">
        <f t="shared" si="945"/>
        <v>1</v>
      </c>
      <c r="O2518" s="77">
        <f t="shared" si="946"/>
        <v>0.91</v>
      </c>
      <c r="P2518" s="76">
        <f t="shared" si="947"/>
        <v>0.58333333333333326</v>
      </c>
      <c r="Q2518" s="76">
        <f t="shared" si="948"/>
        <v>0</v>
      </c>
      <c r="R2518" s="76">
        <f t="shared" si="949"/>
        <v>0</v>
      </c>
      <c r="S2518" s="76">
        <f t="shared" si="950"/>
        <v>0.98913043478260865</v>
      </c>
      <c r="T2518" s="76">
        <f t="shared" si="951"/>
        <v>0.98913043478260865</v>
      </c>
      <c r="U2518" s="76">
        <f t="shared" si="952"/>
        <v>1</v>
      </c>
    </row>
    <row r="2519" spans="1:21" x14ac:dyDescent="0.25">
      <c r="A2519" s="71">
        <v>11</v>
      </c>
      <c r="B2519" s="72">
        <f t="shared" si="953"/>
        <v>45962</v>
      </c>
      <c r="C2519" s="73">
        <f t="shared" si="934"/>
        <v>45991</v>
      </c>
      <c r="D2519" s="67">
        <f t="shared" si="935"/>
        <v>30</v>
      </c>
      <c r="E2519" s="67">
        <f t="shared" si="936"/>
        <v>11</v>
      </c>
      <c r="F2519" s="74">
        <f t="shared" si="937"/>
        <v>45977</v>
      </c>
      <c r="G2519" s="67">
        <f t="shared" si="938"/>
        <v>24310</v>
      </c>
      <c r="H2519" s="75">
        <f t="shared" si="939"/>
        <v>1</v>
      </c>
      <c r="I2519" s="76">
        <f t="shared" si="940"/>
        <v>1</v>
      </c>
      <c r="J2519" s="76">
        <f t="shared" si="941"/>
        <v>1</v>
      </c>
      <c r="K2519" s="67">
        <f t="shared" si="942"/>
        <v>0</v>
      </c>
      <c r="L2519" s="67">
        <f t="shared" si="943"/>
        <v>0</v>
      </c>
      <c r="M2519" s="77">
        <f t="shared" si="944"/>
        <v>0</v>
      </c>
      <c r="N2519" s="76">
        <f t="shared" si="945"/>
        <v>1</v>
      </c>
      <c r="O2519" s="77">
        <f t="shared" si="946"/>
        <v>0.91</v>
      </c>
      <c r="P2519" s="76">
        <f t="shared" si="947"/>
        <v>0.75</v>
      </c>
      <c r="Q2519" s="76">
        <f t="shared" si="948"/>
        <v>0</v>
      </c>
      <c r="R2519" s="76">
        <f t="shared" si="949"/>
        <v>0</v>
      </c>
      <c r="S2519" s="76">
        <f t="shared" si="950"/>
        <v>0.98913043478260865</v>
      </c>
      <c r="T2519" s="76">
        <f t="shared" si="951"/>
        <v>0.98913043478260865</v>
      </c>
      <c r="U2519" s="76">
        <f t="shared" si="952"/>
        <v>1</v>
      </c>
    </row>
    <row r="2520" spans="1:21" x14ac:dyDescent="0.25">
      <c r="A2520" s="71">
        <v>12</v>
      </c>
      <c r="B2520" s="72">
        <f t="shared" si="953"/>
        <v>45992</v>
      </c>
      <c r="C2520" s="73">
        <f t="shared" si="934"/>
        <v>46022</v>
      </c>
      <c r="D2520" s="67">
        <f t="shared" si="935"/>
        <v>31</v>
      </c>
      <c r="E2520" s="67">
        <f t="shared" si="936"/>
        <v>12</v>
      </c>
      <c r="F2520" s="74">
        <f t="shared" si="937"/>
        <v>46007.5</v>
      </c>
      <c r="G2520" s="67">
        <f t="shared" si="938"/>
        <v>24311</v>
      </c>
      <c r="H2520" s="75">
        <f t="shared" si="939"/>
        <v>1</v>
      </c>
      <c r="I2520" s="76">
        <f t="shared" si="940"/>
        <v>1</v>
      </c>
      <c r="J2520" s="76">
        <f t="shared" si="941"/>
        <v>1</v>
      </c>
      <c r="K2520" s="67">
        <f t="shared" si="942"/>
        <v>0</v>
      </c>
      <c r="L2520" s="67">
        <f t="shared" si="943"/>
        <v>0</v>
      </c>
      <c r="M2520" s="77">
        <f t="shared" si="944"/>
        <v>0</v>
      </c>
      <c r="N2520" s="76">
        <f t="shared" si="945"/>
        <v>1</v>
      </c>
      <c r="O2520" s="77">
        <f t="shared" si="946"/>
        <v>0.91</v>
      </c>
      <c r="P2520" s="76">
        <f t="shared" si="947"/>
        <v>0.91666666666666663</v>
      </c>
      <c r="Q2520" s="76">
        <f t="shared" si="948"/>
        <v>0</v>
      </c>
      <c r="R2520" s="76">
        <f t="shared" si="949"/>
        <v>0</v>
      </c>
      <c r="S2520" s="76">
        <f t="shared" si="950"/>
        <v>0.98913043478260865</v>
      </c>
      <c r="T2520" s="76">
        <f t="shared" si="951"/>
        <v>0.98913043478260865</v>
      </c>
      <c r="U2520" s="76">
        <f t="shared" si="952"/>
        <v>1</v>
      </c>
    </row>
    <row r="2521" spans="1:21" x14ac:dyDescent="0.25">
      <c r="A2521" s="71">
        <v>13</v>
      </c>
      <c r="B2521" s="72">
        <f t="shared" si="953"/>
        <v>46023</v>
      </c>
      <c r="C2521" s="73">
        <f t="shared" si="934"/>
        <v>46053</v>
      </c>
      <c r="D2521" s="67">
        <f t="shared" si="935"/>
        <v>31</v>
      </c>
      <c r="E2521" s="67">
        <f t="shared" si="936"/>
        <v>1</v>
      </c>
      <c r="F2521" s="74">
        <f t="shared" si="937"/>
        <v>46038.5</v>
      </c>
      <c r="G2521" s="67">
        <f t="shared" si="938"/>
        <v>24312</v>
      </c>
      <c r="H2521" s="75">
        <f t="shared" si="939"/>
        <v>1</v>
      </c>
      <c r="I2521" s="76">
        <f t="shared" si="940"/>
        <v>1</v>
      </c>
      <c r="J2521" s="76">
        <f t="shared" si="941"/>
        <v>1</v>
      </c>
      <c r="K2521" s="67">
        <f t="shared" si="942"/>
        <v>0</v>
      </c>
      <c r="L2521" s="67">
        <f t="shared" si="943"/>
        <v>0</v>
      </c>
      <c r="M2521" s="77">
        <f t="shared" si="944"/>
        <v>0</v>
      </c>
      <c r="N2521" s="76">
        <f t="shared" si="945"/>
        <v>1</v>
      </c>
      <c r="O2521" s="77">
        <f t="shared" si="946"/>
        <v>0.91</v>
      </c>
      <c r="P2521" s="76">
        <f t="shared" si="947"/>
        <v>1</v>
      </c>
      <c r="Q2521" s="76">
        <f t="shared" si="948"/>
        <v>0</v>
      </c>
      <c r="R2521" s="76">
        <f t="shared" si="949"/>
        <v>0</v>
      </c>
      <c r="S2521" s="76">
        <f t="shared" si="950"/>
        <v>0.98913043478260865</v>
      </c>
      <c r="T2521" s="76">
        <f t="shared" si="951"/>
        <v>0.98913043478260865</v>
      </c>
      <c r="U2521" s="76">
        <f t="shared" si="952"/>
        <v>1</v>
      </c>
    </row>
    <row r="2522" spans="1:21" x14ac:dyDescent="0.25">
      <c r="A2522" s="71">
        <v>14</v>
      </c>
      <c r="B2522" s="72">
        <f t="shared" si="953"/>
        <v>46054</v>
      </c>
      <c r="C2522" s="73">
        <f t="shared" si="934"/>
        <v>46081</v>
      </c>
      <c r="D2522" s="67">
        <f t="shared" si="935"/>
        <v>28</v>
      </c>
      <c r="E2522" s="67">
        <f t="shared" si="936"/>
        <v>2</v>
      </c>
      <c r="F2522" s="74">
        <f t="shared" si="937"/>
        <v>46068</v>
      </c>
      <c r="G2522" s="67">
        <f t="shared" si="938"/>
        <v>24313</v>
      </c>
      <c r="H2522" s="75">
        <f t="shared" si="939"/>
        <v>1</v>
      </c>
      <c r="I2522" s="76">
        <f t="shared" si="940"/>
        <v>1</v>
      </c>
      <c r="J2522" s="76">
        <f t="shared" si="941"/>
        <v>1</v>
      </c>
      <c r="K2522" s="67">
        <f t="shared" si="942"/>
        <v>0</v>
      </c>
      <c r="L2522" s="67">
        <f t="shared" si="943"/>
        <v>0</v>
      </c>
      <c r="M2522" s="77">
        <f t="shared" si="944"/>
        <v>0</v>
      </c>
      <c r="N2522" s="76">
        <f t="shared" si="945"/>
        <v>1</v>
      </c>
      <c r="O2522" s="77">
        <f t="shared" si="946"/>
        <v>0.91</v>
      </c>
      <c r="P2522" s="76">
        <f t="shared" si="947"/>
        <v>1</v>
      </c>
      <c r="Q2522" s="76">
        <f t="shared" si="948"/>
        <v>0</v>
      </c>
      <c r="R2522" s="76">
        <f t="shared" si="949"/>
        <v>0</v>
      </c>
      <c r="S2522" s="76">
        <f t="shared" si="950"/>
        <v>0.98913043478260865</v>
      </c>
      <c r="T2522" s="76">
        <f t="shared" si="951"/>
        <v>0.98913043478260865</v>
      </c>
      <c r="U2522" s="76">
        <f t="shared" si="952"/>
        <v>1</v>
      </c>
    </row>
    <row r="2523" spans="1:21" x14ac:dyDescent="0.25">
      <c r="A2523" s="71">
        <v>15</v>
      </c>
      <c r="B2523" s="72">
        <f t="shared" si="953"/>
        <v>46082</v>
      </c>
      <c r="C2523" s="73">
        <f t="shared" si="934"/>
        <v>46112</v>
      </c>
      <c r="D2523" s="67">
        <f t="shared" si="935"/>
        <v>31</v>
      </c>
      <c r="E2523" s="67">
        <f t="shared" si="936"/>
        <v>3</v>
      </c>
      <c r="F2523" s="74">
        <f t="shared" si="937"/>
        <v>46097.5</v>
      </c>
      <c r="G2523" s="67">
        <f t="shared" si="938"/>
        <v>24314</v>
      </c>
      <c r="H2523" s="75">
        <f t="shared" si="939"/>
        <v>1</v>
      </c>
      <c r="I2523" s="76">
        <f t="shared" si="940"/>
        <v>1</v>
      </c>
      <c r="J2523" s="76">
        <f t="shared" si="941"/>
        <v>1</v>
      </c>
      <c r="K2523" s="67">
        <f t="shared" si="942"/>
        <v>0</v>
      </c>
      <c r="L2523" s="67">
        <f t="shared" si="943"/>
        <v>0</v>
      </c>
      <c r="M2523" s="77">
        <f t="shared" si="944"/>
        <v>0</v>
      </c>
      <c r="N2523" s="76">
        <f t="shared" si="945"/>
        <v>1</v>
      </c>
      <c r="O2523" s="77">
        <f t="shared" si="946"/>
        <v>0.91</v>
      </c>
      <c r="P2523" s="76">
        <f t="shared" si="947"/>
        <v>1</v>
      </c>
      <c r="Q2523" s="76">
        <f t="shared" si="948"/>
        <v>0</v>
      </c>
      <c r="R2523" s="76">
        <f t="shared" si="949"/>
        <v>0</v>
      </c>
      <c r="S2523" s="76">
        <f t="shared" si="950"/>
        <v>0.98913043478260865</v>
      </c>
      <c r="T2523" s="76">
        <f t="shared" si="951"/>
        <v>0.98913043478260865</v>
      </c>
      <c r="U2523" s="76">
        <f t="shared" si="952"/>
        <v>1</v>
      </c>
    </row>
    <row r="2524" spans="1:21" x14ac:dyDescent="0.25">
      <c r="A2524" s="71">
        <v>16</v>
      </c>
      <c r="B2524" s="72">
        <f t="shared" si="953"/>
        <v>46113</v>
      </c>
      <c r="C2524" s="73">
        <f t="shared" si="934"/>
        <v>46142</v>
      </c>
      <c r="D2524" s="67">
        <f t="shared" si="935"/>
        <v>30</v>
      </c>
      <c r="E2524" s="67">
        <f t="shared" si="936"/>
        <v>4</v>
      </c>
      <c r="F2524" s="74">
        <f t="shared" si="937"/>
        <v>46128</v>
      </c>
      <c r="G2524" s="67">
        <f t="shared" si="938"/>
        <v>24315</v>
      </c>
      <c r="H2524" s="75">
        <f t="shared" si="939"/>
        <v>1</v>
      </c>
      <c r="I2524" s="76">
        <f t="shared" si="940"/>
        <v>1</v>
      </c>
      <c r="J2524" s="76">
        <f t="shared" si="941"/>
        <v>1</v>
      </c>
      <c r="K2524" s="67">
        <f t="shared" si="942"/>
        <v>0</v>
      </c>
      <c r="L2524" s="67">
        <f t="shared" si="943"/>
        <v>0</v>
      </c>
      <c r="M2524" s="77">
        <f t="shared" si="944"/>
        <v>0</v>
      </c>
      <c r="N2524" s="76">
        <f t="shared" si="945"/>
        <v>1</v>
      </c>
      <c r="O2524" s="77">
        <f t="shared" si="946"/>
        <v>0.91</v>
      </c>
      <c r="P2524" s="76">
        <f t="shared" si="947"/>
        <v>1</v>
      </c>
      <c r="Q2524" s="76">
        <f t="shared" si="948"/>
        <v>0</v>
      </c>
      <c r="R2524" s="76">
        <f t="shared" si="949"/>
        <v>0</v>
      </c>
      <c r="S2524" s="76">
        <f t="shared" si="950"/>
        <v>0.98913043478260865</v>
      </c>
      <c r="T2524" s="76">
        <f t="shared" si="951"/>
        <v>0.98913043478260865</v>
      </c>
      <c r="U2524" s="76">
        <f t="shared" si="952"/>
        <v>1</v>
      </c>
    </row>
    <row r="2525" spans="1:21" x14ac:dyDescent="0.25">
      <c r="A2525" s="71">
        <v>17</v>
      </c>
      <c r="B2525" s="72">
        <f t="shared" si="953"/>
        <v>46143</v>
      </c>
      <c r="C2525" s="73">
        <f t="shared" si="934"/>
        <v>46173</v>
      </c>
      <c r="D2525" s="67">
        <f t="shared" si="935"/>
        <v>31</v>
      </c>
      <c r="E2525" s="67">
        <f t="shared" si="936"/>
        <v>5</v>
      </c>
      <c r="F2525" s="74">
        <f t="shared" si="937"/>
        <v>46158.5</v>
      </c>
      <c r="G2525" s="67">
        <f t="shared" si="938"/>
        <v>24316</v>
      </c>
      <c r="H2525" s="75">
        <f t="shared" si="939"/>
        <v>1</v>
      </c>
      <c r="I2525" s="76">
        <f t="shared" si="940"/>
        <v>1</v>
      </c>
      <c r="J2525" s="76">
        <f t="shared" si="941"/>
        <v>1</v>
      </c>
      <c r="K2525" s="67">
        <f t="shared" si="942"/>
        <v>0</v>
      </c>
      <c r="L2525" s="67">
        <f t="shared" si="943"/>
        <v>0</v>
      </c>
      <c r="M2525" s="77">
        <f t="shared" si="944"/>
        <v>0</v>
      </c>
      <c r="N2525" s="76">
        <f t="shared" si="945"/>
        <v>1</v>
      </c>
      <c r="O2525" s="77">
        <f t="shared" si="946"/>
        <v>0.91</v>
      </c>
      <c r="P2525" s="76">
        <f t="shared" si="947"/>
        <v>1</v>
      </c>
      <c r="Q2525" s="76">
        <f t="shared" si="948"/>
        <v>0</v>
      </c>
      <c r="R2525" s="76">
        <f t="shared" si="949"/>
        <v>0</v>
      </c>
      <c r="S2525" s="76">
        <f t="shared" si="950"/>
        <v>0.98913043478260865</v>
      </c>
      <c r="T2525" s="76">
        <f t="shared" si="951"/>
        <v>0.98913043478260865</v>
      </c>
      <c r="U2525" s="76">
        <f t="shared" si="952"/>
        <v>1</v>
      </c>
    </row>
    <row r="2526" spans="1:21" x14ac:dyDescent="0.25">
      <c r="A2526" s="71">
        <v>18</v>
      </c>
      <c r="B2526" s="72">
        <f t="shared" si="953"/>
        <v>46174</v>
      </c>
      <c r="C2526" s="73">
        <f t="shared" si="934"/>
        <v>46203</v>
      </c>
      <c r="D2526" s="67">
        <f t="shared" si="935"/>
        <v>30</v>
      </c>
      <c r="E2526" s="67">
        <f t="shared" si="936"/>
        <v>6</v>
      </c>
      <c r="F2526" s="74">
        <f t="shared" si="937"/>
        <v>46189</v>
      </c>
      <c r="G2526" s="67">
        <f t="shared" si="938"/>
        <v>24317</v>
      </c>
      <c r="H2526" s="75">
        <f t="shared" si="939"/>
        <v>1</v>
      </c>
      <c r="I2526" s="76">
        <f t="shared" si="940"/>
        <v>1</v>
      </c>
      <c r="J2526" s="76">
        <f t="shared" si="941"/>
        <v>1</v>
      </c>
      <c r="K2526" s="67">
        <f t="shared" si="942"/>
        <v>0</v>
      </c>
      <c r="L2526" s="67">
        <f t="shared" si="943"/>
        <v>0</v>
      </c>
      <c r="M2526" s="77">
        <f t="shared" si="944"/>
        <v>0</v>
      </c>
      <c r="N2526" s="76">
        <f t="shared" si="945"/>
        <v>1</v>
      </c>
      <c r="O2526" s="77">
        <f t="shared" si="946"/>
        <v>0.91</v>
      </c>
      <c r="P2526" s="76">
        <f t="shared" si="947"/>
        <v>1</v>
      </c>
      <c r="Q2526" s="76">
        <f t="shared" si="948"/>
        <v>0</v>
      </c>
      <c r="R2526" s="76">
        <f t="shared" si="949"/>
        <v>0</v>
      </c>
      <c r="S2526" s="76">
        <f t="shared" si="950"/>
        <v>0.98913043478260865</v>
      </c>
      <c r="T2526" s="76">
        <f t="shared" si="951"/>
        <v>0.98913043478260865</v>
      </c>
      <c r="U2526" s="76">
        <f t="shared" si="952"/>
        <v>1</v>
      </c>
    </row>
    <row r="2527" spans="1:21" x14ac:dyDescent="0.25">
      <c r="A2527" s="71">
        <v>19</v>
      </c>
      <c r="B2527" s="72">
        <f t="shared" si="953"/>
        <v>46204</v>
      </c>
      <c r="C2527" s="73">
        <f t="shared" si="934"/>
        <v>46234</v>
      </c>
      <c r="D2527" s="67">
        <f t="shared" si="935"/>
        <v>31</v>
      </c>
      <c r="E2527" s="67">
        <f t="shared" si="936"/>
        <v>7</v>
      </c>
      <c r="F2527" s="74">
        <f t="shared" si="937"/>
        <v>46219.5</v>
      </c>
      <c r="G2527" s="67">
        <f t="shared" si="938"/>
        <v>24318</v>
      </c>
      <c r="H2527" s="75">
        <f t="shared" si="939"/>
        <v>1</v>
      </c>
      <c r="I2527" s="76">
        <f t="shared" si="940"/>
        <v>1</v>
      </c>
      <c r="J2527" s="76">
        <f t="shared" si="941"/>
        <v>1</v>
      </c>
      <c r="K2527" s="67">
        <f t="shared" si="942"/>
        <v>0</v>
      </c>
      <c r="L2527" s="67">
        <f t="shared" si="943"/>
        <v>0</v>
      </c>
      <c r="M2527" s="77">
        <f t="shared" si="944"/>
        <v>0</v>
      </c>
      <c r="N2527" s="76">
        <f t="shared" si="945"/>
        <v>1</v>
      </c>
      <c r="O2527" s="77">
        <f t="shared" si="946"/>
        <v>0.91</v>
      </c>
      <c r="P2527" s="76">
        <f t="shared" si="947"/>
        <v>0.91666666666666663</v>
      </c>
      <c r="Q2527" s="76">
        <f t="shared" si="948"/>
        <v>8.333333333333337E-2</v>
      </c>
      <c r="R2527" s="76">
        <f t="shared" si="949"/>
        <v>0</v>
      </c>
      <c r="S2527" s="76">
        <f t="shared" si="950"/>
        <v>0.98913043478260865</v>
      </c>
      <c r="T2527" s="76">
        <f t="shared" si="951"/>
        <v>0.98913043478260865</v>
      </c>
      <c r="U2527" s="76">
        <f t="shared" si="952"/>
        <v>1</v>
      </c>
    </row>
    <row r="2528" spans="1:21" x14ac:dyDescent="0.25">
      <c r="A2528" s="71">
        <v>20</v>
      </c>
      <c r="B2528" s="72">
        <f t="shared" si="953"/>
        <v>46235</v>
      </c>
      <c r="C2528" s="73">
        <f t="shared" si="934"/>
        <v>46265</v>
      </c>
      <c r="D2528" s="67">
        <f t="shared" si="935"/>
        <v>31</v>
      </c>
      <c r="E2528" s="67">
        <f t="shared" si="936"/>
        <v>8</v>
      </c>
      <c r="F2528" s="74">
        <f t="shared" si="937"/>
        <v>46250.5</v>
      </c>
      <c r="G2528" s="67">
        <f t="shared" si="938"/>
        <v>24319</v>
      </c>
      <c r="H2528" s="75">
        <f t="shared" si="939"/>
        <v>1</v>
      </c>
      <c r="I2528" s="76">
        <f t="shared" si="940"/>
        <v>1</v>
      </c>
      <c r="J2528" s="76">
        <f t="shared" si="941"/>
        <v>1</v>
      </c>
      <c r="K2528" s="67">
        <f t="shared" si="942"/>
        <v>0</v>
      </c>
      <c r="L2528" s="67">
        <f t="shared" si="943"/>
        <v>0</v>
      </c>
      <c r="M2528" s="77">
        <f t="shared" si="944"/>
        <v>0</v>
      </c>
      <c r="N2528" s="76">
        <f t="shared" si="945"/>
        <v>1</v>
      </c>
      <c r="O2528" s="77">
        <f t="shared" si="946"/>
        <v>0.91</v>
      </c>
      <c r="P2528" s="76">
        <f t="shared" si="947"/>
        <v>0.75</v>
      </c>
      <c r="Q2528" s="76">
        <f t="shared" si="948"/>
        <v>0.25</v>
      </c>
      <c r="R2528" s="76">
        <f t="shared" si="949"/>
        <v>0</v>
      </c>
      <c r="S2528" s="76">
        <f t="shared" si="950"/>
        <v>0.98913043478260865</v>
      </c>
      <c r="T2528" s="76">
        <f t="shared" si="951"/>
        <v>0.98913043478260865</v>
      </c>
      <c r="U2528" s="76">
        <f t="shared" si="952"/>
        <v>1</v>
      </c>
    </row>
    <row r="2529" spans="1:21" x14ac:dyDescent="0.25">
      <c r="A2529" s="71">
        <v>21</v>
      </c>
      <c r="B2529" s="72">
        <f t="shared" si="953"/>
        <v>46266</v>
      </c>
      <c r="C2529" s="73">
        <f t="shared" si="934"/>
        <v>46295</v>
      </c>
      <c r="D2529" s="67">
        <f t="shared" si="935"/>
        <v>30</v>
      </c>
      <c r="E2529" s="67">
        <f t="shared" si="936"/>
        <v>9</v>
      </c>
      <c r="F2529" s="74">
        <f t="shared" si="937"/>
        <v>46281</v>
      </c>
      <c r="G2529" s="67">
        <f t="shared" si="938"/>
        <v>24320</v>
      </c>
      <c r="H2529" s="75">
        <f t="shared" si="939"/>
        <v>1</v>
      </c>
      <c r="I2529" s="76">
        <f t="shared" si="940"/>
        <v>1</v>
      </c>
      <c r="J2529" s="76">
        <f t="shared" si="941"/>
        <v>1</v>
      </c>
      <c r="K2529" s="67">
        <f t="shared" si="942"/>
        <v>0</v>
      </c>
      <c r="L2529" s="67">
        <f t="shared" si="943"/>
        <v>0</v>
      </c>
      <c r="M2529" s="77">
        <f t="shared" si="944"/>
        <v>0</v>
      </c>
      <c r="N2529" s="76">
        <f t="shared" si="945"/>
        <v>1</v>
      </c>
      <c r="O2529" s="77">
        <f t="shared" si="946"/>
        <v>0.91</v>
      </c>
      <c r="P2529" s="76">
        <f t="shared" si="947"/>
        <v>0.58333333333333337</v>
      </c>
      <c r="Q2529" s="76">
        <f t="shared" si="948"/>
        <v>0.41666666666666663</v>
      </c>
      <c r="R2529" s="76">
        <f t="shared" si="949"/>
        <v>0</v>
      </c>
      <c r="S2529" s="76">
        <f t="shared" si="950"/>
        <v>0.98913043478260865</v>
      </c>
      <c r="T2529" s="76">
        <f t="shared" si="951"/>
        <v>0.98913043478260865</v>
      </c>
      <c r="U2529" s="76">
        <f t="shared" si="952"/>
        <v>1</v>
      </c>
    </row>
    <row r="2530" spans="1:21" x14ac:dyDescent="0.25">
      <c r="A2530" s="71">
        <v>22</v>
      </c>
      <c r="B2530" s="72">
        <f t="shared" si="953"/>
        <v>46296</v>
      </c>
      <c r="C2530" s="73">
        <f t="shared" si="934"/>
        <v>46326</v>
      </c>
      <c r="D2530" s="67">
        <f t="shared" si="935"/>
        <v>31</v>
      </c>
      <c r="E2530" s="67">
        <f t="shared" si="936"/>
        <v>10</v>
      </c>
      <c r="F2530" s="74">
        <f t="shared" si="937"/>
        <v>46311.5</v>
      </c>
      <c r="G2530" s="67">
        <f t="shared" si="938"/>
        <v>24321</v>
      </c>
      <c r="H2530" s="75">
        <f t="shared" si="939"/>
        <v>1</v>
      </c>
      <c r="I2530" s="76">
        <f t="shared" si="940"/>
        <v>1</v>
      </c>
      <c r="J2530" s="76">
        <f t="shared" si="941"/>
        <v>1.02</v>
      </c>
      <c r="K2530" s="67">
        <f t="shared" si="942"/>
        <v>1</v>
      </c>
      <c r="L2530" s="67">
        <f t="shared" si="943"/>
        <v>31</v>
      </c>
      <c r="M2530" s="77">
        <f t="shared" si="944"/>
        <v>1</v>
      </c>
      <c r="N2530" s="76">
        <f t="shared" si="945"/>
        <v>1.02</v>
      </c>
      <c r="O2530" s="77">
        <f t="shared" si="946"/>
        <v>0.91</v>
      </c>
      <c r="P2530" s="76">
        <f t="shared" si="947"/>
        <v>0.41666666666666669</v>
      </c>
      <c r="Q2530" s="76">
        <f t="shared" si="948"/>
        <v>0.58333333333333326</v>
      </c>
      <c r="R2530" s="76">
        <f t="shared" si="949"/>
        <v>0</v>
      </c>
      <c r="S2530" s="76">
        <f t="shared" si="950"/>
        <v>1.0089130434782609</v>
      </c>
      <c r="T2530" s="76">
        <f t="shared" si="951"/>
        <v>1.0089130434782609</v>
      </c>
      <c r="U2530" s="76">
        <f t="shared" si="952"/>
        <v>1.02</v>
      </c>
    </row>
    <row r="2531" spans="1:21" x14ac:dyDescent="0.25">
      <c r="A2531" s="71">
        <v>23</v>
      </c>
      <c r="B2531" s="72">
        <f t="shared" si="953"/>
        <v>46327</v>
      </c>
      <c r="C2531" s="73">
        <f t="shared" si="934"/>
        <v>46356</v>
      </c>
      <c r="D2531" s="67">
        <f t="shared" si="935"/>
        <v>30</v>
      </c>
      <c r="E2531" s="67">
        <f t="shared" si="936"/>
        <v>11</v>
      </c>
      <c r="F2531" s="74">
        <f t="shared" si="937"/>
        <v>46342</v>
      </c>
      <c r="G2531" s="67">
        <f t="shared" si="938"/>
        <v>24322</v>
      </c>
      <c r="H2531" s="75">
        <f t="shared" si="939"/>
        <v>1</v>
      </c>
      <c r="I2531" s="76">
        <f t="shared" si="940"/>
        <v>1.02</v>
      </c>
      <c r="J2531" s="76">
        <f t="shared" si="941"/>
        <v>1.02</v>
      </c>
      <c r="K2531" s="67">
        <f t="shared" si="942"/>
        <v>0</v>
      </c>
      <c r="L2531" s="67">
        <f t="shared" si="943"/>
        <v>0</v>
      </c>
      <c r="M2531" s="77">
        <f t="shared" si="944"/>
        <v>0</v>
      </c>
      <c r="N2531" s="76">
        <f t="shared" si="945"/>
        <v>1.02</v>
      </c>
      <c r="O2531" s="77">
        <f t="shared" si="946"/>
        <v>0.91</v>
      </c>
      <c r="P2531" s="76">
        <f t="shared" si="947"/>
        <v>0.25</v>
      </c>
      <c r="Q2531" s="76">
        <f t="shared" si="948"/>
        <v>0.75</v>
      </c>
      <c r="R2531" s="76">
        <f t="shared" si="949"/>
        <v>0</v>
      </c>
      <c r="S2531" s="76">
        <f t="shared" si="950"/>
        <v>1.0089130434782609</v>
      </c>
      <c r="T2531" s="76">
        <f t="shared" si="951"/>
        <v>1.0089130434782609</v>
      </c>
      <c r="U2531" s="76">
        <f t="shared" si="952"/>
        <v>1.02</v>
      </c>
    </row>
    <row r="2532" spans="1:21" x14ac:dyDescent="0.25">
      <c r="A2532" s="71">
        <v>24</v>
      </c>
      <c r="B2532" s="72">
        <f t="shared" si="953"/>
        <v>46357</v>
      </c>
      <c r="C2532" s="73">
        <f t="shared" si="934"/>
        <v>46387</v>
      </c>
      <c r="D2532" s="67">
        <f t="shared" si="935"/>
        <v>31</v>
      </c>
      <c r="E2532" s="67">
        <f t="shared" si="936"/>
        <v>12</v>
      </c>
      <c r="F2532" s="74">
        <f t="shared" si="937"/>
        <v>46372.5</v>
      </c>
      <c r="G2532" s="67">
        <f t="shared" si="938"/>
        <v>24323</v>
      </c>
      <c r="H2532" s="75">
        <f t="shared" si="939"/>
        <v>1</v>
      </c>
      <c r="I2532" s="76">
        <f t="shared" si="940"/>
        <v>1.02</v>
      </c>
      <c r="J2532" s="76">
        <f t="shared" si="941"/>
        <v>1.02</v>
      </c>
      <c r="K2532" s="67">
        <f t="shared" si="942"/>
        <v>0</v>
      </c>
      <c r="L2532" s="67">
        <f t="shared" si="943"/>
        <v>0</v>
      </c>
      <c r="M2532" s="77">
        <f t="shared" si="944"/>
        <v>0</v>
      </c>
      <c r="N2532" s="76">
        <f t="shared" si="945"/>
        <v>1.02</v>
      </c>
      <c r="O2532" s="77">
        <f t="shared" si="946"/>
        <v>0.91</v>
      </c>
      <c r="P2532" s="76">
        <f t="shared" si="947"/>
        <v>8.3333333333333329E-2</v>
      </c>
      <c r="Q2532" s="76">
        <f t="shared" si="948"/>
        <v>0.91666666666666663</v>
      </c>
      <c r="R2532" s="76">
        <f t="shared" si="949"/>
        <v>0</v>
      </c>
      <c r="S2532" s="76">
        <f t="shared" si="950"/>
        <v>1.0089130434782609</v>
      </c>
      <c r="T2532" s="76">
        <f t="shared" si="951"/>
        <v>1.0089130434782609</v>
      </c>
      <c r="U2532" s="76">
        <f t="shared" si="952"/>
        <v>1.02</v>
      </c>
    </row>
    <row r="2533" spans="1:21" x14ac:dyDescent="0.25">
      <c r="A2533" s="71">
        <v>25</v>
      </c>
      <c r="B2533" s="72">
        <f t="shared" si="953"/>
        <v>46388</v>
      </c>
      <c r="C2533" s="73">
        <f t="shared" si="934"/>
        <v>46418</v>
      </c>
      <c r="D2533" s="67">
        <f t="shared" si="935"/>
        <v>31</v>
      </c>
      <c r="E2533" s="67">
        <f t="shared" si="936"/>
        <v>1</v>
      </c>
      <c r="F2533" s="74">
        <f t="shared" si="937"/>
        <v>46403.5</v>
      </c>
      <c r="G2533" s="67">
        <f t="shared" si="938"/>
        <v>24324</v>
      </c>
      <c r="H2533" s="75">
        <f t="shared" si="939"/>
        <v>1</v>
      </c>
      <c r="I2533" s="76">
        <f t="shared" si="940"/>
        <v>1.02</v>
      </c>
      <c r="J2533" s="76">
        <f t="shared" si="941"/>
        <v>1.02</v>
      </c>
      <c r="K2533" s="67">
        <f t="shared" si="942"/>
        <v>0</v>
      </c>
      <c r="L2533" s="67">
        <f t="shared" si="943"/>
        <v>0</v>
      </c>
      <c r="M2533" s="77">
        <f t="shared" si="944"/>
        <v>0</v>
      </c>
      <c r="N2533" s="76">
        <f t="shared" si="945"/>
        <v>1.02</v>
      </c>
      <c r="O2533" s="77">
        <f t="shared" si="946"/>
        <v>0.91</v>
      </c>
      <c r="P2533" s="76">
        <f t="shared" si="947"/>
        <v>0</v>
      </c>
      <c r="Q2533" s="76">
        <f t="shared" si="948"/>
        <v>1</v>
      </c>
      <c r="R2533" s="76">
        <f t="shared" si="949"/>
        <v>0</v>
      </c>
      <c r="S2533" s="76">
        <f t="shared" si="950"/>
        <v>1.0089130434782609</v>
      </c>
      <c r="T2533" s="76">
        <f t="shared" si="951"/>
        <v>0.98913043478260865</v>
      </c>
      <c r="U2533" s="76">
        <f t="shared" si="952"/>
        <v>1.02</v>
      </c>
    </row>
    <row r="2534" spans="1:21" x14ac:dyDescent="0.25">
      <c r="A2534" s="71">
        <v>26</v>
      </c>
      <c r="B2534" s="72">
        <f t="shared" si="953"/>
        <v>46419</v>
      </c>
      <c r="C2534" s="73">
        <f t="shared" si="934"/>
        <v>46446</v>
      </c>
      <c r="D2534" s="67">
        <f t="shared" si="935"/>
        <v>28</v>
      </c>
      <c r="E2534" s="67">
        <f t="shared" si="936"/>
        <v>2</v>
      </c>
      <c r="F2534" s="74">
        <f t="shared" si="937"/>
        <v>46433</v>
      </c>
      <c r="G2534" s="67">
        <f t="shared" si="938"/>
        <v>24325</v>
      </c>
      <c r="H2534" s="75">
        <f t="shared" si="939"/>
        <v>1</v>
      </c>
      <c r="I2534" s="76">
        <f t="shared" si="940"/>
        <v>1.02</v>
      </c>
      <c r="J2534" s="76">
        <f t="shared" si="941"/>
        <v>1.02</v>
      </c>
      <c r="K2534" s="67">
        <f t="shared" si="942"/>
        <v>0</v>
      </c>
      <c r="L2534" s="67">
        <f t="shared" si="943"/>
        <v>0</v>
      </c>
      <c r="M2534" s="77">
        <f t="shared" si="944"/>
        <v>0</v>
      </c>
      <c r="N2534" s="76">
        <f t="shared" si="945"/>
        <v>1.02</v>
      </c>
      <c r="O2534" s="77">
        <f t="shared" si="946"/>
        <v>0.91</v>
      </c>
      <c r="P2534" s="76">
        <f t="shared" si="947"/>
        <v>0</v>
      </c>
      <c r="Q2534" s="76">
        <f t="shared" si="948"/>
        <v>1</v>
      </c>
      <c r="R2534" s="76">
        <f t="shared" si="949"/>
        <v>0</v>
      </c>
      <c r="S2534" s="76">
        <f t="shared" si="950"/>
        <v>1.0089130434782609</v>
      </c>
      <c r="T2534" s="76">
        <f t="shared" si="951"/>
        <v>0.98913043478260865</v>
      </c>
      <c r="U2534" s="76">
        <f t="shared" si="952"/>
        <v>1.02</v>
      </c>
    </row>
    <row r="2535" spans="1:21" x14ac:dyDescent="0.25">
      <c r="A2535" s="71">
        <v>27</v>
      </c>
      <c r="B2535" s="72">
        <f t="shared" si="953"/>
        <v>46447</v>
      </c>
      <c r="C2535" s="73">
        <f t="shared" si="934"/>
        <v>46477</v>
      </c>
      <c r="D2535" s="67">
        <f t="shared" si="935"/>
        <v>31</v>
      </c>
      <c r="E2535" s="67">
        <f t="shared" si="936"/>
        <v>3</v>
      </c>
      <c r="F2535" s="74">
        <f t="shared" si="937"/>
        <v>46462.5</v>
      </c>
      <c r="G2535" s="67">
        <f t="shared" si="938"/>
        <v>24326</v>
      </c>
      <c r="H2535" s="75">
        <f t="shared" si="939"/>
        <v>1</v>
      </c>
      <c r="I2535" s="76">
        <f t="shared" si="940"/>
        <v>1.02</v>
      </c>
      <c r="J2535" s="76">
        <f t="shared" si="941"/>
        <v>1.02</v>
      </c>
      <c r="K2535" s="67">
        <f t="shared" si="942"/>
        <v>0</v>
      </c>
      <c r="L2535" s="67">
        <f t="shared" si="943"/>
        <v>0</v>
      </c>
      <c r="M2535" s="77">
        <f t="shared" si="944"/>
        <v>0</v>
      </c>
      <c r="N2535" s="76">
        <f t="shared" si="945"/>
        <v>1.02</v>
      </c>
      <c r="O2535" s="77">
        <f t="shared" si="946"/>
        <v>0.91</v>
      </c>
      <c r="P2535" s="76">
        <f t="shared" si="947"/>
        <v>0</v>
      </c>
      <c r="Q2535" s="76">
        <f t="shared" si="948"/>
        <v>1</v>
      </c>
      <c r="R2535" s="76">
        <f t="shared" si="949"/>
        <v>0</v>
      </c>
      <c r="S2535" s="76">
        <f t="shared" si="950"/>
        <v>1.0089130434782609</v>
      </c>
      <c r="T2535" s="76">
        <f t="shared" si="951"/>
        <v>0.98913043478260865</v>
      </c>
      <c r="U2535" s="76">
        <f t="shared" si="952"/>
        <v>1.02</v>
      </c>
    </row>
    <row r="2536" spans="1:21" x14ac:dyDescent="0.25">
      <c r="A2536" s="71">
        <v>28</v>
      </c>
      <c r="B2536" s="72">
        <f t="shared" si="953"/>
        <v>46478</v>
      </c>
      <c r="C2536" s="73">
        <f t="shared" si="934"/>
        <v>46507</v>
      </c>
      <c r="D2536" s="67">
        <f t="shared" si="935"/>
        <v>30</v>
      </c>
      <c r="E2536" s="67">
        <f t="shared" si="936"/>
        <v>4</v>
      </c>
      <c r="F2536" s="74">
        <f t="shared" si="937"/>
        <v>46493</v>
      </c>
      <c r="G2536" s="67">
        <f t="shared" si="938"/>
        <v>24327</v>
      </c>
      <c r="H2536" s="75">
        <f t="shared" si="939"/>
        <v>1</v>
      </c>
      <c r="I2536" s="76">
        <f t="shared" si="940"/>
        <v>1.02</v>
      </c>
      <c r="J2536" s="76">
        <f t="shared" si="941"/>
        <v>1.02</v>
      </c>
      <c r="K2536" s="67">
        <f t="shared" si="942"/>
        <v>0</v>
      </c>
      <c r="L2536" s="67">
        <f t="shared" si="943"/>
        <v>0</v>
      </c>
      <c r="M2536" s="77">
        <f t="shared" si="944"/>
        <v>0</v>
      </c>
      <c r="N2536" s="76">
        <f t="shared" si="945"/>
        <v>1.02</v>
      </c>
      <c r="O2536" s="77">
        <f t="shared" si="946"/>
        <v>0.91</v>
      </c>
      <c r="P2536" s="76">
        <f t="shared" si="947"/>
        <v>0</v>
      </c>
      <c r="Q2536" s="76">
        <f t="shared" si="948"/>
        <v>1</v>
      </c>
      <c r="R2536" s="76">
        <f t="shared" si="949"/>
        <v>0</v>
      </c>
      <c r="S2536" s="76">
        <f t="shared" si="950"/>
        <v>1.0089130434782609</v>
      </c>
      <c r="T2536" s="76">
        <f t="shared" si="951"/>
        <v>0.98913043478260865</v>
      </c>
      <c r="U2536" s="76">
        <f t="shared" si="952"/>
        <v>1.02</v>
      </c>
    </row>
    <row r="2537" spans="1:21" x14ac:dyDescent="0.25">
      <c r="A2537" s="71">
        <v>29</v>
      </c>
      <c r="B2537" s="72">
        <f t="shared" si="953"/>
        <v>46508</v>
      </c>
      <c r="C2537" s="73">
        <f t="shared" si="934"/>
        <v>46538</v>
      </c>
      <c r="D2537" s="67">
        <f t="shared" si="935"/>
        <v>31</v>
      </c>
      <c r="E2537" s="67">
        <f t="shared" si="936"/>
        <v>5</v>
      </c>
      <c r="F2537" s="74">
        <f t="shared" si="937"/>
        <v>46523.5</v>
      </c>
      <c r="G2537" s="67">
        <f t="shared" si="938"/>
        <v>24328</v>
      </c>
      <c r="H2537" s="75">
        <f t="shared" si="939"/>
        <v>1</v>
      </c>
      <c r="I2537" s="76">
        <f t="shared" si="940"/>
        <v>1.02</v>
      </c>
      <c r="J2537" s="76">
        <f t="shared" si="941"/>
        <v>1.02</v>
      </c>
      <c r="K2537" s="67">
        <f t="shared" si="942"/>
        <v>0</v>
      </c>
      <c r="L2537" s="67">
        <f t="shared" si="943"/>
        <v>0</v>
      </c>
      <c r="M2537" s="77">
        <f t="shared" si="944"/>
        <v>0</v>
      </c>
      <c r="N2537" s="76">
        <f t="shared" si="945"/>
        <v>1.02</v>
      </c>
      <c r="O2537" s="77">
        <f t="shared" si="946"/>
        <v>0.91</v>
      </c>
      <c r="P2537" s="76">
        <f t="shared" si="947"/>
        <v>0</v>
      </c>
      <c r="Q2537" s="76">
        <f t="shared" si="948"/>
        <v>1</v>
      </c>
      <c r="R2537" s="76">
        <f t="shared" si="949"/>
        <v>0</v>
      </c>
      <c r="S2537" s="76">
        <f t="shared" si="950"/>
        <v>1.0089130434782609</v>
      </c>
      <c r="T2537" s="76">
        <f t="shared" si="951"/>
        <v>0.98913043478260865</v>
      </c>
      <c r="U2537" s="76">
        <f t="shared" si="952"/>
        <v>1.02</v>
      </c>
    </row>
    <row r="2538" spans="1:21" x14ac:dyDescent="0.25">
      <c r="A2538" s="71">
        <v>30</v>
      </c>
      <c r="B2538" s="72">
        <f t="shared" si="953"/>
        <v>46539</v>
      </c>
      <c r="C2538" s="73">
        <f t="shared" si="934"/>
        <v>46568</v>
      </c>
      <c r="D2538" s="67">
        <f t="shared" si="935"/>
        <v>30</v>
      </c>
      <c r="E2538" s="67">
        <f t="shared" si="936"/>
        <v>6</v>
      </c>
      <c r="F2538" s="74">
        <f t="shared" si="937"/>
        <v>46554</v>
      </c>
      <c r="G2538" s="67">
        <f t="shared" si="938"/>
        <v>24329</v>
      </c>
      <c r="H2538" s="75">
        <f t="shared" si="939"/>
        <v>1</v>
      </c>
      <c r="I2538" s="76">
        <f t="shared" si="940"/>
        <v>1.02</v>
      </c>
      <c r="J2538" s="76">
        <f t="shared" si="941"/>
        <v>1.0608</v>
      </c>
      <c r="K2538" s="67">
        <f t="shared" si="942"/>
        <v>1</v>
      </c>
      <c r="L2538" s="67">
        <f t="shared" si="943"/>
        <v>30</v>
      </c>
      <c r="M2538" s="77">
        <f t="shared" si="944"/>
        <v>1</v>
      </c>
      <c r="N2538" s="76">
        <f t="shared" si="945"/>
        <v>1.0608</v>
      </c>
      <c r="O2538" s="77">
        <f t="shared" si="946"/>
        <v>0.91</v>
      </c>
      <c r="P2538" s="76">
        <f t="shared" si="947"/>
        <v>0</v>
      </c>
      <c r="Q2538" s="76">
        <f t="shared" si="948"/>
        <v>1</v>
      </c>
      <c r="R2538" s="76">
        <f t="shared" si="949"/>
        <v>0</v>
      </c>
      <c r="S2538" s="76">
        <f t="shared" si="950"/>
        <v>1.0492695652173911</v>
      </c>
      <c r="T2538" s="76">
        <f t="shared" si="951"/>
        <v>0.98913043478260865</v>
      </c>
      <c r="U2538" s="76">
        <f t="shared" si="952"/>
        <v>1.0608</v>
      </c>
    </row>
    <row r="2539" spans="1:21" x14ac:dyDescent="0.25">
      <c r="A2539" s="71">
        <v>31</v>
      </c>
      <c r="B2539" s="72">
        <f t="shared" si="953"/>
        <v>46569</v>
      </c>
      <c r="C2539" s="73">
        <f t="shared" si="934"/>
        <v>46599</v>
      </c>
      <c r="D2539" s="67">
        <f t="shared" si="935"/>
        <v>31</v>
      </c>
      <c r="E2539" s="67">
        <f t="shared" si="936"/>
        <v>7</v>
      </c>
      <c r="F2539" s="74">
        <f t="shared" si="937"/>
        <v>46584.5</v>
      </c>
      <c r="G2539" s="67">
        <f t="shared" si="938"/>
        <v>24330</v>
      </c>
      <c r="H2539" s="75">
        <f t="shared" si="939"/>
        <v>1</v>
      </c>
      <c r="I2539" s="76">
        <f t="shared" si="940"/>
        <v>1.0608</v>
      </c>
      <c r="J2539" s="76">
        <f t="shared" si="941"/>
        <v>1.0608</v>
      </c>
      <c r="K2539" s="67">
        <f t="shared" si="942"/>
        <v>0</v>
      </c>
      <c r="L2539" s="67">
        <f t="shared" si="943"/>
        <v>0</v>
      </c>
      <c r="M2539" s="77">
        <f t="shared" si="944"/>
        <v>0</v>
      </c>
      <c r="N2539" s="76">
        <f t="shared" si="945"/>
        <v>1.0608</v>
      </c>
      <c r="O2539" s="77">
        <f t="shared" si="946"/>
        <v>0.91</v>
      </c>
      <c r="P2539" s="76">
        <f t="shared" si="947"/>
        <v>0</v>
      </c>
      <c r="Q2539" s="76">
        <f t="shared" si="948"/>
        <v>0.91666666666666663</v>
      </c>
      <c r="R2539" s="76">
        <f t="shared" si="949"/>
        <v>8.333333333333337E-2</v>
      </c>
      <c r="S2539" s="76">
        <f t="shared" si="950"/>
        <v>1.0492695652173911</v>
      </c>
      <c r="T2539" s="76">
        <f t="shared" si="951"/>
        <v>0.98913043478260865</v>
      </c>
      <c r="U2539" s="76">
        <f t="shared" si="952"/>
        <v>1.0608</v>
      </c>
    </row>
    <row r="2540" spans="1:21" x14ac:dyDescent="0.25">
      <c r="A2540" s="71">
        <v>32</v>
      </c>
      <c r="B2540" s="72">
        <f t="shared" si="953"/>
        <v>46600</v>
      </c>
      <c r="C2540" s="73">
        <f t="shared" si="934"/>
        <v>46630</v>
      </c>
      <c r="D2540" s="67">
        <f t="shared" si="935"/>
        <v>31</v>
      </c>
      <c r="E2540" s="67">
        <f t="shared" si="936"/>
        <v>8</v>
      </c>
      <c r="F2540" s="74">
        <f t="shared" si="937"/>
        <v>46615.5</v>
      </c>
      <c r="G2540" s="67">
        <f t="shared" si="938"/>
        <v>24331</v>
      </c>
      <c r="H2540" s="75">
        <f t="shared" si="939"/>
        <v>1</v>
      </c>
      <c r="I2540" s="76">
        <f t="shared" si="940"/>
        <v>1.0608</v>
      </c>
      <c r="J2540" s="76">
        <f t="shared" si="941"/>
        <v>1.0608</v>
      </c>
      <c r="K2540" s="67">
        <f t="shared" si="942"/>
        <v>0</v>
      </c>
      <c r="L2540" s="67">
        <f t="shared" si="943"/>
        <v>0</v>
      </c>
      <c r="M2540" s="77">
        <f t="shared" si="944"/>
        <v>0</v>
      </c>
      <c r="N2540" s="76">
        <f t="shared" si="945"/>
        <v>1.0608</v>
      </c>
      <c r="O2540" s="77">
        <f t="shared" si="946"/>
        <v>0.91</v>
      </c>
      <c r="P2540" s="76">
        <f t="shared" si="947"/>
        <v>0</v>
      </c>
      <c r="Q2540" s="76">
        <f t="shared" si="948"/>
        <v>0.75</v>
      </c>
      <c r="R2540" s="76">
        <f t="shared" si="949"/>
        <v>0.25</v>
      </c>
      <c r="S2540" s="76">
        <f t="shared" si="950"/>
        <v>1.0492695652173911</v>
      </c>
      <c r="T2540" s="76">
        <f t="shared" si="951"/>
        <v>0.98913043478260865</v>
      </c>
      <c r="U2540" s="76">
        <f t="shared" si="952"/>
        <v>1.0608</v>
      </c>
    </row>
    <row r="2541" spans="1:21" x14ac:dyDescent="0.25">
      <c r="A2541" s="71">
        <v>33</v>
      </c>
      <c r="B2541" s="72">
        <f t="shared" si="953"/>
        <v>46631</v>
      </c>
      <c r="C2541" s="73">
        <f t="shared" si="934"/>
        <v>46660</v>
      </c>
      <c r="D2541" s="67">
        <f t="shared" si="935"/>
        <v>30</v>
      </c>
      <c r="E2541" s="67">
        <f t="shared" si="936"/>
        <v>9</v>
      </c>
      <c r="F2541" s="74">
        <f t="shared" si="937"/>
        <v>46646</v>
      </c>
      <c r="G2541" s="67">
        <f t="shared" si="938"/>
        <v>24332</v>
      </c>
      <c r="H2541" s="75">
        <f t="shared" si="939"/>
        <v>1</v>
      </c>
      <c r="I2541" s="76">
        <f t="shared" si="940"/>
        <v>1.0608</v>
      </c>
      <c r="J2541" s="76">
        <f t="shared" si="941"/>
        <v>1.0608</v>
      </c>
      <c r="K2541" s="67">
        <f t="shared" si="942"/>
        <v>0</v>
      </c>
      <c r="L2541" s="67">
        <f t="shared" si="943"/>
        <v>0</v>
      </c>
      <c r="M2541" s="77">
        <f t="shared" si="944"/>
        <v>0</v>
      </c>
      <c r="N2541" s="76">
        <f t="shared" si="945"/>
        <v>1.0608</v>
      </c>
      <c r="O2541" s="77">
        <f t="shared" si="946"/>
        <v>0.91</v>
      </c>
      <c r="P2541" s="76">
        <f t="shared" si="947"/>
        <v>0</v>
      </c>
      <c r="Q2541" s="76">
        <f t="shared" si="948"/>
        <v>0.58333333333333337</v>
      </c>
      <c r="R2541" s="76">
        <f t="shared" si="949"/>
        <v>0.41666666666666663</v>
      </c>
      <c r="S2541" s="76">
        <f t="shared" si="950"/>
        <v>1.0492695652173911</v>
      </c>
      <c r="T2541" s="76">
        <f t="shared" si="951"/>
        <v>0.98913043478260865</v>
      </c>
      <c r="U2541" s="76">
        <f t="shared" si="952"/>
        <v>1.0608</v>
      </c>
    </row>
    <row r="2542" spans="1:21" x14ac:dyDescent="0.25">
      <c r="A2542" s="71">
        <v>34</v>
      </c>
      <c r="B2542" s="72">
        <f t="shared" si="953"/>
        <v>46661</v>
      </c>
      <c r="C2542" s="73">
        <f t="shared" si="934"/>
        <v>46691</v>
      </c>
      <c r="D2542" s="67">
        <f t="shared" si="935"/>
        <v>31</v>
      </c>
      <c r="E2542" s="67">
        <f t="shared" si="936"/>
        <v>10</v>
      </c>
      <c r="F2542" s="74">
        <f t="shared" si="937"/>
        <v>46676.5</v>
      </c>
      <c r="G2542" s="67">
        <f t="shared" si="938"/>
        <v>24333</v>
      </c>
      <c r="H2542" s="75">
        <f t="shared" si="939"/>
        <v>1</v>
      </c>
      <c r="I2542" s="76">
        <f t="shared" si="940"/>
        <v>1.0608</v>
      </c>
      <c r="J2542" s="76">
        <f t="shared" si="941"/>
        <v>1.0608</v>
      </c>
      <c r="K2542" s="67">
        <f t="shared" si="942"/>
        <v>0</v>
      </c>
      <c r="L2542" s="67">
        <f t="shared" si="943"/>
        <v>0</v>
      </c>
      <c r="M2542" s="77">
        <f t="shared" si="944"/>
        <v>0</v>
      </c>
      <c r="N2542" s="76">
        <f t="shared" si="945"/>
        <v>1.0608</v>
      </c>
      <c r="O2542" s="77">
        <f t="shared" si="946"/>
        <v>0.91</v>
      </c>
      <c r="P2542" s="76">
        <f t="shared" si="947"/>
        <v>0</v>
      </c>
      <c r="Q2542" s="76">
        <f t="shared" si="948"/>
        <v>0.41666666666666669</v>
      </c>
      <c r="R2542" s="76">
        <f t="shared" si="949"/>
        <v>0.58333333333333326</v>
      </c>
      <c r="S2542" s="76">
        <f t="shared" si="950"/>
        <v>1.0492695652173911</v>
      </c>
      <c r="T2542" s="76">
        <f t="shared" si="951"/>
        <v>1.0089130434782609</v>
      </c>
      <c r="U2542" s="76">
        <f t="shared" si="952"/>
        <v>1.0608</v>
      </c>
    </row>
    <row r="2543" spans="1:21" x14ac:dyDescent="0.25">
      <c r="A2543" s="71">
        <v>35</v>
      </c>
      <c r="B2543" s="72">
        <f t="shared" si="953"/>
        <v>46692</v>
      </c>
      <c r="C2543" s="73">
        <f t="shared" si="934"/>
        <v>46721</v>
      </c>
      <c r="D2543" s="67">
        <f t="shared" si="935"/>
        <v>30</v>
      </c>
      <c r="E2543" s="67">
        <f t="shared" si="936"/>
        <v>11</v>
      </c>
      <c r="F2543" s="74">
        <f t="shared" si="937"/>
        <v>46707</v>
      </c>
      <c r="G2543" s="67">
        <f t="shared" si="938"/>
        <v>24334</v>
      </c>
      <c r="H2543" s="75">
        <f t="shared" si="939"/>
        <v>1</v>
      </c>
      <c r="I2543" s="76">
        <f t="shared" si="940"/>
        <v>1.0608</v>
      </c>
      <c r="J2543" s="76">
        <f t="shared" si="941"/>
        <v>1.0608</v>
      </c>
      <c r="K2543" s="67">
        <f t="shared" si="942"/>
        <v>0</v>
      </c>
      <c r="L2543" s="67">
        <f t="shared" si="943"/>
        <v>0</v>
      </c>
      <c r="M2543" s="77">
        <f t="shared" si="944"/>
        <v>0</v>
      </c>
      <c r="N2543" s="76">
        <f t="shared" si="945"/>
        <v>1.0608</v>
      </c>
      <c r="O2543" s="77">
        <f t="shared" si="946"/>
        <v>0.91</v>
      </c>
      <c r="P2543" s="76">
        <f t="shared" si="947"/>
        <v>0</v>
      </c>
      <c r="Q2543" s="76">
        <f t="shared" si="948"/>
        <v>0.25</v>
      </c>
      <c r="R2543" s="76">
        <f t="shared" si="949"/>
        <v>0.75</v>
      </c>
      <c r="S2543" s="76">
        <f t="shared" si="950"/>
        <v>1.0492695652173911</v>
      </c>
      <c r="T2543" s="76">
        <f t="shared" si="951"/>
        <v>1.0089130434782609</v>
      </c>
      <c r="U2543" s="76">
        <f t="shared" si="952"/>
        <v>1.0608</v>
      </c>
    </row>
    <row r="2544" spans="1:21" x14ac:dyDescent="0.25">
      <c r="A2544" s="71">
        <v>36</v>
      </c>
      <c r="B2544" s="72">
        <f t="shared" si="953"/>
        <v>46722</v>
      </c>
      <c r="C2544" s="73">
        <f t="shared" si="934"/>
        <v>46752</v>
      </c>
      <c r="D2544" s="67">
        <f t="shared" si="935"/>
        <v>31</v>
      </c>
      <c r="E2544" s="67">
        <f t="shared" si="936"/>
        <v>12</v>
      </c>
      <c r="F2544" s="74">
        <f t="shared" si="937"/>
        <v>46737.5</v>
      </c>
      <c r="G2544" s="67">
        <f t="shared" si="938"/>
        <v>24335</v>
      </c>
      <c r="H2544" s="75">
        <f t="shared" si="939"/>
        <v>1</v>
      </c>
      <c r="I2544" s="76">
        <f t="shared" si="940"/>
        <v>1.0608</v>
      </c>
      <c r="J2544" s="76">
        <f t="shared" si="941"/>
        <v>1.0608</v>
      </c>
      <c r="K2544" s="67">
        <f t="shared" si="942"/>
        <v>0</v>
      </c>
      <c r="L2544" s="67">
        <f t="shared" si="943"/>
        <v>0</v>
      </c>
      <c r="M2544" s="77">
        <f t="shared" si="944"/>
        <v>0</v>
      </c>
      <c r="N2544" s="76">
        <f t="shared" si="945"/>
        <v>1.0608</v>
      </c>
      <c r="O2544" s="77">
        <f t="shared" si="946"/>
        <v>0.91</v>
      </c>
      <c r="P2544" s="76">
        <f t="shared" si="947"/>
        <v>0</v>
      </c>
      <c r="Q2544" s="76">
        <f t="shared" si="948"/>
        <v>8.3333333333333329E-2</v>
      </c>
      <c r="R2544" s="76">
        <f t="shared" si="949"/>
        <v>0.91666666666666663</v>
      </c>
      <c r="S2544" s="76">
        <f t="shared" si="950"/>
        <v>1.0492695652173911</v>
      </c>
      <c r="T2544" s="76">
        <f t="shared" si="951"/>
        <v>1.0089130434782609</v>
      </c>
      <c r="U2544" s="76">
        <f t="shared" si="952"/>
        <v>1.0608</v>
      </c>
    </row>
    <row r="2545" spans="1:21" x14ac:dyDescent="0.25">
      <c r="A2545" s="71">
        <v>37</v>
      </c>
      <c r="B2545" s="72">
        <f t="shared" si="953"/>
        <v>46753</v>
      </c>
      <c r="C2545" s="73">
        <f t="shared" si="934"/>
        <v>46783</v>
      </c>
      <c r="D2545" s="67">
        <f t="shared" si="935"/>
        <v>31</v>
      </c>
      <c r="E2545" s="67">
        <f t="shared" si="936"/>
        <v>1</v>
      </c>
      <c r="F2545" s="74">
        <f t="shared" si="937"/>
        <v>46768.5</v>
      </c>
      <c r="G2545" s="67">
        <f t="shared" si="938"/>
        <v>24336</v>
      </c>
      <c r="H2545" s="75">
        <f t="shared" si="939"/>
        <v>1</v>
      </c>
      <c r="I2545" s="76">
        <f t="shared" si="940"/>
        <v>1.0608</v>
      </c>
      <c r="J2545" s="76">
        <f t="shared" si="941"/>
        <v>1.0608</v>
      </c>
      <c r="K2545" s="67">
        <f t="shared" si="942"/>
        <v>0</v>
      </c>
      <c r="L2545" s="67">
        <f t="shared" si="943"/>
        <v>0</v>
      </c>
      <c r="M2545" s="77">
        <f t="shared" si="944"/>
        <v>0</v>
      </c>
      <c r="N2545" s="76">
        <f t="shared" si="945"/>
        <v>1.0608</v>
      </c>
      <c r="O2545" s="77">
        <f t="shared" si="946"/>
        <v>0.91</v>
      </c>
      <c r="P2545" s="76">
        <f t="shared" si="947"/>
        <v>0</v>
      </c>
      <c r="Q2545" s="76">
        <f t="shared" si="948"/>
        <v>0</v>
      </c>
      <c r="R2545" s="76">
        <f t="shared" si="949"/>
        <v>1</v>
      </c>
      <c r="S2545" s="76">
        <f t="shared" si="950"/>
        <v>1.0492695652173911</v>
      </c>
      <c r="T2545" s="76">
        <f t="shared" si="951"/>
        <v>0.98913043478260865</v>
      </c>
      <c r="U2545" s="76">
        <f t="shared" si="952"/>
        <v>1.0608</v>
      </c>
    </row>
    <row r="2546" spans="1:21" x14ac:dyDescent="0.25">
      <c r="A2546" s="71">
        <v>38</v>
      </c>
      <c r="B2546" s="72">
        <f t="shared" si="953"/>
        <v>46784</v>
      </c>
      <c r="C2546" s="73">
        <f t="shared" si="934"/>
        <v>46812</v>
      </c>
      <c r="D2546" s="67">
        <f t="shared" si="935"/>
        <v>29</v>
      </c>
      <c r="E2546" s="67">
        <f t="shared" si="936"/>
        <v>2</v>
      </c>
      <c r="F2546" s="74">
        <f t="shared" si="937"/>
        <v>46798.5</v>
      </c>
      <c r="G2546" s="67">
        <f t="shared" si="938"/>
        <v>24337</v>
      </c>
      <c r="H2546" s="75">
        <f t="shared" si="939"/>
        <v>1</v>
      </c>
      <c r="I2546" s="76">
        <f t="shared" si="940"/>
        <v>1.0608</v>
      </c>
      <c r="J2546" s="76">
        <f t="shared" si="941"/>
        <v>1.0608</v>
      </c>
      <c r="K2546" s="67">
        <f t="shared" si="942"/>
        <v>0</v>
      </c>
      <c r="L2546" s="67">
        <f t="shared" si="943"/>
        <v>0</v>
      </c>
      <c r="M2546" s="77">
        <f t="shared" si="944"/>
        <v>0</v>
      </c>
      <c r="N2546" s="76">
        <f t="shared" si="945"/>
        <v>1.0608</v>
      </c>
      <c r="O2546" s="77">
        <f t="shared" si="946"/>
        <v>0.91</v>
      </c>
      <c r="P2546" s="76">
        <f t="shared" si="947"/>
        <v>0</v>
      </c>
      <c r="Q2546" s="76">
        <f t="shared" si="948"/>
        <v>0</v>
      </c>
      <c r="R2546" s="76">
        <f t="shared" si="949"/>
        <v>1</v>
      </c>
      <c r="S2546" s="76">
        <f t="shared" si="950"/>
        <v>1.0492695652173911</v>
      </c>
      <c r="T2546" s="76">
        <f t="shared" si="951"/>
        <v>0.98913043478260865</v>
      </c>
      <c r="U2546" s="76">
        <f t="shared" si="952"/>
        <v>1.0608</v>
      </c>
    </row>
    <row r="2547" spans="1:21" x14ac:dyDescent="0.25">
      <c r="A2547" s="71">
        <v>39</v>
      </c>
      <c r="B2547" s="72">
        <f t="shared" si="953"/>
        <v>46813</v>
      </c>
      <c r="C2547" s="73">
        <f t="shared" si="934"/>
        <v>46843</v>
      </c>
      <c r="D2547" s="67">
        <f t="shared" si="935"/>
        <v>31</v>
      </c>
      <c r="E2547" s="67">
        <f t="shared" si="936"/>
        <v>3</v>
      </c>
      <c r="F2547" s="74">
        <f t="shared" si="937"/>
        <v>46828.5</v>
      </c>
      <c r="G2547" s="67">
        <f t="shared" si="938"/>
        <v>24338</v>
      </c>
      <c r="H2547" s="75">
        <f t="shared" si="939"/>
        <v>1</v>
      </c>
      <c r="I2547" s="76">
        <f t="shared" si="940"/>
        <v>1.0608</v>
      </c>
      <c r="J2547" s="76">
        <f t="shared" si="941"/>
        <v>1.0608</v>
      </c>
      <c r="K2547" s="67">
        <f t="shared" si="942"/>
        <v>0</v>
      </c>
      <c r="L2547" s="67">
        <f t="shared" si="943"/>
        <v>0</v>
      </c>
      <c r="M2547" s="77">
        <f t="shared" si="944"/>
        <v>0</v>
      </c>
      <c r="N2547" s="76">
        <f t="shared" si="945"/>
        <v>1.0608</v>
      </c>
      <c r="O2547" s="77">
        <f t="shared" si="946"/>
        <v>0.91</v>
      </c>
      <c r="P2547" s="76">
        <f t="shared" si="947"/>
        <v>0</v>
      </c>
      <c r="Q2547" s="76">
        <f t="shared" si="948"/>
        <v>0</v>
      </c>
      <c r="R2547" s="76">
        <f t="shared" si="949"/>
        <v>1</v>
      </c>
      <c r="S2547" s="76">
        <f t="shared" si="950"/>
        <v>1.0492695652173911</v>
      </c>
      <c r="T2547" s="76">
        <f t="shared" si="951"/>
        <v>0.98913043478260865</v>
      </c>
      <c r="U2547" s="76">
        <f t="shared" si="952"/>
        <v>1.0608</v>
      </c>
    </row>
    <row r="2548" spans="1:21" x14ac:dyDescent="0.25">
      <c r="A2548" s="71">
        <v>40</v>
      </c>
      <c r="B2548" s="72">
        <f t="shared" si="953"/>
        <v>46844</v>
      </c>
      <c r="C2548" s="73">
        <f t="shared" si="934"/>
        <v>46873</v>
      </c>
      <c r="D2548" s="67">
        <f t="shared" si="935"/>
        <v>30</v>
      </c>
      <c r="E2548" s="67">
        <f t="shared" si="936"/>
        <v>4</v>
      </c>
      <c r="F2548" s="74">
        <f t="shared" si="937"/>
        <v>46859</v>
      </c>
      <c r="G2548" s="67">
        <f t="shared" si="938"/>
        <v>24339</v>
      </c>
      <c r="H2548" s="75">
        <f t="shared" si="939"/>
        <v>1</v>
      </c>
      <c r="I2548" s="76">
        <f t="shared" si="940"/>
        <v>1.0608</v>
      </c>
      <c r="J2548" s="76">
        <f t="shared" si="941"/>
        <v>1.0608</v>
      </c>
      <c r="K2548" s="67">
        <f t="shared" si="942"/>
        <v>0</v>
      </c>
      <c r="L2548" s="67">
        <f t="shared" si="943"/>
        <v>0</v>
      </c>
      <c r="M2548" s="77">
        <f t="shared" si="944"/>
        <v>0</v>
      </c>
      <c r="N2548" s="76">
        <f t="shared" si="945"/>
        <v>1.0608</v>
      </c>
      <c r="O2548" s="77">
        <f t="shared" si="946"/>
        <v>0.91</v>
      </c>
      <c r="P2548" s="76">
        <f t="shared" si="947"/>
        <v>0</v>
      </c>
      <c r="Q2548" s="76">
        <f t="shared" si="948"/>
        <v>0</v>
      </c>
      <c r="R2548" s="76">
        <f t="shared" si="949"/>
        <v>1</v>
      </c>
      <c r="S2548" s="76">
        <f t="shared" si="950"/>
        <v>1.0492695652173911</v>
      </c>
      <c r="T2548" s="76">
        <f t="shared" si="951"/>
        <v>0.98913043478260865</v>
      </c>
      <c r="U2548" s="76">
        <f t="shared" si="952"/>
        <v>1.0608</v>
      </c>
    </row>
    <row r="2549" spans="1:21" x14ac:dyDescent="0.25">
      <c r="A2549" s="71">
        <v>41</v>
      </c>
      <c r="B2549" s="72">
        <f t="shared" si="953"/>
        <v>46874</v>
      </c>
      <c r="C2549" s="73">
        <f t="shared" si="934"/>
        <v>46904</v>
      </c>
      <c r="D2549" s="67">
        <f t="shared" si="935"/>
        <v>31</v>
      </c>
      <c r="E2549" s="67">
        <f t="shared" si="936"/>
        <v>5</v>
      </c>
      <c r="F2549" s="74">
        <f t="shared" si="937"/>
        <v>46889.5</v>
      </c>
      <c r="G2549" s="67">
        <f t="shared" si="938"/>
        <v>24340</v>
      </c>
      <c r="H2549" s="75">
        <f t="shared" si="939"/>
        <v>1</v>
      </c>
      <c r="I2549" s="76">
        <f t="shared" si="940"/>
        <v>1.0608</v>
      </c>
      <c r="J2549" s="76">
        <f t="shared" si="941"/>
        <v>1.0608</v>
      </c>
      <c r="K2549" s="67">
        <f t="shared" si="942"/>
        <v>0</v>
      </c>
      <c r="L2549" s="67">
        <f t="shared" si="943"/>
        <v>0</v>
      </c>
      <c r="M2549" s="77">
        <f t="shared" si="944"/>
        <v>0</v>
      </c>
      <c r="N2549" s="76">
        <f t="shared" si="945"/>
        <v>1.0608</v>
      </c>
      <c r="O2549" s="77">
        <f t="shared" si="946"/>
        <v>0.91</v>
      </c>
      <c r="P2549" s="76">
        <f t="shared" si="947"/>
        <v>0</v>
      </c>
      <c r="Q2549" s="76">
        <f t="shared" si="948"/>
        <v>0</v>
      </c>
      <c r="R2549" s="76">
        <f t="shared" si="949"/>
        <v>1</v>
      </c>
      <c r="S2549" s="76">
        <f t="shared" si="950"/>
        <v>1.0492695652173911</v>
      </c>
      <c r="T2549" s="76">
        <f t="shared" si="951"/>
        <v>0.98913043478260865</v>
      </c>
      <c r="U2549" s="76">
        <f t="shared" si="952"/>
        <v>1.0608</v>
      </c>
    </row>
    <row r="2550" spans="1:21" x14ac:dyDescent="0.25">
      <c r="A2550" s="71">
        <v>42</v>
      </c>
      <c r="B2550" s="72">
        <f t="shared" si="953"/>
        <v>46905</v>
      </c>
      <c r="C2550" s="73">
        <f t="shared" si="934"/>
        <v>46934</v>
      </c>
      <c r="D2550" s="67">
        <f t="shared" si="935"/>
        <v>30</v>
      </c>
      <c r="E2550" s="67">
        <f t="shared" si="936"/>
        <v>6</v>
      </c>
      <c r="F2550" s="74">
        <f t="shared" si="937"/>
        <v>46920</v>
      </c>
      <c r="G2550" s="67">
        <f t="shared" si="938"/>
        <v>24341</v>
      </c>
      <c r="H2550" s="75">
        <f t="shared" si="939"/>
        <v>1</v>
      </c>
      <c r="I2550" s="76">
        <f t="shared" si="940"/>
        <v>1.0608</v>
      </c>
      <c r="J2550" s="76">
        <f t="shared" si="941"/>
        <v>1.0608</v>
      </c>
      <c r="K2550" s="67">
        <f t="shared" si="942"/>
        <v>0</v>
      </c>
      <c r="L2550" s="67">
        <f t="shared" si="943"/>
        <v>0</v>
      </c>
      <c r="M2550" s="77">
        <f t="shared" si="944"/>
        <v>0</v>
      </c>
      <c r="N2550" s="76">
        <f t="shared" si="945"/>
        <v>1.0608</v>
      </c>
      <c r="O2550" s="77">
        <f t="shared" si="946"/>
        <v>0.91</v>
      </c>
      <c r="P2550" s="76">
        <f t="shared" si="947"/>
        <v>0</v>
      </c>
      <c r="Q2550" s="76">
        <f t="shared" si="948"/>
        <v>0</v>
      </c>
      <c r="R2550" s="76">
        <f t="shared" si="949"/>
        <v>1</v>
      </c>
      <c r="S2550" s="76">
        <f t="shared" si="950"/>
        <v>1.0492695652173911</v>
      </c>
      <c r="T2550" s="76">
        <f t="shared" si="951"/>
        <v>0.98913043478260865</v>
      </c>
      <c r="U2550" s="76">
        <f t="shared" si="952"/>
        <v>1.0608</v>
      </c>
    </row>
    <row r="2551" spans="1:21" x14ac:dyDescent="0.25">
      <c r="A2551" s="71">
        <v>43</v>
      </c>
      <c r="B2551" s="72">
        <f t="shared" si="953"/>
        <v>46935</v>
      </c>
      <c r="C2551" s="73">
        <f t="shared" si="934"/>
        <v>46965</v>
      </c>
      <c r="D2551" s="67">
        <f t="shared" si="935"/>
        <v>31</v>
      </c>
      <c r="E2551" s="67">
        <f t="shared" si="936"/>
        <v>7</v>
      </c>
      <c r="F2551" s="74">
        <f t="shared" si="937"/>
        <v>46950.5</v>
      </c>
      <c r="G2551" s="67">
        <f t="shared" si="938"/>
        <v>24342</v>
      </c>
      <c r="H2551" s="75">
        <f t="shared" si="939"/>
        <v>1</v>
      </c>
      <c r="I2551" s="76">
        <f t="shared" si="940"/>
        <v>1.0608</v>
      </c>
      <c r="J2551" s="76">
        <f t="shared" si="941"/>
        <v>1.0608</v>
      </c>
      <c r="K2551" s="67">
        <f t="shared" si="942"/>
        <v>0</v>
      </c>
      <c r="L2551" s="67">
        <f t="shared" si="943"/>
        <v>0</v>
      </c>
      <c r="M2551" s="77">
        <f t="shared" si="944"/>
        <v>0</v>
      </c>
      <c r="N2551" s="76">
        <f t="shared" si="945"/>
        <v>1.0608</v>
      </c>
      <c r="O2551" s="77">
        <f t="shared" si="946"/>
        <v>0.91</v>
      </c>
      <c r="P2551" s="76">
        <f t="shared" si="947"/>
        <v>0</v>
      </c>
      <c r="Q2551" s="76">
        <f t="shared" si="948"/>
        <v>0</v>
      </c>
      <c r="R2551" s="76">
        <f t="shared" si="949"/>
        <v>0.91666666666666663</v>
      </c>
      <c r="S2551" s="76">
        <f t="shared" si="950"/>
        <v>1.0492695652173911</v>
      </c>
      <c r="T2551" s="76">
        <f t="shared" si="951"/>
        <v>0.98913043478260865</v>
      </c>
      <c r="U2551" s="76">
        <f t="shared" si="952"/>
        <v>1.0608</v>
      </c>
    </row>
    <row r="2552" spans="1:21" x14ac:dyDescent="0.25">
      <c r="A2552" s="71">
        <v>44</v>
      </c>
      <c r="B2552" s="72">
        <f t="shared" si="953"/>
        <v>46966</v>
      </c>
      <c r="C2552" s="73">
        <f t="shared" si="934"/>
        <v>46996</v>
      </c>
      <c r="D2552" s="67">
        <f t="shared" si="935"/>
        <v>31</v>
      </c>
      <c r="E2552" s="67">
        <f t="shared" si="936"/>
        <v>8</v>
      </c>
      <c r="F2552" s="74">
        <f t="shared" si="937"/>
        <v>46981.5</v>
      </c>
      <c r="G2552" s="67">
        <f t="shared" si="938"/>
        <v>24343</v>
      </c>
      <c r="H2552" s="75">
        <f t="shared" si="939"/>
        <v>1</v>
      </c>
      <c r="I2552" s="76">
        <f t="shared" si="940"/>
        <v>1.0608</v>
      </c>
      <c r="J2552" s="76">
        <f t="shared" si="941"/>
        <v>1.0608</v>
      </c>
      <c r="K2552" s="67">
        <f t="shared" si="942"/>
        <v>0</v>
      </c>
      <c r="L2552" s="67">
        <f t="shared" si="943"/>
        <v>0</v>
      </c>
      <c r="M2552" s="77">
        <f t="shared" si="944"/>
        <v>0</v>
      </c>
      <c r="N2552" s="76">
        <f t="shared" si="945"/>
        <v>1.0608</v>
      </c>
      <c r="O2552" s="77">
        <f t="shared" si="946"/>
        <v>0.91</v>
      </c>
      <c r="P2552" s="76">
        <f t="shared" si="947"/>
        <v>0</v>
      </c>
      <c r="Q2552" s="76">
        <f t="shared" si="948"/>
        <v>0</v>
      </c>
      <c r="R2552" s="76">
        <f t="shared" si="949"/>
        <v>0.75</v>
      </c>
      <c r="S2552" s="76">
        <f t="shared" si="950"/>
        <v>1.0492695652173911</v>
      </c>
      <c r="T2552" s="76">
        <f t="shared" si="951"/>
        <v>0.98913043478260865</v>
      </c>
      <c r="U2552" s="76">
        <f t="shared" si="952"/>
        <v>1.0608</v>
      </c>
    </row>
    <row r="2553" spans="1:21" x14ac:dyDescent="0.25">
      <c r="A2553" s="71">
        <v>45</v>
      </c>
      <c r="B2553" s="72">
        <f t="shared" si="953"/>
        <v>46997</v>
      </c>
      <c r="C2553" s="73">
        <f t="shared" si="934"/>
        <v>47026</v>
      </c>
      <c r="D2553" s="67">
        <f t="shared" si="935"/>
        <v>30</v>
      </c>
      <c r="E2553" s="67">
        <f t="shared" si="936"/>
        <v>9</v>
      </c>
      <c r="F2553" s="74">
        <f t="shared" si="937"/>
        <v>47012</v>
      </c>
      <c r="G2553" s="67">
        <f t="shared" si="938"/>
        <v>24344</v>
      </c>
      <c r="H2553" s="75">
        <f t="shared" si="939"/>
        <v>1</v>
      </c>
      <c r="I2553" s="76">
        <f t="shared" si="940"/>
        <v>1.0608</v>
      </c>
      <c r="J2553" s="76">
        <f t="shared" si="941"/>
        <v>1.0608</v>
      </c>
      <c r="K2553" s="67">
        <f t="shared" si="942"/>
        <v>0</v>
      </c>
      <c r="L2553" s="67">
        <f t="shared" si="943"/>
        <v>0</v>
      </c>
      <c r="M2553" s="77">
        <f t="shared" si="944"/>
        <v>0</v>
      </c>
      <c r="N2553" s="76">
        <f t="shared" si="945"/>
        <v>1.0608</v>
      </c>
      <c r="O2553" s="77">
        <f t="shared" si="946"/>
        <v>0.91</v>
      </c>
      <c r="P2553" s="76">
        <f t="shared" si="947"/>
        <v>0</v>
      </c>
      <c r="Q2553" s="76">
        <f t="shared" si="948"/>
        <v>0</v>
      </c>
      <c r="R2553" s="76">
        <f t="shared" si="949"/>
        <v>0.58333333333333337</v>
      </c>
      <c r="S2553" s="76">
        <f t="shared" si="950"/>
        <v>1.0492695652173911</v>
      </c>
      <c r="T2553" s="76">
        <f t="shared" si="951"/>
        <v>0.98913043478260865</v>
      </c>
      <c r="U2553" s="76">
        <f t="shared" si="952"/>
        <v>1.0608</v>
      </c>
    </row>
    <row r="2554" spans="1:21" x14ac:dyDescent="0.25">
      <c r="A2554" s="71">
        <v>46</v>
      </c>
      <c r="B2554" s="72">
        <f t="shared" si="953"/>
        <v>47027</v>
      </c>
      <c r="C2554" s="73">
        <f t="shared" si="934"/>
        <v>47057</v>
      </c>
      <c r="D2554" s="67">
        <f t="shared" si="935"/>
        <v>31</v>
      </c>
      <c r="E2554" s="67">
        <f t="shared" si="936"/>
        <v>10</v>
      </c>
      <c r="F2554" s="74">
        <f t="shared" si="937"/>
        <v>47042.5</v>
      </c>
      <c r="G2554" s="67">
        <f t="shared" si="938"/>
        <v>24345</v>
      </c>
      <c r="H2554" s="75">
        <f t="shared" si="939"/>
        <v>1</v>
      </c>
      <c r="I2554" s="76">
        <f t="shared" si="940"/>
        <v>1.0608</v>
      </c>
      <c r="J2554" s="76">
        <f t="shared" si="941"/>
        <v>1.0608</v>
      </c>
      <c r="K2554" s="67">
        <f t="shared" si="942"/>
        <v>0</v>
      </c>
      <c r="L2554" s="67">
        <f t="shared" si="943"/>
        <v>0</v>
      </c>
      <c r="M2554" s="77">
        <f t="shared" si="944"/>
        <v>0</v>
      </c>
      <c r="N2554" s="76">
        <f t="shared" si="945"/>
        <v>1.0608</v>
      </c>
      <c r="O2554" s="77">
        <f t="shared" si="946"/>
        <v>0.91</v>
      </c>
      <c r="P2554" s="76">
        <f t="shared" si="947"/>
        <v>0</v>
      </c>
      <c r="Q2554" s="76">
        <f t="shared" si="948"/>
        <v>0</v>
      </c>
      <c r="R2554" s="76">
        <f t="shared" si="949"/>
        <v>0.41666666666666669</v>
      </c>
      <c r="S2554" s="76">
        <f t="shared" si="950"/>
        <v>1.0492695652173911</v>
      </c>
      <c r="T2554" s="76">
        <f t="shared" si="951"/>
        <v>1.0089130434782609</v>
      </c>
      <c r="U2554" s="76">
        <f t="shared" si="952"/>
        <v>1.0608</v>
      </c>
    </row>
    <row r="2555" spans="1:21" x14ac:dyDescent="0.25">
      <c r="A2555" s="71">
        <v>47</v>
      </c>
      <c r="B2555" s="72">
        <f t="shared" si="953"/>
        <v>47058</v>
      </c>
      <c r="C2555" s="73">
        <f t="shared" si="934"/>
        <v>47087</v>
      </c>
      <c r="D2555" s="67">
        <f t="shared" si="935"/>
        <v>30</v>
      </c>
      <c r="E2555" s="67">
        <f t="shared" si="936"/>
        <v>11</v>
      </c>
      <c r="F2555" s="74">
        <f t="shared" si="937"/>
        <v>47073</v>
      </c>
      <c r="G2555" s="67">
        <f t="shared" si="938"/>
        <v>24346</v>
      </c>
      <c r="H2555" s="75">
        <f t="shared" si="939"/>
        <v>1</v>
      </c>
      <c r="I2555" s="76">
        <f t="shared" si="940"/>
        <v>1.0608</v>
      </c>
      <c r="J2555" s="76">
        <f t="shared" si="941"/>
        <v>1.0608</v>
      </c>
      <c r="K2555" s="67">
        <f t="shared" si="942"/>
        <v>0</v>
      </c>
      <c r="L2555" s="67">
        <f t="shared" si="943"/>
        <v>0</v>
      </c>
      <c r="M2555" s="77">
        <f t="shared" si="944"/>
        <v>0</v>
      </c>
      <c r="N2555" s="76">
        <f t="shared" si="945"/>
        <v>1.0608</v>
      </c>
      <c r="O2555" s="77">
        <f t="shared" si="946"/>
        <v>0.91</v>
      </c>
      <c r="P2555" s="76">
        <f t="shared" si="947"/>
        <v>0</v>
      </c>
      <c r="Q2555" s="76">
        <f t="shared" si="948"/>
        <v>0</v>
      </c>
      <c r="R2555" s="76">
        <f t="shared" si="949"/>
        <v>0.25</v>
      </c>
      <c r="S2555" s="76">
        <f t="shared" si="950"/>
        <v>1.0492695652173911</v>
      </c>
      <c r="T2555" s="76">
        <f t="shared" si="951"/>
        <v>1.0089130434782609</v>
      </c>
      <c r="U2555" s="76">
        <f t="shared" si="952"/>
        <v>1.0608</v>
      </c>
    </row>
    <row r="2556" spans="1:21" x14ac:dyDescent="0.25">
      <c r="A2556" s="71">
        <v>48</v>
      </c>
      <c r="B2556" s="72">
        <f t="shared" si="953"/>
        <v>47088</v>
      </c>
      <c r="C2556" s="73">
        <f t="shared" si="934"/>
        <v>47118</v>
      </c>
      <c r="D2556" s="67">
        <f t="shared" si="935"/>
        <v>31</v>
      </c>
      <c r="E2556" s="67">
        <f t="shared" si="936"/>
        <v>12</v>
      </c>
      <c r="F2556" s="74">
        <f t="shared" si="937"/>
        <v>47103.5</v>
      </c>
      <c r="G2556" s="67">
        <f t="shared" si="938"/>
        <v>24347</v>
      </c>
      <c r="H2556" s="75">
        <f t="shared" si="939"/>
        <v>1</v>
      </c>
      <c r="I2556" s="76">
        <f t="shared" si="940"/>
        <v>1.0608</v>
      </c>
      <c r="J2556" s="76">
        <f t="shared" si="941"/>
        <v>1.0608</v>
      </c>
      <c r="K2556" s="67">
        <f t="shared" si="942"/>
        <v>0</v>
      </c>
      <c r="L2556" s="67">
        <f t="shared" si="943"/>
        <v>0</v>
      </c>
      <c r="M2556" s="77">
        <f t="shared" si="944"/>
        <v>0</v>
      </c>
      <c r="N2556" s="76">
        <f t="shared" si="945"/>
        <v>1.0608</v>
      </c>
      <c r="O2556" s="77">
        <f t="shared" si="946"/>
        <v>0.91</v>
      </c>
      <c r="P2556" s="76">
        <f t="shared" si="947"/>
        <v>0</v>
      </c>
      <c r="Q2556" s="76">
        <f t="shared" si="948"/>
        <v>0</v>
      </c>
      <c r="R2556" s="76">
        <f t="shared" si="949"/>
        <v>8.3333333333333329E-2</v>
      </c>
      <c r="S2556" s="76">
        <f t="shared" si="950"/>
        <v>1.0492695652173911</v>
      </c>
      <c r="T2556" s="76">
        <f t="shared" si="951"/>
        <v>1.0089130434782609</v>
      </c>
      <c r="U2556" s="76">
        <f t="shared" si="952"/>
        <v>1.0608</v>
      </c>
    </row>
    <row r="2557" spans="1:21" x14ac:dyDescent="0.25">
      <c r="A2557" s="81" t="s">
        <v>1187</v>
      </c>
      <c r="B2557" s="53">
        <f>EXP(SUMPRODUCT((rl_key=$A$2506)*(rl_cons="Y")*rl_ln1p))</f>
        <v>1.02</v>
      </c>
      <c r="C2557" s="53">
        <f>SUMPRODUCT($H$2509:$H$2556,$P$2509:$P$2556,$U$2509:$U$2556)/SUMPRODUCT($H$2509:$H$2556,$P$2509:$P$2556)</f>
        <v>1.0012500000000002</v>
      </c>
      <c r="D2557" s="53">
        <f>SUMPRODUCT($H$2509:$H$2556,$Q$2509:$Q$2556,$U$2509:$U$2556)/SUMPRODUCT($H$2509:$H$2556,$Q$2509:$Q$2556)</f>
        <v>1.0323499999999999</v>
      </c>
      <c r="E2557" s="53">
        <f>SUMPRODUCT($H$2509:$H$2556,$R$2509:$R$2556,$U$2509:$U$2556)/SUMPRODUCT($H$2509:$H$2556,$R$2509:$R$2556)</f>
        <v>1.0608000000000002</v>
      </c>
      <c r="F2557" s="172">
        <f>SUMPRODUCT($H$2509:$H$2556,$Q$2509:$Q$2556,$O$2509:$O$2556)/SUMPRODUCT($H$2509:$H$2556,$Q$2509:$Q$2556)</f>
        <v>0.90999999999999981</v>
      </c>
      <c r="G2557" s="172">
        <f>SUMPRODUCT($H$2509:$H$2556,$R$2509:$R$2556,$O$2509:$O$2556)/SUMPRODUCT($H$2509:$H$2556,$R$2509:$R$2556)</f>
        <v>0.90999999999999981</v>
      </c>
    </row>
    <row r="2560" spans="1:21" x14ac:dyDescent="0.25">
      <c r="A2560" s="81" t="str">
        <f>INDEX(lr_key,47)</f>
        <v>BU-C|FL</v>
      </c>
      <c r="B2560" s="81" t="str">
        <f>INDEX(lr_state,47)</f>
        <v>FL</v>
      </c>
      <c r="C2560" s="55">
        <f>nr_TermMonths</f>
        <v>6</v>
      </c>
      <c r="D2560" s="55">
        <f>IF(COUNTIF(se_state,$B2560)=0,0,MATCH($B2560,se_state,0))</f>
        <v>0</v>
      </c>
      <c r="E2560" s="57">
        <f>IF($D2560=0,0,INDEX(se_sum,$D2560))</f>
        <v>0</v>
      </c>
      <c r="F2560" s="172">
        <f>IF(N(INDEX(lr_mind,47))=0,1,INDEX(lr_mind,47))</f>
        <v>0.92</v>
      </c>
      <c r="G2560" s="172">
        <f>IF(N(INDEX(lr_m0,47))=0,1,INDEX(lr_m0,47))</f>
        <v>0.91</v>
      </c>
      <c r="H2560" s="54">
        <f>IF(N(INDEX(lr_m0asof,47))=0,DATE(nr_PlanYear-1,10,1),INDEX(lr_m0asof,47))</f>
        <v>46295</v>
      </c>
      <c r="I2560" s="172">
        <f>IF(N(INDEX(lr_m1,47))=0,1,INDEX(lr_m1,47))</f>
        <v>0.92500000000000004</v>
      </c>
      <c r="J2560" s="172">
        <f>INDEX(lr_mprior,47)</f>
        <v>0</v>
      </c>
      <c r="K2560" s="172">
        <f>INDEX(lr_m2,47)</f>
        <v>0</v>
      </c>
      <c r="L2560" s="81" t="b">
        <f>NOT(ISBLANK(INDEX(lr_netp,47)))</f>
        <v>0</v>
      </c>
      <c r="M2560" s="52">
        <f>N(INDEX(lr_netp,47))</f>
        <v>0</v>
      </c>
      <c r="N2560" s="52">
        <f>IF(ISBLANK(INDEX(lr_netp1,47)),$M$2560,N(INDEX(lr_netp1,47)))</f>
        <v>0</v>
      </c>
      <c r="O2560" s="55">
        <f>IF(AND(nr_ModAdjMaster="ON",INDEX(lr_modadj,47)="ON"),1,0)</f>
        <v>1</v>
      </c>
    </row>
    <row r="2561" spans="1:21" x14ac:dyDescent="0.25">
      <c r="A2561" s="81">
        <f>EDATE($H$2560,-12)+1</f>
        <v>45931</v>
      </c>
      <c r="B2561" s="81">
        <f>$H$2560+1</f>
        <v>46296</v>
      </c>
      <c r="C2561" s="81">
        <f>DATE(nr_PlanYear,12,31)+1</f>
        <v>46753</v>
      </c>
      <c r="D2561" s="81">
        <f>DATE(nr_PlanYear+1,12,31)+1</f>
        <v>47119</v>
      </c>
      <c r="E2561" s="81">
        <f>IF(N($J$2560)=0,$F$2561-($G$2561-$F$2561)/($C$2561-$B$2561)*($B$2561-$A$2561),$J$2560)</f>
        <v>0.89801969365426693</v>
      </c>
      <c r="F2561" s="81">
        <f>$G$2560</f>
        <v>0.91</v>
      </c>
      <c r="G2561" s="81">
        <f>$I$2560</f>
        <v>0.92500000000000004</v>
      </c>
      <c r="H2561" s="81">
        <f>IF(N($K$2560)=0,$I$2560,$K$2560)</f>
        <v>0.92500000000000004</v>
      </c>
      <c r="I2561" s="81">
        <f>($F$2561-$E$2561)/($B$2561-$A$2561)</f>
        <v>3.2822757111597549E-5</v>
      </c>
      <c r="J2561" s="81">
        <f>($G$2561-$F$2561)/($C$2561-$B$2561)</f>
        <v>3.2822757111597407E-5</v>
      </c>
      <c r="K2561" s="81">
        <f>($H$2561-$G$2561)/($D$2561-$C$2561)</f>
        <v>0</v>
      </c>
    </row>
    <row r="2562" spans="1:21" ht="36" x14ac:dyDescent="0.25">
      <c r="A2562" s="50" t="s">
        <v>211</v>
      </c>
      <c r="B2562" s="50" t="s">
        <v>212</v>
      </c>
      <c r="C2562" s="50" t="s">
        <v>213</v>
      </c>
      <c r="D2562" s="50" t="s">
        <v>214</v>
      </c>
      <c r="E2562" s="50" t="s">
        <v>215</v>
      </c>
      <c r="F2562" s="50" t="s">
        <v>216</v>
      </c>
      <c r="G2562" s="50" t="s">
        <v>217</v>
      </c>
      <c r="H2562" s="50" t="s">
        <v>218</v>
      </c>
      <c r="I2562" s="50" t="s">
        <v>219</v>
      </c>
      <c r="J2562" s="50" t="s">
        <v>220</v>
      </c>
      <c r="K2562" s="50" t="s">
        <v>221</v>
      </c>
      <c r="L2562" s="50" t="s">
        <v>222</v>
      </c>
      <c r="M2562" s="50" t="s">
        <v>223</v>
      </c>
      <c r="N2562" s="50" t="s">
        <v>224</v>
      </c>
      <c r="O2562" s="50" t="s">
        <v>225</v>
      </c>
      <c r="P2562" s="50" t="s">
        <v>226</v>
      </c>
      <c r="Q2562" s="50" t="s">
        <v>227</v>
      </c>
      <c r="R2562" s="50" t="s">
        <v>228</v>
      </c>
      <c r="S2562" s="50" t="s">
        <v>229</v>
      </c>
      <c r="T2562" s="50" t="s">
        <v>230</v>
      </c>
      <c r="U2562" s="50" t="s">
        <v>231</v>
      </c>
    </row>
    <row r="2563" spans="1:21" x14ac:dyDescent="0.25">
      <c r="A2563" s="71">
        <v>1</v>
      </c>
      <c r="B2563" s="72">
        <f>DATE(nr_PlanYear-2,1,1)</f>
        <v>45658</v>
      </c>
      <c r="C2563" s="73">
        <f t="shared" ref="C2563:C2610" si="954">EOMONTH($B2563,0)</f>
        <v>45688</v>
      </c>
      <c r="D2563" s="67">
        <f t="shared" ref="D2563:D2610" si="955">$C2563-$B2563+1</f>
        <v>31</v>
      </c>
      <c r="E2563" s="67">
        <f t="shared" ref="E2563:E2610" si="956">MONTH($B2563)</f>
        <v>1</v>
      </c>
      <c r="F2563" s="74">
        <f t="shared" ref="F2563:F2610" si="957">($B2563+$C2563+1)/2</f>
        <v>45673.5</v>
      </c>
      <c r="G2563" s="67">
        <f t="shared" ref="G2563:G2610" si="958">YEAR($B2563)*12+MONTH($B2563)-1</f>
        <v>24300</v>
      </c>
      <c r="H2563" s="75">
        <f t="shared" ref="H2563:H2610" si="959">IF(OR(nr_SeasonOn="OFF",$D$2560=0,$E$2560=0),1,12*INDEX(se_block,$D$2560,$E2563)/$E$2560)</f>
        <v>1</v>
      </c>
      <c r="I2563" s="76">
        <f t="shared" ref="I2563:I2610" si="960">EXP(SUMPRODUCT((rl_eff&lt;$B2563)*(rl_key=$A$2560)*rl_ln1p))</f>
        <v>1</v>
      </c>
      <c r="J2563" s="76">
        <f t="shared" ref="J2563:J2610" si="961">EXP(SUMPRODUCT((rl_eff&lt;=$C2563)*(rl_key=$A$2560)*rl_ln1p))</f>
        <v>1</v>
      </c>
      <c r="K2563" s="67">
        <f t="shared" ref="K2563:K2610" si="962">COUNTIFS(rl_key,$A$2560,rl_eff,"&gt;="&amp;$B2563,rl_eff,"&lt;="&amp;$C2563)</f>
        <v>0</v>
      </c>
      <c r="L2563" s="67">
        <f t="shared" ref="L2563:L2610" si="963">SUMIFS(rl_daysafter,rl_key,$A$2560,rl_effmonth,$B2563,rl_first,1)</f>
        <v>0</v>
      </c>
      <c r="M2563" s="77">
        <f t="shared" ref="M2563:M2610" si="964">IF($K2563=0,0,MIN(1,$L2563/$D2563))</f>
        <v>0</v>
      </c>
      <c r="N2563" s="76">
        <f t="shared" ref="N2563:N2610" si="965">IF($K2563=0,$J2563,(1-$M2563)*$I2563+$M2563*$J2563)</f>
        <v>1</v>
      </c>
      <c r="O2563" s="77">
        <f t="shared" ref="O2563:O2610" si="966">IF($F2563&lt;$B$2561,$E$2561+$I$2561*($F2563-$A$2561),IF($F2563&lt;$C$2561,$F$2561+$J$2561*($F2563-$B$2561),$G$2561+$K$2561*($F2563-$C$2561)))</f>
        <v>0.88956783369803061</v>
      </c>
      <c r="P2563" s="76">
        <f t="shared" ref="P2563:P2610" si="967">MIN(1,MAX(0,(nr_MEndPm1-$G2563+0.5)/$C$2560))-MIN(1,MAX(0,(nr_MStartPm1-1-$G2563+0.5)/$C$2560))</f>
        <v>0</v>
      </c>
      <c r="Q2563" s="76">
        <f t="shared" ref="Q2563:Q2610" si="968">MIN(1,MAX(0,(nr_MEndP-$G2563+0.5)/$C$2560))-MIN(1,MAX(0,(nr_MStartP-1-$G2563+0.5)/$C$2560))</f>
        <v>0</v>
      </c>
      <c r="R2563" s="76">
        <f t="shared" ref="R2563:R2610" si="969">MIN(1,MAX(0,(nr_MEndP1-$G2563+0.5)/$C$2560))-MIN(1,MAX(0,(nr_MStartP1-1-$G2563+0.5)/$C$2560))</f>
        <v>0</v>
      </c>
      <c r="S2563" s="76">
        <f t="shared" ref="S2563:S2610" si="970">$N2563*IF($O$2560=1,$O2563/$F$2560,1)</f>
        <v>0.96692155836742455</v>
      </c>
      <c r="T2563" s="76">
        <f t="shared" ref="T2563:T2610" si="971">IF($G2563&lt;nr_MStartP,$S2563,$T2551*(1+IF($G2563&lt;nr_MStartP1,$M$2560,$N$2560)))</f>
        <v>0.96692155836742455</v>
      </c>
      <c r="U2563" s="76">
        <f t="shared" ref="U2563:U2610" si="972">IF($L$2560,$T2563,$N2563)</f>
        <v>1</v>
      </c>
    </row>
    <row r="2564" spans="1:21" x14ac:dyDescent="0.25">
      <c r="A2564" s="71">
        <v>2</v>
      </c>
      <c r="B2564" s="72">
        <f t="shared" ref="B2564:B2610" si="973">EDATE($B2563,1)</f>
        <v>45689</v>
      </c>
      <c r="C2564" s="73">
        <f t="shared" si="954"/>
        <v>45716</v>
      </c>
      <c r="D2564" s="67">
        <f t="shared" si="955"/>
        <v>28</v>
      </c>
      <c r="E2564" s="67">
        <f t="shared" si="956"/>
        <v>2</v>
      </c>
      <c r="F2564" s="74">
        <f t="shared" si="957"/>
        <v>45703</v>
      </c>
      <c r="G2564" s="67">
        <f t="shared" si="958"/>
        <v>24301</v>
      </c>
      <c r="H2564" s="75">
        <f t="shared" si="959"/>
        <v>1</v>
      </c>
      <c r="I2564" s="76">
        <f t="shared" si="960"/>
        <v>1</v>
      </c>
      <c r="J2564" s="76">
        <f t="shared" si="961"/>
        <v>1</v>
      </c>
      <c r="K2564" s="67">
        <f t="shared" si="962"/>
        <v>0</v>
      </c>
      <c r="L2564" s="67">
        <f t="shared" si="963"/>
        <v>0</v>
      </c>
      <c r="M2564" s="77">
        <f t="shared" si="964"/>
        <v>0</v>
      </c>
      <c r="N2564" s="76">
        <f t="shared" si="965"/>
        <v>1</v>
      </c>
      <c r="O2564" s="77">
        <f t="shared" si="966"/>
        <v>0.89053610503282266</v>
      </c>
      <c r="P2564" s="76">
        <f t="shared" si="967"/>
        <v>0</v>
      </c>
      <c r="Q2564" s="76">
        <f t="shared" si="968"/>
        <v>0</v>
      </c>
      <c r="R2564" s="76">
        <f t="shared" si="969"/>
        <v>0</v>
      </c>
      <c r="S2564" s="76">
        <f t="shared" si="970"/>
        <v>0.9679740272095898</v>
      </c>
      <c r="T2564" s="76">
        <f t="shared" si="971"/>
        <v>0.9679740272095898</v>
      </c>
      <c r="U2564" s="76">
        <f t="shared" si="972"/>
        <v>1</v>
      </c>
    </row>
    <row r="2565" spans="1:21" x14ac:dyDescent="0.25">
      <c r="A2565" s="71">
        <v>3</v>
      </c>
      <c r="B2565" s="72">
        <f t="shared" si="973"/>
        <v>45717</v>
      </c>
      <c r="C2565" s="73">
        <f t="shared" si="954"/>
        <v>45747</v>
      </c>
      <c r="D2565" s="67">
        <f t="shared" si="955"/>
        <v>31</v>
      </c>
      <c r="E2565" s="67">
        <f t="shared" si="956"/>
        <v>3</v>
      </c>
      <c r="F2565" s="74">
        <f t="shared" si="957"/>
        <v>45732.5</v>
      </c>
      <c r="G2565" s="67">
        <f t="shared" si="958"/>
        <v>24302</v>
      </c>
      <c r="H2565" s="75">
        <f t="shared" si="959"/>
        <v>1</v>
      </c>
      <c r="I2565" s="76">
        <f t="shared" si="960"/>
        <v>1</v>
      </c>
      <c r="J2565" s="76">
        <f t="shared" si="961"/>
        <v>1</v>
      </c>
      <c r="K2565" s="67">
        <f t="shared" si="962"/>
        <v>0</v>
      </c>
      <c r="L2565" s="67">
        <f t="shared" si="963"/>
        <v>0</v>
      </c>
      <c r="M2565" s="77">
        <f t="shared" si="964"/>
        <v>0</v>
      </c>
      <c r="N2565" s="76">
        <f t="shared" si="965"/>
        <v>1</v>
      </c>
      <c r="O2565" s="77">
        <f t="shared" si="966"/>
        <v>0.89150437636761481</v>
      </c>
      <c r="P2565" s="76">
        <f t="shared" si="967"/>
        <v>0</v>
      </c>
      <c r="Q2565" s="76">
        <f t="shared" si="968"/>
        <v>0</v>
      </c>
      <c r="R2565" s="76">
        <f t="shared" si="969"/>
        <v>0</v>
      </c>
      <c r="S2565" s="76">
        <f t="shared" si="970"/>
        <v>0.96902649605175517</v>
      </c>
      <c r="T2565" s="76">
        <f t="shared" si="971"/>
        <v>0.96902649605175517</v>
      </c>
      <c r="U2565" s="76">
        <f t="shared" si="972"/>
        <v>1</v>
      </c>
    </row>
    <row r="2566" spans="1:21" x14ac:dyDescent="0.25">
      <c r="A2566" s="71">
        <v>4</v>
      </c>
      <c r="B2566" s="72">
        <f t="shared" si="973"/>
        <v>45748</v>
      </c>
      <c r="C2566" s="73">
        <f t="shared" si="954"/>
        <v>45777</v>
      </c>
      <c r="D2566" s="67">
        <f t="shared" si="955"/>
        <v>30</v>
      </c>
      <c r="E2566" s="67">
        <f t="shared" si="956"/>
        <v>4</v>
      </c>
      <c r="F2566" s="74">
        <f t="shared" si="957"/>
        <v>45763</v>
      </c>
      <c r="G2566" s="67">
        <f t="shared" si="958"/>
        <v>24303</v>
      </c>
      <c r="H2566" s="75">
        <f t="shared" si="959"/>
        <v>1</v>
      </c>
      <c r="I2566" s="76">
        <f t="shared" si="960"/>
        <v>1</v>
      </c>
      <c r="J2566" s="76">
        <f t="shared" si="961"/>
        <v>1</v>
      </c>
      <c r="K2566" s="67">
        <f t="shared" si="962"/>
        <v>0</v>
      </c>
      <c r="L2566" s="67">
        <f t="shared" si="963"/>
        <v>0</v>
      </c>
      <c r="M2566" s="77">
        <f t="shared" si="964"/>
        <v>0</v>
      </c>
      <c r="N2566" s="76">
        <f t="shared" si="965"/>
        <v>1</v>
      </c>
      <c r="O2566" s="77">
        <f t="shared" si="966"/>
        <v>0.89250547045951856</v>
      </c>
      <c r="P2566" s="76">
        <f t="shared" si="967"/>
        <v>0</v>
      </c>
      <c r="Q2566" s="76">
        <f t="shared" si="968"/>
        <v>0</v>
      </c>
      <c r="R2566" s="76">
        <f t="shared" si="969"/>
        <v>0</v>
      </c>
      <c r="S2566" s="76">
        <f t="shared" si="970"/>
        <v>0.97011464180382445</v>
      </c>
      <c r="T2566" s="76">
        <f t="shared" si="971"/>
        <v>0.97011464180382445</v>
      </c>
      <c r="U2566" s="76">
        <f t="shared" si="972"/>
        <v>1</v>
      </c>
    </row>
    <row r="2567" spans="1:21" x14ac:dyDescent="0.25">
      <c r="A2567" s="71">
        <v>5</v>
      </c>
      <c r="B2567" s="72">
        <f t="shared" si="973"/>
        <v>45778</v>
      </c>
      <c r="C2567" s="73">
        <f t="shared" si="954"/>
        <v>45808</v>
      </c>
      <c r="D2567" s="67">
        <f t="shared" si="955"/>
        <v>31</v>
      </c>
      <c r="E2567" s="67">
        <f t="shared" si="956"/>
        <v>5</v>
      </c>
      <c r="F2567" s="74">
        <f t="shared" si="957"/>
        <v>45793.5</v>
      </c>
      <c r="G2567" s="67">
        <f t="shared" si="958"/>
        <v>24304</v>
      </c>
      <c r="H2567" s="75">
        <f t="shared" si="959"/>
        <v>1</v>
      </c>
      <c r="I2567" s="76">
        <f t="shared" si="960"/>
        <v>1</v>
      </c>
      <c r="J2567" s="76">
        <f t="shared" si="961"/>
        <v>1</v>
      </c>
      <c r="K2567" s="67">
        <f t="shared" si="962"/>
        <v>0</v>
      </c>
      <c r="L2567" s="67">
        <f t="shared" si="963"/>
        <v>0</v>
      </c>
      <c r="M2567" s="77">
        <f t="shared" si="964"/>
        <v>0</v>
      </c>
      <c r="N2567" s="76">
        <f t="shared" si="965"/>
        <v>1</v>
      </c>
      <c r="O2567" s="77">
        <f t="shared" si="966"/>
        <v>0.8935065645514223</v>
      </c>
      <c r="P2567" s="76">
        <f t="shared" si="967"/>
        <v>0</v>
      </c>
      <c r="Q2567" s="76">
        <f t="shared" si="968"/>
        <v>0</v>
      </c>
      <c r="R2567" s="76">
        <f t="shared" si="969"/>
        <v>0</v>
      </c>
      <c r="S2567" s="76">
        <f t="shared" si="970"/>
        <v>0.97120278755589373</v>
      </c>
      <c r="T2567" s="76">
        <f t="shared" si="971"/>
        <v>0.97120278755589373</v>
      </c>
      <c r="U2567" s="76">
        <f t="shared" si="972"/>
        <v>1</v>
      </c>
    </row>
    <row r="2568" spans="1:21" x14ac:dyDescent="0.25">
      <c r="A2568" s="71">
        <v>6</v>
      </c>
      <c r="B2568" s="72">
        <f t="shared" si="973"/>
        <v>45809</v>
      </c>
      <c r="C2568" s="73">
        <f t="shared" si="954"/>
        <v>45838</v>
      </c>
      <c r="D2568" s="67">
        <f t="shared" si="955"/>
        <v>30</v>
      </c>
      <c r="E2568" s="67">
        <f t="shared" si="956"/>
        <v>6</v>
      </c>
      <c r="F2568" s="74">
        <f t="shared" si="957"/>
        <v>45824</v>
      </c>
      <c r="G2568" s="67">
        <f t="shared" si="958"/>
        <v>24305</v>
      </c>
      <c r="H2568" s="75">
        <f t="shared" si="959"/>
        <v>1</v>
      </c>
      <c r="I2568" s="76">
        <f t="shared" si="960"/>
        <v>1</v>
      </c>
      <c r="J2568" s="76">
        <f t="shared" si="961"/>
        <v>1</v>
      </c>
      <c r="K2568" s="67">
        <f t="shared" si="962"/>
        <v>0</v>
      </c>
      <c r="L2568" s="67">
        <f t="shared" si="963"/>
        <v>0</v>
      </c>
      <c r="M2568" s="77">
        <f t="shared" si="964"/>
        <v>0</v>
      </c>
      <c r="N2568" s="76">
        <f t="shared" si="965"/>
        <v>1</v>
      </c>
      <c r="O2568" s="77">
        <f t="shared" si="966"/>
        <v>0.89450765864332604</v>
      </c>
      <c r="P2568" s="76">
        <f t="shared" si="967"/>
        <v>0</v>
      </c>
      <c r="Q2568" s="76">
        <f t="shared" si="968"/>
        <v>0</v>
      </c>
      <c r="R2568" s="76">
        <f t="shared" si="969"/>
        <v>0</v>
      </c>
      <c r="S2568" s="76">
        <f t="shared" si="970"/>
        <v>0.97229093330796301</v>
      </c>
      <c r="T2568" s="76">
        <f t="shared" si="971"/>
        <v>0.97229093330796301</v>
      </c>
      <c r="U2568" s="76">
        <f t="shared" si="972"/>
        <v>1</v>
      </c>
    </row>
    <row r="2569" spans="1:21" x14ac:dyDescent="0.25">
      <c r="A2569" s="71">
        <v>7</v>
      </c>
      <c r="B2569" s="72">
        <f t="shared" si="973"/>
        <v>45839</v>
      </c>
      <c r="C2569" s="73">
        <f t="shared" si="954"/>
        <v>45869</v>
      </c>
      <c r="D2569" s="67">
        <f t="shared" si="955"/>
        <v>31</v>
      </c>
      <c r="E2569" s="67">
        <f t="shared" si="956"/>
        <v>7</v>
      </c>
      <c r="F2569" s="74">
        <f t="shared" si="957"/>
        <v>45854.5</v>
      </c>
      <c r="G2569" s="67">
        <f t="shared" si="958"/>
        <v>24306</v>
      </c>
      <c r="H2569" s="75">
        <f t="shared" si="959"/>
        <v>1</v>
      </c>
      <c r="I2569" s="76">
        <f t="shared" si="960"/>
        <v>1</v>
      </c>
      <c r="J2569" s="76">
        <f t="shared" si="961"/>
        <v>1</v>
      </c>
      <c r="K2569" s="67">
        <f t="shared" si="962"/>
        <v>0</v>
      </c>
      <c r="L2569" s="67">
        <f t="shared" si="963"/>
        <v>0</v>
      </c>
      <c r="M2569" s="77">
        <f t="shared" si="964"/>
        <v>0</v>
      </c>
      <c r="N2569" s="76">
        <f t="shared" si="965"/>
        <v>1</v>
      </c>
      <c r="O2569" s="77">
        <f t="shared" si="966"/>
        <v>0.89550875273522967</v>
      </c>
      <c r="P2569" s="76">
        <f t="shared" si="967"/>
        <v>8.333333333333337E-2</v>
      </c>
      <c r="Q2569" s="76">
        <f t="shared" si="968"/>
        <v>0</v>
      </c>
      <c r="R2569" s="76">
        <f t="shared" si="969"/>
        <v>0</v>
      </c>
      <c r="S2569" s="76">
        <f t="shared" si="970"/>
        <v>0.97337907906003218</v>
      </c>
      <c r="T2569" s="76">
        <f t="shared" si="971"/>
        <v>0.97337907906003218</v>
      </c>
      <c r="U2569" s="76">
        <f t="shared" si="972"/>
        <v>1</v>
      </c>
    </row>
    <row r="2570" spans="1:21" x14ac:dyDescent="0.25">
      <c r="A2570" s="71">
        <v>8</v>
      </c>
      <c r="B2570" s="72">
        <f t="shared" si="973"/>
        <v>45870</v>
      </c>
      <c r="C2570" s="73">
        <f t="shared" si="954"/>
        <v>45900</v>
      </c>
      <c r="D2570" s="67">
        <f t="shared" si="955"/>
        <v>31</v>
      </c>
      <c r="E2570" s="67">
        <f t="shared" si="956"/>
        <v>8</v>
      </c>
      <c r="F2570" s="74">
        <f t="shared" si="957"/>
        <v>45885.5</v>
      </c>
      <c r="G2570" s="67">
        <f t="shared" si="958"/>
        <v>24307</v>
      </c>
      <c r="H2570" s="75">
        <f t="shared" si="959"/>
        <v>1</v>
      </c>
      <c r="I2570" s="76">
        <f t="shared" si="960"/>
        <v>1</v>
      </c>
      <c r="J2570" s="76">
        <f t="shared" si="961"/>
        <v>1</v>
      </c>
      <c r="K2570" s="67">
        <f t="shared" si="962"/>
        <v>0</v>
      </c>
      <c r="L2570" s="67">
        <f t="shared" si="963"/>
        <v>0</v>
      </c>
      <c r="M2570" s="77">
        <f t="shared" si="964"/>
        <v>0</v>
      </c>
      <c r="N2570" s="76">
        <f t="shared" si="965"/>
        <v>1</v>
      </c>
      <c r="O2570" s="77">
        <f t="shared" si="966"/>
        <v>0.89652625820568921</v>
      </c>
      <c r="P2570" s="76">
        <f t="shared" si="967"/>
        <v>0.25</v>
      </c>
      <c r="Q2570" s="76">
        <f t="shared" si="968"/>
        <v>0</v>
      </c>
      <c r="R2570" s="76">
        <f t="shared" si="969"/>
        <v>0</v>
      </c>
      <c r="S2570" s="76">
        <f t="shared" si="970"/>
        <v>0.97448506326705342</v>
      </c>
      <c r="T2570" s="76">
        <f t="shared" si="971"/>
        <v>0.97448506326705342</v>
      </c>
      <c r="U2570" s="76">
        <f t="shared" si="972"/>
        <v>1</v>
      </c>
    </row>
    <row r="2571" spans="1:21" x14ac:dyDescent="0.25">
      <c r="A2571" s="71">
        <v>9</v>
      </c>
      <c r="B2571" s="72">
        <f t="shared" si="973"/>
        <v>45901</v>
      </c>
      <c r="C2571" s="73">
        <f t="shared" si="954"/>
        <v>45930</v>
      </c>
      <c r="D2571" s="67">
        <f t="shared" si="955"/>
        <v>30</v>
      </c>
      <c r="E2571" s="67">
        <f t="shared" si="956"/>
        <v>9</v>
      </c>
      <c r="F2571" s="74">
        <f t="shared" si="957"/>
        <v>45916</v>
      </c>
      <c r="G2571" s="67">
        <f t="shared" si="958"/>
        <v>24308</v>
      </c>
      <c r="H2571" s="75">
        <f t="shared" si="959"/>
        <v>1</v>
      </c>
      <c r="I2571" s="76">
        <f t="shared" si="960"/>
        <v>1</v>
      </c>
      <c r="J2571" s="76">
        <f t="shared" si="961"/>
        <v>1</v>
      </c>
      <c r="K2571" s="67">
        <f t="shared" si="962"/>
        <v>0</v>
      </c>
      <c r="L2571" s="67">
        <f t="shared" si="963"/>
        <v>0</v>
      </c>
      <c r="M2571" s="77">
        <f t="shared" si="964"/>
        <v>0</v>
      </c>
      <c r="N2571" s="76">
        <f t="shared" si="965"/>
        <v>1</v>
      </c>
      <c r="O2571" s="77">
        <f t="shared" si="966"/>
        <v>0.89752735229759295</v>
      </c>
      <c r="P2571" s="76">
        <f t="shared" si="967"/>
        <v>0.41666666666666663</v>
      </c>
      <c r="Q2571" s="76">
        <f t="shared" si="968"/>
        <v>0</v>
      </c>
      <c r="R2571" s="76">
        <f t="shared" si="969"/>
        <v>0</v>
      </c>
      <c r="S2571" s="76">
        <f t="shared" si="970"/>
        <v>0.9755732090191227</v>
      </c>
      <c r="T2571" s="76">
        <f t="shared" si="971"/>
        <v>0.9755732090191227</v>
      </c>
      <c r="U2571" s="76">
        <f t="shared" si="972"/>
        <v>1</v>
      </c>
    </row>
    <row r="2572" spans="1:21" x14ac:dyDescent="0.25">
      <c r="A2572" s="71">
        <v>10</v>
      </c>
      <c r="B2572" s="72">
        <f t="shared" si="973"/>
        <v>45931</v>
      </c>
      <c r="C2572" s="73">
        <f t="shared" si="954"/>
        <v>45961</v>
      </c>
      <c r="D2572" s="67">
        <f t="shared" si="955"/>
        <v>31</v>
      </c>
      <c r="E2572" s="67">
        <f t="shared" si="956"/>
        <v>10</v>
      </c>
      <c r="F2572" s="74">
        <f t="shared" si="957"/>
        <v>45946.5</v>
      </c>
      <c r="G2572" s="67">
        <f t="shared" si="958"/>
        <v>24309</v>
      </c>
      <c r="H2572" s="75">
        <f t="shared" si="959"/>
        <v>1</v>
      </c>
      <c r="I2572" s="76">
        <f t="shared" si="960"/>
        <v>1</v>
      </c>
      <c r="J2572" s="76">
        <f t="shared" si="961"/>
        <v>1</v>
      </c>
      <c r="K2572" s="67">
        <f t="shared" si="962"/>
        <v>0</v>
      </c>
      <c r="L2572" s="67">
        <f t="shared" si="963"/>
        <v>0</v>
      </c>
      <c r="M2572" s="77">
        <f t="shared" si="964"/>
        <v>0</v>
      </c>
      <c r="N2572" s="76">
        <f t="shared" si="965"/>
        <v>1</v>
      </c>
      <c r="O2572" s="77">
        <f t="shared" si="966"/>
        <v>0.89852844638949669</v>
      </c>
      <c r="P2572" s="76">
        <f t="shared" si="967"/>
        <v>0.58333333333333326</v>
      </c>
      <c r="Q2572" s="76">
        <f t="shared" si="968"/>
        <v>0</v>
      </c>
      <c r="R2572" s="76">
        <f t="shared" si="969"/>
        <v>0</v>
      </c>
      <c r="S2572" s="76">
        <f t="shared" si="970"/>
        <v>0.97666135477119198</v>
      </c>
      <c r="T2572" s="76">
        <f t="shared" si="971"/>
        <v>0.97666135477119198</v>
      </c>
      <c r="U2572" s="76">
        <f t="shared" si="972"/>
        <v>1</v>
      </c>
    </row>
    <row r="2573" spans="1:21" x14ac:dyDescent="0.25">
      <c r="A2573" s="71">
        <v>11</v>
      </c>
      <c r="B2573" s="72">
        <f t="shared" si="973"/>
        <v>45962</v>
      </c>
      <c r="C2573" s="73">
        <f t="shared" si="954"/>
        <v>45991</v>
      </c>
      <c r="D2573" s="67">
        <f t="shared" si="955"/>
        <v>30</v>
      </c>
      <c r="E2573" s="67">
        <f t="shared" si="956"/>
        <v>11</v>
      </c>
      <c r="F2573" s="74">
        <f t="shared" si="957"/>
        <v>45977</v>
      </c>
      <c r="G2573" s="67">
        <f t="shared" si="958"/>
        <v>24310</v>
      </c>
      <c r="H2573" s="75">
        <f t="shared" si="959"/>
        <v>1</v>
      </c>
      <c r="I2573" s="76">
        <f t="shared" si="960"/>
        <v>1</v>
      </c>
      <c r="J2573" s="76">
        <f t="shared" si="961"/>
        <v>1</v>
      </c>
      <c r="K2573" s="67">
        <f t="shared" si="962"/>
        <v>0</v>
      </c>
      <c r="L2573" s="67">
        <f t="shared" si="963"/>
        <v>0</v>
      </c>
      <c r="M2573" s="77">
        <f t="shared" si="964"/>
        <v>0</v>
      </c>
      <c r="N2573" s="76">
        <f t="shared" si="965"/>
        <v>1</v>
      </c>
      <c r="O2573" s="77">
        <f t="shared" si="966"/>
        <v>0.89952954048140044</v>
      </c>
      <c r="P2573" s="76">
        <f t="shared" si="967"/>
        <v>0.75</v>
      </c>
      <c r="Q2573" s="76">
        <f t="shared" si="968"/>
        <v>0</v>
      </c>
      <c r="R2573" s="76">
        <f t="shared" si="969"/>
        <v>0</v>
      </c>
      <c r="S2573" s="76">
        <f t="shared" si="970"/>
        <v>0.97774950052326126</v>
      </c>
      <c r="T2573" s="76">
        <f t="shared" si="971"/>
        <v>0.97774950052326126</v>
      </c>
      <c r="U2573" s="76">
        <f t="shared" si="972"/>
        <v>1</v>
      </c>
    </row>
    <row r="2574" spans="1:21" x14ac:dyDescent="0.25">
      <c r="A2574" s="71">
        <v>12</v>
      </c>
      <c r="B2574" s="72">
        <f t="shared" si="973"/>
        <v>45992</v>
      </c>
      <c r="C2574" s="73">
        <f t="shared" si="954"/>
        <v>46022</v>
      </c>
      <c r="D2574" s="67">
        <f t="shared" si="955"/>
        <v>31</v>
      </c>
      <c r="E2574" s="67">
        <f t="shared" si="956"/>
        <v>12</v>
      </c>
      <c r="F2574" s="74">
        <f t="shared" si="957"/>
        <v>46007.5</v>
      </c>
      <c r="G2574" s="67">
        <f t="shared" si="958"/>
        <v>24311</v>
      </c>
      <c r="H2574" s="75">
        <f t="shared" si="959"/>
        <v>1</v>
      </c>
      <c r="I2574" s="76">
        <f t="shared" si="960"/>
        <v>1</v>
      </c>
      <c r="J2574" s="76">
        <f t="shared" si="961"/>
        <v>1</v>
      </c>
      <c r="K2574" s="67">
        <f t="shared" si="962"/>
        <v>0</v>
      </c>
      <c r="L2574" s="67">
        <f t="shared" si="963"/>
        <v>0</v>
      </c>
      <c r="M2574" s="77">
        <f t="shared" si="964"/>
        <v>0</v>
      </c>
      <c r="N2574" s="76">
        <f t="shared" si="965"/>
        <v>1</v>
      </c>
      <c r="O2574" s="77">
        <f t="shared" si="966"/>
        <v>0.90053063457330418</v>
      </c>
      <c r="P2574" s="76">
        <f t="shared" si="967"/>
        <v>0.91666666666666663</v>
      </c>
      <c r="Q2574" s="76">
        <f t="shared" si="968"/>
        <v>0</v>
      </c>
      <c r="R2574" s="76">
        <f t="shared" si="969"/>
        <v>0</v>
      </c>
      <c r="S2574" s="76">
        <f t="shared" si="970"/>
        <v>0.97883764627533054</v>
      </c>
      <c r="T2574" s="76">
        <f t="shared" si="971"/>
        <v>0.97883764627533054</v>
      </c>
      <c r="U2574" s="76">
        <f t="shared" si="972"/>
        <v>1</v>
      </c>
    </row>
    <row r="2575" spans="1:21" x14ac:dyDescent="0.25">
      <c r="A2575" s="71">
        <v>13</v>
      </c>
      <c r="B2575" s="72">
        <f t="shared" si="973"/>
        <v>46023</v>
      </c>
      <c r="C2575" s="73">
        <f t="shared" si="954"/>
        <v>46053</v>
      </c>
      <c r="D2575" s="67">
        <f t="shared" si="955"/>
        <v>31</v>
      </c>
      <c r="E2575" s="67">
        <f t="shared" si="956"/>
        <v>1</v>
      </c>
      <c r="F2575" s="74">
        <f t="shared" si="957"/>
        <v>46038.5</v>
      </c>
      <c r="G2575" s="67">
        <f t="shared" si="958"/>
        <v>24312</v>
      </c>
      <c r="H2575" s="75">
        <f t="shared" si="959"/>
        <v>1</v>
      </c>
      <c r="I2575" s="76">
        <f t="shared" si="960"/>
        <v>1</v>
      </c>
      <c r="J2575" s="76">
        <f t="shared" si="961"/>
        <v>1</v>
      </c>
      <c r="K2575" s="67">
        <f t="shared" si="962"/>
        <v>0</v>
      </c>
      <c r="L2575" s="67">
        <f t="shared" si="963"/>
        <v>0</v>
      </c>
      <c r="M2575" s="77">
        <f t="shared" si="964"/>
        <v>0</v>
      </c>
      <c r="N2575" s="76">
        <f t="shared" si="965"/>
        <v>1</v>
      </c>
      <c r="O2575" s="77">
        <f t="shared" si="966"/>
        <v>0.90154814004376371</v>
      </c>
      <c r="P2575" s="76">
        <f t="shared" si="967"/>
        <v>1</v>
      </c>
      <c r="Q2575" s="76">
        <f t="shared" si="968"/>
        <v>0</v>
      </c>
      <c r="R2575" s="76">
        <f t="shared" si="969"/>
        <v>0</v>
      </c>
      <c r="S2575" s="76">
        <f t="shared" si="970"/>
        <v>0.97994363048235178</v>
      </c>
      <c r="T2575" s="76">
        <f t="shared" si="971"/>
        <v>0.97994363048235178</v>
      </c>
      <c r="U2575" s="76">
        <f t="shared" si="972"/>
        <v>1</v>
      </c>
    </row>
    <row r="2576" spans="1:21" x14ac:dyDescent="0.25">
      <c r="A2576" s="71">
        <v>14</v>
      </c>
      <c r="B2576" s="72">
        <f t="shared" si="973"/>
        <v>46054</v>
      </c>
      <c r="C2576" s="73">
        <f t="shared" si="954"/>
        <v>46081</v>
      </c>
      <c r="D2576" s="67">
        <f t="shared" si="955"/>
        <v>28</v>
      </c>
      <c r="E2576" s="67">
        <f t="shared" si="956"/>
        <v>2</v>
      </c>
      <c r="F2576" s="74">
        <f t="shared" si="957"/>
        <v>46068</v>
      </c>
      <c r="G2576" s="67">
        <f t="shared" si="958"/>
        <v>24313</v>
      </c>
      <c r="H2576" s="75">
        <f t="shared" si="959"/>
        <v>1</v>
      </c>
      <c r="I2576" s="76">
        <f t="shared" si="960"/>
        <v>1</v>
      </c>
      <c r="J2576" s="76">
        <f t="shared" si="961"/>
        <v>1</v>
      </c>
      <c r="K2576" s="67">
        <f t="shared" si="962"/>
        <v>0</v>
      </c>
      <c r="L2576" s="67">
        <f t="shared" si="963"/>
        <v>0</v>
      </c>
      <c r="M2576" s="77">
        <f t="shared" si="964"/>
        <v>0</v>
      </c>
      <c r="N2576" s="76">
        <f t="shared" si="965"/>
        <v>1</v>
      </c>
      <c r="O2576" s="77">
        <f t="shared" si="966"/>
        <v>0.90251641137855576</v>
      </c>
      <c r="P2576" s="76">
        <f t="shared" si="967"/>
        <v>1</v>
      </c>
      <c r="Q2576" s="76">
        <f t="shared" si="968"/>
        <v>0</v>
      </c>
      <c r="R2576" s="76">
        <f t="shared" si="969"/>
        <v>0</v>
      </c>
      <c r="S2576" s="76">
        <f t="shared" si="970"/>
        <v>0.98099609932451703</v>
      </c>
      <c r="T2576" s="76">
        <f t="shared" si="971"/>
        <v>0.98099609932451703</v>
      </c>
      <c r="U2576" s="76">
        <f t="shared" si="972"/>
        <v>1</v>
      </c>
    </row>
    <row r="2577" spans="1:21" x14ac:dyDescent="0.25">
      <c r="A2577" s="71">
        <v>15</v>
      </c>
      <c r="B2577" s="72">
        <f t="shared" si="973"/>
        <v>46082</v>
      </c>
      <c r="C2577" s="73">
        <f t="shared" si="954"/>
        <v>46112</v>
      </c>
      <c r="D2577" s="67">
        <f t="shared" si="955"/>
        <v>31</v>
      </c>
      <c r="E2577" s="67">
        <f t="shared" si="956"/>
        <v>3</v>
      </c>
      <c r="F2577" s="74">
        <f t="shared" si="957"/>
        <v>46097.5</v>
      </c>
      <c r="G2577" s="67">
        <f t="shared" si="958"/>
        <v>24314</v>
      </c>
      <c r="H2577" s="75">
        <f t="shared" si="959"/>
        <v>1</v>
      </c>
      <c r="I2577" s="76">
        <f t="shared" si="960"/>
        <v>1</v>
      </c>
      <c r="J2577" s="76">
        <f t="shared" si="961"/>
        <v>1</v>
      </c>
      <c r="K2577" s="67">
        <f t="shared" si="962"/>
        <v>0</v>
      </c>
      <c r="L2577" s="67">
        <f t="shared" si="963"/>
        <v>0</v>
      </c>
      <c r="M2577" s="77">
        <f t="shared" si="964"/>
        <v>0</v>
      </c>
      <c r="N2577" s="76">
        <f t="shared" si="965"/>
        <v>1</v>
      </c>
      <c r="O2577" s="77">
        <f t="shared" si="966"/>
        <v>0.90348468271334792</v>
      </c>
      <c r="P2577" s="76">
        <f t="shared" si="967"/>
        <v>1</v>
      </c>
      <c r="Q2577" s="76">
        <f t="shared" si="968"/>
        <v>0</v>
      </c>
      <c r="R2577" s="76">
        <f t="shared" si="969"/>
        <v>0</v>
      </c>
      <c r="S2577" s="76">
        <f t="shared" si="970"/>
        <v>0.98204856816668251</v>
      </c>
      <c r="T2577" s="76">
        <f t="shared" si="971"/>
        <v>0.98204856816668251</v>
      </c>
      <c r="U2577" s="76">
        <f t="shared" si="972"/>
        <v>1</v>
      </c>
    </row>
    <row r="2578" spans="1:21" x14ac:dyDescent="0.25">
      <c r="A2578" s="71">
        <v>16</v>
      </c>
      <c r="B2578" s="72">
        <f t="shared" si="973"/>
        <v>46113</v>
      </c>
      <c r="C2578" s="73">
        <f t="shared" si="954"/>
        <v>46142</v>
      </c>
      <c r="D2578" s="67">
        <f t="shared" si="955"/>
        <v>30</v>
      </c>
      <c r="E2578" s="67">
        <f t="shared" si="956"/>
        <v>4</v>
      </c>
      <c r="F2578" s="74">
        <f t="shared" si="957"/>
        <v>46128</v>
      </c>
      <c r="G2578" s="67">
        <f t="shared" si="958"/>
        <v>24315</v>
      </c>
      <c r="H2578" s="75">
        <f t="shared" si="959"/>
        <v>1</v>
      </c>
      <c r="I2578" s="76">
        <f t="shared" si="960"/>
        <v>1</v>
      </c>
      <c r="J2578" s="76">
        <f t="shared" si="961"/>
        <v>1</v>
      </c>
      <c r="K2578" s="67">
        <f t="shared" si="962"/>
        <v>0</v>
      </c>
      <c r="L2578" s="67">
        <f t="shared" si="963"/>
        <v>0</v>
      </c>
      <c r="M2578" s="77">
        <f t="shared" si="964"/>
        <v>0</v>
      </c>
      <c r="N2578" s="76">
        <f t="shared" si="965"/>
        <v>1</v>
      </c>
      <c r="O2578" s="77">
        <f t="shared" si="966"/>
        <v>0.90448577680525166</v>
      </c>
      <c r="P2578" s="76">
        <f t="shared" si="967"/>
        <v>1</v>
      </c>
      <c r="Q2578" s="76">
        <f t="shared" si="968"/>
        <v>0</v>
      </c>
      <c r="R2578" s="76">
        <f t="shared" si="969"/>
        <v>0</v>
      </c>
      <c r="S2578" s="76">
        <f t="shared" si="970"/>
        <v>0.98313671391875179</v>
      </c>
      <c r="T2578" s="76">
        <f t="shared" si="971"/>
        <v>0.98313671391875179</v>
      </c>
      <c r="U2578" s="76">
        <f t="shared" si="972"/>
        <v>1</v>
      </c>
    </row>
    <row r="2579" spans="1:21" x14ac:dyDescent="0.25">
      <c r="A2579" s="71">
        <v>17</v>
      </c>
      <c r="B2579" s="72">
        <f t="shared" si="973"/>
        <v>46143</v>
      </c>
      <c r="C2579" s="73">
        <f t="shared" si="954"/>
        <v>46173</v>
      </c>
      <c r="D2579" s="67">
        <f t="shared" si="955"/>
        <v>31</v>
      </c>
      <c r="E2579" s="67">
        <f t="shared" si="956"/>
        <v>5</v>
      </c>
      <c r="F2579" s="74">
        <f t="shared" si="957"/>
        <v>46158.5</v>
      </c>
      <c r="G2579" s="67">
        <f t="shared" si="958"/>
        <v>24316</v>
      </c>
      <c r="H2579" s="75">
        <f t="shared" si="959"/>
        <v>1</v>
      </c>
      <c r="I2579" s="76">
        <f t="shared" si="960"/>
        <v>1</v>
      </c>
      <c r="J2579" s="76">
        <f t="shared" si="961"/>
        <v>1</v>
      </c>
      <c r="K2579" s="67">
        <f t="shared" si="962"/>
        <v>0</v>
      </c>
      <c r="L2579" s="67">
        <f t="shared" si="963"/>
        <v>0</v>
      </c>
      <c r="M2579" s="77">
        <f t="shared" si="964"/>
        <v>0</v>
      </c>
      <c r="N2579" s="76">
        <f t="shared" si="965"/>
        <v>1</v>
      </c>
      <c r="O2579" s="77">
        <f t="shared" si="966"/>
        <v>0.9054868708971554</v>
      </c>
      <c r="P2579" s="76">
        <f t="shared" si="967"/>
        <v>1</v>
      </c>
      <c r="Q2579" s="76">
        <f t="shared" si="968"/>
        <v>0</v>
      </c>
      <c r="R2579" s="76">
        <f t="shared" si="969"/>
        <v>0</v>
      </c>
      <c r="S2579" s="76">
        <f t="shared" si="970"/>
        <v>0.98422485967082107</v>
      </c>
      <c r="T2579" s="76">
        <f t="shared" si="971"/>
        <v>0.98422485967082107</v>
      </c>
      <c r="U2579" s="76">
        <f t="shared" si="972"/>
        <v>1</v>
      </c>
    </row>
    <row r="2580" spans="1:21" x14ac:dyDescent="0.25">
      <c r="A2580" s="71">
        <v>18</v>
      </c>
      <c r="B2580" s="72">
        <f t="shared" si="973"/>
        <v>46174</v>
      </c>
      <c r="C2580" s="73">
        <f t="shared" si="954"/>
        <v>46203</v>
      </c>
      <c r="D2580" s="67">
        <f t="shared" si="955"/>
        <v>30</v>
      </c>
      <c r="E2580" s="67">
        <f t="shared" si="956"/>
        <v>6</v>
      </c>
      <c r="F2580" s="74">
        <f t="shared" si="957"/>
        <v>46189</v>
      </c>
      <c r="G2580" s="67">
        <f t="shared" si="958"/>
        <v>24317</v>
      </c>
      <c r="H2580" s="75">
        <f t="shared" si="959"/>
        <v>1</v>
      </c>
      <c r="I2580" s="76">
        <f t="shared" si="960"/>
        <v>1</v>
      </c>
      <c r="J2580" s="76">
        <f t="shared" si="961"/>
        <v>1</v>
      </c>
      <c r="K2580" s="67">
        <f t="shared" si="962"/>
        <v>0</v>
      </c>
      <c r="L2580" s="67">
        <f t="shared" si="963"/>
        <v>0</v>
      </c>
      <c r="M2580" s="77">
        <f t="shared" si="964"/>
        <v>0</v>
      </c>
      <c r="N2580" s="76">
        <f t="shared" si="965"/>
        <v>1</v>
      </c>
      <c r="O2580" s="77">
        <f t="shared" si="966"/>
        <v>0.90648796498905915</v>
      </c>
      <c r="P2580" s="76">
        <f t="shared" si="967"/>
        <v>1</v>
      </c>
      <c r="Q2580" s="76">
        <f t="shared" si="968"/>
        <v>0</v>
      </c>
      <c r="R2580" s="76">
        <f t="shared" si="969"/>
        <v>0</v>
      </c>
      <c r="S2580" s="76">
        <f t="shared" si="970"/>
        <v>0.98531300542289035</v>
      </c>
      <c r="T2580" s="76">
        <f t="shared" si="971"/>
        <v>0.98531300542289035</v>
      </c>
      <c r="U2580" s="76">
        <f t="shared" si="972"/>
        <v>1</v>
      </c>
    </row>
    <row r="2581" spans="1:21" x14ac:dyDescent="0.25">
      <c r="A2581" s="71">
        <v>19</v>
      </c>
      <c r="B2581" s="72">
        <f t="shared" si="973"/>
        <v>46204</v>
      </c>
      <c r="C2581" s="73">
        <f t="shared" si="954"/>
        <v>46234</v>
      </c>
      <c r="D2581" s="67">
        <f t="shared" si="955"/>
        <v>31</v>
      </c>
      <c r="E2581" s="67">
        <f t="shared" si="956"/>
        <v>7</v>
      </c>
      <c r="F2581" s="74">
        <f t="shared" si="957"/>
        <v>46219.5</v>
      </c>
      <c r="G2581" s="67">
        <f t="shared" si="958"/>
        <v>24318</v>
      </c>
      <c r="H2581" s="75">
        <f t="shared" si="959"/>
        <v>1</v>
      </c>
      <c r="I2581" s="76">
        <f t="shared" si="960"/>
        <v>1</v>
      </c>
      <c r="J2581" s="76">
        <f t="shared" si="961"/>
        <v>1</v>
      </c>
      <c r="K2581" s="67">
        <f t="shared" si="962"/>
        <v>0</v>
      </c>
      <c r="L2581" s="67">
        <f t="shared" si="963"/>
        <v>0</v>
      </c>
      <c r="M2581" s="77">
        <f t="shared" si="964"/>
        <v>0</v>
      </c>
      <c r="N2581" s="76">
        <f t="shared" si="965"/>
        <v>1</v>
      </c>
      <c r="O2581" s="77">
        <f t="shared" si="966"/>
        <v>0.90748905908096278</v>
      </c>
      <c r="P2581" s="76">
        <f t="shared" si="967"/>
        <v>0.91666666666666663</v>
      </c>
      <c r="Q2581" s="76">
        <f t="shared" si="968"/>
        <v>8.333333333333337E-2</v>
      </c>
      <c r="R2581" s="76">
        <f t="shared" si="969"/>
        <v>0</v>
      </c>
      <c r="S2581" s="76">
        <f t="shared" si="970"/>
        <v>0.98640115117495952</v>
      </c>
      <c r="T2581" s="76">
        <f t="shared" si="971"/>
        <v>0.98640115117495952</v>
      </c>
      <c r="U2581" s="76">
        <f t="shared" si="972"/>
        <v>1</v>
      </c>
    </row>
    <row r="2582" spans="1:21" x14ac:dyDescent="0.25">
      <c r="A2582" s="71">
        <v>20</v>
      </c>
      <c r="B2582" s="72">
        <f t="shared" si="973"/>
        <v>46235</v>
      </c>
      <c r="C2582" s="73">
        <f t="shared" si="954"/>
        <v>46265</v>
      </c>
      <c r="D2582" s="67">
        <f t="shared" si="955"/>
        <v>31</v>
      </c>
      <c r="E2582" s="67">
        <f t="shared" si="956"/>
        <v>8</v>
      </c>
      <c r="F2582" s="74">
        <f t="shared" si="957"/>
        <v>46250.5</v>
      </c>
      <c r="G2582" s="67">
        <f t="shared" si="958"/>
        <v>24319</v>
      </c>
      <c r="H2582" s="75">
        <f t="shared" si="959"/>
        <v>1</v>
      </c>
      <c r="I2582" s="76">
        <f t="shared" si="960"/>
        <v>1</v>
      </c>
      <c r="J2582" s="76">
        <f t="shared" si="961"/>
        <v>1</v>
      </c>
      <c r="K2582" s="67">
        <f t="shared" si="962"/>
        <v>0</v>
      </c>
      <c r="L2582" s="67">
        <f t="shared" si="963"/>
        <v>0</v>
      </c>
      <c r="M2582" s="77">
        <f t="shared" si="964"/>
        <v>0</v>
      </c>
      <c r="N2582" s="76">
        <f t="shared" si="965"/>
        <v>1</v>
      </c>
      <c r="O2582" s="77">
        <f t="shared" si="966"/>
        <v>0.90850656455142231</v>
      </c>
      <c r="P2582" s="76">
        <f t="shared" si="967"/>
        <v>0.75</v>
      </c>
      <c r="Q2582" s="76">
        <f t="shared" si="968"/>
        <v>0.25</v>
      </c>
      <c r="R2582" s="76">
        <f t="shared" si="969"/>
        <v>0</v>
      </c>
      <c r="S2582" s="76">
        <f t="shared" si="970"/>
        <v>0.98750713538198076</v>
      </c>
      <c r="T2582" s="76">
        <f t="shared" si="971"/>
        <v>0.98750713538198076</v>
      </c>
      <c r="U2582" s="76">
        <f t="shared" si="972"/>
        <v>1</v>
      </c>
    </row>
    <row r="2583" spans="1:21" x14ac:dyDescent="0.25">
      <c r="A2583" s="71">
        <v>21</v>
      </c>
      <c r="B2583" s="72">
        <f t="shared" si="973"/>
        <v>46266</v>
      </c>
      <c r="C2583" s="73">
        <f t="shared" si="954"/>
        <v>46295</v>
      </c>
      <c r="D2583" s="67">
        <f t="shared" si="955"/>
        <v>30</v>
      </c>
      <c r="E2583" s="67">
        <f t="shared" si="956"/>
        <v>9</v>
      </c>
      <c r="F2583" s="74">
        <f t="shared" si="957"/>
        <v>46281</v>
      </c>
      <c r="G2583" s="67">
        <f t="shared" si="958"/>
        <v>24320</v>
      </c>
      <c r="H2583" s="75">
        <f t="shared" si="959"/>
        <v>1</v>
      </c>
      <c r="I2583" s="76">
        <f t="shared" si="960"/>
        <v>1</v>
      </c>
      <c r="J2583" s="76">
        <f t="shared" si="961"/>
        <v>1</v>
      </c>
      <c r="K2583" s="67">
        <f t="shared" si="962"/>
        <v>0</v>
      </c>
      <c r="L2583" s="67">
        <f t="shared" si="963"/>
        <v>0</v>
      </c>
      <c r="M2583" s="77">
        <f t="shared" si="964"/>
        <v>0</v>
      </c>
      <c r="N2583" s="76">
        <f t="shared" si="965"/>
        <v>1</v>
      </c>
      <c r="O2583" s="77">
        <f t="shared" si="966"/>
        <v>0.90950765864332606</v>
      </c>
      <c r="P2583" s="76">
        <f t="shared" si="967"/>
        <v>0.58333333333333337</v>
      </c>
      <c r="Q2583" s="76">
        <f t="shared" si="968"/>
        <v>0.41666666666666663</v>
      </c>
      <c r="R2583" s="76">
        <f t="shared" si="969"/>
        <v>0</v>
      </c>
      <c r="S2583" s="76">
        <f t="shared" si="970"/>
        <v>0.98859528113405004</v>
      </c>
      <c r="T2583" s="76">
        <f t="shared" si="971"/>
        <v>0.98859528113405004</v>
      </c>
      <c r="U2583" s="76">
        <f t="shared" si="972"/>
        <v>1</v>
      </c>
    </row>
    <row r="2584" spans="1:21" x14ac:dyDescent="0.25">
      <c r="A2584" s="71">
        <v>22</v>
      </c>
      <c r="B2584" s="72">
        <f t="shared" si="973"/>
        <v>46296</v>
      </c>
      <c r="C2584" s="73">
        <f t="shared" si="954"/>
        <v>46326</v>
      </c>
      <c r="D2584" s="67">
        <f t="shared" si="955"/>
        <v>31</v>
      </c>
      <c r="E2584" s="67">
        <f t="shared" si="956"/>
        <v>10</v>
      </c>
      <c r="F2584" s="74">
        <f t="shared" si="957"/>
        <v>46311.5</v>
      </c>
      <c r="G2584" s="67">
        <f t="shared" si="958"/>
        <v>24321</v>
      </c>
      <c r="H2584" s="75">
        <f t="shared" si="959"/>
        <v>1</v>
      </c>
      <c r="I2584" s="76">
        <f t="shared" si="960"/>
        <v>1</v>
      </c>
      <c r="J2584" s="76">
        <f t="shared" si="961"/>
        <v>1</v>
      </c>
      <c r="K2584" s="67">
        <f t="shared" si="962"/>
        <v>0</v>
      </c>
      <c r="L2584" s="67">
        <f t="shared" si="963"/>
        <v>0</v>
      </c>
      <c r="M2584" s="77">
        <f t="shared" si="964"/>
        <v>0</v>
      </c>
      <c r="N2584" s="76">
        <f t="shared" si="965"/>
        <v>1</v>
      </c>
      <c r="O2584" s="77">
        <f t="shared" si="966"/>
        <v>0.9105087527352298</v>
      </c>
      <c r="P2584" s="76">
        <f t="shared" si="967"/>
        <v>0.41666666666666669</v>
      </c>
      <c r="Q2584" s="76">
        <f t="shared" si="968"/>
        <v>0.58333333333333326</v>
      </c>
      <c r="R2584" s="76">
        <f t="shared" si="969"/>
        <v>0</v>
      </c>
      <c r="S2584" s="76">
        <f t="shared" si="970"/>
        <v>0.98968342688611932</v>
      </c>
      <c r="T2584" s="76">
        <f t="shared" si="971"/>
        <v>0.98968342688611932</v>
      </c>
      <c r="U2584" s="76">
        <f t="shared" si="972"/>
        <v>1</v>
      </c>
    </row>
    <row r="2585" spans="1:21" x14ac:dyDescent="0.25">
      <c r="A2585" s="71">
        <v>23</v>
      </c>
      <c r="B2585" s="72">
        <f t="shared" si="973"/>
        <v>46327</v>
      </c>
      <c r="C2585" s="73">
        <f t="shared" si="954"/>
        <v>46356</v>
      </c>
      <c r="D2585" s="67">
        <f t="shared" si="955"/>
        <v>30</v>
      </c>
      <c r="E2585" s="67">
        <f t="shared" si="956"/>
        <v>11</v>
      </c>
      <c r="F2585" s="74">
        <f t="shared" si="957"/>
        <v>46342</v>
      </c>
      <c r="G2585" s="67">
        <f t="shared" si="958"/>
        <v>24322</v>
      </c>
      <c r="H2585" s="75">
        <f t="shared" si="959"/>
        <v>1</v>
      </c>
      <c r="I2585" s="76">
        <f t="shared" si="960"/>
        <v>1</v>
      </c>
      <c r="J2585" s="76">
        <f t="shared" si="961"/>
        <v>1</v>
      </c>
      <c r="K2585" s="67">
        <f t="shared" si="962"/>
        <v>0</v>
      </c>
      <c r="L2585" s="67">
        <f t="shared" si="963"/>
        <v>0</v>
      </c>
      <c r="M2585" s="77">
        <f t="shared" si="964"/>
        <v>0</v>
      </c>
      <c r="N2585" s="76">
        <f t="shared" si="965"/>
        <v>1</v>
      </c>
      <c r="O2585" s="77">
        <f t="shared" si="966"/>
        <v>0.91150984682713354</v>
      </c>
      <c r="P2585" s="76">
        <f t="shared" si="967"/>
        <v>0.25</v>
      </c>
      <c r="Q2585" s="76">
        <f t="shared" si="968"/>
        <v>0.75</v>
      </c>
      <c r="R2585" s="76">
        <f t="shared" si="969"/>
        <v>0</v>
      </c>
      <c r="S2585" s="76">
        <f t="shared" si="970"/>
        <v>0.9907715726381886</v>
      </c>
      <c r="T2585" s="76">
        <f t="shared" si="971"/>
        <v>0.9907715726381886</v>
      </c>
      <c r="U2585" s="76">
        <f t="shared" si="972"/>
        <v>1</v>
      </c>
    </row>
    <row r="2586" spans="1:21" x14ac:dyDescent="0.25">
      <c r="A2586" s="71">
        <v>24</v>
      </c>
      <c r="B2586" s="72">
        <f t="shared" si="973"/>
        <v>46357</v>
      </c>
      <c r="C2586" s="73">
        <f t="shared" si="954"/>
        <v>46387</v>
      </c>
      <c r="D2586" s="67">
        <f t="shared" si="955"/>
        <v>31</v>
      </c>
      <c r="E2586" s="67">
        <f t="shared" si="956"/>
        <v>12</v>
      </c>
      <c r="F2586" s="74">
        <f t="shared" si="957"/>
        <v>46372.5</v>
      </c>
      <c r="G2586" s="67">
        <f t="shared" si="958"/>
        <v>24323</v>
      </c>
      <c r="H2586" s="75">
        <f t="shared" si="959"/>
        <v>1</v>
      </c>
      <c r="I2586" s="76">
        <f t="shared" si="960"/>
        <v>1</v>
      </c>
      <c r="J2586" s="76">
        <f t="shared" si="961"/>
        <v>1</v>
      </c>
      <c r="K2586" s="67">
        <f t="shared" si="962"/>
        <v>0</v>
      </c>
      <c r="L2586" s="67">
        <f t="shared" si="963"/>
        <v>0</v>
      </c>
      <c r="M2586" s="77">
        <f t="shared" si="964"/>
        <v>0</v>
      </c>
      <c r="N2586" s="76">
        <f t="shared" si="965"/>
        <v>1</v>
      </c>
      <c r="O2586" s="77">
        <f t="shared" si="966"/>
        <v>0.91251094091903728</v>
      </c>
      <c r="P2586" s="76">
        <f t="shared" si="967"/>
        <v>8.3333333333333329E-2</v>
      </c>
      <c r="Q2586" s="76">
        <f t="shared" si="968"/>
        <v>0.91666666666666663</v>
      </c>
      <c r="R2586" s="76">
        <f t="shared" si="969"/>
        <v>0</v>
      </c>
      <c r="S2586" s="76">
        <f t="shared" si="970"/>
        <v>0.99185971839025788</v>
      </c>
      <c r="T2586" s="76">
        <f t="shared" si="971"/>
        <v>0.99185971839025788</v>
      </c>
      <c r="U2586" s="76">
        <f t="shared" si="972"/>
        <v>1</v>
      </c>
    </row>
    <row r="2587" spans="1:21" x14ac:dyDescent="0.25">
      <c r="A2587" s="71">
        <v>25</v>
      </c>
      <c r="B2587" s="72">
        <f t="shared" si="973"/>
        <v>46388</v>
      </c>
      <c r="C2587" s="73">
        <f t="shared" si="954"/>
        <v>46418</v>
      </c>
      <c r="D2587" s="67">
        <f t="shared" si="955"/>
        <v>31</v>
      </c>
      <c r="E2587" s="67">
        <f t="shared" si="956"/>
        <v>1</v>
      </c>
      <c r="F2587" s="74">
        <f t="shared" si="957"/>
        <v>46403.5</v>
      </c>
      <c r="G2587" s="67">
        <f t="shared" si="958"/>
        <v>24324</v>
      </c>
      <c r="H2587" s="75">
        <f t="shared" si="959"/>
        <v>1</v>
      </c>
      <c r="I2587" s="76">
        <f t="shared" si="960"/>
        <v>1</v>
      </c>
      <c r="J2587" s="76">
        <f t="shared" si="961"/>
        <v>1</v>
      </c>
      <c r="K2587" s="67">
        <f t="shared" si="962"/>
        <v>0</v>
      </c>
      <c r="L2587" s="67">
        <f t="shared" si="963"/>
        <v>0</v>
      </c>
      <c r="M2587" s="77">
        <f t="shared" si="964"/>
        <v>0</v>
      </c>
      <c r="N2587" s="76">
        <f t="shared" si="965"/>
        <v>1</v>
      </c>
      <c r="O2587" s="77">
        <f t="shared" si="966"/>
        <v>0.91352844638949671</v>
      </c>
      <c r="P2587" s="76">
        <f t="shared" si="967"/>
        <v>0</v>
      </c>
      <c r="Q2587" s="76">
        <f t="shared" si="968"/>
        <v>1</v>
      </c>
      <c r="R2587" s="76">
        <f t="shared" si="969"/>
        <v>0</v>
      </c>
      <c r="S2587" s="76">
        <f t="shared" si="970"/>
        <v>0.99296570259727901</v>
      </c>
      <c r="T2587" s="76">
        <f t="shared" si="971"/>
        <v>0.97994363048235178</v>
      </c>
      <c r="U2587" s="76">
        <f t="shared" si="972"/>
        <v>1</v>
      </c>
    </row>
    <row r="2588" spans="1:21" x14ac:dyDescent="0.25">
      <c r="A2588" s="71">
        <v>26</v>
      </c>
      <c r="B2588" s="72">
        <f t="shared" si="973"/>
        <v>46419</v>
      </c>
      <c r="C2588" s="73">
        <f t="shared" si="954"/>
        <v>46446</v>
      </c>
      <c r="D2588" s="67">
        <f t="shared" si="955"/>
        <v>28</v>
      </c>
      <c r="E2588" s="67">
        <f t="shared" si="956"/>
        <v>2</v>
      </c>
      <c r="F2588" s="74">
        <f t="shared" si="957"/>
        <v>46433</v>
      </c>
      <c r="G2588" s="67">
        <f t="shared" si="958"/>
        <v>24325</v>
      </c>
      <c r="H2588" s="75">
        <f t="shared" si="959"/>
        <v>1</v>
      </c>
      <c r="I2588" s="76">
        <f t="shared" si="960"/>
        <v>1</v>
      </c>
      <c r="J2588" s="76">
        <f t="shared" si="961"/>
        <v>1</v>
      </c>
      <c r="K2588" s="67">
        <f t="shared" si="962"/>
        <v>0</v>
      </c>
      <c r="L2588" s="67">
        <f t="shared" si="963"/>
        <v>0</v>
      </c>
      <c r="M2588" s="77">
        <f t="shared" si="964"/>
        <v>0</v>
      </c>
      <c r="N2588" s="76">
        <f t="shared" si="965"/>
        <v>1</v>
      </c>
      <c r="O2588" s="77">
        <f t="shared" si="966"/>
        <v>0.91449671772428887</v>
      </c>
      <c r="P2588" s="76">
        <f t="shared" si="967"/>
        <v>0</v>
      </c>
      <c r="Q2588" s="76">
        <f t="shared" si="968"/>
        <v>1</v>
      </c>
      <c r="R2588" s="76">
        <f t="shared" si="969"/>
        <v>0</v>
      </c>
      <c r="S2588" s="76">
        <f t="shared" si="970"/>
        <v>0.99401817143944438</v>
      </c>
      <c r="T2588" s="76">
        <f t="shared" si="971"/>
        <v>0.98099609932451703</v>
      </c>
      <c r="U2588" s="76">
        <f t="shared" si="972"/>
        <v>1</v>
      </c>
    </row>
    <row r="2589" spans="1:21" x14ac:dyDescent="0.25">
      <c r="A2589" s="71">
        <v>27</v>
      </c>
      <c r="B2589" s="72">
        <f t="shared" si="973"/>
        <v>46447</v>
      </c>
      <c r="C2589" s="73">
        <f t="shared" si="954"/>
        <v>46477</v>
      </c>
      <c r="D2589" s="67">
        <f t="shared" si="955"/>
        <v>31</v>
      </c>
      <c r="E2589" s="67">
        <f t="shared" si="956"/>
        <v>3</v>
      </c>
      <c r="F2589" s="74">
        <f t="shared" si="957"/>
        <v>46462.5</v>
      </c>
      <c r="G2589" s="67">
        <f t="shared" si="958"/>
        <v>24326</v>
      </c>
      <c r="H2589" s="75">
        <f t="shared" si="959"/>
        <v>1</v>
      </c>
      <c r="I2589" s="76">
        <f t="shared" si="960"/>
        <v>1</v>
      </c>
      <c r="J2589" s="76">
        <f t="shared" si="961"/>
        <v>1</v>
      </c>
      <c r="K2589" s="67">
        <f t="shared" si="962"/>
        <v>0</v>
      </c>
      <c r="L2589" s="67">
        <f t="shared" si="963"/>
        <v>0</v>
      </c>
      <c r="M2589" s="77">
        <f t="shared" si="964"/>
        <v>0</v>
      </c>
      <c r="N2589" s="76">
        <f t="shared" si="965"/>
        <v>1</v>
      </c>
      <c r="O2589" s="77">
        <f t="shared" si="966"/>
        <v>0.91546498905908102</v>
      </c>
      <c r="P2589" s="76">
        <f t="shared" si="967"/>
        <v>0</v>
      </c>
      <c r="Q2589" s="76">
        <f t="shared" si="968"/>
        <v>1</v>
      </c>
      <c r="R2589" s="76">
        <f t="shared" si="969"/>
        <v>0</v>
      </c>
      <c r="S2589" s="76">
        <f t="shared" si="970"/>
        <v>0.99507064028160974</v>
      </c>
      <c r="T2589" s="76">
        <f t="shared" si="971"/>
        <v>0.98204856816668251</v>
      </c>
      <c r="U2589" s="76">
        <f t="shared" si="972"/>
        <v>1</v>
      </c>
    </row>
    <row r="2590" spans="1:21" x14ac:dyDescent="0.25">
      <c r="A2590" s="71">
        <v>28</v>
      </c>
      <c r="B2590" s="72">
        <f t="shared" si="973"/>
        <v>46478</v>
      </c>
      <c r="C2590" s="73">
        <f t="shared" si="954"/>
        <v>46507</v>
      </c>
      <c r="D2590" s="67">
        <f t="shared" si="955"/>
        <v>30</v>
      </c>
      <c r="E2590" s="67">
        <f t="shared" si="956"/>
        <v>4</v>
      </c>
      <c r="F2590" s="74">
        <f t="shared" si="957"/>
        <v>46493</v>
      </c>
      <c r="G2590" s="67">
        <f t="shared" si="958"/>
        <v>24327</v>
      </c>
      <c r="H2590" s="75">
        <f t="shared" si="959"/>
        <v>1</v>
      </c>
      <c r="I2590" s="76">
        <f t="shared" si="960"/>
        <v>1</v>
      </c>
      <c r="J2590" s="76">
        <f t="shared" si="961"/>
        <v>1</v>
      </c>
      <c r="K2590" s="67">
        <f t="shared" si="962"/>
        <v>0</v>
      </c>
      <c r="L2590" s="67">
        <f t="shared" si="963"/>
        <v>0</v>
      </c>
      <c r="M2590" s="77">
        <f t="shared" si="964"/>
        <v>0</v>
      </c>
      <c r="N2590" s="76">
        <f t="shared" si="965"/>
        <v>1</v>
      </c>
      <c r="O2590" s="77">
        <f t="shared" si="966"/>
        <v>0.91646608315098477</v>
      </c>
      <c r="P2590" s="76">
        <f t="shared" si="967"/>
        <v>0</v>
      </c>
      <c r="Q2590" s="76">
        <f t="shared" si="968"/>
        <v>1</v>
      </c>
      <c r="R2590" s="76">
        <f t="shared" si="969"/>
        <v>0</v>
      </c>
      <c r="S2590" s="76">
        <f t="shared" si="970"/>
        <v>0.99615878603367902</v>
      </c>
      <c r="T2590" s="76">
        <f t="shared" si="971"/>
        <v>0.98313671391875179</v>
      </c>
      <c r="U2590" s="76">
        <f t="shared" si="972"/>
        <v>1</v>
      </c>
    </row>
    <row r="2591" spans="1:21" x14ac:dyDescent="0.25">
      <c r="A2591" s="71">
        <v>29</v>
      </c>
      <c r="B2591" s="72">
        <f t="shared" si="973"/>
        <v>46508</v>
      </c>
      <c r="C2591" s="73">
        <f t="shared" si="954"/>
        <v>46538</v>
      </c>
      <c r="D2591" s="67">
        <f t="shared" si="955"/>
        <v>31</v>
      </c>
      <c r="E2591" s="67">
        <f t="shared" si="956"/>
        <v>5</v>
      </c>
      <c r="F2591" s="74">
        <f t="shared" si="957"/>
        <v>46523.5</v>
      </c>
      <c r="G2591" s="67">
        <f t="shared" si="958"/>
        <v>24328</v>
      </c>
      <c r="H2591" s="75">
        <f t="shared" si="959"/>
        <v>1</v>
      </c>
      <c r="I2591" s="76">
        <f t="shared" si="960"/>
        <v>1</v>
      </c>
      <c r="J2591" s="76">
        <f t="shared" si="961"/>
        <v>1</v>
      </c>
      <c r="K2591" s="67">
        <f t="shared" si="962"/>
        <v>0</v>
      </c>
      <c r="L2591" s="67">
        <f t="shared" si="963"/>
        <v>0</v>
      </c>
      <c r="M2591" s="77">
        <f t="shared" si="964"/>
        <v>0</v>
      </c>
      <c r="N2591" s="76">
        <f t="shared" si="965"/>
        <v>1</v>
      </c>
      <c r="O2591" s="77">
        <f t="shared" si="966"/>
        <v>0.9174671772428884</v>
      </c>
      <c r="P2591" s="76">
        <f t="shared" si="967"/>
        <v>0</v>
      </c>
      <c r="Q2591" s="76">
        <f t="shared" si="968"/>
        <v>1</v>
      </c>
      <c r="R2591" s="76">
        <f t="shared" si="969"/>
        <v>0</v>
      </c>
      <c r="S2591" s="76">
        <f t="shared" si="970"/>
        <v>0.99724693178574819</v>
      </c>
      <c r="T2591" s="76">
        <f t="shared" si="971"/>
        <v>0.98422485967082107</v>
      </c>
      <c r="U2591" s="76">
        <f t="shared" si="972"/>
        <v>1</v>
      </c>
    </row>
    <row r="2592" spans="1:21" x14ac:dyDescent="0.25">
      <c r="A2592" s="71">
        <v>30</v>
      </c>
      <c r="B2592" s="72">
        <f t="shared" si="973"/>
        <v>46539</v>
      </c>
      <c r="C2592" s="73">
        <f t="shared" si="954"/>
        <v>46568</v>
      </c>
      <c r="D2592" s="67">
        <f t="shared" si="955"/>
        <v>30</v>
      </c>
      <c r="E2592" s="67">
        <f t="shared" si="956"/>
        <v>6</v>
      </c>
      <c r="F2592" s="74">
        <f t="shared" si="957"/>
        <v>46554</v>
      </c>
      <c r="G2592" s="67">
        <f t="shared" si="958"/>
        <v>24329</v>
      </c>
      <c r="H2592" s="75">
        <f t="shared" si="959"/>
        <v>1</v>
      </c>
      <c r="I2592" s="76">
        <f t="shared" si="960"/>
        <v>1</v>
      </c>
      <c r="J2592" s="76">
        <f t="shared" si="961"/>
        <v>1</v>
      </c>
      <c r="K2592" s="67">
        <f t="shared" si="962"/>
        <v>0</v>
      </c>
      <c r="L2592" s="67">
        <f t="shared" si="963"/>
        <v>0</v>
      </c>
      <c r="M2592" s="77">
        <f t="shared" si="964"/>
        <v>0</v>
      </c>
      <c r="N2592" s="76">
        <f t="shared" si="965"/>
        <v>1</v>
      </c>
      <c r="O2592" s="77">
        <f t="shared" si="966"/>
        <v>0.91846827133479214</v>
      </c>
      <c r="P2592" s="76">
        <f t="shared" si="967"/>
        <v>0</v>
      </c>
      <c r="Q2592" s="76">
        <f t="shared" si="968"/>
        <v>1</v>
      </c>
      <c r="R2592" s="76">
        <f t="shared" si="969"/>
        <v>0</v>
      </c>
      <c r="S2592" s="76">
        <f t="shared" si="970"/>
        <v>0.99833507753781747</v>
      </c>
      <c r="T2592" s="76">
        <f t="shared" si="971"/>
        <v>0.98531300542289035</v>
      </c>
      <c r="U2592" s="76">
        <f t="shared" si="972"/>
        <v>1</v>
      </c>
    </row>
    <row r="2593" spans="1:21" x14ac:dyDescent="0.25">
      <c r="A2593" s="71">
        <v>31</v>
      </c>
      <c r="B2593" s="72">
        <f t="shared" si="973"/>
        <v>46569</v>
      </c>
      <c r="C2593" s="73">
        <f t="shared" si="954"/>
        <v>46599</v>
      </c>
      <c r="D2593" s="67">
        <f t="shared" si="955"/>
        <v>31</v>
      </c>
      <c r="E2593" s="67">
        <f t="shared" si="956"/>
        <v>7</v>
      </c>
      <c r="F2593" s="74">
        <f t="shared" si="957"/>
        <v>46584.5</v>
      </c>
      <c r="G2593" s="67">
        <f t="shared" si="958"/>
        <v>24330</v>
      </c>
      <c r="H2593" s="75">
        <f t="shared" si="959"/>
        <v>1</v>
      </c>
      <c r="I2593" s="76">
        <f t="shared" si="960"/>
        <v>1</v>
      </c>
      <c r="J2593" s="76">
        <f t="shared" si="961"/>
        <v>1</v>
      </c>
      <c r="K2593" s="67">
        <f t="shared" si="962"/>
        <v>0</v>
      </c>
      <c r="L2593" s="67">
        <f t="shared" si="963"/>
        <v>0</v>
      </c>
      <c r="M2593" s="77">
        <f t="shared" si="964"/>
        <v>0</v>
      </c>
      <c r="N2593" s="76">
        <f t="shared" si="965"/>
        <v>1</v>
      </c>
      <c r="O2593" s="77">
        <f t="shared" si="966"/>
        <v>0.91946936542669588</v>
      </c>
      <c r="P2593" s="76">
        <f t="shared" si="967"/>
        <v>0</v>
      </c>
      <c r="Q2593" s="76">
        <f t="shared" si="968"/>
        <v>0.91666666666666663</v>
      </c>
      <c r="R2593" s="76">
        <f t="shared" si="969"/>
        <v>8.333333333333337E-2</v>
      </c>
      <c r="S2593" s="76">
        <f t="shared" si="970"/>
        <v>0.99942322328988675</v>
      </c>
      <c r="T2593" s="76">
        <f t="shared" si="971"/>
        <v>0.98640115117495952</v>
      </c>
      <c r="U2593" s="76">
        <f t="shared" si="972"/>
        <v>1</v>
      </c>
    </row>
    <row r="2594" spans="1:21" x14ac:dyDescent="0.25">
      <c r="A2594" s="71">
        <v>32</v>
      </c>
      <c r="B2594" s="72">
        <f t="shared" si="973"/>
        <v>46600</v>
      </c>
      <c r="C2594" s="73">
        <f t="shared" si="954"/>
        <v>46630</v>
      </c>
      <c r="D2594" s="67">
        <f t="shared" si="955"/>
        <v>31</v>
      </c>
      <c r="E2594" s="67">
        <f t="shared" si="956"/>
        <v>8</v>
      </c>
      <c r="F2594" s="74">
        <f t="shared" si="957"/>
        <v>46615.5</v>
      </c>
      <c r="G2594" s="67">
        <f t="shared" si="958"/>
        <v>24331</v>
      </c>
      <c r="H2594" s="75">
        <f t="shared" si="959"/>
        <v>1</v>
      </c>
      <c r="I2594" s="76">
        <f t="shared" si="960"/>
        <v>1</v>
      </c>
      <c r="J2594" s="76">
        <f t="shared" si="961"/>
        <v>1</v>
      </c>
      <c r="K2594" s="67">
        <f t="shared" si="962"/>
        <v>0</v>
      </c>
      <c r="L2594" s="67">
        <f t="shared" si="963"/>
        <v>0</v>
      </c>
      <c r="M2594" s="77">
        <f t="shared" si="964"/>
        <v>0</v>
      </c>
      <c r="N2594" s="76">
        <f t="shared" si="965"/>
        <v>1</v>
      </c>
      <c r="O2594" s="77">
        <f t="shared" si="966"/>
        <v>0.92048687089715542</v>
      </c>
      <c r="P2594" s="76">
        <f t="shared" si="967"/>
        <v>0</v>
      </c>
      <c r="Q2594" s="76">
        <f t="shared" si="968"/>
        <v>0.75</v>
      </c>
      <c r="R2594" s="76">
        <f t="shared" si="969"/>
        <v>0.25</v>
      </c>
      <c r="S2594" s="76">
        <f t="shared" si="970"/>
        <v>1.0005292074969081</v>
      </c>
      <c r="T2594" s="76">
        <f t="shared" si="971"/>
        <v>0.98750713538198076</v>
      </c>
      <c r="U2594" s="76">
        <f t="shared" si="972"/>
        <v>1</v>
      </c>
    </row>
    <row r="2595" spans="1:21" x14ac:dyDescent="0.25">
      <c r="A2595" s="71">
        <v>33</v>
      </c>
      <c r="B2595" s="72">
        <f t="shared" si="973"/>
        <v>46631</v>
      </c>
      <c r="C2595" s="73">
        <f t="shared" si="954"/>
        <v>46660</v>
      </c>
      <c r="D2595" s="67">
        <f t="shared" si="955"/>
        <v>30</v>
      </c>
      <c r="E2595" s="67">
        <f t="shared" si="956"/>
        <v>9</v>
      </c>
      <c r="F2595" s="74">
        <f t="shared" si="957"/>
        <v>46646</v>
      </c>
      <c r="G2595" s="67">
        <f t="shared" si="958"/>
        <v>24332</v>
      </c>
      <c r="H2595" s="75">
        <f t="shared" si="959"/>
        <v>1</v>
      </c>
      <c r="I2595" s="76">
        <f t="shared" si="960"/>
        <v>1</v>
      </c>
      <c r="J2595" s="76">
        <f t="shared" si="961"/>
        <v>1</v>
      </c>
      <c r="K2595" s="67">
        <f t="shared" si="962"/>
        <v>0</v>
      </c>
      <c r="L2595" s="67">
        <f t="shared" si="963"/>
        <v>0</v>
      </c>
      <c r="M2595" s="77">
        <f t="shared" si="964"/>
        <v>0</v>
      </c>
      <c r="N2595" s="76">
        <f t="shared" si="965"/>
        <v>1</v>
      </c>
      <c r="O2595" s="77">
        <f t="shared" si="966"/>
        <v>0.92148796498905916</v>
      </c>
      <c r="P2595" s="76">
        <f t="shared" si="967"/>
        <v>0</v>
      </c>
      <c r="Q2595" s="76">
        <f t="shared" si="968"/>
        <v>0.58333333333333337</v>
      </c>
      <c r="R2595" s="76">
        <f t="shared" si="969"/>
        <v>0.41666666666666663</v>
      </c>
      <c r="S2595" s="76">
        <f t="shared" si="970"/>
        <v>1.0016173532489774</v>
      </c>
      <c r="T2595" s="76">
        <f t="shared" si="971"/>
        <v>0.98859528113405004</v>
      </c>
      <c r="U2595" s="76">
        <f t="shared" si="972"/>
        <v>1</v>
      </c>
    </row>
    <row r="2596" spans="1:21" x14ac:dyDescent="0.25">
      <c r="A2596" s="71">
        <v>34</v>
      </c>
      <c r="B2596" s="72">
        <f t="shared" si="973"/>
        <v>46661</v>
      </c>
      <c r="C2596" s="73">
        <f t="shared" si="954"/>
        <v>46691</v>
      </c>
      <c r="D2596" s="67">
        <f t="shared" si="955"/>
        <v>31</v>
      </c>
      <c r="E2596" s="67">
        <f t="shared" si="956"/>
        <v>10</v>
      </c>
      <c r="F2596" s="74">
        <f t="shared" si="957"/>
        <v>46676.5</v>
      </c>
      <c r="G2596" s="67">
        <f t="shared" si="958"/>
        <v>24333</v>
      </c>
      <c r="H2596" s="75">
        <f t="shared" si="959"/>
        <v>1</v>
      </c>
      <c r="I2596" s="76">
        <f t="shared" si="960"/>
        <v>1</v>
      </c>
      <c r="J2596" s="76">
        <f t="shared" si="961"/>
        <v>1</v>
      </c>
      <c r="K2596" s="67">
        <f t="shared" si="962"/>
        <v>0</v>
      </c>
      <c r="L2596" s="67">
        <f t="shared" si="963"/>
        <v>0</v>
      </c>
      <c r="M2596" s="77">
        <f t="shared" si="964"/>
        <v>0</v>
      </c>
      <c r="N2596" s="76">
        <f t="shared" si="965"/>
        <v>1</v>
      </c>
      <c r="O2596" s="77">
        <f t="shared" si="966"/>
        <v>0.92248905908096279</v>
      </c>
      <c r="P2596" s="76">
        <f t="shared" si="967"/>
        <v>0</v>
      </c>
      <c r="Q2596" s="76">
        <f t="shared" si="968"/>
        <v>0.41666666666666669</v>
      </c>
      <c r="R2596" s="76">
        <f t="shared" si="969"/>
        <v>0.58333333333333326</v>
      </c>
      <c r="S2596" s="76">
        <f t="shared" si="970"/>
        <v>1.0027054990010464</v>
      </c>
      <c r="T2596" s="76">
        <f t="shared" si="971"/>
        <v>0.98968342688611932</v>
      </c>
      <c r="U2596" s="76">
        <f t="shared" si="972"/>
        <v>1</v>
      </c>
    </row>
    <row r="2597" spans="1:21" x14ac:dyDescent="0.25">
      <c r="A2597" s="71">
        <v>35</v>
      </c>
      <c r="B2597" s="72">
        <f t="shared" si="973"/>
        <v>46692</v>
      </c>
      <c r="C2597" s="73">
        <f t="shared" si="954"/>
        <v>46721</v>
      </c>
      <c r="D2597" s="67">
        <f t="shared" si="955"/>
        <v>30</v>
      </c>
      <c r="E2597" s="67">
        <f t="shared" si="956"/>
        <v>11</v>
      </c>
      <c r="F2597" s="74">
        <f t="shared" si="957"/>
        <v>46707</v>
      </c>
      <c r="G2597" s="67">
        <f t="shared" si="958"/>
        <v>24334</v>
      </c>
      <c r="H2597" s="75">
        <f t="shared" si="959"/>
        <v>1</v>
      </c>
      <c r="I2597" s="76">
        <f t="shared" si="960"/>
        <v>1</v>
      </c>
      <c r="J2597" s="76">
        <f t="shared" si="961"/>
        <v>1</v>
      </c>
      <c r="K2597" s="67">
        <f t="shared" si="962"/>
        <v>0</v>
      </c>
      <c r="L2597" s="67">
        <f t="shared" si="963"/>
        <v>0</v>
      </c>
      <c r="M2597" s="77">
        <f t="shared" si="964"/>
        <v>0</v>
      </c>
      <c r="N2597" s="76">
        <f t="shared" si="965"/>
        <v>1</v>
      </c>
      <c r="O2597" s="77">
        <f t="shared" si="966"/>
        <v>0.92349015317286653</v>
      </c>
      <c r="P2597" s="76">
        <f t="shared" si="967"/>
        <v>0</v>
      </c>
      <c r="Q2597" s="76">
        <f t="shared" si="968"/>
        <v>0.25</v>
      </c>
      <c r="R2597" s="76">
        <f t="shared" si="969"/>
        <v>0.75</v>
      </c>
      <c r="S2597" s="76">
        <f t="shared" si="970"/>
        <v>1.0037936447531157</v>
      </c>
      <c r="T2597" s="76">
        <f t="shared" si="971"/>
        <v>0.9907715726381886</v>
      </c>
      <c r="U2597" s="76">
        <f t="shared" si="972"/>
        <v>1</v>
      </c>
    </row>
    <row r="2598" spans="1:21" x14ac:dyDescent="0.25">
      <c r="A2598" s="71">
        <v>36</v>
      </c>
      <c r="B2598" s="72">
        <f t="shared" si="973"/>
        <v>46722</v>
      </c>
      <c r="C2598" s="73">
        <f t="shared" si="954"/>
        <v>46752</v>
      </c>
      <c r="D2598" s="67">
        <f t="shared" si="955"/>
        <v>31</v>
      </c>
      <c r="E2598" s="67">
        <f t="shared" si="956"/>
        <v>12</v>
      </c>
      <c r="F2598" s="74">
        <f t="shared" si="957"/>
        <v>46737.5</v>
      </c>
      <c r="G2598" s="67">
        <f t="shared" si="958"/>
        <v>24335</v>
      </c>
      <c r="H2598" s="75">
        <f t="shared" si="959"/>
        <v>1</v>
      </c>
      <c r="I2598" s="76">
        <f t="shared" si="960"/>
        <v>1</v>
      </c>
      <c r="J2598" s="76">
        <f t="shared" si="961"/>
        <v>1</v>
      </c>
      <c r="K2598" s="67">
        <f t="shared" si="962"/>
        <v>0</v>
      </c>
      <c r="L2598" s="67">
        <f t="shared" si="963"/>
        <v>0</v>
      </c>
      <c r="M2598" s="77">
        <f t="shared" si="964"/>
        <v>0</v>
      </c>
      <c r="N2598" s="76">
        <f t="shared" si="965"/>
        <v>1</v>
      </c>
      <c r="O2598" s="77">
        <f t="shared" si="966"/>
        <v>0.92449124726477028</v>
      </c>
      <c r="P2598" s="76">
        <f t="shared" si="967"/>
        <v>0</v>
      </c>
      <c r="Q2598" s="76">
        <f t="shared" si="968"/>
        <v>8.3333333333333329E-2</v>
      </c>
      <c r="R2598" s="76">
        <f t="shared" si="969"/>
        <v>0.91666666666666663</v>
      </c>
      <c r="S2598" s="76">
        <f t="shared" si="970"/>
        <v>1.004881790505185</v>
      </c>
      <c r="T2598" s="76">
        <f t="shared" si="971"/>
        <v>0.99185971839025788</v>
      </c>
      <c r="U2598" s="76">
        <f t="shared" si="972"/>
        <v>1</v>
      </c>
    </row>
    <row r="2599" spans="1:21" x14ac:dyDescent="0.25">
      <c r="A2599" s="71">
        <v>37</v>
      </c>
      <c r="B2599" s="72">
        <f t="shared" si="973"/>
        <v>46753</v>
      </c>
      <c r="C2599" s="73">
        <f t="shared" si="954"/>
        <v>46783</v>
      </c>
      <c r="D2599" s="67">
        <f t="shared" si="955"/>
        <v>31</v>
      </c>
      <c r="E2599" s="67">
        <f t="shared" si="956"/>
        <v>1</v>
      </c>
      <c r="F2599" s="74">
        <f t="shared" si="957"/>
        <v>46768.5</v>
      </c>
      <c r="G2599" s="67">
        <f t="shared" si="958"/>
        <v>24336</v>
      </c>
      <c r="H2599" s="75">
        <f t="shared" si="959"/>
        <v>1</v>
      </c>
      <c r="I2599" s="76">
        <f t="shared" si="960"/>
        <v>1</v>
      </c>
      <c r="J2599" s="76">
        <f t="shared" si="961"/>
        <v>1</v>
      </c>
      <c r="K2599" s="67">
        <f t="shared" si="962"/>
        <v>0</v>
      </c>
      <c r="L2599" s="67">
        <f t="shared" si="963"/>
        <v>0</v>
      </c>
      <c r="M2599" s="77">
        <f t="shared" si="964"/>
        <v>0</v>
      </c>
      <c r="N2599" s="76">
        <f t="shared" si="965"/>
        <v>1</v>
      </c>
      <c r="O2599" s="77">
        <f t="shared" si="966"/>
        <v>0.92500000000000004</v>
      </c>
      <c r="P2599" s="76">
        <f t="shared" si="967"/>
        <v>0</v>
      </c>
      <c r="Q2599" s="76">
        <f t="shared" si="968"/>
        <v>0</v>
      </c>
      <c r="R2599" s="76">
        <f t="shared" si="969"/>
        <v>1</v>
      </c>
      <c r="S2599" s="76">
        <f t="shared" si="970"/>
        <v>1.0054347826086956</v>
      </c>
      <c r="T2599" s="76">
        <f t="shared" si="971"/>
        <v>0.97994363048235178</v>
      </c>
      <c r="U2599" s="76">
        <f t="shared" si="972"/>
        <v>1</v>
      </c>
    </row>
    <row r="2600" spans="1:21" x14ac:dyDescent="0.25">
      <c r="A2600" s="71">
        <v>38</v>
      </c>
      <c r="B2600" s="72">
        <f t="shared" si="973"/>
        <v>46784</v>
      </c>
      <c r="C2600" s="73">
        <f t="shared" si="954"/>
        <v>46812</v>
      </c>
      <c r="D2600" s="67">
        <f t="shared" si="955"/>
        <v>29</v>
      </c>
      <c r="E2600" s="67">
        <f t="shared" si="956"/>
        <v>2</v>
      </c>
      <c r="F2600" s="74">
        <f t="shared" si="957"/>
        <v>46798.5</v>
      </c>
      <c r="G2600" s="67">
        <f t="shared" si="958"/>
        <v>24337</v>
      </c>
      <c r="H2600" s="75">
        <f t="shared" si="959"/>
        <v>1</v>
      </c>
      <c r="I2600" s="76">
        <f t="shared" si="960"/>
        <v>1</v>
      </c>
      <c r="J2600" s="76">
        <f t="shared" si="961"/>
        <v>1</v>
      </c>
      <c r="K2600" s="67">
        <f t="shared" si="962"/>
        <v>0</v>
      </c>
      <c r="L2600" s="67">
        <f t="shared" si="963"/>
        <v>0</v>
      </c>
      <c r="M2600" s="77">
        <f t="shared" si="964"/>
        <v>0</v>
      </c>
      <c r="N2600" s="76">
        <f t="shared" si="965"/>
        <v>1</v>
      </c>
      <c r="O2600" s="77">
        <f t="shared" si="966"/>
        <v>0.92500000000000004</v>
      </c>
      <c r="P2600" s="76">
        <f t="shared" si="967"/>
        <v>0</v>
      </c>
      <c r="Q2600" s="76">
        <f t="shared" si="968"/>
        <v>0</v>
      </c>
      <c r="R2600" s="76">
        <f t="shared" si="969"/>
        <v>1</v>
      </c>
      <c r="S2600" s="76">
        <f t="shared" si="970"/>
        <v>1.0054347826086956</v>
      </c>
      <c r="T2600" s="76">
        <f t="shared" si="971"/>
        <v>0.98099609932451703</v>
      </c>
      <c r="U2600" s="76">
        <f t="shared" si="972"/>
        <v>1</v>
      </c>
    </row>
    <row r="2601" spans="1:21" x14ac:dyDescent="0.25">
      <c r="A2601" s="71">
        <v>39</v>
      </c>
      <c r="B2601" s="72">
        <f t="shared" si="973"/>
        <v>46813</v>
      </c>
      <c r="C2601" s="73">
        <f t="shared" si="954"/>
        <v>46843</v>
      </c>
      <c r="D2601" s="67">
        <f t="shared" si="955"/>
        <v>31</v>
      </c>
      <c r="E2601" s="67">
        <f t="shared" si="956"/>
        <v>3</v>
      </c>
      <c r="F2601" s="74">
        <f t="shared" si="957"/>
        <v>46828.5</v>
      </c>
      <c r="G2601" s="67">
        <f t="shared" si="958"/>
        <v>24338</v>
      </c>
      <c r="H2601" s="75">
        <f t="shared" si="959"/>
        <v>1</v>
      </c>
      <c r="I2601" s="76">
        <f t="shared" si="960"/>
        <v>1</v>
      </c>
      <c r="J2601" s="76">
        <f t="shared" si="961"/>
        <v>1</v>
      </c>
      <c r="K2601" s="67">
        <f t="shared" si="962"/>
        <v>0</v>
      </c>
      <c r="L2601" s="67">
        <f t="shared" si="963"/>
        <v>0</v>
      </c>
      <c r="M2601" s="77">
        <f t="shared" si="964"/>
        <v>0</v>
      </c>
      <c r="N2601" s="76">
        <f t="shared" si="965"/>
        <v>1</v>
      </c>
      <c r="O2601" s="77">
        <f t="shared" si="966"/>
        <v>0.92500000000000004</v>
      </c>
      <c r="P2601" s="76">
        <f t="shared" si="967"/>
        <v>0</v>
      </c>
      <c r="Q2601" s="76">
        <f t="shared" si="968"/>
        <v>0</v>
      </c>
      <c r="R2601" s="76">
        <f t="shared" si="969"/>
        <v>1</v>
      </c>
      <c r="S2601" s="76">
        <f t="shared" si="970"/>
        <v>1.0054347826086956</v>
      </c>
      <c r="T2601" s="76">
        <f t="shared" si="971"/>
        <v>0.98204856816668251</v>
      </c>
      <c r="U2601" s="76">
        <f t="shared" si="972"/>
        <v>1</v>
      </c>
    </row>
    <row r="2602" spans="1:21" x14ac:dyDescent="0.25">
      <c r="A2602" s="71">
        <v>40</v>
      </c>
      <c r="B2602" s="72">
        <f t="shared" si="973"/>
        <v>46844</v>
      </c>
      <c r="C2602" s="73">
        <f t="shared" si="954"/>
        <v>46873</v>
      </c>
      <c r="D2602" s="67">
        <f t="shared" si="955"/>
        <v>30</v>
      </c>
      <c r="E2602" s="67">
        <f t="shared" si="956"/>
        <v>4</v>
      </c>
      <c r="F2602" s="74">
        <f t="shared" si="957"/>
        <v>46859</v>
      </c>
      <c r="G2602" s="67">
        <f t="shared" si="958"/>
        <v>24339</v>
      </c>
      <c r="H2602" s="75">
        <f t="shared" si="959"/>
        <v>1</v>
      </c>
      <c r="I2602" s="76">
        <f t="shared" si="960"/>
        <v>1</v>
      </c>
      <c r="J2602" s="76">
        <f t="shared" si="961"/>
        <v>1</v>
      </c>
      <c r="K2602" s="67">
        <f t="shared" si="962"/>
        <v>0</v>
      </c>
      <c r="L2602" s="67">
        <f t="shared" si="963"/>
        <v>0</v>
      </c>
      <c r="M2602" s="77">
        <f t="shared" si="964"/>
        <v>0</v>
      </c>
      <c r="N2602" s="76">
        <f t="shared" si="965"/>
        <v>1</v>
      </c>
      <c r="O2602" s="77">
        <f t="shared" si="966"/>
        <v>0.92500000000000004</v>
      </c>
      <c r="P2602" s="76">
        <f t="shared" si="967"/>
        <v>0</v>
      </c>
      <c r="Q2602" s="76">
        <f t="shared" si="968"/>
        <v>0</v>
      </c>
      <c r="R2602" s="76">
        <f t="shared" si="969"/>
        <v>1</v>
      </c>
      <c r="S2602" s="76">
        <f t="shared" si="970"/>
        <v>1.0054347826086956</v>
      </c>
      <c r="T2602" s="76">
        <f t="shared" si="971"/>
        <v>0.98313671391875179</v>
      </c>
      <c r="U2602" s="76">
        <f t="shared" si="972"/>
        <v>1</v>
      </c>
    </row>
    <row r="2603" spans="1:21" x14ac:dyDescent="0.25">
      <c r="A2603" s="71">
        <v>41</v>
      </c>
      <c r="B2603" s="72">
        <f t="shared" si="973"/>
        <v>46874</v>
      </c>
      <c r="C2603" s="73">
        <f t="shared" si="954"/>
        <v>46904</v>
      </c>
      <c r="D2603" s="67">
        <f t="shared" si="955"/>
        <v>31</v>
      </c>
      <c r="E2603" s="67">
        <f t="shared" si="956"/>
        <v>5</v>
      </c>
      <c r="F2603" s="74">
        <f t="shared" si="957"/>
        <v>46889.5</v>
      </c>
      <c r="G2603" s="67">
        <f t="shared" si="958"/>
        <v>24340</v>
      </c>
      <c r="H2603" s="75">
        <f t="shared" si="959"/>
        <v>1</v>
      </c>
      <c r="I2603" s="76">
        <f t="shared" si="960"/>
        <v>1</v>
      </c>
      <c r="J2603" s="76">
        <f t="shared" si="961"/>
        <v>1</v>
      </c>
      <c r="K2603" s="67">
        <f t="shared" si="962"/>
        <v>0</v>
      </c>
      <c r="L2603" s="67">
        <f t="shared" si="963"/>
        <v>0</v>
      </c>
      <c r="M2603" s="77">
        <f t="shared" si="964"/>
        <v>0</v>
      </c>
      <c r="N2603" s="76">
        <f t="shared" si="965"/>
        <v>1</v>
      </c>
      <c r="O2603" s="77">
        <f t="shared" si="966"/>
        <v>0.92500000000000004</v>
      </c>
      <c r="P2603" s="76">
        <f t="shared" si="967"/>
        <v>0</v>
      </c>
      <c r="Q2603" s="76">
        <f t="shared" si="968"/>
        <v>0</v>
      </c>
      <c r="R2603" s="76">
        <f t="shared" si="969"/>
        <v>1</v>
      </c>
      <c r="S2603" s="76">
        <f t="shared" si="970"/>
        <v>1.0054347826086956</v>
      </c>
      <c r="T2603" s="76">
        <f t="shared" si="971"/>
        <v>0.98422485967082107</v>
      </c>
      <c r="U2603" s="76">
        <f t="shared" si="972"/>
        <v>1</v>
      </c>
    </row>
    <row r="2604" spans="1:21" x14ac:dyDescent="0.25">
      <c r="A2604" s="71">
        <v>42</v>
      </c>
      <c r="B2604" s="72">
        <f t="shared" si="973"/>
        <v>46905</v>
      </c>
      <c r="C2604" s="73">
        <f t="shared" si="954"/>
        <v>46934</v>
      </c>
      <c r="D2604" s="67">
        <f t="shared" si="955"/>
        <v>30</v>
      </c>
      <c r="E2604" s="67">
        <f t="shared" si="956"/>
        <v>6</v>
      </c>
      <c r="F2604" s="74">
        <f t="shared" si="957"/>
        <v>46920</v>
      </c>
      <c r="G2604" s="67">
        <f t="shared" si="958"/>
        <v>24341</v>
      </c>
      <c r="H2604" s="75">
        <f t="shared" si="959"/>
        <v>1</v>
      </c>
      <c r="I2604" s="76">
        <f t="shared" si="960"/>
        <v>1</v>
      </c>
      <c r="J2604" s="76">
        <f t="shared" si="961"/>
        <v>1</v>
      </c>
      <c r="K2604" s="67">
        <f t="shared" si="962"/>
        <v>0</v>
      </c>
      <c r="L2604" s="67">
        <f t="shared" si="963"/>
        <v>0</v>
      </c>
      <c r="M2604" s="77">
        <f t="shared" si="964"/>
        <v>0</v>
      </c>
      <c r="N2604" s="76">
        <f t="shared" si="965"/>
        <v>1</v>
      </c>
      <c r="O2604" s="77">
        <f t="shared" si="966"/>
        <v>0.92500000000000004</v>
      </c>
      <c r="P2604" s="76">
        <f t="shared" si="967"/>
        <v>0</v>
      </c>
      <c r="Q2604" s="76">
        <f t="shared" si="968"/>
        <v>0</v>
      </c>
      <c r="R2604" s="76">
        <f t="shared" si="969"/>
        <v>1</v>
      </c>
      <c r="S2604" s="76">
        <f t="shared" si="970"/>
        <v>1.0054347826086956</v>
      </c>
      <c r="T2604" s="76">
        <f t="shared" si="971"/>
        <v>0.98531300542289035</v>
      </c>
      <c r="U2604" s="76">
        <f t="shared" si="972"/>
        <v>1</v>
      </c>
    </row>
    <row r="2605" spans="1:21" x14ac:dyDescent="0.25">
      <c r="A2605" s="71">
        <v>43</v>
      </c>
      <c r="B2605" s="72">
        <f t="shared" si="973"/>
        <v>46935</v>
      </c>
      <c r="C2605" s="73">
        <f t="shared" si="954"/>
        <v>46965</v>
      </c>
      <c r="D2605" s="67">
        <f t="shared" si="955"/>
        <v>31</v>
      </c>
      <c r="E2605" s="67">
        <f t="shared" si="956"/>
        <v>7</v>
      </c>
      <c r="F2605" s="74">
        <f t="shared" si="957"/>
        <v>46950.5</v>
      </c>
      <c r="G2605" s="67">
        <f t="shared" si="958"/>
        <v>24342</v>
      </c>
      <c r="H2605" s="75">
        <f t="shared" si="959"/>
        <v>1</v>
      </c>
      <c r="I2605" s="76">
        <f t="shared" si="960"/>
        <v>1</v>
      </c>
      <c r="J2605" s="76">
        <f t="shared" si="961"/>
        <v>1</v>
      </c>
      <c r="K2605" s="67">
        <f t="shared" si="962"/>
        <v>0</v>
      </c>
      <c r="L2605" s="67">
        <f t="shared" si="963"/>
        <v>0</v>
      </c>
      <c r="M2605" s="77">
        <f t="shared" si="964"/>
        <v>0</v>
      </c>
      <c r="N2605" s="76">
        <f t="shared" si="965"/>
        <v>1</v>
      </c>
      <c r="O2605" s="77">
        <f t="shared" si="966"/>
        <v>0.92500000000000004</v>
      </c>
      <c r="P2605" s="76">
        <f t="shared" si="967"/>
        <v>0</v>
      </c>
      <c r="Q2605" s="76">
        <f t="shared" si="968"/>
        <v>0</v>
      </c>
      <c r="R2605" s="76">
        <f t="shared" si="969"/>
        <v>0.91666666666666663</v>
      </c>
      <c r="S2605" s="76">
        <f t="shared" si="970"/>
        <v>1.0054347826086956</v>
      </c>
      <c r="T2605" s="76">
        <f t="shared" si="971"/>
        <v>0.98640115117495952</v>
      </c>
      <c r="U2605" s="76">
        <f t="shared" si="972"/>
        <v>1</v>
      </c>
    </row>
    <row r="2606" spans="1:21" x14ac:dyDescent="0.25">
      <c r="A2606" s="71">
        <v>44</v>
      </c>
      <c r="B2606" s="72">
        <f t="shared" si="973"/>
        <v>46966</v>
      </c>
      <c r="C2606" s="73">
        <f t="shared" si="954"/>
        <v>46996</v>
      </c>
      <c r="D2606" s="67">
        <f t="shared" si="955"/>
        <v>31</v>
      </c>
      <c r="E2606" s="67">
        <f t="shared" si="956"/>
        <v>8</v>
      </c>
      <c r="F2606" s="74">
        <f t="shared" si="957"/>
        <v>46981.5</v>
      </c>
      <c r="G2606" s="67">
        <f t="shared" si="958"/>
        <v>24343</v>
      </c>
      <c r="H2606" s="75">
        <f t="shared" si="959"/>
        <v>1</v>
      </c>
      <c r="I2606" s="76">
        <f t="shared" si="960"/>
        <v>1</v>
      </c>
      <c r="J2606" s="76">
        <f t="shared" si="961"/>
        <v>1</v>
      </c>
      <c r="K2606" s="67">
        <f t="shared" si="962"/>
        <v>0</v>
      </c>
      <c r="L2606" s="67">
        <f t="shared" si="963"/>
        <v>0</v>
      </c>
      <c r="M2606" s="77">
        <f t="shared" si="964"/>
        <v>0</v>
      </c>
      <c r="N2606" s="76">
        <f t="shared" si="965"/>
        <v>1</v>
      </c>
      <c r="O2606" s="77">
        <f t="shared" si="966"/>
        <v>0.92500000000000004</v>
      </c>
      <c r="P2606" s="76">
        <f t="shared" si="967"/>
        <v>0</v>
      </c>
      <c r="Q2606" s="76">
        <f t="shared" si="968"/>
        <v>0</v>
      </c>
      <c r="R2606" s="76">
        <f t="shared" si="969"/>
        <v>0.75</v>
      </c>
      <c r="S2606" s="76">
        <f t="shared" si="970"/>
        <v>1.0054347826086956</v>
      </c>
      <c r="T2606" s="76">
        <f t="shared" si="971"/>
        <v>0.98750713538198076</v>
      </c>
      <c r="U2606" s="76">
        <f t="shared" si="972"/>
        <v>1</v>
      </c>
    </row>
    <row r="2607" spans="1:21" x14ac:dyDescent="0.25">
      <c r="A2607" s="71">
        <v>45</v>
      </c>
      <c r="B2607" s="72">
        <f t="shared" si="973"/>
        <v>46997</v>
      </c>
      <c r="C2607" s="73">
        <f t="shared" si="954"/>
        <v>47026</v>
      </c>
      <c r="D2607" s="67">
        <f t="shared" si="955"/>
        <v>30</v>
      </c>
      <c r="E2607" s="67">
        <f t="shared" si="956"/>
        <v>9</v>
      </c>
      <c r="F2607" s="74">
        <f t="shared" si="957"/>
        <v>47012</v>
      </c>
      <c r="G2607" s="67">
        <f t="shared" si="958"/>
        <v>24344</v>
      </c>
      <c r="H2607" s="75">
        <f t="shared" si="959"/>
        <v>1</v>
      </c>
      <c r="I2607" s="76">
        <f t="shared" si="960"/>
        <v>1</v>
      </c>
      <c r="J2607" s="76">
        <f t="shared" si="961"/>
        <v>1</v>
      </c>
      <c r="K2607" s="67">
        <f t="shared" si="962"/>
        <v>0</v>
      </c>
      <c r="L2607" s="67">
        <f t="shared" si="963"/>
        <v>0</v>
      </c>
      <c r="M2607" s="77">
        <f t="shared" si="964"/>
        <v>0</v>
      </c>
      <c r="N2607" s="76">
        <f t="shared" si="965"/>
        <v>1</v>
      </c>
      <c r="O2607" s="77">
        <f t="shared" si="966"/>
        <v>0.92500000000000004</v>
      </c>
      <c r="P2607" s="76">
        <f t="shared" si="967"/>
        <v>0</v>
      </c>
      <c r="Q2607" s="76">
        <f t="shared" si="968"/>
        <v>0</v>
      </c>
      <c r="R2607" s="76">
        <f t="shared" si="969"/>
        <v>0.58333333333333337</v>
      </c>
      <c r="S2607" s="76">
        <f t="shared" si="970"/>
        <v>1.0054347826086956</v>
      </c>
      <c r="T2607" s="76">
        <f t="shared" si="971"/>
        <v>0.98859528113405004</v>
      </c>
      <c r="U2607" s="76">
        <f t="shared" si="972"/>
        <v>1</v>
      </c>
    </row>
    <row r="2608" spans="1:21" x14ac:dyDescent="0.25">
      <c r="A2608" s="71">
        <v>46</v>
      </c>
      <c r="B2608" s="72">
        <f t="shared" si="973"/>
        <v>47027</v>
      </c>
      <c r="C2608" s="73">
        <f t="shared" si="954"/>
        <v>47057</v>
      </c>
      <c r="D2608" s="67">
        <f t="shared" si="955"/>
        <v>31</v>
      </c>
      <c r="E2608" s="67">
        <f t="shared" si="956"/>
        <v>10</v>
      </c>
      <c r="F2608" s="74">
        <f t="shared" si="957"/>
        <v>47042.5</v>
      </c>
      <c r="G2608" s="67">
        <f t="shared" si="958"/>
        <v>24345</v>
      </c>
      <c r="H2608" s="75">
        <f t="shared" si="959"/>
        <v>1</v>
      </c>
      <c r="I2608" s="76">
        <f t="shared" si="960"/>
        <v>1</v>
      </c>
      <c r="J2608" s="76">
        <f t="shared" si="961"/>
        <v>1</v>
      </c>
      <c r="K2608" s="67">
        <f t="shared" si="962"/>
        <v>0</v>
      </c>
      <c r="L2608" s="67">
        <f t="shared" si="963"/>
        <v>0</v>
      </c>
      <c r="M2608" s="77">
        <f t="shared" si="964"/>
        <v>0</v>
      </c>
      <c r="N2608" s="76">
        <f t="shared" si="965"/>
        <v>1</v>
      </c>
      <c r="O2608" s="77">
        <f t="shared" si="966"/>
        <v>0.92500000000000004</v>
      </c>
      <c r="P2608" s="76">
        <f t="shared" si="967"/>
        <v>0</v>
      </c>
      <c r="Q2608" s="76">
        <f t="shared" si="968"/>
        <v>0</v>
      </c>
      <c r="R2608" s="76">
        <f t="shared" si="969"/>
        <v>0.41666666666666669</v>
      </c>
      <c r="S2608" s="76">
        <f t="shared" si="970"/>
        <v>1.0054347826086956</v>
      </c>
      <c r="T2608" s="76">
        <f t="shared" si="971"/>
        <v>0.98968342688611932</v>
      </c>
      <c r="U2608" s="76">
        <f t="shared" si="972"/>
        <v>1</v>
      </c>
    </row>
    <row r="2609" spans="1:21" x14ac:dyDescent="0.25">
      <c r="A2609" s="71">
        <v>47</v>
      </c>
      <c r="B2609" s="72">
        <f t="shared" si="973"/>
        <v>47058</v>
      </c>
      <c r="C2609" s="73">
        <f t="shared" si="954"/>
        <v>47087</v>
      </c>
      <c r="D2609" s="67">
        <f t="shared" si="955"/>
        <v>30</v>
      </c>
      <c r="E2609" s="67">
        <f t="shared" si="956"/>
        <v>11</v>
      </c>
      <c r="F2609" s="74">
        <f t="shared" si="957"/>
        <v>47073</v>
      </c>
      <c r="G2609" s="67">
        <f t="shared" si="958"/>
        <v>24346</v>
      </c>
      <c r="H2609" s="75">
        <f t="shared" si="959"/>
        <v>1</v>
      </c>
      <c r="I2609" s="76">
        <f t="shared" si="960"/>
        <v>1</v>
      </c>
      <c r="J2609" s="76">
        <f t="shared" si="961"/>
        <v>1</v>
      </c>
      <c r="K2609" s="67">
        <f t="shared" si="962"/>
        <v>0</v>
      </c>
      <c r="L2609" s="67">
        <f t="shared" si="963"/>
        <v>0</v>
      </c>
      <c r="M2609" s="77">
        <f t="shared" si="964"/>
        <v>0</v>
      </c>
      <c r="N2609" s="76">
        <f t="shared" si="965"/>
        <v>1</v>
      </c>
      <c r="O2609" s="77">
        <f t="shared" si="966"/>
        <v>0.92500000000000004</v>
      </c>
      <c r="P2609" s="76">
        <f t="shared" si="967"/>
        <v>0</v>
      </c>
      <c r="Q2609" s="76">
        <f t="shared" si="968"/>
        <v>0</v>
      </c>
      <c r="R2609" s="76">
        <f t="shared" si="969"/>
        <v>0.25</v>
      </c>
      <c r="S2609" s="76">
        <f t="shared" si="970"/>
        <v>1.0054347826086956</v>
      </c>
      <c r="T2609" s="76">
        <f t="shared" si="971"/>
        <v>0.9907715726381886</v>
      </c>
      <c r="U2609" s="76">
        <f t="shared" si="972"/>
        <v>1</v>
      </c>
    </row>
    <row r="2610" spans="1:21" x14ac:dyDescent="0.25">
      <c r="A2610" s="71">
        <v>48</v>
      </c>
      <c r="B2610" s="72">
        <f t="shared" si="973"/>
        <v>47088</v>
      </c>
      <c r="C2610" s="73">
        <f t="shared" si="954"/>
        <v>47118</v>
      </c>
      <c r="D2610" s="67">
        <f t="shared" si="955"/>
        <v>31</v>
      </c>
      <c r="E2610" s="67">
        <f t="shared" si="956"/>
        <v>12</v>
      </c>
      <c r="F2610" s="74">
        <f t="shared" si="957"/>
        <v>47103.5</v>
      </c>
      <c r="G2610" s="67">
        <f t="shared" si="958"/>
        <v>24347</v>
      </c>
      <c r="H2610" s="75">
        <f t="shared" si="959"/>
        <v>1</v>
      </c>
      <c r="I2610" s="76">
        <f t="shared" si="960"/>
        <v>1</v>
      </c>
      <c r="J2610" s="76">
        <f t="shared" si="961"/>
        <v>1</v>
      </c>
      <c r="K2610" s="67">
        <f t="shared" si="962"/>
        <v>0</v>
      </c>
      <c r="L2610" s="67">
        <f t="shared" si="963"/>
        <v>0</v>
      </c>
      <c r="M2610" s="77">
        <f t="shared" si="964"/>
        <v>0</v>
      </c>
      <c r="N2610" s="76">
        <f t="shared" si="965"/>
        <v>1</v>
      </c>
      <c r="O2610" s="77">
        <f t="shared" si="966"/>
        <v>0.92500000000000004</v>
      </c>
      <c r="P2610" s="76">
        <f t="shared" si="967"/>
        <v>0</v>
      </c>
      <c r="Q2610" s="76">
        <f t="shared" si="968"/>
        <v>0</v>
      </c>
      <c r="R2610" s="76">
        <f t="shared" si="969"/>
        <v>8.3333333333333329E-2</v>
      </c>
      <c r="S2610" s="76">
        <f t="shared" si="970"/>
        <v>1.0054347826086956</v>
      </c>
      <c r="T2610" s="76">
        <f t="shared" si="971"/>
        <v>0.99185971839025788</v>
      </c>
      <c r="U2610" s="76">
        <f t="shared" si="972"/>
        <v>1</v>
      </c>
    </row>
    <row r="2611" spans="1:21" x14ac:dyDescent="0.25">
      <c r="A2611" s="81" t="s">
        <v>1187</v>
      </c>
      <c r="B2611" s="53">
        <f>EXP(SUMPRODUCT((rl_key=$A$2560)*(rl_cons="Y")*rl_ln1p))</f>
        <v>1</v>
      </c>
      <c r="C2611" s="53">
        <f>SUMPRODUCT($H$2563:$H$2610,$P$2563:$P$2610,$U$2563:$U$2610)/SUMPRODUCT($H$2563:$H$2610,$P$2563:$P$2610)</f>
        <v>1</v>
      </c>
      <c r="D2611" s="53">
        <f>SUMPRODUCT($H$2563:$H$2610,$Q$2563:$Q$2610,$U$2563:$U$2610)/SUMPRODUCT($H$2563:$H$2610,$Q$2563:$Q$2610)</f>
        <v>1</v>
      </c>
      <c r="E2611" s="53">
        <f>SUMPRODUCT($H$2563:$H$2610,$R$2563:$R$2610,$U$2563:$U$2610)/SUMPRODUCT($H$2563:$H$2610,$R$2563:$R$2610)</f>
        <v>1</v>
      </c>
      <c r="F2611" s="172">
        <f>SUMPRODUCT($H$2563:$H$2610,$Q$2563:$Q$2610,$O$2563:$O$2610)/SUMPRODUCT($H$2563:$H$2610,$Q$2563:$Q$2610)</f>
        <v>0.91598878555798668</v>
      </c>
      <c r="G2611" s="172">
        <f>SUMPRODUCT($H$2563:$H$2610,$R$2563:$R$2610,$O$2563:$O$2610)/SUMPRODUCT($H$2563:$H$2610,$R$2563:$R$2610)</f>
        <v>0.92449033552151683</v>
      </c>
    </row>
    <row r="2614" spans="1:21" x14ac:dyDescent="0.25">
      <c r="A2614" s="81" t="str">
        <f>INDEX(lr_key,48)</f>
        <v>BU-C|GA</v>
      </c>
      <c r="B2614" s="81" t="str">
        <f>INDEX(lr_state,48)</f>
        <v>GA</v>
      </c>
      <c r="C2614" s="55">
        <f>nr_TermMonths</f>
        <v>6</v>
      </c>
      <c r="D2614" s="55">
        <f>IF(COUNTIF(se_state,$B2614)=0,0,MATCH($B2614,se_state,0))</f>
        <v>0</v>
      </c>
      <c r="E2614" s="57">
        <f>IF($D2614=0,0,INDEX(se_sum,$D2614))</f>
        <v>0</v>
      </c>
      <c r="F2614" s="172">
        <f>IF(N(INDEX(lr_mind,48))=0,1,INDEX(lr_mind,48))</f>
        <v>0.92</v>
      </c>
      <c r="G2614" s="172">
        <f>IF(N(INDEX(lr_m0,48))=0,1,INDEX(lr_m0,48))</f>
        <v>0.91</v>
      </c>
      <c r="H2614" s="54">
        <f>IF(N(INDEX(lr_m0asof,48))=0,DATE(nr_PlanYear-1,10,1),INDEX(lr_m0asof,48))</f>
        <v>46295</v>
      </c>
      <c r="I2614" s="172">
        <f>IF(N(INDEX(lr_m1,48))=0,1,INDEX(lr_m1,48))</f>
        <v>0.90500000000000003</v>
      </c>
      <c r="J2614" s="172">
        <f>INDEX(lr_mprior,48)</f>
        <v>0</v>
      </c>
      <c r="K2614" s="172">
        <f>INDEX(lr_m2,48)</f>
        <v>0</v>
      </c>
      <c r="L2614" s="81" t="b">
        <f>NOT(ISBLANK(INDEX(lr_netp,48)))</f>
        <v>0</v>
      </c>
      <c r="M2614" s="52">
        <f>N(INDEX(lr_netp,48))</f>
        <v>0</v>
      </c>
      <c r="N2614" s="52">
        <f>IF(ISBLANK(INDEX(lr_netp1,48)),$M$2614,N(INDEX(lr_netp1,48)))</f>
        <v>0</v>
      </c>
      <c r="O2614" s="55">
        <f>IF(AND(nr_ModAdjMaster="ON",INDEX(lr_modadj,48)="ON"),1,0)</f>
        <v>1</v>
      </c>
    </row>
    <row r="2615" spans="1:21" x14ac:dyDescent="0.25">
      <c r="A2615" s="81">
        <f>EDATE($H$2614,-12)+1</f>
        <v>45931</v>
      </c>
      <c r="B2615" s="81">
        <f>$H$2614+1</f>
        <v>46296</v>
      </c>
      <c r="C2615" s="81">
        <f>DATE(nr_PlanYear,12,31)+1</f>
        <v>46753</v>
      </c>
      <c r="D2615" s="81">
        <f>DATE(nr_PlanYear+1,12,31)+1</f>
        <v>47119</v>
      </c>
      <c r="E2615" s="81">
        <f>IF(N($J$2614)=0,$F$2615-($G$2615-$F$2615)/($C$2615-$B$2615)*($B$2615-$A$2615),$J$2614)</f>
        <v>0.9139934354485777</v>
      </c>
      <c r="F2615" s="81">
        <f>$G$2614</f>
        <v>0.91</v>
      </c>
      <c r="G2615" s="81">
        <f>$I$2614</f>
        <v>0.90500000000000003</v>
      </c>
      <c r="H2615" s="81">
        <f>IF(N($K$2614)=0,$I$2614,$K$2614)</f>
        <v>0.90500000000000003</v>
      </c>
      <c r="I2615" s="81">
        <f>($F$2615-$E$2615)/($B$2615-$A$2615)</f>
        <v>-1.0940919037199081E-5</v>
      </c>
      <c r="J2615" s="81">
        <f>($G$2615-$F$2615)/($C$2615-$B$2615)</f>
        <v>-1.0940919037199135E-5</v>
      </c>
      <c r="K2615" s="81">
        <f>($H$2615-$G$2615)/($D$2615-$C$2615)</f>
        <v>0</v>
      </c>
    </row>
    <row r="2616" spans="1:21" ht="36" x14ac:dyDescent="0.25">
      <c r="A2616" s="50" t="s">
        <v>211</v>
      </c>
      <c r="B2616" s="50" t="s">
        <v>212</v>
      </c>
      <c r="C2616" s="50" t="s">
        <v>213</v>
      </c>
      <c r="D2616" s="50" t="s">
        <v>214</v>
      </c>
      <c r="E2616" s="50" t="s">
        <v>215</v>
      </c>
      <c r="F2616" s="50" t="s">
        <v>216</v>
      </c>
      <c r="G2616" s="50" t="s">
        <v>217</v>
      </c>
      <c r="H2616" s="50" t="s">
        <v>218</v>
      </c>
      <c r="I2616" s="50" t="s">
        <v>219</v>
      </c>
      <c r="J2616" s="50" t="s">
        <v>220</v>
      </c>
      <c r="K2616" s="50" t="s">
        <v>221</v>
      </c>
      <c r="L2616" s="50" t="s">
        <v>222</v>
      </c>
      <c r="M2616" s="50" t="s">
        <v>223</v>
      </c>
      <c r="N2616" s="50" t="s">
        <v>224</v>
      </c>
      <c r="O2616" s="50" t="s">
        <v>225</v>
      </c>
      <c r="P2616" s="50" t="s">
        <v>226</v>
      </c>
      <c r="Q2616" s="50" t="s">
        <v>227</v>
      </c>
      <c r="R2616" s="50" t="s">
        <v>228</v>
      </c>
      <c r="S2616" s="50" t="s">
        <v>229</v>
      </c>
      <c r="T2616" s="50" t="s">
        <v>230</v>
      </c>
      <c r="U2616" s="50" t="s">
        <v>231</v>
      </c>
    </row>
    <row r="2617" spans="1:21" x14ac:dyDescent="0.25">
      <c r="A2617" s="71">
        <v>1</v>
      </c>
      <c r="B2617" s="72">
        <f>DATE(nr_PlanYear-2,1,1)</f>
        <v>45658</v>
      </c>
      <c r="C2617" s="73">
        <f t="shared" ref="C2617:C2664" si="974">EOMONTH($B2617,0)</f>
        <v>45688</v>
      </c>
      <c r="D2617" s="67">
        <f t="shared" ref="D2617:D2664" si="975">$C2617-$B2617+1</f>
        <v>31</v>
      </c>
      <c r="E2617" s="67">
        <f t="shared" ref="E2617:E2664" si="976">MONTH($B2617)</f>
        <v>1</v>
      </c>
      <c r="F2617" s="74">
        <f t="shared" ref="F2617:F2664" si="977">($B2617+$C2617+1)/2</f>
        <v>45673.5</v>
      </c>
      <c r="G2617" s="67">
        <f t="shared" ref="G2617:G2664" si="978">YEAR($B2617)*12+MONTH($B2617)-1</f>
        <v>24300</v>
      </c>
      <c r="H2617" s="75">
        <f t="shared" ref="H2617:H2664" si="979">IF(OR(nr_SeasonOn="OFF",$D$2614=0,$E$2614=0),1,12*INDEX(se_block,$D$2614,$E2617)/$E$2614)</f>
        <v>1</v>
      </c>
      <c r="I2617" s="76">
        <f t="shared" ref="I2617:I2664" si="980">EXP(SUMPRODUCT((rl_eff&lt;$B2617)*(rl_key=$A$2614)*rl_ln1p))</f>
        <v>1</v>
      </c>
      <c r="J2617" s="76">
        <f t="shared" ref="J2617:J2664" si="981">EXP(SUMPRODUCT((rl_eff&lt;=$C2617)*(rl_key=$A$2614)*rl_ln1p))</f>
        <v>1</v>
      </c>
      <c r="K2617" s="67">
        <f t="shared" ref="K2617:K2664" si="982">COUNTIFS(rl_key,$A$2614,rl_eff,"&gt;="&amp;$B2617,rl_eff,"&lt;="&amp;$C2617)</f>
        <v>0</v>
      </c>
      <c r="L2617" s="67">
        <f t="shared" ref="L2617:L2664" si="983">SUMIFS(rl_daysafter,rl_key,$A$2614,rl_effmonth,$B2617,rl_first,1)</f>
        <v>0</v>
      </c>
      <c r="M2617" s="77">
        <f t="shared" ref="M2617:M2664" si="984">IF($K2617=0,0,MIN(1,$L2617/$D2617))</f>
        <v>0</v>
      </c>
      <c r="N2617" s="76">
        <f t="shared" ref="N2617:N2664" si="985">IF($K2617=0,$J2617,(1-$M2617)*$I2617+$M2617*$J2617)</f>
        <v>1</v>
      </c>
      <c r="O2617" s="77">
        <f t="shared" ref="O2617:O2664" si="986">IF($F2617&lt;$B$2615,$E$2615+$I$2615*($F2617-$A$2615),IF($F2617&lt;$C$2615,$F$2615+$J$2615*($F2617-$B$2615),$G$2615+$K$2615*($F2617-$C$2615)))</f>
        <v>0.91681072210065651</v>
      </c>
      <c r="P2617" s="76">
        <f t="shared" ref="P2617:P2664" si="987">MIN(1,MAX(0,(nr_MEndPm1-$G2617+0.5)/$C$2614))-MIN(1,MAX(0,(nr_MStartPm1-1-$G2617+0.5)/$C$2614))</f>
        <v>0</v>
      </c>
      <c r="Q2617" s="76">
        <f t="shared" ref="Q2617:Q2664" si="988">MIN(1,MAX(0,(nr_MEndP-$G2617+0.5)/$C$2614))-MIN(1,MAX(0,(nr_MStartP-1-$G2617+0.5)/$C$2614))</f>
        <v>0</v>
      </c>
      <c r="R2617" s="76">
        <f t="shared" ref="R2617:R2664" si="989">MIN(1,MAX(0,(nr_MEndP1-$G2617+0.5)/$C$2614))-MIN(1,MAX(0,(nr_MStartP1-1-$G2617+0.5)/$C$2614))</f>
        <v>0</v>
      </c>
      <c r="S2617" s="76">
        <f t="shared" ref="S2617:S2664" si="990">$N2617*IF($O$2614=1,$O2617/$F$2614,1)</f>
        <v>0.99653339358767012</v>
      </c>
      <c r="T2617" s="76">
        <f t="shared" ref="T2617:T2664" si="991">IF($G2617&lt;nr_MStartP,$S2617,$T2605*(1+IF($G2617&lt;nr_MStartP1,$M$2614,$N$2614)))</f>
        <v>0.99653339358767012</v>
      </c>
      <c r="U2617" s="76">
        <f t="shared" ref="U2617:U2664" si="992">IF($L$2614,$T2617,$N2617)</f>
        <v>1</v>
      </c>
    </row>
    <row r="2618" spans="1:21" x14ac:dyDescent="0.25">
      <c r="A2618" s="71">
        <v>2</v>
      </c>
      <c r="B2618" s="72">
        <f t="shared" ref="B2618:B2664" si="993">EDATE($B2617,1)</f>
        <v>45689</v>
      </c>
      <c r="C2618" s="73">
        <f t="shared" si="974"/>
        <v>45716</v>
      </c>
      <c r="D2618" s="67">
        <f t="shared" si="975"/>
        <v>28</v>
      </c>
      <c r="E2618" s="67">
        <f t="shared" si="976"/>
        <v>2</v>
      </c>
      <c r="F2618" s="74">
        <f t="shared" si="977"/>
        <v>45703</v>
      </c>
      <c r="G2618" s="67">
        <f t="shared" si="978"/>
        <v>24301</v>
      </c>
      <c r="H2618" s="75">
        <f t="shared" si="979"/>
        <v>1</v>
      </c>
      <c r="I2618" s="76">
        <f t="shared" si="980"/>
        <v>1</v>
      </c>
      <c r="J2618" s="76">
        <f t="shared" si="981"/>
        <v>1</v>
      </c>
      <c r="K2618" s="67">
        <f t="shared" si="982"/>
        <v>0</v>
      </c>
      <c r="L2618" s="67">
        <f t="shared" si="983"/>
        <v>0</v>
      </c>
      <c r="M2618" s="77">
        <f t="shared" si="984"/>
        <v>0</v>
      </c>
      <c r="N2618" s="76">
        <f t="shared" si="985"/>
        <v>1</v>
      </c>
      <c r="O2618" s="77">
        <f t="shared" si="986"/>
        <v>0.91648796498905905</v>
      </c>
      <c r="P2618" s="76">
        <f t="shared" si="987"/>
        <v>0</v>
      </c>
      <c r="Q2618" s="76">
        <f t="shared" si="988"/>
        <v>0</v>
      </c>
      <c r="R2618" s="76">
        <f t="shared" si="989"/>
        <v>0</v>
      </c>
      <c r="S2618" s="76">
        <f t="shared" si="990"/>
        <v>0.99618257064028148</v>
      </c>
      <c r="T2618" s="76">
        <f t="shared" si="991"/>
        <v>0.99618257064028148</v>
      </c>
      <c r="U2618" s="76">
        <f t="shared" si="992"/>
        <v>1</v>
      </c>
    </row>
    <row r="2619" spans="1:21" x14ac:dyDescent="0.25">
      <c r="A2619" s="71">
        <v>3</v>
      </c>
      <c r="B2619" s="72">
        <f t="shared" si="993"/>
        <v>45717</v>
      </c>
      <c r="C2619" s="73">
        <f t="shared" si="974"/>
        <v>45747</v>
      </c>
      <c r="D2619" s="67">
        <f t="shared" si="975"/>
        <v>31</v>
      </c>
      <c r="E2619" s="67">
        <f t="shared" si="976"/>
        <v>3</v>
      </c>
      <c r="F2619" s="74">
        <f t="shared" si="977"/>
        <v>45732.5</v>
      </c>
      <c r="G2619" s="67">
        <f t="shared" si="978"/>
        <v>24302</v>
      </c>
      <c r="H2619" s="75">
        <f t="shared" si="979"/>
        <v>1</v>
      </c>
      <c r="I2619" s="76">
        <f t="shared" si="980"/>
        <v>1</v>
      </c>
      <c r="J2619" s="76">
        <f t="shared" si="981"/>
        <v>1</v>
      </c>
      <c r="K2619" s="67">
        <f t="shared" si="982"/>
        <v>0</v>
      </c>
      <c r="L2619" s="67">
        <f t="shared" si="983"/>
        <v>0</v>
      </c>
      <c r="M2619" s="77">
        <f t="shared" si="984"/>
        <v>0</v>
      </c>
      <c r="N2619" s="76">
        <f t="shared" si="985"/>
        <v>1</v>
      </c>
      <c r="O2619" s="77">
        <f t="shared" si="986"/>
        <v>0.9161652078774617</v>
      </c>
      <c r="P2619" s="76">
        <f t="shared" si="987"/>
        <v>0</v>
      </c>
      <c r="Q2619" s="76">
        <f t="shared" si="988"/>
        <v>0</v>
      </c>
      <c r="R2619" s="76">
        <f t="shared" si="989"/>
        <v>0</v>
      </c>
      <c r="S2619" s="76">
        <f t="shared" si="990"/>
        <v>0.99583174769289307</v>
      </c>
      <c r="T2619" s="76">
        <f t="shared" si="991"/>
        <v>0.99583174769289307</v>
      </c>
      <c r="U2619" s="76">
        <f t="shared" si="992"/>
        <v>1</v>
      </c>
    </row>
    <row r="2620" spans="1:21" x14ac:dyDescent="0.25">
      <c r="A2620" s="71">
        <v>4</v>
      </c>
      <c r="B2620" s="72">
        <f t="shared" si="993"/>
        <v>45748</v>
      </c>
      <c r="C2620" s="73">
        <f t="shared" si="974"/>
        <v>45777</v>
      </c>
      <c r="D2620" s="67">
        <f t="shared" si="975"/>
        <v>30</v>
      </c>
      <c r="E2620" s="67">
        <f t="shared" si="976"/>
        <v>4</v>
      </c>
      <c r="F2620" s="74">
        <f t="shared" si="977"/>
        <v>45763</v>
      </c>
      <c r="G2620" s="67">
        <f t="shared" si="978"/>
        <v>24303</v>
      </c>
      <c r="H2620" s="75">
        <f t="shared" si="979"/>
        <v>1</v>
      </c>
      <c r="I2620" s="76">
        <f t="shared" si="980"/>
        <v>1</v>
      </c>
      <c r="J2620" s="76">
        <f t="shared" si="981"/>
        <v>1</v>
      </c>
      <c r="K2620" s="67">
        <f t="shared" si="982"/>
        <v>0</v>
      </c>
      <c r="L2620" s="67">
        <f t="shared" si="983"/>
        <v>0</v>
      </c>
      <c r="M2620" s="77">
        <f t="shared" si="984"/>
        <v>0</v>
      </c>
      <c r="N2620" s="76">
        <f t="shared" si="985"/>
        <v>1</v>
      </c>
      <c r="O2620" s="77">
        <f t="shared" si="986"/>
        <v>0.91583150984682715</v>
      </c>
      <c r="P2620" s="76">
        <f t="shared" si="987"/>
        <v>0</v>
      </c>
      <c r="Q2620" s="76">
        <f t="shared" si="988"/>
        <v>0</v>
      </c>
      <c r="R2620" s="76">
        <f t="shared" si="989"/>
        <v>0</v>
      </c>
      <c r="S2620" s="76">
        <f t="shared" si="990"/>
        <v>0.99546903244220342</v>
      </c>
      <c r="T2620" s="76">
        <f t="shared" si="991"/>
        <v>0.99546903244220342</v>
      </c>
      <c r="U2620" s="76">
        <f t="shared" si="992"/>
        <v>1</v>
      </c>
    </row>
    <row r="2621" spans="1:21" x14ac:dyDescent="0.25">
      <c r="A2621" s="71">
        <v>5</v>
      </c>
      <c r="B2621" s="72">
        <f t="shared" si="993"/>
        <v>45778</v>
      </c>
      <c r="C2621" s="73">
        <f t="shared" si="974"/>
        <v>45808</v>
      </c>
      <c r="D2621" s="67">
        <f t="shared" si="975"/>
        <v>31</v>
      </c>
      <c r="E2621" s="67">
        <f t="shared" si="976"/>
        <v>5</v>
      </c>
      <c r="F2621" s="74">
        <f t="shared" si="977"/>
        <v>45793.5</v>
      </c>
      <c r="G2621" s="67">
        <f t="shared" si="978"/>
        <v>24304</v>
      </c>
      <c r="H2621" s="75">
        <f t="shared" si="979"/>
        <v>1</v>
      </c>
      <c r="I2621" s="76">
        <f t="shared" si="980"/>
        <v>1</v>
      </c>
      <c r="J2621" s="76">
        <f t="shared" si="981"/>
        <v>1</v>
      </c>
      <c r="K2621" s="67">
        <f t="shared" si="982"/>
        <v>0</v>
      </c>
      <c r="L2621" s="67">
        <f t="shared" si="983"/>
        <v>0</v>
      </c>
      <c r="M2621" s="77">
        <f t="shared" si="984"/>
        <v>0</v>
      </c>
      <c r="N2621" s="76">
        <f t="shared" si="985"/>
        <v>1</v>
      </c>
      <c r="O2621" s="77">
        <f t="shared" si="986"/>
        <v>0.91549781181619261</v>
      </c>
      <c r="P2621" s="76">
        <f t="shared" si="987"/>
        <v>0</v>
      </c>
      <c r="Q2621" s="76">
        <f t="shared" si="988"/>
        <v>0</v>
      </c>
      <c r="R2621" s="76">
        <f t="shared" si="989"/>
        <v>0</v>
      </c>
      <c r="S2621" s="76">
        <f t="shared" si="990"/>
        <v>0.99510631719151366</v>
      </c>
      <c r="T2621" s="76">
        <f t="shared" si="991"/>
        <v>0.99510631719151366</v>
      </c>
      <c r="U2621" s="76">
        <f t="shared" si="992"/>
        <v>1</v>
      </c>
    </row>
    <row r="2622" spans="1:21" x14ac:dyDescent="0.25">
      <c r="A2622" s="71">
        <v>6</v>
      </c>
      <c r="B2622" s="72">
        <f t="shared" si="993"/>
        <v>45809</v>
      </c>
      <c r="C2622" s="73">
        <f t="shared" si="974"/>
        <v>45838</v>
      </c>
      <c r="D2622" s="67">
        <f t="shared" si="975"/>
        <v>30</v>
      </c>
      <c r="E2622" s="67">
        <f t="shared" si="976"/>
        <v>6</v>
      </c>
      <c r="F2622" s="74">
        <f t="shared" si="977"/>
        <v>45824</v>
      </c>
      <c r="G2622" s="67">
        <f t="shared" si="978"/>
        <v>24305</v>
      </c>
      <c r="H2622" s="75">
        <f t="shared" si="979"/>
        <v>1</v>
      </c>
      <c r="I2622" s="76">
        <f t="shared" si="980"/>
        <v>1</v>
      </c>
      <c r="J2622" s="76">
        <f t="shared" si="981"/>
        <v>1</v>
      </c>
      <c r="K2622" s="67">
        <f t="shared" si="982"/>
        <v>0</v>
      </c>
      <c r="L2622" s="67">
        <f t="shared" si="983"/>
        <v>0</v>
      </c>
      <c r="M2622" s="77">
        <f t="shared" si="984"/>
        <v>0</v>
      </c>
      <c r="N2622" s="76">
        <f t="shared" si="985"/>
        <v>1</v>
      </c>
      <c r="O2622" s="77">
        <f t="shared" si="986"/>
        <v>0.91516411378555795</v>
      </c>
      <c r="P2622" s="76">
        <f t="shared" si="987"/>
        <v>0</v>
      </c>
      <c r="Q2622" s="76">
        <f t="shared" si="988"/>
        <v>0</v>
      </c>
      <c r="R2622" s="76">
        <f t="shared" si="989"/>
        <v>0</v>
      </c>
      <c r="S2622" s="76">
        <f t="shared" si="990"/>
        <v>0.99474360194082379</v>
      </c>
      <c r="T2622" s="76">
        <f t="shared" si="991"/>
        <v>0.99474360194082379</v>
      </c>
      <c r="U2622" s="76">
        <f t="shared" si="992"/>
        <v>1</v>
      </c>
    </row>
    <row r="2623" spans="1:21" x14ac:dyDescent="0.25">
      <c r="A2623" s="71">
        <v>7</v>
      </c>
      <c r="B2623" s="72">
        <f t="shared" si="993"/>
        <v>45839</v>
      </c>
      <c r="C2623" s="73">
        <f t="shared" si="974"/>
        <v>45869</v>
      </c>
      <c r="D2623" s="67">
        <f t="shared" si="975"/>
        <v>31</v>
      </c>
      <c r="E2623" s="67">
        <f t="shared" si="976"/>
        <v>7</v>
      </c>
      <c r="F2623" s="74">
        <f t="shared" si="977"/>
        <v>45854.5</v>
      </c>
      <c r="G2623" s="67">
        <f t="shared" si="978"/>
        <v>24306</v>
      </c>
      <c r="H2623" s="75">
        <f t="shared" si="979"/>
        <v>1</v>
      </c>
      <c r="I2623" s="76">
        <f t="shared" si="980"/>
        <v>1</v>
      </c>
      <c r="J2623" s="76">
        <f t="shared" si="981"/>
        <v>1</v>
      </c>
      <c r="K2623" s="67">
        <f t="shared" si="982"/>
        <v>0</v>
      </c>
      <c r="L2623" s="67">
        <f t="shared" si="983"/>
        <v>0</v>
      </c>
      <c r="M2623" s="77">
        <f t="shared" si="984"/>
        <v>0</v>
      </c>
      <c r="N2623" s="76">
        <f t="shared" si="985"/>
        <v>1</v>
      </c>
      <c r="O2623" s="77">
        <f t="shared" si="986"/>
        <v>0.91483041575492341</v>
      </c>
      <c r="P2623" s="76">
        <f t="shared" si="987"/>
        <v>8.333333333333337E-2</v>
      </c>
      <c r="Q2623" s="76">
        <f t="shared" si="988"/>
        <v>0</v>
      </c>
      <c r="R2623" s="76">
        <f t="shared" si="989"/>
        <v>0</v>
      </c>
      <c r="S2623" s="76">
        <f t="shared" si="990"/>
        <v>0.99438088669013414</v>
      </c>
      <c r="T2623" s="76">
        <f t="shared" si="991"/>
        <v>0.99438088669013414</v>
      </c>
      <c r="U2623" s="76">
        <f t="shared" si="992"/>
        <v>1</v>
      </c>
    </row>
    <row r="2624" spans="1:21" x14ac:dyDescent="0.25">
      <c r="A2624" s="71">
        <v>8</v>
      </c>
      <c r="B2624" s="72">
        <f t="shared" si="993"/>
        <v>45870</v>
      </c>
      <c r="C2624" s="73">
        <f t="shared" si="974"/>
        <v>45900</v>
      </c>
      <c r="D2624" s="67">
        <f t="shared" si="975"/>
        <v>31</v>
      </c>
      <c r="E2624" s="67">
        <f t="shared" si="976"/>
        <v>8</v>
      </c>
      <c r="F2624" s="74">
        <f t="shared" si="977"/>
        <v>45885.5</v>
      </c>
      <c r="G2624" s="67">
        <f t="shared" si="978"/>
        <v>24307</v>
      </c>
      <c r="H2624" s="75">
        <f t="shared" si="979"/>
        <v>1</v>
      </c>
      <c r="I2624" s="76">
        <f t="shared" si="980"/>
        <v>1</v>
      </c>
      <c r="J2624" s="76">
        <f t="shared" si="981"/>
        <v>1</v>
      </c>
      <c r="K2624" s="67">
        <f t="shared" si="982"/>
        <v>0</v>
      </c>
      <c r="L2624" s="67">
        <f t="shared" si="983"/>
        <v>0</v>
      </c>
      <c r="M2624" s="77">
        <f t="shared" si="984"/>
        <v>0</v>
      </c>
      <c r="N2624" s="76">
        <f t="shared" si="985"/>
        <v>1</v>
      </c>
      <c r="O2624" s="77">
        <f t="shared" si="986"/>
        <v>0.91449124726477027</v>
      </c>
      <c r="P2624" s="76">
        <f t="shared" si="987"/>
        <v>0.25</v>
      </c>
      <c r="Q2624" s="76">
        <f t="shared" si="988"/>
        <v>0</v>
      </c>
      <c r="R2624" s="76">
        <f t="shared" si="989"/>
        <v>0</v>
      </c>
      <c r="S2624" s="76">
        <f t="shared" si="990"/>
        <v>0.99401222528779376</v>
      </c>
      <c r="T2624" s="76">
        <f t="shared" si="991"/>
        <v>0.99401222528779376</v>
      </c>
      <c r="U2624" s="76">
        <f t="shared" si="992"/>
        <v>1</v>
      </c>
    </row>
    <row r="2625" spans="1:21" x14ac:dyDescent="0.25">
      <c r="A2625" s="71">
        <v>9</v>
      </c>
      <c r="B2625" s="72">
        <f t="shared" si="993"/>
        <v>45901</v>
      </c>
      <c r="C2625" s="73">
        <f t="shared" si="974"/>
        <v>45930</v>
      </c>
      <c r="D2625" s="67">
        <f t="shared" si="975"/>
        <v>30</v>
      </c>
      <c r="E2625" s="67">
        <f t="shared" si="976"/>
        <v>9</v>
      </c>
      <c r="F2625" s="74">
        <f t="shared" si="977"/>
        <v>45916</v>
      </c>
      <c r="G2625" s="67">
        <f t="shared" si="978"/>
        <v>24308</v>
      </c>
      <c r="H2625" s="75">
        <f t="shared" si="979"/>
        <v>1</v>
      </c>
      <c r="I2625" s="76">
        <f t="shared" si="980"/>
        <v>1</v>
      </c>
      <c r="J2625" s="76">
        <f t="shared" si="981"/>
        <v>1</v>
      </c>
      <c r="K2625" s="67">
        <f t="shared" si="982"/>
        <v>0</v>
      </c>
      <c r="L2625" s="67">
        <f t="shared" si="983"/>
        <v>0</v>
      </c>
      <c r="M2625" s="77">
        <f t="shared" si="984"/>
        <v>0</v>
      </c>
      <c r="N2625" s="76">
        <f t="shared" si="985"/>
        <v>1</v>
      </c>
      <c r="O2625" s="77">
        <f t="shared" si="986"/>
        <v>0.91415754923413572</v>
      </c>
      <c r="P2625" s="76">
        <f t="shared" si="987"/>
        <v>0.41666666666666663</v>
      </c>
      <c r="Q2625" s="76">
        <f t="shared" si="988"/>
        <v>0</v>
      </c>
      <c r="R2625" s="76">
        <f t="shared" si="989"/>
        <v>0</v>
      </c>
      <c r="S2625" s="76">
        <f t="shared" si="990"/>
        <v>0.993649510037104</v>
      </c>
      <c r="T2625" s="76">
        <f t="shared" si="991"/>
        <v>0.993649510037104</v>
      </c>
      <c r="U2625" s="76">
        <f t="shared" si="992"/>
        <v>1</v>
      </c>
    </row>
    <row r="2626" spans="1:21" x14ac:dyDescent="0.25">
      <c r="A2626" s="71">
        <v>10</v>
      </c>
      <c r="B2626" s="72">
        <f t="shared" si="993"/>
        <v>45931</v>
      </c>
      <c r="C2626" s="73">
        <f t="shared" si="974"/>
        <v>45961</v>
      </c>
      <c r="D2626" s="67">
        <f t="shared" si="975"/>
        <v>31</v>
      </c>
      <c r="E2626" s="67">
        <f t="shared" si="976"/>
        <v>10</v>
      </c>
      <c r="F2626" s="74">
        <f t="shared" si="977"/>
        <v>45946.5</v>
      </c>
      <c r="G2626" s="67">
        <f t="shared" si="978"/>
        <v>24309</v>
      </c>
      <c r="H2626" s="75">
        <f t="shared" si="979"/>
        <v>1</v>
      </c>
      <c r="I2626" s="76">
        <f t="shared" si="980"/>
        <v>1</v>
      </c>
      <c r="J2626" s="76">
        <f t="shared" si="981"/>
        <v>1</v>
      </c>
      <c r="K2626" s="67">
        <f t="shared" si="982"/>
        <v>0</v>
      </c>
      <c r="L2626" s="67">
        <f t="shared" si="983"/>
        <v>0</v>
      </c>
      <c r="M2626" s="77">
        <f t="shared" si="984"/>
        <v>0</v>
      </c>
      <c r="N2626" s="76">
        <f t="shared" si="985"/>
        <v>1</v>
      </c>
      <c r="O2626" s="77">
        <f t="shared" si="986"/>
        <v>0.91382385120350107</v>
      </c>
      <c r="P2626" s="76">
        <f t="shared" si="987"/>
        <v>0.58333333333333326</v>
      </c>
      <c r="Q2626" s="76">
        <f t="shared" si="988"/>
        <v>0</v>
      </c>
      <c r="R2626" s="76">
        <f t="shared" si="989"/>
        <v>0</v>
      </c>
      <c r="S2626" s="76">
        <f t="shared" si="990"/>
        <v>0.99328679478641413</v>
      </c>
      <c r="T2626" s="76">
        <f t="shared" si="991"/>
        <v>0.99328679478641413</v>
      </c>
      <c r="U2626" s="76">
        <f t="shared" si="992"/>
        <v>1</v>
      </c>
    </row>
    <row r="2627" spans="1:21" x14ac:dyDescent="0.25">
      <c r="A2627" s="71">
        <v>11</v>
      </c>
      <c r="B2627" s="72">
        <f t="shared" si="993"/>
        <v>45962</v>
      </c>
      <c r="C2627" s="73">
        <f t="shared" si="974"/>
        <v>45991</v>
      </c>
      <c r="D2627" s="67">
        <f t="shared" si="975"/>
        <v>30</v>
      </c>
      <c r="E2627" s="67">
        <f t="shared" si="976"/>
        <v>11</v>
      </c>
      <c r="F2627" s="74">
        <f t="shared" si="977"/>
        <v>45977</v>
      </c>
      <c r="G2627" s="67">
        <f t="shared" si="978"/>
        <v>24310</v>
      </c>
      <c r="H2627" s="75">
        <f t="shared" si="979"/>
        <v>1</v>
      </c>
      <c r="I2627" s="76">
        <f t="shared" si="980"/>
        <v>1</v>
      </c>
      <c r="J2627" s="76">
        <f t="shared" si="981"/>
        <v>1</v>
      </c>
      <c r="K2627" s="67">
        <f t="shared" si="982"/>
        <v>0</v>
      </c>
      <c r="L2627" s="67">
        <f t="shared" si="983"/>
        <v>0</v>
      </c>
      <c r="M2627" s="77">
        <f t="shared" si="984"/>
        <v>0</v>
      </c>
      <c r="N2627" s="76">
        <f t="shared" si="985"/>
        <v>1</v>
      </c>
      <c r="O2627" s="77">
        <f t="shared" si="986"/>
        <v>0.91349015317286653</v>
      </c>
      <c r="P2627" s="76">
        <f t="shared" si="987"/>
        <v>0.75</v>
      </c>
      <c r="Q2627" s="76">
        <f t="shared" si="988"/>
        <v>0</v>
      </c>
      <c r="R2627" s="76">
        <f t="shared" si="989"/>
        <v>0</v>
      </c>
      <c r="S2627" s="76">
        <f t="shared" si="990"/>
        <v>0.99292407953572448</v>
      </c>
      <c r="T2627" s="76">
        <f t="shared" si="991"/>
        <v>0.99292407953572448</v>
      </c>
      <c r="U2627" s="76">
        <f t="shared" si="992"/>
        <v>1</v>
      </c>
    </row>
    <row r="2628" spans="1:21" x14ac:dyDescent="0.25">
      <c r="A2628" s="71">
        <v>12</v>
      </c>
      <c r="B2628" s="72">
        <f t="shared" si="993"/>
        <v>45992</v>
      </c>
      <c r="C2628" s="73">
        <f t="shared" si="974"/>
        <v>46022</v>
      </c>
      <c r="D2628" s="67">
        <f t="shared" si="975"/>
        <v>31</v>
      </c>
      <c r="E2628" s="67">
        <f t="shared" si="976"/>
        <v>12</v>
      </c>
      <c r="F2628" s="74">
        <f t="shared" si="977"/>
        <v>46007.5</v>
      </c>
      <c r="G2628" s="67">
        <f t="shared" si="978"/>
        <v>24311</v>
      </c>
      <c r="H2628" s="75">
        <f t="shared" si="979"/>
        <v>1</v>
      </c>
      <c r="I2628" s="76">
        <f t="shared" si="980"/>
        <v>1</v>
      </c>
      <c r="J2628" s="76">
        <f t="shared" si="981"/>
        <v>1</v>
      </c>
      <c r="K2628" s="67">
        <f t="shared" si="982"/>
        <v>0</v>
      </c>
      <c r="L2628" s="67">
        <f t="shared" si="983"/>
        <v>0</v>
      </c>
      <c r="M2628" s="77">
        <f t="shared" si="984"/>
        <v>0</v>
      </c>
      <c r="N2628" s="76">
        <f t="shared" si="985"/>
        <v>1</v>
      </c>
      <c r="O2628" s="77">
        <f t="shared" si="986"/>
        <v>0.91315645514223198</v>
      </c>
      <c r="P2628" s="76">
        <f t="shared" si="987"/>
        <v>0.91666666666666663</v>
      </c>
      <c r="Q2628" s="76">
        <f t="shared" si="988"/>
        <v>0</v>
      </c>
      <c r="R2628" s="76">
        <f t="shared" si="989"/>
        <v>0</v>
      </c>
      <c r="S2628" s="76">
        <f t="shared" si="990"/>
        <v>0.99256136428503472</v>
      </c>
      <c r="T2628" s="76">
        <f t="shared" si="991"/>
        <v>0.99256136428503472</v>
      </c>
      <c r="U2628" s="76">
        <f t="shared" si="992"/>
        <v>1</v>
      </c>
    </row>
    <row r="2629" spans="1:21" x14ac:dyDescent="0.25">
      <c r="A2629" s="71">
        <v>13</v>
      </c>
      <c r="B2629" s="72">
        <f t="shared" si="993"/>
        <v>46023</v>
      </c>
      <c r="C2629" s="73">
        <f t="shared" si="974"/>
        <v>46053</v>
      </c>
      <c r="D2629" s="67">
        <f t="shared" si="975"/>
        <v>31</v>
      </c>
      <c r="E2629" s="67">
        <f t="shared" si="976"/>
        <v>1</v>
      </c>
      <c r="F2629" s="74">
        <f t="shared" si="977"/>
        <v>46038.5</v>
      </c>
      <c r="G2629" s="67">
        <f t="shared" si="978"/>
        <v>24312</v>
      </c>
      <c r="H2629" s="75">
        <f t="shared" si="979"/>
        <v>1</v>
      </c>
      <c r="I2629" s="76">
        <f t="shared" si="980"/>
        <v>1</v>
      </c>
      <c r="J2629" s="76">
        <f t="shared" si="981"/>
        <v>1</v>
      </c>
      <c r="K2629" s="67">
        <f t="shared" si="982"/>
        <v>0</v>
      </c>
      <c r="L2629" s="67">
        <f t="shared" si="983"/>
        <v>0</v>
      </c>
      <c r="M2629" s="77">
        <f t="shared" si="984"/>
        <v>0</v>
      </c>
      <c r="N2629" s="76">
        <f t="shared" si="985"/>
        <v>1</v>
      </c>
      <c r="O2629" s="77">
        <f t="shared" si="986"/>
        <v>0.91281728665207884</v>
      </c>
      <c r="P2629" s="76">
        <f t="shared" si="987"/>
        <v>1</v>
      </c>
      <c r="Q2629" s="76">
        <f t="shared" si="988"/>
        <v>0</v>
      </c>
      <c r="R2629" s="76">
        <f t="shared" si="989"/>
        <v>0</v>
      </c>
      <c r="S2629" s="76">
        <f t="shared" si="990"/>
        <v>0.99219270288269434</v>
      </c>
      <c r="T2629" s="76">
        <f t="shared" si="991"/>
        <v>0.99219270288269434</v>
      </c>
      <c r="U2629" s="76">
        <f t="shared" si="992"/>
        <v>1</v>
      </c>
    </row>
    <row r="2630" spans="1:21" x14ac:dyDescent="0.25">
      <c r="A2630" s="71">
        <v>14</v>
      </c>
      <c r="B2630" s="72">
        <f t="shared" si="993"/>
        <v>46054</v>
      </c>
      <c r="C2630" s="73">
        <f t="shared" si="974"/>
        <v>46081</v>
      </c>
      <c r="D2630" s="67">
        <f t="shared" si="975"/>
        <v>28</v>
      </c>
      <c r="E2630" s="67">
        <f t="shared" si="976"/>
        <v>2</v>
      </c>
      <c r="F2630" s="74">
        <f t="shared" si="977"/>
        <v>46068</v>
      </c>
      <c r="G2630" s="67">
        <f t="shared" si="978"/>
        <v>24313</v>
      </c>
      <c r="H2630" s="75">
        <f t="shared" si="979"/>
        <v>1</v>
      </c>
      <c r="I2630" s="76">
        <f t="shared" si="980"/>
        <v>1</v>
      </c>
      <c r="J2630" s="76">
        <f t="shared" si="981"/>
        <v>1</v>
      </c>
      <c r="K2630" s="67">
        <f t="shared" si="982"/>
        <v>0</v>
      </c>
      <c r="L2630" s="67">
        <f t="shared" si="983"/>
        <v>0</v>
      </c>
      <c r="M2630" s="77">
        <f t="shared" si="984"/>
        <v>0</v>
      </c>
      <c r="N2630" s="76">
        <f t="shared" si="985"/>
        <v>1</v>
      </c>
      <c r="O2630" s="77">
        <f t="shared" si="986"/>
        <v>0.91249452954048138</v>
      </c>
      <c r="P2630" s="76">
        <f t="shared" si="987"/>
        <v>1</v>
      </c>
      <c r="Q2630" s="76">
        <f t="shared" si="988"/>
        <v>0</v>
      </c>
      <c r="R2630" s="76">
        <f t="shared" si="989"/>
        <v>0</v>
      </c>
      <c r="S2630" s="76">
        <f t="shared" si="990"/>
        <v>0.99184187993530581</v>
      </c>
      <c r="T2630" s="76">
        <f t="shared" si="991"/>
        <v>0.99184187993530581</v>
      </c>
      <c r="U2630" s="76">
        <f t="shared" si="992"/>
        <v>1</v>
      </c>
    </row>
    <row r="2631" spans="1:21" x14ac:dyDescent="0.25">
      <c r="A2631" s="71">
        <v>15</v>
      </c>
      <c r="B2631" s="72">
        <f t="shared" si="993"/>
        <v>46082</v>
      </c>
      <c r="C2631" s="73">
        <f t="shared" si="974"/>
        <v>46112</v>
      </c>
      <c r="D2631" s="67">
        <f t="shared" si="975"/>
        <v>31</v>
      </c>
      <c r="E2631" s="67">
        <f t="shared" si="976"/>
        <v>3</v>
      </c>
      <c r="F2631" s="74">
        <f t="shared" si="977"/>
        <v>46097.5</v>
      </c>
      <c r="G2631" s="67">
        <f t="shared" si="978"/>
        <v>24314</v>
      </c>
      <c r="H2631" s="75">
        <f t="shared" si="979"/>
        <v>1</v>
      </c>
      <c r="I2631" s="76">
        <f t="shared" si="980"/>
        <v>1</v>
      </c>
      <c r="J2631" s="76">
        <f t="shared" si="981"/>
        <v>1</v>
      </c>
      <c r="K2631" s="67">
        <f t="shared" si="982"/>
        <v>0</v>
      </c>
      <c r="L2631" s="67">
        <f t="shared" si="983"/>
        <v>0</v>
      </c>
      <c r="M2631" s="77">
        <f t="shared" si="984"/>
        <v>0</v>
      </c>
      <c r="N2631" s="76">
        <f t="shared" si="985"/>
        <v>1</v>
      </c>
      <c r="O2631" s="77">
        <f t="shared" si="986"/>
        <v>0.91217177242888403</v>
      </c>
      <c r="P2631" s="76">
        <f t="shared" si="987"/>
        <v>1</v>
      </c>
      <c r="Q2631" s="76">
        <f t="shared" si="988"/>
        <v>0</v>
      </c>
      <c r="R2631" s="76">
        <f t="shared" si="989"/>
        <v>0</v>
      </c>
      <c r="S2631" s="76">
        <f t="shared" si="990"/>
        <v>0.9914910569879174</v>
      </c>
      <c r="T2631" s="76">
        <f t="shared" si="991"/>
        <v>0.9914910569879174</v>
      </c>
      <c r="U2631" s="76">
        <f t="shared" si="992"/>
        <v>1</v>
      </c>
    </row>
    <row r="2632" spans="1:21" x14ac:dyDescent="0.25">
      <c r="A2632" s="71">
        <v>16</v>
      </c>
      <c r="B2632" s="72">
        <f t="shared" si="993"/>
        <v>46113</v>
      </c>
      <c r="C2632" s="73">
        <f t="shared" si="974"/>
        <v>46142</v>
      </c>
      <c r="D2632" s="67">
        <f t="shared" si="975"/>
        <v>30</v>
      </c>
      <c r="E2632" s="67">
        <f t="shared" si="976"/>
        <v>4</v>
      </c>
      <c r="F2632" s="74">
        <f t="shared" si="977"/>
        <v>46128</v>
      </c>
      <c r="G2632" s="67">
        <f t="shared" si="978"/>
        <v>24315</v>
      </c>
      <c r="H2632" s="75">
        <f t="shared" si="979"/>
        <v>1</v>
      </c>
      <c r="I2632" s="76">
        <f t="shared" si="980"/>
        <v>1</v>
      </c>
      <c r="J2632" s="76">
        <f t="shared" si="981"/>
        <v>1</v>
      </c>
      <c r="K2632" s="67">
        <f t="shared" si="982"/>
        <v>0</v>
      </c>
      <c r="L2632" s="67">
        <f t="shared" si="983"/>
        <v>0</v>
      </c>
      <c r="M2632" s="77">
        <f t="shared" si="984"/>
        <v>0</v>
      </c>
      <c r="N2632" s="76">
        <f t="shared" si="985"/>
        <v>1</v>
      </c>
      <c r="O2632" s="77">
        <f t="shared" si="986"/>
        <v>0.91183807439824949</v>
      </c>
      <c r="P2632" s="76">
        <f t="shared" si="987"/>
        <v>1</v>
      </c>
      <c r="Q2632" s="76">
        <f t="shared" si="988"/>
        <v>0</v>
      </c>
      <c r="R2632" s="76">
        <f t="shared" si="989"/>
        <v>0</v>
      </c>
      <c r="S2632" s="76">
        <f t="shared" si="990"/>
        <v>0.99112834173722764</v>
      </c>
      <c r="T2632" s="76">
        <f t="shared" si="991"/>
        <v>0.99112834173722764</v>
      </c>
      <c r="U2632" s="76">
        <f t="shared" si="992"/>
        <v>1</v>
      </c>
    </row>
    <row r="2633" spans="1:21" x14ac:dyDescent="0.25">
      <c r="A2633" s="71">
        <v>17</v>
      </c>
      <c r="B2633" s="72">
        <f t="shared" si="993"/>
        <v>46143</v>
      </c>
      <c r="C2633" s="73">
        <f t="shared" si="974"/>
        <v>46173</v>
      </c>
      <c r="D2633" s="67">
        <f t="shared" si="975"/>
        <v>31</v>
      </c>
      <c r="E2633" s="67">
        <f t="shared" si="976"/>
        <v>5</v>
      </c>
      <c r="F2633" s="74">
        <f t="shared" si="977"/>
        <v>46158.5</v>
      </c>
      <c r="G2633" s="67">
        <f t="shared" si="978"/>
        <v>24316</v>
      </c>
      <c r="H2633" s="75">
        <f t="shared" si="979"/>
        <v>1</v>
      </c>
      <c r="I2633" s="76">
        <f t="shared" si="980"/>
        <v>1</v>
      </c>
      <c r="J2633" s="76">
        <f t="shared" si="981"/>
        <v>1</v>
      </c>
      <c r="K2633" s="67">
        <f t="shared" si="982"/>
        <v>0</v>
      </c>
      <c r="L2633" s="67">
        <f t="shared" si="983"/>
        <v>0</v>
      </c>
      <c r="M2633" s="77">
        <f t="shared" si="984"/>
        <v>0</v>
      </c>
      <c r="N2633" s="76">
        <f t="shared" si="985"/>
        <v>1</v>
      </c>
      <c r="O2633" s="77">
        <f t="shared" si="986"/>
        <v>0.91150437636761494</v>
      </c>
      <c r="P2633" s="76">
        <f t="shared" si="987"/>
        <v>1</v>
      </c>
      <c r="Q2633" s="76">
        <f t="shared" si="988"/>
        <v>0</v>
      </c>
      <c r="R2633" s="76">
        <f t="shared" si="989"/>
        <v>0</v>
      </c>
      <c r="S2633" s="76">
        <f t="shared" si="990"/>
        <v>0.99076562648653799</v>
      </c>
      <c r="T2633" s="76">
        <f t="shared" si="991"/>
        <v>0.99076562648653799</v>
      </c>
      <c r="U2633" s="76">
        <f t="shared" si="992"/>
        <v>1</v>
      </c>
    </row>
    <row r="2634" spans="1:21" x14ac:dyDescent="0.25">
      <c r="A2634" s="71">
        <v>18</v>
      </c>
      <c r="B2634" s="72">
        <f t="shared" si="993"/>
        <v>46174</v>
      </c>
      <c r="C2634" s="73">
        <f t="shared" si="974"/>
        <v>46203</v>
      </c>
      <c r="D2634" s="67">
        <f t="shared" si="975"/>
        <v>30</v>
      </c>
      <c r="E2634" s="67">
        <f t="shared" si="976"/>
        <v>6</v>
      </c>
      <c r="F2634" s="74">
        <f t="shared" si="977"/>
        <v>46189</v>
      </c>
      <c r="G2634" s="67">
        <f t="shared" si="978"/>
        <v>24317</v>
      </c>
      <c r="H2634" s="75">
        <f t="shared" si="979"/>
        <v>1</v>
      </c>
      <c r="I2634" s="76">
        <f t="shared" si="980"/>
        <v>1</v>
      </c>
      <c r="J2634" s="76">
        <f t="shared" si="981"/>
        <v>1</v>
      </c>
      <c r="K2634" s="67">
        <f t="shared" si="982"/>
        <v>0</v>
      </c>
      <c r="L2634" s="67">
        <f t="shared" si="983"/>
        <v>0</v>
      </c>
      <c r="M2634" s="77">
        <f t="shared" si="984"/>
        <v>0</v>
      </c>
      <c r="N2634" s="76">
        <f t="shared" si="985"/>
        <v>1</v>
      </c>
      <c r="O2634" s="77">
        <f t="shared" si="986"/>
        <v>0.91117067833698029</v>
      </c>
      <c r="P2634" s="76">
        <f t="shared" si="987"/>
        <v>1</v>
      </c>
      <c r="Q2634" s="76">
        <f t="shared" si="988"/>
        <v>0</v>
      </c>
      <c r="R2634" s="76">
        <f t="shared" si="989"/>
        <v>0</v>
      </c>
      <c r="S2634" s="76">
        <f t="shared" si="990"/>
        <v>0.99040291123584812</v>
      </c>
      <c r="T2634" s="76">
        <f t="shared" si="991"/>
        <v>0.99040291123584812</v>
      </c>
      <c r="U2634" s="76">
        <f t="shared" si="992"/>
        <v>1</v>
      </c>
    </row>
    <row r="2635" spans="1:21" x14ac:dyDescent="0.25">
      <c r="A2635" s="71">
        <v>19</v>
      </c>
      <c r="B2635" s="72">
        <f t="shared" si="993"/>
        <v>46204</v>
      </c>
      <c r="C2635" s="73">
        <f t="shared" si="974"/>
        <v>46234</v>
      </c>
      <c r="D2635" s="67">
        <f t="shared" si="975"/>
        <v>31</v>
      </c>
      <c r="E2635" s="67">
        <f t="shared" si="976"/>
        <v>7</v>
      </c>
      <c r="F2635" s="74">
        <f t="shared" si="977"/>
        <v>46219.5</v>
      </c>
      <c r="G2635" s="67">
        <f t="shared" si="978"/>
        <v>24318</v>
      </c>
      <c r="H2635" s="75">
        <f t="shared" si="979"/>
        <v>1</v>
      </c>
      <c r="I2635" s="76">
        <f t="shared" si="980"/>
        <v>1</v>
      </c>
      <c r="J2635" s="76">
        <f t="shared" si="981"/>
        <v>1</v>
      </c>
      <c r="K2635" s="67">
        <f t="shared" si="982"/>
        <v>0</v>
      </c>
      <c r="L2635" s="67">
        <f t="shared" si="983"/>
        <v>0</v>
      </c>
      <c r="M2635" s="77">
        <f t="shared" si="984"/>
        <v>0</v>
      </c>
      <c r="N2635" s="76">
        <f t="shared" si="985"/>
        <v>1</v>
      </c>
      <c r="O2635" s="77">
        <f t="shared" si="986"/>
        <v>0.91083698030634574</v>
      </c>
      <c r="P2635" s="76">
        <f t="shared" si="987"/>
        <v>0.91666666666666663</v>
      </c>
      <c r="Q2635" s="76">
        <f t="shared" si="988"/>
        <v>8.333333333333337E-2</v>
      </c>
      <c r="R2635" s="76">
        <f t="shared" si="989"/>
        <v>0</v>
      </c>
      <c r="S2635" s="76">
        <f t="shared" si="990"/>
        <v>0.99004019598515836</v>
      </c>
      <c r="T2635" s="76">
        <f t="shared" si="991"/>
        <v>0.99004019598515836</v>
      </c>
      <c r="U2635" s="76">
        <f t="shared" si="992"/>
        <v>1</v>
      </c>
    </row>
    <row r="2636" spans="1:21" x14ac:dyDescent="0.25">
      <c r="A2636" s="71">
        <v>20</v>
      </c>
      <c r="B2636" s="72">
        <f t="shared" si="993"/>
        <v>46235</v>
      </c>
      <c r="C2636" s="73">
        <f t="shared" si="974"/>
        <v>46265</v>
      </c>
      <c r="D2636" s="67">
        <f t="shared" si="975"/>
        <v>31</v>
      </c>
      <c r="E2636" s="67">
        <f t="shared" si="976"/>
        <v>8</v>
      </c>
      <c r="F2636" s="74">
        <f t="shared" si="977"/>
        <v>46250.5</v>
      </c>
      <c r="G2636" s="67">
        <f t="shared" si="978"/>
        <v>24319</v>
      </c>
      <c r="H2636" s="75">
        <f t="shared" si="979"/>
        <v>1</v>
      </c>
      <c r="I2636" s="76">
        <f t="shared" si="980"/>
        <v>1</v>
      </c>
      <c r="J2636" s="76">
        <f t="shared" si="981"/>
        <v>1</v>
      </c>
      <c r="K2636" s="67">
        <f t="shared" si="982"/>
        <v>0</v>
      </c>
      <c r="L2636" s="67">
        <f t="shared" si="983"/>
        <v>0</v>
      </c>
      <c r="M2636" s="77">
        <f t="shared" si="984"/>
        <v>0</v>
      </c>
      <c r="N2636" s="76">
        <f t="shared" si="985"/>
        <v>1</v>
      </c>
      <c r="O2636" s="77">
        <f t="shared" si="986"/>
        <v>0.9104978118161926</v>
      </c>
      <c r="P2636" s="76">
        <f t="shared" si="987"/>
        <v>0.75</v>
      </c>
      <c r="Q2636" s="76">
        <f t="shared" si="988"/>
        <v>0.25</v>
      </c>
      <c r="R2636" s="76">
        <f t="shared" si="989"/>
        <v>0</v>
      </c>
      <c r="S2636" s="76">
        <f t="shared" si="990"/>
        <v>0.98967153458281798</v>
      </c>
      <c r="T2636" s="76">
        <f t="shared" si="991"/>
        <v>0.98967153458281798</v>
      </c>
      <c r="U2636" s="76">
        <f t="shared" si="992"/>
        <v>1</v>
      </c>
    </row>
    <row r="2637" spans="1:21" x14ac:dyDescent="0.25">
      <c r="A2637" s="71">
        <v>21</v>
      </c>
      <c r="B2637" s="72">
        <f t="shared" si="993"/>
        <v>46266</v>
      </c>
      <c r="C2637" s="73">
        <f t="shared" si="974"/>
        <v>46295</v>
      </c>
      <c r="D2637" s="67">
        <f t="shared" si="975"/>
        <v>30</v>
      </c>
      <c r="E2637" s="67">
        <f t="shared" si="976"/>
        <v>9</v>
      </c>
      <c r="F2637" s="74">
        <f t="shared" si="977"/>
        <v>46281</v>
      </c>
      <c r="G2637" s="67">
        <f t="shared" si="978"/>
        <v>24320</v>
      </c>
      <c r="H2637" s="75">
        <f t="shared" si="979"/>
        <v>1</v>
      </c>
      <c r="I2637" s="76">
        <f t="shared" si="980"/>
        <v>1</v>
      </c>
      <c r="J2637" s="76">
        <f t="shared" si="981"/>
        <v>1</v>
      </c>
      <c r="K2637" s="67">
        <f t="shared" si="982"/>
        <v>0</v>
      </c>
      <c r="L2637" s="67">
        <f t="shared" si="983"/>
        <v>0</v>
      </c>
      <c r="M2637" s="77">
        <f t="shared" si="984"/>
        <v>0</v>
      </c>
      <c r="N2637" s="76">
        <f t="shared" si="985"/>
        <v>1</v>
      </c>
      <c r="O2637" s="77">
        <f t="shared" si="986"/>
        <v>0.91016411378555806</v>
      </c>
      <c r="P2637" s="76">
        <f t="shared" si="987"/>
        <v>0.58333333333333337</v>
      </c>
      <c r="Q2637" s="76">
        <f t="shared" si="988"/>
        <v>0.41666666666666663</v>
      </c>
      <c r="R2637" s="76">
        <f t="shared" si="989"/>
        <v>0</v>
      </c>
      <c r="S2637" s="76">
        <f t="shared" si="990"/>
        <v>0.98930881933212833</v>
      </c>
      <c r="T2637" s="76">
        <f t="shared" si="991"/>
        <v>0.98930881933212833</v>
      </c>
      <c r="U2637" s="76">
        <f t="shared" si="992"/>
        <v>1</v>
      </c>
    </row>
    <row r="2638" spans="1:21" x14ac:dyDescent="0.25">
      <c r="A2638" s="71">
        <v>22</v>
      </c>
      <c r="B2638" s="72">
        <f t="shared" si="993"/>
        <v>46296</v>
      </c>
      <c r="C2638" s="73">
        <f t="shared" si="974"/>
        <v>46326</v>
      </c>
      <c r="D2638" s="67">
        <f t="shared" si="975"/>
        <v>31</v>
      </c>
      <c r="E2638" s="67">
        <f t="shared" si="976"/>
        <v>10</v>
      </c>
      <c r="F2638" s="74">
        <f t="shared" si="977"/>
        <v>46311.5</v>
      </c>
      <c r="G2638" s="67">
        <f t="shared" si="978"/>
        <v>24321</v>
      </c>
      <c r="H2638" s="75">
        <f t="shared" si="979"/>
        <v>1</v>
      </c>
      <c r="I2638" s="76">
        <f t="shared" si="980"/>
        <v>1</v>
      </c>
      <c r="J2638" s="76">
        <f t="shared" si="981"/>
        <v>1</v>
      </c>
      <c r="K2638" s="67">
        <f t="shared" si="982"/>
        <v>0</v>
      </c>
      <c r="L2638" s="67">
        <f t="shared" si="983"/>
        <v>0</v>
      </c>
      <c r="M2638" s="77">
        <f t="shared" si="984"/>
        <v>0</v>
      </c>
      <c r="N2638" s="76">
        <f t="shared" si="985"/>
        <v>1</v>
      </c>
      <c r="O2638" s="77">
        <f t="shared" si="986"/>
        <v>0.90983041575492341</v>
      </c>
      <c r="P2638" s="76">
        <f t="shared" si="987"/>
        <v>0.41666666666666669</v>
      </c>
      <c r="Q2638" s="76">
        <f t="shared" si="988"/>
        <v>0.58333333333333326</v>
      </c>
      <c r="R2638" s="76">
        <f t="shared" si="989"/>
        <v>0</v>
      </c>
      <c r="S2638" s="76">
        <f t="shared" si="990"/>
        <v>0.98894610408143846</v>
      </c>
      <c r="T2638" s="76">
        <f t="shared" si="991"/>
        <v>0.98894610408143846</v>
      </c>
      <c r="U2638" s="76">
        <f t="shared" si="992"/>
        <v>1</v>
      </c>
    </row>
    <row r="2639" spans="1:21" x14ac:dyDescent="0.25">
      <c r="A2639" s="71">
        <v>23</v>
      </c>
      <c r="B2639" s="72">
        <f t="shared" si="993"/>
        <v>46327</v>
      </c>
      <c r="C2639" s="73">
        <f t="shared" si="974"/>
        <v>46356</v>
      </c>
      <c r="D2639" s="67">
        <f t="shared" si="975"/>
        <v>30</v>
      </c>
      <c r="E2639" s="67">
        <f t="shared" si="976"/>
        <v>11</v>
      </c>
      <c r="F2639" s="74">
        <f t="shared" si="977"/>
        <v>46342</v>
      </c>
      <c r="G2639" s="67">
        <f t="shared" si="978"/>
        <v>24322</v>
      </c>
      <c r="H2639" s="75">
        <f t="shared" si="979"/>
        <v>1</v>
      </c>
      <c r="I2639" s="76">
        <f t="shared" si="980"/>
        <v>1</v>
      </c>
      <c r="J2639" s="76">
        <f t="shared" si="981"/>
        <v>1</v>
      </c>
      <c r="K2639" s="67">
        <f t="shared" si="982"/>
        <v>0</v>
      </c>
      <c r="L2639" s="67">
        <f t="shared" si="983"/>
        <v>0</v>
      </c>
      <c r="M2639" s="77">
        <f t="shared" si="984"/>
        <v>0</v>
      </c>
      <c r="N2639" s="76">
        <f t="shared" si="985"/>
        <v>1</v>
      </c>
      <c r="O2639" s="77">
        <f t="shared" si="986"/>
        <v>0.90949671772428886</v>
      </c>
      <c r="P2639" s="76">
        <f t="shared" si="987"/>
        <v>0.25</v>
      </c>
      <c r="Q2639" s="76">
        <f t="shared" si="988"/>
        <v>0.75</v>
      </c>
      <c r="R2639" s="76">
        <f t="shared" si="989"/>
        <v>0</v>
      </c>
      <c r="S2639" s="76">
        <f t="shared" si="990"/>
        <v>0.9885833888307487</v>
      </c>
      <c r="T2639" s="76">
        <f t="shared" si="991"/>
        <v>0.9885833888307487</v>
      </c>
      <c r="U2639" s="76">
        <f t="shared" si="992"/>
        <v>1</v>
      </c>
    </row>
    <row r="2640" spans="1:21" x14ac:dyDescent="0.25">
      <c r="A2640" s="71">
        <v>24</v>
      </c>
      <c r="B2640" s="72">
        <f t="shared" si="993"/>
        <v>46357</v>
      </c>
      <c r="C2640" s="73">
        <f t="shared" si="974"/>
        <v>46387</v>
      </c>
      <c r="D2640" s="67">
        <f t="shared" si="975"/>
        <v>31</v>
      </c>
      <c r="E2640" s="67">
        <f t="shared" si="976"/>
        <v>12</v>
      </c>
      <c r="F2640" s="74">
        <f t="shared" si="977"/>
        <v>46372.5</v>
      </c>
      <c r="G2640" s="67">
        <f t="shared" si="978"/>
        <v>24323</v>
      </c>
      <c r="H2640" s="75">
        <f t="shared" si="979"/>
        <v>1</v>
      </c>
      <c r="I2640" s="76">
        <f t="shared" si="980"/>
        <v>1</v>
      </c>
      <c r="J2640" s="76">
        <f t="shared" si="981"/>
        <v>1</v>
      </c>
      <c r="K2640" s="67">
        <f t="shared" si="982"/>
        <v>0</v>
      </c>
      <c r="L2640" s="67">
        <f t="shared" si="983"/>
        <v>0</v>
      </c>
      <c r="M2640" s="77">
        <f t="shared" si="984"/>
        <v>0</v>
      </c>
      <c r="N2640" s="76">
        <f t="shared" si="985"/>
        <v>1</v>
      </c>
      <c r="O2640" s="77">
        <f t="shared" si="986"/>
        <v>0.90916301969365432</v>
      </c>
      <c r="P2640" s="76">
        <f t="shared" si="987"/>
        <v>8.3333333333333329E-2</v>
      </c>
      <c r="Q2640" s="76">
        <f t="shared" si="988"/>
        <v>0.91666666666666663</v>
      </c>
      <c r="R2640" s="76">
        <f t="shared" si="989"/>
        <v>0</v>
      </c>
      <c r="S2640" s="76">
        <f t="shared" si="990"/>
        <v>0.98822067358005905</v>
      </c>
      <c r="T2640" s="76">
        <f t="shared" si="991"/>
        <v>0.98822067358005905</v>
      </c>
      <c r="U2640" s="76">
        <f t="shared" si="992"/>
        <v>1</v>
      </c>
    </row>
    <row r="2641" spans="1:21" x14ac:dyDescent="0.25">
      <c r="A2641" s="71">
        <v>25</v>
      </c>
      <c r="B2641" s="72">
        <f t="shared" si="993"/>
        <v>46388</v>
      </c>
      <c r="C2641" s="73">
        <f t="shared" si="974"/>
        <v>46418</v>
      </c>
      <c r="D2641" s="67">
        <f t="shared" si="975"/>
        <v>31</v>
      </c>
      <c r="E2641" s="67">
        <f t="shared" si="976"/>
        <v>1</v>
      </c>
      <c r="F2641" s="74">
        <f t="shared" si="977"/>
        <v>46403.5</v>
      </c>
      <c r="G2641" s="67">
        <f t="shared" si="978"/>
        <v>24324</v>
      </c>
      <c r="H2641" s="75">
        <f t="shared" si="979"/>
        <v>1</v>
      </c>
      <c r="I2641" s="76">
        <f t="shared" si="980"/>
        <v>1</v>
      </c>
      <c r="J2641" s="76">
        <f t="shared" si="981"/>
        <v>1</v>
      </c>
      <c r="K2641" s="67">
        <f t="shared" si="982"/>
        <v>0</v>
      </c>
      <c r="L2641" s="67">
        <f t="shared" si="983"/>
        <v>0</v>
      </c>
      <c r="M2641" s="77">
        <f t="shared" si="984"/>
        <v>0</v>
      </c>
      <c r="N2641" s="76">
        <f t="shared" si="985"/>
        <v>1</v>
      </c>
      <c r="O2641" s="77">
        <f t="shared" si="986"/>
        <v>0.90882385120350118</v>
      </c>
      <c r="P2641" s="76">
        <f t="shared" si="987"/>
        <v>0</v>
      </c>
      <c r="Q2641" s="76">
        <f t="shared" si="988"/>
        <v>1</v>
      </c>
      <c r="R2641" s="76">
        <f t="shared" si="989"/>
        <v>0</v>
      </c>
      <c r="S2641" s="76">
        <f t="shared" si="990"/>
        <v>0.98785201217771867</v>
      </c>
      <c r="T2641" s="76">
        <f t="shared" si="991"/>
        <v>0.99219270288269434</v>
      </c>
      <c r="U2641" s="76">
        <f t="shared" si="992"/>
        <v>1</v>
      </c>
    </row>
    <row r="2642" spans="1:21" x14ac:dyDescent="0.25">
      <c r="A2642" s="71">
        <v>26</v>
      </c>
      <c r="B2642" s="72">
        <f t="shared" si="993"/>
        <v>46419</v>
      </c>
      <c r="C2642" s="73">
        <f t="shared" si="974"/>
        <v>46446</v>
      </c>
      <c r="D2642" s="67">
        <f t="shared" si="975"/>
        <v>28</v>
      </c>
      <c r="E2642" s="67">
        <f t="shared" si="976"/>
        <v>2</v>
      </c>
      <c r="F2642" s="74">
        <f t="shared" si="977"/>
        <v>46433</v>
      </c>
      <c r="G2642" s="67">
        <f t="shared" si="978"/>
        <v>24325</v>
      </c>
      <c r="H2642" s="75">
        <f t="shared" si="979"/>
        <v>1</v>
      </c>
      <c r="I2642" s="76">
        <f t="shared" si="980"/>
        <v>1</v>
      </c>
      <c r="J2642" s="76">
        <f t="shared" si="981"/>
        <v>1</v>
      </c>
      <c r="K2642" s="67">
        <f t="shared" si="982"/>
        <v>0</v>
      </c>
      <c r="L2642" s="67">
        <f t="shared" si="983"/>
        <v>0</v>
      </c>
      <c r="M2642" s="77">
        <f t="shared" si="984"/>
        <v>0</v>
      </c>
      <c r="N2642" s="76">
        <f t="shared" si="985"/>
        <v>1</v>
      </c>
      <c r="O2642" s="77">
        <f t="shared" si="986"/>
        <v>0.90850109409190372</v>
      </c>
      <c r="P2642" s="76">
        <f t="shared" si="987"/>
        <v>0</v>
      </c>
      <c r="Q2642" s="76">
        <f t="shared" si="988"/>
        <v>1</v>
      </c>
      <c r="R2642" s="76">
        <f t="shared" si="989"/>
        <v>0</v>
      </c>
      <c r="S2642" s="76">
        <f t="shared" si="990"/>
        <v>0.98750118923033003</v>
      </c>
      <c r="T2642" s="76">
        <f t="shared" si="991"/>
        <v>0.99184187993530581</v>
      </c>
      <c r="U2642" s="76">
        <f t="shared" si="992"/>
        <v>1</v>
      </c>
    </row>
    <row r="2643" spans="1:21" x14ac:dyDescent="0.25">
      <c r="A2643" s="71">
        <v>27</v>
      </c>
      <c r="B2643" s="72">
        <f t="shared" si="993"/>
        <v>46447</v>
      </c>
      <c r="C2643" s="73">
        <f t="shared" si="974"/>
        <v>46477</v>
      </c>
      <c r="D2643" s="67">
        <f t="shared" si="975"/>
        <v>31</v>
      </c>
      <c r="E2643" s="67">
        <f t="shared" si="976"/>
        <v>3</v>
      </c>
      <c r="F2643" s="74">
        <f t="shared" si="977"/>
        <v>46462.5</v>
      </c>
      <c r="G2643" s="67">
        <f t="shared" si="978"/>
        <v>24326</v>
      </c>
      <c r="H2643" s="75">
        <f t="shared" si="979"/>
        <v>1</v>
      </c>
      <c r="I2643" s="76">
        <f t="shared" si="980"/>
        <v>1</v>
      </c>
      <c r="J2643" s="76">
        <f t="shared" si="981"/>
        <v>1</v>
      </c>
      <c r="K2643" s="67">
        <f t="shared" si="982"/>
        <v>0</v>
      </c>
      <c r="L2643" s="67">
        <f t="shared" si="983"/>
        <v>0</v>
      </c>
      <c r="M2643" s="77">
        <f t="shared" si="984"/>
        <v>0</v>
      </c>
      <c r="N2643" s="76">
        <f t="shared" si="985"/>
        <v>1</v>
      </c>
      <c r="O2643" s="77">
        <f t="shared" si="986"/>
        <v>0.90817833698030637</v>
      </c>
      <c r="P2643" s="76">
        <f t="shared" si="987"/>
        <v>0</v>
      </c>
      <c r="Q2643" s="76">
        <f t="shared" si="988"/>
        <v>1</v>
      </c>
      <c r="R2643" s="76">
        <f t="shared" si="989"/>
        <v>0</v>
      </c>
      <c r="S2643" s="76">
        <f t="shared" si="990"/>
        <v>0.98715036628294162</v>
      </c>
      <c r="T2643" s="76">
        <f t="shared" si="991"/>
        <v>0.9914910569879174</v>
      </c>
      <c r="U2643" s="76">
        <f t="shared" si="992"/>
        <v>1</v>
      </c>
    </row>
    <row r="2644" spans="1:21" x14ac:dyDescent="0.25">
      <c r="A2644" s="71">
        <v>28</v>
      </c>
      <c r="B2644" s="72">
        <f t="shared" si="993"/>
        <v>46478</v>
      </c>
      <c r="C2644" s="73">
        <f t="shared" si="974"/>
        <v>46507</v>
      </c>
      <c r="D2644" s="67">
        <f t="shared" si="975"/>
        <v>30</v>
      </c>
      <c r="E2644" s="67">
        <f t="shared" si="976"/>
        <v>4</v>
      </c>
      <c r="F2644" s="74">
        <f t="shared" si="977"/>
        <v>46493</v>
      </c>
      <c r="G2644" s="67">
        <f t="shared" si="978"/>
        <v>24327</v>
      </c>
      <c r="H2644" s="75">
        <f t="shared" si="979"/>
        <v>1</v>
      </c>
      <c r="I2644" s="76">
        <f t="shared" si="980"/>
        <v>1</v>
      </c>
      <c r="J2644" s="76">
        <f t="shared" si="981"/>
        <v>1</v>
      </c>
      <c r="K2644" s="67">
        <f t="shared" si="982"/>
        <v>0</v>
      </c>
      <c r="L2644" s="67">
        <f t="shared" si="983"/>
        <v>0</v>
      </c>
      <c r="M2644" s="77">
        <f t="shared" si="984"/>
        <v>0</v>
      </c>
      <c r="N2644" s="76">
        <f t="shared" si="985"/>
        <v>1</v>
      </c>
      <c r="O2644" s="77">
        <f t="shared" si="986"/>
        <v>0.90784463894967182</v>
      </c>
      <c r="P2644" s="76">
        <f t="shared" si="987"/>
        <v>0</v>
      </c>
      <c r="Q2644" s="76">
        <f t="shared" si="988"/>
        <v>1</v>
      </c>
      <c r="R2644" s="76">
        <f t="shared" si="989"/>
        <v>0</v>
      </c>
      <c r="S2644" s="76">
        <f t="shared" si="990"/>
        <v>0.98678765103225197</v>
      </c>
      <c r="T2644" s="76">
        <f t="shared" si="991"/>
        <v>0.99112834173722764</v>
      </c>
      <c r="U2644" s="76">
        <f t="shared" si="992"/>
        <v>1</v>
      </c>
    </row>
    <row r="2645" spans="1:21" x14ac:dyDescent="0.25">
      <c r="A2645" s="71">
        <v>29</v>
      </c>
      <c r="B2645" s="72">
        <f t="shared" si="993"/>
        <v>46508</v>
      </c>
      <c r="C2645" s="73">
        <f t="shared" si="974"/>
        <v>46538</v>
      </c>
      <c r="D2645" s="67">
        <f t="shared" si="975"/>
        <v>31</v>
      </c>
      <c r="E2645" s="67">
        <f t="shared" si="976"/>
        <v>5</v>
      </c>
      <c r="F2645" s="74">
        <f t="shared" si="977"/>
        <v>46523.5</v>
      </c>
      <c r="G2645" s="67">
        <f t="shared" si="978"/>
        <v>24328</v>
      </c>
      <c r="H2645" s="75">
        <f t="shared" si="979"/>
        <v>1</v>
      </c>
      <c r="I2645" s="76">
        <f t="shared" si="980"/>
        <v>1</v>
      </c>
      <c r="J2645" s="76">
        <f t="shared" si="981"/>
        <v>1</v>
      </c>
      <c r="K2645" s="67">
        <f t="shared" si="982"/>
        <v>0</v>
      </c>
      <c r="L2645" s="67">
        <f t="shared" si="983"/>
        <v>0</v>
      </c>
      <c r="M2645" s="77">
        <f t="shared" si="984"/>
        <v>0</v>
      </c>
      <c r="N2645" s="76">
        <f t="shared" si="985"/>
        <v>1</v>
      </c>
      <c r="O2645" s="77">
        <f t="shared" si="986"/>
        <v>0.90751094091903728</v>
      </c>
      <c r="P2645" s="76">
        <f t="shared" si="987"/>
        <v>0</v>
      </c>
      <c r="Q2645" s="76">
        <f t="shared" si="988"/>
        <v>1</v>
      </c>
      <c r="R2645" s="76">
        <f t="shared" si="989"/>
        <v>0</v>
      </c>
      <c r="S2645" s="76">
        <f t="shared" si="990"/>
        <v>0.98642493578156221</v>
      </c>
      <c r="T2645" s="76">
        <f t="shared" si="991"/>
        <v>0.99076562648653799</v>
      </c>
      <c r="U2645" s="76">
        <f t="shared" si="992"/>
        <v>1</v>
      </c>
    </row>
    <row r="2646" spans="1:21" x14ac:dyDescent="0.25">
      <c r="A2646" s="71">
        <v>30</v>
      </c>
      <c r="B2646" s="72">
        <f t="shared" si="993"/>
        <v>46539</v>
      </c>
      <c r="C2646" s="73">
        <f t="shared" si="974"/>
        <v>46568</v>
      </c>
      <c r="D2646" s="67">
        <f t="shared" si="975"/>
        <v>30</v>
      </c>
      <c r="E2646" s="67">
        <f t="shared" si="976"/>
        <v>6</v>
      </c>
      <c r="F2646" s="74">
        <f t="shared" si="977"/>
        <v>46554</v>
      </c>
      <c r="G2646" s="67">
        <f t="shared" si="978"/>
        <v>24329</v>
      </c>
      <c r="H2646" s="75">
        <f t="shared" si="979"/>
        <v>1</v>
      </c>
      <c r="I2646" s="76">
        <f t="shared" si="980"/>
        <v>1</v>
      </c>
      <c r="J2646" s="76">
        <f t="shared" si="981"/>
        <v>1</v>
      </c>
      <c r="K2646" s="67">
        <f t="shared" si="982"/>
        <v>0</v>
      </c>
      <c r="L2646" s="67">
        <f t="shared" si="983"/>
        <v>0</v>
      </c>
      <c r="M2646" s="77">
        <f t="shared" si="984"/>
        <v>0</v>
      </c>
      <c r="N2646" s="76">
        <f t="shared" si="985"/>
        <v>1</v>
      </c>
      <c r="O2646" s="77">
        <f t="shared" si="986"/>
        <v>0.90717724288840262</v>
      </c>
      <c r="P2646" s="76">
        <f t="shared" si="987"/>
        <v>0</v>
      </c>
      <c r="Q2646" s="76">
        <f t="shared" si="988"/>
        <v>1</v>
      </c>
      <c r="R2646" s="76">
        <f t="shared" si="989"/>
        <v>0</v>
      </c>
      <c r="S2646" s="76">
        <f t="shared" si="990"/>
        <v>0.98606222053087234</v>
      </c>
      <c r="T2646" s="76">
        <f t="shared" si="991"/>
        <v>0.99040291123584812</v>
      </c>
      <c r="U2646" s="76">
        <f t="shared" si="992"/>
        <v>1</v>
      </c>
    </row>
    <row r="2647" spans="1:21" x14ac:dyDescent="0.25">
      <c r="A2647" s="71">
        <v>31</v>
      </c>
      <c r="B2647" s="72">
        <f t="shared" si="993"/>
        <v>46569</v>
      </c>
      <c r="C2647" s="73">
        <f t="shared" si="974"/>
        <v>46599</v>
      </c>
      <c r="D2647" s="67">
        <f t="shared" si="975"/>
        <v>31</v>
      </c>
      <c r="E2647" s="67">
        <f t="shared" si="976"/>
        <v>7</v>
      </c>
      <c r="F2647" s="74">
        <f t="shared" si="977"/>
        <v>46584.5</v>
      </c>
      <c r="G2647" s="67">
        <f t="shared" si="978"/>
        <v>24330</v>
      </c>
      <c r="H2647" s="75">
        <f t="shared" si="979"/>
        <v>1</v>
      </c>
      <c r="I2647" s="76">
        <f t="shared" si="980"/>
        <v>1</v>
      </c>
      <c r="J2647" s="76">
        <f t="shared" si="981"/>
        <v>1</v>
      </c>
      <c r="K2647" s="67">
        <f t="shared" si="982"/>
        <v>0</v>
      </c>
      <c r="L2647" s="67">
        <f t="shared" si="983"/>
        <v>0</v>
      </c>
      <c r="M2647" s="77">
        <f t="shared" si="984"/>
        <v>0</v>
      </c>
      <c r="N2647" s="76">
        <f t="shared" si="985"/>
        <v>1</v>
      </c>
      <c r="O2647" s="77">
        <f t="shared" si="986"/>
        <v>0.90684354485776808</v>
      </c>
      <c r="P2647" s="76">
        <f t="shared" si="987"/>
        <v>0</v>
      </c>
      <c r="Q2647" s="76">
        <f t="shared" si="988"/>
        <v>0.91666666666666663</v>
      </c>
      <c r="R2647" s="76">
        <f t="shared" si="989"/>
        <v>8.333333333333337E-2</v>
      </c>
      <c r="S2647" s="76">
        <f t="shared" si="990"/>
        <v>0.98569950528018269</v>
      </c>
      <c r="T2647" s="76">
        <f t="shared" si="991"/>
        <v>0.99004019598515836</v>
      </c>
      <c r="U2647" s="76">
        <f t="shared" si="992"/>
        <v>1</v>
      </c>
    </row>
    <row r="2648" spans="1:21" x14ac:dyDescent="0.25">
      <c r="A2648" s="71">
        <v>32</v>
      </c>
      <c r="B2648" s="72">
        <f t="shared" si="993"/>
        <v>46600</v>
      </c>
      <c r="C2648" s="73">
        <f t="shared" si="974"/>
        <v>46630</v>
      </c>
      <c r="D2648" s="67">
        <f t="shared" si="975"/>
        <v>31</v>
      </c>
      <c r="E2648" s="67">
        <f t="shared" si="976"/>
        <v>8</v>
      </c>
      <c r="F2648" s="74">
        <f t="shared" si="977"/>
        <v>46615.5</v>
      </c>
      <c r="G2648" s="67">
        <f t="shared" si="978"/>
        <v>24331</v>
      </c>
      <c r="H2648" s="75">
        <f t="shared" si="979"/>
        <v>1</v>
      </c>
      <c r="I2648" s="76">
        <f t="shared" si="980"/>
        <v>1</v>
      </c>
      <c r="J2648" s="76">
        <f t="shared" si="981"/>
        <v>1</v>
      </c>
      <c r="K2648" s="67">
        <f t="shared" si="982"/>
        <v>0</v>
      </c>
      <c r="L2648" s="67">
        <f t="shared" si="983"/>
        <v>0</v>
      </c>
      <c r="M2648" s="77">
        <f t="shared" si="984"/>
        <v>0</v>
      </c>
      <c r="N2648" s="76">
        <f t="shared" si="985"/>
        <v>1</v>
      </c>
      <c r="O2648" s="77">
        <f t="shared" si="986"/>
        <v>0.90650437636761494</v>
      </c>
      <c r="P2648" s="76">
        <f t="shared" si="987"/>
        <v>0</v>
      </c>
      <c r="Q2648" s="76">
        <f t="shared" si="988"/>
        <v>0.75</v>
      </c>
      <c r="R2648" s="76">
        <f t="shared" si="989"/>
        <v>0.25</v>
      </c>
      <c r="S2648" s="76">
        <f t="shared" si="990"/>
        <v>0.98533084387784231</v>
      </c>
      <c r="T2648" s="76">
        <f t="shared" si="991"/>
        <v>0.98967153458281798</v>
      </c>
      <c r="U2648" s="76">
        <f t="shared" si="992"/>
        <v>1</v>
      </c>
    </row>
    <row r="2649" spans="1:21" x14ac:dyDescent="0.25">
      <c r="A2649" s="71">
        <v>33</v>
      </c>
      <c r="B2649" s="72">
        <f t="shared" si="993"/>
        <v>46631</v>
      </c>
      <c r="C2649" s="73">
        <f t="shared" si="974"/>
        <v>46660</v>
      </c>
      <c r="D2649" s="67">
        <f t="shared" si="975"/>
        <v>30</v>
      </c>
      <c r="E2649" s="67">
        <f t="shared" si="976"/>
        <v>9</v>
      </c>
      <c r="F2649" s="74">
        <f t="shared" si="977"/>
        <v>46646</v>
      </c>
      <c r="G2649" s="67">
        <f t="shared" si="978"/>
        <v>24332</v>
      </c>
      <c r="H2649" s="75">
        <f t="shared" si="979"/>
        <v>1</v>
      </c>
      <c r="I2649" s="76">
        <f t="shared" si="980"/>
        <v>1</v>
      </c>
      <c r="J2649" s="76">
        <f t="shared" si="981"/>
        <v>1</v>
      </c>
      <c r="K2649" s="67">
        <f t="shared" si="982"/>
        <v>0</v>
      </c>
      <c r="L2649" s="67">
        <f t="shared" si="983"/>
        <v>0</v>
      </c>
      <c r="M2649" s="77">
        <f t="shared" si="984"/>
        <v>0</v>
      </c>
      <c r="N2649" s="76">
        <f t="shared" si="985"/>
        <v>1</v>
      </c>
      <c r="O2649" s="77">
        <f t="shared" si="986"/>
        <v>0.90617067833698028</v>
      </c>
      <c r="P2649" s="76">
        <f t="shared" si="987"/>
        <v>0</v>
      </c>
      <c r="Q2649" s="76">
        <f t="shared" si="988"/>
        <v>0.58333333333333337</v>
      </c>
      <c r="R2649" s="76">
        <f t="shared" si="989"/>
        <v>0.41666666666666663</v>
      </c>
      <c r="S2649" s="76">
        <f t="shared" si="990"/>
        <v>0.98496812862715244</v>
      </c>
      <c r="T2649" s="76">
        <f t="shared" si="991"/>
        <v>0.98930881933212833</v>
      </c>
      <c r="U2649" s="76">
        <f t="shared" si="992"/>
        <v>1</v>
      </c>
    </row>
    <row r="2650" spans="1:21" x14ac:dyDescent="0.25">
      <c r="A2650" s="71">
        <v>34</v>
      </c>
      <c r="B2650" s="72">
        <f t="shared" si="993"/>
        <v>46661</v>
      </c>
      <c r="C2650" s="73">
        <f t="shared" si="974"/>
        <v>46691</v>
      </c>
      <c r="D2650" s="67">
        <f t="shared" si="975"/>
        <v>31</v>
      </c>
      <c r="E2650" s="67">
        <f t="shared" si="976"/>
        <v>10</v>
      </c>
      <c r="F2650" s="74">
        <f t="shared" si="977"/>
        <v>46676.5</v>
      </c>
      <c r="G2650" s="67">
        <f t="shared" si="978"/>
        <v>24333</v>
      </c>
      <c r="H2650" s="75">
        <f t="shared" si="979"/>
        <v>1</v>
      </c>
      <c r="I2650" s="76">
        <f t="shared" si="980"/>
        <v>1</v>
      </c>
      <c r="J2650" s="76">
        <f t="shared" si="981"/>
        <v>1</v>
      </c>
      <c r="K2650" s="67">
        <f t="shared" si="982"/>
        <v>0</v>
      </c>
      <c r="L2650" s="67">
        <f t="shared" si="983"/>
        <v>0</v>
      </c>
      <c r="M2650" s="77">
        <f t="shared" si="984"/>
        <v>0</v>
      </c>
      <c r="N2650" s="76">
        <f t="shared" si="985"/>
        <v>1</v>
      </c>
      <c r="O2650" s="77">
        <f t="shared" si="986"/>
        <v>0.90583698030634574</v>
      </c>
      <c r="P2650" s="76">
        <f t="shared" si="987"/>
        <v>0</v>
      </c>
      <c r="Q2650" s="76">
        <f t="shared" si="988"/>
        <v>0.41666666666666669</v>
      </c>
      <c r="R2650" s="76">
        <f t="shared" si="989"/>
        <v>0.58333333333333326</v>
      </c>
      <c r="S2650" s="76">
        <f t="shared" si="990"/>
        <v>0.98460541337646268</v>
      </c>
      <c r="T2650" s="76">
        <f t="shared" si="991"/>
        <v>0.98894610408143846</v>
      </c>
      <c r="U2650" s="76">
        <f t="shared" si="992"/>
        <v>1</v>
      </c>
    </row>
    <row r="2651" spans="1:21" x14ac:dyDescent="0.25">
      <c r="A2651" s="71">
        <v>35</v>
      </c>
      <c r="B2651" s="72">
        <f t="shared" si="993"/>
        <v>46692</v>
      </c>
      <c r="C2651" s="73">
        <f t="shared" si="974"/>
        <v>46721</v>
      </c>
      <c r="D2651" s="67">
        <f t="shared" si="975"/>
        <v>30</v>
      </c>
      <c r="E2651" s="67">
        <f t="shared" si="976"/>
        <v>11</v>
      </c>
      <c r="F2651" s="74">
        <f t="shared" si="977"/>
        <v>46707</v>
      </c>
      <c r="G2651" s="67">
        <f t="shared" si="978"/>
        <v>24334</v>
      </c>
      <c r="H2651" s="75">
        <f t="shared" si="979"/>
        <v>1</v>
      </c>
      <c r="I2651" s="76">
        <f t="shared" si="980"/>
        <v>1</v>
      </c>
      <c r="J2651" s="76">
        <f t="shared" si="981"/>
        <v>1</v>
      </c>
      <c r="K2651" s="67">
        <f t="shared" si="982"/>
        <v>0</v>
      </c>
      <c r="L2651" s="67">
        <f t="shared" si="983"/>
        <v>0</v>
      </c>
      <c r="M2651" s="77">
        <f t="shared" si="984"/>
        <v>0</v>
      </c>
      <c r="N2651" s="76">
        <f t="shared" si="985"/>
        <v>1</v>
      </c>
      <c r="O2651" s="77">
        <f t="shared" si="986"/>
        <v>0.9055032822757112</v>
      </c>
      <c r="P2651" s="76">
        <f t="shared" si="987"/>
        <v>0</v>
      </c>
      <c r="Q2651" s="76">
        <f t="shared" si="988"/>
        <v>0.25</v>
      </c>
      <c r="R2651" s="76">
        <f t="shared" si="989"/>
        <v>0.75</v>
      </c>
      <c r="S2651" s="76">
        <f t="shared" si="990"/>
        <v>0.98424269812577303</v>
      </c>
      <c r="T2651" s="76">
        <f t="shared" si="991"/>
        <v>0.9885833888307487</v>
      </c>
      <c r="U2651" s="76">
        <f t="shared" si="992"/>
        <v>1</v>
      </c>
    </row>
    <row r="2652" spans="1:21" x14ac:dyDescent="0.25">
      <c r="A2652" s="71">
        <v>36</v>
      </c>
      <c r="B2652" s="72">
        <f t="shared" si="993"/>
        <v>46722</v>
      </c>
      <c r="C2652" s="73">
        <f t="shared" si="974"/>
        <v>46752</v>
      </c>
      <c r="D2652" s="67">
        <f t="shared" si="975"/>
        <v>31</v>
      </c>
      <c r="E2652" s="67">
        <f t="shared" si="976"/>
        <v>12</v>
      </c>
      <c r="F2652" s="74">
        <f t="shared" si="977"/>
        <v>46737.5</v>
      </c>
      <c r="G2652" s="67">
        <f t="shared" si="978"/>
        <v>24335</v>
      </c>
      <c r="H2652" s="75">
        <f t="shared" si="979"/>
        <v>1</v>
      </c>
      <c r="I2652" s="76">
        <f t="shared" si="980"/>
        <v>1</v>
      </c>
      <c r="J2652" s="76">
        <f t="shared" si="981"/>
        <v>1</v>
      </c>
      <c r="K2652" s="67">
        <f t="shared" si="982"/>
        <v>0</v>
      </c>
      <c r="L2652" s="67">
        <f t="shared" si="983"/>
        <v>0</v>
      </c>
      <c r="M2652" s="77">
        <f t="shared" si="984"/>
        <v>0</v>
      </c>
      <c r="N2652" s="76">
        <f t="shared" si="985"/>
        <v>1</v>
      </c>
      <c r="O2652" s="77">
        <f t="shared" si="986"/>
        <v>0.90516958424507665</v>
      </c>
      <c r="P2652" s="76">
        <f t="shared" si="987"/>
        <v>0</v>
      </c>
      <c r="Q2652" s="76">
        <f t="shared" si="988"/>
        <v>8.3333333333333329E-2</v>
      </c>
      <c r="R2652" s="76">
        <f t="shared" si="989"/>
        <v>0.91666666666666663</v>
      </c>
      <c r="S2652" s="76">
        <f t="shared" si="990"/>
        <v>0.98387998287508327</v>
      </c>
      <c r="T2652" s="76">
        <f t="shared" si="991"/>
        <v>0.98822067358005905</v>
      </c>
      <c r="U2652" s="76">
        <f t="shared" si="992"/>
        <v>1</v>
      </c>
    </row>
    <row r="2653" spans="1:21" x14ac:dyDescent="0.25">
      <c r="A2653" s="71">
        <v>37</v>
      </c>
      <c r="B2653" s="72">
        <f t="shared" si="993"/>
        <v>46753</v>
      </c>
      <c r="C2653" s="73">
        <f t="shared" si="974"/>
        <v>46783</v>
      </c>
      <c r="D2653" s="67">
        <f t="shared" si="975"/>
        <v>31</v>
      </c>
      <c r="E2653" s="67">
        <f t="shared" si="976"/>
        <v>1</v>
      </c>
      <c r="F2653" s="74">
        <f t="shared" si="977"/>
        <v>46768.5</v>
      </c>
      <c r="G2653" s="67">
        <f t="shared" si="978"/>
        <v>24336</v>
      </c>
      <c r="H2653" s="75">
        <f t="shared" si="979"/>
        <v>1</v>
      </c>
      <c r="I2653" s="76">
        <f t="shared" si="980"/>
        <v>1</v>
      </c>
      <c r="J2653" s="76">
        <f t="shared" si="981"/>
        <v>1</v>
      </c>
      <c r="K2653" s="67">
        <f t="shared" si="982"/>
        <v>0</v>
      </c>
      <c r="L2653" s="67">
        <f t="shared" si="983"/>
        <v>0</v>
      </c>
      <c r="M2653" s="77">
        <f t="shared" si="984"/>
        <v>0</v>
      </c>
      <c r="N2653" s="76">
        <f t="shared" si="985"/>
        <v>1</v>
      </c>
      <c r="O2653" s="77">
        <f t="shared" si="986"/>
        <v>0.90500000000000003</v>
      </c>
      <c r="P2653" s="76">
        <f t="shared" si="987"/>
        <v>0</v>
      </c>
      <c r="Q2653" s="76">
        <f t="shared" si="988"/>
        <v>0</v>
      </c>
      <c r="R2653" s="76">
        <f t="shared" si="989"/>
        <v>1</v>
      </c>
      <c r="S2653" s="76">
        <f t="shared" si="990"/>
        <v>0.98369565217391308</v>
      </c>
      <c r="T2653" s="76">
        <f t="shared" si="991"/>
        <v>0.99219270288269434</v>
      </c>
      <c r="U2653" s="76">
        <f t="shared" si="992"/>
        <v>1</v>
      </c>
    </row>
    <row r="2654" spans="1:21" x14ac:dyDescent="0.25">
      <c r="A2654" s="71">
        <v>38</v>
      </c>
      <c r="B2654" s="72">
        <f t="shared" si="993"/>
        <v>46784</v>
      </c>
      <c r="C2654" s="73">
        <f t="shared" si="974"/>
        <v>46812</v>
      </c>
      <c r="D2654" s="67">
        <f t="shared" si="975"/>
        <v>29</v>
      </c>
      <c r="E2654" s="67">
        <f t="shared" si="976"/>
        <v>2</v>
      </c>
      <c r="F2654" s="74">
        <f t="shared" si="977"/>
        <v>46798.5</v>
      </c>
      <c r="G2654" s="67">
        <f t="shared" si="978"/>
        <v>24337</v>
      </c>
      <c r="H2654" s="75">
        <f t="shared" si="979"/>
        <v>1</v>
      </c>
      <c r="I2654" s="76">
        <f t="shared" si="980"/>
        <v>1</v>
      </c>
      <c r="J2654" s="76">
        <f t="shared" si="981"/>
        <v>1</v>
      </c>
      <c r="K2654" s="67">
        <f t="shared" si="982"/>
        <v>0</v>
      </c>
      <c r="L2654" s="67">
        <f t="shared" si="983"/>
        <v>0</v>
      </c>
      <c r="M2654" s="77">
        <f t="shared" si="984"/>
        <v>0</v>
      </c>
      <c r="N2654" s="76">
        <f t="shared" si="985"/>
        <v>1</v>
      </c>
      <c r="O2654" s="77">
        <f t="shared" si="986"/>
        <v>0.90500000000000003</v>
      </c>
      <c r="P2654" s="76">
        <f t="shared" si="987"/>
        <v>0</v>
      </c>
      <c r="Q2654" s="76">
        <f t="shared" si="988"/>
        <v>0</v>
      </c>
      <c r="R2654" s="76">
        <f t="shared" si="989"/>
        <v>1</v>
      </c>
      <c r="S2654" s="76">
        <f t="shared" si="990"/>
        <v>0.98369565217391308</v>
      </c>
      <c r="T2654" s="76">
        <f t="shared" si="991"/>
        <v>0.99184187993530581</v>
      </c>
      <c r="U2654" s="76">
        <f t="shared" si="992"/>
        <v>1</v>
      </c>
    </row>
    <row r="2655" spans="1:21" x14ac:dyDescent="0.25">
      <c r="A2655" s="71">
        <v>39</v>
      </c>
      <c r="B2655" s="72">
        <f t="shared" si="993"/>
        <v>46813</v>
      </c>
      <c r="C2655" s="73">
        <f t="shared" si="974"/>
        <v>46843</v>
      </c>
      <c r="D2655" s="67">
        <f t="shared" si="975"/>
        <v>31</v>
      </c>
      <c r="E2655" s="67">
        <f t="shared" si="976"/>
        <v>3</v>
      </c>
      <c r="F2655" s="74">
        <f t="shared" si="977"/>
        <v>46828.5</v>
      </c>
      <c r="G2655" s="67">
        <f t="shared" si="978"/>
        <v>24338</v>
      </c>
      <c r="H2655" s="75">
        <f t="shared" si="979"/>
        <v>1</v>
      </c>
      <c r="I2655" s="76">
        <f t="shared" si="980"/>
        <v>1</v>
      </c>
      <c r="J2655" s="76">
        <f t="shared" si="981"/>
        <v>1</v>
      </c>
      <c r="K2655" s="67">
        <f t="shared" si="982"/>
        <v>0</v>
      </c>
      <c r="L2655" s="67">
        <f t="shared" si="983"/>
        <v>0</v>
      </c>
      <c r="M2655" s="77">
        <f t="shared" si="984"/>
        <v>0</v>
      </c>
      <c r="N2655" s="76">
        <f t="shared" si="985"/>
        <v>1</v>
      </c>
      <c r="O2655" s="77">
        <f t="shared" si="986"/>
        <v>0.90500000000000003</v>
      </c>
      <c r="P2655" s="76">
        <f t="shared" si="987"/>
        <v>0</v>
      </c>
      <c r="Q2655" s="76">
        <f t="shared" si="988"/>
        <v>0</v>
      </c>
      <c r="R2655" s="76">
        <f t="shared" si="989"/>
        <v>1</v>
      </c>
      <c r="S2655" s="76">
        <f t="shared" si="990"/>
        <v>0.98369565217391308</v>
      </c>
      <c r="T2655" s="76">
        <f t="shared" si="991"/>
        <v>0.9914910569879174</v>
      </c>
      <c r="U2655" s="76">
        <f t="shared" si="992"/>
        <v>1</v>
      </c>
    </row>
    <row r="2656" spans="1:21" x14ac:dyDescent="0.25">
      <c r="A2656" s="71">
        <v>40</v>
      </c>
      <c r="B2656" s="72">
        <f t="shared" si="993"/>
        <v>46844</v>
      </c>
      <c r="C2656" s="73">
        <f t="shared" si="974"/>
        <v>46873</v>
      </c>
      <c r="D2656" s="67">
        <f t="shared" si="975"/>
        <v>30</v>
      </c>
      <c r="E2656" s="67">
        <f t="shared" si="976"/>
        <v>4</v>
      </c>
      <c r="F2656" s="74">
        <f t="shared" si="977"/>
        <v>46859</v>
      </c>
      <c r="G2656" s="67">
        <f t="shared" si="978"/>
        <v>24339</v>
      </c>
      <c r="H2656" s="75">
        <f t="shared" si="979"/>
        <v>1</v>
      </c>
      <c r="I2656" s="76">
        <f t="shared" si="980"/>
        <v>1</v>
      </c>
      <c r="J2656" s="76">
        <f t="shared" si="981"/>
        <v>1</v>
      </c>
      <c r="K2656" s="67">
        <f t="shared" si="982"/>
        <v>0</v>
      </c>
      <c r="L2656" s="67">
        <f t="shared" si="983"/>
        <v>0</v>
      </c>
      <c r="M2656" s="77">
        <f t="shared" si="984"/>
        <v>0</v>
      </c>
      <c r="N2656" s="76">
        <f t="shared" si="985"/>
        <v>1</v>
      </c>
      <c r="O2656" s="77">
        <f t="shared" si="986"/>
        <v>0.90500000000000003</v>
      </c>
      <c r="P2656" s="76">
        <f t="shared" si="987"/>
        <v>0</v>
      </c>
      <c r="Q2656" s="76">
        <f t="shared" si="988"/>
        <v>0</v>
      </c>
      <c r="R2656" s="76">
        <f t="shared" si="989"/>
        <v>1</v>
      </c>
      <c r="S2656" s="76">
        <f t="shared" si="990"/>
        <v>0.98369565217391308</v>
      </c>
      <c r="T2656" s="76">
        <f t="shared" si="991"/>
        <v>0.99112834173722764</v>
      </c>
      <c r="U2656" s="76">
        <f t="shared" si="992"/>
        <v>1</v>
      </c>
    </row>
    <row r="2657" spans="1:21" x14ac:dyDescent="0.25">
      <c r="A2657" s="71">
        <v>41</v>
      </c>
      <c r="B2657" s="72">
        <f t="shared" si="993"/>
        <v>46874</v>
      </c>
      <c r="C2657" s="73">
        <f t="shared" si="974"/>
        <v>46904</v>
      </c>
      <c r="D2657" s="67">
        <f t="shared" si="975"/>
        <v>31</v>
      </c>
      <c r="E2657" s="67">
        <f t="shared" si="976"/>
        <v>5</v>
      </c>
      <c r="F2657" s="74">
        <f t="shared" si="977"/>
        <v>46889.5</v>
      </c>
      <c r="G2657" s="67">
        <f t="shared" si="978"/>
        <v>24340</v>
      </c>
      <c r="H2657" s="75">
        <f t="shared" si="979"/>
        <v>1</v>
      </c>
      <c r="I2657" s="76">
        <f t="shared" si="980"/>
        <v>1</v>
      </c>
      <c r="J2657" s="76">
        <f t="shared" si="981"/>
        <v>1</v>
      </c>
      <c r="K2657" s="67">
        <f t="shared" si="982"/>
        <v>0</v>
      </c>
      <c r="L2657" s="67">
        <f t="shared" si="983"/>
        <v>0</v>
      </c>
      <c r="M2657" s="77">
        <f t="shared" si="984"/>
        <v>0</v>
      </c>
      <c r="N2657" s="76">
        <f t="shared" si="985"/>
        <v>1</v>
      </c>
      <c r="O2657" s="77">
        <f t="shared" si="986"/>
        <v>0.90500000000000003</v>
      </c>
      <c r="P2657" s="76">
        <f t="shared" si="987"/>
        <v>0</v>
      </c>
      <c r="Q2657" s="76">
        <f t="shared" si="988"/>
        <v>0</v>
      </c>
      <c r="R2657" s="76">
        <f t="shared" si="989"/>
        <v>1</v>
      </c>
      <c r="S2657" s="76">
        <f t="shared" si="990"/>
        <v>0.98369565217391308</v>
      </c>
      <c r="T2657" s="76">
        <f t="shared" si="991"/>
        <v>0.99076562648653799</v>
      </c>
      <c r="U2657" s="76">
        <f t="shared" si="992"/>
        <v>1</v>
      </c>
    </row>
    <row r="2658" spans="1:21" x14ac:dyDescent="0.25">
      <c r="A2658" s="71">
        <v>42</v>
      </c>
      <c r="B2658" s="72">
        <f t="shared" si="993"/>
        <v>46905</v>
      </c>
      <c r="C2658" s="73">
        <f t="shared" si="974"/>
        <v>46934</v>
      </c>
      <c r="D2658" s="67">
        <f t="shared" si="975"/>
        <v>30</v>
      </c>
      <c r="E2658" s="67">
        <f t="shared" si="976"/>
        <v>6</v>
      </c>
      <c r="F2658" s="74">
        <f t="shared" si="977"/>
        <v>46920</v>
      </c>
      <c r="G2658" s="67">
        <f t="shared" si="978"/>
        <v>24341</v>
      </c>
      <c r="H2658" s="75">
        <f t="shared" si="979"/>
        <v>1</v>
      </c>
      <c r="I2658" s="76">
        <f t="shared" si="980"/>
        <v>1</v>
      </c>
      <c r="J2658" s="76">
        <f t="shared" si="981"/>
        <v>1</v>
      </c>
      <c r="K2658" s="67">
        <f t="shared" si="982"/>
        <v>0</v>
      </c>
      <c r="L2658" s="67">
        <f t="shared" si="983"/>
        <v>0</v>
      </c>
      <c r="M2658" s="77">
        <f t="shared" si="984"/>
        <v>0</v>
      </c>
      <c r="N2658" s="76">
        <f t="shared" si="985"/>
        <v>1</v>
      </c>
      <c r="O2658" s="77">
        <f t="shared" si="986"/>
        <v>0.90500000000000003</v>
      </c>
      <c r="P2658" s="76">
        <f t="shared" si="987"/>
        <v>0</v>
      </c>
      <c r="Q2658" s="76">
        <f t="shared" si="988"/>
        <v>0</v>
      </c>
      <c r="R2658" s="76">
        <f t="shared" si="989"/>
        <v>1</v>
      </c>
      <c r="S2658" s="76">
        <f t="shared" si="990"/>
        <v>0.98369565217391308</v>
      </c>
      <c r="T2658" s="76">
        <f t="shared" si="991"/>
        <v>0.99040291123584812</v>
      </c>
      <c r="U2658" s="76">
        <f t="shared" si="992"/>
        <v>1</v>
      </c>
    </row>
    <row r="2659" spans="1:21" x14ac:dyDescent="0.25">
      <c r="A2659" s="71">
        <v>43</v>
      </c>
      <c r="B2659" s="72">
        <f t="shared" si="993"/>
        <v>46935</v>
      </c>
      <c r="C2659" s="73">
        <f t="shared" si="974"/>
        <v>46965</v>
      </c>
      <c r="D2659" s="67">
        <f t="shared" si="975"/>
        <v>31</v>
      </c>
      <c r="E2659" s="67">
        <f t="shared" si="976"/>
        <v>7</v>
      </c>
      <c r="F2659" s="74">
        <f t="shared" si="977"/>
        <v>46950.5</v>
      </c>
      <c r="G2659" s="67">
        <f t="shared" si="978"/>
        <v>24342</v>
      </c>
      <c r="H2659" s="75">
        <f t="shared" si="979"/>
        <v>1</v>
      </c>
      <c r="I2659" s="76">
        <f t="shared" si="980"/>
        <v>1</v>
      </c>
      <c r="J2659" s="76">
        <f t="shared" si="981"/>
        <v>1</v>
      </c>
      <c r="K2659" s="67">
        <f t="shared" si="982"/>
        <v>0</v>
      </c>
      <c r="L2659" s="67">
        <f t="shared" si="983"/>
        <v>0</v>
      </c>
      <c r="M2659" s="77">
        <f t="shared" si="984"/>
        <v>0</v>
      </c>
      <c r="N2659" s="76">
        <f t="shared" si="985"/>
        <v>1</v>
      </c>
      <c r="O2659" s="77">
        <f t="shared" si="986"/>
        <v>0.90500000000000003</v>
      </c>
      <c r="P2659" s="76">
        <f t="shared" si="987"/>
        <v>0</v>
      </c>
      <c r="Q2659" s="76">
        <f t="shared" si="988"/>
        <v>0</v>
      </c>
      <c r="R2659" s="76">
        <f t="shared" si="989"/>
        <v>0.91666666666666663</v>
      </c>
      <c r="S2659" s="76">
        <f t="shared" si="990"/>
        <v>0.98369565217391308</v>
      </c>
      <c r="T2659" s="76">
        <f t="shared" si="991"/>
        <v>0.99004019598515836</v>
      </c>
      <c r="U2659" s="76">
        <f t="shared" si="992"/>
        <v>1</v>
      </c>
    </row>
    <row r="2660" spans="1:21" x14ac:dyDescent="0.25">
      <c r="A2660" s="71">
        <v>44</v>
      </c>
      <c r="B2660" s="72">
        <f t="shared" si="993"/>
        <v>46966</v>
      </c>
      <c r="C2660" s="73">
        <f t="shared" si="974"/>
        <v>46996</v>
      </c>
      <c r="D2660" s="67">
        <f t="shared" si="975"/>
        <v>31</v>
      </c>
      <c r="E2660" s="67">
        <f t="shared" si="976"/>
        <v>8</v>
      </c>
      <c r="F2660" s="74">
        <f t="shared" si="977"/>
        <v>46981.5</v>
      </c>
      <c r="G2660" s="67">
        <f t="shared" si="978"/>
        <v>24343</v>
      </c>
      <c r="H2660" s="75">
        <f t="shared" si="979"/>
        <v>1</v>
      </c>
      <c r="I2660" s="76">
        <f t="shared" si="980"/>
        <v>1</v>
      </c>
      <c r="J2660" s="76">
        <f t="shared" si="981"/>
        <v>1</v>
      </c>
      <c r="K2660" s="67">
        <f t="shared" si="982"/>
        <v>0</v>
      </c>
      <c r="L2660" s="67">
        <f t="shared" si="983"/>
        <v>0</v>
      </c>
      <c r="M2660" s="77">
        <f t="shared" si="984"/>
        <v>0</v>
      </c>
      <c r="N2660" s="76">
        <f t="shared" si="985"/>
        <v>1</v>
      </c>
      <c r="O2660" s="77">
        <f t="shared" si="986"/>
        <v>0.90500000000000003</v>
      </c>
      <c r="P2660" s="76">
        <f t="shared" si="987"/>
        <v>0</v>
      </c>
      <c r="Q2660" s="76">
        <f t="shared" si="988"/>
        <v>0</v>
      </c>
      <c r="R2660" s="76">
        <f t="shared" si="989"/>
        <v>0.75</v>
      </c>
      <c r="S2660" s="76">
        <f t="shared" si="990"/>
        <v>0.98369565217391308</v>
      </c>
      <c r="T2660" s="76">
        <f t="shared" si="991"/>
        <v>0.98967153458281798</v>
      </c>
      <c r="U2660" s="76">
        <f t="shared" si="992"/>
        <v>1</v>
      </c>
    </row>
    <row r="2661" spans="1:21" x14ac:dyDescent="0.25">
      <c r="A2661" s="71">
        <v>45</v>
      </c>
      <c r="B2661" s="72">
        <f t="shared" si="993"/>
        <v>46997</v>
      </c>
      <c r="C2661" s="73">
        <f t="shared" si="974"/>
        <v>47026</v>
      </c>
      <c r="D2661" s="67">
        <f t="shared" si="975"/>
        <v>30</v>
      </c>
      <c r="E2661" s="67">
        <f t="shared" si="976"/>
        <v>9</v>
      </c>
      <c r="F2661" s="74">
        <f t="shared" si="977"/>
        <v>47012</v>
      </c>
      <c r="G2661" s="67">
        <f t="shared" si="978"/>
        <v>24344</v>
      </c>
      <c r="H2661" s="75">
        <f t="shared" si="979"/>
        <v>1</v>
      </c>
      <c r="I2661" s="76">
        <f t="shared" si="980"/>
        <v>1</v>
      </c>
      <c r="J2661" s="76">
        <f t="shared" si="981"/>
        <v>1</v>
      </c>
      <c r="K2661" s="67">
        <f t="shared" si="982"/>
        <v>0</v>
      </c>
      <c r="L2661" s="67">
        <f t="shared" si="983"/>
        <v>0</v>
      </c>
      <c r="M2661" s="77">
        <f t="shared" si="984"/>
        <v>0</v>
      </c>
      <c r="N2661" s="76">
        <f t="shared" si="985"/>
        <v>1</v>
      </c>
      <c r="O2661" s="77">
        <f t="shared" si="986"/>
        <v>0.90500000000000003</v>
      </c>
      <c r="P2661" s="76">
        <f t="shared" si="987"/>
        <v>0</v>
      </c>
      <c r="Q2661" s="76">
        <f t="shared" si="988"/>
        <v>0</v>
      </c>
      <c r="R2661" s="76">
        <f t="shared" si="989"/>
        <v>0.58333333333333337</v>
      </c>
      <c r="S2661" s="76">
        <f t="shared" si="990"/>
        <v>0.98369565217391308</v>
      </c>
      <c r="T2661" s="76">
        <f t="shared" si="991"/>
        <v>0.98930881933212833</v>
      </c>
      <c r="U2661" s="76">
        <f t="shared" si="992"/>
        <v>1</v>
      </c>
    </row>
    <row r="2662" spans="1:21" x14ac:dyDescent="0.25">
      <c r="A2662" s="71">
        <v>46</v>
      </c>
      <c r="B2662" s="72">
        <f t="shared" si="993"/>
        <v>47027</v>
      </c>
      <c r="C2662" s="73">
        <f t="shared" si="974"/>
        <v>47057</v>
      </c>
      <c r="D2662" s="67">
        <f t="shared" si="975"/>
        <v>31</v>
      </c>
      <c r="E2662" s="67">
        <f t="shared" si="976"/>
        <v>10</v>
      </c>
      <c r="F2662" s="74">
        <f t="shared" si="977"/>
        <v>47042.5</v>
      </c>
      <c r="G2662" s="67">
        <f t="shared" si="978"/>
        <v>24345</v>
      </c>
      <c r="H2662" s="75">
        <f t="shared" si="979"/>
        <v>1</v>
      </c>
      <c r="I2662" s="76">
        <f t="shared" si="980"/>
        <v>1</v>
      </c>
      <c r="J2662" s="76">
        <f t="shared" si="981"/>
        <v>1</v>
      </c>
      <c r="K2662" s="67">
        <f t="shared" si="982"/>
        <v>0</v>
      </c>
      <c r="L2662" s="67">
        <f t="shared" si="983"/>
        <v>0</v>
      </c>
      <c r="M2662" s="77">
        <f t="shared" si="984"/>
        <v>0</v>
      </c>
      <c r="N2662" s="76">
        <f t="shared" si="985"/>
        <v>1</v>
      </c>
      <c r="O2662" s="77">
        <f t="shared" si="986"/>
        <v>0.90500000000000003</v>
      </c>
      <c r="P2662" s="76">
        <f t="shared" si="987"/>
        <v>0</v>
      </c>
      <c r="Q2662" s="76">
        <f t="shared" si="988"/>
        <v>0</v>
      </c>
      <c r="R2662" s="76">
        <f t="shared" si="989"/>
        <v>0.41666666666666669</v>
      </c>
      <c r="S2662" s="76">
        <f t="shared" si="990"/>
        <v>0.98369565217391308</v>
      </c>
      <c r="T2662" s="76">
        <f t="shared" si="991"/>
        <v>0.98894610408143846</v>
      </c>
      <c r="U2662" s="76">
        <f t="shared" si="992"/>
        <v>1</v>
      </c>
    </row>
    <row r="2663" spans="1:21" x14ac:dyDescent="0.25">
      <c r="A2663" s="71">
        <v>47</v>
      </c>
      <c r="B2663" s="72">
        <f t="shared" si="993"/>
        <v>47058</v>
      </c>
      <c r="C2663" s="73">
        <f t="shared" si="974"/>
        <v>47087</v>
      </c>
      <c r="D2663" s="67">
        <f t="shared" si="975"/>
        <v>30</v>
      </c>
      <c r="E2663" s="67">
        <f t="shared" si="976"/>
        <v>11</v>
      </c>
      <c r="F2663" s="74">
        <f t="shared" si="977"/>
        <v>47073</v>
      </c>
      <c r="G2663" s="67">
        <f t="shared" si="978"/>
        <v>24346</v>
      </c>
      <c r="H2663" s="75">
        <f t="shared" si="979"/>
        <v>1</v>
      </c>
      <c r="I2663" s="76">
        <f t="shared" si="980"/>
        <v>1</v>
      </c>
      <c r="J2663" s="76">
        <f t="shared" si="981"/>
        <v>1</v>
      </c>
      <c r="K2663" s="67">
        <f t="shared" si="982"/>
        <v>0</v>
      </c>
      <c r="L2663" s="67">
        <f t="shared" si="983"/>
        <v>0</v>
      </c>
      <c r="M2663" s="77">
        <f t="shared" si="984"/>
        <v>0</v>
      </c>
      <c r="N2663" s="76">
        <f t="shared" si="985"/>
        <v>1</v>
      </c>
      <c r="O2663" s="77">
        <f t="shared" si="986"/>
        <v>0.90500000000000003</v>
      </c>
      <c r="P2663" s="76">
        <f t="shared" si="987"/>
        <v>0</v>
      </c>
      <c r="Q2663" s="76">
        <f t="shared" si="988"/>
        <v>0</v>
      </c>
      <c r="R2663" s="76">
        <f t="shared" si="989"/>
        <v>0.25</v>
      </c>
      <c r="S2663" s="76">
        <f t="shared" si="990"/>
        <v>0.98369565217391308</v>
      </c>
      <c r="T2663" s="76">
        <f t="shared" si="991"/>
        <v>0.9885833888307487</v>
      </c>
      <c r="U2663" s="76">
        <f t="shared" si="992"/>
        <v>1</v>
      </c>
    </row>
    <row r="2664" spans="1:21" x14ac:dyDescent="0.25">
      <c r="A2664" s="71">
        <v>48</v>
      </c>
      <c r="B2664" s="72">
        <f t="shared" si="993"/>
        <v>47088</v>
      </c>
      <c r="C2664" s="73">
        <f t="shared" si="974"/>
        <v>47118</v>
      </c>
      <c r="D2664" s="67">
        <f t="shared" si="975"/>
        <v>31</v>
      </c>
      <c r="E2664" s="67">
        <f t="shared" si="976"/>
        <v>12</v>
      </c>
      <c r="F2664" s="74">
        <f t="shared" si="977"/>
        <v>47103.5</v>
      </c>
      <c r="G2664" s="67">
        <f t="shared" si="978"/>
        <v>24347</v>
      </c>
      <c r="H2664" s="75">
        <f t="shared" si="979"/>
        <v>1</v>
      </c>
      <c r="I2664" s="76">
        <f t="shared" si="980"/>
        <v>1</v>
      </c>
      <c r="J2664" s="76">
        <f t="shared" si="981"/>
        <v>1</v>
      </c>
      <c r="K2664" s="67">
        <f t="shared" si="982"/>
        <v>0</v>
      </c>
      <c r="L2664" s="67">
        <f t="shared" si="983"/>
        <v>0</v>
      </c>
      <c r="M2664" s="77">
        <f t="shared" si="984"/>
        <v>0</v>
      </c>
      <c r="N2664" s="76">
        <f t="shared" si="985"/>
        <v>1</v>
      </c>
      <c r="O2664" s="77">
        <f t="shared" si="986"/>
        <v>0.90500000000000003</v>
      </c>
      <c r="P2664" s="76">
        <f t="shared" si="987"/>
        <v>0</v>
      </c>
      <c r="Q2664" s="76">
        <f t="shared" si="988"/>
        <v>0</v>
      </c>
      <c r="R2664" s="76">
        <f t="shared" si="989"/>
        <v>8.3333333333333329E-2</v>
      </c>
      <c r="S2664" s="76">
        <f t="shared" si="990"/>
        <v>0.98369565217391308</v>
      </c>
      <c r="T2664" s="76">
        <f t="shared" si="991"/>
        <v>0.98822067358005905</v>
      </c>
      <c r="U2664" s="76">
        <f t="shared" si="992"/>
        <v>1</v>
      </c>
    </row>
    <row r="2665" spans="1:21" x14ac:dyDescent="0.25">
      <c r="A2665" s="81" t="s">
        <v>1187</v>
      </c>
      <c r="B2665" s="53">
        <f>EXP(SUMPRODUCT((rl_key=$A$2614)*(rl_cons="Y")*rl_ln1p))</f>
        <v>1</v>
      </c>
      <c r="C2665" s="53">
        <f>SUMPRODUCT($H$2617:$H$2664,$P$2617:$P$2664,$U$2617:$U$2664)/SUMPRODUCT($H$2617:$H$2664,$P$2617:$P$2664)</f>
        <v>1</v>
      </c>
      <c r="D2665" s="53">
        <f>SUMPRODUCT($H$2617:$H$2664,$Q$2617:$Q$2664,$U$2617:$U$2664)/SUMPRODUCT($H$2617:$H$2664,$Q$2617:$Q$2664)</f>
        <v>1</v>
      </c>
      <c r="E2665" s="53">
        <f>SUMPRODUCT($H$2617:$H$2664,$R$2617:$R$2664,$U$2617:$U$2664)/SUMPRODUCT($H$2617:$H$2664,$R$2617:$R$2664)</f>
        <v>1</v>
      </c>
      <c r="F2665" s="172">
        <f>SUMPRODUCT($H$2617:$H$2664,$Q$2617:$Q$2664,$O$2617:$O$2664)/SUMPRODUCT($H$2617:$H$2664,$Q$2617:$Q$2664)</f>
        <v>0.9080037381473377</v>
      </c>
      <c r="G2665" s="172">
        <f>SUMPRODUCT($H$2617:$H$2664,$R$2617:$R$2664,$O$2617:$O$2664)/SUMPRODUCT($H$2617:$H$2664,$R$2617:$R$2664)</f>
        <v>0.90516988815949428</v>
      </c>
    </row>
    <row r="2668" spans="1:21" x14ac:dyDescent="0.25">
      <c r="A2668" s="81" t="str">
        <f>INDEX(lr_key,49)</f>
        <v>BU-C|IL</v>
      </c>
      <c r="B2668" s="81" t="str">
        <f>INDEX(lr_state,49)</f>
        <v>IL</v>
      </c>
      <c r="C2668" s="55">
        <f>nr_TermMonths</f>
        <v>6</v>
      </c>
      <c r="D2668" s="55">
        <f>IF(COUNTIF(se_state,$B2668)=0,0,MATCH($B2668,se_state,0))</f>
        <v>1</v>
      </c>
      <c r="E2668" s="57">
        <f>IF($D2668=0,0,INDEX(se_sum,$D2668))</f>
        <v>11.999999999999998</v>
      </c>
      <c r="F2668" s="172">
        <f>IF(N(INDEX(lr_mind,49))=0,1,INDEX(lr_mind,49))</f>
        <v>0.92</v>
      </c>
      <c r="G2668" s="172">
        <f>IF(N(INDEX(lr_m0,49))=0,1,INDEX(lr_m0,49))</f>
        <v>0.91</v>
      </c>
      <c r="H2668" s="54">
        <f>IF(N(INDEX(lr_m0asof,49))=0,DATE(nr_PlanYear-1,10,1),INDEX(lr_m0asof,49))</f>
        <v>46295</v>
      </c>
      <c r="I2668" s="172">
        <f>IF(N(INDEX(lr_m1,49))=0,1,INDEX(lr_m1,49))</f>
        <v>0.92</v>
      </c>
      <c r="J2668" s="172">
        <f>INDEX(lr_mprior,49)</f>
        <v>0</v>
      </c>
      <c r="K2668" s="172">
        <f>INDEX(lr_m2,49)</f>
        <v>0</v>
      </c>
      <c r="L2668" s="81" t="b">
        <f>NOT(ISBLANK(INDEX(lr_netp,49)))</f>
        <v>0</v>
      </c>
      <c r="M2668" s="52">
        <f>N(INDEX(lr_netp,49))</f>
        <v>0</v>
      </c>
      <c r="N2668" s="52">
        <f>IF(ISBLANK(INDEX(lr_netp1,49)),$M$2668,N(INDEX(lr_netp1,49)))</f>
        <v>0</v>
      </c>
      <c r="O2668" s="55">
        <f>IF(AND(nr_ModAdjMaster="ON",INDEX(lr_modadj,49)="ON"),1,0)</f>
        <v>1</v>
      </c>
    </row>
    <row r="2669" spans="1:21" x14ac:dyDescent="0.25">
      <c r="A2669" s="81">
        <f>EDATE($H$2668,-12)+1</f>
        <v>45931</v>
      </c>
      <c r="B2669" s="81">
        <f>$H$2668+1</f>
        <v>46296</v>
      </c>
      <c r="C2669" s="81">
        <f>DATE(nr_PlanYear,12,31)+1</f>
        <v>46753</v>
      </c>
      <c r="D2669" s="81">
        <f>DATE(nr_PlanYear+1,12,31)+1</f>
        <v>47119</v>
      </c>
      <c r="E2669" s="81">
        <f>IF(N($J$2668)=0,$F$2669-($G$2669-$F$2669)/($C$2669-$B$2669)*($B$2669-$A$2669),$J$2668)</f>
        <v>0.9020131291028447</v>
      </c>
      <c r="F2669" s="81">
        <f>$G$2668</f>
        <v>0.91</v>
      </c>
      <c r="G2669" s="81">
        <f>$I$2668</f>
        <v>0.92</v>
      </c>
      <c r="H2669" s="81">
        <f>IF(N($K$2668)=0,$I$2668,$K$2668)</f>
        <v>0.92</v>
      </c>
      <c r="I2669" s="81">
        <f>($F$2669-$E$2669)/($B$2669-$A$2669)</f>
        <v>2.1881838074398162E-5</v>
      </c>
      <c r="J2669" s="81">
        <f>($G$2669-$F$2669)/($C$2669-$B$2669)</f>
        <v>2.188183807439827E-5</v>
      </c>
      <c r="K2669" s="81">
        <f>($H$2669-$G$2669)/($D$2669-$C$2669)</f>
        <v>0</v>
      </c>
    </row>
    <row r="2670" spans="1:21" ht="36" x14ac:dyDescent="0.25">
      <c r="A2670" s="50" t="s">
        <v>211</v>
      </c>
      <c r="B2670" s="50" t="s">
        <v>212</v>
      </c>
      <c r="C2670" s="50" t="s">
        <v>213</v>
      </c>
      <c r="D2670" s="50" t="s">
        <v>214</v>
      </c>
      <c r="E2670" s="50" t="s">
        <v>215</v>
      </c>
      <c r="F2670" s="50" t="s">
        <v>216</v>
      </c>
      <c r="G2670" s="50" t="s">
        <v>217</v>
      </c>
      <c r="H2670" s="50" t="s">
        <v>218</v>
      </c>
      <c r="I2670" s="50" t="s">
        <v>219</v>
      </c>
      <c r="J2670" s="50" t="s">
        <v>220</v>
      </c>
      <c r="K2670" s="50" t="s">
        <v>221</v>
      </c>
      <c r="L2670" s="50" t="s">
        <v>222</v>
      </c>
      <c r="M2670" s="50" t="s">
        <v>223</v>
      </c>
      <c r="N2670" s="50" t="s">
        <v>224</v>
      </c>
      <c r="O2670" s="50" t="s">
        <v>225</v>
      </c>
      <c r="P2670" s="50" t="s">
        <v>226</v>
      </c>
      <c r="Q2670" s="50" t="s">
        <v>227</v>
      </c>
      <c r="R2670" s="50" t="s">
        <v>228</v>
      </c>
      <c r="S2670" s="50" t="s">
        <v>229</v>
      </c>
      <c r="T2670" s="50" t="s">
        <v>230</v>
      </c>
      <c r="U2670" s="50" t="s">
        <v>231</v>
      </c>
    </row>
    <row r="2671" spans="1:21" x14ac:dyDescent="0.25">
      <c r="A2671" s="71">
        <v>1</v>
      </c>
      <c r="B2671" s="72">
        <f>DATE(nr_PlanYear-2,1,1)</f>
        <v>45658</v>
      </c>
      <c r="C2671" s="73">
        <f t="shared" ref="C2671:C2718" si="994">EOMONTH($B2671,0)</f>
        <v>45688</v>
      </c>
      <c r="D2671" s="67">
        <f t="shared" ref="D2671:D2718" si="995">$C2671-$B2671+1</f>
        <v>31</v>
      </c>
      <c r="E2671" s="67">
        <f t="shared" ref="E2671:E2718" si="996">MONTH($B2671)</f>
        <v>1</v>
      </c>
      <c r="F2671" s="74">
        <f t="shared" ref="F2671:F2718" si="997">($B2671+$C2671+1)/2</f>
        <v>45673.5</v>
      </c>
      <c r="G2671" s="67">
        <f t="shared" ref="G2671:G2718" si="998">YEAR($B2671)*12+MONTH($B2671)-1</f>
        <v>24300</v>
      </c>
      <c r="H2671" s="75">
        <f t="shared" ref="H2671:H2718" si="999">IF(OR(nr_SeasonOn="OFF",$D$2668=0,$E$2668=0),1,12*INDEX(se_block,$D$2668,$E2671)/$E$2668)</f>
        <v>1</v>
      </c>
      <c r="I2671" s="76">
        <f t="shared" ref="I2671:I2718" si="1000">EXP(SUMPRODUCT((rl_eff&lt;$B2671)*(rl_key=$A$2668)*rl_ln1p))</f>
        <v>1</v>
      </c>
      <c r="J2671" s="76">
        <f t="shared" ref="J2671:J2718" si="1001">EXP(SUMPRODUCT((rl_eff&lt;=$C2671)*(rl_key=$A$2668)*rl_ln1p))</f>
        <v>1</v>
      </c>
      <c r="K2671" s="67">
        <f t="shared" ref="K2671:K2718" si="1002">COUNTIFS(rl_key,$A$2668,rl_eff,"&gt;="&amp;$B2671,rl_eff,"&lt;="&amp;$C2671)</f>
        <v>0</v>
      </c>
      <c r="L2671" s="67">
        <f t="shared" ref="L2671:L2718" si="1003">SUMIFS(rl_daysafter,rl_key,$A$2668,rl_effmonth,$B2671,rl_first,1)</f>
        <v>0</v>
      </c>
      <c r="M2671" s="77">
        <f t="shared" ref="M2671:M2718" si="1004">IF($K2671=0,0,MIN(1,$L2671/$D2671))</f>
        <v>0</v>
      </c>
      <c r="N2671" s="76">
        <f t="shared" ref="N2671:N2718" si="1005">IF($K2671=0,$J2671,(1-$M2671)*$I2671+$M2671*$J2671)</f>
        <v>1</v>
      </c>
      <c r="O2671" s="77">
        <f t="shared" ref="O2671:O2718" si="1006">IF($F2671&lt;$B$2669,$E$2669+$I$2669*($F2671-$A$2669),IF($F2671&lt;$C$2669,$F$2669+$J$2669*($F2671-$B$2669),$G$2669+$K$2669*($F2671-$C$2669)))</f>
        <v>0.89637855579868719</v>
      </c>
      <c r="P2671" s="76">
        <f t="shared" ref="P2671:P2718" si="1007">MIN(1,MAX(0,(nr_MEndPm1-$G2671+0.5)/$C$2668))-MIN(1,MAX(0,(nr_MStartPm1-1-$G2671+0.5)/$C$2668))</f>
        <v>0</v>
      </c>
      <c r="Q2671" s="76">
        <f t="shared" ref="Q2671:Q2718" si="1008">MIN(1,MAX(0,(nr_MEndP-$G2671+0.5)/$C$2668))-MIN(1,MAX(0,(nr_MStartP-1-$G2671+0.5)/$C$2668))</f>
        <v>0</v>
      </c>
      <c r="R2671" s="76">
        <f t="shared" ref="R2671:R2718" si="1009">MIN(1,MAX(0,(nr_MEndP1-$G2671+0.5)/$C$2668))-MIN(1,MAX(0,(nr_MStartP1-1-$G2671+0.5)/$C$2668))</f>
        <v>0</v>
      </c>
      <c r="S2671" s="76">
        <f t="shared" ref="S2671:S2718" si="1010">$N2671*IF($O$2668=1,$O2671/$F$2668,1)</f>
        <v>0.97432451717248603</v>
      </c>
      <c r="T2671" s="76">
        <f t="shared" ref="T2671:T2718" si="1011">IF($G2671&lt;nr_MStartP,$S2671,$T2659*(1+IF($G2671&lt;nr_MStartP1,$M$2668,$N$2668)))</f>
        <v>0.97432451717248603</v>
      </c>
      <c r="U2671" s="76">
        <f t="shared" ref="U2671:U2718" si="1012">IF($L$2668,$T2671,$N2671)</f>
        <v>1</v>
      </c>
    </row>
    <row r="2672" spans="1:21" x14ac:dyDescent="0.25">
      <c r="A2672" s="71">
        <v>2</v>
      </c>
      <c r="B2672" s="72">
        <f t="shared" ref="B2672:B2718" si="1013">EDATE($B2671,1)</f>
        <v>45689</v>
      </c>
      <c r="C2672" s="73">
        <f t="shared" si="994"/>
        <v>45716</v>
      </c>
      <c r="D2672" s="67">
        <f t="shared" si="995"/>
        <v>28</v>
      </c>
      <c r="E2672" s="67">
        <f t="shared" si="996"/>
        <v>2</v>
      </c>
      <c r="F2672" s="74">
        <f t="shared" si="997"/>
        <v>45703</v>
      </c>
      <c r="G2672" s="67">
        <f t="shared" si="998"/>
        <v>24301</v>
      </c>
      <c r="H2672" s="75">
        <f t="shared" si="999"/>
        <v>1</v>
      </c>
      <c r="I2672" s="76">
        <f t="shared" si="1000"/>
        <v>1</v>
      </c>
      <c r="J2672" s="76">
        <f t="shared" si="1001"/>
        <v>1</v>
      </c>
      <c r="K2672" s="67">
        <f t="shared" si="1002"/>
        <v>0</v>
      </c>
      <c r="L2672" s="67">
        <f t="shared" si="1003"/>
        <v>0</v>
      </c>
      <c r="M2672" s="77">
        <f t="shared" si="1004"/>
        <v>0</v>
      </c>
      <c r="N2672" s="76">
        <f t="shared" si="1005"/>
        <v>1</v>
      </c>
      <c r="O2672" s="77">
        <f t="shared" si="1006"/>
        <v>0.89702407002188189</v>
      </c>
      <c r="P2672" s="76">
        <f t="shared" si="1007"/>
        <v>0</v>
      </c>
      <c r="Q2672" s="76">
        <f t="shared" si="1008"/>
        <v>0</v>
      </c>
      <c r="R2672" s="76">
        <f t="shared" si="1009"/>
        <v>0</v>
      </c>
      <c r="S2672" s="76">
        <f t="shared" si="1010"/>
        <v>0.97502616306726286</v>
      </c>
      <c r="T2672" s="76">
        <f t="shared" si="1011"/>
        <v>0.97502616306726286</v>
      </c>
      <c r="U2672" s="76">
        <f t="shared" si="1012"/>
        <v>1</v>
      </c>
    </row>
    <row r="2673" spans="1:21" x14ac:dyDescent="0.25">
      <c r="A2673" s="71">
        <v>3</v>
      </c>
      <c r="B2673" s="72">
        <f t="shared" si="1013"/>
        <v>45717</v>
      </c>
      <c r="C2673" s="73">
        <f t="shared" si="994"/>
        <v>45747</v>
      </c>
      <c r="D2673" s="67">
        <f t="shared" si="995"/>
        <v>31</v>
      </c>
      <c r="E2673" s="67">
        <f t="shared" si="996"/>
        <v>3</v>
      </c>
      <c r="F2673" s="74">
        <f t="shared" si="997"/>
        <v>45732.5</v>
      </c>
      <c r="G2673" s="67">
        <f t="shared" si="998"/>
        <v>24302</v>
      </c>
      <c r="H2673" s="75">
        <f t="shared" si="999"/>
        <v>1</v>
      </c>
      <c r="I2673" s="76">
        <f t="shared" si="1000"/>
        <v>1</v>
      </c>
      <c r="J2673" s="76">
        <f t="shared" si="1001"/>
        <v>1</v>
      </c>
      <c r="K2673" s="67">
        <f t="shared" si="1002"/>
        <v>0</v>
      </c>
      <c r="L2673" s="67">
        <f t="shared" si="1003"/>
        <v>0</v>
      </c>
      <c r="M2673" s="77">
        <f t="shared" si="1004"/>
        <v>0</v>
      </c>
      <c r="N2673" s="76">
        <f t="shared" si="1005"/>
        <v>1</v>
      </c>
      <c r="O2673" s="77">
        <f t="shared" si="1006"/>
        <v>0.8976695842450767</v>
      </c>
      <c r="P2673" s="76">
        <f t="shared" si="1007"/>
        <v>0</v>
      </c>
      <c r="Q2673" s="76">
        <f t="shared" si="1008"/>
        <v>0</v>
      </c>
      <c r="R2673" s="76">
        <f t="shared" si="1009"/>
        <v>0</v>
      </c>
      <c r="S2673" s="76">
        <f t="shared" si="1010"/>
        <v>0.97572780896203981</v>
      </c>
      <c r="T2673" s="76">
        <f t="shared" si="1011"/>
        <v>0.97572780896203981</v>
      </c>
      <c r="U2673" s="76">
        <f t="shared" si="1012"/>
        <v>1</v>
      </c>
    </row>
    <row r="2674" spans="1:21" x14ac:dyDescent="0.25">
      <c r="A2674" s="71">
        <v>4</v>
      </c>
      <c r="B2674" s="72">
        <f t="shared" si="1013"/>
        <v>45748</v>
      </c>
      <c r="C2674" s="73">
        <f t="shared" si="994"/>
        <v>45777</v>
      </c>
      <c r="D2674" s="67">
        <f t="shared" si="995"/>
        <v>30</v>
      </c>
      <c r="E2674" s="67">
        <f t="shared" si="996"/>
        <v>4</v>
      </c>
      <c r="F2674" s="74">
        <f t="shared" si="997"/>
        <v>45763</v>
      </c>
      <c r="G2674" s="67">
        <f t="shared" si="998"/>
        <v>24303</v>
      </c>
      <c r="H2674" s="75">
        <f t="shared" si="999"/>
        <v>1</v>
      </c>
      <c r="I2674" s="76">
        <f t="shared" si="1000"/>
        <v>1</v>
      </c>
      <c r="J2674" s="76">
        <f t="shared" si="1001"/>
        <v>1</v>
      </c>
      <c r="K2674" s="67">
        <f t="shared" si="1002"/>
        <v>0</v>
      </c>
      <c r="L2674" s="67">
        <f t="shared" si="1003"/>
        <v>0</v>
      </c>
      <c r="M2674" s="77">
        <f t="shared" si="1004"/>
        <v>0</v>
      </c>
      <c r="N2674" s="76">
        <f t="shared" si="1005"/>
        <v>1</v>
      </c>
      <c r="O2674" s="77">
        <f t="shared" si="1006"/>
        <v>0.89833698030634579</v>
      </c>
      <c r="P2674" s="76">
        <f t="shared" si="1007"/>
        <v>0</v>
      </c>
      <c r="Q2674" s="76">
        <f t="shared" si="1008"/>
        <v>0</v>
      </c>
      <c r="R2674" s="76">
        <f t="shared" si="1009"/>
        <v>0</v>
      </c>
      <c r="S2674" s="76">
        <f t="shared" si="1010"/>
        <v>0.97645323946341933</v>
      </c>
      <c r="T2674" s="76">
        <f t="shared" si="1011"/>
        <v>0.97645323946341933</v>
      </c>
      <c r="U2674" s="76">
        <f t="shared" si="1012"/>
        <v>1</v>
      </c>
    </row>
    <row r="2675" spans="1:21" x14ac:dyDescent="0.25">
      <c r="A2675" s="71">
        <v>5</v>
      </c>
      <c r="B2675" s="72">
        <f t="shared" si="1013"/>
        <v>45778</v>
      </c>
      <c r="C2675" s="73">
        <f t="shared" si="994"/>
        <v>45808</v>
      </c>
      <c r="D2675" s="67">
        <f t="shared" si="995"/>
        <v>31</v>
      </c>
      <c r="E2675" s="67">
        <f t="shared" si="996"/>
        <v>5</v>
      </c>
      <c r="F2675" s="74">
        <f t="shared" si="997"/>
        <v>45793.5</v>
      </c>
      <c r="G2675" s="67">
        <f t="shared" si="998"/>
        <v>24304</v>
      </c>
      <c r="H2675" s="75">
        <f t="shared" si="999"/>
        <v>1</v>
      </c>
      <c r="I2675" s="76">
        <f t="shared" si="1000"/>
        <v>1</v>
      </c>
      <c r="J2675" s="76">
        <f t="shared" si="1001"/>
        <v>1</v>
      </c>
      <c r="K2675" s="67">
        <f t="shared" si="1002"/>
        <v>0</v>
      </c>
      <c r="L2675" s="67">
        <f t="shared" si="1003"/>
        <v>0</v>
      </c>
      <c r="M2675" s="77">
        <f t="shared" si="1004"/>
        <v>0</v>
      </c>
      <c r="N2675" s="76">
        <f t="shared" si="1005"/>
        <v>1</v>
      </c>
      <c r="O2675" s="77">
        <f t="shared" si="1006"/>
        <v>0.89900437636761499</v>
      </c>
      <c r="P2675" s="76">
        <f t="shared" si="1007"/>
        <v>0</v>
      </c>
      <c r="Q2675" s="76">
        <f t="shared" si="1008"/>
        <v>0</v>
      </c>
      <c r="R2675" s="76">
        <f t="shared" si="1009"/>
        <v>0</v>
      </c>
      <c r="S2675" s="76">
        <f t="shared" si="1010"/>
        <v>0.97717866996479885</v>
      </c>
      <c r="T2675" s="76">
        <f t="shared" si="1011"/>
        <v>0.97717866996479885</v>
      </c>
      <c r="U2675" s="76">
        <f t="shared" si="1012"/>
        <v>1</v>
      </c>
    </row>
    <row r="2676" spans="1:21" x14ac:dyDescent="0.25">
      <c r="A2676" s="71">
        <v>6</v>
      </c>
      <c r="B2676" s="72">
        <f t="shared" si="1013"/>
        <v>45809</v>
      </c>
      <c r="C2676" s="73">
        <f t="shared" si="994"/>
        <v>45838</v>
      </c>
      <c r="D2676" s="67">
        <f t="shared" si="995"/>
        <v>30</v>
      </c>
      <c r="E2676" s="67">
        <f t="shared" si="996"/>
        <v>6</v>
      </c>
      <c r="F2676" s="74">
        <f t="shared" si="997"/>
        <v>45824</v>
      </c>
      <c r="G2676" s="67">
        <f t="shared" si="998"/>
        <v>24305</v>
      </c>
      <c r="H2676" s="75">
        <f t="shared" si="999"/>
        <v>1</v>
      </c>
      <c r="I2676" s="76">
        <f t="shared" si="1000"/>
        <v>1</v>
      </c>
      <c r="J2676" s="76">
        <f t="shared" si="1001"/>
        <v>1</v>
      </c>
      <c r="K2676" s="67">
        <f t="shared" si="1002"/>
        <v>0</v>
      </c>
      <c r="L2676" s="67">
        <f t="shared" si="1003"/>
        <v>0</v>
      </c>
      <c r="M2676" s="77">
        <f t="shared" si="1004"/>
        <v>0</v>
      </c>
      <c r="N2676" s="76">
        <f t="shared" si="1005"/>
        <v>1</v>
      </c>
      <c r="O2676" s="77">
        <f t="shared" si="1006"/>
        <v>0.89967177242888408</v>
      </c>
      <c r="P2676" s="76">
        <f t="shared" si="1007"/>
        <v>0</v>
      </c>
      <c r="Q2676" s="76">
        <f t="shared" si="1008"/>
        <v>0</v>
      </c>
      <c r="R2676" s="76">
        <f t="shared" si="1009"/>
        <v>0</v>
      </c>
      <c r="S2676" s="76">
        <f t="shared" si="1010"/>
        <v>0.97790410046617826</v>
      </c>
      <c r="T2676" s="76">
        <f t="shared" si="1011"/>
        <v>0.97790410046617826</v>
      </c>
      <c r="U2676" s="76">
        <f t="shared" si="1012"/>
        <v>1</v>
      </c>
    </row>
    <row r="2677" spans="1:21" x14ac:dyDescent="0.25">
      <c r="A2677" s="71">
        <v>7</v>
      </c>
      <c r="B2677" s="72">
        <f t="shared" si="1013"/>
        <v>45839</v>
      </c>
      <c r="C2677" s="73">
        <f t="shared" si="994"/>
        <v>45869</v>
      </c>
      <c r="D2677" s="67">
        <f t="shared" si="995"/>
        <v>31</v>
      </c>
      <c r="E2677" s="67">
        <f t="shared" si="996"/>
        <v>7</v>
      </c>
      <c r="F2677" s="74">
        <f t="shared" si="997"/>
        <v>45854.5</v>
      </c>
      <c r="G2677" s="67">
        <f t="shared" si="998"/>
        <v>24306</v>
      </c>
      <c r="H2677" s="75">
        <f t="shared" si="999"/>
        <v>1</v>
      </c>
      <c r="I2677" s="76">
        <f t="shared" si="1000"/>
        <v>1</v>
      </c>
      <c r="J2677" s="76">
        <f t="shared" si="1001"/>
        <v>1</v>
      </c>
      <c r="K2677" s="67">
        <f t="shared" si="1002"/>
        <v>0</v>
      </c>
      <c r="L2677" s="67">
        <f t="shared" si="1003"/>
        <v>0</v>
      </c>
      <c r="M2677" s="77">
        <f t="shared" si="1004"/>
        <v>0</v>
      </c>
      <c r="N2677" s="76">
        <f t="shared" si="1005"/>
        <v>1</v>
      </c>
      <c r="O2677" s="77">
        <f t="shared" si="1006"/>
        <v>0.90033916849015327</v>
      </c>
      <c r="P2677" s="76">
        <f t="shared" si="1007"/>
        <v>8.333333333333337E-2</v>
      </c>
      <c r="Q2677" s="76">
        <f t="shared" si="1008"/>
        <v>0</v>
      </c>
      <c r="R2677" s="76">
        <f t="shared" si="1009"/>
        <v>0</v>
      </c>
      <c r="S2677" s="76">
        <f t="shared" si="1010"/>
        <v>0.97862953096755789</v>
      </c>
      <c r="T2677" s="76">
        <f t="shared" si="1011"/>
        <v>0.97862953096755789</v>
      </c>
      <c r="U2677" s="76">
        <f t="shared" si="1012"/>
        <v>1</v>
      </c>
    </row>
    <row r="2678" spans="1:21" x14ac:dyDescent="0.25">
      <c r="A2678" s="71">
        <v>8</v>
      </c>
      <c r="B2678" s="72">
        <f t="shared" si="1013"/>
        <v>45870</v>
      </c>
      <c r="C2678" s="73">
        <f t="shared" si="994"/>
        <v>45900</v>
      </c>
      <c r="D2678" s="67">
        <f t="shared" si="995"/>
        <v>31</v>
      </c>
      <c r="E2678" s="67">
        <f t="shared" si="996"/>
        <v>8</v>
      </c>
      <c r="F2678" s="74">
        <f t="shared" si="997"/>
        <v>45885.5</v>
      </c>
      <c r="G2678" s="67">
        <f t="shared" si="998"/>
        <v>24307</v>
      </c>
      <c r="H2678" s="75">
        <f t="shared" si="999"/>
        <v>1</v>
      </c>
      <c r="I2678" s="76">
        <f t="shared" si="1000"/>
        <v>1</v>
      </c>
      <c r="J2678" s="76">
        <f t="shared" si="1001"/>
        <v>1</v>
      </c>
      <c r="K2678" s="67">
        <f t="shared" si="1002"/>
        <v>0</v>
      </c>
      <c r="L2678" s="67">
        <f t="shared" si="1003"/>
        <v>0</v>
      </c>
      <c r="M2678" s="77">
        <f t="shared" si="1004"/>
        <v>0</v>
      </c>
      <c r="N2678" s="76">
        <f t="shared" si="1005"/>
        <v>1</v>
      </c>
      <c r="O2678" s="77">
        <f t="shared" si="1006"/>
        <v>0.90101750547045956</v>
      </c>
      <c r="P2678" s="76">
        <f t="shared" si="1007"/>
        <v>0.25</v>
      </c>
      <c r="Q2678" s="76">
        <f t="shared" si="1008"/>
        <v>0</v>
      </c>
      <c r="R2678" s="76">
        <f t="shared" si="1009"/>
        <v>0</v>
      </c>
      <c r="S2678" s="76">
        <f t="shared" si="1010"/>
        <v>0.97936685377223864</v>
      </c>
      <c r="T2678" s="76">
        <f t="shared" si="1011"/>
        <v>0.97936685377223864</v>
      </c>
      <c r="U2678" s="76">
        <f t="shared" si="1012"/>
        <v>1</v>
      </c>
    </row>
    <row r="2679" spans="1:21" x14ac:dyDescent="0.25">
      <c r="A2679" s="71">
        <v>9</v>
      </c>
      <c r="B2679" s="72">
        <f t="shared" si="1013"/>
        <v>45901</v>
      </c>
      <c r="C2679" s="73">
        <f t="shared" si="994"/>
        <v>45930</v>
      </c>
      <c r="D2679" s="67">
        <f t="shared" si="995"/>
        <v>30</v>
      </c>
      <c r="E2679" s="67">
        <f t="shared" si="996"/>
        <v>9</v>
      </c>
      <c r="F2679" s="74">
        <f t="shared" si="997"/>
        <v>45916</v>
      </c>
      <c r="G2679" s="67">
        <f t="shared" si="998"/>
        <v>24308</v>
      </c>
      <c r="H2679" s="75">
        <f t="shared" si="999"/>
        <v>1</v>
      </c>
      <c r="I2679" s="76">
        <f t="shared" si="1000"/>
        <v>1</v>
      </c>
      <c r="J2679" s="76">
        <f t="shared" si="1001"/>
        <v>1</v>
      </c>
      <c r="K2679" s="67">
        <f t="shared" si="1002"/>
        <v>0</v>
      </c>
      <c r="L2679" s="67">
        <f t="shared" si="1003"/>
        <v>0</v>
      </c>
      <c r="M2679" s="77">
        <f t="shared" si="1004"/>
        <v>0</v>
      </c>
      <c r="N2679" s="76">
        <f t="shared" si="1005"/>
        <v>1</v>
      </c>
      <c r="O2679" s="77">
        <f t="shared" si="1006"/>
        <v>0.90168490153172876</v>
      </c>
      <c r="P2679" s="76">
        <f t="shared" si="1007"/>
        <v>0.41666666666666663</v>
      </c>
      <c r="Q2679" s="76">
        <f t="shared" si="1008"/>
        <v>0</v>
      </c>
      <c r="R2679" s="76">
        <f t="shared" si="1009"/>
        <v>0</v>
      </c>
      <c r="S2679" s="76">
        <f t="shared" si="1010"/>
        <v>0.98009228427361816</v>
      </c>
      <c r="T2679" s="76">
        <f t="shared" si="1011"/>
        <v>0.98009228427361816</v>
      </c>
      <c r="U2679" s="76">
        <f t="shared" si="1012"/>
        <v>1</v>
      </c>
    </row>
    <row r="2680" spans="1:21" x14ac:dyDescent="0.25">
      <c r="A2680" s="71">
        <v>10</v>
      </c>
      <c r="B2680" s="72">
        <f t="shared" si="1013"/>
        <v>45931</v>
      </c>
      <c r="C2680" s="73">
        <f t="shared" si="994"/>
        <v>45961</v>
      </c>
      <c r="D2680" s="67">
        <f t="shared" si="995"/>
        <v>31</v>
      </c>
      <c r="E2680" s="67">
        <f t="shared" si="996"/>
        <v>10</v>
      </c>
      <c r="F2680" s="74">
        <f t="shared" si="997"/>
        <v>45946.5</v>
      </c>
      <c r="G2680" s="67">
        <f t="shared" si="998"/>
        <v>24309</v>
      </c>
      <c r="H2680" s="75">
        <f t="shared" si="999"/>
        <v>1</v>
      </c>
      <c r="I2680" s="76">
        <f t="shared" si="1000"/>
        <v>1</v>
      </c>
      <c r="J2680" s="76">
        <f t="shared" si="1001"/>
        <v>1</v>
      </c>
      <c r="K2680" s="67">
        <f t="shared" si="1002"/>
        <v>0</v>
      </c>
      <c r="L2680" s="67">
        <f t="shared" si="1003"/>
        <v>0</v>
      </c>
      <c r="M2680" s="77">
        <f t="shared" si="1004"/>
        <v>0</v>
      </c>
      <c r="N2680" s="76">
        <f t="shared" si="1005"/>
        <v>1</v>
      </c>
      <c r="O2680" s="77">
        <f t="shared" si="1006"/>
        <v>0.90235229759299784</v>
      </c>
      <c r="P2680" s="76">
        <f t="shared" si="1007"/>
        <v>0.58333333333333326</v>
      </c>
      <c r="Q2680" s="76">
        <f t="shared" si="1008"/>
        <v>0</v>
      </c>
      <c r="R2680" s="76">
        <f t="shared" si="1009"/>
        <v>0</v>
      </c>
      <c r="S2680" s="76">
        <f t="shared" si="1010"/>
        <v>0.98081771477499757</v>
      </c>
      <c r="T2680" s="76">
        <f t="shared" si="1011"/>
        <v>0.98081771477499757</v>
      </c>
      <c r="U2680" s="76">
        <f t="shared" si="1012"/>
        <v>1</v>
      </c>
    </row>
    <row r="2681" spans="1:21" x14ac:dyDescent="0.25">
      <c r="A2681" s="71">
        <v>11</v>
      </c>
      <c r="B2681" s="72">
        <f t="shared" si="1013"/>
        <v>45962</v>
      </c>
      <c r="C2681" s="73">
        <f t="shared" si="994"/>
        <v>45991</v>
      </c>
      <c r="D2681" s="67">
        <f t="shared" si="995"/>
        <v>30</v>
      </c>
      <c r="E2681" s="67">
        <f t="shared" si="996"/>
        <v>11</v>
      </c>
      <c r="F2681" s="74">
        <f t="shared" si="997"/>
        <v>45977</v>
      </c>
      <c r="G2681" s="67">
        <f t="shared" si="998"/>
        <v>24310</v>
      </c>
      <c r="H2681" s="75">
        <f t="shared" si="999"/>
        <v>1</v>
      </c>
      <c r="I2681" s="76">
        <f t="shared" si="1000"/>
        <v>1</v>
      </c>
      <c r="J2681" s="76">
        <f t="shared" si="1001"/>
        <v>1</v>
      </c>
      <c r="K2681" s="67">
        <f t="shared" si="1002"/>
        <v>0</v>
      </c>
      <c r="L2681" s="67">
        <f t="shared" si="1003"/>
        <v>0</v>
      </c>
      <c r="M2681" s="77">
        <f t="shared" si="1004"/>
        <v>0</v>
      </c>
      <c r="N2681" s="76">
        <f t="shared" si="1005"/>
        <v>1</v>
      </c>
      <c r="O2681" s="77">
        <f t="shared" si="1006"/>
        <v>0.90301969365426704</v>
      </c>
      <c r="P2681" s="76">
        <f t="shared" si="1007"/>
        <v>0.75</v>
      </c>
      <c r="Q2681" s="76">
        <f t="shared" si="1008"/>
        <v>0</v>
      </c>
      <c r="R2681" s="76">
        <f t="shared" si="1009"/>
        <v>0</v>
      </c>
      <c r="S2681" s="76">
        <f t="shared" si="1010"/>
        <v>0.9815431452763772</v>
      </c>
      <c r="T2681" s="76">
        <f t="shared" si="1011"/>
        <v>0.9815431452763772</v>
      </c>
      <c r="U2681" s="76">
        <f t="shared" si="1012"/>
        <v>1</v>
      </c>
    </row>
    <row r="2682" spans="1:21" x14ac:dyDescent="0.25">
      <c r="A2682" s="71">
        <v>12</v>
      </c>
      <c r="B2682" s="72">
        <f t="shared" si="1013"/>
        <v>45992</v>
      </c>
      <c r="C2682" s="73">
        <f t="shared" si="994"/>
        <v>46022</v>
      </c>
      <c r="D2682" s="67">
        <f t="shared" si="995"/>
        <v>31</v>
      </c>
      <c r="E2682" s="67">
        <f t="shared" si="996"/>
        <v>12</v>
      </c>
      <c r="F2682" s="74">
        <f t="shared" si="997"/>
        <v>46007.5</v>
      </c>
      <c r="G2682" s="67">
        <f t="shared" si="998"/>
        <v>24311</v>
      </c>
      <c r="H2682" s="75">
        <f t="shared" si="999"/>
        <v>1</v>
      </c>
      <c r="I2682" s="76">
        <f t="shared" si="1000"/>
        <v>1</v>
      </c>
      <c r="J2682" s="76">
        <f t="shared" si="1001"/>
        <v>1</v>
      </c>
      <c r="K2682" s="67">
        <f t="shared" si="1002"/>
        <v>0</v>
      </c>
      <c r="L2682" s="67">
        <f t="shared" si="1003"/>
        <v>0</v>
      </c>
      <c r="M2682" s="77">
        <f t="shared" si="1004"/>
        <v>0</v>
      </c>
      <c r="N2682" s="76">
        <f t="shared" si="1005"/>
        <v>1</v>
      </c>
      <c r="O2682" s="77">
        <f t="shared" si="1006"/>
        <v>0.90368708971553613</v>
      </c>
      <c r="P2682" s="76">
        <f t="shared" si="1007"/>
        <v>0.91666666666666663</v>
      </c>
      <c r="Q2682" s="76">
        <f t="shared" si="1008"/>
        <v>0</v>
      </c>
      <c r="R2682" s="76">
        <f t="shared" si="1009"/>
        <v>0</v>
      </c>
      <c r="S2682" s="76">
        <f t="shared" si="1010"/>
        <v>0.98226857577775661</v>
      </c>
      <c r="T2682" s="76">
        <f t="shared" si="1011"/>
        <v>0.98226857577775661</v>
      </c>
      <c r="U2682" s="76">
        <f t="shared" si="1012"/>
        <v>1</v>
      </c>
    </row>
    <row r="2683" spans="1:21" x14ac:dyDescent="0.25">
      <c r="A2683" s="71">
        <v>13</v>
      </c>
      <c r="B2683" s="72">
        <f t="shared" si="1013"/>
        <v>46023</v>
      </c>
      <c r="C2683" s="73">
        <f t="shared" si="994"/>
        <v>46053</v>
      </c>
      <c r="D2683" s="67">
        <f t="shared" si="995"/>
        <v>31</v>
      </c>
      <c r="E2683" s="67">
        <f t="shared" si="996"/>
        <v>1</v>
      </c>
      <c r="F2683" s="74">
        <f t="shared" si="997"/>
        <v>46038.5</v>
      </c>
      <c r="G2683" s="67">
        <f t="shared" si="998"/>
        <v>24312</v>
      </c>
      <c r="H2683" s="75">
        <f t="shared" si="999"/>
        <v>1</v>
      </c>
      <c r="I2683" s="76">
        <f t="shared" si="1000"/>
        <v>1</v>
      </c>
      <c r="J2683" s="76">
        <f t="shared" si="1001"/>
        <v>1</v>
      </c>
      <c r="K2683" s="67">
        <f t="shared" si="1002"/>
        <v>0</v>
      </c>
      <c r="L2683" s="67">
        <f t="shared" si="1003"/>
        <v>0</v>
      </c>
      <c r="M2683" s="77">
        <f t="shared" si="1004"/>
        <v>0</v>
      </c>
      <c r="N2683" s="76">
        <f t="shared" si="1005"/>
        <v>1</v>
      </c>
      <c r="O2683" s="77">
        <f t="shared" si="1006"/>
        <v>0.90436542669584252</v>
      </c>
      <c r="P2683" s="76">
        <f t="shared" si="1007"/>
        <v>1</v>
      </c>
      <c r="Q2683" s="76">
        <f t="shared" si="1008"/>
        <v>0</v>
      </c>
      <c r="R2683" s="76">
        <f t="shared" si="1009"/>
        <v>0</v>
      </c>
      <c r="S2683" s="76">
        <f t="shared" si="1010"/>
        <v>0.98300589858243748</v>
      </c>
      <c r="T2683" s="76">
        <f t="shared" si="1011"/>
        <v>0.98300589858243748</v>
      </c>
      <c r="U2683" s="76">
        <f t="shared" si="1012"/>
        <v>1</v>
      </c>
    </row>
    <row r="2684" spans="1:21" x14ac:dyDescent="0.25">
      <c r="A2684" s="71">
        <v>14</v>
      </c>
      <c r="B2684" s="72">
        <f t="shared" si="1013"/>
        <v>46054</v>
      </c>
      <c r="C2684" s="73">
        <f t="shared" si="994"/>
        <v>46081</v>
      </c>
      <c r="D2684" s="67">
        <f t="shared" si="995"/>
        <v>28</v>
      </c>
      <c r="E2684" s="67">
        <f t="shared" si="996"/>
        <v>2</v>
      </c>
      <c r="F2684" s="74">
        <f t="shared" si="997"/>
        <v>46068</v>
      </c>
      <c r="G2684" s="67">
        <f t="shared" si="998"/>
        <v>24313</v>
      </c>
      <c r="H2684" s="75">
        <f t="shared" si="999"/>
        <v>1</v>
      </c>
      <c r="I2684" s="76">
        <f t="shared" si="1000"/>
        <v>1</v>
      </c>
      <c r="J2684" s="76">
        <f t="shared" si="1001"/>
        <v>1</v>
      </c>
      <c r="K2684" s="67">
        <f t="shared" si="1002"/>
        <v>0</v>
      </c>
      <c r="L2684" s="67">
        <f t="shared" si="1003"/>
        <v>0</v>
      </c>
      <c r="M2684" s="77">
        <f t="shared" si="1004"/>
        <v>0</v>
      </c>
      <c r="N2684" s="76">
        <f t="shared" si="1005"/>
        <v>1</v>
      </c>
      <c r="O2684" s="77">
        <f t="shared" si="1006"/>
        <v>0.90501094091903722</v>
      </c>
      <c r="P2684" s="76">
        <f t="shared" si="1007"/>
        <v>1</v>
      </c>
      <c r="Q2684" s="76">
        <f t="shared" si="1008"/>
        <v>0</v>
      </c>
      <c r="R2684" s="76">
        <f t="shared" si="1009"/>
        <v>0</v>
      </c>
      <c r="S2684" s="76">
        <f t="shared" si="1010"/>
        <v>0.98370754447721431</v>
      </c>
      <c r="T2684" s="76">
        <f t="shared" si="1011"/>
        <v>0.98370754447721431</v>
      </c>
      <c r="U2684" s="76">
        <f t="shared" si="1012"/>
        <v>1</v>
      </c>
    </row>
    <row r="2685" spans="1:21" x14ac:dyDescent="0.25">
      <c r="A2685" s="71">
        <v>15</v>
      </c>
      <c r="B2685" s="72">
        <f t="shared" si="1013"/>
        <v>46082</v>
      </c>
      <c r="C2685" s="73">
        <f t="shared" si="994"/>
        <v>46112</v>
      </c>
      <c r="D2685" s="67">
        <f t="shared" si="995"/>
        <v>31</v>
      </c>
      <c r="E2685" s="67">
        <f t="shared" si="996"/>
        <v>3</v>
      </c>
      <c r="F2685" s="74">
        <f t="shared" si="997"/>
        <v>46097.5</v>
      </c>
      <c r="G2685" s="67">
        <f t="shared" si="998"/>
        <v>24314</v>
      </c>
      <c r="H2685" s="75">
        <f t="shared" si="999"/>
        <v>1</v>
      </c>
      <c r="I2685" s="76">
        <f t="shared" si="1000"/>
        <v>1</v>
      </c>
      <c r="J2685" s="76">
        <f t="shared" si="1001"/>
        <v>1</v>
      </c>
      <c r="K2685" s="67">
        <f t="shared" si="1002"/>
        <v>0</v>
      </c>
      <c r="L2685" s="67">
        <f t="shared" si="1003"/>
        <v>0</v>
      </c>
      <c r="M2685" s="77">
        <f t="shared" si="1004"/>
        <v>0</v>
      </c>
      <c r="N2685" s="76">
        <f t="shared" si="1005"/>
        <v>1</v>
      </c>
      <c r="O2685" s="77">
        <f t="shared" si="1006"/>
        <v>0.90565645514223203</v>
      </c>
      <c r="P2685" s="76">
        <f t="shared" si="1007"/>
        <v>1</v>
      </c>
      <c r="Q2685" s="76">
        <f t="shared" si="1008"/>
        <v>0</v>
      </c>
      <c r="R2685" s="76">
        <f t="shared" si="1009"/>
        <v>0</v>
      </c>
      <c r="S2685" s="76">
        <f t="shared" si="1010"/>
        <v>0.98440919037199126</v>
      </c>
      <c r="T2685" s="76">
        <f t="shared" si="1011"/>
        <v>0.98440919037199126</v>
      </c>
      <c r="U2685" s="76">
        <f t="shared" si="1012"/>
        <v>1</v>
      </c>
    </row>
    <row r="2686" spans="1:21" x14ac:dyDescent="0.25">
      <c r="A2686" s="71">
        <v>16</v>
      </c>
      <c r="B2686" s="72">
        <f t="shared" si="1013"/>
        <v>46113</v>
      </c>
      <c r="C2686" s="73">
        <f t="shared" si="994"/>
        <v>46142</v>
      </c>
      <c r="D2686" s="67">
        <f t="shared" si="995"/>
        <v>30</v>
      </c>
      <c r="E2686" s="67">
        <f t="shared" si="996"/>
        <v>4</v>
      </c>
      <c r="F2686" s="74">
        <f t="shared" si="997"/>
        <v>46128</v>
      </c>
      <c r="G2686" s="67">
        <f t="shared" si="998"/>
        <v>24315</v>
      </c>
      <c r="H2686" s="75">
        <f t="shared" si="999"/>
        <v>1</v>
      </c>
      <c r="I2686" s="76">
        <f t="shared" si="1000"/>
        <v>1</v>
      </c>
      <c r="J2686" s="76">
        <f t="shared" si="1001"/>
        <v>1</v>
      </c>
      <c r="K2686" s="67">
        <f t="shared" si="1002"/>
        <v>0</v>
      </c>
      <c r="L2686" s="67">
        <f t="shared" si="1003"/>
        <v>0</v>
      </c>
      <c r="M2686" s="77">
        <f t="shared" si="1004"/>
        <v>0</v>
      </c>
      <c r="N2686" s="76">
        <f t="shared" si="1005"/>
        <v>1</v>
      </c>
      <c r="O2686" s="77">
        <f t="shared" si="1006"/>
        <v>0.90632385120350112</v>
      </c>
      <c r="P2686" s="76">
        <f t="shared" si="1007"/>
        <v>1</v>
      </c>
      <c r="Q2686" s="76">
        <f t="shared" si="1008"/>
        <v>0</v>
      </c>
      <c r="R2686" s="76">
        <f t="shared" si="1009"/>
        <v>0</v>
      </c>
      <c r="S2686" s="76">
        <f t="shared" si="1010"/>
        <v>0.98513462087337078</v>
      </c>
      <c r="T2686" s="76">
        <f t="shared" si="1011"/>
        <v>0.98513462087337078</v>
      </c>
      <c r="U2686" s="76">
        <f t="shared" si="1012"/>
        <v>1</v>
      </c>
    </row>
    <row r="2687" spans="1:21" x14ac:dyDescent="0.25">
      <c r="A2687" s="71">
        <v>17</v>
      </c>
      <c r="B2687" s="72">
        <f t="shared" si="1013"/>
        <v>46143</v>
      </c>
      <c r="C2687" s="73">
        <f t="shared" si="994"/>
        <v>46173</v>
      </c>
      <c r="D2687" s="67">
        <f t="shared" si="995"/>
        <v>31</v>
      </c>
      <c r="E2687" s="67">
        <f t="shared" si="996"/>
        <v>5</v>
      </c>
      <c r="F2687" s="74">
        <f t="shared" si="997"/>
        <v>46158.5</v>
      </c>
      <c r="G2687" s="67">
        <f t="shared" si="998"/>
        <v>24316</v>
      </c>
      <c r="H2687" s="75">
        <f t="shared" si="999"/>
        <v>1</v>
      </c>
      <c r="I2687" s="76">
        <f t="shared" si="1000"/>
        <v>1</v>
      </c>
      <c r="J2687" s="76">
        <f t="shared" si="1001"/>
        <v>1</v>
      </c>
      <c r="K2687" s="67">
        <f t="shared" si="1002"/>
        <v>0</v>
      </c>
      <c r="L2687" s="67">
        <f t="shared" si="1003"/>
        <v>0</v>
      </c>
      <c r="M2687" s="77">
        <f t="shared" si="1004"/>
        <v>0</v>
      </c>
      <c r="N2687" s="76">
        <f t="shared" si="1005"/>
        <v>1</v>
      </c>
      <c r="O2687" s="77">
        <f t="shared" si="1006"/>
        <v>0.90699124726477032</v>
      </c>
      <c r="P2687" s="76">
        <f t="shared" si="1007"/>
        <v>1</v>
      </c>
      <c r="Q2687" s="76">
        <f t="shared" si="1008"/>
        <v>0</v>
      </c>
      <c r="R2687" s="76">
        <f t="shared" si="1009"/>
        <v>0</v>
      </c>
      <c r="S2687" s="76">
        <f t="shared" si="1010"/>
        <v>0.9858600513747503</v>
      </c>
      <c r="T2687" s="76">
        <f t="shared" si="1011"/>
        <v>0.9858600513747503</v>
      </c>
      <c r="U2687" s="76">
        <f t="shared" si="1012"/>
        <v>1</v>
      </c>
    </row>
    <row r="2688" spans="1:21" x14ac:dyDescent="0.25">
      <c r="A2688" s="71">
        <v>18</v>
      </c>
      <c r="B2688" s="72">
        <f t="shared" si="1013"/>
        <v>46174</v>
      </c>
      <c r="C2688" s="73">
        <f t="shared" si="994"/>
        <v>46203</v>
      </c>
      <c r="D2688" s="67">
        <f t="shared" si="995"/>
        <v>30</v>
      </c>
      <c r="E2688" s="67">
        <f t="shared" si="996"/>
        <v>6</v>
      </c>
      <c r="F2688" s="74">
        <f t="shared" si="997"/>
        <v>46189</v>
      </c>
      <c r="G2688" s="67">
        <f t="shared" si="998"/>
        <v>24317</v>
      </c>
      <c r="H2688" s="75">
        <f t="shared" si="999"/>
        <v>1</v>
      </c>
      <c r="I2688" s="76">
        <f t="shared" si="1000"/>
        <v>1</v>
      </c>
      <c r="J2688" s="76">
        <f t="shared" si="1001"/>
        <v>1</v>
      </c>
      <c r="K2688" s="67">
        <f t="shared" si="1002"/>
        <v>0</v>
      </c>
      <c r="L2688" s="67">
        <f t="shared" si="1003"/>
        <v>0</v>
      </c>
      <c r="M2688" s="77">
        <f t="shared" si="1004"/>
        <v>0</v>
      </c>
      <c r="N2688" s="76">
        <f t="shared" si="1005"/>
        <v>1</v>
      </c>
      <c r="O2688" s="77">
        <f t="shared" si="1006"/>
        <v>0.9076586433260394</v>
      </c>
      <c r="P2688" s="76">
        <f t="shared" si="1007"/>
        <v>1</v>
      </c>
      <c r="Q2688" s="76">
        <f t="shared" si="1008"/>
        <v>0</v>
      </c>
      <c r="R2688" s="76">
        <f t="shared" si="1009"/>
        <v>0</v>
      </c>
      <c r="S2688" s="76">
        <f t="shared" si="1010"/>
        <v>0.98658548187612971</v>
      </c>
      <c r="T2688" s="76">
        <f t="shared" si="1011"/>
        <v>0.98658548187612971</v>
      </c>
      <c r="U2688" s="76">
        <f t="shared" si="1012"/>
        <v>1</v>
      </c>
    </row>
    <row r="2689" spans="1:21" x14ac:dyDescent="0.25">
      <c r="A2689" s="71">
        <v>19</v>
      </c>
      <c r="B2689" s="72">
        <f t="shared" si="1013"/>
        <v>46204</v>
      </c>
      <c r="C2689" s="73">
        <f t="shared" si="994"/>
        <v>46234</v>
      </c>
      <c r="D2689" s="67">
        <f t="shared" si="995"/>
        <v>31</v>
      </c>
      <c r="E2689" s="67">
        <f t="shared" si="996"/>
        <v>7</v>
      </c>
      <c r="F2689" s="74">
        <f t="shared" si="997"/>
        <v>46219.5</v>
      </c>
      <c r="G2689" s="67">
        <f t="shared" si="998"/>
        <v>24318</v>
      </c>
      <c r="H2689" s="75">
        <f t="shared" si="999"/>
        <v>1</v>
      </c>
      <c r="I2689" s="76">
        <f t="shared" si="1000"/>
        <v>1</v>
      </c>
      <c r="J2689" s="76">
        <f t="shared" si="1001"/>
        <v>1.0649999999999999</v>
      </c>
      <c r="K2689" s="67">
        <f t="shared" si="1002"/>
        <v>1</v>
      </c>
      <c r="L2689" s="67">
        <f t="shared" si="1003"/>
        <v>31</v>
      </c>
      <c r="M2689" s="77">
        <f t="shared" si="1004"/>
        <v>1</v>
      </c>
      <c r="N2689" s="76">
        <f t="shared" si="1005"/>
        <v>1.0649999999999999</v>
      </c>
      <c r="O2689" s="77">
        <f t="shared" si="1006"/>
        <v>0.9083260393873086</v>
      </c>
      <c r="P2689" s="76">
        <f t="shared" si="1007"/>
        <v>0.91666666666666663</v>
      </c>
      <c r="Q2689" s="76">
        <f t="shared" si="1008"/>
        <v>8.333333333333337E-2</v>
      </c>
      <c r="R2689" s="76">
        <f t="shared" si="1009"/>
        <v>0</v>
      </c>
      <c r="S2689" s="76">
        <f t="shared" si="1010"/>
        <v>1.0514861216820475</v>
      </c>
      <c r="T2689" s="76">
        <f t="shared" si="1011"/>
        <v>1.0514861216820475</v>
      </c>
      <c r="U2689" s="76">
        <f t="shared" si="1012"/>
        <v>1.0649999999999999</v>
      </c>
    </row>
    <row r="2690" spans="1:21" x14ac:dyDescent="0.25">
      <c r="A2690" s="71">
        <v>20</v>
      </c>
      <c r="B2690" s="72">
        <f t="shared" si="1013"/>
        <v>46235</v>
      </c>
      <c r="C2690" s="73">
        <f t="shared" si="994"/>
        <v>46265</v>
      </c>
      <c r="D2690" s="67">
        <f t="shared" si="995"/>
        <v>31</v>
      </c>
      <c r="E2690" s="67">
        <f t="shared" si="996"/>
        <v>8</v>
      </c>
      <c r="F2690" s="74">
        <f t="shared" si="997"/>
        <v>46250.5</v>
      </c>
      <c r="G2690" s="67">
        <f t="shared" si="998"/>
        <v>24319</v>
      </c>
      <c r="H2690" s="75">
        <f t="shared" si="999"/>
        <v>1</v>
      </c>
      <c r="I2690" s="76">
        <f t="shared" si="1000"/>
        <v>1.0649999999999999</v>
      </c>
      <c r="J2690" s="76">
        <f t="shared" si="1001"/>
        <v>1.0649999999999999</v>
      </c>
      <c r="K2690" s="67">
        <f t="shared" si="1002"/>
        <v>0</v>
      </c>
      <c r="L2690" s="67">
        <f t="shared" si="1003"/>
        <v>0</v>
      </c>
      <c r="M2690" s="77">
        <f t="shared" si="1004"/>
        <v>0</v>
      </c>
      <c r="N2690" s="76">
        <f t="shared" si="1005"/>
        <v>1.0649999999999999</v>
      </c>
      <c r="O2690" s="77">
        <f t="shared" si="1006"/>
        <v>0.90900437636761489</v>
      </c>
      <c r="P2690" s="76">
        <f t="shared" si="1007"/>
        <v>0.75</v>
      </c>
      <c r="Q2690" s="76">
        <f t="shared" si="1008"/>
        <v>0.25</v>
      </c>
      <c r="R2690" s="76">
        <f t="shared" si="1009"/>
        <v>0</v>
      </c>
      <c r="S2690" s="76">
        <f t="shared" si="1010"/>
        <v>1.0522713704690323</v>
      </c>
      <c r="T2690" s="76">
        <f t="shared" si="1011"/>
        <v>1.0522713704690323</v>
      </c>
      <c r="U2690" s="76">
        <f t="shared" si="1012"/>
        <v>1.0649999999999999</v>
      </c>
    </row>
    <row r="2691" spans="1:21" x14ac:dyDescent="0.25">
      <c r="A2691" s="71">
        <v>21</v>
      </c>
      <c r="B2691" s="72">
        <f t="shared" si="1013"/>
        <v>46266</v>
      </c>
      <c r="C2691" s="73">
        <f t="shared" si="994"/>
        <v>46295</v>
      </c>
      <c r="D2691" s="67">
        <f t="shared" si="995"/>
        <v>30</v>
      </c>
      <c r="E2691" s="67">
        <f t="shared" si="996"/>
        <v>9</v>
      </c>
      <c r="F2691" s="74">
        <f t="shared" si="997"/>
        <v>46281</v>
      </c>
      <c r="G2691" s="67">
        <f t="shared" si="998"/>
        <v>24320</v>
      </c>
      <c r="H2691" s="75">
        <f t="shared" si="999"/>
        <v>1</v>
      </c>
      <c r="I2691" s="76">
        <f t="shared" si="1000"/>
        <v>1.0649999999999999</v>
      </c>
      <c r="J2691" s="76">
        <f t="shared" si="1001"/>
        <v>1.0649999999999999</v>
      </c>
      <c r="K2691" s="67">
        <f t="shared" si="1002"/>
        <v>0</v>
      </c>
      <c r="L2691" s="67">
        <f t="shared" si="1003"/>
        <v>0</v>
      </c>
      <c r="M2691" s="77">
        <f t="shared" si="1004"/>
        <v>0</v>
      </c>
      <c r="N2691" s="76">
        <f t="shared" si="1005"/>
        <v>1.0649999999999999</v>
      </c>
      <c r="O2691" s="77">
        <f t="shared" si="1006"/>
        <v>0.90967177242888408</v>
      </c>
      <c r="P2691" s="76">
        <f t="shared" si="1007"/>
        <v>0.58333333333333337</v>
      </c>
      <c r="Q2691" s="76">
        <f t="shared" si="1008"/>
        <v>0.41666666666666663</v>
      </c>
      <c r="R2691" s="76">
        <f t="shared" si="1009"/>
        <v>0</v>
      </c>
      <c r="S2691" s="76">
        <f t="shared" si="1010"/>
        <v>1.0530439539530017</v>
      </c>
      <c r="T2691" s="76">
        <f t="shared" si="1011"/>
        <v>1.0530439539530017</v>
      </c>
      <c r="U2691" s="76">
        <f t="shared" si="1012"/>
        <v>1.0649999999999999</v>
      </c>
    </row>
    <row r="2692" spans="1:21" x14ac:dyDescent="0.25">
      <c r="A2692" s="71">
        <v>22</v>
      </c>
      <c r="B2692" s="72">
        <f t="shared" si="1013"/>
        <v>46296</v>
      </c>
      <c r="C2692" s="73">
        <f t="shared" si="994"/>
        <v>46326</v>
      </c>
      <c r="D2692" s="67">
        <f t="shared" si="995"/>
        <v>31</v>
      </c>
      <c r="E2692" s="67">
        <f t="shared" si="996"/>
        <v>10</v>
      </c>
      <c r="F2692" s="74">
        <f t="shared" si="997"/>
        <v>46311.5</v>
      </c>
      <c r="G2692" s="67">
        <f t="shared" si="998"/>
        <v>24321</v>
      </c>
      <c r="H2692" s="75">
        <f t="shared" si="999"/>
        <v>1</v>
      </c>
      <c r="I2692" s="76">
        <f t="shared" si="1000"/>
        <v>1.0649999999999999</v>
      </c>
      <c r="J2692" s="76">
        <f t="shared" si="1001"/>
        <v>1.0649999999999999</v>
      </c>
      <c r="K2692" s="67">
        <f t="shared" si="1002"/>
        <v>0</v>
      </c>
      <c r="L2692" s="67">
        <f t="shared" si="1003"/>
        <v>0</v>
      </c>
      <c r="M2692" s="77">
        <f t="shared" si="1004"/>
        <v>0</v>
      </c>
      <c r="N2692" s="76">
        <f t="shared" si="1005"/>
        <v>1.0649999999999999</v>
      </c>
      <c r="O2692" s="77">
        <f t="shared" si="1006"/>
        <v>0.91033916849015317</v>
      </c>
      <c r="P2692" s="76">
        <f t="shared" si="1007"/>
        <v>0.41666666666666669</v>
      </c>
      <c r="Q2692" s="76">
        <f t="shared" si="1008"/>
        <v>0.58333333333333326</v>
      </c>
      <c r="R2692" s="76">
        <f t="shared" si="1009"/>
        <v>0</v>
      </c>
      <c r="S2692" s="76">
        <f t="shared" si="1010"/>
        <v>1.0538165374369706</v>
      </c>
      <c r="T2692" s="76">
        <f t="shared" si="1011"/>
        <v>1.0538165374369706</v>
      </c>
      <c r="U2692" s="76">
        <f t="shared" si="1012"/>
        <v>1.0649999999999999</v>
      </c>
    </row>
    <row r="2693" spans="1:21" x14ac:dyDescent="0.25">
      <c r="A2693" s="71">
        <v>23</v>
      </c>
      <c r="B2693" s="72">
        <f t="shared" si="1013"/>
        <v>46327</v>
      </c>
      <c r="C2693" s="73">
        <f t="shared" si="994"/>
        <v>46356</v>
      </c>
      <c r="D2693" s="67">
        <f t="shared" si="995"/>
        <v>30</v>
      </c>
      <c r="E2693" s="67">
        <f t="shared" si="996"/>
        <v>11</v>
      </c>
      <c r="F2693" s="74">
        <f t="shared" si="997"/>
        <v>46342</v>
      </c>
      <c r="G2693" s="67">
        <f t="shared" si="998"/>
        <v>24322</v>
      </c>
      <c r="H2693" s="75">
        <f t="shared" si="999"/>
        <v>1</v>
      </c>
      <c r="I2693" s="76">
        <f t="shared" si="1000"/>
        <v>1.0649999999999999</v>
      </c>
      <c r="J2693" s="76">
        <f t="shared" si="1001"/>
        <v>1.0649999999999999</v>
      </c>
      <c r="K2693" s="67">
        <f t="shared" si="1002"/>
        <v>0</v>
      </c>
      <c r="L2693" s="67">
        <f t="shared" si="1003"/>
        <v>0</v>
      </c>
      <c r="M2693" s="77">
        <f t="shared" si="1004"/>
        <v>0</v>
      </c>
      <c r="N2693" s="76">
        <f t="shared" si="1005"/>
        <v>1.0649999999999999</v>
      </c>
      <c r="O2693" s="77">
        <f t="shared" si="1006"/>
        <v>0.91100656455142237</v>
      </c>
      <c r="P2693" s="76">
        <f t="shared" si="1007"/>
        <v>0.25</v>
      </c>
      <c r="Q2693" s="76">
        <f t="shared" si="1008"/>
        <v>0.75</v>
      </c>
      <c r="R2693" s="76">
        <f t="shared" si="1009"/>
        <v>0</v>
      </c>
      <c r="S2693" s="76">
        <f t="shared" si="1010"/>
        <v>1.0545891209209399</v>
      </c>
      <c r="T2693" s="76">
        <f t="shared" si="1011"/>
        <v>1.0545891209209399</v>
      </c>
      <c r="U2693" s="76">
        <f t="shared" si="1012"/>
        <v>1.0649999999999999</v>
      </c>
    </row>
    <row r="2694" spans="1:21" x14ac:dyDescent="0.25">
      <c r="A2694" s="71">
        <v>24</v>
      </c>
      <c r="B2694" s="72">
        <f t="shared" si="1013"/>
        <v>46357</v>
      </c>
      <c r="C2694" s="73">
        <f t="shared" si="994"/>
        <v>46387</v>
      </c>
      <c r="D2694" s="67">
        <f t="shared" si="995"/>
        <v>31</v>
      </c>
      <c r="E2694" s="67">
        <f t="shared" si="996"/>
        <v>12</v>
      </c>
      <c r="F2694" s="74">
        <f t="shared" si="997"/>
        <v>46372.5</v>
      </c>
      <c r="G2694" s="67">
        <f t="shared" si="998"/>
        <v>24323</v>
      </c>
      <c r="H2694" s="75">
        <f t="shared" si="999"/>
        <v>1</v>
      </c>
      <c r="I2694" s="76">
        <f t="shared" si="1000"/>
        <v>1.0649999999999999</v>
      </c>
      <c r="J2694" s="76">
        <f t="shared" si="1001"/>
        <v>1.0649999999999999</v>
      </c>
      <c r="K2694" s="67">
        <f t="shared" si="1002"/>
        <v>0</v>
      </c>
      <c r="L2694" s="67">
        <f t="shared" si="1003"/>
        <v>0</v>
      </c>
      <c r="M2694" s="77">
        <f t="shared" si="1004"/>
        <v>0</v>
      </c>
      <c r="N2694" s="76">
        <f t="shared" si="1005"/>
        <v>1.0649999999999999</v>
      </c>
      <c r="O2694" s="77">
        <f t="shared" si="1006"/>
        <v>0.91167396061269146</v>
      </c>
      <c r="P2694" s="76">
        <f t="shared" si="1007"/>
        <v>8.3333333333333329E-2</v>
      </c>
      <c r="Q2694" s="76">
        <f t="shared" si="1008"/>
        <v>0.91666666666666663</v>
      </c>
      <c r="R2694" s="76">
        <f t="shared" si="1009"/>
        <v>0</v>
      </c>
      <c r="S2694" s="76">
        <f t="shared" si="1010"/>
        <v>1.0553617044049091</v>
      </c>
      <c r="T2694" s="76">
        <f t="shared" si="1011"/>
        <v>1.0553617044049091</v>
      </c>
      <c r="U2694" s="76">
        <f t="shared" si="1012"/>
        <v>1.0649999999999999</v>
      </c>
    </row>
    <row r="2695" spans="1:21" x14ac:dyDescent="0.25">
      <c r="A2695" s="71">
        <v>25</v>
      </c>
      <c r="B2695" s="72">
        <f t="shared" si="1013"/>
        <v>46388</v>
      </c>
      <c r="C2695" s="73">
        <f t="shared" si="994"/>
        <v>46418</v>
      </c>
      <c r="D2695" s="67">
        <f t="shared" si="995"/>
        <v>31</v>
      </c>
      <c r="E2695" s="67">
        <f t="shared" si="996"/>
        <v>1</v>
      </c>
      <c r="F2695" s="74">
        <f t="shared" si="997"/>
        <v>46403.5</v>
      </c>
      <c r="G2695" s="67">
        <f t="shared" si="998"/>
        <v>24324</v>
      </c>
      <c r="H2695" s="75">
        <f t="shared" si="999"/>
        <v>1</v>
      </c>
      <c r="I2695" s="76">
        <f t="shared" si="1000"/>
        <v>1.0649999999999999</v>
      </c>
      <c r="J2695" s="76">
        <f t="shared" si="1001"/>
        <v>1.0649999999999999</v>
      </c>
      <c r="K2695" s="67">
        <f t="shared" si="1002"/>
        <v>0</v>
      </c>
      <c r="L2695" s="67">
        <f t="shared" si="1003"/>
        <v>0</v>
      </c>
      <c r="M2695" s="77">
        <f t="shared" si="1004"/>
        <v>0</v>
      </c>
      <c r="N2695" s="76">
        <f t="shared" si="1005"/>
        <v>1.0649999999999999</v>
      </c>
      <c r="O2695" s="77">
        <f t="shared" si="1006"/>
        <v>0.91235229759299785</v>
      </c>
      <c r="P2695" s="76">
        <f t="shared" si="1007"/>
        <v>0</v>
      </c>
      <c r="Q2695" s="76">
        <f t="shared" si="1008"/>
        <v>1</v>
      </c>
      <c r="R2695" s="76">
        <f t="shared" si="1009"/>
        <v>0</v>
      </c>
      <c r="S2695" s="76">
        <f t="shared" si="1010"/>
        <v>1.0561469531918941</v>
      </c>
      <c r="T2695" s="76">
        <f t="shared" si="1011"/>
        <v>0.98300589858243748</v>
      </c>
      <c r="U2695" s="76">
        <f t="shared" si="1012"/>
        <v>1.0649999999999999</v>
      </c>
    </row>
    <row r="2696" spans="1:21" x14ac:dyDescent="0.25">
      <c r="A2696" s="71">
        <v>26</v>
      </c>
      <c r="B2696" s="72">
        <f t="shared" si="1013"/>
        <v>46419</v>
      </c>
      <c r="C2696" s="73">
        <f t="shared" si="994"/>
        <v>46446</v>
      </c>
      <c r="D2696" s="67">
        <f t="shared" si="995"/>
        <v>28</v>
      </c>
      <c r="E2696" s="67">
        <f t="shared" si="996"/>
        <v>2</v>
      </c>
      <c r="F2696" s="74">
        <f t="shared" si="997"/>
        <v>46433</v>
      </c>
      <c r="G2696" s="67">
        <f t="shared" si="998"/>
        <v>24325</v>
      </c>
      <c r="H2696" s="75">
        <f t="shared" si="999"/>
        <v>1</v>
      </c>
      <c r="I2696" s="76">
        <f t="shared" si="1000"/>
        <v>1.0649999999999999</v>
      </c>
      <c r="J2696" s="76">
        <f t="shared" si="1001"/>
        <v>1.0649999999999999</v>
      </c>
      <c r="K2696" s="67">
        <f t="shared" si="1002"/>
        <v>0</v>
      </c>
      <c r="L2696" s="67">
        <f t="shared" si="1003"/>
        <v>0</v>
      </c>
      <c r="M2696" s="77">
        <f t="shared" si="1004"/>
        <v>0</v>
      </c>
      <c r="N2696" s="76">
        <f t="shared" si="1005"/>
        <v>1.0649999999999999</v>
      </c>
      <c r="O2696" s="77">
        <f t="shared" si="1006"/>
        <v>0.91299781181619255</v>
      </c>
      <c r="P2696" s="76">
        <f t="shared" si="1007"/>
        <v>0</v>
      </c>
      <c r="Q2696" s="76">
        <f t="shared" si="1008"/>
        <v>1</v>
      </c>
      <c r="R2696" s="76">
        <f t="shared" si="1009"/>
        <v>0</v>
      </c>
      <c r="S2696" s="76">
        <f t="shared" si="1010"/>
        <v>1.0568942060698314</v>
      </c>
      <c r="T2696" s="76">
        <f t="shared" si="1011"/>
        <v>0.98370754447721431</v>
      </c>
      <c r="U2696" s="76">
        <f t="shared" si="1012"/>
        <v>1.0649999999999999</v>
      </c>
    </row>
    <row r="2697" spans="1:21" x14ac:dyDescent="0.25">
      <c r="A2697" s="71">
        <v>27</v>
      </c>
      <c r="B2697" s="72">
        <f t="shared" si="1013"/>
        <v>46447</v>
      </c>
      <c r="C2697" s="73">
        <f t="shared" si="994"/>
        <v>46477</v>
      </c>
      <c r="D2697" s="67">
        <f t="shared" si="995"/>
        <v>31</v>
      </c>
      <c r="E2697" s="67">
        <f t="shared" si="996"/>
        <v>3</v>
      </c>
      <c r="F2697" s="74">
        <f t="shared" si="997"/>
        <v>46462.5</v>
      </c>
      <c r="G2697" s="67">
        <f t="shared" si="998"/>
        <v>24326</v>
      </c>
      <c r="H2697" s="75">
        <f t="shared" si="999"/>
        <v>1</v>
      </c>
      <c r="I2697" s="76">
        <f t="shared" si="1000"/>
        <v>1.0649999999999999</v>
      </c>
      <c r="J2697" s="76">
        <f t="shared" si="1001"/>
        <v>1.0649999999999999</v>
      </c>
      <c r="K2697" s="67">
        <f t="shared" si="1002"/>
        <v>0</v>
      </c>
      <c r="L2697" s="67">
        <f t="shared" si="1003"/>
        <v>0</v>
      </c>
      <c r="M2697" s="77">
        <f t="shared" si="1004"/>
        <v>0</v>
      </c>
      <c r="N2697" s="76">
        <f t="shared" si="1005"/>
        <v>1.0649999999999999</v>
      </c>
      <c r="O2697" s="77">
        <f t="shared" si="1006"/>
        <v>0.91364332603938736</v>
      </c>
      <c r="P2697" s="76">
        <f t="shared" si="1007"/>
        <v>0</v>
      </c>
      <c r="Q2697" s="76">
        <f t="shared" si="1008"/>
        <v>1</v>
      </c>
      <c r="R2697" s="76">
        <f t="shared" si="1009"/>
        <v>0</v>
      </c>
      <c r="S2697" s="76">
        <f t="shared" si="1010"/>
        <v>1.057641458947769</v>
      </c>
      <c r="T2697" s="76">
        <f t="shared" si="1011"/>
        <v>0.98440919037199126</v>
      </c>
      <c r="U2697" s="76">
        <f t="shared" si="1012"/>
        <v>1.0649999999999999</v>
      </c>
    </row>
    <row r="2698" spans="1:21" x14ac:dyDescent="0.25">
      <c r="A2698" s="71">
        <v>28</v>
      </c>
      <c r="B2698" s="72">
        <f t="shared" si="1013"/>
        <v>46478</v>
      </c>
      <c r="C2698" s="73">
        <f t="shared" si="994"/>
        <v>46507</v>
      </c>
      <c r="D2698" s="67">
        <f t="shared" si="995"/>
        <v>30</v>
      </c>
      <c r="E2698" s="67">
        <f t="shared" si="996"/>
        <v>4</v>
      </c>
      <c r="F2698" s="74">
        <f t="shared" si="997"/>
        <v>46493</v>
      </c>
      <c r="G2698" s="67">
        <f t="shared" si="998"/>
        <v>24327</v>
      </c>
      <c r="H2698" s="75">
        <f t="shared" si="999"/>
        <v>1</v>
      </c>
      <c r="I2698" s="76">
        <f t="shared" si="1000"/>
        <v>1.0649999999999999</v>
      </c>
      <c r="J2698" s="76">
        <f t="shared" si="1001"/>
        <v>1.0649999999999999</v>
      </c>
      <c r="K2698" s="67">
        <f t="shared" si="1002"/>
        <v>0</v>
      </c>
      <c r="L2698" s="67">
        <f t="shared" si="1003"/>
        <v>0</v>
      </c>
      <c r="M2698" s="77">
        <f t="shared" si="1004"/>
        <v>0</v>
      </c>
      <c r="N2698" s="76">
        <f t="shared" si="1005"/>
        <v>1.0649999999999999</v>
      </c>
      <c r="O2698" s="77">
        <f t="shared" si="1006"/>
        <v>0.91431072210065645</v>
      </c>
      <c r="P2698" s="76">
        <f t="shared" si="1007"/>
        <v>0</v>
      </c>
      <c r="Q2698" s="76">
        <f t="shared" si="1008"/>
        <v>1</v>
      </c>
      <c r="R2698" s="76">
        <f t="shared" si="1009"/>
        <v>0</v>
      </c>
      <c r="S2698" s="76">
        <f t="shared" si="1010"/>
        <v>1.0584140424317381</v>
      </c>
      <c r="T2698" s="76">
        <f t="shared" si="1011"/>
        <v>0.98513462087337078</v>
      </c>
      <c r="U2698" s="76">
        <f t="shared" si="1012"/>
        <v>1.0649999999999999</v>
      </c>
    </row>
    <row r="2699" spans="1:21" x14ac:dyDescent="0.25">
      <c r="A2699" s="71">
        <v>29</v>
      </c>
      <c r="B2699" s="72">
        <f t="shared" si="1013"/>
        <v>46508</v>
      </c>
      <c r="C2699" s="73">
        <f t="shared" si="994"/>
        <v>46538</v>
      </c>
      <c r="D2699" s="67">
        <f t="shared" si="995"/>
        <v>31</v>
      </c>
      <c r="E2699" s="67">
        <f t="shared" si="996"/>
        <v>5</v>
      </c>
      <c r="F2699" s="74">
        <f t="shared" si="997"/>
        <v>46523.5</v>
      </c>
      <c r="G2699" s="67">
        <f t="shared" si="998"/>
        <v>24328</v>
      </c>
      <c r="H2699" s="75">
        <f t="shared" si="999"/>
        <v>1</v>
      </c>
      <c r="I2699" s="76">
        <f t="shared" si="1000"/>
        <v>1.0649999999999999</v>
      </c>
      <c r="J2699" s="76">
        <f t="shared" si="1001"/>
        <v>1.0649999999999999</v>
      </c>
      <c r="K2699" s="67">
        <f t="shared" si="1002"/>
        <v>0</v>
      </c>
      <c r="L2699" s="67">
        <f t="shared" si="1003"/>
        <v>0</v>
      </c>
      <c r="M2699" s="77">
        <f t="shared" si="1004"/>
        <v>0</v>
      </c>
      <c r="N2699" s="76">
        <f t="shared" si="1005"/>
        <v>1.0649999999999999</v>
      </c>
      <c r="O2699" s="77">
        <f t="shared" si="1006"/>
        <v>0.91497811816192565</v>
      </c>
      <c r="P2699" s="76">
        <f t="shared" si="1007"/>
        <v>0</v>
      </c>
      <c r="Q2699" s="76">
        <f t="shared" si="1008"/>
        <v>1</v>
      </c>
      <c r="R2699" s="76">
        <f t="shared" si="1009"/>
        <v>0</v>
      </c>
      <c r="S2699" s="76">
        <f t="shared" si="1010"/>
        <v>1.0591866259157072</v>
      </c>
      <c r="T2699" s="76">
        <f t="shared" si="1011"/>
        <v>0.9858600513747503</v>
      </c>
      <c r="U2699" s="76">
        <f t="shared" si="1012"/>
        <v>1.0649999999999999</v>
      </c>
    </row>
    <row r="2700" spans="1:21" x14ac:dyDescent="0.25">
      <c r="A2700" s="71">
        <v>30</v>
      </c>
      <c r="B2700" s="72">
        <f t="shared" si="1013"/>
        <v>46539</v>
      </c>
      <c r="C2700" s="73">
        <f t="shared" si="994"/>
        <v>46568</v>
      </c>
      <c r="D2700" s="67">
        <f t="shared" si="995"/>
        <v>30</v>
      </c>
      <c r="E2700" s="67">
        <f t="shared" si="996"/>
        <v>6</v>
      </c>
      <c r="F2700" s="74">
        <f t="shared" si="997"/>
        <v>46554</v>
      </c>
      <c r="G2700" s="67">
        <f t="shared" si="998"/>
        <v>24329</v>
      </c>
      <c r="H2700" s="75">
        <f t="shared" si="999"/>
        <v>1</v>
      </c>
      <c r="I2700" s="76">
        <f t="shared" si="1000"/>
        <v>1.0649999999999999</v>
      </c>
      <c r="J2700" s="76">
        <f t="shared" si="1001"/>
        <v>1.0649999999999999</v>
      </c>
      <c r="K2700" s="67">
        <f t="shared" si="1002"/>
        <v>0</v>
      </c>
      <c r="L2700" s="67">
        <f t="shared" si="1003"/>
        <v>0</v>
      </c>
      <c r="M2700" s="77">
        <f t="shared" si="1004"/>
        <v>0</v>
      </c>
      <c r="N2700" s="76">
        <f t="shared" si="1005"/>
        <v>1.0649999999999999</v>
      </c>
      <c r="O2700" s="77">
        <f t="shared" si="1006"/>
        <v>0.91564551422319473</v>
      </c>
      <c r="P2700" s="76">
        <f t="shared" si="1007"/>
        <v>0</v>
      </c>
      <c r="Q2700" s="76">
        <f t="shared" si="1008"/>
        <v>1</v>
      </c>
      <c r="R2700" s="76">
        <f t="shared" si="1009"/>
        <v>0</v>
      </c>
      <c r="S2700" s="76">
        <f t="shared" si="1010"/>
        <v>1.0599592093996764</v>
      </c>
      <c r="T2700" s="76">
        <f t="shared" si="1011"/>
        <v>0.98658548187612971</v>
      </c>
      <c r="U2700" s="76">
        <f t="shared" si="1012"/>
        <v>1.0649999999999999</v>
      </c>
    </row>
    <row r="2701" spans="1:21" x14ac:dyDescent="0.25">
      <c r="A2701" s="71">
        <v>31</v>
      </c>
      <c r="B2701" s="72">
        <f t="shared" si="1013"/>
        <v>46569</v>
      </c>
      <c r="C2701" s="73">
        <f t="shared" si="994"/>
        <v>46599</v>
      </c>
      <c r="D2701" s="67">
        <f t="shared" si="995"/>
        <v>31</v>
      </c>
      <c r="E2701" s="67">
        <f t="shared" si="996"/>
        <v>7</v>
      </c>
      <c r="F2701" s="74">
        <f t="shared" si="997"/>
        <v>46584.5</v>
      </c>
      <c r="G2701" s="67">
        <f t="shared" si="998"/>
        <v>24330</v>
      </c>
      <c r="H2701" s="75">
        <f t="shared" si="999"/>
        <v>1</v>
      </c>
      <c r="I2701" s="76">
        <f t="shared" si="1000"/>
        <v>1.0649999999999999</v>
      </c>
      <c r="J2701" s="76">
        <f t="shared" si="1001"/>
        <v>1.0649999999999999</v>
      </c>
      <c r="K2701" s="67">
        <f t="shared" si="1002"/>
        <v>0</v>
      </c>
      <c r="L2701" s="67">
        <f t="shared" si="1003"/>
        <v>0</v>
      </c>
      <c r="M2701" s="77">
        <f t="shared" si="1004"/>
        <v>0</v>
      </c>
      <c r="N2701" s="76">
        <f t="shared" si="1005"/>
        <v>1.0649999999999999</v>
      </c>
      <c r="O2701" s="77">
        <f t="shared" si="1006"/>
        <v>0.91631291028446393</v>
      </c>
      <c r="P2701" s="76">
        <f t="shared" si="1007"/>
        <v>0</v>
      </c>
      <c r="Q2701" s="76">
        <f t="shared" si="1008"/>
        <v>0.91666666666666663</v>
      </c>
      <c r="R2701" s="76">
        <f t="shared" si="1009"/>
        <v>8.333333333333337E-2</v>
      </c>
      <c r="S2701" s="76">
        <f t="shared" si="1010"/>
        <v>1.0607317928836457</v>
      </c>
      <c r="T2701" s="76">
        <f t="shared" si="1011"/>
        <v>1.0514861216820475</v>
      </c>
      <c r="U2701" s="76">
        <f t="shared" si="1012"/>
        <v>1.0649999999999999</v>
      </c>
    </row>
    <row r="2702" spans="1:21" x14ac:dyDescent="0.25">
      <c r="A2702" s="71">
        <v>32</v>
      </c>
      <c r="B2702" s="72">
        <f t="shared" si="1013"/>
        <v>46600</v>
      </c>
      <c r="C2702" s="73">
        <f t="shared" si="994"/>
        <v>46630</v>
      </c>
      <c r="D2702" s="67">
        <f t="shared" si="995"/>
        <v>31</v>
      </c>
      <c r="E2702" s="67">
        <f t="shared" si="996"/>
        <v>8</v>
      </c>
      <c r="F2702" s="74">
        <f t="shared" si="997"/>
        <v>46615.5</v>
      </c>
      <c r="G2702" s="67">
        <f t="shared" si="998"/>
        <v>24331</v>
      </c>
      <c r="H2702" s="75">
        <f t="shared" si="999"/>
        <v>1</v>
      </c>
      <c r="I2702" s="76">
        <f t="shared" si="1000"/>
        <v>1.0649999999999999</v>
      </c>
      <c r="J2702" s="76">
        <f t="shared" si="1001"/>
        <v>1.0649999999999999</v>
      </c>
      <c r="K2702" s="67">
        <f t="shared" si="1002"/>
        <v>0</v>
      </c>
      <c r="L2702" s="67">
        <f t="shared" si="1003"/>
        <v>0</v>
      </c>
      <c r="M2702" s="77">
        <f t="shared" si="1004"/>
        <v>0</v>
      </c>
      <c r="N2702" s="76">
        <f t="shared" si="1005"/>
        <v>1.0649999999999999</v>
      </c>
      <c r="O2702" s="77">
        <f t="shared" si="1006"/>
        <v>0.91699124726477033</v>
      </c>
      <c r="P2702" s="76">
        <f t="shared" si="1007"/>
        <v>0</v>
      </c>
      <c r="Q2702" s="76">
        <f t="shared" si="1008"/>
        <v>0.75</v>
      </c>
      <c r="R2702" s="76">
        <f t="shared" si="1009"/>
        <v>0.25</v>
      </c>
      <c r="S2702" s="76">
        <f t="shared" si="1010"/>
        <v>1.0615170416706308</v>
      </c>
      <c r="T2702" s="76">
        <f t="shared" si="1011"/>
        <v>1.0522713704690323</v>
      </c>
      <c r="U2702" s="76">
        <f t="shared" si="1012"/>
        <v>1.0649999999999999</v>
      </c>
    </row>
    <row r="2703" spans="1:21" x14ac:dyDescent="0.25">
      <c r="A2703" s="71">
        <v>33</v>
      </c>
      <c r="B2703" s="72">
        <f t="shared" si="1013"/>
        <v>46631</v>
      </c>
      <c r="C2703" s="73">
        <f t="shared" si="994"/>
        <v>46660</v>
      </c>
      <c r="D2703" s="67">
        <f t="shared" si="995"/>
        <v>30</v>
      </c>
      <c r="E2703" s="67">
        <f t="shared" si="996"/>
        <v>9</v>
      </c>
      <c r="F2703" s="74">
        <f t="shared" si="997"/>
        <v>46646</v>
      </c>
      <c r="G2703" s="67">
        <f t="shared" si="998"/>
        <v>24332</v>
      </c>
      <c r="H2703" s="75">
        <f t="shared" si="999"/>
        <v>1</v>
      </c>
      <c r="I2703" s="76">
        <f t="shared" si="1000"/>
        <v>1.0649999999999999</v>
      </c>
      <c r="J2703" s="76">
        <f t="shared" si="1001"/>
        <v>1.0649999999999999</v>
      </c>
      <c r="K2703" s="67">
        <f t="shared" si="1002"/>
        <v>0</v>
      </c>
      <c r="L2703" s="67">
        <f t="shared" si="1003"/>
        <v>0</v>
      </c>
      <c r="M2703" s="77">
        <f t="shared" si="1004"/>
        <v>0</v>
      </c>
      <c r="N2703" s="76">
        <f t="shared" si="1005"/>
        <v>1.0649999999999999</v>
      </c>
      <c r="O2703" s="77">
        <f t="shared" si="1006"/>
        <v>0.91765864332603941</v>
      </c>
      <c r="P2703" s="76">
        <f t="shared" si="1007"/>
        <v>0</v>
      </c>
      <c r="Q2703" s="76">
        <f t="shared" si="1008"/>
        <v>0.58333333333333337</v>
      </c>
      <c r="R2703" s="76">
        <f t="shared" si="1009"/>
        <v>0.41666666666666663</v>
      </c>
      <c r="S2703" s="76">
        <f t="shared" si="1010"/>
        <v>1.0622896251545999</v>
      </c>
      <c r="T2703" s="76">
        <f t="shared" si="1011"/>
        <v>1.0530439539530017</v>
      </c>
      <c r="U2703" s="76">
        <f t="shared" si="1012"/>
        <v>1.0649999999999999</v>
      </c>
    </row>
    <row r="2704" spans="1:21" x14ac:dyDescent="0.25">
      <c r="A2704" s="71">
        <v>34</v>
      </c>
      <c r="B2704" s="72">
        <f t="shared" si="1013"/>
        <v>46661</v>
      </c>
      <c r="C2704" s="73">
        <f t="shared" si="994"/>
        <v>46691</v>
      </c>
      <c r="D2704" s="67">
        <f t="shared" si="995"/>
        <v>31</v>
      </c>
      <c r="E2704" s="67">
        <f t="shared" si="996"/>
        <v>10</v>
      </c>
      <c r="F2704" s="74">
        <f t="shared" si="997"/>
        <v>46676.5</v>
      </c>
      <c r="G2704" s="67">
        <f t="shared" si="998"/>
        <v>24333</v>
      </c>
      <c r="H2704" s="75">
        <f t="shared" si="999"/>
        <v>1</v>
      </c>
      <c r="I2704" s="76">
        <f t="shared" si="1000"/>
        <v>1.0649999999999999</v>
      </c>
      <c r="J2704" s="76">
        <f t="shared" si="1001"/>
        <v>1.0649999999999999</v>
      </c>
      <c r="K2704" s="67">
        <f t="shared" si="1002"/>
        <v>0</v>
      </c>
      <c r="L2704" s="67">
        <f t="shared" si="1003"/>
        <v>0</v>
      </c>
      <c r="M2704" s="77">
        <f t="shared" si="1004"/>
        <v>0</v>
      </c>
      <c r="N2704" s="76">
        <f t="shared" si="1005"/>
        <v>1.0649999999999999</v>
      </c>
      <c r="O2704" s="77">
        <f t="shared" si="1006"/>
        <v>0.91832603938730861</v>
      </c>
      <c r="P2704" s="76">
        <f t="shared" si="1007"/>
        <v>0</v>
      </c>
      <c r="Q2704" s="76">
        <f t="shared" si="1008"/>
        <v>0.41666666666666669</v>
      </c>
      <c r="R2704" s="76">
        <f t="shared" si="1009"/>
        <v>0.58333333333333326</v>
      </c>
      <c r="S2704" s="76">
        <f t="shared" si="1010"/>
        <v>1.063062208638569</v>
      </c>
      <c r="T2704" s="76">
        <f t="shared" si="1011"/>
        <v>1.0538165374369706</v>
      </c>
      <c r="U2704" s="76">
        <f t="shared" si="1012"/>
        <v>1.0649999999999999</v>
      </c>
    </row>
    <row r="2705" spans="1:21" x14ac:dyDescent="0.25">
      <c r="A2705" s="71">
        <v>35</v>
      </c>
      <c r="B2705" s="72">
        <f t="shared" si="1013"/>
        <v>46692</v>
      </c>
      <c r="C2705" s="73">
        <f t="shared" si="994"/>
        <v>46721</v>
      </c>
      <c r="D2705" s="67">
        <f t="shared" si="995"/>
        <v>30</v>
      </c>
      <c r="E2705" s="67">
        <f t="shared" si="996"/>
        <v>11</v>
      </c>
      <c r="F2705" s="74">
        <f t="shared" si="997"/>
        <v>46707</v>
      </c>
      <c r="G2705" s="67">
        <f t="shared" si="998"/>
        <v>24334</v>
      </c>
      <c r="H2705" s="75">
        <f t="shared" si="999"/>
        <v>1</v>
      </c>
      <c r="I2705" s="76">
        <f t="shared" si="1000"/>
        <v>1.0649999999999999</v>
      </c>
      <c r="J2705" s="76">
        <f t="shared" si="1001"/>
        <v>1.0649999999999999</v>
      </c>
      <c r="K2705" s="67">
        <f t="shared" si="1002"/>
        <v>0</v>
      </c>
      <c r="L2705" s="67">
        <f t="shared" si="1003"/>
        <v>0</v>
      </c>
      <c r="M2705" s="77">
        <f t="shared" si="1004"/>
        <v>0</v>
      </c>
      <c r="N2705" s="76">
        <f t="shared" si="1005"/>
        <v>1.0649999999999999</v>
      </c>
      <c r="O2705" s="77">
        <f t="shared" si="1006"/>
        <v>0.9189934354485777</v>
      </c>
      <c r="P2705" s="76">
        <f t="shared" si="1007"/>
        <v>0</v>
      </c>
      <c r="Q2705" s="76">
        <f t="shared" si="1008"/>
        <v>0.25</v>
      </c>
      <c r="R2705" s="76">
        <f t="shared" si="1009"/>
        <v>0.75</v>
      </c>
      <c r="S2705" s="76">
        <f t="shared" si="1010"/>
        <v>1.0638347921225382</v>
      </c>
      <c r="T2705" s="76">
        <f t="shared" si="1011"/>
        <v>1.0545891209209399</v>
      </c>
      <c r="U2705" s="76">
        <f t="shared" si="1012"/>
        <v>1.0649999999999999</v>
      </c>
    </row>
    <row r="2706" spans="1:21" x14ac:dyDescent="0.25">
      <c r="A2706" s="71">
        <v>36</v>
      </c>
      <c r="B2706" s="72">
        <f t="shared" si="1013"/>
        <v>46722</v>
      </c>
      <c r="C2706" s="73">
        <f t="shared" si="994"/>
        <v>46752</v>
      </c>
      <c r="D2706" s="67">
        <f t="shared" si="995"/>
        <v>31</v>
      </c>
      <c r="E2706" s="67">
        <f t="shared" si="996"/>
        <v>12</v>
      </c>
      <c r="F2706" s="74">
        <f t="shared" si="997"/>
        <v>46737.5</v>
      </c>
      <c r="G2706" s="67">
        <f t="shared" si="998"/>
        <v>24335</v>
      </c>
      <c r="H2706" s="75">
        <f t="shared" si="999"/>
        <v>1</v>
      </c>
      <c r="I2706" s="76">
        <f t="shared" si="1000"/>
        <v>1.0649999999999999</v>
      </c>
      <c r="J2706" s="76">
        <f t="shared" si="1001"/>
        <v>1.0649999999999999</v>
      </c>
      <c r="K2706" s="67">
        <f t="shared" si="1002"/>
        <v>0</v>
      </c>
      <c r="L2706" s="67">
        <f t="shared" si="1003"/>
        <v>0</v>
      </c>
      <c r="M2706" s="77">
        <f t="shared" si="1004"/>
        <v>0</v>
      </c>
      <c r="N2706" s="76">
        <f t="shared" si="1005"/>
        <v>1.0649999999999999</v>
      </c>
      <c r="O2706" s="77">
        <f t="shared" si="1006"/>
        <v>0.9196608315098469</v>
      </c>
      <c r="P2706" s="76">
        <f t="shared" si="1007"/>
        <v>0</v>
      </c>
      <c r="Q2706" s="76">
        <f t="shared" si="1008"/>
        <v>8.3333333333333329E-2</v>
      </c>
      <c r="R2706" s="76">
        <f t="shared" si="1009"/>
        <v>0.91666666666666663</v>
      </c>
      <c r="S2706" s="76">
        <f t="shared" si="1010"/>
        <v>1.0646073756065075</v>
      </c>
      <c r="T2706" s="76">
        <f t="shared" si="1011"/>
        <v>1.0553617044049091</v>
      </c>
      <c r="U2706" s="76">
        <f t="shared" si="1012"/>
        <v>1.0649999999999999</v>
      </c>
    </row>
    <row r="2707" spans="1:21" x14ac:dyDescent="0.25">
      <c r="A2707" s="71">
        <v>37</v>
      </c>
      <c r="B2707" s="72">
        <f t="shared" si="1013"/>
        <v>46753</v>
      </c>
      <c r="C2707" s="73">
        <f t="shared" si="994"/>
        <v>46783</v>
      </c>
      <c r="D2707" s="67">
        <f t="shared" si="995"/>
        <v>31</v>
      </c>
      <c r="E2707" s="67">
        <f t="shared" si="996"/>
        <v>1</v>
      </c>
      <c r="F2707" s="74">
        <f t="shared" si="997"/>
        <v>46768.5</v>
      </c>
      <c r="G2707" s="67">
        <f t="shared" si="998"/>
        <v>24336</v>
      </c>
      <c r="H2707" s="75">
        <f t="shared" si="999"/>
        <v>1</v>
      </c>
      <c r="I2707" s="76">
        <f t="shared" si="1000"/>
        <v>1.0649999999999999</v>
      </c>
      <c r="J2707" s="76">
        <f t="shared" si="1001"/>
        <v>1.0649999999999999</v>
      </c>
      <c r="K2707" s="67">
        <f t="shared" si="1002"/>
        <v>0</v>
      </c>
      <c r="L2707" s="67">
        <f t="shared" si="1003"/>
        <v>0</v>
      </c>
      <c r="M2707" s="77">
        <f t="shared" si="1004"/>
        <v>0</v>
      </c>
      <c r="N2707" s="76">
        <f t="shared" si="1005"/>
        <v>1.0649999999999999</v>
      </c>
      <c r="O2707" s="77">
        <f t="shared" si="1006"/>
        <v>0.92</v>
      </c>
      <c r="P2707" s="76">
        <f t="shared" si="1007"/>
        <v>0</v>
      </c>
      <c r="Q2707" s="76">
        <f t="shared" si="1008"/>
        <v>0</v>
      </c>
      <c r="R2707" s="76">
        <f t="shared" si="1009"/>
        <v>1</v>
      </c>
      <c r="S2707" s="76">
        <f t="shared" si="1010"/>
        <v>1.0649999999999999</v>
      </c>
      <c r="T2707" s="76">
        <f t="shared" si="1011"/>
        <v>0.98300589858243748</v>
      </c>
      <c r="U2707" s="76">
        <f t="shared" si="1012"/>
        <v>1.0649999999999999</v>
      </c>
    </row>
    <row r="2708" spans="1:21" x14ac:dyDescent="0.25">
      <c r="A2708" s="71">
        <v>38</v>
      </c>
      <c r="B2708" s="72">
        <f t="shared" si="1013"/>
        <v>46784</v>
      </c>
      <c r="C2708" s="73">
        <f t="shared" si="994"/>
        <v>46812</v>
      </c>
      <c r="D2708" s="67">
        <f t="shared" si="995"/>
        <v>29</v>
      </c>
      <c r="E2708" s="67">
        <f t="shared" si="996"/>
        <v>2</v>
      </c>
      <c r="F2708" s="74">
        <f t="shared" si="997"/>
        <v>46798.5</v>
      </c>
      <c r="G2708" s="67">
        <f t="shared" si="998"/>
        <v>24337</v>
      </c>
      <c r="H2708" s="75">
        <f t="shared" si="999"/>
        <v>1</v>
      </c>
      <c r="I2708" s="76">
        <f t="shared" si="1000"/>
        <v>1.0649999999999999</v>
      </c>
      <c r="J2708" s="76">
        <f t="shared" si="1001"/>
        <v>1.0649999999999999</v>
      </c>
      <c r="K2708" s="67">
        <f t="shared" si="1002"/>
        <v>0</v>
      </c>
      <c r="L2708" s="67">
        <f t="shared" si="1003"/>
        <v>0</v>
      </c>
      <c r="M2708" s="77">
        <f t="shared" si="1004"/>
        <v>0</v>
      </c>
      <c r="N2708" s="76">
        <f t="shared" si="1005"/>
        <v>1.0649999999999999</v>
      </c>
      <c r="O2708" s="77">
        <f t="shared" si="1006"/>
        <v>0.92</v>
      </c>
      <c r="P2708" s="76">
        <f t="shared" si="1007"/>
        <v>0</v>
      </c>
      <c r="Q2708" s="76">
        <f t="shared" si="1008"/>
        <v>0</v>
      </c>
      <c r="R2708" s="76">
        <f t="shared" si="1009"/>
        <v>1</v>
      </c>
      <c r="S2708" s="76">
        <f t="shared" si="1010"/>
        <v>1.0649999999999999</v>
      </c>
      <c r="T2708" s="76">
        <f t="shared" si="1011"/>
        <v>0.98370754447721431</v>
      </c>
      <c r="U2708" s="76">
        <f t="shared" si="1012"/>
        <v>1.0649999999999999</v>
      </c>
    </row>
    <row r="2709" spans="1:21" x14ac:dyDescent="0.25">
      <c r="A2709" s="71">
        <v>39</v>
      </c>
      <c r="B2709" s="72">
        <f t="shared" si="1013"/>
        <v>46813</v>
      </c>
      <c r="C2709" s="73">
        <f t="shared" si="994"/>
        <v>46843</v>
      </c>
      <c r="D2709" s="67">
        <f t="shared" si="995"/>
        <v>31</v>
      </c>
      <c r="E2709" s="67">
        <f t="shared" si="996"/>
        <v>3</v>
      </c>
      <c r="F2709" s="74">
        <f t="shared" si="997"/>
        <v>46828.5</v>
      </c>
      <c r="G2709" s="67">
        <f t="shared" si="998"/>
        <v>24338</v>
      </c>
      <c r="H2709" s="75">
        <f t="shared" si="999"/>
        <v>1</v>
      </c>
      <c r="I2709" s="76">
        <f t="shared" si="1000"/>
        <v>1.0649999999999999</v>
      </c>
      <c r="J2709" s="76">
        <f t="shared" si="1001"/>
        <v>1.0649999999999999</v>
      </c>
      <c r="K2709" s="67">
        <f t="shared" si="1002"/>
        <v>0</v>
      </c>
      <c r="L2709" s="67">
        <f t="shared" si="1003"/>
        <v>0</v>
      </c>
      <c r="M2709" s="77">
        <f t="shared" si="1004"/>
        <v>0</v>
      </c>
      <c r="N2709" s="76">
        <f t="shared" si="1005"/>
        <v>1.0649999999999999</v>
      </c>
      <c r="O2709" s="77">
        <f t="shared" si="1006"/>
        <v>0.92</v>
      </c>
      <c r="P2709" s="76">
        <f t="shared" si="1007"/>
        <v>0</v>
      </c>
      <c r="Q2709" s="76">
        <f t="shared" si="1008"/>
        <v>0</v>
      </c>
      <c r="R2709" s="76">
        <f t="shared" si="1009"/>
        <v>1</v>
      </c>
      <c r="S2709" s="76">
        <f t="shared" si="1010"/>
        <v>1.0649999999999999</v>
      </c>
      <c r="T2709" s="76">
        <f t="shared" si="1011"/>
        <v>0.98440919037199126</v>
      </c>
      <c r="U2709" s="76">
        <f t="shared" si="1012"/>
        <v>1.0649999999999999</v>
      </c>
    </row>
    <row r="2710" spans="1:21" x14ac:dyDescent="0.25">
      <c r="A2710" s="71">
        <v>40</v>
      </c>
      <c r="B2710" s="72">
        <f t="shared" si="1013"/>
        <v>46844</v>
      </c>
      <c r="C2710" s="73">
        <f t="shared" si="994"/>
        <v>46873</v>
      </c>
      <c r="D2710" s="67">
        <f t="shared" si="995"/>
        <v>30</v>
      </c>
      <c r="E2710" s="67">
        <f t="shared" si="996"/>
        <v>4</v>
      </c>
      <c r="F2710" s="74">
        <f t="shared" si="997"/>
        <v>46859</v>
      </c>
      <c r="G2710" s="67">
        <f t="shared" si="998"/>
        <v>24339</v>
      </c>
      <c r="H2710" s="75">
        <f t="shared" si="999"/>
        <v>1</v>
      </c>
      <c r="I2710" s="76">
        <f t="shared" si="1000"/>
        <v>1.0649999999999999</v>
      </c>
      <c r="J2710" s="76">
        <f t="shared" si="1001"/>
        <v>1.0649999999999999</v>
      </c>
      <c r="K2710" s="67">
        <f t="shared" si="1002"/>
        <v>0</v>
      </c>
      <c r="L2710" s="67">
        <f t="shared" si="1003"/>
        <v>0</v>
      </c>
      <c r="M2710" s="77">
        <f t="shared" si="1004"/>
        <v>0</v>
      </c>
      <c r="N2710" s="76">
        <f t="shared" si="1005"/>
        <v>1.0649999999999999</v>
      </c>
      <c r="O2710" s="77">
        <f t="shared" si="1006"/>
        <v>0.92</v>
      </c>
      <c r="P2710" s="76">
        <f t="shared" si="1007"/>
        <v>0</v>
      </c>
      <c r="Q2710" s="76">
        <f t="shared" si="1008"/>
        <v>0</v>
      </c>
      <c r="R2710" s="76">
        <f t="shared" si="1009"/>
        <v>1</v>
      </c>
      <c r="S2710" s="76">
        <f t="shared" si="1010"/>
        <v>1.0649999999999999</v>
      </c>
      <c r="T2710" s="76">
        <f t="shared" si="1011"/>
        <v>0.98513462087337078</v>
      </c>
      <c r="U2710" s="76">
        <f t="shared" si="1012"/>
        <v>1.0649999999999999</v>
      </c>
    </row>
    <row r="2711" spans="1:21" x14ac:dyDescent="0.25">
      <c r="A2711" s="71">
        <v>41</v>
      </c>
      <c r="B2711" s="72">
        <f t="shared" si="1013"/>
        <v>46874</v>
      </c>
      <c r="C2711" s="73">
        <f t="shared" si="994"/>
        <v>46904</v>
      </c>
      <c r="D2711" s="67">
        <f t="shared" si="995"/>
        <v>31</v>
      </c>
      <c r="E2711" s="67">
        <f t="shared" si="996"/>
        <v>5</v>
      </c>
      <c r="F2711" s="74">
        <f t="shared" si="997"/>
        <v>46889.5</v>
      </c>
      <c r="G2711" s="67">
        <f t="shared" si="998"/>
        <v>24340</v>
      </c>
      <c r="H2711" s="75">
        <f t="shared" si="999"/>
        <v>1</v>
      </c>
      <c r="I2711" s="76">
        <f t="shared" si="1000"/>
        <v>1.0649999999999999</v>
      </c>
      <c r="J2711" s="76">
        <f t="shared" si="1001"/>
        <v>1.0649999999999999</v>
      </c>
      <c r="K2711" s="67">
        <f t="shared" si="1002"/>
        <v>0</v>
      </c>
      <c r="L2711" s="67">
        <f t="shared" si="1003"/>
        <v>0</v>
      </c>
      <c r="M2711" s="77">
        <f t="shared" si="1004"/>
        <v>0</v>
      </c>
      <c r="N2711" s="76">
        <f t="shared" si="1005"/>
        <v>1.0649999999999999</v>
      </c>
      <c r="O2711" s="77">
        <f t="shared" si="1006"/>
        <v>0.92</v>
      </c>
      <c r="P2711" s="76">
        <f t="shared" si="1007"/>
        <v>0</v>
      </c>
      <c r="Q2711" s="76">
        <f t="shared" si="1008"/>
        <v>0</v>
      </c>
      <c r="R2711" s="76">
        <f t="shared" si="1009"/>
        <v>1</v>
      </c>
      <c r="S2711" s="76">
        <f t="shared" si="1010"/>
        <v>1.0649999999999999</v>
      </c>
      <c r="T2711" s="76">
        <f t="shared" si="1011"/>
        <v>0.9858600513747503</v>
      </c>
      <c r="U2711" s="76">
        <f t="shared" si="1012"/>
        <v>1.0649999999999999</v>
      </c>
    </row>
    <row r="2712" spans="1:21" x14ac:dyDescent="0.25">
      <c r="A2712" s="71">
        <v>42</v>
      </c>
      <c r="B2712" s="72">
        <f t="shared" si="1013"/>
        <v>46905</v>
      </c>
      <c r="C2712" s="73">
        <f t="shared" si="994"/>
        <v>46934</v>
      </c>
      <c r="D2712" s="67">
        <f t="shared" si="995"/>
        <v>30</v>
      </c>
      <c r="E2712" s="67">
        <f t="shared" si="996"/>
        <v>6</v>
      </c>
      <c r="F2712" s="74">
        <f t="shared" si="997"/>
        <v>46920</v>
      </c>
      <c r="G2712" s="67">
        <f t="shared" si="998"/>
        <v>24341</v>
      </c>
      <c r="H2712" s="75">
        <f t="shared" si="999"/>
        <v>1</v>
      </c>
      <c r="I2712" s="76">
        <f t="shared" si="1000"/>
        <v>1.0649999999999999</v>
      </c>
      <c r="J2712" s="76">
        <f t="shared" si="1001"/>
        <v>1.0649999999999999</v>
      </c>
      <c r="K2712" s="67">
        <f t="shared" si="1002"/>
        <v>0</v>
      </c>
      <c r="L2712" s="67">
        <f t="shared" si="1003"/>
        <v>0</v>
      </c>
      <c r="M2712" s="77">
        <f t="shared" si="1004"/>
        <v>0</v>
      </c>
      <c r="N2712" s="76">
        <f t="shared" si="1005"/>
        <v>1.0649999999999999</v>
      </c>
      <c r="O2712" s="77">
        <f t="shared" si="1006"/>
        <v>0.92</v>
      </c>
      <c r="P2712" s="76">
        <f t="shared" si="1007"/>
        <v>0</v>
      </c>
      <c r="Q2712" s="76">
        <f t="shared" si="1008"/>
        <v>0</v>
      </c>
      <c r="R2712" s="76">
        <f t="shared" si="1009"/>
        <v>1</v>
      </c>
      <c r="S2712" s="76">
        <f t="shared" si="1010"/>
        <v>1.0649999999999999</v>
      </c>
      <c r="T2712" s="76">
        <f t="shared" si="1011"/>
        <v>0.98658548187612971</v>
      </c>
      <c r="U2712" s="76">
        <f t="shared" si="1012"/>
        <v>1.0649999999999999</v>
      </c>
    </row>
    <row r="2713" spans="1:21" x14ac:dyDescent="0.25">
      <c r="A2713" s="71">
        <v>43</v>
      </c>
      <c r="B2713" s="72">
        <f t="shared" si="1013"/>
        <v>46935</v>
      </c>
      <c r="C2713" s="73">
        <f t="shared" si="994"/>
        <v>46965</v>
      </c>
      <c r="D2713" s="67">
        <f t="shared" si="995"/>
        <v>31</v>
      </c>
      <c r="E2713" s="67">
        <f t="shared" si="996"/>
        <v>7</v>
      </c>
      <c r="F2713" s="74">
        <f t="shared" si="997"/>
        <v>46950.5</v>
      </c>
      <c r="G2713" s="67">
        <f t="shared" si="998"/>
        <v>24342</v>
      </c>
      <c r="H2713" s="75">
        <f t="shared" si="999"/>
        <v>1</v>
      </c>
      <c r="I2713" s="76">
        <f t="shared" si="1000"/>
        <v>1.0649999999999999</v>
      </c>
      <c r="J2713" s="76">
        <f t="shared" si="1001"/>
        <v>1.0649999999999999</v>
      </c>
      <c r="K2713" s="67">
        <f t="shared" si="1002"/>
        <v>0</v>
      </c>
      <c r="L2713" s="67">
        <f t="shared" si="1003"/>
        <v>0</v>
      </c>
      <c r="M2713" s="77">
        <f t="shared" si="1004"/>
        <v>0</v>
      </c>
      <c r="N2713" s="76">
        <f t="shared" si="1005"/>
        <v>1.0649999999999999</v>
      </c>
      <c r="O2713" s="77">
        <f t="shared" si="1006"/>
        <v>0.92</v>
      </c>
      <c r="P2713" s="76">
        <f t="shared" si="1007"/>
        <v>0</v>
      </c>
      <c r="Q2713" s="76">
        <f t="shared" si="1008"/>
        <v>0</v>
      </c>
      <c r="R2713" s="76">
        <f t="shared" si="1009"/>
        <v>0.91666666666666663</v>
      </c>
      <c r="S2713" s="76">
        <f t="shared" si="1010"/>
        <v>1.0649999999999999</v>
      </c>
      <c r="T2713" s="76">
        <f t="shared" si="1011"/>
        <v>1.0514861216820475</v>
      </c>
      <c r="U2713" s="76">
        <f t="shared" si="1012"/>
        <v>1.0649999999999999</v>
      </c>
    </row>
    <row r="2714" spans="1:21" x14ac:dyDescent="0.25">
      <c r="A2714" s="71">
        <v>44</v>
      </c>
      <c r="B2714" s="72">
        <f t="shared" si="1013"/>
        <v>46966</v>
      </c>
      <c r="C2714" s="73">
        <f t="shared" si="994"/>
        <v>46996</v>
      </c>
      <c r="D2714" s="67">
        <f t="shared" si="995"/>
        <v>31</v>
      </c>
      <c r="E2714" s="67">
        <f t="shared" si="996"/>
        <v>8</v>
      </c>
      <c r="F2714" s="74">
        <f t="shared" si="997"/>
        <v>46981.5</v>
      </c>
      <c r="G2714" s="67">
        <f t="shared" si="998"/>
        <v>24343</v>
      </c>
      <c r="H2714" s="75">
        <f t="shared" si="999"/>
        <v>1</v>
      </c>
      <c r="I2714" s="76">
        <f t="shared" si="1000"/>
        <v>1.0649999999999999</v>
      </c>
      <c r="J2714" s="76">
        <f t="shared" si="1001"/>
        <v>1.0649999999999999</v>
      </c>
      <c r="K2714" s="67">
        <f t="shared" si="1002"/>
        <v>0</v>
      </c>
      <c r="L2714" s="67">
        <f t="shared" si="1003"/>
        <v>0</v>
      </c>
      <c r="M2714" s="77">
        <f t="shared" si="1004"/>
        <v>0</v>
      </c>
      <c r="N2714" s="76">
        <f t="shared" si="1005"/>
        <v>1.0649999999999999</v>
      </c>
      <c r="O2714" s="77">
        <f t="shared" si="1006"/>
        <v>0.92</v>
      </c>
      <c r="P2714" s="76">
        <f t="shared" si="1007"/>
        <v>0</v>
      </c>
      <c r="Q2714" s="76">
        <f t="shared" si="1008"/>
        <v>0</v>
      </c>
      <c r="R2714" s="76">
        <f t="shared" si="1009"/>
        <v>0.75</v>
      </c>
      <c r="S2714" s="76">
        <f t="shared" si="1010"/>
        <v>1.0649999999999999</v>
      </c>
      <c r="T2714" s="76">
        <f t="shared" si="1011"/>
        <v>1.0522713704690323</v>
      </c>
      <c r="U2714" s="76">
        <f t="shared" si="1012"/>
        <v>1.0649999999999999</v>
      </c>
    </row>
    <row r="2715" spans="1:21" x14ac:dyDescent="0.25">
      <c r="A2715" s="71">
        <v>45</v>
      </c>
      <c r="B2715" s="72">
        <f t="shared" si="1013"/>
        <v>46997</v>
      </c>
      <c r="C2715" s="73">
        <f t="shared" si="994"/>
        <v>47026</v>
      </c>
      <c r="D2715" s="67">
        <f t="shared" si="995"/>
        <v>30</v>
      </c>
      <c r="E2715" s="67">
        <f t="shared" si="996"/>
        <v>9</v>
      </c>
      <c r="F2715" s="74">
        <f t="shared" si="997"/>
        <v>47012</v>
      </c>
      <c r="G2715" s="67">
        <f t="shared" si="998"/>
        <v>24344</v>
      </c>
      <c r="H2715" s="75">
        <f t="shared" si="999"/>
        <v>1</v>
      </c>
      <c r="I2715" s="76">
        <f t="shared" si="1000"/>
        <v>1.0649999999999999</v>
      </c>
      <c r="J2715" s="76">
        <f t="shared" si="1001"/>
        <v>1.0649999999999999</v>
      </c>
      <c r="K2715" s="67">
        <f t="shared" si="1002"/>
        <v>0</v>
      </c>
      <c r="L2715" s="67">
        <f t="shared" si="1003"/>
        <v>0</v>
      </c>
      <c r="M2715" s="77">
        <f t="shared" si="1004"/>
        <v>0</v>
      </c>
      <c r="N2715" s="76">
        <f t="shared" si="1005"/>
        <v>1.0649999999999999</v>
      </c>
      <c r="O2715" s="77">
        <f t="shared" si="1006"/>
        <v>0.92</v>
      </c>
      <c r="P2715" s="76">
        <f t="shared" si="1007"/>
        <v>0</v>
      </c>
      <c r="Q2715" s="76">
        <f t="shared" si="1008"/>
        <v>0</v>
      </c>
      <c r="R2715" s="76">
        <f t="shared" si="1009"/>
        <v>0.58333333333333337</v>
      </c>
      <c r="S2715" s="76">
        <f t="shared" si="1010"/>
        <v>1.0649999999999999</v>
      </c>
      <c r="T2715" s="76">
        <f t="shared" si="1011"/>
        <v>1.0530439539530017</v>
      </c>
      <c r="U2715" s="76">
        <f t="shared" si="1012"/>
        <v>1.0649999999999999</v>
      </c>
    </row>
    <row r="2716" spans="1:21" x14ac:dyDescent="0.25">
      <c r="A2716" s="71">
        <v>46</v>
      </c>
      <c r="B2716" s="72">
        <f t="shared" si="1013"/>
        <v>47027</v>
      </c>
      <c r="C2716" s="73">
        <f t="shared" si="994"/>
        <v>47057</v>
      </c>
      <c r="D2716" s="67">
        <f t="shared" si="995"/>
        <v>31</v>
      </c>
      <c r="E2716" s="67">
        <f t="shared" si="996"/>
        <v>10</v>
      </c>
      <c r="F2716" s="74">
        <f t="shared" si="997"/>
        <v>47042.5</v>
      </c>
      <c r="G2716" s="67">
        <f t="shared" si="998"/>
        <v>24345</v>
      </c>
      <c r="H2716" s="75">
        <f t="shared" si="999"/>
        <v>1</v>
      </c>
      <c r="I2716" s="76">
        <f t="shared" si="1000"/>
        <v>1.0649999999999999</v>
      </c>
      <c r="J2716" s="76">
        <f t="shared" si="1001"/>
        <v>1.0649999999999999</v>
      </c>
      <c r="K2716" s="67">
        <f t="shared" si="1002"/>
        <v>0</v>
      </c>
      <c r="L2716" s="67">
        <f t="shared" si="1003"/>
        <v>0</v>
      </c>
      <c r="M2716" s="77">
        <f t="shared" si="1004"/>
        <v>0</v>
      </c>
      <c r="N2716" s="76">
        <f t="shared" si="1005"/>
        <v>1.0649999999999999</v>
      </c>
      <c r="O2716" s="77">
        <f t="shared" si="1006"/>
        <v>0.92</v>
      </c>
      <c r="P2716" s="76">
        <f t="shared" si="1007"/>
        <v>0</v>
      </c>
      <c r="Q2716" s="76">
        <f t="shared" si="1008"/>
        <v>0</v>
      </c>
      <c r="R2716" s="76">
        <f t="shared" si="1009"/>
        <v>0.41666666666666669</v>
      </c>
      <c r="S2716" s="76">
        <f t="shared" si="1010"/>
        <v>1.0649999999999999</v>
      </c>
      <c r="T2716" s="76">
        <f t="shared" si="1011"/>
        <v>1.0538165374369706</v>
      </c>
      <c r="U2716" s="76">
        <f t="shared" si="1012"/>
        <v>1.0649999999999999</v>
      </c>
    </row>
    <row r="2717" spans="1:21" x14ac:dyDescent="0.25">
      <c r="A2717" s="71">
        <v>47</v>
      </c>
      <c r="B2717" s="72">
        <f t="shared" si="1013"/>
        <v>47058</v>
      </c>
      <c r="C2717" s="73">
        <f t="shared" si="994"/>
        <v>47087</v>
      </c>
      <c r="D2717" s="67">
        <f t="shared" si="995"/>
        <v>30</v>
      </c>
      <c r="E2717" s="67">
        <f t="shared" si="996"/>
        <v>11</v>
      </c>
      <c r="F2717" s="74">
        <f t="shared" si="997"/>
        <v>47073</v>
      </c>
      <c r="G2717" s="67">
        <f t="shared" si="998"/>
        <v>24346</v>
      </c>
      <c r="H2717" s="75">
        <f t="shared" si="999"/>
        <v>1</v>
      </c>
      <c r="I2717" s="76">
        <f t="shared" si="1000"/>
        <v>1.0649999999999999</v>
      </c>
      <c r="J2717" s="76">
        <f t="shared" si="1001"/>
        <v>1.0649999999999999</v>
      </c>
      <c r="K2717" s="67">
        <f t="shared" si="1002"/>
        <v>0</v>
      </c>
      <c r="L2717" s="67">
        <f t="shared" si="1003"/>
        <v>0</v>
      </c>
      <c r="M2717" s="77">
        <f t="shared" si="1004"/>
        <v>0</v>
      </c>
      <c r="N2717" s="76">
        <f t="shared" si="1005"/>
        <v>1.0649999999999999</v>
      </c>
      <c r="O2717" s="77">
        <f t="shared" si="1006"/>
        <v>0.92</v>
      </c>
      <c r="P2717" s="76">
        <f t="shared" si="1007"/>
        <v>0</v>
      </c>
      <c r="Q2717" s="76">
        <f t="shared" si="1008"/>
        <v>0</v>
      </c>
      <c r="R2717" s="76">
        <f t="shared" si="1009"/>
        <v>0.25</v>
      </c>
      <c r="S2717" s="76">
        <f t="shared" si="1010"/>
        <v>1.0649999999999999</v>
      </c>
      <c r="T2717" s="76">
        <f t="shared" si="1011"/>
        <v>1.0545891209209399</v>
      </c>
      <c r="U2717" s="76">
        <f t="shared" si="1012"/>
        <v>1.0649999999999999</v>
      </c>
    </row>
    <row r="2718" spans="1:21" x14ac:dyDescent="0.25">
      <c r="A2718" s="71">
        <v>48</v>
      </c>
      <c r="B2718" s="72">
        <f t="shared" si="1013"/>
        <v>47088</v>
      </c>
      <c r="C2718" s="73">
        <f t="shared" si="994"/>
        <v>47118</v>
      </c>
      <c r="D2718" s="67">
        <f t="shared" si="995"/>
        <v>31</v>
      </c>
      <c r="E2718" s="67">
        <f t="shared" si="996"/>
        <v>12</v>
      </c>
      <c r="F2718" s="74">
        <f t="shared" si="997"/>
        <v>47103.5</v>
      </c>
      <c r="G2718" s="67">
        <f t="shared" si="998"/>
        <v>24347</v>
      </c>
      <c r="H2718" s="75">
        <f t="shared" si="999"/>
        <v>1</v>
      </c>
      <c r="I2718" s="76">
        <f t="shared" si="1000"/>
        <v>1.0649999999999999</v>
      </c>
      <c r="J2718" s="76">
        <f t="shared" si="1001"/>
        <v>1.0649999999999999</v>
      </c>
      <c r="K2718" s="67">
        <f t="shared" si="1002"/>
        <v>0</v>
      </c>
      <c r="L2718" s="67">
        <f t="shared" si="1003"/>
        <v>0</v>
      </c>
      <c r="M2718" s="77">
        <f t="shared" si="1004"/>
        <v>0</v>
      </c>
      <c r="N2718" s="76">
        <f t="shared" si="1005"/>
        <v>1.0649999999999999</v>
      </c>
      <c r="O2718" s="77">
        <f t="shared" si="1006"/>
        <v>0.92</v>
      </c>
      <c r="P2718" s="76">
        <f t="shared" si="1007"/>
        <v>0</v>
      </c>
      <c r="Q2718" s="76">
        <f t="shared" si="1008"/>
        <v>0</v>
      </c>
      <c r="R2718" s="76">
        <f t="shared" si="1009"/>
        <v>8.3333333333333329E-2</v>
      </c>
      <c r="S2718" s="76">
        <f t="shared" si="1010"/>
        <v>1.0649999999999999</v>
      </c>
      <c r="T2718" s="76">
        <f t="shared" si="1011"/>
        <v>1.0553617044049091</v>
      </c>
      <c r="U2718" s="76">
        <f t="shared" si="1012"/>
        <v>1.0649999999999999</v>
      </c>
    </row>
    <row r="2719" spans="1:21" x14ac:dyDescent="0.25">
      <c r="A2719" s="81" t="s">
        <v>1187</v>
      </c>
      <c r="B2719" s="53">
        <f>EXP(SUMPRODUCT((rl_key=$A$2668)*(rl_cons="Y")*rl_ln1p))</f>
        <v>1</v>
      </c>
      <c r="C2719" s="53">
        <f>SUMPRODUCT($H$2671:$H$2718,$P$2671:$P$2718,$U$2671:$U$2718)/SUMPRODUCT($H$2671:$H$2718,$P$2671:$P$2718)</f>
        <v>1.0162499999999999</v>
      </c>
      <c r="D2719" s="53">
        <f>SUMPRODUCT($H$2671:$H$2718,$Q$2671:$Q$2718,$U$2671:$U$2718)/SUMPRODUCT($H$2671:$H$2718,$Q$2671:$Q$2718)</f>
        <v>1.0649999999999997</v>
      </c>
      <c r="E2719" s="53">
        <f>SUMPRODUCT($H$2671:$H$2718,$R$2671:$R$2718,$U$2671:$U$2718)/SUMPRODUCT($H$2671:$H$2718,$R$2671:$R$2718)</f>
        <v>1.0649999999999997</v>
      </c>
      <c r="F2719" s="172">
        <f>SUMPRODUCT($H$2671:$H$2718,$Q$2671:$Q$2718,$O$2671:$O$2718)/SUMPRODUCT($H$2671:$H$2718,$Q$2671:$Q$2718)</f>
        <v>0.91399252370532447</v>
      </c>
      <c r="G2719" s="172">
        <f>SUMPRODUCT($H$2671:$H$2718,$R$2671:$R$2718,$O$2671:$O$2718)/SUMPRODUCT($H$2671:$H$2718,$R$2671:$R$2718)</f>
        <v>0.91966022368101141</v>
      </c>
    </row>
    <row r="2722" spans="1:21" x14ac:dyDescent="0.25">
      <c r="A2722" s="81" t="str">
        <f>INDEX(lr_key,50)</f>
        <v>BU-C|IN</v>
      </c>
      <c r="B2722" s="81" t="str">
        <f>INDEX(lr_state,50)</f>
        <v>IN</v>
      </c>
      <c r="C2722" s="55">
        <f>nr_TermMonths</f>
        <v>6</v>
      </c>
      <c r="D2722" s="55">
        <f>IF(COUNTIF(se_state,$B2722)=0,0,MATCH($B2722,se_state,0))</f>
        <v>2</v>
      </c>
      <c r="E2722" s="57">
        <f>IF($D2722=0,0,INDEX(se_sum,$D2722))</f>
        <v>11.999999999999998</v>
      </c>
      <c r="F2722" s="172">
        <f>IF(N(INDEX(lr_mind,50))=0,1,INDEX(lr_mind,50))</f>
        <v>0.92</v>
      </c>
      <c r="G2722" s="172">
        <f>IF(N(INDEX(lr_m0,50))=0,1,INDEX(lr_m0,50))</f>
        <v>0.91</v>
      </c>
      <c r="H2722" s="54">
        <f>IF(N(INDEX(lr_m0asof,50))=0,DATE(nr_PlanYear-1,10,1),INDEX(lr_m0asof,50))</f>
        <v>46295</v>
      </c>
      <c r="I2722" s="172">
        <f>IF(N(INDEX(lr_m1,50))=0,1,INDEX(lr_m1,50))</f>
        <v>0.9</v>
      </c>
      <c r="J2722" s="172">
        <f>INDEX(lr_mprior,50)</f>
        <v>0</v>
      </c>
      <c r="K2722" s="172">
        <f>INDEX(lr_m2,50)</f>
        <v>0</v>
      </c>
      <c r="L2722" s="81" t="b">
        <f>NOT(ISBLANK(INDEX(lr_netp,50)))</f>
        <v>0</v>
      </c>
      <c r="M2722" s="52">
        <f>N(INDEX(lr_netp,50))</f>
        <v>0</v>
      </c>
      <c r="N2722" s="52">
        <f>IF(ISBLANK(INDEX(lr_netp1,50)),$M$2722,N(INDEX(lr_netp1,50)))</f>
        <v>0</v>
      </c>
      <c r="O2722" s="55">
        <f>IF(AND(nr_ModAdjMaster="ON",INDEX(lr_modadj,50)="ON"),1,0)</f>
        <v>1</v>
      </c>
    </row>
    <row r="2723" spans="1:21" x14ac:dyDescent="0.25">
      <c r="A2723" s="81">
        <f>EDATE($H$2722,-12)+1</f>
        <v>45931</v>
      </c>
      <c r="B2723" s="81">
        <f>$H$2722+1</f>
        <v>46296</v>
      </c>
      <c r="C2723" s="81">
        <f>DATE(nr_PlanYear,12,31)+1</f>
        <v>46753</v>
      </c>
      <c r="D2723" s="81">
        <f>DATE(nr_PlanYear+1,12,31)+1</f>
        <v>47119</v>
      </c>
      <c r="E2723" s="81">
        <f>IF(N($J$2722)=0,$F$2723-($G$2723-$F$2723)/($C$2723-$B$2723)*($B$2723-$A$2723),$J$2722)</f>
        <v>0.91798687089715536</v>
      </c>
      <c r="F2723" s="81">
        <f>$G$2722</f>
        <v>0.91</v>
      </c>
      <c r="G2723" s="81">
        <f>$I$2722</f>
        <v>0.9</v>
      </c>
      <c r="H2723" s="81">
        <f>IF(N($K$2722)=0,$I$2722,$K$2722)</f>
        <v>0.9</v>
      </c>
      <c r="I2723" s="81">
        <f>($F$2723-$E$2723)/($B$2723-$A$2723)</f>
        <v>-2.1881838074398162E-5</v>
      </c>
      <c r="J2723" s="81">
        <f>($G$2723-$F$2723)/($C$2723-$B$2723)</f>
        <v>-2.188183807439827E-5</v>
      </c>
      <c r="K2723" s="81">
        <f>($H$2723-$G$2723)/($D$2723-$C$2723)</f>
        <v>0</v>
      </c>
    </row>
    <row r="2724" spans="1:21" ht="36" x14ac:dyDescent="0.25">
      <c r="A2724" s="50" t="s">
        <v>211</v>
      </c>
      <c r="B2724" s="50" t="s">
        <v>212</v>
      </c>
      <c r="C2724" s="50" t="s">
        <v>213</v>
      </c>
      <c r="D2724" s="50" t="s">
        <v>214</v>
      </c>
      <c r="E2724" s="50" t="s">
        <v>215</v>
      </c>
      <c r="F2724" s="50" t="s">
        <v>216</v>
      </c>
      <c r="G2724" s="50" t="s">
        <v>217</v>
      </c>
      <c r="H2724" s="50" t="s">
        <v>218</v>
      </c>
      <c r="I2724" s="50" t="s">
        <v>219</v>
      </c>
      <c r="J2724" s="50" t="s">
        <v>220</v>
      </c>
      <c r="K2724" s="50" t="s">
        <v>221</v>
      </c>
      <c r="L2724" s="50" t="s">
        <v>222</v>
      </c>
      <c r="M2724" s="50" t="s">
        <v>223</v>
      </c>
      <c r="N2724" s="50" t="s">
        <v>224</v>
      </c>
      <c r="O2724" s="50" t="s">
        <v>225</v>
      </c>
      <c r="P2724" s="50" t="s">
        <v>226</v>
      </c>
      <c r="Q2724" s="50" t="s">
        <v>227</v>
      </c>
      <c r="R2724" s="50" t="s">
        <v>228</v>
      </c>
      <c r="S2724" s="50" t="s">
        <v>229</v>
      </c>
      <c r="T2724" s="50" t="s">
        <v>230</v>
      </c>
      <c r="U2724" s="50" t="s">
        <v>231</v>
      </c>
    </row>
    <row r="2725" spans="1:21" x14ac:dyDescent="0.25">
      <c r="A2725" s="71">
        <v>1</v>
      </c>
      <c r="B2725" s="72">
        <f>DATE(nr_PlanYear-2,1,1)</f>
        <v>45658</v>
      </c>
      <c r="C2725" s="73">
        <f t="shared" ref="C2725:C2772" si="1014">EOMONTH($B2725,0)</f>
        <v>45688</v>
      </c>
      <c r="D2725" s="67">
        <f t="shared" ref="D2725:D2772" si="1015">$C2725-$B2725+1</f>
        <v>31</v>
      </c>
      <c r="E2725" s="67">
        <f t="shared" ref="E2725:E2772" si="1016">MONTH($B2725)</f>
        <v>1</v>
      </c>
      <c r="F2725" s="74">
        <f t="shared" ref="F2725:F2772" si="1017">($B2725+$C2725+1)/2</f>
        <v>45673.5</v>
      </c>
      <c r="G2725" s="67">
        <f t="shared" ref="G2725:G2772" si="1018">YEAR($B2725)*12+MONTH($B2725)-1</f>
        <v>24300</v>
      </c>
      <c r="H2725" s="75">
        <f t="shared" ref="H2725:H2772" si="1019">IF(OR(nr_SeasonOn="OFF",$D$2722=0,$E$2722=0),1,12*INDEX(se_block,$D$2722,$E2725)/$E$2722)</f>
        <v>1</v>
      </c>
      <c r="I2725" s="76">
        <f t="shared" ref="I2725:I2772" si="1020">EXP(SUMPRODUCT((rl_eff&lt;$B2725)*(rl_key=$A$2722)*rl_ln1p))</f>
        <v>1</v>
      </c>
      <c r="J2725" s="76">
        <f t="shared" ref="J2725:J2772" si="1021">EXP(SUMPRODUCT((rl_eff&lt;=$C2725)*(rl_key=$A$2722)*rl_ln1p))</f>
        <v>1</v>
      </c>
      <c r="K2725" s="67">
        <f t="shared" ref="K2725:K2772" si="1022">COUNTIFS(rl_key,$A$2722,rl_eff,"&gt;="&amp;$B2725,rl_eff,"&lt;="&amp;$C2725)</f>
        <v>0</v>
      </c>
      <c r="L2725" s="67">
        <f t="shared" ref="L2725:L2772" si="1023">SUMIFS(rl_daysafter,rl_key,$A$2722,rl_effmonth,$B2725,rl_first,1)</f>
        <v>0</v>
      </c>
      <c r="M2725" s="77">
        <f t="shared" ref="M2725:M2772" si="1024">IF($K2725=0,0,MIN(1,$L2725/$D2725))</f>
        <v>0</v>
      </c>
      <c r="N2725" s="76">
        <f t="shared" ref="N2725:N2772" si="1025">IF($K2725=0,$J2725,(1-$M2725)*$I2725+$M2725*$J2725)</f>
        <v>1</v>
      </c>
      <c r="O2725" s="77">
        <f t="shared" ref="O2725:O2772" si="1026">IF($F2725&lt;$B$2723,$E$2723+$I$2723*($F2725-$A$2723),IF($F2725&lt;$C$2723,$F$2723+$J$2723*($F2725-$B$2723),$G$2723+$K$2723*($F2725-$C$2723)))</f>
        <v>0.92362144420131287</v>
      </c>
      <c r="P2725" s="76">
        <f t="shared" ref="P2725:P2772" si="1027">MIN(1,MAX(0,(nr_MEndPm1-$G2725+0.5)/$C$2722))-MIN(1,MAX(0,(nr_MStartPm1-1-$G2725+0.5)/$C$2722))</f>
        <v>0</v>
      </c>
      <c r="Q2725" s="76">
        <f t="shared" ref="Q2725:Q2772" si="1028">MIN(1,MAX(0,(nr_MEndP-$G2725+0.5)/$C$2722))-MIN(1,MAX(0,(nr_MStartP-1-$G2725+0.5)/$C$2722))</f>
        <v>0</v>
      </c>
      <c r="R2725" s="76">
        <f t="shared" ref="R2725:R2772" si="1029">MIN(1,MAX(0,(nr_MEndP1-$G2725+0.5)/$C$2722))-MIN(1,MAX(0,(nr_MStartP1-1-$G2725+0.5)/$C$2722))</f>
        <v>0</v>
      </c>
      <c r="S2725" s="76">
        <f t="shared" ref="S2725:S2772" si="1030">$N2725*IF($O$2722=1,$O2725/$F$2722,1)</f>
        <v>1.0039363523927314</v>
      </c>
      <c r="T2725" s="76">
        <f t="shared" ref="T2725:T2772" si="1031">IF($G2725&lt;nr_MStartP,$S2725,$T2713*(1+IF($G2725&lt;nr_MStartP1,$M$2722,$N$2722)))</f>
        <v>1.0039363523927314</v>
      </c>
      <c r="U2725" s="76">
        <f t="shared" ref="U2725:U2772" si="1032">IF($L$2722,$T2725,$N2725)</f>
        <v>1</v>
      </c>
    </row>
    <row r="2726" spans="1:21" x14ac:dyDescent="0.25">
      <c r="A2726" s="71">
        <v>2</v>
      </c>
      <c r="B2726" s="72">
        <f t="shared" ref="B2726:B2772" si="1033">EDATE($B2725,1)</f>
        <v>45689</v>
      </c>
      <c r="C2726" s="73">
        <f t="shared" si="1014"/>
        <v>45716</v>
      </c>
      <c r="D2726" s="67">
        <f t="shared" si="1015"/>
        <v>28</v>
      </c>
      <c r="E2726" s="67">
        <f t="shared" si="1016"/>
        <v>2</v>
      </c>
      <c r="F2726" s="74">
        <f t="shared" si="1017"/>
        <v>45703</v>
      </c>
      <c r="G2726" s="67">
        <f t="shared" si="1018"/>
        <v>24301</v>
      </c>
      <c r="H2726" s="75">
        <f t="shared" si="1019"/>
        <v>1</v>
      </c>
      <c r="I2726" s="76">
        <f t="shared" si="1020"/>
        <v>1</v>
      </c>
      <c r="J2726" s="76">
        <f t="shared" si="1021"/>
        <v>1</v>
      </c>
      <c r="K2726" s="67">
        <f t="shared" si="1022"/>
        <v>0</v>
      </c>
      <c r="L2726" s="67">
        <f t="shared" si="1023"/>
        <v>0</v>
      </c>
      <c r="M2726" s="77">
        <f t="shared" si="1024"/>
        <v>0</v>
      </c>
      <c r="N2726" s="76">
        <f t="shared" si="1025"/>
        <v>1</v>
      </c>
      <c r="O2726" s="77">
        <f t="shared" si="1026"/>
        <v>0.92297592997811817</v>
      </c>
      <c r="P2726" s="76">
        <f t="shared" si="1027"/>
        <v>0</v>
      </c>
      <c r="Q2726" s="76">
        <f t="shared" si="1028"/>
        <v>0</v>
      </c>
      <c r="R2726" s="76">
        <f t="shared" si="1029"/>
        <v>0</v>
      </c>
      <c r="S2726" s="76">
        <f t="shared" si="1030"/>
        <v>1.0032347064979545</v>
      </c>
      <c r="T2726" s="76">
        <f t="shared" si="1031"/>
        <v>1.0032347064979545</v>
      </c>
      <c r="U2726" s="76">
        <f t="shared" si="1032"/>
        <v>1</v>
      </c>
    </row>
    <row r="2727" spans="1:21" x14ac:dyDescent="0.25">
      <c r="A2727" s="71">
        <v>3</v>
      </c>
      <c r="B2727" s="72">
        <f t="shared" si="1033"/>
        <v>45717</v>
      </c>
      <c r="C2727" s="73">
        <f t="shared" si="1014"/>
        <v>45747</v>
      </c>
      <c r="D2727" s="67">
        <f t="shared" si="1015"/>
        <v>31</v>
      </c>
      <c r="E2727" s="67">
        <f t="shared" si="1016"/>
        <v>3</v>
      </c>
      <c r="F2727" s="74">
        <f t="shared" si="1017"/>
        <v>45732.5</v>
      </c>
      <c r="G2727" s="67">
        <f t="shared" si="1018"/>
        <v>24302</v>
      </c>
      <c r="H2727" s="75">
        <f t="shared" si="1019"/>
        <v>1</v>
      </c>
      <c r="I2727" s="76">
        <f t="shared" si="1020"/>
        <v>1</v>
      </c>
      <c r="J2727" s="76">
        <f t="shared" si="1021"/>
        <v>1</v>
      </c>
      <c r="K2727" s="67">
        <f t="shared" si="1022"/>
        <v>0</v>
      </c>
      <c r="L2727" s="67">
        <f t="shared" si="1023"/>
        <v>0</v>
      </c>
      <c r="M2727" s="77">
        <f t="shared" si="1024"/>
        <v>0</v>
      </c>
      <c r="N2727" s="76">
        <f t="shared" si="1025"/>
        <v>1</v>
      </c>
      <c r="O2727" s="77">
        <f t="shared" si="1026"/>
        <v>0.92233041575492336</v>
      </c>
      <c r="P2727" s="76">
        <f t="shared" si="1027"/>
        <v>0</v>
      </c>
      <c r="Q2727" s="76">
        <f t="shared" si="1028"/>
        <v>0</v>
      </c>
      <c r="R2727" s="76">
        <f t="shared" si="1029"/>
        <v>0</v>
      </c>
      <c r="S2727" s="76">
        <f t="shared" si="1030"/>
        <v>1.0025330606031775</v>
      </c>
      <c r="T2727" s="76">
        <f t="shared" si="1031"/>
        <v>1.0025330606031775</v>
      </c>
      <c r="U2727" s="76">
        <f t="shared" si="1032"/>
        <v>1</v>
      </c>
    </row>
    <row r="2728" spans="1:21" x14ac:dyDescent="0.25">
      <c r="A2728" s="71">
        <v>4</v>
      </c>
      <c r="B2728" s="72">
        <f t="shared" si="1033"/>
        <v>45748</v>
      </c>
      <c r="C2728" s="73">
        <f t="shared" si="1014"/>
        <v>45777</v>
      </c>
      <c r="D2728" s="67">
        <f t="shared" si="1015"/>
        <v>30</v>
      </c>
      <c r="E2728" s="67">
        <f t="shared" si="1016"/>
        <v>4</v>
      </c>
      <c r="F2728" s="74">
        <f t="shared" si="1017"/>
        <v>45763</v>
      </c>
      <c r="G2728" s="67">
        <f t="shared" si="1018"/>
        <v>24303</v>
      </c>
      <c r="H2728" s="75">
        <f t="shared" si="1019"/>
        <v>1</v>
      </c>
      <c r="I2728" s="76">
        <f t="shared" si="1020"/>
        <v>1</v>
      </c>
      <c r="J2728" s="76">
        <f t="shared" si="1021"/>
        <v>1</v>
      </c>
      <c r="K2728" s="67">
        <f t="shared" si="1022"/>
        <v>0</v>
      </c>
      <c r="L2728" s="67">
        <f t="shared" si="1023"/>
        <v>0</v>
      </c>
      <c r="M2728" s="77">
        <f t="shared" si="1024"/>
        <v>0</v>
      </c>
      <c r="N2728" s="76">
        <f t="shared" si="1025"/>
        <v>1</v>
      </c>
      <c r="O2728" s="77">
        <f t="shared" si="1026"/>
        <v>0.92166301969365427</v>
      </c>
      <c r="P2728" s="76">
        <f t="shared" si="1027"/>
        <v>0</v>
      </c>
      <c r="Q2728" s="76">
        <f t="shared" si="1028"/>
        <v>0</v>
      </c>
      <c r="R2728" s="76">
        <f t="shared" si="1029"/>
        <v>0</v>
      </c>
      <c r="S2728" s="76">
        <f t="shared" si="1030"/>
        <v>1.0018076301017982</v>
      </c>
      <c r="T2728" s="76">
        <f t="shared" si="1031"/>
        <v>1.0018076301017982</v>
      </c>
      <c r="U2728" s="76">
        <f t="shared" si="1032"/>
        <v>1</v>
      </c>
    </row>
    <row r="2729" spans="1:21" x14ac:dyDescent="0.25">
      <c r="A2729" s="71">
        <v>5</v>
      </c>
      <c r="B2729" s="72">
        <f t="shared" si="1033"/>
        <v>45778</v>
      </c>
      <c r="C2729" s="73">
        <f t="shared" si="1014"/>
        <v>45808</v>
      </c>
      <c r="D2729" s="67">
        <f t="shared" si="1015"/>
        <v>31</v>
      </c>
      <c r="E2729" s="67">
        <f t="shared" si="1016"/>
        <v>5</v>
      </c>
      <c r="F2729" s="74">
        <f t="shared" si="1017"/>
        <v>45793.5</v>
      </c>
      <c r="G2729" s="67">
        <f t="shared" si="1018"/>
        <v>24304</v>
      </c>
      <c r="H2729" s="75">
        <f t="shared" si="1019"/>
        <v>1</v>
      </c>
      <c r="I2729" s="76">
        <f t="shared" si="1020"/>
        <v>1</v>
      </c>
      <c r="J2729" s="76">
        <f t="shared" si="1021"/>
        <v>1</v>
      </c>
      <c r="K2729" s="67">
        <f t="shared" si="1022"/>
        <v>0</v>
      </c>
      <c r="L2729" s="67">
        <f t="shared" si="1023"/>
        <v>0</v>
      </c>
      <c r="M2729" s="77">
        <f t="shared" si="1024"/>
        <v>0</v>
      </c>
      <c r="N2729" s="76">
        <f t="shared" si="1025"/>
        <v>1</v>
      </c>
      <c r="O2729" s="77">
        <f t="shared" si="1026"/>
        <v>0.92099562363238507</v>
      </c>
      <c r="P2729" s="76">
        <f t="shared" si="1027"/>
        <v>0</v>
      </c>
      <c r="Q2729" s="76">
        <f t="shared" si="1028"/>
        <v>0</v>
      </c>
      <c r="R2729" s="76">
        <f t="shared" si="1029"/>
        <v>0</v>
      </c>
      <c r="S2729" s="76">
        <f t="shared" si="1030"/>
        <v>1.0010821996004184</v>
      </c>
      <c r="T2729" s="76">
        <f t="shared" si="1031"/>
        <v>1.0010821996004184</v>
      </c>
      <c r="U2729" s="76">
        <f t="shared" si="1032"/>
        <v>1</v>
      </c>
    </row>
    <row r="2730" spans="1:21" x14ac:dyDescent="0.25">
      <c r="A2730" s="71">
        <v>6</v>
      </c>
      <c r="B2730" s="72">
        <f t="shared" si="1033"/>
        <v>45809</v>
      </c>
      <c r="C2730" s="73">
        <f t="shared" si="1014"/>
        <v>45838</v>
      </c>
      <c r="D2730" s="67">
        <f t="shared" si="1015"/>
        <v>30</v>
      </c>
      <c r="E2730" s="67">
        <f t="shared" si="1016"/>
        <v>6</v>
      </c>
      <c r="F2730" s="74">
        <f t="shared" si="1017"/>
        <v>45824</v>
      </c>
      <c r="G2730" s="67">
        <f t="shared" si="1018"/>
        <v>24305</v>
      </c>
      <c r="H2730" s="75">
        <f t="shared" si="1019"/>
        <v>1</v>
      </c>
      <c r="I2730" s="76">
        <f t="shared" si="1020"/>
        <v>1</v>
      </c>
      <c r="J2730" s="76">
        <f t="shared" si="1021"/>
        <v>1</v>
      </c>
      <c r="K2730" s="67">
        <f t="shared" si="1022"/>
        <v>0</v>
      </c>
      <c r="L2730" s="67">
        <f t="shared" si="1023"/>
        <v>0</v>
      </c>
      <c r="M2730" s="77">
        <f t="shared" si="1024"/>
        <v>0</v>
      </c>
      <c r="N2730" s="76">
        <f t="shared" si="1025"/>
        <v>1</v>
      </c>
      <c r="O2730" s="77">
        <f t="shared" si="1026"/>
        <v>0.92032822757111599</v>
      </c>
      <c r="P2730" s="76">
        <f t="shared" si="1027"/>
        <v>0</v>
      </c>
      <c r="Q2730" s="76">
        <f t="shared" si="1028"/>
        <v>0</v>
      </c>
      <c r="R2730" s="76">
        <f t="shared" si="1029"/>
        <v>0</v>
      </c>
      <c r="S2730" s="76">
        <f t="shared" si="1030"/>
        <v>1.0003567690990391</v>
      </c>
      <c r="T2730" s="76">
        <f t="shared" si="1031"/>
        <v>1.0003567690990391</v>
      </c>
      <c r="U2730" s="76">
        <f t="shared" si="1032"/>
        <v>1</v>
      </c>
    </row>
    <row r="2731" spans="1:21" x14ac:dyDescent="0.25">
      <c r="A2731" s="71">
        <v>7</v>
      </c>
      <c r="B2731" s="72">
        <f t="shared" si="1033"/>
        <v>45839</v>
      </c>
      <c r="C2731" s="73">
        <f t="shared" si="1014"/>
        <v>45869</v>
      </c>
      <c r="D2731" s="67">
        <f t="shared" si="1015"/>
        <v>31</v>
      </c>
      <c r="E2731" s="67">
        <f t="shared" si="1016"/>
        <v>7</v>
      </c>
      <c r="F2731" s="74">
        <f t="shared" si="1017"/>
        <v>45854.5</v>
      </c>
      <c r="G2731" s="67">
        <f t="shared" si="1018"/>
        <v>24306</v>
      </c>
      <c r="H2731" s="75">
        <f t="shared" si="1019"/>
        <v>1</v>
      </c>
      <c r="I2731" s="76">
        <f t="shared" si="1020"/>
        <v>1</v>
      </c>
      <c r="J2731" s="76">
        <f t="shared" si="1021"/>
        <v>1</v>
      </c>
      <c r="K2731" s="67">
        <f t="shared" si="1022"/>
        <v>0</v>
      </c>
      <c r="L2731" s="67">
        <f t="shared" si="1023"/>
        <v>0</v>
      </c>
      <c r="M2731" s="77">
        <f t="shared" si="1024"/>
        <v>0</v>
      </c>
      <c r="N2731" s="76">
        <f t="shared" si="1025"/>
        <v>1</v>
      </c>
      <c r="O2731" s="77">
        <f t="shared" si="1026"/>
        <v>0.91966083150984679</v>
      </c>
      <c r="P2731" s="76">
        <f t="shared" si="1027"/>
        <v>8.333333333333337E-2</v>
      </c>
      <c r="Q2731" s="76">
        <f t="shared" si="1028"/>
        <v>0</v>
      </c>
      <c r="R2731" s="76">
        <f t="shared" si="1029"/>
        <v>0</v>
      </c>
      <c r="S2731" s="76">
        <f t="shared" si="1030"/>
        <v>0.99963133859765951</v>
      </c>
      <c r="T2731" s="76">
        <f t="shared" si="1031"/>
        <v>0.99963133859765951</v>
      </c>
      <c r="U2731" s="76">
        <f t="shared" si="1032"/>
        <v>1</v>
      </c>
    </row>
    <row r="2732" spans="1:21" x14ac:dyDescent="0.25">
      <c r="A2732" s="71">
        <v>8</v>
      </c>
      <c r="B2732" s="72">
        <f t="shared" si="1033"/>
        <v>45870</v>
      </c>
      <c r="C2732" s="73">
        <f t="shared" si="1014"/>
        <v>45900</v>
      </c>
      <c r="D2732" s="67">
        <f t="shared" si="1015"/>
        <v>31</v>
      </c>
      <c r="E2732" s="67">
        <f t="shared" si="1016"/>
        <v>8</v>
      </c>
      <c r="F2732" s="74">
        <f t="shared" si="1017"/>
        <v>45885.5</v>
      </c>
      <c r="G2732" s="67">
        <f t="shared" si="1018"/>
        <v>24307</v>
      </c>
      <c r="H2732" s="75">
        <f t="shared" si="1019"/>
        <v>1</v>
      </c>
      <c r="I2732" s="76">
        <f t="shared" si="1020"/>
        <v>1</v>
      </c>
      <c r="J2732" s="76">
        <f t="shared" si="1021"/>
        <v>1</v>
      </c>
      <c r="K2732" s="67">
        <f t="shared" si="1022"/>
        <v>0</v>
      </c>
      <c r="L2732" s="67">
        <f t="shared" si="1023"/>
        <v>0</v>
      </c>
      <c r="M2732" s="77">
        <f t="shared" si="1024"/>
        <v>0</v>
      </c>
      <c r="N2732" s="76">
        <f t="shared" si="1025"/>
        <v>1</v>
      </c>
      <c r="O2732" s="77">
        <f t="shared" si="1026"/>
        <v>0.91898249452954051</v>
      </c>
      <c r="P2732" s="76">
        <f t="shared" si="1027"/>
        <v>0.25</v>
      </c>
      <c r="Q2732" s="76">
        <f t="shared" si="1028"/>
        <v>0</v>
      </c>
      <c r="R2732" s="76">
        <f t="shared" si="1029"/>
        <v>0</v>
      </c>
      <c r="S2732" s="76">
        <f t="shared" si="1030"/>
        <v>0.99889401579297876</v>
      </c>
      <c r="T2732" s="76">
        <f t="shared" si="1031"/>
        <v>0.99889401579297876</v>
      </c>
      <c r="U2732" s="76">
        <f t="shared" si="1032"/>
        <v>1</v>
      </c>
    </row>
    <row r="2733" spans="1:21" x14ac:dyDescent="0.25">
      <c r="A2733" s="71">
        <v>9</v>
      </c>
      <c r="B2733" s="72">
        <f t="shared" si="1033"/>
        <v>45901</v>
      </c>
      <c r="C2733" s="73">
        <f t="shared" si="1014"/>
        <v>45930</v>
      </c>
      <c r="D2733" s="67">
        <f t="shared" si="1015"/>
        <v>30</v>
      </c>
      <c r="E2733" s="67">
        <f t="shared" si="1016"/>
        <v>9</v>
      </c>
      <c r="F2733" s="74">
        <f t="shared" si="1017"/>
        <v>45916</v>
      </c>
      <c r="G2733" s="67">
        <f t="shared" si="1018"/>
        <v>24308</v>
      </c>
      <c r="H2733" s="75">
        <f t="shared" si="1019"/>
        <v>1</v>
      </c>
      <c r="I2733" s="76">
        <f t="shared" si="1020"/>
        <v>1</v>
      </c>
      <c r="J2733" s="76">
        <f t="shared" si="1021"/>
        <v>1</v>
      </c>
      <c r="K2733" s="67">
        <f t="shared" si="1022"/>
        <v>0</v>
      </c>
      <c r="L2733" s="67">
        <f t="shared" si="1023"/>
        <v>0</v>
      </c>
      <c r="M2733" s="77">
        <f t="shared" si="1024"/>
        <v>0</v>
      </c>
      <c r="N2733" s="76">
        <f t="shared" si="1025"/>
        <v>1</v>
      </c>
      <c r="O2733" s="77">
        <f t="shared" si="1026"/>
        <v>0.91831509846827131</v>
      </c>
      <c r="P2733" s="76">
        <f t="shared" si="1027"/>
        <v>0.41666666666666663</v>
      </c>
      <c r="Q2733" s="76">
        <f t="shared" si="1028"/>
        <v>0</v>
      </c>
      <c r="R2733" s="76">
        <f t="shared" si="1029"/>
        <v>0</v>
      </c>
      <c r="S2733" s="76">
        <f t="shared" si="1030"/>
        <v>0.99816858529159924</v>
      </c>
      <c r="T2733" s="76">
        <f t="shared" si="1031"/>
        <v>0.99816858529159924</v>
      </c>
      <c r="U2733" s="76">
        <f t="shared" si="1032"/>
        <v>1</v>
      </c>
    </row>
    <row r="2734" spans="1:21" x14ac:dyDescent="0.25">
      <c r="A2734" s="71">
        <v>10</v>
      </c>
      <c r="B2734" s="72">
        <f t="shared" si="1033"/>
        <v>45931</v>
      </c>
      <c r="C2734" s="73">
        <f t="shared" si="1014"/>
        <v>45961</v>
      </c>
      <c r="D2734" s="67">
        <f t="shared" si="1015"/>
        <v>31</v>
      </c>
      <c r="E2734" s="67">
        <f t="shared" si="1016"/>
        <v>10</v>
      </c>
      <c r="F2734" s="74">
        <f t="shared" si="1017"/>
        <v>45946.5</v>
      </c>
      <c r="G2734" s="67">
        <f t="shared" si="1018"/>
        <v>24309</v>
      </c>
      <c r="H2734" s="75">
        <f t="shared" si="1019"/>
        <v>1</v>
      </c>
      <c r="I2734" s="76">
        <f t="shared" si="1020"/>
        <v>1</v>
      </c>
      <c r="J2734" s="76">
        <f t="shared" si="1021"/>
        <v>1</v>
      </c>
      <c r="K2734" s="67">
        <f t="shared" si="1022"/>
        <v>0</v>
      </c>
      <c r="L2734" s="67">
        <f t="shared" si="1023"/>
        <v>0</v>
      </c>
      <c r="M2734" s="77">
        <f t="shared" si="1024"/>
        <v>0</v>
      </c>
      <c r="N2734" s="76">
        <f t="shared" si="1025"/>
        <v>1</v>
      </c>
      <c r="O2734" s="77">
        <f t="shared" si="1026"/>
        <v>0.91764770240700222</v>
      </c>
      <c r="P2734" s="76">
        <f t="shared" si="1027"/>
        <v>0.58333333333333326</v>
      </c>
      <c r="Q2734" s="76">
        <f t="shared" si="1028"/>
        <v>0</v>
      </c>
      <c r="R2734" s="76">
        <f t="shared" si="1029"/>
        <v>0</v>
      </c>
      <c r="S2734" s="76">
        <f t="shared" si="1030"/>
        <v>0.99744315479021972</v>
      </c>
      <c r="T2734" s="76">
        <f t="shared" si="1031"/>
        <v>0.99744315479021972</v>
      </c>
      <c r="U2734" s="76">
        <f t="shared" si="1032"/>
        <v>1</v>
      </c>
    </row>
    <row r="2735" spans="1:21" x14ac:dyDescent="0.25">
      <c r="A2735" s="71">
        <v>11</v>
      </c>
      <c r="B2735" s="72">
        <f t="shared" si="1033"/>
        <v>45962</v>
      </c>
      <c r="C2735" s="73">
        <f t="shared" si="1014"/>
        <v>45991</v>
      </c>
      <c r="D2735" s="67">
        <f t="shared" si="1015"/>
        <v>30</v>
      </c>
      <c r="E2735" s="67">
        <f t="shared" si="1016"/>
        <v>11</v>
      </c>
      <c r="F2735" s="74">
        <f t="shared" si="1017"/>
        <v>45977</v>
      </c>
      <c r="G2735" s="67">
        <f t="shared" si="1018"/>
        <v>24310</v>
      </c>
      <c r="H2735" s="75">
        <f t="shared" si="1019"/>
        <v>1</v>
      </c>
      <c r="I2735" s="76">
        <f t="shared" si="1020"/>
        <v>1</v>
      </c>
      <c r="J2735" s="76">
        <f t="shared" si="1021"/>
        <v>1</v>
      </c>
      <c r="K2735" s="67">
        <f t="shared" si="1022"/>
        <v>0</v>
      </c>
      <c r="L2735" s="67">
        <f t="shared" si="1023"/>
        <v>0</v>
      </c>
      <c r="M2735" s="77">
        <f t="shared" si="1024"/>
        <v>0</v>
      </c>
      <c r="N2735" s="76">
        <f t="shared" si="1025"/>
        <v>1</v>
      </c>
      <c r="O2735" s="77">
        <f t="shared" si="1026"/>
        <v>0.91698030634573302</v>
      </c>
      <c r="P2735" s="76">
        <f t="shared" si="1027"/>
        <v>0.75</v>
      </c>
      <c r="Q2735" s="76">
        <f t="shared" si="1028"/>
        <v>0</v>
      </c>
      <c r="R2735" s="76">
        <f t="shared" si="1029"/>
        <v>0</v>
      </c>
      <c r="S2735" s="76">
        <f t="shared" si="1030"/>
        <v>0.9967177242888402</v>
      </c>
      <c r="T2735" s="76">
        <f t="shared" si="1031"/>
        <v>0.9967177242888402</v>
      </c>
      <c r="U2735" s="76">
        <f t="shared" si="1032"/>
        <v>1</v>
      </c>
    </row>
    <row r="2736" spans="1:21" x14ac:dyDescent="0.25">
      <c r="A2736" s="71">
        <v>12</v>
      </c>
      <c r="B2736" s="72">
        <f t="shared" si="1033"/>
        <v>45992</v>
      </c>
      <c r="C2736" s="73">
        <f t="shared" si="1014"/>
        <v>46022</v>
      </c>
      <c r="D2736" s="67">
        <f t="shared" si="1015"/>
        <v>31</v>
      </c>
      <c r="E2736" s="67">
        <f t="shared" si="1016"/>
        <v>12</v>
      </c>
      <c r="F2736" s="74">
        <f t="shared" si="1017"/>
        <v>46007.5</v>
      </c>
      <c r="G2736" s="67">
        <f t="shared" si="1018"/>
        <v>24311</v>
      </c>
      <c r="H2736" s="75">
        <f t="shared" si="1019"/>
        <v>1</v>
      </c>
      <c r="I2736" s="76">
        <f t="shared" si="1020"/>
        <v>1</v>
      </c>
      <c r="J2736" s="76">
        <f t="shared" si="1021"/>
        <v>1</v>
      </c>
      <c r="K2736" s="67">
        <f t="shared" si="1022"/>
        <v>0</v>
      </c>
      <c r="L2736" s="67">
        <f t="shared" si="1023"/>
        <v>0</v>
      </c>
      <c r="M2736" s="77">
        <f t="shared" si="1024"/>
        <v>0</v>
      </c>
      <c r="N2736" s="76">
        <f t="shared" si="1025"/>
        <v>1</v>
      </c>
      <c r="O2736" s="77">
        <f t="shared" si="1026"/>
        <v>0.91631291028446393</v>
      </c>
      <c r="P2736" s="76">
        <f t="shared" si="1027"/>
        <v>0.91666666666666663</v>
      </c>
      <c r="Q2736" s="76">
        <f t="shared" si="1028"/>
        <v>0</v>
      </c>
      <c r="R2736" s="76">
        <f t="shared" si="1029"/>
        <v>0</v>
      </c>
      <c r="S2736" s="76">
        <f t="shared" si="1030"/>
        <v>0.99599229378746079</v>
      </c>
      <c r="T2736" s="76">
        <f t="shared" si="1031"/>
        <v>0.99599229378746079</v>
      </c>
      <c r="U2736" s="76">
        <f t="shared" si="1032"/>
        <v>1</v>
      </c>
    </row>
    <row r="2737" spans="1:21" x14ac:dyDescent="0.25">
      <c r="A2737" s="71">
        <v>13</v>
      </c>
      <c r="B2737" s="72">
        <f t="shared" si="1033"/>
        <v>46023</v>
      </c>
      <c r="C2737" s="73">
        <f t="shared" si="1014"/>
        <v>46053</v>
      </c>
      <c r="D2737" s="67">
        <f t="shared" si="1015"/>
        <v>31</v>
      </c>
      <c r="E2737" s="67">
        <f t="shared" si="1016"/>
        <v>1</v>
      </c>
      <c r="F2737" s="74">
        <f t="shared" si="1017"/>
        <v>46038.5</v>
      </c>
      <c r="G2737" s="67">
        <f t="shared" si="1018"/>
        <v>24312</v>
      </c>
      <c r="H2737" s="75">
        <f t="shared" si="1019"/>
        <v>1</v>
      </c>
      <c r="I2737" s="76">
        <f t="shared" si="1020"/>
        <v>1</v>
      </c>
      <c r="J2737" s="76">
        <f t="shared" si="1021"/>
        <v>1</v>
      </c>
      <c r="K2737" s="67">
        <f t="shared" si="1022"/>
        <v>0</v>
      </c>
      <c r="L2737" s="67">
        <f t="shared" si="1023"/>
        <v>0</v>
      </c>
      <c r="M2737" s="77">
        <f t="shared" si="1024"/>
        <v>0</v>
      </c>
      <c r="N2737" s="76">
        <f t="shared" si="1025"/>
        <v>1</v>
      </c>
      <c r="O2737" s="77">
        <f t="shared" si="1026"/>
        <v>0.91563457330415754</v>
      </c>
      <c r="P2737" s="76">
        <f t="shared" si="1027"/>
        <v>1</v>
      </c>
      <c r="Q2737" s="76">
        <f t="shared" si="1028"/>
        <v>0</v>
      </c>
      <c r="R2737" s="76">
        <f t="shared" si="1029"/>
        <v>0</v>
      </c>
      <c r="S2737" s="76">
        <f t="shared" si="1030"/>
        <v>0.99525497098277993</v>
      </c>
      <c r="T2737" s="76">
        <f t="shared" si="1031"/>
        <v>0.99525497098277993</v>
      </c>
      <c r="U2737" s="76">
        <f t="shared" si="1032"/>
        <v>1</v>
      </c>
    </row>
    <row r="2738" spans="1:21" x14ac:dyDescent="0.25">
      <c r="A2738" s="71">
        <v>14</v>
      </c>
      <c r="B2738" s="72">
        <f t="shared" si="1033"/>
        <v>46054</v>
      </c>
      <c r="C2738" s="73">
        <f t="shared" si="1014"/>
        <v>46081</v>
      </c>
      <c r="D2738" s="67">
        <f t="shared" si="1015"/>
        <v>28</v>
      </c>
      <c r="E2738" s="67">
        <f t="shared" si="1016"/>
        <v>2</v>
      </c>
      <c r="F2738" s="74">
        <f t="shared" si="1017"/>
        <v>46068</v>
      </c>
      <c r="G2738" s="67">
        <f t="shared" si="1018"/>
        <v>24313</v>
      </c>
      <c r="H2738" s="75">
        <f t="shared" si="1019"/>
        <v>1</v>
      </c>
      <c r="I2738" s="76">
        <f t="shared" si="1020"/>
        <v>1</v>
      </c>
      <c r="J2738" s="76">
        <f t="shared" si="1021"/>
        <v>1.06</v>
      </c>
      <c r="K2738" s="67">
        <f t="shared" si="1022"/>
        <v>1</v>
      </c>
      <c r="L2738" s="67">
        <f t="shared" si="1023"/>
        <v>28</v>
      </c>
      <c r="M2738" s="77">
        <f t="shared" si="1024"/>
        <v>1</v>
      </c>
      <c r="N2738" s="76">
        <f t="shared" si="1025"/>
        <v>1.06</v>
      </c>
      <c r="O2738" s="77">
        <f t="shared" si="1026"/>
        <v>0.91498905908096284</v>
      </c>
      <c r="P2738" s="76">
        <f t="shared" si="1027"/>
        <v>1</v>
      </c>
      <c r="Q2738" s="76">
        <f t="shared" si="1028"/>
        <v>0</v>
      </c>
      <c r="R2738" s="76">
        <f t="shared" si="1029"/>
        <v>0</v>
      </c>
      <c r="S2738" s="76">
        <f t="shared" si="1030"/>
        <v>1.0542265245932834</v>
      </c>
      <c r="T2738" s="76">
        <f t="shared" si="1031"/>
        <v>1.0542265245932834</v>
      </c>
      <c r="U2738" s="76">
        <f t="shared" si="1032"/>
        <v>1.06</v>
      </c>
    </row>
    <row r="2739" spans="1:21" x14ac:dyDescent="0.25">
      <c r="A2739" s="71">
        <v>15</v>
      </c>
      <c r="B2739" s="72">
        <f t="shared" si="1033"/>
        <v>46082</v>
      </c>
      <c r="C2739" s="73">
        <f t="shared" si="1014"/>
        <v>46112</v>
      </c>
      <c r="D2739" s="67">
        <f t="shared" si="1015"/>
        <v>31</v>
      </c>
      <c r="E2739" s="67">
        <f t="shared" si="1016"/>
        <v>3</v>
      </c>
      <c r="F2739" s="74">
        <f t="shared" si="1017"/>
        <v>46097.5</v>
      </c>
      <c r="G2739" s="67">
        <f t="shared" si="1018"/>
        <v>24314</v>
      </c>
      <c r="H2739" s="75">
        <f t="shared" si="1019"/>
        <v>1</v>
      </c>
      <c r="I2739" s="76">
        <f t="shared" si="1020"/>
        <v>1.06</v>
      </c>
      <c r="J2739" s="76">
        <f t="shared" si="1021"/>
        <v>1.06</v>
      </c>
      <c r="K2739" s="67">
        <f t="shared" si="1022"/>
        <v>0</v>
      </c>
      <c r="L2739" s="67">
        <f t="shared" si="1023"/>
        <v>0</v>
      </c>
      <c r="M2739" s="77">
        <f t="shared" si="1024"/>
        <v>0</v>
      </c>
      <c r="N2739" s="76">
        <f t="shared" si="1025"/>
        <v>1.06</v>
      </c>
      <c r="O2739" s="77">
        <f t="shared" si="1026"/>
        <v>0.91434354485776803</v>
      </c>
      <c r="P2739" s="76">
        <f t="shared" si="1027"/>
        <v>1</v>
      </c>
      <c r="Q2739" s="76">
        <f t="shared" si="1028"/>
        <v>0</v>
      </c>
      <c r="R2739" s="76">
        <f t="shared" si="1029"/>
        <v>0</v>
      </c>
      <c r="S2739" s="76">
        <f t="shared" si="1030"/>
        <v>1.0534827799448196</v>
      </c>
      <c r="T2739" s="76">
        <f t="shared" si="1031"/>
        <v>1.0534827799448196</v>
      </c>
      <c r="U2739" s="76">
        <f t="shared" si="1032"/>
        <v>1.06</v>
      </c>
    </row>
    <row r="2740" spans="1:21" x14ac:dyDescent="0.25">
      <c r="A2740" s="71">
        <v>16</v>
      </c>
      <c r="B2740" s="72">
        <f t="shared" si="1033"/>
        <v>46113</v>
      </c>
      <c r="C2740" s="73">
        <f t="shared" si="1014"/>
        <v>46142</v>
      </c>
      <c r="D2740" s="67">
        <f t="shared" si="1015"/>
        <v>30</v>
      </c>
      <c r="E2740" s="67">
        <f t="shared" si="1016"/>
        <v>4</v>
      </c>
      <c r="F2740" s="74">
        <f t="shared" si="1017"/>
        <v>46128</v>
      </c>
      <c r="G2740" s="67">
        <f t="shared" si="1018"/>
        <v>24315</v>
      </c>
      <c r="H2740" s="75">
        <f t="shared" si="1019"/>
        <v>1</v>
      </c>
      <c r="I2740" s="76">
        <f t="shared" si="1020"/>
        <v>1.06</v>
      </c>
      <c r="J2740" s="76">
        <f t="shared" si="1021"/>
        <v>1.06</v>
      </c>
      <c r="K2740" s="67">
        <f t="shared" si="1022"/>
        <v>0</v>
      </c>
      <c r="L2740" s="67">
        <f t="shared" si="1023"/>
        <v>0</v>
      </c>
      <c r="M2740" s="77">
        <f t="shared" si="1024"/>
        <v>0</v>
      </c>
      <c r="N2740" s="76">
        <f t="shared" si="1025"/>
        <v>1.06</v>
      </c>
      <c r="O2740" s="77">
        <f t="shared" si="1026"/>
        <v>0.91367614879649894</v>
      </c>
      <c r="P2740" s="76">
        <f t="shared" si="1027"/>
        <v>1</v>
      </c>
      <c r="Q2740" s="76">
        <f t="shared" si="1028"/>
        <v>0</v>
      </c>
      <c r="R2740" s="76">
        <f t="shared" si="1029"/>
        <v>0</v>
      </c>
      <c r="S2740" s="76">
        <f t="shared" si="1030"/>
        <v>1.0527138236133575</v>
      </c>
      <c r="T2740" s="76">
        <f t="shared" si="1031"/>
        <v>1.0527138236133575</v>
      </c>
      <c r="U2740" s="76">
        <f t="shared" si="1032"/>
        <v>1.06</v>
      </c>
    </row>
    <row r="2741" spans="1:21" x14ac:dyDescent="0.25">
      <c r="A2741" s="71">
        <v>17</v>
      </c>
      <c r="B2741" s="72">
        <f t="shared" si="1033"/>
        <v>46143</v>
      </c>
      <c r="C2741" s="73">
        <f t="shared" si="1014"/>
        <v>46173</v>
      </c>
      <c r="D2741" s="67">
        <f t="shared" si="1015"/>
        <v>31</v>
      </c>
      <c r="E2741" s="67">
        <f t="shared" si="1016"/>
        <v>5</v>
      </c>
      <c r="F2741" s="74">
        <f t="shared" si="1017"/>
        <v>46158.5</v>
      </c>
      <c r="G2741" s="67">
        <f t="shared" si="1018"/>
        <v>24316</v>
      </c>
      <c r="H2741" s="75">
        <f t="shared" si="1019"/>
        <v>1</v>
      </c>
      <c r="I2741" s="76">
        <f t="shared" si="1020"/>
        <v>1.06</v>
      </c>
      <c r="J2741" s="76">
        <f t="shared" si="1021"/>
        <v>1.06</v>
      </c>
      <c r="K2741" s="67">
        <f t="shared" si="1022"/>
        <v>0</v>
      </c>
      <c r="L2741" s="67">
        <f t="shared" si="1023"/>
        <v>0</v>
      </c>
      <c r="M2741" s="77">
        <f t="shared" si="1024"/>
        <v>0</v>
      </c>
      <c r="N2741" s="76">
        <f t="shared" si="1025"/>
        <v>1.06</v>
      </c>
      <c r="O2741" s="77">
        <f t="shared" si="1026"/>
        <v>0.91300875273522974</v>
      </c>
      <c r="P2741" s="76">
        <f t="shared" si="1027"/>
        <v>1</v>
      </c>
      <c r="Q2741" s="76">
        <f t="shared" si="1028"/>
        <v>0</v>
      </c>
      <c r="R2741" s="76">
        <f t="shared" si="1029"/>
        <v>0</v>
      </c>
      <c r="S2741" s="76">
        <f t="shared" si="1030"/>
        <v>1.0519448672818952</v>
      </c>
      <c r="T2741" s="76">
        <f t="shared" si="1031"/>
        <v>1.0519448672818952</v>
      </c>
      <c r="U2741" s="76">
        <f t="shared" si="1032"/>
        <v>1.06</v>
      </c>
    </row>
    <row r="2742" spans="1:21" x14ac:dyDescent="0.25">
      <c r="A2742" s="71">
        <v>18</v>
      </c>
      <c r="B2742" s="72">
        <f t="shared" si="1033"/>
        <v>46174</v>
      </c>
      <c r="C2742" s="73">
        <f t="shared" si="1014"/>
        <v>46203</v>
      </c>
      <c r="D2742" s="67">
        <f t="shared" si="1015"/>
        <v>30</v>
      </c>
      <c r="E2742" s="67">
        <f t="shared" si="1016"/>
        <v>6</v>
      </c>
      <c r="F2742" s="74">
        <f t="shared" si="1017"/>
        <v>46189</v>
      </c>
      <c r="G2742" s="67">
        <f t="shared" si="1018"/>
        <v>24317</v>
      </c>
      <c r="H2742" s="75">
        <f t="shared" si="1019"/>
        <v>1</v>
      </c>
      <c r="I2742" s="76">
        <f t="shared" si="1020"/>
        <v>1.06</v>
      </c>
      <c r="J2742" s="76">
        <f t="shared" si="1021"/>
        <v>1.06</v>
      </c>
      <c r="K2742" s="67">
        <f t="shared" si="1022"/>
        <v>0</v>
      </c>
      <c r="L2742" s="67">
        <f t="shared" si="1023"/>
        <v>0</v>
      </c>
      <c r="M2742" s="77">
        <f t="shared" si="1024"/>
        <v>0</v>
      </c>
      <c r="N2742" s="76">
        <f t="shared" si="1025"/>
        <v>1.06</v>
      </c>
      <c r="O2742" s="77">
        <f t="shared" si="1026"/>
        <v>0.91234135667396066</v>
      </c>
      <c r="P2742" s="76">
        <f t="shared" si="1027"/>
        <v>1</v>
      </c>
      <c r="Q2742" s="76">
        <f t="shared" si="1028"/>
        <v>0</v>
      </c>
      <c r="R2742" s="76">
        <f t="shared" si="1029"/>
        <v>0</v>
      </c>
      <c r="S2742" s="76">
        <f t="shared" si="1030"/>
        <v>1.0511759109504328</v>
      </c>
      <c r="T2742" s="76">
        <f t="shared" si="1031"/>
        <v>1.0511759109504328</v>
      </c>
      <c r="U2742" s="76">
        <f t="shared" si="1032"/>
        <v>1.06</v>
      </c>
    </row>
    <row r="2743" spans="1:21" x14ac:dyDescent="0.25">
      <c r="A2743" s="71">
        <v>19</v>
      </c>
      <c r="B2743" s="72">
        <f t="shared" si="1033"/>
        <v>46204</v>
      </c>
      <c r="C2743" s="73">
        <f t="shared" si="1014"/>
        <v>46234</v>
      </c>
      <c r="D2743" s="67">
        <f t="shared" si="1015"/>
        <v>31</v>
      </c>
      <c r="E2743" s="67">
        <f t="shared" si="1016"/>
        <v>7</v>
      </c>
      <c r="F2743" s="74">
        <f t="shared" si="1017"/>
        <v>46219.5</v>
      </c>
      <c r="G2743" s="67">
        <f t="shared" si="1018"/>
        <v>24318</v>
      </c>
      <c r="H2743" s="75">
        <f t="shared" si="1019"/>
        <v>1</v>
      </c>
      <c r="I2743" s="76">
        <f t="shared" si="1020"/>
        <v>1.06</v>
      </c>
      <c r="J2743" s="76">
        <f t="shared" si="1021"/>
        <v>1.06</v>
      </c>
      <c r="K2743" s="67">
        <f t="shared" si="1022"/>
        <v>0</v>
      </c>
      <c r="L2743" s="67">
        <f t="shared" si="1023"/>
        <v>0</v>
      </c>
      <c r="M2743" s="77">
        <f t="shared" si="1024"/>
        <v>0</v>
      </c>
      <c r="N2743" s="76">
        <f t="shared" si="1025"/>
        <v>1.06</v>
      </c>
      <c r="O2743" s="77">
        <f t="shared" si="1026"/>
        <v>0.91167396061269146</v>
      </c>
      <c r="P2743" s="76">
        <f t="shared" si="1027"/>
        <v>0.91666666666666663</v>
      </c>
      <c r="Q2743" s="76">
        <f t="shared" si="1028"/>
        <v>8.333333333333337E-2</v>
      </c>
      <c r="R2743" s="76">
        <f t="shared" si="1029"/>
        <v>0</v>
      </c>
      <c r="S2743" s="76">
        <f t="shared" si="1030"/>
        <v>1.0504069546189705</v>
      </c>
      <c r="T2743" s="76">
        <f t="shared" si="1031"/>
        <v>1.0504069546189705</v>
      </c>
      <c r="U2743" s="76">
        <f t="shared" si="1032"/>
        <v>1.06</v>
      </c>
    </row>
    <row r="2744" spans="1:21" x14ac:dyDescent="0.25">
      <c r="A2744" s="71">
        <v>20</v>
      </c>
      <c r="B2744" s="72">
        <f t="shared" si="1033"/>
        <v>46235</v>
      </c>
      <c r="C2744" s="73">
        <f t="shared" si="1014"/>
        <v>46265</v>
      </c>
      <c r="D2744" s="67">
        <f t="shared" si="1015"/>
        <v>31</v>
      </c>
      <c r="E2744" s="67">
        <f t="shared" si="1016"/>
        <v>8</v>
      </c>
      <c r="F2744" s="74">
        <f t="shared" si="1017"/>
        <v>46250.5</v>
      </c>
      <c r="G2744" s="67">
        <f t="shared" si="1018"/>
        <v>24319</v>
      </c>
      <c r="H2744" s="75">
        <f t="shared" si="1019"/>
        <v>1</v>
      </c>
      <c r="I2744" s="76">
        <f t="shared" si="1020"/>
        <v>1.06</v>
      </c>
      <c r="J2744" s="76">
        <f t="shared" si="1021"/>
        <v>1.06</v>
      </c>
      <c r="K2744" s="67">
        <f t="shared" si="1022"/>
        <v>0</v>
      </c>
      <c r="L2744" s="67">
        <f t="shared" si="1023"/>
        <v>0</v>
      </c>
      <c r="M2744" s="77">
        <f t="shared" si="1024"/>
        <v>0</v>
      </c>
      <c r="N2744" s="76">
        <f t="shared" si="1025"/>
        <v>1.06</v>
      </c>
      <c r="O2744" s="77">
        <f t="shared" si="1026"/>
        <v>0.91099562363238518</v>
      </c>
      <c r="P2744" s="76">
        <f t="shared" si="1027"/>
        <v>0.75</v>
      </c>
      <c r="Q2744" s="76">
        <f t="shared" si="1028"/>
        <v>0.25</v>
      </c>
      <c r="R2744" s="76">
        <f t="shared" si="1029"/>
        <v>0</v>
      </c>
      <c r="S2744" s="76">
        <f t="shared" si="1030"/>
        <v>1.0496253924460091</v>
      </c>
      <c r="T2744" s="76">
        <f t="shared" si="1031"/>
        <v>1.0496253924460091</v>
      </c>
      <c r="U2744" s="76">
        <f t="shared" si="1032"/>
        <v>1.06</v>
      </c>
    </row>
    <row r="2745" spans="1:21" x14ac:dyDescent="0.25">
      <c r="A2745" s="71">
        <v>21</v>
      </c>
      <c r="B2745" s="72">
        <f t="shared" si="1033"/>
        <v>46266</v>
      </c>
      <c r="C2745" s="73">
        <f t="shared" si="1014"/>
        <v>46295</v>
      </c>
      <c r="D2745" s="67">
        <f t="shared" si="1015"/>
        <v>30</v>
      </c>
      <c r="E2745" s="67">
        <f t="shared" si="1016"/>
        <v>9</v>
      </c>
      <c r="F2745" s="74">
        <f t="shared" si="1017"/>
        <v>46281</v>
      </c>
      <c r="G2745" s="67">
        <f t="shared" si="1018"/>
        <v>24320</v>
      </c>
      <c r="H2745" s="75">
        <f t="shared" si="1019"/>
        <v>1</v>
      </c>
      <c r="I2745" s="76">
        <f t="shared" si="1020"/>
        <v>1.06</v>
      </c>
      <c r="J2745" s="76">
        <f t="shared" si="1021"/>
        <v>1.06</v>
      </c>
      <c r="K2745" s="67">
        <f t="shared" si="1022"/>
        <v>0</v>
      </c>
      <c r="L2745" s="67">
        <f t="shared" si="1023"/>
        <v>0</v>
      </c>
      <c r="M2745" s="77">
        <f t="shared" si="1024"/>
        <v>0</v>
      </c>
      <c r="N2745" s="76">
        <f t="shared" si="1025"/>
        <v>1.06</v>
      </c>
      <c r="O2745" s="77">
        <f t="shared" si="1026"/>
        <v>0.91032822757111598</v>
      </c>
      <c r="P2745" s="76">
        <f t="shared" si="1027"/>
        <v>0.58333333333333337</v>
      </c>
      <c r="Q2745" s="76">
        <f t="shared" si="1028"/>
        <v>0.41666666666666663</v>
      </c>
      <c r="R2745" s="76">
        <f t="shared" si="1029"/>
        <v>0</v>
      </c>
      <c r="S2745" s="76">
        <f t="shared" si="1030"/>
        <v>1.0488564361145467</v>
      </c>
      <c r="T2745" s="76">
        <f t="shared" si="1031"/>
        <v>1.0488564361145467</v>
      </c>
      <c r="U2745" s="76">
        <f t="shared" si="1032"/>
        <v>1.06</v>
      </c>
    </row>
    <row r="2746" spans="1:21" x14ac:dyDescent="0.25">
      <c r="A2746" s="71">
        <v>22</v>
      </c>
      <c r="B2746" s="72">
        <f t="shared" si="1033"/>
        <v>46296</v>
      </c>
      <c r="C2746" s="73">
        <f t="shared" si="1014"/>
        <v>46326</v>
      </c>
      <c r="D2746" s="67">
        <f t="shared" si="1015"/>
        <v>31</v>
      </c>
      <c r="E2746" s="67">
        <f t="shared" si="1016"/>
        <v>10</v>
      </c>
      <c r="F2746" s="74">
        <f t="shared" si="1017"/>
        <v>46311.5</v>
      </c>
      <c r="G2746" s="67">
        <f t="shared" si="1018"/>
        <v>24321</v>
      </c>
      <c r="H2746" s="75">
        <f t="shared" si="1019"/>
        <v>1</v>
      </c>
      <c r="I2746" s="76">
        <f t="shared" si="1020"/>
        <v>1.06</v>
      </c>
      <c r="J2746" s="76">
        <f t="shared" si="1021"/>
        <v>1.06</v>
      </c>
      <c r="K2746" s="67">
        <f t="shared" si="1022"/>
        <v>0</v>
      </c>
      <c r="L2746" s="67">
        <f t="shared" si="1023"/>
        <v>0</v>
      </c>
      <c r="M2746" s="77">
        <f t="shared" si="1024"/>
        <v>0</v>
      </c>
      <c r="N2746" s="76">
        <f t="shared" si="1025"/>
        <v>1.06</v>
      </c>
      <c r="O2746" s="77">
        <f t="shared" si="1026"/>
        <v>0.90966083150984689</v>
      </c>
      <c r="P2746" s="76">
        <f t="shared" si="1027"/>
        <v>0.41666666666666669</v>
      </c>
      <c r="Q2746" s="76">
        <f t="shared" si="1028"/>
        <v>0.58333333333333326</v>
      </c>
      <c r="R2746" s="76">
        <f t="shared" si="1029"/>
        <v>0</v>
      </c>
      <c r="S2746" s="76">
        <f t="shared" si="1030"/>
        <v>1.0480874797830844</v>
      </c>
      <c r="T2746" s="76">
        <f t="shared" si="1031"/>
        <v>1.0480874797830844</v>
      </c>
      <c r="U2746" s="76">
        <f t="shared" si="1032"/>
        <v>1.06</v>
      </c>
    </row>
    <row r="2747" spans="1:21" x14ac:dyDescent="0.25">
      <c r="A2747" s="71">
        <v>23</v>
      </c>
      <c r="B2747" s="72">
        <f t="shared" si="1033"/>
        <v>46327</v>
      </c>
      <c r="C2747" s="73">
        <f t="shared" si="1014"/>
        <v>46356</v>
      </c>
      <c r="D2747" s="67">
        <f t="shared" si="1015"/>
        <v>30</v>
      </c>
      <c r="E2747" s="67">
        <f t="shared" si="1016"/>
        <v>11</v>
      </c>
      <c r="F2747" s="74">
        <f t="shared" si="1017"/>
        <v>46342</v>
      </c>
      <c r="G2747" s="67">
        <f t="shared" si="1018"/>
        <v>24322</v>
      </c>
      <c r="H2747" s="75">
        <f t="shared" si="1019"/>
        <v>1</v>
      </c>
      <c r="I2747" s="76">
        <f t="shared" si="1020"/>
        <v>1.06</v>
      </c>
      <c r="J2747" s="76">
        <f t="shared" si="1021"/>
        <v>1.06</v>
      </c>
      <c r="K2747" s="67">
        <f t="shared" si="1022"/>
        <v>0</v>
      </c>
      <c r="L2747" s="67">
        <f t="shared" si="1023"/>
        <v>0</v>
      </c>
      <c r="M2747" s="77">
        <f t="shared" si="1024"/>
        <v>0</v>
      </c>
      <c r="N2747" s="76">
        <f t="shared" si="1025"/>
        <v>1.06</v>
      </c>
      <c r="O2747" s="77">
        <f t="shared" si="1026"/>
        <v>0.90899343544857769</v>
      </c>
      <c r="P2747" s="76">
        <f t="shared" si="1027"/>
        <v>0.25</v>
      </c>
      <c r="Q2747" s="76">
        <f t="shared" si="1028"/>
        <v>0.75</v>
      </c>
      <c r="R2747" s="76">
        <f t="shared" si="1029"/>
        <v>0</v>
      </c>
      <c r="S2747" s="76">
        <f t="shared" si="1030"/>
        <v>1.047318523451622</v>
      </c>
      <c r="T2747" s="76">
        <f t="shared" si="1031"/>
        <v>1.047318523451622</v>
      </c>
      <c r="U2747" s="76">
        <f t="shared" si="1032"/>
        <v>1.06</v>
      </c>
    </row>
    <row r="2748" spans="1:21" x14ac:dyDescent="0.25">
      <c r="A2748" s="71">
        <v>24</v>
      </c>
      <c r="B2748" s="72">
        <f t="shared" si="1033"/>
        <v>46357</v>
      </c>
      <c r="C2748" s="73">
        <f t="shared" si="1014"/>
        <v>46387</v>
      </c>
      <c r="D2748" s="67">
        <f t="shared" si="1015"/>
        <v>31</v>
      </c>
      <c r="E2748" s="67">
        <f t="shared" si="1016"/>
        <v>12</v>
      </c>
      <c r="F2748" s="74">
        <f t="shared" si="1017"/>
        <v>46372.5</v>
      </c>
      <c r="G2748" s="67">
        <f t="shared" si="1018"/>
        <v>24323</v>
      </c>
      <c r="H2748" s="75">
        <f t="shared" si="1019"/>
        <v>1</v>
      </c>
      <c r="I2748" s="76">
        <f t="shared" si="1020"/>
        <v>1.06</v>
      </c>
      <c r="J2748" s="76">
        <f t="shared" si="1021"/>
        <v>1.06</v>
      </c>
      <c r="K2748" s="67">
        <f t="shared" si="1022"/>
        <v>0</v>
      </c>
      <c r="L2748" s="67">
        <f t="shared" si="1023"/>
        <v>0</v>
      </c>
      <c r="M2748" s="77">
        <f t="shared" si="1024"/>
        <v>0</v>
      </c>
      <c r="N2748" s="76">
        <f t="shared" si="1025"/>
        <v>1.06</v>
      </c>
      <c r="O2748" s="77">
        <f t="shared" si="1026"/>
        <v>0.9083260393873086</v>
      </c>
      <c r="P2748" s="76">
        <f t="shared" si="1027"/>
        <v>8.3333333333333329E-2</v>
      </c>
      <c r="Q2748" s="76">
        <f t="shared" si="1028"/>
        <v>0.91666666666666663</v>
      </c>
      <c r="R2748" s="76">
        <f t="shared" si="1029"/>
        <v>0</v>
      </c>
      <c r="S2748" s="76">
        <f t="shared" si="1030"/>
        <v>1.0465495671201599</v>
      </c>
      <c r="T2748" s="76">
        <f t="shared" si="1031"/>
        <v>1.0465495671201599</v>
      </c>
      <c r="U2748" s="76">
        <f t="shared" si="1032"/>
        <v>1.06</v>
      </c>
    </row>
    <row r="2749" spans="1:21" x14ac:dyDescent="0.25">
      <c r="A2749" s="71">
        <v>25</v>
      </c>
      <c r="B2749" s="72">
        <f t="shared" si="1033"/>
        <v>46388</v>
      </c>
      <c r="C2749" s="73">
        <f t="shared" si="1014"/>
        <v>46418</v>
      </c>
      <c r="D2749" s="67">
        <f t="shared" si="1015"/>
        <v>31</v>
      </c>
      <c r="E2749" s="67">
        <f t="shared" si="1016"/>
        <v>1</v>
      </c>
      <c r="F2749" s="74">
        <f t="shared" si="1017"/>
        <v>46403.5</v>
      </c>
      <c r="G2749" s="67">
        <f t="shared" si="1018"/>
        <v>24324</v>
      </c>
      <c r="H2749" s="75">
        <f t="shared" si="1019"/>
        <v>1</v>
      </c>
      <c r="I2749" s="76">
        <f t="shared" si="1020"/>
        <v>1.06</v>
      </c>
      <c r="J2749" s="76">
        <f t="shared" si="1021"/>
        <v>1.06</v>
      </c>
      <c r="K2749" s="67">
        <f t="shared" si="1022"/>
        <v>0</v>
      </c>
      <c r="L2749" s="67">
        <f t="shared" si="1023"/>
        <v>0</v>
      </c>
      <c r="M2749" s="77">
        <f t="shared" si="1024"/>
        <v>0</v>
      </c>
      <c r="N2749" s="76">
        <f t="shared" si="1025"/>
        <v>1.06</v>
      </c>
      <c r="O2749" s="77">
        <f t="shared" si="1026"/>
        <v>0.90764770240700221</v>
      </c>
      <c r="P2749" s="76">
        <f t="shared" si="1027"/>
        <v>0</v>
      </c>
      <c r="Q2749" s="76">
        <f t="shared" si="1028"/>
        <v>1</v>
      </c>
      <c r="R2749" s="76">
        <f t="shared" si="1029"/>
        <v>0</v>
      </c>
      <c r="S2749" s="76">
        <f t="shared" si="1030"/>
        <v>1.0457680049471982</v>
      </c>
      <c r="T2749" s="76">
        <f t="shared" si="1031"/>
        <v>0.99525497098277993</v>
      </c>
      <c r="U2749" s="76">
        <f t="shared" si="1032"/>
        <v>1.06</v>
      </c>
    </row>
    <row r="2750" spans="1:21" x14ac:dyDescent="0.25">
      <c r="A2750" s="71">
        <v>26</v>
      </c>
      <c r="B2750" s="72">
        <f t="shared" si="1033"/>
        <v>46419</v>
      </c>
      <c r="C2750" s="73">
        <f t="shared" si="1014"/>
        <v>46446</v>
      </c>
      <c r="D2750" s="67">
        <f t="shared" si="1015"/>
        <v>28</v>
      </c>
      <c r="E2750" s="67">
        <f t="shared" si="1016"/>
        <v>2</v>
      </c>
      <c r="F2750" s="74">
        <f t="shared" si="1017"/>
        <v>46433</v>
      </c>
      <c r="G2750" s="67">
        <f t="shared" si="1018"/>
        <v>24325</v>
      </c>
      <c r="H2750" s="75">
        <f t="shared" si="1019"/>
        <v>1</v>
      </c>
      <c r="I2750" s="76">
        <f t="shared" si="1020"/>
        <v>1.06</v>
      </c>
      <c r="J2750" s="76">
        <f t="shared" si="1021"/>
        <v>1.06</v>
      </c>
      <c r="K2750" s="67">
        <f t="shared" si="1022"/>
        <v>0</v>
      </c>
      <c r="L2750" s="67">
        <f t="shared" si="1023"/>
        <v>0</v>
      </c>
      <c r="M2750" s="77">
        <f t="shared" si="1024"/>
        <v>0</v>
      </c>
      <c r="N2750" s="76">
        <f t="shared" si="1025"/>
        <v>1.06</v>
      </c>
      <c r="O2750" s="77">
        <f t="shared" si="1026"/>
        <v>0.90700218818380751</v>
      </c>
      <c r="P2750" s="76">
        <f t="shared" si="1027"/>
        <v>0</v>
      </c>
      <c r="Q2750" s="76">
        <f t="shared" si="1028"/>
        <v>1</v>
      </c>
      <c r="R2750" s="76">
        <f t="shared" si="1029"/>
        <v>0</v>
      </c>
      <c r="S2750" s="76">
        <f t="shared" si="1030"/>
        <v>1.0450242602987347</v>
      </c>
      <c r="T2750" s="76">
        <f t="shared" si="1031"/>
        <v>1.0542265245932834</v>
      </c>
      <c r="U2750" s="76">
        <f t="shared" si="1032"/>
        <v>1.06</v>
      </c>
    </row>
    <row r="2751" spans="1:21" x14ac:dyDescent="0.25">
      <c r="A2751" s="71">
        <v>27</v>
      </c>
      <c r="B2751" s="72">
        <f t="shared" si="1033"/>
        <v>46447</v>
      </c>
      <c r="C2751" s="73">
        <f t="shared" si="1014"/>
        <v>46477</v>
      </c>
      <c r="D2751" s="67">
        <f t="shared" si="1015"/>
        <v>31</v>
      </c>
      <c r="E2751" s="67">
        <f t="shared" si="1016"/>
        <v>3</v>
      </c>
      <c r="F2751" s="74">
        <f t="shared" si="1017"/>
        <v>46462.5</v>
      </c>
      <c r="G2751" s="67">
        <f t="shared" si="1018"/>
        <v>24326</v>
      </c>
      <c r="H2751" s="75">
        <f t="shared" si="1019"/>
        <v>1</v>
      </c>
      <c r="I2751" s="76">
        <f t="shared" si="1020"/>
        <v>1.06</v>
      </c>
      <c r="J2751" s="76">
        <f t="shared" si="1021"/>
        <v>1.06</v>
      </c>
      <c r="K2751" s="67">
        <f t="shared" si="1022"/>
        <v>0</v>
      </c>
      <c r="L2751" s="67">
        <f t="shared" si="1023"/>
        <v>0</v>
      </c>
      <c r="M2751" s="77">
        <f t="shared" si="1024"/>
        <v>0</v>
      </c>
      <c r="N2751" s="76">
        <f t="shared" si="1025"/>
        <v>1.06</v>
      </c>
      <c r="O2751" s="77">
        <f t="shared" si="1026"/>
        <v>0.9063566739606127</v>
      </c>
      <c r="P2751" s="76">
        <f t="shared" si="1027"/>
        <v>0</v>
      </c>
      <c r="Q2751" s="76">
        <f t="shared" si="1028"/>
        <v>1</v>
      </c>
      <c r="R2751" s="76">
        <f t="shared" si="1029"/>
        <v>0</v>
      </c>
      <c r="S2751" s="76">
        <f t="shared" si="1030"/>
        <v>1.044280515650271</v>
      </c>
      <c r="T2751" s="76">
        <f t="shared" si="1031"/>
        <v>1.0534827799448196</v>
      </c>
      <c r="U2751" s="76">
        <f t="shared" si="1032"/>
        <v>1.06</v>
      </c>
    </row>
    <row r="2752" spans="1:21" x14ac:dyDescent="0.25">
      <c r="A2752" s="71">
        <v>28</v>
      </c>
      <c r="B2752" s="72">
        <f t="shared" si="1033"/>
        <v>46478</v>
      </c>
      <c r="C2752" s="73">
        <f t="shared" si="1014"/>
        <v>46507</v>
      </c>
      <c r="D2752" s="67">
        <f t="shared" si="1015"/>
        <v>30</v>
      </c>
      <c r="E2752" s="67">
        <f t="shared" si="1016"/>
        <v>4</v>
      </c>
      <c r="F2752" s="74">
        <f t="shared" si="1017"/>
        <v>46493</v>
      </c>
      <c r="G2752" s="67">
        <f t="shared" si="1018"/>
        <v>24327</v>
      </c>
      <c r="H2752" s="75">
        <f t="shared" si="1019"/>
        <v>1</v>
      </c>
      <c r="I2752" s="76">
        <f t="shared" si="1020"/>
        <v>1.06</v>
      </c>
      <c r="J2752" s="76">
        <f t="shared" si="1021"/>
        <v>1.06</v>
      </c>
      <c r="K2752" s="67">
        <f t="shared" si="1022"/>
        <v>0</v>
      </c>
      <c r="L2752" s="67">
        <f t="shared" si="1023"/>
        <v>0</v>
      </c>
      <c r="M2752" s="77">
        <f t="shared" si="1024"/>
        <v>0</v>
      </c>
      <c r="N2752" s="76">
        <f t="shared" si="1025"/>
        <v>1.06</v>
      </c>
      <c r="O2752" s="77">
        <f t="shared" si="1026"/>
        <v>0.90568927789934361</v>
      </c>
      <c r="P2752" s="76">
        <f t="shared" si="1027"/>
        <v>0</v>
      </c>
      <c r="Q2752" s="76">
        <f t="shared" si="1028"/>
        <v>1</v>
      </c>
      <c r="R2752" s="76">
        <f t="shared" si="1029"/>
        <v>0</v>
      </c>
      <c r="S2752" s="76">
        <f t="shared" si="1030"/>
        <v>1.0435115593188089</v>
      </c>
      <c r="T2752" s="76">
        <f t="shared" si="1031"/>
        <v>1.0527138236133575</v>
      </c>
      <c r="U2752" s="76">
        <f t="shared" si="1032"/>
        <v>1.06</v>
      </c>
    </row>
    <row r="2753" spans="1:21" x14ac:dyDescent="0.25">
      <c r="A2753" s="71">
        <v>29</v>
      </c>
      <c r="B2753" s="72">
        <f t="shared" si="1033"/>
        <v>46508</v>
      </c>
      <c r="C2753" s="73">
        <f t="shared" si="1014"/>
        <v>46538</v>
      </c>
      <c r="D2753" s="67">
        <f t="shared" si="1015"/>
        <v>31</v>
      </c>
      <c r="E2753" s="67">
        <f t="shared" si="1016"/>
        <v>5</v>
      </c>
      <c r="F2753" s="74">
        <f t="shared" si="1017"/>
        <v>46523.5</v>
      </c>
      <c r="G2753" s="67">
        <f t="shared" si="1018"/>
        <v>24328</v>
      </c>
      <c r="H2753" s="75">
        <f t="shared" si="1019"/>
        <v>1</v>
      </c>
      <c r="I2753" s="76">
        <f t="shared" si="1020"/>
        <v>1.06</v>
      </c>
      <c r="J2753" s="76">
        <f t="shared" si="1021"/>
        <v>1.06</v>
      </c>
      <c r="K2753" s="67">
        <f t="shared" si="1022"/>
        <v>0</v>
      </c>
      <c r="L2753" s="67">
        <f t="shared" si="1023"/>
        <v>0</v>
      </c>
      <c r="M2753" s="77">
        <f t="shared" si="1024"/>
        <v>0</v>
      </c>
      <c r="N2753" s="76">
        <f t="shared" si="1025"/>
        <v>1.06</v>
      </c>
      <c r="O2753" s="77">
        <f t="shared" si="1026"/>
        <v>0.90502188183807442</v>
      </c>
      <c r="P2753" s="76">
        <f t="shared" si="1027"/>
        <v>0</v>
      </c>
      <c r="Q2753" s="76">
        <f t="shared" si="1028"/>
        <v>1</v>
      </c>
      <c r="R2753" s="76">
        <f t="shared" si="1029"/>
        <v>0</v>
      </c>
      <c r="S2753" s="76">
        <f t="shared" si="1030"/>
        <v>1.0427426029873466</v>
      </c>
      <c r="T2753" s="76">
        <f t="shared" si="1031"/>
        <v>1.0519448672818952</v>
      </c>
      <c r="U2753" s="76">
        <f t="shared" si="1032"/>
        <v>1.06</v>
      </c>
    </row>
    <row r="2754" spans="1:21" x14ac:dyDescent="0.25">
      <c r="A2754" s="71">
        <v>30</v>
      </c>
      <c r="B2754" s="72">
        <f t="shared" si="1033"/>
        <v>46539</v>
      </c>
      <c r="C2754" s="73">
        <f t="shared" si="1014"/>
        <v>46568</v>
      </c>
      <c r="D2754" s="67">
        <f t="shared" si="1015"/>
        <v>30</v>
      </c>
      <c r="E2754" s="67">
        <f t="shared" si="1016"/>
        <v>6</v>
      </c>
      <c r="F2754" s="74">
        <f t="shared" si="1017"/>
        <v>46554</v>
      </c>
      <c r="G2754" s="67">
        <f t="shared" si="1018"/>
        <v>24329</v>
      </c>
      <c r="H2754" s="75">
        <f t="shared" si="1019"/>
        <v>1</v>
      </c>
      <c r="I2754" s="76">
        <f t="shared" si="1020"/>
        <v>1.06</v>
      </c>
      <c r="J2754" s="76">
        <f t="shared" si="1021"/>
        <v>1.06</v>
      </c>
      <c r="K2754" s="67">
        <f t="shared" si="1022"/>
        <v>0</v>
      </c>
      <c r="L2754" s="67">
        <f t="shared" si="1023"/>
        <v>0</v>
      </c>
      <c r="M2754" s="77">
        <f t="shared" si="1024"/>
        <v>0</v>
      </c>
      <c r="N2754" s="76">
        <f t="shared" si="1025"/>
        <v>1.06</v>
      </c>
      <c r="O2754" s="77">
        <f t="shared" si="1026"/>
        <v>0.90435448577680533</v>
      </c>
      <c r="P2754" s="76">
        <f t="shared" si="1027"/>
        <v>0</v>
      </c>
      <c r="Q2754" s="76">
        <f t="shared" si="1028"/>
        <v>1</v>
      </c>
      <c r="R2754" s="76">
        <f t="shared" si="1029"/>
        <v>0</v>
      </c>
      <c r="S2754" s="76">
        <f t="shared" si="1030"/>
        <v>1.0419736466558844</v>
      </c>
      <c r="T2754" s="76">
        <f t="shared" si="1031"/>
        <v>1.0511759109504328</v>
      </c>
      <c r="U2754" s="76">
        <f t="shared" si="1032"/>
        <v>1.06</v>
      </c>
    </row>
    <row r="2755" spans="1:21" x14ac:dyDescent="0.25">
      <c r="A2755" s="71">
        <v>31</v>
      </c>
      <c r="B2755" s="72">
        <f t="shared" si="1033"/>
        <v>46569</v>
      </c>
      <c r="C2755" s="73">
        <f t="shared" si="1014"/>
        <v>46599</v>
      </c>
      <c r="D2755" s="67">
        <f t="shared" si="1015"/>
        <v>31</v>
      </c>
      <c r="E2755" s="67">
        <f t="shared" si="1016"/>
        <v>7</v>
      </c>
      <c r="F2755" s="74">
        <f t="shared" si="1017"/>
        <v>46584.5</v>
      </c>
      <c r="G2755" s="67">
        <f t="shared" si="1018"/>
        <v>24330</v>
      </c>
      <c r="H2755" s="75">
        <f t="shared" si="1019"/>
        <v>1</v>
      </c>
      <c r="I2755" s="76">
        <f t="shared" si="1020"/>
        <v>1.06</v>
      </c>
      <c r="J2755" s="76">
        <f t="shared" si="1021"/>
        <v>1.06</v>
      </c>
      <c r="K2755" s="67">
        <f t="shared" si="1022"/>
        <v>0</v>
      </c>
      <c r="L2755" s="67">
        <f t="shared" si="1023"/>
        <v>0</v>
      </c>
      <c r="M2755" s="77">
        <f t="shared" si="1024"/>
        <v>0</v>
      </c>
      <c r="N2755" s="76">
        <f t="shared" si="1025"/>
        <v>1.06</v>
      </c>
      <c r="O2755" s="77">
        <f t="shared" si="1026"/>
        <v>0.90368708971553613</v>
      </c>
      <c r="P2755" s="76">
        <f t="shared" si="1027"/>
        <v>0</v>
      </c>
      <c r="Q2755" s="76">
        <f t="shared" si="1028"/>
        <v>0.91666666666666663</v>
      </c>
      <c r="R2755" s="76">
        <f t="shared" si="1029"/>
        <v>8.333333333333337E-2</v>
      </c>
      <c r="S2755" s="76">
        <f t="shared" si="1030"/>
        <v>1.0412046903244221</v>
      </c>
      <c r="T2755" s="76">
        <f t="shared" si="1031"/>
        <v>1.0504069546189705</v>
      </c>
      <c r="U2755" s="76">
        <f t="shared" si="1032"/>
        <v>1.06</v>
      </c>
    </row>
    <row r="2756" spans="1:21" x14ac:dyDescent="0.25">
      <c r="A2756" s="71">
        <v>32</v>
      </c>
      <c r="B2756" s="72">
        <f t="shared" si="1033"/>
        <v>46600</v>
      </c>
      <c r="C2756" s="73">
        <f t="shared" si="1014"/>
        <v>46630</v>
      </c>
      <c r="D2756" s="67">
        <f t="shared" si="1015"/>
        <v>31</v>
      </c>
      <c r="E2756" s="67">
        <f t="shared" si="1016"/>
        <v>8</v>
      </c>
      <c r="F2756" s="74">
        <f t="shared" si="1017"/>
        <v>46615.5</v>
      </c>
      <c r="G2756" s="67">
        <f t="shared" si="1018"/>
        <v>24331</v>
      </c>
      <c r="H2756" s="75">
        <f t="shared" si="1019"/>
        <v>1</v>
      </c>
      <c r="I2756" s="76">
        <f t="shared" si="1020"/>
        <v>1.06</v>
      </c>
      <c r="J2756" s="76">
        <f t="shared" si="1021"/>
        <v>1.06</v>
      </c>
      <c r="K2756" s="67">
        <f t="shared" si="1022"/>
        <v>0</v>
      </c>
      <c r="L2756" s="67">
        <f t="shared" si="1023"/>
        <v>0</v>
      </c>
      <c r="M2756" s="77">
        <f t="shared" si="1024"/>
        <v>0</v>
      </c>
      <c r="N2756" s="76">
        <f t="shared" si="1025"/>
        <v>1.06</v>
      </c>
      <c r="O2756" s="77">
        <f t="shared" si="1026"/>
        <v>0.90300875273522974</v>
      </c>
      <c r="P2756" s="76">
        <f t="shared" si="1027"/>
        <v>0</v>
      </c>
      <c r="Q2756" s="76">
        <f t="shared" si="1028"/>
        <v>0.75</v>
      </c>
      <c r="R2756" s="76">
        <f t="shared" si="1029"/>
        <v>0.25</v>
      </c>
      <c r="S2756" s="76">
        <f t="shared" si="1030"/>
        <v>1.0404231281514604</v>
      </c>
      <c r="T2756" s="76">
        <f t="shared" si="1031"/>
        <v>1.0496253924460091</v>
      </c>
      <c r="U2756" s="76">
        <f t="shared" si="1032"/>
        <v>1.06</v>
      </c>
    </row>
    <row r="2757" spans="1:21" x14ac:dyDescent="0.25">
      <c r="A2757" s="71">
        <v>33</v>
      </c>
      <c r="B2757" s="72">
        <f t="shared" si="1033"/>
        <v>46631</v>
      </c>
      <c r="C2757" s="73">
        <f t="shared" si="1014"/>
        <v>46660</v>
      </c>
      <c r="D2757" s="67">
        <f t="shared" si="1015"/>
        <v>30</v>
      </c>
      <c r="E2757" s="67">
        <f t="shared" si="1016"/>
        <v>9</v>
      </c>
      <c r="F2757" s="74">
        <f t="shared" si="1017"/>
        <v>46646</v>
      </c>
      <c r="G2757" s="67">
        <f t="shared" si="1018"/>
        <v>24332</v>
      </c>
      <c r="H2757" s="75">
        <f t="shared" si="1019"/>
        <v>1</v>
      </c>
      <c r="I2757" s="76">
        <f t="shared" si="1020"/>
        <v>1.06</v>
      </c>
      <c r="J2757" s="76">
        <f t="shared" si="1021"/>
        <v>1.06</v>
      </c>
      <c r="K2757" s="67">
        <f t="shared" si="1022"/>
        <v>0</v>
      </c>
      <c r="L2757" s="67">
        <f t="shared" si="1023"/>
        <v>0</v>
      </c>
      <c r="M2757" s="77">
        <f t="shared" si="1024"/>
        <v>0</v>
      </c>
      <c r="N2757" s="76">
        <f t="shared" si="1025"/>
        <v>1.06</v>
      </c>
      <c r="O2757" s="77">
        <f t="shared" si="1026"/>
        <v>0.90234135667396065</v>
      </c>
      <c r="P2757" s="76">
        <f t="shared" si="1027"/>
        <v>0</v>
      </c>
      <c r="Q2757" s="76">
        <f t="shared" si="1028"/>
        <v>0.58333333333333337</v>
      </c>
      <c r="R2757" s="76">
        <f t="shared" si="1029"/>
        <v>0.41666666666666663</v>
      </c>
      <c r="S2757" s="76">
        <f t="shared" si="1030"/>
        <v>1.0396541718199981</v>
      </c>
      <c r="T2757" s="76">
        <f t="shared" si="1031"/>
        <v>1.0488564361145467</v>
      </c>
      <c r="U2757" s="76">
        <f t="shared" si="1032"/>
        <v>1.06</v>
      </c>
    </row>
    <row r="2758" spans="1:21" x14ac:dyDescent="0.25">
      <c r="A2758" s="71">
        <v>34</v>
      </c>
      <c r="B2758" s="72">
        <f t="shared" si="1033"/>
        <v>46661</v>
      </c>
      <c r="C2758" s="73">
        <f t="shared" si="1014"/>
        <v>46691</v>
      </c>
      <c r="D2758" s="67">
        <f t="shared" si="1015"/>
        <v>31</v>
      </c>
      <c r="E2758" s="67">
        <f t="shared" si="1016"/>
        <v>10</v>
      </c>
      <c r="F2758" s="74">
        <f t="shared" si="1017"/>
        <v>46676.5</v>
      </c>
      <c r="G2758" s="67">
        <f t="shared" si="1018"/>
        <v>24333</v>
      </c>
      <c r="H2758" s="75">
        <f t="shared" si="1019"/>
        <v>1</v>
      </c>
      <c r="I2758" s="76">
        <f t="shared" si="1020"/>
        <v>1.06</v>
      </c>
      <c r="J2758" s="76">
        <f t="shared" si="1021"/>
        <v>1.1024</v>
      </c>
      <c r="K2758" s="67">
        <f t="shared" si="1022"/>
        <v>1</v>
      </c>
      <c r="L2758" s="67">
        <f t="shared" si="1023"/>
        <v>31</v>
      </c>
      <c r="M2758" s="77">
        <f t="shared" si="1024"/>
        <v>1</v>
      </c>
      <c r="N2758" s="76">
        <f t="shared" si="1025"/>
        <v>1.1024</v>
      </c>
      <c r="O2758" s="77">
        <f t="shared" si="1026"/>
        <v>0.90167396061269145</v>
      </c>
      <c r="P2758" s="76">
        <f t="shared" si="1027"/>
        <v>0</v>
      </c>
      <c r="Q2758" s="76">
        <f t="shared" si="1028"/>
        <v>0.41666666666666669</v>
      </c>
      <c r="R2758" s="76">
        <f t="shared" si="1029"/>
        <v>0.58333333333333326</v>
      </c>
      <c r="S2758" s="76">
        <f t="shared" si="1030"/>
        <v>1.0804406241080773</v>
      </c>
      <c r="T2758" s="76">
        <f t="shared" si="1031"/>
        <v>1.0480874797830844</v>
      </c>
      <c r="U2758" s="76">
        <f t="shared" si="1032"/>
        <v>1.1024</v>
      </c>
    </row>
    <row r="2759" spans="1:21" x14ac:dyDescent="0.25">
      <c r="A2759" s="71">
        <v>35</v>
      </c>
      <c r="B2759" s="72">
        <f t="shared" si="1033"/>
        <v>46692</v>
      </c>
      <c r="C2759" s="73">
        <f t="shared" si="1014"/>
        <v>46721</v>
      </c>
      <c r="D2759" s="67">
        <f t="shared" si="1015"/>
        <v>30</v>
      </c>
      <c r="E2759" s="67">
        <f t="shared" si="1016"/>
        <v>11</v>
      </c>
      <c r="F2759" s="74">
        <f t="shared" si="1017"/>
        <v>46707</v>
      </c>
      <c r="G2759" s="67">
        <f t="shared" si="1018"/>
        <v>24334</v>
      </c>
      <c r="H2759" s="75">
        <f t="shared" si="1019"/>
        <v>1</v>
      </c>
      <c r="I2759" s="76">
        <f t="shared" si="1020"/>
        <v>1.1024</v>
      </c>
      <c r="J2759" s="76">
        <f t="shared" si="1021"/>
        <v>1.1024</v>
      </c>
      <c r="K2759" s="67">
        <f t="shared" si="1022"/>
        <v>0</v>
      </c>
      <c r="L2759" s="67">
        <f t="shared" si="1023"/>
        <v>0</v>
      </c>
      <c r="M2759" s="77">
        <f t="shared" si="1024"/>
        <v>0</v>
      </c>
      <c r="N2759" s="76">
        <f t="shared" si="1025"/>
        <v>1.1024</v>
      </c>
      <c r="O2759" s="77">
        <f t="shared" si="1026"/>
        <v>0.90100656455142236</v>
      </c>
      <c r="P2759" s="76">
        <f t="shared" si="1027"/>
        <v>0</v>
      </c>
      <c r="Q2759" s="76">
        <f t="shared" si="1028"/>
        <v>0.25</v>
      </c>
      <c r="R2759" s="76">
        <f t="shared" si="1029"/>
        <v>0.75</v>
      </c>
      <c r="S2759" s="76">
        <f t="shared" si="1030"/>
        <v>1.0796409095233566</v>
      </c>
      <c r="T2759" s="76">
        <f t="shared" si="1031"/>
        <v>1.047318523451622</v>
      </c>
      <c r="U2759" s="76">
        <f t="shared" si="1032"/>
        <v>1.1024</v>
      </c>
    </row>
    <row r="2760" spans="1:21" x14ac:dyDescent="0.25">
      <c r="A2760" s="71">
        <v>36</v>
      </c>
      <c r="B2760" s="72">
        <f t="shared" si="1033"/>
        <v>46722</v>
      </c>
      <c r="C2760" s="73">
        <f t="shared" si="1014"/>
        <v>46752</v>
      </c>
      <c r="D2760" s="67">
        <f t="shared" si="1015"/>
        <v>31</v>
      </c>
      <c r="E2760" s="67">
        <f t="shared" si="1016"/>
        <v>12</v>
      </c>
      <c r="F2760" s="74">
        <f t="shared" si="1017"/>
        <v>46737.5</v>
      </c>
      <c r="G2760" s="67">
        <f t="shared" si="1018"/>
        <v>24335</v>
      </c>
      <c r="H2760" s="75">
        <f t="shared" si="1019"/>
        <v>1</v>
      </c>
      <c r="I2760" s="76">
        <f t="shared" si="1020"/>
        <v>1.1024</v>
      </c>
      <c r="J2760" s="76">
        <f t="shared" si="1021"/>
        <v>1.1024</v>
      </c>
      <c r="K2760" s="67">
        <f t="shared" si="1022"/>
        <v>0</v>
      </c>
      <c r="L2760" s="67">
        <f t="shared" si="1023"/>
        <v>0</v>
      </c>
      <c r="M2760" s="77">
        <f t="shared" si="1024"/>
        <v>0</v>
      </c>
      <c r="N2760" s="76">
        <f t="shared" si="1025"/>
        <v>1.1024</v>
      </c>
      <c r="O2760" s="77">
        <f t="shared" si="1026"/>
        <v>0.90033916849015316</v>
      </c>
      <c r="P2760" s="76">
        <f t="shared" si="1027"/>
        <v>0</v>
      </c>
      <c r="Q2760" s="76">
        <f t="shared" si="1028"/>
        <v>8.3333333333333329E-2</v>
      </c>
      <c r="R2760" s="76">
        <f t="shared" si="1029"/>
        <v>0.91666666666666663</v>
      </c>
      <c r="S2760" s="76">
        <f t="shared" si="1030"/>
        <v>1.0788411949386358</v>
      </c>
      <c r="T2760" s="76">
        <f t="shared" si="1031"/>
        <v>1.0465495671201599</v>
      </c>
      <c r="U2760" s="76">
        <f t="shared" si="1032"/>
        <v>1.1024</v>
      </c>
    </row>
    <row r="2761" spans="1:21" x14ac:dyDescent="0.25">
      <c r="A2761" s="71">
        <v>37</v>
      </c>
      <c r="B2761" s="72">
        <f t="shared" si="1033"/>
        <v>46753</v>
      </c>
      <c r="C2761" s="73">
        <f t="shared" si="1014"/>
        <v>46783</v>
      </c>
      <c r="D2761" s="67">
        <f t="shared" si="1015"/>
        <v>31</v>
      </c>
      <c r="E2761" s="67">
        <f t="shared" si="1016"/>
        <v>1</v>
      </c>
      <c r="F2761" s="74">
        <f t="shared" si="1017"/>
        <v>46768.5</v>
      </c>
      <c r="G2761" s="67">
        <f t="shared" si="1018"/>
        <v>24336</v>
      </c>
      <c r="H2761" s="75">
        <f t="shared" si="1019"/>
        <v>1</v>
      </c>
      <c r="I2761" s="76">
        <f t="shared" si="1020"/>
        <v>1.1024</v>
      </c>
      <c r="J2761" s="76">
        <f t="shared" si="1021"/>
        <v>1.1024</v>
      </c>
      <c r="K2761" s="67">
        <f t="shared" si="1022"/>
        <v>0</v>
      </c>
      <c r="L2761" s="67">
        <f t="shared" si="1023"/>
        <v>0</v>
      </c>
      <c r="M2761" s="77">
        <f t="shared" si="1024"/>
        <v>0</v>
      </c>
      <c r="N2761" s="76">
        <f t="shared" si="1025"/>
        <v>1.1024</v>
      </c>
      <c r="O2761" s="77">
        <f t="shared" si="1026"/>
        <v>0.9</v>
      </c>
      <c r="P2761" s="76">
        <f t="shared" si="1027"/>
        <v>0</v>
      </c>
      <c r="Q2761" s="76">
        <f t="shared" si="1028"/>
        <v>0</v>
      </c>
      <c r="R2761" s="76">
        <f t="shared" si="1029"/>
        <v>1</v>
      </c>
      <c r="S2761" s="76">
        <f t="shared" si="1030"/>
        <v>1.0784347826086957</v>
      </c>
      <c r="T2761" s="76">
        <f t="shared" si="1031"/>
        <v>0.99525497098277993</v>
      </c>
      <c r="U2761" s="76">
        <f t="shared" si="1032"/>
        <v>1.1024</v>
      </c>
    </row>
    <row r="2762" spans="1:21" x14ac:dyDescent="0.25">
      <c r="A2762" s="71">
        <v>38</v>
      </c>
      <c r="B2762" s="72">
        <f t="shared" si="1033"/>
        <v>46784</v>
      </c>
      <c r="C2762" s="73">
        <f t="shared" si="1014"/>
        <v>46812</v>
      </c>
      <c r="D2762" s="67">
        <f t="shared" si="1015"/>
        <v>29</v>
      </c>
      <c r="E2762" s="67">
        <f t="shared" si="1016"/>
        <v>2</v>
      </c>
      <c r="F2762" s="74">
        <f t="shared" si="1017"/>
        <v>46798.5</v>
      </c>
      <c r="G2762" s="67">
        <f t="shared" si="1018"/>
        <v>24337</v>
      </c>
      <c r="H2762" s="75">
        <f t="shared" si="1019"/>
        <v>1</v>
      </c>
      <c r="I2762" s="76">
        <f t="shared" si="1020"/>
        <v>1.1024</v>
      </c>
      <c r="J2762" s="76">
        <f t="shared" si="1021"/>
        <v>1.1024</v>
      </c>
      <c r="K2762" s="67">
        <f t="shared" si="1022"/>
        <v>0</v>
      </c>
      <c r="L2762" s="67">
        <f t="shared" si="1023"/>
        <v>0</v>
      </c>
      <c r="M2762" s="77">
        <f t="shared" si="1024"/>
        <v>0</v>
      </c>
      <c r="N2762" s="76">
        <f t="shared" si="1025"/>
        <v>1.1024</v>
      </c>
      <c r="O2762" s="77">
        <f t="shared" si="1026"/>
        <v>0.9</v>
      </c>
      <c r="P2762" s="76">
        <f t="shared" si="1027"/>
        <v>0</v>
      </c>
      <c r="Q2762" s="76">
        <f t="shared" si="1028"/>
        <v>0</v>
      </c>
      <c r="R2762" s="76">
        <f t="shared" si="1029"/>
        <v>1</v>
      </c>
      <c r="S2762" s="76">
        <f t="shared" si="1030"/>
        <v>1.0784347826086957</v>
      </c>
      <c r="T2762" s="76">
        <f t="shared" si="1031"/>
        <v>1.0542265245932834</v>
      </c>
      <c r="U2762" s="76">
        <f t="shared" si="1032"/>
        <v>1.1024</v>
      </c>
    </row>
    <row r="2763" spans="1:21" x14ac:dyDescent="0.25">
      <c r="A2763" s="71">
        <v>39</v>
      </c>
      <c r="B2763" s="72">
        <f t="shared" si="1033"/>
        <v>46813</v>
      </c>
      <c r="C2763" s="73">
        <f t="shared" si="1014"/>
        <v>46843</v>
      </c>
      <c r="D2763" s="67">
        <f t="shared" si="1015"/>
        <v>31</v>
      </c>
      <c r="E2763" s="67">
        <f t="shared" si="1016"/>
        <v>3</v>
      </c>
      <c r="F2763" s="74">
        <f t="shared" si="1017"/>
        <v>46828.5</v>
      </c>
      <c r="G2763" s="67">
        <f t="shared" si="1018"/>
        <v>24338</v>
      </c>
      <c r="H2763" s="75">
        <f t="shared" si="1019"/>
        <v>1</v>
      </c>
      <c r="I2763" s="76">
        <f t="shared" si="1020"/>
        <v>1.1024</v>
      </c>
      <c r="J2763" s="76">
        <f t="shared" si="1021"/>
        <v>1.1024</v>
      </c>
      <c r="K2763" s="67">
        <f t="shared" si="1022"/>
        <v>0</v>
      </c>
      <c r="L2763" s="67">
        <f t="shared" si="1023"/>
        <v>0</v>
      </c>
      <c r="M2763" s="77">
        <f t="shared" si="1024"/>
        <v>0</v>
      </c>
      <c r="N2763" s="76">
        <f t="shared" si="1025"/>
        <v>1.1024</v>
      </c>
      <c r="O2763" s="77">
        <f t="shared" si="1026"/>
        <v>0.9</v>
      </c>
      <c r="P2763" s="76">
        <f t="shared" si="1027"/>
        <v>0</v>
      </c>
      <c r="Q2763" s="76">
        <f t="shared" si="1028"/>
        <v>0</v>
      </c>
      <c r="R2763" s="76">
        <f t="shared" si="1029"/>
        <v>1</v>
      </c>
      <c r="S2763" s="76">
        <f t="shared" si="1030"/>
        <v>1.0784347826086957</v>
      </c>
      <c r="T2763" s="76">
        <f t="shared" si="1031"/>
        <v>1.0534827799448196</v>
      </c>
      <c r="U2763" s="76">
        <f t="shared" si="1032"/>
        <v>1.1024</v>
      </c>
    </row>
    <row r="2764" spans="1:21" x14ac:dyDescent="0.25">
      <c r="A2764" s="71">
        <v>40</v>
      </c>
      <c r="B2764" s="72">
        <f t="shared" si="1033"/>
        <v>46844</v>
      </c>
      <c r="C2764" s="73">
        <f t="shared" si="1014"/>
        <v>46873</v>
      </c>
      <c r="D2764" s="67">
        <f t="shared" si="1015"/>
        <v>30</v>
      </c>
      <c r="E2764" s="67">
        <f t="shared" si="1016"/>
        <v>4</v>
      </c>
      <c r="F2764" s="74">
        <f t="shared" si="1017"/>
        <v>46859</v>
      </c>
      <c r="G2764" s="67">
        <f t="shared" si="1018"/>
        <v>24339</v>
      </c>
      <c r="H2764" s="75">
        <f t="shared" si="1019"/>
        <v>1</v>
      </c>
      <c r="I2764" s="76">
        <f t="shared" si="1020"/>
        <v>1.1024</v>
      </c>
      <c r="J2764" s="76">
        <f t="shared" si="1021"/>
        <v>1.1024</v>
      </c>
      <c r="K2764" s="67">
        <f t="shared" si="1022"/>
        <v>0</v>
      </c>
      <c r="L2764" s="67">
        <f t="shared" si="1023"/>
        <v>0</v>
      </c>
      <c r="M2764" s="77">
        <f t="shared" si="1024"/>
        <v>0</v>
      </c>
      <c r="N2764" s="76">
        <f t="shared" si="1025"/>
        <v>1.1024</v>
      </c>
      <c r="O2764" s="77">
        <f t="shared" si="1026"/>
        <v>0.9</v>
      </c>
      <c r="P2764" s="76">
        <f t="shared" si="1027"/>
        <v>0</v>
      </c>
      <c r="Q2764" s="76">
        <f t="shared" si="1028"/>
        <v>0</v>
      </c>
      <c r="R2764" s="76">
        <f t="shared" si="1029"/>
        <v>1</v>
      </c>
      <c r="S2764" s="76">
        <f t="shared" si="1030"/>
        <v>1.0784347826086957</v>
      </c>
      <c r="T2764" s="76">
        <f t="shared" si="1031"/>
        <v>1.0527138236133575</v>
      </c>
      <c r="U2764" s="76">
        <f t="shared" si="1032"/>
        <v>1.1024</v>
      </c>
    </row>
    <row r="2765" spans="1:21" x14ac:dyDescent="0.25">
      <c r="A2765" s="71">
        <v>41</v>
      </c>
      <c r="B2765" s="72">
        <f t="shared" si="1033"/>
        <v>46874</v>
      </c>
      <c r="C2765" s="73">
        <f t="shared" si="1014"/>
        <v>46904</v>
      </c>
      <c r="D2765" s="67">
        <f t="shared" si="1015"/>
        <v>31</v>
      </c>
      <c r="E2765" s="67">
        <f t="shared" si="1016"/>
        <v>5</v>
      </c>
      <c r="F2765" s="74">
        <f t="shared" si="1017"/>
        <v>46889.5</v>
      </c>
      <c r="G2765" s="67">
        <f t="shared" si="1018"/>
        <v>24340</v>
      </c>
      <c r="H2765" s="75">
        <f t="shared" si="1019"/>
        <v>1</v>
      </c>
      <c r="I2765" s="76">
        <f t="shared" si="1020"/>
        <v>1.1024</v>
      </c>
      <c r="J2765" s="76">
        <f t="shared" si="1021"/>
        <v>1.1024</v>
      </c>
      <c r="K2765" s="67">
        <f t="shared" si="1022"/>
        <v>0</v>
      </c>
      <c r="L2765" s="67">
        <f t="shared" si="1023"/>
        <v>0</v>
      </c>
      <c r="M2765" s="77">
        <f t="shared" si="1024"/>
        <v>0</v>
      </c>
      <c r="N2765" s="76">
        <f t="shared" si="1025"/>
        <v>1.1024</v>
      </c>
      <c r="O2765" s="77">
        <f t="shared" si="1026"/>
        <v>0.9</v>
      </c>
      <c r="P2765" s="76">
        <f t="shared" si="1027"/>
        <v>0</v>
      </c>
      <c r="Q2765" s="76">
        <f t="shared" si="1028"/>
        <v>0</v>
      </c>
      <c r="R2765" s="76">
        <f t="shared" si="1029"/>
        <v>1</v>
      </c>
      <c r="S2765" s="76">
        <f t="shared" si="1030"/>
        <v>1.0784347826086957</v>
      </c>
      <c r="T2765" s="76">
        <f t="shared" si="1031"/>
        <v>1.0519448672818952</v>
      </c>
      <c r="U2765" s="76">
        <f t="shared" si="1032"/>
        <v>1.1024</v>
      </c>
    </row>
    <row r="2766" spans="1:21" x14ac:dyDescent="0.25">
      <c r="A2766" s="71">
        <v>42</v>
      </c>
      <c r="B2766" s="72">
        <f t="shared" si="1033"/>
        <v>46905</v>
      </c>
      <c r="C2766" s="73">
        <f t="shared" si="1014"/>
        <v>46934</v>
      </c>
      <c r="D2766" s="67">
        <f t="shared" si="1015"/>
        <v>30</v>
      </c>
      <c r="E2766" s="67">
        <f t="shared" si="1016"/>
        <v>6</v>
      </c>
      <c r="F2766" s="74">
        <f t="shared" si="1017"/>
        <v>46920</v>
      </c>
      <c r="G2766" s="67">
        <f t="shared" si="1018"/>
        <v>24341</v>
      </c>
      <c r="H2766" s="75">
        <f t="shared" si="1019"/>
        <v>1</v>
      </c>
      <c r="I2766" s="76">
        <f t="shared" si="1020"/>
        <v>1.1024</v>
      </c>
      <c r="J2766" s="76">
        <f t="shared" si="1021"/>
        <v>1.1024</v>
      </c>
      <c r="K2766" s="67">
        <f t="shared" si="1022"/>
        <v>0</v>
      </c>
      <c r="L2766" s="67">
        <f t="shared" si="1023"/>
        <v>0</v>
      </c>
      <c r="M2766" s="77">
        <f t="shared" si="1024"/>
        <v>0</v>
      </c>
      <c r="N2766" s="76">
        <f t="shared" si="1025"/>
        <v>1.1024</v>
      </c>
      <c r="O2766" s="77">
        <f t="shared" si="1026"/>
        <v>0.9</v>
      </c>
      <c r="P2766" s="76">
        <f t="shared" si="1027"/>
        <v>0</v>
      </c>
      <c r="Q2766" s="76">
        <f t="shared" si="1028"/>
        <v>0</v>
      </c>
      <c r="R2766" s="76">
        <f t="shared" si="1029"/>
        <v>1</v>
      </c>
      <c r="S2766" s="76">
        <f t="shared" si="1030"/>
        <v>1.0784347826086957</v>
      </c>
      <c r="T2766" s="76">
        <f t="shared" si="1031"/>
        <v>1.0511759109504328</v>
      </c>
      <c r="U2766" s="76">
        <f t="shared" si="1032"/>
        <v>1.1024</v>
      </c>
    </row>
    <row r="2767" spans="1:21" x14ac:dyDescent="0.25">
      <c r="A2767" s="71">
        <v>43</v>
      </c>
      <c r="B2767" s="72">
        <f t="shared" si="1033"/>
        <v>46935</v>
      </c>
      <c r="C2767" s="73">
        <f t="shared" si="1014"/>
        <v>46965</v>
      </c>
      <c r="D2767" s="67">
        <f t="shared" si="1015"/>
        <v>31</v>
      </c>
      <c r="E2767" s="67">
        <f t="shared" si="1016"/>
        <v>7</v>
      </c>
      <c r="F2767" s="74">
        <f t="shared" si="1017"/>
        <v>46950.5</v>
      </c>
      <c r="G2767" s="67">
        <f t="shared" si="1018"/>
        <v>24342</v>
      </c>
      <c r="H2767" s="75">
        <f t="shared" si="1019"/>
        <v>1</v>
      </c>
      <c r="I2767" s="76">
        <f t="shared" si="1020"/>
        <v>1.1024</v>
      </c>
      <c r="J2767" s="76">
        <f t="shared" si="1021"/>
        <v>1.1024</v>
      </c>
      <c r="K2767" s="67">
        <f t="shared" si="1022"/>
        <v>0</v>
      </c>
      <c r="L2767" s="67">
        <f t="shared" si="1023"/>
        <v>0</v>
      </c>
      <c r="M2767" s="77">
        <f t="shared" si="1024"/>
        <v>0</v>
      </c>
      <c r="N2767" s="76">
        <f t="shared" si="1025"/>
        <v>1.1024</v>
      </c>
      <c r="O2767" s="77">
        <f t="shared" si="1026"/>
        <v>0.9</v>
      </c>
      <c r="P2767" s="76">
        <f t="shared" si="1027"/>
        <v>0</v>
      </c>
      <c r="Q2767" s="76">
        <f t="shared" si="1028"/>
        <v>0</v>
      </c>
      <c r="R2767" s="76">
        <f t="shared" si="1029"/>
        <v>0.91666666666666663</v>
      </c>
      <c r="S2767" s="76">
        <f t="shared" si="1030"/>
        <v>1.0784347826086957</v>
      </c>
      <c r="T2767" s="76">
        <f t="shared" si="1031"/>
        <v>1.0504069546189705</v>
      </c>
      <c r="U2767" s="76">
        <f t="shared" si="1032"/>
        <v>1.1024</v>
      </c>
    </row>
    <row r="2768" spans="1:21" x14ac:dyDescent="0.25">
      <c r="A2768" s="71">
        <v>44</v>
      </c>
      <c r="B2768" s="72">
        <f t="shared" si="1033"/>
        <v>46966</v>
      </c>
      <c r="C2768" s="73">
        <f t="shared" si="1014"/>
        <v>46996</v>
      </c>
      <c r="D2768" s="67">
        <f t="shared" si="1015"/>
        <v>31</v>
      </c>
      <c r="E2768" s="67">
        <f t="shared" si="1016"/>
        <v>8</v>
      </c>
      <c r="F2768" s="74">
        <f t="shared" si="1017"/>
        <v>46981.5</v>
      </c>
      <c r="G2768" s="67">
        <f t="shared" si="1018"/>
        <v>24343</v>
      </c>
      <c r="H2768" s="75">
        <f t="shared" si="1019"/>
        <v>1</v>
      </c>
      <c r="I2768" s="76">
        <f t="shared" si="1020"/>
        <v>1.1024</v>
      </c>
      <c r="J2768" s="76">
        <f t="shared" si="1021"/>
        <v>1.1024</v>
      </c>
      <c r="K2768" s="67">
        <f t="shared" si="1022"/>
        <v>0</v>
      </c>
      <c r="L2768" s="67">
        <f t="shared" si="1023"/>
        <v>0</v>
      </c>
      <c r="M2768" s="77">
        <f t="shared" si="1024"/>
        <v>0</v>
      </c>
      <c r="N2768" s="76">
        <f t="shared" si="1025"/>
        <v>1.1024</v>
      </c>
      <c r="O2768" s="77">
        <f t="shared" si="1026"/>
        <v>0.9</v>
      </c>
      <c r="P2768" s="76">
        <f t="shared" si="1027"/>
        <v>0</v>
      </c>
      <c r="Q2768" s="76">
        <f t="shared" si="1028"/>
        <v>0</v>
      </c>
      <c r="R2768" s="76">
        <f t="shared" si="1029"/>
        <v>0.75</v>
      </c>
      <c r="S2768" s="76">
        <f t="shared" si="1030"/>
        <v>1.0784347826086957</v>
      </c>
      <c r="T2768" s="76">
        <f t="shared" si="1031"/>
        <v>1.0496253924460091</v>
      </c>
      <c r="U2768" s="76">
        <f t="shared" si="1032"/>
        <v>1.1024</v>
      </c>
    </row>
    <row r="2769" spans="1:21" x14ac:dyDescent="0.25">
      <c r="A2769" s="71">
        <v>45</v>
      </c>
      <c r="B2769" s="72">
        <f t="shared" si="1033"/>
        <v>46997</v>
      </c>
      <c r="C2769" s="73">
        <f t="shared" si="1014"/>
        <v>47026</v>
      </c>
      <c r="D2769" s="67">
        <f t="shared" si="1015"/>
        <v>30</v>
      </c>
      <c r="E2769" s="67">
        <f t="shared" si="1016"/>
        <v>9</v>
      </c>
      <c r="F2769" s="74">
        <f t="shared" si="1017"/>
        <v>47012</v>
      </c>
      <c r="G2769" s="67">
        <f t="shared" si="1018"/>
        <v>24344</v>
      </c>
      <c r="H2769" s="75">
        <f t="shared" si="1019"/>
        <v>1</v>
      </c>
      <c r="I2769" s="76">
        <f t="shared" si="1020"/>
        <v>1.1024</v>
      </c>
      <c r="J2769" s="76">
        <f t="shared" si="1021"/>
        <v>1.1024</v>
      </c>
      <c r="K2769" s="67">
        <f t="shared" si="1022"/>
        <v>0</v>
      </c>
      <c r="L2769" s="67">
        <f t="shared" si="1023"/>
        <v>0</v>
      </c>
      <c r="M2769" s="77">
        <f t="shared" si="1024"/>
        <v>0</v>
      </c>
      <c r="N2769" s="76">
        <f t="shared" si="1025"/>
        <v>1.1024</v>
      </c>
      <c r="O2769" s="77">
        <f t="shared" si="1026"/>
        <v>0.9</v>
      </c>
      <c r="P2769" s="76">
        <f t="shared" si="1027"/>
        <v>0</v>
      </c>
      <c r="Q2769" s="76">
        <f t="shared" si="1028"/>
        <v>0</v>
      </c>
      <c r="R2769" s="76">
        <f t="shared" si="1029"/>
        <v>0.58333333333333337</v>
      </c>
      <c r="S2769" s="76">
        <f t="shared" si="1030"/>
        <v>1.0784347826086957</v>
      </c>
      <c r="T2769" s="76">
        <f t="shared" si="1031"/>
        <v>1.0488564361145467</v>
      </c>
      <c r="U2769" s="76">
        <f t="shared" si="1032"/>
        <v>1.1024</v>
      </c>
    </row>
    <row r="2770" spans="1:21" x14ac:dyDescent="0.25">
      <c r="A2770" s="71">
        <v>46</v>
      </c>
      <c r="B2770" s="72">
        <f t="shared" si="1033"/>
        <v>47027</v>
      </c>
      <c r="C2770" s="73">
        <f t="shared" si="1014"/>
        <v>47057</v>
      </c>
      <c r="D2770" s="67">
        <f t="shared" si="1015"/>
        <v>31</v>
      </c>
      <c r="E2770" s="67">
        <f t="shared" si="1016"/>
        <v>10</v>
      </c>
      <c r="F2770" s="74">
        <f t="shared" si="1017"/>
        <v>47042.5</v>
      </c>
      <c r="G2770" s="67">
        <f t="shared" si="1018"/>
        <v>24345</v>
      </c>
      <c r="H2770" s="75">
        <f t="shared" si="1019"/>
        <v>1</v>
      </c>
      <c r="I2770" s="76">
        <f t="shared" si="1020"/>
        <v>1.1024</v>
      </c>
      <c r="J2770" s="76">
        <f t="shared" si="1021"/>
        <v>1.1024</v>
      </c>
      <c r="K2770" s="67">
        <f t="shared" si="1022"/>
        <v>0</v>
      </c>
      <c r="L2770" s="67">
        <f t="shared" si="1023"/>
        <v>0</v>
      </c>
      <c r="M2770" s="77">
        <f t="shared" si="1024"/>
        <v>0</v>
      </c>
      <c r="N2770" s="76">
        <f t="shared" si="1025"/>
        <v>1.1024</v>
      </c>
      <c r="O2770" s="77">
        <f t="shared" si="1026"/>
        <v>0.9</v>
      </c>
      <c r="P2770" s="76">
        <f t="shared" si="1027"/>
        <v>0</v>
      </c>
      <c r="Q2770" s="76">
        <f t="shared" si="1028"/>
        <v>0</v>
      </c>
      <c r="R2770" s="76">
        <f t="shared" si="1029"/>
        <v>0.41666666666666669</v>
      </c>
      <c r="S2770" s="76">
        <f t="shared" si="1030"/>
        <v>1.0784347826086957</v>
      </c>
      <c r="T2770" s="76">
        <f t="shared" si="1031"/>
        <v>1.0480874797830844</v>
      </c>
      <c r="U2770" s="76">
        <f t="shared" si="1032"/>
        <v>1.1024</v>
      </c>
    </row>
    <row r="2771" spans="1:21" x14ac:dyDescent="0.25">
      <c r="A2771" s="71">
        <v>47</v>
      </c>
      <c r="B2771" s="72">
        <f t="shared" si="1033"/>
        <v>47058</v>
      </c>
      <c r="C2771" s="73">
        <f t="shared" si="1014"/>
        <v>47087</v>
      </c>
      <c r="D2771" s="67">
        <f t="shared" si="1015"/>
        <v>30</v>
      </c>
      <c r="E2771" s="67">
        <f t="shared" si="1016"/>
        <v>11</v>
      </c>
      <c r="F2771" s="74">
        <f t="shared" si="1017"/>
        <v>47073</v>
      </c>
      <c r="G2771" s="67">
        <f t="shared" si="1018"/>
        <v>24346</v>
      </c>
      <c r="H2771" s="75">
        <f t="shared" si="1019"/>
        <v>1</v>
      </c>
      <c r="I2771" s="76">
        <f t="shared" si="1020"/>
        <v>1.1024</v>
      </c>
      <c r="J2771" s="76">
        <f t="shared" si="1021"/>
        <v>1.1024</v>
      </c>
      <c r="K2771" s="67">
        <f t="shared" si="1022"/>
        <v>0</v>
      </c>
      <c r="L2771" s="67">
        <f t="shared" si="1023"/>
        <v>0</v>
      </c>
      <c r="M2771" s="77">
        <f t="shared" si="1024"/>
        <v>0</v>
      </c>
      <c r="N2771" s="76">
        <f t="shared" si="1025"/>
        <v>1.1024</v>
      </c>
      <c r="O2771" s="77">
        <f t="shared" si="1026"/>
        <v>0.9</v>
      </c>
      <c r="P2771" s="76">
        <f t="shared" si="1027"/>
        <v>0</v>
      </c>
      <c r="Q2771" s="76">
        <f t="shared" si="1028"/>
        <v>0</v>
      </c>
      <c r="R2771" s="76">
        <f t="shared" si="1029"/>
        <v>0.25</v>
      </c>
      <c r="S2771" s="76">
        <f t="shared" si="1030"/>
        <v>1.0784347826086957</v>
      </c>
      <c r="T2771" s="76">
        <f t="shared" si="1031"/>
        <v>1.047318523451622</v>
      </c>
      <c r="U2771" s="76">
        <f t="shared" si="1032"/>
        <v>1.1024</v>
      </c>
    </row>
    <row r="2772" spans="1:21" x14ac:dyDescent="0.25">
      <c r="A2772" s="71">
        <v>48</v>
      </c>
      <c r="B2772" s="72">
        <f t="shared" si="1033"/>
        <v>47088</v>
      </c>
      <c r="C2772" s="73">
        <f t="shared" si="1014"/>
        <v>47118</v>
      </c>
      <c r="D2772" s="67">
        <f t="shared" si="1015"/>
        <v>31</v>
      </c>
      <c r="E2772" s="67">
        <f t="shared" si="1016"/>
        <v>12</v>
      </c>
      <c r="F2772" s="74">
        <f t="shared" si="1017"/>
        <v>47103.5</v>
      </c>
      <c r="G2772" s="67">
        <f t="shared" si="1018"/>
        <v>24347</v>
      </c>
      <c r="H2772" s="75">
        <f t="shared" si="1019"/>
        <v>1</v>
      </c>
      <c r="I2772" s="76">
        <f t="shared" si="1020"/>
        <v>1.1024</v>
      </c>
      <c r="J2772" s="76">
        <f t="shared" si="1021"/>
        <v>1.1024</v>
      </c>
      <c r="K2772" s="67">
        <f t="shared" si="1022"/>
        <v>0</v>
      </c>
      <c r="L2772" s="67">
        <f t="shared" si="1023"/>
        <v>0</v>
      </c>
      <c r="M2772" s="77">
        <f t="shared" si="1024"/>
        <v>0</v>
      </c>
      <c r="N2772" s="76">
        <f t="shared" si="1025"/>
        <v>1.1024</v>
      </c>
      <c r="O2772" s="77">
        <f t="shared" si="1026"/>
        <v>0.9</v>
      </c>
      <c r="P2772" s="76">
        <f t="shared" si="1027"/>
        <v>0</v>
      </c>
      <c r="Q2772" s="76">
        <f t="shared" si="1028"/>
        <v>0</v>
      </c>
      <c r="R2772" s="76">
        <f t="shared" si="1029"/>
        <v>8.3333333333333329E-2</v>
      </c>
      <c r="S2772" s="76">
        <f t="shared" si="1030"/>
        <v>1.0784347826086957</v>
      </c>
      <c r="T2772" s="76">
        <f t="shared" si="1031"/>
        <v>1.0465495671201599</v>
      </c>
      <c r="U2772" s="76">
        <f t="shared" si="1032"/>
        <v>1.1024</v>
      </c>
    </row>
    <row r="2773" spans="1:21" x14ac:dyDescent="0.25">
      <c r="A2773" s="81" t="s">
        <v>1187</v>
      </c>
      <c r="B2773" s="53">
        <f>EXP(SUMPRODUCT((rl_key=$A$2722)*(rl_cons="Y")*rl_ln1p))</f>
        <v>1.06</v>
      </c>
      <c r="C2773" s="53">
        <f>SUMPRODUCT($H$2725:$H$2772,$P$2725:$P$2772,$U$2725:$U$2772)/SUMPRODUCT($H$2725:$H$2772,$P$2725:$P$2772)</f>
        <v>1.0400000000000003</v>
      </c>
      <c r="D2773" s="53">
        <f>SUMPRODUCT($H$2725:$H$2772,$Q$2725:$Q$2772,$U$2725:$U$2772)/SUMPRODUCT($H$2725:$H$2772,$Q$2725:$Q$2772)</f>
        <v>1.0626500000000003</v>
      </c>
      <c r="E2773" s="53">
        <f>SUMPRODUCT($H$2725:$H$2772,$R$2725:$R$2772,$U$2725:$U$2772)/SUMPRODUCT($H$2725:$H$2772,$R$2725:$R$2772)</f>
        <v>1.09975</v>
      </c>
      <c r="F2773" s="172">
        <f>SUMPRODUCT($H$2725:$H$2772,$Q$2725:$Q$2772,$O$2725:$O$2772)/SUMPRODUCT($H$2725:$H$2772,$Q$2725:$Q$2772)</f>
        <v>0.90600747629467537</v>
      </c>
      <c r="G2773" s="172">
        <f>SUMPRODUCT($H$2725:$H$2772,$R$2725:$R$2772,$O$2725:$O$2772)/SUMPRODUCT($H$2725:$H$2772,$R$2725:$R$2772)</f>
        <v>0.90033977631898854</v>
      </c>
    </row>
    <row r="2776" spans="1:21" x14ac:dyDescent="0.25">
      <c r="A2776" s="81" t="str">
        <f>INDEX(lr_key,51)</f>
        <v>BU-C|IA</v>
      </c>
      <c r="B2776" s="81" t="str">
        <f>INDEX(lr_state,51)</f>
        <v>IA</v>
      </c>
      <c r="C2776" s="55">
        <f>nr_TermMonths</f>
        <v>6</v>
      </c>
      <c r="D2776" s="55">
        <f>IF(COUNTIF(se_state,$B2776)=0,0,MATCH($B2776,se_state,0))</f>
        <v>0</v>
      </c>
      <c r="E2776" s="57">
        <f>IF($D2776=0,0,INDEX(se_sum,$D2776))</f>
        <v>0</v>
      </c>
      <c r="F2776" s="172">
        <f>IF(N(INDEX(lr_mind,51))=0,1,INDEX(lr_mind,51))</f>
        <v>0.92</v>
      </c>
      <c r="G2776" s="172">
        <f>IF(N(INDEX(lr_m0,51))=0,1,INDEX(lr_m0,51))</f>
        <v>0.91</v>
      </c>
      <c r="H2776" s="54">
        <f>IF(N(INDEX(lr_m0asof,51))=0,DATE(nr_PlanYear-1,10,1),INDEX(lr_m0asof,51))</f>
        <v>46295</v>
      </c>
      <c r="I2776" s="172">
        <f>IF(N(INDEX(lr_m1,51))=0,1,INDEX(lr_m1,51))</f>
        <v>0.91500000000000004</v>
      </c>
      <c r="J2776" s="172">
        <f>INDEX(lr_mprior,51)</f>
        <v>0</v>
      </c>
      <c r="K2776" s="172">
        <f>INDEX(lr_m2,51)</f>
        <v>0</v>
      </c>
      <c r="L2776" s="81" t="b">
        <f>NOT(ISBLANK(INDEX(lr_netp,51)))</f>
        <v>1</v>
      </c>
      <c r="M2776" s="52">
        <f>N(INDEX(lr_netp,51))</f>
        <v>0.1</v>
      </c>
      <c r="N2776" s="52">
        <f>IF(ISBLANK(INDEX(lr_netp1,51)),$M$2776,N(INDEX(lr_netp1,51)))</f>
        <v>0.1</v>
      </c>
      <c r="O2776" s="55">
        <f>IF(AND(nr_ModAdjMaster="ON",INDEX(lr_modadj,51)="ON"),1,0)</f>
        <v>1</v>
      </c>
    </row>
    <row r="2777" spans="1:21" x14ac:dyDescent="0.25">
      <c r="A2777" s="81">
        <f>EDATE($H$2776,-12)+1</f>
        <v>45931</v>
      </c>
      <c r="B2777" s="81">
        <f>$H$2776+1</f>
        <v>46296</v>
      </c>
      <c r="C2777" s="81">
        <f>DATE(nr_PlanYear,12,31)+1</f>
        <v>46753</v>
      </c>
      <c r="D2777" s="81">
        <f>DATE(nr_PlanYear+1,12,31)+1</f>
        <v>47119</v>
      </c>
      <c r="E2777" s="81">
        <f>IF(N($J$2776)=0,$F$2777-($G$2777-$F$2777)/($C$2777-$B$2777)*($B$2777-$A$2777),$J$2776)</f>
        <v>0.90600656455142237</v>
      </c>
      <c r="F2777" s="81">
        <f>$G$2776</f>
        <v>0.91</v>
      </c>
      <c r="G2777" s="81">
        <f>$I$2776</f>
        <v>0.91500000000000004</v>
      </c>
      <c r="H2777" s="81">
        <f>IF(N($K$2776)=0,$I$2776,$K$2776)</f>
        <v>0.91500000000000004</v>
      </c>
      <c r="I2777" s="81">
        <f>($F$2777-$E$2777)/($B$2777-$A$2777)</f>
        <v>1.0940919037199081E-5</v>
      </c>
      <c r="J2777" s="81">
        <f>($G$2777-$F$2777)/($C$2777-$B$2777)</f>
        <v>1.0940919037199135E-5</v>
      </c>
      <c r="K2777" s="81">
        <f>($H$2777-$G$2777)/($D$2777-$C$2777)</f>
        <v>0</v>
      </c>
    </row>
    <row r="2778" spans="1:21" ht="36" x14ac:dyDescent="0.25">
      <c r="A2778" s="50" t="s">
        <v>211</v>
      </c>
      <c r="B2778" s="50" t="s">
        <v>212</v>
      </c>
      <c r="C2778" s="50" t="s">
        <v>213</v>
      </c>
      <c r="D2778" s="50" t="s">
        <v>214</v>
      </c>
      <c r="E2778" s="50" t="s">
        <v>215</v>
      </c>
      <c r="F2778" s="50" t="s">
        <v>216</v>
      </c>
      <c r="G2778" s="50" t="s">
        <v>217</v>
      </c>
      <c r="H2778" s="50" t="s">
        <v>218</v>
      </c>
      <c r="I2778" s="50" t="s">
        <v>219</v>
      </c>
      <c r="J2778" s="50" t="s">
        <v>220</v>
      </c>
      <c r="K2778" s="50" t="s">
        <v>221</v>
      </c>
      <c r="L2778" s="50" t="s">
        <v>222</v>
      </c>
      <c r="M2778" s="50" t="s">
        <v>223</v>
      </c>
      <c r="N2778" s="50" t="s">
        <v>224</v>
      </c>
      <c r="O2778" s="50" t="s">
        <v>225</v>
      </c>
      <c r="P2778" s="50" t="s">
        <v>226</v>
      </c>
      <c r="Q2778" s="50" t="s">
        <v>227</v>
      </c>
      <c r="R2778" s="50" t="s">
        <v>228</v>
      </c>
      <c r="S2778" s="50" t="s">
        <v>229</v>
      </c>
      <c r="T2778" s="50" t="s">
        <v>230</v>
      </c>
      <c r="U2778" s="50" t="s">
        <v>231</v>
      </c>
    </row>
    <row r="2779" spans="1:21" x14ac:dyDescent="0.25">
      <c r="A2779" s="71">
        <v>1</v>
      </c>
      <c r="B2779" s="72">
        <f>DATE(nr_PlanYear-2,1,1)</f>
        <v>45658</v>
      </c>
      <c r="C2779" s="73">
        <f t="shared" ref="C2779:C2826" si="1034">EOMONTH($B2779,0)</f>
        <v>45688</v>
      </c>
      <c r="D2779" s="67">
        <f t="shared" ref="D2779:D2826" si="1035">$C2779-$B2779+1</f>
        <v>31</v>
      </c>
      <c r="E2779" s="67">
        <f t="shared" ref="E2779:E2826" si="1036">MONTH($B2779)</f>
        <v>1</v>
      </c>
      <c r="F2779" s="74">
        <f t="shared" ref="F2779:F2826" si="1037">($B2779+$C2779+1)/2</f>
        <v>45673.5</v>
      </c>
      <c r="G2779" s="67">
        <f t="shared" ref="G2779:G2826" si="1038">YEAR($B2779)*12+MONTH($B2779)-1</f>
        <v>24300</v>
      </c>
      <c r="H2779" s="75">
        <f t="shared" ref="H2779:H2826" si="1039">IF(OR(nr_SeasonOn="OFF",$D$2776=0,$E$2776=0),1,12*INDEX(se_block,$D$2776,$E2779)/$E$2776)</f>
        <v>1</v>
      </c>
      <c r="I2779" s="76">
        <f t="shared" ref="I2779:I2826" si="1040">EXP(SUMPRODUCT((rl_eff&lt;$B2779)*(rl_key=$A$2776)*rl_ln1p))</f>
        <v>1</v>
      </c>
      <c r="J2779" s="76">
        <f t="shared" ref="J2779:J2826" si="1041">EXP(SUMPRODUCT((rl_eff&lt;=$C2779)*(rl_key=$A$2776)*rl_ln1p))</f>
        <v>1</v>
      </c>
      <c r="K2779" s="67">
        <f t="shared" ref="K2779:K2826" si="1042">COUNTIFS(rl_key,$A$2776,rl_eff,"&gt;="&amp;$B2779,rl_eff,"&lt;="&amp;$C2779)</f>
        <v>0</v>
      </c>
      <c r="L2779" s="67">
        <f t="shared" ref="L2779:L2826" si="1043">SUMIFS(rl_daysafter,rl_key,$A$2776,rl_effmonth,$B2779,rl_first,1)</f>
        <v>0</v>
      </c>
      <c r="M2779" s="77">
        <f t="shared" ref="M2779:M2826" si="1044">IF($K2779=0,0,MIN(1,$L2779/$D2779))</f>
        <v>0</v>
      </c>
      <c r="N2779" s="76">
        <f t="shared" ref="N2779:N2826" si="1045">IF($K2779=0,$J2779,(1-$M2779)*$I2779+$M2779*$J2779)</f>
        <v>1</v>
      </c>
      <c r="O2779" s="77">
        <f t="shared" ref="O2779:O2826" si="1046">IF($F2779&lt;$B$2777,$E$2777+$I$2777*($F2779-$A$2777),IF($F2779&lt;$C$2777,$F$2777+$J$2777*($F2779-$B$2777),$G$2777+$K$2777*($F2779-$C$2777)))</f>
        <v>0.90318927789934356</v>
      </c>
      <c r="P2779" s="76">
        <f t="shared" ref="P2779:P2826" si="1047">MIN(1,MAX(0,(nr_MEndPm1-$G2779+0.5)/$C$2776))-MIN(1,MAX(0,(nr_MStartPm1-1-$G2779+0.5)/$C$2776))</f>
        <v>0</v>
      </c>
      <c r="Q2779" s="76">
        <f t="shared" ref="Q2779:Q2826" si="1048">MIN(1,MAX(0,(nr_MEndP-$G2779+0.5)/$C$2776))-MIN(1,MAX(0,(nr_MStartP-1-$G2779+0.5)/$C$2776))</f>
        <v>0</v>
      </c>
      <c r="R2779" s="76">
        <f t="shared" ref="R2779:R2826" si="1049">MIN(1,MAX(0,(nr_MEndP1-$G2779+0.5)/$C$2776))-MIN(1,MAX(0,(nr_MStartP1-1-$G2779+0.5)/$C$2776))</f>
        <v>0</v>
      </c>
      <c r="S2779" s="76">
        <f t="shared" ref="S2779:S2826" si="1050">$N2779*IF($O$2776=1,$O2779/$F$2776,1)</f>
        <v>0.98172747597754728</v>
      </c>
      <c r="T2779" s="76">
        <f t="shared" ref="T2779:T2826" si="1051">IF($G2779&lt;nr_MStartP,$S2779,$T2767*(1+IF($G2779&lt;nr_MStartP1,$M$2776,$N$2776)))</f>
        <v>0.98172747597754728</v>
      </c>
      <c r="U2779" s="76">
        <f t="shared" ref="U2779:U2826" si="1052">IF($L$2776,$T2779,$N2779)</f>
        <v>0.98172747597754728</v>
      </c>
    </row>
    <row r="2780" spans="1:21" x14ac:dyDescent="0.25">
      <c r="A2780" s="71">
        <v>2</v>
      </c>
      <c r="B2780" s="72">
        <f t="shared" ref="B2780:B2826" si="1053">EDATE($B2779,1)</f>
        <v>45689</v>
      </c>
      <c r="C2780" s="73">
        <f t="shared" si="1034"/>
        <v>45716</v>
      </c>
      <c r="D2780" s="67">
        <f t="shared" si="1035"/>
        <v>28</v>
      </c>
      <c r="E2780" s="67">
        <f t="shared" si="1036"/>
        <v>2</v>
      </c>
      <c r="F2780" s="74">
        <f t="shared" si="1037"/>
        <v>45703</v>
      </c>
      <c r="G2780" s="67">
        <f t="shared" si="1038"/>
        <v>24301</v>
      </c>
      <c r="H2780" s="75">
        <f t="shared" si="1039"/>
        <v>1</v>
      </c>
      <c r="I2780" s="76">
        <f t="shared" si="1040"/>
        <v>1</v>
      </c>
      <c r="J2780" s="76">
        <f t="shared" si="1041"/>
        <v>1</v>
      </c>
      <c r="K2780" s="67">
        <f t="shared" si="1042"/>
        <v>0</v>
      </c>
      <c r="L2780" s="67">
        <f t="shared" si="1043"/>
        <v>0</v>
      </c>
      <c r="M2780" s="77">
        <f t="shared" si="1044"/>
        <v>0</v>
      </c>
      <c r="N2780" s="76">
        <f t="shared" si="1045"/>
        <v>1</v>
      </c>
      <c r="O2780" s="77">
        <f t="shared" si="1046"/>
        <v>0.90351203501094102</v>
      </c>
      <c r="P2780" s="76">
        <f t="shared" si="1047"/>
        <v>0</v>
      </c>
      <c r="Q2780" s="76">
        <f t="shared" si="1048"/>
        <v>0</v>
      </c>
      <c r="R2780" s="76">
        <f t="shared" si="1049"/>
        <v>0</v>
      </c>
      <c r="S2780" s="76">
        <f t="shared" si="1050"/>
        <v>0.98207829892493581</v>
      </c>
      <c r="T2780" s="76">
        <f t="shared" si="1051"/>
        <v>0.98207829892493581</v>
      </c>
      <c r="U2780" s="76">
        <f t="shared" si="1052"/>
        <v>0.98207829892493581</v>
      </c>
    </row>
    <row r="2781" spans="1:21" x14ac:dyDescent="0.25">
      <c r="A2781" s="71">
        <v>3</v>
      </c>
      <c r="B2781" s="72">
        <f t="shared" si="1053"/>
        <v>45717</v>
      </c>
      <c r="C2781" s="73">
        <f t="shared" si="1034"/>
        <v>45747</v>
      </c>
      <c r="D2781" s="67">
        <f t="shared" si="1035"/>
        <v>31</v>
      </c>
      <c r="E2781" s="67">
        <f t="shared" si="1036"/>
        <v>3</v>
      </c>
      <c r="F2781" s="74">
        <f t="shared" si="1037"/>
        <v>45732.5</v>
      </c>
      <c r="G2781" s="67">
        <f t="shared" si="1038"/>
        <v>24302</v>
      </c>
      <c r="H2781" s="75">
        <f t="shared" si="1039"/>
        <v>1</v>
      </c>
      <c r="I2781" s="76">
        <f t="shared" si="1040"/>
        <v>1</v>
      </c>
      <c r="J2781" s="76">
        <f t="shared" si="1041"/>
        <v>1</v>
      </c>
      <c r="K2781" s="67">
        <f t="shared" si="1042"/>
        <v>0</v>
      </c>
      <c r="L2781" s="67">
        <f t="shared" si="1043"/>
        <v>0</v>
      </c>
      <c r="M2781" s="77">
        <f t="shared" si="1044"/>
        <v>0</v>
      </c>
      <c r="N2781" s="76">
        <f t="shared" si="1045"/>
        <v>1</v>
      </c>
      <c r="O2781" s="77">
        <f t="shared" si="1046"/>
        <v>0.90383479212253837</v>
      </c>
      <c r="P2781" s="76">
        <f t="shared" si="1047"/>
        <v>0</v>
      </c>
      <c r="Q2781" s="76">
        <f t="shared" si="1048"/>
        <v>0</v>
      </c>
      <c r="R2781" s="76">
        <f t="shared" si="1049"/>
        <v>0</v>
      </c>
      <c r="S2781" s="76">
        <f t="shared" si="1050"/>
        <v>0.98242912187232423</v>
      </c>
      <c r="T2781" s="76">
        <f t="shared" si="1051"/>
        <v>0.98242912187232423</v>
      </c>
      <c r="U2781" s="76">
        <f t="shared" si="1052"/>
        <v>0.98242912187232423</v>
      </c>
    </row>
    <row r="2782" spans="1:21" x14ac:dyDescent="0.25">
      <c r="A2782" s="71">
        <v>4</v>
      </c>
      <c r="B2782" s="72">
        <f t="shared" si="1053"/>
        <v>45748</v>
      </c>
      <c r="C2782" s="73">
        <f t="shared" si="1034"/>
        <v>45777</v>
      </c>
      <c r="D2782" s="67">
        <f t="shared" si="1035"/>
        <v>30</v>
      </c>
      <c r="E2782" s="67">
        <f t="shared" si="1036"/>
        <v>4</v>
      </c>
      <c r="F2782" s="74">
        <f t="shared" si="1037"/>
        <v>45763</v>
      </c>
      <c r="G2782" s="67">
        <f t="shared" si="1038"/>
        <v>24303</v>
      </c>
      <c r="H2782" s="75">
        <f t="shared" si="1039"/>
        <v>1</v>
      </c>
      <c r="I2782" s="76">
        <f t="shared" si="1040"/>
        <v>1</v>
      </c>
      <c r="J2782" s="76">
        <f t="shared" si="1041"/>
        <v>1</v>
      </c>
      <c r="K2782" s="67">
        <f t="shared" si="1042"/>
        <v>0</v>
      </c>
      <c r="L2782" s="67">
        <f t="shared" si="1043"/>
        <v>0</v>
      </c>
      <c r="M2782" s="77">
        <f t="shared" si="1044"/>
        <v>0</v>
      </c>
      <c r="N2782" s="76">
        <f t="shared" si="1045"/>
        <v>1</v>
      </c>
      <c r="O2782" s="77">
        <f t="shared" si="1046"/>
        <v>0.90416849015317291</v>
      </c>
      <c r="P2782" s="76">
        <f t="shared" si="1047"/>
        <v>0</v>
      </c>
      <c r="Q2782" s="76">
        <f t="shared" si="1048"/>
        <v>0</v>
      </c>
      <c r="R2782" s="76">
        <f t="shared" si="1049"/>
        <v>0</v>
      </c>
      <c r="S2782" s="76">
        <f t="shared" si="1050"/>
        <v>0.98279183712301399</v>
      </c>
      <c r="T2782" s="76">
        <f t="shared" si="1051"/>
        <v>0.98279183712301399</v>
      </c>
      <c r="U2782" s="76">
        <f t="shared" si="1052"/>
        <v>0.98279183712301399</v>
      </c>
    </row>
    <row r="2783" spans="1:21" x14ac:dyDescent="0.25">
      <c r="A2783" s="71">
        <v>5</v>
      </c>
      <c r="B2783" s="72">
        <f t="shared" si="1053"/>
        <v>45778</v>
      </c>
      <c r="C2783" s="73">
        <f t="shared" si="1034"/>
        <v>45808</v>
      </c>
      <c r="D2783" s="67">
        <f t="shared" si="1035"/>
        <v>31</v>
      </c>
      <c r="E2783" s="67">
        <f t="shared" si="1036"/>
        <v>5</v>
      </c>
      <c r="F2783" s="74">
        <f t="shared" si="1037"/>
        <v>45793.5</v>
      </c>
      <c r="G2783" s="67">
        <f t="shared" si="1038"/>
        <v>24304</v>
      </c>
      <c r="H2783" s="75">
        <f t="shared" si="1039"/>
        <v>1</v>
      </c>
      <c r="I2783" s="76">
        <f t="shared" si="1040"/>
        <v>1</v>
      </c>
      <c r="J2783" s="76">
        <f t="shared" si="1041"/>
        <v>1</v>
      </c>
      <c r="K2783" s="67">
        <f t="shared" si="1042"/>
        <v>0</v>
      </c>
      <c r="L2783" s="67">
        <f t="shared" si="1043"/>
        <v>0</v>
      </c>
      <c r="M2783" s="77">
        <f t="shared" si="1044"/>
        <v>0</v>
      </c>
      <c r="N2783" s="76">
        <f t="shared" si="1045"/>
        <v>1</v>
      </c>
      <c r="O2783" s="77">
        <f t="shared" si="1046"/>
        <v>0.90450218818380745</v>
      </c>
      <c r="P2783" s="76">
        <f t="shared" si="1047"/>
        <v>0</v>
      </c>
      <c r="Q2783" s="76">
        <f t="shared" si="1048"/>
        <v>0</v>
      </c>
      <c r="R2783" s="76">
        <f t="shared" si="1049"/>
        <v>0</v>
      </c>
      <c r="S2783" s="76">
        <f t="shared" si="1050"/>
        <v>0.98315455237370375</v>
      </c>
      <c r="T2783" s="76">
        <f t="shared" si="1051"/>
        <v>0.98315455237370375</v>
      </c>
      <c r="U2783" s="76">
        <f t="shared" si="1052"/>
        <v>0.98315455237370375</v>
      </c>
    </row>
    <row r="2784" spans="1:21" x14ac:dyDescent="0.25">
      <c r="A2784" s="71">
        <v>6</v>
      </c>
      <c r="B2784" s="72">
        <f t="shared" si="1053"/>
        <v>45809</v>
      </c>
      <c r="C2784" s="73">
        <f t="shared" si="1034"/>
        <v>45838</v>
      </c>
      <c r="D2784" s="67">
        <f t="shared" si="1035"/>
        <v>30</v>
      </c>
      <c r="E2784" s="67">
        <f t="shared" si="1036"/>
        <v>6</v>
      </c>
      <c r="F2784" s="74">
        <f t="shared" si="1037"/>
        <v>45824</v>
      </c>
      <c r="G2784" s="67">
        <f t="shared" si="1038"/>
        <v>24305</v>
      </c>
      <c r="H2784" s="75">
        <f t="shared" si="1039"/>
        <v>1</v>
      </c>
      <c r="I2784" s="76">
        <f t="shared" si="1040"/>
        <v>1</v>
      </c>
      <c r="J2784" s="76">
        <f t="shared" si="1041"/>
        <v>1</v>
      </c>
      <c r="K2784" s="67">
        <f t="shared" si="1042"/>
        <v>0</v>
      </c>
      <c r="L2784" s="67">
        <f t="shared" si="1043"/>
        <v>0</v>
      </c>
      <c r="M2784" s="77">
        <f t="shared" si="1044"/>
        <v>0</v>
      </c>
      <c r="N2784" s="76">
        <f t="shared" si="1045"/>
        <v>1</v>
      </c>
      <c r="O2784" s="77">
        <f t="shared" si="1046"/>
        <v>0.90483588621444211</v>
      </c>
      <c r="P2784" s="76">
        <f t="shared" si="1047"/>
        <v>0</v>
      </c>
      <c r="Q2784" s="76">
        <f t="shared" si="1048"/>
        <v>0</v>
      </c>
      <c r="R2784" s="76">
        <f t="shared" si="1049"/>
        <v>0</v>
      </c>
      <c r="S2784" s="76">
        <f t="shared" si="1050"/>
        <v>0.98351726762439351</v>
      </c>
      <c r="T2784" s="76">
        <f t="shared" si="1051"/>
        <v>0.98351726762439351</v>
      </c>
      <c r="U2784" s="76">
        <f t="shared" si="1052"/>
        <v>0.98351726762439351</v>
      </c>
    </row>
    <row r="2785" spans="1:21" x14ac:dyDescent="0.25">
      <c r="A2785" s="71">
        <v>7</v>
      </c>
      <c r="B2785" s="72">
        <f t="shared" si="1053"/>
        <v>45839</v>
      </c>
      <c r="C2785" s="73">
        <f t="shared" si="1034"/>
        <v>45869</v>
      </c>
      <c r="D2785" s="67">
        <f t="shared" si="1035"/>
        <v>31</v>
      </c>
      <c r="E2785" s="67">
        <f t="shared" si="1036"/>
        <v>7</v>
      </c>
      <c r="F2785" s="74">
        <f t="shared" si="1037"/>
        <v>45854.5</v>
      </c>
      <c r="G2785" s="67">
        <f t="shared" si="1038"/>
        <v>24306</v>
      </c>
      <c r="H2785" s="75">
        <f t="shared" si="1039"/>
        <v>1</v>
      </c>
      <c r="I2785" s="76">
        <f t="shared" si="1040"/>
        <v>1</v>
      </c>
      <c r="J2785" s="76">
        <f t="shared" si="1041"/>
        <v>1</v>
      </c>
      <c r="K2785" s="67">
        <f t="shared" si="1042"/>
        <v>0</v>
      </c>
      <c r="L2785" s="67">
        <f t="shared" si="1043"/>
        <v>0</v>
      </c>
      <c r="M2785" s="77">
        <f t="shared" si="1044"/>
        <v>0</v>
      </c>
      <c r="N2785" s="76">
        <f t="shared" si="1045"/>
        <v>1</v>
      </c>
      <c r="O2785" s="77">
        <f t="shared" si="1046"/>
        <v>0.90516958424507665</v>
      </c>
      <c r="P2785" s="76">
        <f t="shared" si="1047"/>
        <v>8.333333333333337E-2</v>
      </c>
      <c r="Q2785" s="76">
        <f t="shared" si="1048"/>
        <v>0</v>
      </c>
      <c r="R2785" s="76">
        <f t="shared" si="1049"/>
        <v>0</v>
      </c>
      <c r="S2785" s="76">
        <f t="shared" si="1050"/>
        <v>0.98387998287508327</v>
      </c>
      <c r="T2785" s="76">
        <f t="shared" si="1051"/>
        <v>0.98387998287508327</v>
      </c>
      <c r="U2785" s="76">
        <f t="shared" si="1052"/>
        <v>0.98387998287508327</v>
      </c>
    </row>
    <row r="2786" spans="1:21" x14ac:dyDescent="0.25">
      <c r="A2786" s="71">
        <v>8</v>
      </c>
      <c r="B2786" s="72">
        <f t="shared" si="1053"/>
        <v>45870</v>
      </c>
      <c r="C2786" s="73">
        <f t="shared" si="1034"/>
        <v>45900</v>
      </c>
      <c r="D2786" s="67">
        <f t="shared" si="1035"/>
        <v>31</v>
      </c>
      <c r="E2786" s="67">
        <f t="shared" si="1036"/>
        <v>8</v>
      </c>
      <c r="F2786" s="74">
        <f t="shared" si="1037"/>
        <v>45885.5</v>
      </c>
      <c r="G2786" s="67">
        <f t="shared" si="1038"/>
        <v>24307</v>
      </c>
      <c r="H2786" s="75">
        <f t="shared" si="1039"/>
        <v>1</v>
      </c>
      <c r="I2786" s="76">
        <f t="shared" si="1040"/>
        <v>1</v>
      </c>
      <c r="J2786" s="76">
        <f t="shared" si="1041"/>
        <v>1</v>
      </c>
      <c r="K2786" s="67">
        <f t="shared" si="1042"/>
        <v>0</v>
      </c>
      <c r="L2786" s="67">
        <f t="shared" si="1043"/>
        <v>0</v>
      </c>
      <c r="M2786" s="77">
        <f t="shared" si="1044"/>
        <v>0</v>
      </c>
      <c r="N2786" s="76">
        <f t="shared" si="1045"/>
        <v>1</v>
      </c>
      <c r="O2786" s="77">
        <f t="shared" si="1046"/>
        <v>0.90550875273522979</v>
      </c>
      <c r="P2786" s="76">
        <f t="shared" si="1047"/>
        <v>0.25</v>
      </c>
      <c r="Q2786" s="76">
        <f t="shared" si="1048"/>
        <v>0</v>
      </c>
      <c r="R2786" s="76">
        <f t="shared" si="1049"/>
        <v>0</v>
      </c>
      <c r="S2786" s="76">
        <f t="shared" si="1050"/>
        <v>0.98424864427742365</v>
      </c>
      <c r="T2786" s="76">
        <f t="shared" si="1051"/>
        <v>0.98424864427742365</v>
      </c>
      <c r="U2786" s="76">
        <f t="shared" si="1052"/>
        <v>0.98424864427742365</v>
      </c>
    </row>
    <row r="2787" spans="1:21" x14ac:dyDescent="0.25">
      <c r="A2787" s="71">
        <v>9</v>
      </c>
      <c r="B2787" s="72">
        <f t="shared" si="1053"/>
        <v>45901</v>
      </c>
      <c r="C2787" s="73">
        <f t="shared" si="1034"/>
        <v>45930</v>
      </c>
      <c r="D2787" s="67">
        <f t="shared" si="1035"/>
        <v>30</v>
      </c>
      <c r="E2787" s="67">
        <f t="shared" si="1036"/>
        <v>9</v>
      </c>
      <c r="F2787" s="74">
        <f t="shared" si="1037"/>
        <v>45916</v>
      </c>
      <c r="G2787" s="67">
        <f t="shared" si="1038"/>
        <v>24308</v>
      </c>
      <c r="H2787" s="75">
        <f t="shared" si="1039"/>
        <v>1</v>
      </c>
      <c r="I2787" s="76">
        <f t="shared" si="1040"/>
        <v>1</v>
      </c>
      <c r="J2787" s="76">
        <f t="shared" si="1041"/>
        <v>1</v>
      </c>
      <c r="K2787" s="67">
        <f t="shared" si="1042"/>
        <v>0</v>
      </c>
      <c r="L2787" s="67">
        <f t="shared" si="1043"/>
        <v>0</v>
      </c>
      <c r="M2787" s="77">
        <f t="shared" si="1044"/>
        <v>0</v>
      </c>
      <c r="N2787" s="76">
        <f t="shared" si="1045"/>
        <v>1</v>
      </c>
      <c r="O2787" s="77">
        <f t="shared" si="1046"/>
        <v>0.90584245076586434</v>
      </c>
      <c r="P2787" s="76">
        <f t="shared" si="1047"/>
        <v>0.41666666666666663</v>
      </c>
      <c r="Q2787" s="76">
        <f t="shared" si="1048"/>
        <v>0</v>
      </c>
      <c r="R2787" s="76">
        <f t="shared" si="1049"/>
        <v>0</v>
      </c>
      <c r="S2787" s="76">
        <f t="shared" si="1050"/>
        <v>0.98461135952811341</v>
      </c>
      <c r="T2787" s="76">
        <f t="shared" si="1051"/>
        <v>0.98461135952811341</v>
      </c>
      <c r="U2787" s="76">
        <f t="shared" si="1052"/>
        <v>0.98461135952811341</v>
      </c>
    </row>
    <row r="2788" spans="1:21" x14ac:dyDescent="0.25">
      <c r="A2788" s="71">
        <v>10</v>
      </c>
      <c r="B2788" s="72">
        <f t="shared" si="1053"/>
        <v>45931</v>
      </c>
      <c r="C2788" s="73">
        <f t="shared" si="1034"/>
        <v>45961</v>
      </c>
      <c r="D2788" s="67">
        <f t="shared" si="1035"/>
        <v>31</v>
      </c>
      <c r="E2788" s="67">
        <f t="shared" si="1036"/>
        <v>10</v>
      </c>
      <c r="F2788" s="74">
        <f t="shared" si="1037"/>
        <v>45946.5</v>
      </c>
      <c r="G2788" s="67">
        <f t="shared" si="1038"/>
        <v>24309</v>
      </c>
      <c r="H2788" s="75">
        <f t="shared" si="1039"/>
        <v>1</v>
      </c>
      <c r="I2788" s="76">
        <f t="shared" si="1040"/>
        <v>1</v>
      </c>
      <c r="J2788" s="76">
        <f t="shared" si="1041"/>
        <v>1</v>
      </c>
      <c r="K2788" s="67">
        <f t="shared" si="1042"/>
        <v>0</v>
      </c>
      <c r="L2788" s="67">
        <f t="shared" si="1043"/>
        <v>0</v>
      </c>
      <c r="M2788" s="77">
        <f t="shared" si="1044"/>
        <v>0</v>
      </c>
      <c r="N2788" s="76">
        <f t="shared" si="1045"/>
        <v>1</v>
      </c>
      <c r="O2788" s="77">
        <f t="shared" si="1046"/>
        <v>0.90617614879649899</v>
      </c>
      <c r="P2788" s="76">
        <f t="shared" si="1047"/>
        <v>0.58333333333333326</v>
      </c>
      <c r="Q2788" s="76">
        <f t="shared" si="1048"/>
        <v>0</v>
      </c>
      <c r="R2788" s="76">
        <f t="shared" si="1049"/>
        <v>0</v>
      </c>
      <c r="S2788" s="76">
        <f t="shared" si="1050"/>
        <v>0.98497407477880317</v>
      </c>
      <c r="T2788" s="76">
        <f t="shared" si="1051"/>
        <v>0.98497407477880317</v>
      </c>
      <c r="U2788" s="76">
        <f t="shared" si="1052"/>
        <v>0.98497407477880317</v>
      </c>
    </row>
    <row r="2789" spans="1:21" x14ac:dyDescent="0.25">
      <c r="A2789" s="71">
        <v>11</v>
      </c>
      <c r="B2789" s="72">
        <f t="shared" si="1053"/>
        <v>45962</v>
      </c>
      <c r="C2789" s="73">
        <f t="shared" si="1034"/>
        <v>45991</v>
      </c>
      <c r="D2789" s="67">
        <f t="shared" si="1035"/>
        <v>30</v>
      </c>
      <c r="E2789" s="67">
        <f t="shared" si="1036"/>
        <v>11</v>
      </c>
      <c r="F2789" s="74">
        <f t="shared" si="1037"/>
        <v>45977</v>
      </c>
      <c r="G2789" s="67">
        <f t="shared" si="1038"/>
        <v>24310</v>
      </c>
      <c r="H2789" s="75">
        <f t="shared" si="1039"/>
        <v>1</v>
      </c>
      <c r="I2789" s="76">
        <f t="shared" si="1040"/>
        <v>1</v>
      </c>
      <c r="J2789" s="76">
        <f t="shared" si="1041"/>
        <v>1</v>
      </c>
      <c r="K2789" s="67">
        <f t="shared" si="1042"/>
        <v>0</v>
      </c>
      <c r="L2789" s="67">
        <f t="shared" si="1043"/>
        <v>0</v>
      </c>
      <c r="M2789" s="77">
        <f t="shared" si="1044"/>
        <v>0</v>
      </c>
      <c r="N2789" s="76">
        <f t="shared" si="1045"/>
        <v>1</v>
      </c>
      <c r="O2789" s="77">
        <f t="shared" si="1046"/>
        <v>0.90650984682713354</v>
      </c>
      <c r="P2789" s="76">
        <f t="shared" si="1047"/>
        <v>0.75</v>
      </c>
      <c r="Q2789" s="76">
        <f t="shared" si="1048"/>
        <v>0</v>
      </c>
      <c r="R2789" s="76">
        <f t="shared" si="1049"/>
        <v>0</v>
      </c>
      <c r="S2789" s="76">
        <f t="shared" si="1050"/>
        <v>0.98533679002949293</v>
      </c>
      <c r="T2789" s="76">
        <f t="shared" si="1051"/>
        <v>0.98533679002949293</v>
      </c>
      <c r="U2789" s="76">
        <f t="shared" si="1052"/>
        <v>0.98533679002949293</v>
      </c>
    </row>
    <row r="2790" spans="1:21" x14ac:dyDescent="0.25">
      <c r="A2790" s="71">
        <v>12</v>
      </c>
      <c r="B2790" s="72">
        <f t="shared" si="1053"/>
        <v>45992</v>
      </c>
      <c r="C2790" s="73">
        <f t="shared" si="1034"/>
        <v>46022</v>
      </c>
      <c r="D2790" s="67">
        <f t="shared" si="1035"/>
        <v>31</v>
      </c>
      <c r="E2790" s="67">
        <f t="shared" si="1036"/>
        <v>12</v>
      </c>
      <c r="F2790" s="74">
        <f t="shared" si="1037"/>
        <v>46007.5</v>
      </c>
      <c r="G2790" s="67">
        <f t="shared" si="1038"/>
        <v>24311</v>
      </c>
      <c r="H2790" s="75">
        <f t="shared" si="1039"/>
        <v>1</v>
      </c>
      <c r="I2790" s="76">
        <f t="shared" si="1040"/>
        <v>1</v>
      </c>
      <c r="J2790" s="76">
        <f t="shared" si="1041"/>
        <v>1</v>
      </c>
      <c r="K2790" s="67">
        <f t="shared" si="1042"/>
        <v>0</v>
      </c>
      <c r="L2790" s="67">
        <f t="shared" si="1043"/>
        <v>0</v>
      </c>
      <c r="M2790" s="77">
        <f t="shared" si="1044"/>
        <v>0</v>
      </c>
      <c r="N2790" s="76">
        <f t="shared" si="1045"/>
        <v>1</v>
      </c>
      <c r="O2790" s="77">
        <f t="shared" si="1046"/>
        <v>0.90684354485776808</v>
      </c>
      <c r="P2790" s="76">
        <f t="shared" si="1047"/>
        <v>0.91666666666666663</v>
      </c>
      <c r="Q2790" s="76">
        <f t="shared" si="1048"/>
        <v>0</v>
      </c>
      <c r="R2790" s="76">
        <f t="shared" si="1049"/>
        <v>0</v>
      </c>
      <c r="S2790" s="76">
        <f t="shared" si="1050"/>
        <v>0.98569950528018269</v>
      </c>
      <c r="T2790" s="76">
        <f t="shared" si="1051"/>
        <v>0.98569950528018269</v>
      </c>
      <c r="U2790" s="76">
        <f t="shared" si="1052"/>
        <v>0.98569950528018269</v>
      </c>
    </row>
    <row r="2791" spans="1:21" x14ac:dyDescent="0.25">
      <c r="A2791" s="71">
        <v>13</v>
      </c>
      <c r="B2791" s="72">
        <f t="shared" si="1053"/>
        <v>46023</v>
      </c>
      <c r="C2791" s="73">
        <f t="shared" si="1034"/>
        <v>46053</v>
      </c>
      <c r="D2791" s="67">
        <f t="shared" si="1035"/>
        <v>31</v>
      </c>
      <c r="E2791" s="67">
        <f t="shared" si="1036"/>
        <v>1</v>
      </c>
      <c r="F2791" s="74">
        <f t="shared" si="1037"/>
        <v>46038.5</v>
      </c>
      <c r="G2791" s="67">
        <f t="shared" si="1038"/>
        <v>24312</v>
      </c>
      <c r="H2791" s="75">
        <f t="shared" si="1039"/>
        <v>1</v>
      </c>
      <c r="I2791" s="76">
        <f t="shared" si="1040"/>
        <v>1</v>
      </c>
      <c r="J2791" s="76">
        <f t="shared" si="1041"/>
        <v>1</v>
      </c>
      <c r="K2791" s="67">
        <f t="shared" si="1042"/>
        <v>0</v>
      </c>
      <c r="L2791" s="67">
        <f t="shared" si="1043"/>
        <v>0</v>
      </c>
      <c r="M2791" s="77">
        <f t="shared" si="1044"/>
        <v>0</v>
      </c>
      <c r="N2791" s="76">
        <f t="shared" si="1045"/>
        <v>1</v>
      </c>
      <c r="O2791" s="77">
        <f t="shared" si="1046"/>
        <v>0.90718271334792122</v>
      </c>
      <c r="P2791" s="76">
        <f t="shared" si="1047"/>
        <v>1</v>
      </c>
      <c r="Q2791" s="76">
        <f t="shared" si="1048"/>
        <v>0</v>
      </c>
      <c r="R2791" s="76">
        <f t="shared" si="1049"/>
        <v>0</v>
      </c>
      <c r="S2791" s="76">
        <f t="shared" si="1050"/>
        <v>0.98606816668252306</v>
      </c>
      <c r="T2791" s="76">
        <f t="shared" si="1051"/>
        <v>0.98606816668252306</v>
      </c>
      <c r="U2791" s="76">
        <f t="shared" si="1052"/>
        <v>0.98606816668252306</v>
      </c>
    </row>
    <row r="2792" spans="1:21" x14ac:dyDescent="0.25">
      <c r="A2792" s="71">
        <v>14</v>
      </c>
      <c r="B2792" s="72">
        <f t="shared" si="1053"/>
        <v>46054</v>
      </c>
      <c r="C2792" s="73">
        <f t="shared" si="1034"/>
        <v>46081</v>
      </c>
      <c r="D2792" s="67">
        <f t="shared" si="1035"/>
        <v>28</v>
      </c>
      <c r="E2792" s="67">
        <f t="shared" si="1036"/>
        <v>2</v>
      </c>
      <c r="F2792" s="74">
        <f t="shared" si="1037"/>
        <v>46068</v>
      </c>
      <c r="G2792" s="67">
        <f t="shared" si="1038"/>
        <v>24313</v>
      </c>
      <c r="H2792" s="75">
        <f t="shared" si="1039"/>
        <v>1</v>
      </c>
      <c r="I2792" s="76">
        <f t="shared" si="1040"/>
        <v>1</v>
      </c>
      <c r="J2792" s="76">
        <f t="shared" si="1041"/>
        <v>1</v>
      </c>
      <c r="K2792" s="67">
        <f t="shared" si="1042"/>
        <v>0</v>
      </c>
      <c r="L2792" s="67">
        <f t="shared" si="1043"/>
        <v>0</v>
      </c>
      <c r="M2792" s="77">
        <f t="shared" si="1044"/>
        <v>0</v>
      </c>
      <c r="N2792" s="76">
        <f t="shared" si="1045"/>
        <v>1</v>
      </c>
      <c r="O2792" s="77">
        <f t="shared" si="1046"/>
        <v>0.90750547045951868</v>
      </c>
      <c r="P2792" s="76">
        <f t="shared" si="1047"/>
        <v>1</v>
      </c>
      <c r="Q2792" s="76">
        <f t="shared" si="1048"/>
        <v>0</v>
      </c>
      <c r="R2792" s="76">
        <f t="shared" si="1049"/>
        <v>0</v>
      </c>
      <c r="S2792" s="76">
        <f t="shared" si="1050"/>
        <v>0.98641898962991159</v>
      </c>
      <c r="T2792" s="76">
        <f t="shared" si="1051"/>
        <v>0.98641898962991159</v>
      </c>
      <c r="U2792" s="76">
        <f t="shared" si="1052"/>
        <v>0.98641898962991159</v>
      </c>
    </row>
    <row r="2793" spans="1:21" x14ac:dyDescent="0.25">
      <c r="A2793" s="71">
        <v>15</v>
      </c>
      <c r="B2793" s="72">
        <f t="shared" si="1053"/>
        <v>46082</v>
      </c>
      <c r="C2793" s="73">
        <f t="shared" si="1034"/>
        <v>46112</v>
      </c>
      <c r="D2793" s="67">
        <f t="shared" si="1035"/>
        <v>31</v>
      </c>
      <c r="E2793" s="67">
        <f t="shared" si="1036"/>
        <v>3</v>
      </c>
      <c r="F2793" s="74">
        <f t="shared" si="1037"/>
        <v>46097.5</v>
      </c>
      <c r="G2793" s="67">
        <f t="shared" si="1038"/>
        <v>24314</v>
      </c>
      <c r="H2793" s="75">
        <f t="shared" si="1039"/>
        <v>1</v>
      </c>
      <c r="I2793" s="76">
        <f t="shared" si="1040"/>
        <v>1</v>
      </c>
      <c r="J2793" s="76">
        <f t="shared" si="1041"/>
        <v>1</v>
      </c>
      <c r="K2793" s="67">
        <f t="shared" si="1042"/>
        <v>0</v>
      </c>
      <c r="L2793" s="67">
        <f t="shared" si="1043"/>
        <v>0</v>
      </c>
      <c r="M2793" s="77">
        <f t="shared" si="1044"/>
        <v>0</v>
      </c>
      <c r="N2793" s="76">
        <f t="shared" si="1045"/>
        <v>1</v>
      </c>
      <c r="O2793" s="77">
        <f t="shared" si="1046"/>
        <v>0.90782822757111603</v>
      </c>
      <c r="P2793" s="76">
        <f t="shared" si="1047"/>
        <v>1</v>
      </c>
      <c r="Q2793" s="76">
        <f t="shared" si="1048"/>
        <v>0</v>
      </c>
      <c r="R2793" s="76">
        <f t="shared" si="1049"/>
        <v>0</v>
      </c>
      <c r="S2793" s="76">
        <f t="shared" si="1050"/>
        <v>0.98676981257730001</v>
      </c>
      <c r="T2793" s="76">
        <f t="shared" si="1051"/>
        <v>0.98676981257730001</v>
      </c>
      <c r="U2793" s="76">
        <f t="shared" si="1052"/>
        <v>0.98676981257730001</v>
      </c>
    </row>
    <row r="2794" spans="1:21" x14ac:dyDescent="0.25">
      <c r="A2794" s="71">
        <v>16</v>
      </c>
      <c r="B2794" s="72">
        <f t="shared" si="1053"/>
        <v>46113</v>
      </c>
      <c r="C2794" s="73">
        <f t="shared" si="1034"/>
        <v>46142</v>
      </c>
      <c r="D2794" s="67">
        <f t="shared" si="1035"/>
        <v>30</v>
      </c>
      <c r="E2794" s="67">
        <f t="shared" si="1036"/>
        <v>4</v>
      </c>
      <c r="F2794" s="74">
        <f t="shared" si="1037"/>
        <v>46128</v>
      </c>
      <c r="G2794" s="67">
        <f t="shared" si="1038"/>
        <v>24315</v>
      </c>
      <c r="H2794" s="75">
        <f t="shared" si="1039"/>
        <v>1</v>
      </c>
      <c r="I2794" s="76">
        <f t="shared" si="1040"/>
        <v>1</v>
      </c>
      <c r="J2794" s="76">
        <f t="shared" si="1041"/>
        <v>1</v>
      </c>
      <c r="K2794" s="67">
        <f t="shared" si="1042"/>
        <v>0</v>
      </c>
      <c r="L2794" s="67">
        <f t="shared" si="1043"/>
        <v>0</v>
      </c>
      <c r="M2794" s="77">
        <f t="shared" si="1044"/>
        <v>0</v>
      </c>
      <c r="N2794" s="76">
        <f t="shared" si="1045"/>
        <v>1</v>
      </c>
      <c r="O2794" s="77">
        <f t="shared" si="1046"/>
        <v>0.90816192560175057</v>
      </c>
      <c r="P2794" s="76">
        <f t="shared" si="1047"/>
        <v>1</v>
      </c>
      <c r="Q2794" s="76">
        <f t="shared" si="1048"/>
        <v>0</v>
      </c>
      <c r="R2794" s="76">
        <f t="shared" si="1049"/>
        <v>0</v>
      </c>
      <c r="S2794" s="76">
        <f t="shared" si="1050"/>
        <v>0.98713252782798966</v>
      </c>
      <c r="T2794" s="76">
        <f t="shared" si="1051"/>
        <v>0.98713252782798966</v>
      </c>
      <c r="U2794" s="76">
        <f t="shared" si="1052"/>
        <v>0.98713252782798966</v>
      </c>
    </row>
    <row r="2795" spans="1:21" x14ac:dyDescent="0.25">
      <c r="A2795" s="71">
        <v>17</v>
      </c>
      <c r="B2795" s="72">
        <f t="shared" si="1053"/>
        <v>46143</v>
      </c>
      <c r="C2795" s="73">
        <f t="shared" si="1034"/>
        <v>46173</v>
      </c>
      <c r="D2795" s="67">
        <f t="shared" si="1035"/>
        <v>31</v>
      </c>
      <c r="E2795" s="67">
        <f t="shared" si="1036"/>
        <v>5</v>
      </c>
      <c r="F2795" s="74">
        <f t="shared" si="1037"/>
        <v>46158.5</v>
      </c>
      <c r="G2795" s="67">
        <f t="shared" si="1038"/>
        <v>24316</v>
      </c>
      <c r="H2795" s="75">
        <f t="shared" si="1039"/>
        <v>1</v>
      </c>
      <c r="I2795" s="76">
        <f t="shared" si="1040"/>
        <v>1</v>
      </c>
      <c r="J2795" s="76">
        <f t="shared" si="1041"/>
        <v>1</v>
      </c>
      <c r="K2795" s="67">
        <f t="shared" si="1042"/>
        <v>0</v>
      </c>
      <c r="L2795" s="67">
        <f t="shared" si="1043"/>
        <v>0</v>
      </c>
      <c r="M2795" s="77">
        <f t="shared" si="1044"/>
        <v>0</v>
      </c>
      <c r="N2795" s="76">
        <f t="shared" si="1045"/>
        <v>1</v>
      </c>
      <c r="O2795" s="77">
        <f t="shared" si="1046"/>
        <v>0.90849562363238512</v>
      </c>
      <c r="P2795" s="76">
        <f t="shared" si="1047"/>
        <v>1</v>
      </c>
      <c r="Q2795" s="76">
        <f t="shared" si="1048"/>
        <v>0</v>
      </c>
      <c r="R2795" s="76">
        <f t="shared" si="1049"/>
        <v>0</v>
      </c>
      <c r="S2795" s="76">
        <f t="shared" si="1050"/>
        <v>0.98749524307867942</v>
      </c>
      <c r="T2795" s="76">
        <f t="shared" si="1051"/>
        <v>0.98749524307867942</v>
      </c>
      <c r="U2795" s="76">
        <f t="shared" si="1052"/>
        <v>0.98749524307867942</v>
      </c>
    </row>
    <row r="2796" spans="1:21" x14ac:dyDescent="0.25">
      <c r="A2796" s="71">
        <v>18</v>
      </c>
      <c r="B2796" s="72">
        <f t="shared" si="1053"/>
        <v>46174</v>
      </c>
      <c r="C2796" s="73">
        <f t="shared" si="1034"/>
        <v>46203</v>
      </c>
      <c r="D2796" s="67">
        <f t="shared" si="1035"/>
        <v>30</v>
      </c>
      <c r="E2796" s="67">
        <f t="shared" si="1036"/>
        <v>6</v>
      </c>
      <c r="F2796" s="74">
        <f t="shared" si="1037"/>
        <v>46189</v>
      </c>
      <c r="G2796" s="67">
        <f t="shared" si="1038"/>
        <v>24317</v>
      </c>
      <c r="H2796" s="75">
        <f t="shared" si="1039"/>
        <v>1</v>
      </c>
      <c r="I2796" s="76">
        <f t="shared" si="1040"/>
        <v>1</v>
      </c>
      <c r="J2796" s="76">
        <f t="shared" si="1041"/>
        <v>1</v>
      </c>
      <c r="K2796" s="67">
        <f t="shared" si="1042"/>
        <v>0</v>
      </c>
      <c r="L2796" s="67">
        <f t="shared" si="1043"/>
        <v>0</v>
      </c>
      <c r="M2796" s="77">
        <f t="shared" si="1044"/>
        <v>0</v>
      </c>
      <c r="N2796" s="76">
        <f t="shared" si="1045"/>
        <v>1</v>
      </c>
      <c r="O2796" s="77">
        <f t="shared" si="1046"/>
        <v>0.90882932166301977</v>
      </c>
      <c r="P2796" s="76">
        <f t="shared" si="1047"/>
        <v>1</v>
      </c>
      <c r="Q2796" s="76">
        <f t="shared" si="1048"/>
        <v>0</v>
      </c>
      <c r="R2796" s="76">
        <f t="shared" si="1049"/>
        <v>0</v>
      </c>
      <c r="S2796" s="76">
        <f t="shared" si="1050"/>
        <v>0.98785795832936929</v>
      </c>
      <c r="T2796" s="76">
        <f t="shared" si="1051"/>
        <v>0.98785795832936929</v>
      </c>
      <c r="U2796" s="76">
        <f t="shared" si="1052"/>
        <v>0.98785795832936929</v>
      </c>
    </row>
    <row r="2797" spans="1:21" x14ac:dyDescent="0.25">
      <c r="A2797" s="71">
        <v>19</v>
      </c>
      <c r="B2797" s="72">
        <f t="shared" si="1053"/>
        <v>46204</v>
      </c>
      <c r="C2797" s="73">
        <f t="shared" si="1034"/>
        <v>46234</v>
      </c>
      <c r="D2797" s="67">
        <f t="shared" si="1035"/>
        <v>31</v>
      </c>
      <c r="E2797" s="67">
        <f t="shared" si="1036"/>
        <v>7</v>
      </c>
      <c r="F2797" s="74">
        <f t="shared" si="1037"/>
        <v>46219.5</v>
      </c>
      <c r="G2797" s="67">
        <f t="shared" si="1038"/>
        <v>24318</v>
      </c>
      <c r="H2797" s="75">
        <f t="shared" si="1039"/>
        <v>1</v>
      </c>
      <c r="I2797" s="76">
        <f t="shared" si="1040"/>
        <v>1</v>
      </c>
      <c r="J2797" s="76">
        <f t="shared" si="1041"/>
        <v>1</v>
      </c>
      <c r="K2797" s="67">
        <f t="shared" si="1042"/>
        <v>0</v>
      </c>
      <c r="L2797" s="67">
        <f t="shared" si="1043"/>
        <v>0</v>
      </c>
      <c r="M2797" s="77">
        <f t="shared" si="1044"/>
        <v>0</v>
      </c>
      <c r="N2797" s="76">
        <f t="shared" si="1045"/>
        <v>1</v>
      </c>
      <c r="O2797" s="77">
        <f t="shared" si="1046"/>
        <v>0.90916301969365432</v>
      </c>
      <c r="P2797" s="76">
        <f t="shared" si="1047"/>
        <v>0.91666666666666663</v>
      </c>
      <c r="Q2797" s="76">
        <f t="shared" si="1048"/>
        <v>8.333333333333337E-2</v>
      </c>
      <c r="R2797" s="76">
        <f t="shared" si="1049"/>
        <v>0</v>
      </c>
      <c r="S2797" s="76">
        <f t="shared" si="1050"/>
        <v>0.98822067358005905</v>
      </c>
      <c r="T2797" s="76">
        <f t="shared" si="1051"/>
        <v>0.98822067358005905</v>
      </c>
      <c r="U2797" s="76">
        <f t="shared" si="1052"/>
        <v>0.98822067358005905</v>
      </c>
    </row>
    <row r="2798" spans="1:21" x14ac:dyDescent="0.25">
      <c r="A2798" s="71">
        <v>20</v>
      </c>
      <c r="B2798" s="72">
        <f t="shared" si="1053"/>
        <v>46235</v>
      </c>
      <c r="C2798" s="73">
        <f t="shared" si="1034"/>
        <v>46265</v>
      </c>
      <c r="D2798" s="67">
        <f t="shared" si="1035"/>
        <v>31</v>
      </c>
      <c r="E2798" s="67">
        <f t="shared" si="1036"/>
        <v>8</v>
      </c>
      <c r="F2798" s="74">
        <f t="shared" si="1037"/>
        <v>46250.5</v>
      </c>
      <c r="G2798" s="67">
        <f t="shared" si="1038"/>
        <v>24319</v>
      </c>
      <c r="H2798" s="75">
        <f t="shared" si="1039"/>
        <v>1</v>
      </c>
      <c r="I2798" s="76">
        <f t="shared" si="1040"/>
        <v>1</v>
      </c>
      <c r="J2798" s="76">
        <f t="shared" si="1041"/>
        <v>1</v>
      </c>
      <c r="K2798" s="67">
        <f t="shared" si="1042"/>
        <v>0</v>
      </c>
      <c r="L2798" s="67">
        <f t="shared" si="1043"/>
        <v>0</v>
      </c>
      <c r="M2798" s="77">
        <f t="shared" si="1044"/>
        <v>0</v>
      </c>
      <c r="N2798" s="76">
        <f t="shared" si="1045"/>
        <v>1</v>
      </c>
      <c r="O2798" s="77">
        <f t="shared" si="1046"/>
        <v>0.90950218818380746</v>
      </c>
      <c r="P2798" s="76">
        <f t="shared" si="1047"/>
        <v>0.75</v>
      </c>
      <c r="Q2798" s="76">
        <f t="shared" si="1048"/>
        <v>0.25</v>
      </c>
      <c r="R2798" s="76">
        <f t="shared" si="1049"/>
        <v>0</v>
      </c>
      <c r="S2798" s="76">
        <f t="shared" si="1050"/>
        <v>0.98858933498239931</v>
      </c>
      <c r="T2798" s="76">
        <f t="shared" si="1051"/>
        <v>0.98858933498239931</v>
      </c>
      <c r="U2798" s="76">
        <f t="shared" si="1052"/>
        <v>0.98858933498239931</v>
      </c>
    </row>
    <row r="2799" spans="1:21" x14ac:dyDescent="0.25">
      <c r="A2799" s="71">
        <v>21</v>
      </c>
      <c r="B2799" s="72">
        <f t="shared" si="1053"/>
        <v>46266</v>
      </c>
      <c r="C2799" s="73">
        <f t="shared" si="1034"/>
        <v>46295</v>
      </c>
      <c r="D2799" s="67">
        <f t="shared" si="1035"/>
        <v>30</v>
      </c>
      <c r="E2799" s="67">
        <f t="shared" si="1036"/>
        <v>9</v>
      </c>
      <c r="F2799" s="74">
        <f t="shared" si="1037"/>
        <v>46281</v>
      </c>
      <c r="G2799" s="67">
        <f t="shared" si="1038"/>
        <v>24320</v>
      </c>
      <c r="H2799" s="75">
        <f t="shared" si="1039"/>
        <v>1</v>
      </c>
      <c r="I2799" s="76">
        <f t="shared" si="1040"/>
        <v>1</v>
      </c>
      <c r="J2799" s="76">
        <f t="shared" si="1041"/>
        <v>1</v>
      </c>
      <c r="K2799" s="67">
        <f t="shared" si="1042"/>
        <v>0</v>
      </c>
      <c r="L2799" s="67">
        <f t="shared" si="1043"/>
        <v>0</v>
      </c>
      <c r="M2799" s="77">
        <f t="shared" si="1044"/>
        <v>0</v>
      </c>
      <c r="N2799" s="76">
        <f t="shared" si="1045"/>
        <v>1</v>
      </c>
      <c r="O2799" s="77">
        <f t="shared" si="1046"/>
        <v>0.909835886214442</v>
      </c>
      <c r="P2799" s="76">
        <f t="shared" si="1047"/>
        <v>0.58333333333333337</v>
      </c>
      <c r="Q2799" s="76">
        <f t="shared" si="1048"/>
        <v>0.41666666666666663</v>
      </c>
      <c r="R2799" s="76">
        <f t="shared" si="1049"/>
        <v>0</v>
      </c>
      <c r="S2799" s="76">
        <f t="shared" si="1050"/>
        <v>0.98895205023308907</v>
      </c>
      <c r="T2799" s="76">
        <f t="shared" si="1051"/>
        <v>0.98895205023308907</v>
      </c>
      <c r="U2799" s="76">
        <f t="shared" si="1052"/>
        <v>0.98895205023308907</v>
      </c>
    </row>
    <row r="2800" spans="1:21" x14ac:dyDescent="0.25">
      <c r="A2800" s="71">
        <v>22</v>
      </c>
      <c r="B2800" s="72">
        <f t="shared" si="1053"/>
        <v>46296</v>
      </c>
      <c r="C2800" s="73">
        <f t="shared" si="1034"/>
        <v>46326</v>
      </c>
      <c r="D2800" s="67">
        <f t="shared" si="1035"/>
        <v>31</v>
      </c>
      <c r="E2800" s="67">
        <f t="shared" si="1036"/>
        <v>10</v>
      </c>
      <c r="F2800" s="74">
        <f t="shared" si="1037"/>
        <v>46311.5</v>
      </c>
      <c r="G2800" s="67">
        <f t="shared" si="1038"/>
        <v>24321</v>
      </c>
      <c r="H2800" s="75">
        <f t="shared" si="1039"/>
        <v>1</v>
      </c>
      <c r="I2800" s="76">
        <f t="shared" si="1040"/>
        <v>1</v>
      </c>
      <c r="J2800" s="76">
        <f t="shared" si="1041"/>
        <v>1.1000000000000001</v>
      </c>
      <c r="K2800" s="67">
        <f t="shared" si="1042"/>
        <v>1</v>
      </c>
      <c r="L2800" s="67">
        <f t="shared" si="1043"/>
        <v>31</v>
      </c>
      <c r="M2800" s="77">
        <f t="shared" si="1044"/>
        <v>1</v>
      </c>
      <c r="N2800" s="76">
        <f t="shared" si="1045"/>
        <v>1.1000000000000001</v>
      </c>
      <c r="O2800" s="77">
        <f t="shared" si="1046"/>
        <v>0.91016958424507666</v>
      </c>
      <c r="P2800" s="76">
        <f t="shared" si="1047"/>
        <v>0.41666666666666669</v>
      </c>
      <c r="Q2800" s="76">
        <f t="shared" si="1048"/>
        <v>0.58333333333333326</v>
      </c>
      <c r="R2800" s="76">
        <f t="shared" si="1049"/>
        <v>0</v>
      </c>
      <c r="S2800" s="76">
        <f t="shared" si="1050"/>
        <v>1.088246242032157</v>
      </c>
      <c r="T2800" s="76">
        <f t="shared" si="1051"/>
        <v>1.088246242032157</v>
      </c>
      <c r="U2800" s="76">
        <f t="shared" si="1052"/>
        <v>1.088246242032157</v>
      </c>
    </row>
    <row r="2801" spans="1:21" x14ac:dyDescent="0.25">
      <c r="A2801" s="71">
        <v>23</v>
      </c>
      <c r="B2801" s="72">
        <f t="shared" si="1053"/>
        <v>46327</v>
      </c>
      <c r="C2801" s="73">
        <f t="shared" si="1034"/>
        <v>46356</v>
      </c>
      <c r="D2801" s="67">
        <f t="shared" si="1035"/>
        <v>30</v>
      </c>
      <c r="E2801" s="67">
        <f t="shared" si="1036"/>
        <v>11</v>
      </c>
      <c r="F2801" s="74">
        <f t="shared" si="1037"/>
        <v>46342</v>
      </c>
      <c r="G2801" s="67">
        <f t="shared" si="1038"/>
        <v>24322</v>
      </c>
      <c r="H2801" s="75">
        <f t="shared" si="1039"/>
        <v>1</v>
      </c>
      <c r="I2801" s="76">
        <f t="shared" si="1040"/>
        <v>1.1000000000000001</v>
      </c>
      <c r="J2801" s="76">
        <f t="shared" si="1041"/>
        <v>1.1000000000000001</v>
      </c>
      <c r="K2801" s="67">
        <f t="shared" si="1042"/>
        <v>0</v>
      </c>
      <c r="L2801" s="67">
        <f t="shared" si="1043"/>
        <v>0</v>
      </c>
      <c r="M2801" s="77">
        <f t="shared" si="1044"/>
        <v>0</v>
      </c>
      <c r="N2801" s="76">
        <f t="shared" si="1045"/>
        <v>1.1000000000000001</v>
      </c>
      <c r="O2801" s="77">
        <f t="shared" si="1046"/>
        <v>0.9105032822757112</v>
      </c>
      <c r="P2801" s="76">
        <f t="shared" si="1047"/>
        <v>0.25</v>
      </c>
      <c r="Q2801" s="76">
        <f t="shared" si="1048"/>
        <v>0.75</v>
      </c>
      <c r="R2801" s="76">
        <f t="shared" si="1049"/>
        <v>0</v>
      </c>
      <c r="S2801" s="76">
        <f t="shared" si="1050"/>
        <v>1.0886452288079156</v>
      </c>
      <c r="T2801" s="76">
        <f t="shared" si="1051"/>
        <v>1.0886452288079156</v>
      </c>
      <c r="U2801" s="76">
        <f t="shared" si="1052"/>
        <v>1.0886452288079156</v>
      </c>
    </row>
    <row r="2802" spans="1:21" x14ac:dyDescent="0.25">
      <c r="A2802" s="71">
        <v>24</v>
      </c>
      <c r="B2802" s="72">
        <f t="shared" si="1053"/>
        <v>46357</v>
      </c>
      <c r="C2802" s="73">
        <f t="shared" si="1034"/>
        <v>46387</v>
      </c>
      <c r="D2802" s="67">
        <f t="shared" si="1035"/>
        <v>31</v>
      </c>
      <c r="E2802" s="67">
        <f t="shared" si="1036"/>
        <v>12</v>
      </c>
      <c r="F2802" s="74">
        <f t="shared" si="1037"/>
        <v>46372.5</v>
      </c>
      <c r="G2802" s="67">
        <f t="shared" si="1038"/>
        <v>24323</v>
      </c>
      <c r="H2802" s="75">
        <f t="shared" si="1039"/>
        <v>1</v>
      </c>
      <c r="I2802" s="76">
        <f t="shared" si="1040"/>
        <v>1.1000000000000001</v>
      </c>
      <c r="J2802" s="76">
        <f t="shared" si="1041"/>
        <v>1.1000000000000001</v>
      </c>
      <c r="K2802" s="67">
        <f t="shared" si="1042"/>
        <v>0</v>
      </c>
      <c r="L2802" s="67">
        <f t="shared" si="1043"/>
        <v>0</v>
      </c>
      <c r="M2802" s="77">
        <f t="shared" si="1044"/>
        <v>0</v>
      </c>
      <c r="N2802" s="76">
        <f t="shared" si="1045"/>
        <v>1.1000000000000001</v>
      </c>
      <c r="O2802" s="77">
        <f t="shared" si="1046"/>
        <v>0.91083698030634574</v>
      </c>
      <c r="P2802" s="76">
        <f t="shared" si="1047"/>
        <v>8.3333333333333329E-2</v>
      </c>
      <c r="Q2802" s="76">
        <f t="shared" si="1048"/>
        <v>0.91666666666666663</v>
      </c>
      <c r="R2802" s="76">
        <f t="shared" si="1049"/>
        <v>0</v>
      </c>
      <c r="S2802" s="76">
        <f t="shared" si="1050"/>
        <v>1.0890442155836744</v>
      </c>
      <c r="T2802" s="76">
        <f t="shared" si="1051"/>
        <v>1.0890442155836744</v>
      </c>
      <c r="U2802" s="76">
        <f t="shared" si="1052"/>
        <v>1.0890442155836744</v>
      </c>
    </row>
    <row r="2803" spans="1:21" x14ac:dyDescent="0.25">
      <c r="A2803" s="71">
        <v>25</v>
      </c>
      <c r="B2803" s="72">
        <f t="shared" si="1053"/>
        <v>46388</v>
      </c>
      <c r="C2803" s="73">
        <f t="shared" si="1034"/>
        <v>46418</v>
      </c>
      <c r="D2803" s="67">
        <f t="shared" si="1035"/>
        <v>31</v>
      </c>
      <c r="E2803" s="67">
        <f t="shared" si="1036"/>
        <v>1</v>
      </c>
      <c r="F2803" s="74">
        <f t="shared" si="1037"/>
        <v>46403.5</v>
      </c>
      <c r="G2803" s="67">
        <f t="shared" si="1038"/>
        <v>24324</v>
      </c>
      <c r="H2803" s="75">
        <f t="shared" si="1039"/>
        <v>1</v>
      </c>
      <c r="I2803" s="76">
        <f t="shared" si="1040"/>
        <v>1.1000000000000001</v>
      </c>
      <c r="J2803" s="76">
        <f t="shared" si="1041"/>
        <v>1.1000000000000001</v>
      </c>
      <c r="K2803" s="67">
        <f t="shared" si="1042"/>
        <v>0</v>
      </c>
      <c r="L2803" s="67">
        <f t="shared" si="1043"/>
        <v>0</v>
      </c>
      <c r="M2803" s="77">
        <f t="shared" si="1044"/>
        <v>0</v>
      </c>
      <c r="N2803" s="76">
        <f t="shared" si="1045"/>
        <v>1.1000000000000001</v>
      </c>
      <c r="O2803" s="77">
        <f t="shared" si="1046"/>
        <v>0.91117614879649889</v>
      </c>
      <c r="P2803" s="76">
        <f t="shared" si="1047"/>
        <v>0</v>
      </c>
      <c r="Q2803" s="76">
        <f t="shared" si="1048"/>
        <v>1</v>
      </c>
      <c r="R2803" s="76">
        <f t="shared" si="1049"/>
        <v>0</v>
      </c>
      <c r="S2803" s="76">
        <f t="shared" si="1050"/>
        <v>1.0894497431262486</v>
      </c>
      <c r="T2803" s="76">
        <f t="shared" si="1051"/>
        <v>1.0846749833507754</v>
      </c>
      <c r="U2803" s="76">
        <f t="shared" si="1052"/>
        <v>1.0846749833507754</v>
      </c>
    </row>
    <row r="2804" spans="1:21" x14ac:dyDescent="0.25">
      <c r="A2804" s="71">
        <v>26</v>
      </c>
      <c r="B2804" s="72">
        <f t="shared" si="1053"/>
        <v>46419</v>
      </c>
      <c r="C2804" s="73">
        <f t="shared" si="1034"/>
        <v>46446</v>
      </c>
      <c r="D2804" s="67">
        <f t="shared" si="1035"/>
        <v>28</v>
      </c>
      <c r="E2804" s="67">
        <f t="shared" si="1036"/>
        <v>2</v>
      </c>
      <c r="F2804" s="74">
        <f t="shared" si="1037"/>
        <v>46433</v>
      </c>
      <c r="G2804" s="67">
        <f t="shared" si="1038"/>
        <v>24325</v>
      </c>
      <c r="H2804" s="75">
        <f t="shared" si="1039"/>
        <v>1</v>
      </c>
      <c r="I2804" s="76">
        <f t="shared" si="1040"/>
        <v>1.1000000000000001</v>
      </c>
      <c r="J2804" s="76">
        <f t="shared" si="1041"/>
        <v>1.1000000000000001</v>
      </c>
      <c r="K2804" s="67">
        <f t="shared" si="1042"/>
        <v>0</v>
      </c>
      <c r="L2804" s="67">
        <f t="shared" si="1043"/>
        <v>0</v>
      </c>
      <c r="M2804" s="77">
        <f t="shared" si="1044"/>
        <v>0</v>
      </c>
      <c r="N2804" s="76">
        <f t="shared" si="1045"/>
        <v>1.1000000000000001</v>
      </c>
      <c r="O2804" s="77">
        <f t="shared" si="1046"/>
        <v>0.91149890590809635</v>
      </c>
      <c r="P2804" s="76">
        <f t="shared" si="1047"/>
        <v>0</v>
      </c>
      <c r="Q2804" s="76">
        <f t="shared" si="1048"/>
        <v>1</v>
      </c>
      <c r="R2804" s="76">
        <f t="shared" si="1049"/>
        <v>0</v>
      </c>
      <c r="S2804" s="76">
        <f t="shared" si="1050"/>
        <v>1.089835648368376</v>
      </c>
      <c r="T2804" s="76">
        <f t="shared" si="1051"/>
        <v>1.0850608885929027</v>
      </c>
      <c r="U2804" s="76">
        <f t="shared" si="1052"/>
        <v>1.0850608885929027</v>
      </c>
    </row>
    <row r="2805" spans="1:21" x14ac:dyDescent="0.25">
      <c r="A2805" s="71">
        <v>27</v>
      </c>
      <c r="B2805" s="72">
        <f t="shared" si="1053"/>
        <v>46447</v>
      </c>
      <c r="C2805" s="73">
        <f t="shared" si="1034"/>
        <v>46477</v>
      </c>
      <c r="D2805" s="67">
        <f t="shared" si="1035"/>
        <v>31</v>
      </c>
      <c r="E2805" s="67">
        <f t="shared" si="1036"/>
        <v>3</v>
      </c>
      <c r="F2805" s="74">
        <f t="shared" si="1037"/>
        <v>46462.5</v>
      </c>
      <c r="G2805" s="67">
        <f t="shared" si="1038"/>
        <v>24326</v>
      </c>
      <c r="H2805" s="75">
        <f t="shared" si="1039"/>
        <v>1</v>
      </c>
      <c r="I2805" s="76">
        <f t="shared" si="1040"/>
        <v>1.1000000000000001</v>
      </c>
      <c r="J2805" s="76">
        <f t="shared" si="1041"/>
        <v>1.1000000000000001</v>
      </c>
      <c r="K2805" s="67">
        <f t="shared" si="1042"/>
        <v>0</v>
      </c>
      <c r="L2805" s="67">
        <f t="shared" si="1043"/>
        <v>0</v>
      </c>
      <c r="M2805" s="77">
        <f t="shared" si="1044"/>
        <v>0</v>
      </c>
      <c r="N2805" s="76">
        <f t="shared" si="1045"/>
        <v>1.1000000000000001</v>
      </c>
      <c r="O2805" s="77">
        <f t="shared" si="1046"/>
        <v>0.9118216630196937</v>
      </c>
      <c r="P2805" s="76">
        <f t="shared" si="1047"/>
        <v>0</v>
      </c>
      <c r="Q2805" s="76">
        <f t="shared" si="1048"/>
        <v>1</v>
      </c>
      <c r="R2805" s="76">
        <f t="shared" si="1049"/>
        <v>0</v>
      </c>
      <c r="S2805" s="76">
        <f t="shared" si="1050"/>
        <v>1.0902215536105033</v>
      </c>
      <c r="T2805" s="76">
        <f t="shared" si="1051"/>
        <v>1.0854467938350301</v>
      </c>
      <c r="U2805" s="76">
        <f t="shared" si="1052"/>
        <v>1.0854467938350301</v>
      </c>
    </row>
    <row r="2806" spans="1:21" x14ac:dyDescent="0.25">
      <c r="A2806" s="71">
        <v>28</v>
      </c>
      <c r="B2806" s="72">
        <f t="shared" si="1053"/>
        <v>46478</v>
      </c>
      <c r="C2806" s="73">
        <f t="shared" si="1034"/>
        <v>46507</v>
      </c>
      <c r="D2806" s="67">
        <f t="shared" si="1035"/>
        <v>30</v>
      </c>
      <c r="E2806" s="67">
        <f t="shared" si="1036"/>
        <v>4</v>
      </c>
      <c r="F2806" s="74">
        <f t="shared" si="1037"/>
        <v>46493</v>
      </c>
      <c r="G2806" s="67">
        <f t="shared" si="1038"/>
        <v>24327</v>
      </c>
      <c r="H2806" s="75">
        <f t="shared" si="1039"/>
        <v>1</v>
      </c>
      <c r="I2806" s="76">
        <f t="shared" si="1040"/>
        <v>1.1000000000000001</v>
      </c>
      <c r="J2806" s="76">
        <f t="shared" si="1041"/>
        <v>1.1000000000000001</v>
      </c>
      <c r="K2806" s="67">
        <f t="shared" si="1042"/>
        <v>0</v>
      </c>
      <c r="L2806" s="67">
        <f t="shared" si="1043"/>
        <v>0</v>
      </c>
      <c r="M2806" s="77">
        <f t="shared" si="1044"/>
        <v>0</v>
      </c>
      <c r="N2806" s="76">
        <f t="shared" si="1045"/>
        <v>1.1000000000000001</v>
      </c>
      <c r="O2806" s="77">
        <f t="shared" si="1046"/>
        <v>0.91215536105032824</v>
      </c>
      <c r="P2806" s="76">
        <f t="shared" si="1047"/>
        <v>0</v>
      </c>
      <c r="Q2806" s="76">
        <f t="shared" si="1048"/>
        <v>1</v>
      </c>
      <c r="R2806" s="76">
        <f t="shared" si="1049"/>
        <v>0</v>
      </c>
      <c r="S2806" s="76">
        <f t="shared" si="1050"/>
        <v>1.0906205403862621</v>
      </c>
      <c r="T2806" s="76">
        <f t="shared" si="1051"/>
        <v>1.0858457806107886</v>
      </c>
      <c r="U2806" s="76">
        <f t="shared" si="1052"/>
        <v>1.0858457806107886</v>
      </c>
    </row>
    <row r="2807" spans="1:21" x14ac:dyDescent="0.25">
      <c r="A2807" s="71">
        <v>29</v>
      </c>
      <c r="B2807" s="72">
        <f t="shared" si="1053"/>
        <v>46508</v>
      </c>
      <c r="C2807" s="73">
        <f t="shared" si="1034"/>
        <v>46538</v>
      </c>
      <c r="D2807" s="67">
        <f t="shared" si="1035"/>
        <v>31</v>
      </c>
      <c r="E2807" s="67">
        <f t="shared" si="1036"/>
        <v>5</v>
      </c>
      <c r="F2807" s="74">
        <f t="shared" si="1037"/>
        <v>46523.5</v>
      </c>
      <c r="G2807" s="67">
        <f t="shared" si="1038"/>
        <v>24328</v>
      </c>
      <c r="H2807" s="75">
        <f t="shared" si="1039"/>
        <v>1</v>
      </c>
      <c r="I2807" s="76">
        <f t="shared" si="1040"/>
        <v>1.1000000000000001</v>
      </c>
      <c r="J2807" s="76">
        <f t="shared" si="1041"/>
        <v>1.1000000000000001</v>
      </c>
      <c r="K2807" s="67">
        <f t="shared" si="1042"/>
        <v>0</v>
      </c>
      <c r="L2807" s="67">
        <f t="shared" si="1043"/>
        <v>0</v>
      </c>
      <c r="M2807" s="77">
        <f t="shared" si="1044"/>
        <v>0</v>
      </c>
      <c r="N2807" s="76">
        <f t="shared" si="1045"/>
        <v>1.1000000000000001</v>
      </c>
      <c r="O2807" s="77">
        <f t="shared" si="1046"/>
        <v>0.91248905908096278</v>
      </c>
      <c r="P2807" s="76">
        <f t="shared" si="1047"/>
        <v>0</v>
      </c>
      <c r="Q2807" s="76">
        <f t="shared" si="1048"/>
        <v>1</v>
      </c>
      <c r="R2807" s="76">
        <f t="shared" si="1049"/>
        <v>0</v>
      </c>
      <c r="S2807" s="76">
        <f t="shared" si="1050"/>
        <v>1.0910195271620209</v>
      </c>
      <c r="T2807" s="76">
        <f t="shared" si="1051"/>
        <v>1.0862447673865474</v>
      </c>
      <c r="U2807" s="76">
        <f t="shared" si="1052"/>
        <v>1.0862447673865474</v>
      </c>
    </row>
    <row r="2808" spans="1:21" x14ac:dyDescent="0.25">
      <c r="A2808" s="71">
        <v>30</v>
      </c>
      <c r="B2808" s="72">
        <f t="shared" si="1053"/>
        <v>46539</v>
      </c>
      <c r="C2808" s="73">
        <f t="shared" si="1034"/>
        <v>46568</v>
      </c>
      <c r="D2808" s="67">
        <f t="shared" si="1035"/>
        <v>30</v>
      </c>
      <c r="E2808" s="67">
        <f t="shared" si="1036"/>
        <v>6</v>
      </c>
      <c r="F2808" s="74">
        <f t="shared" si="1037"/>
        <v>46554</v>
      </c>
      <c r="G2808" s="67">
        <f t="shared" si="1038"/>
        <v>24329</v>
      </c>
      <c r="H2808" s="75">
        <f t="shared" si="1039"/>
        <v>1</v>
      </c>
      <c r="I2808" s="76">
        <f t="shared" si="1040"/>
        <v>1.1000000000000001</v>
      </c>
      <c r="J2808" s="76">
        <f t="shared" si="1041"/>
        <v>1.1000000000000001</v>
      </c>
      <c r="K2808" s="67">
        <f t="shared" si="1042"/>
        <v>0</v>
      </c>
      <c r="L2808" s="67">
        <f t="shared" si="1043"/>
        <v>0</v>
      </c>
      <c r="M2808" s="77">
        <f t="shared" si="1044"/>
        <v>0</v>
      </c>
      <c r="N2808" s="76">
        <f t="shared" si="1045"/>
        <v>1.1000000000000001</v>
      </c>
      <c r="O2808" s="77">
        <f t="shared" si="1046"/>
        <v>0.91282275711159744</v>
      </c>
      <c r="P2808" s="76">
        <f t="shared" si="1047"/>
        <v>0</v>
      </c>
      <c r="Q2808" s="76">
        <f t="shared" si="1048"/>
        <v>1</v>
      </c>
      <c r="R2808" s="76">
        <f t="shared" si="1049"/>
        <v>0</v>
      </c>
      <c r="S2808" s="76">
        <f t="shared" si="1050"/>
        <v>1.0914185139377794</v>
      </c>
      <c r="T2808" s="76">
        <f t="shared" si="1051"/>
        <v>1.0866437541623064</v>
      </c>
      <c r="U2808" s="76">
        <f t="shared" si="1052"/>
        <v>1.0866437541623064</v>
      </c>
    </row>
    <row r="2809" spans="1:21" x14ac:dyDescent="0.25">
      <c r="A2809" s="71">
        <v>31</v>
      </c>
      <c r="B2809" s="72">
        <f t="shared" si="1053"/>
        <v>46569</v>
      </c>
      <c r="C2809" s="73">
        <f t="shared" si="1034"/>
        <v>46599</v>
      </c>
      <c r="D2809" s="67">
        <f t="shared" si="1035"/>
        <v>31</v>
      </c>
      <c r="E2809" s="67">
        <f t="shared" si="1036"/>
        <v>7</v>
      </c>
      <c r="F2809" s="74">
        <f t="shared" si="1037"/>
        <v>46584.5</v>
      </c>
      <c r="G2809" s="67">
        <f t="shared" si="1038"/>
        <v>24330</v>
      </c>
      <c r="H2809" s="75">
        <f t="shared" si="1039"/>
        <v>1</v>
      </c>
      <c r="I2809" s="76">
        <f t="shared" si="1040"/>
        <v>1.1000000000000001</v>
      </c>
      <c r="J2809" s="76">
        <f t="shared" si="1041"/>
        <v>1.1000000000000001</v>
      </c>
      <c r="K2809" s="67">
        <f t="shared" si="1042"/>
        <v>0</v>
      </c>
      <c r="L2809" s="67">
        <f t="shared" si="1043"/>
        <v>0</v>
      </c>
      <c r="M2809" s="77">
        <f t="shared" si="1044"/>
        <v>0</v>
      </c>
      <c r="N2809" s="76">
        <f t="shared" si="1045"/>
        <v>1.1000000000000001</v>
      </c>
      <c r="O2809" s="77">
        <f t="shared" si="1046"/>
        <v>0.91315645514223198</v>
      </c>
      <c r="P2809" s="76">
        <f t="shared" si="1047"/>
        <v>0</v>
      </c>
      <c r="Q2809" s="76">
        <f t="shared" si="1048"/>
        <v>0.91666666666666663</v>
      </c>
      <c r="R2809" s="76">
        <f t="shared" si="1049"/>
        <v>8.333333333333337E-2</v>
      </c>
      <c r="S2809" s="76">
        <f t="shared" si="1050"/>
        <v>1.0918175007135382</v>
      </c>
      <c r="T2809" s="76">
        <f t="shared" si="1051"/>
        <v>1.087042740938065</v>
      </c>
      <c r="U2809" s="76">
        <f t="shared" si="1052"/>
        <v>1.087042740938065</v>
      </c>
    </row>
    <row r="2810" spans="1:21" x14ac:dyDescent="0.25">
      <c r="A2810" s="71">
        <v>32</v>
      </c>
      <c r="B2810" s="72">
        <f t="shared" si="1053"/>
        <v>46600</v>
      </c>
      <c r="C2810" s="73">
        <f t="shared" si="1034"/>
        <v>46630</v>
      </c>
      <c r="D2810" s="67">
        <f t="shared" si="1035"/>
        <v>31</v>
      </c>
      <c r="E2810" s="67">
        <f t="shared" si="1036"/>
        <v>8</v>
      </c>
      <c r="F2810" s="74">
        <f t="shared" si="1037"/>
        <v>46615.5</v>
      </c>
      <c r="G2810" s="67">
        <f t="shared" si="1038"/>
        <v>24331</v>
      </c>
      <c r="H2810" s="75">
        <f t="shared" si="1039"/>
        <v>1</v>
      </c>
      <c r="I2810" s="76">
        <f t="shared" si="1040"/>
        <v>1.1000000000000001</v>
      </c>
      <c r="J2810" s="76">
        <f t="shared" si="1041"/>
        <v>1.1000000000000001</v>
      </c>
      <c r="K2810" s="67">
        <f t="shared" si="1042"/>
        <v>0</v>
      </c>
      <c r="L2810" s="67">
        <f t="shared" si="1043"/>
        <v>0</v>
      </c>
      <c r="M2810" s="77">
        <f t="shared" si="1044"/>
        <v>0</v>
      </c>
      <c r="N2810" s="76">
        <f t="shared" si="1045"/>
        <v>1.1000000000000001</v>
      </c>
      <c r="O2810" s="77">
        <f t="shared" si="1046"/>
        <v>0.91349562363238512</v>
      </c>
      <c r="P2810" s="76">
        <f t="shared" si="1047"/>
        <v>0</v>
      </c>
      <c r="Q2810" s="76">
        <f t="shared" si="1048"/>
        <v>0.75</v>
      </c>
      <c r="R2810" s="76">
        <f t="shared" si="1049"/>
        <v>0.25</v>
      </c>
      <c r="S2810" s="76">
        <f t="shared" si="1050"/>
        <v>1.0922230282561127</v>
      </c>
      <c r="T2810" s="76">
        <f t="shared" si="1051"/>
        <v>1.0874482684806392</v>
      </c>
      <c r="U2810" s="76">
        <f t="shared" si="1052"/>
        <v>1.0874482684806392</v>
      </c>
    </row>
    <row r="2811" spans="1:21" x14ac:dyDescent="0.25">
      <c r="A2811" s="71">
        <v>33</v>
      </c>
      <c r="B2811" s="72">
        <f t="shared" si="1053"/>
        <v>46631</v>
      </c>
      <c r="C2811" s="73">
        <f t="shared" si="1034"/>
        <v>46660</v>
      </c>
      <c r="D2811" s="67">
        <f t="shared" si="1035"/>
        <v>30</v>
      </c>
      <c r="E2811" s="67">
        <f t="shared" si="1036"/>
        <v>9</v>
      </c>
      <c r="F2811" s="74">
        <f t="shared" si="1037"/>
        <v>46646</v>
      </c>
      <c r="G2811" s="67">
        <f t="shared" si="1038"/>
        <v>24332</v>
      </c>
      <c r="H2811" s="75">
        <f t="shared" si="1039"/>
        <v>1</v>
      </c>
      <c r="I2811" s="76">
        <f t="shared" si="1040"/>
        <v>1.1000000000000001</v>
      </c>
      <c r="J2811" s="76">
        <f t="shared" si="1041"/>
        <v>1.1000000000000001</v>
      </c>
      <c r="K2811" s="67">
        <f t="shared" si="1042"/>
        <v>0</v>
      </c>
      <c r="L2811" s="67">
        <f t="shared" si="1043"/>
        <v>0</v>
      </c>
      <c r="M2811" s="77">
        <f t="shared" si="1044"/>
        <v>0</v>
      </c>
      <c r="N2811" s="76">
        <f t="shared" si="1045"/>
        <v>1.1000000000000001</v>
      </c>
      <c r="O2811" s="77">
        <f t="shared" si="1046"/>
        <v>0.91382932166301978</v>
      </c>
      <c r="P2811" s="76">
        <f t="shared" si="1047"/>
        <v>0</v>
      </c>
      <c r="Q2811" s="76">
        <f t="shared" si="1048"/>
        <v>0.58333333333333337</v>
      </c>
      <c r="R2811" s="76">
        <f t="shared" si="1049"/>
        <v>0.41666666666666663</v>
      </c>
      <c r="S2811" s="76">
        <f t="shared" si="1050"/>
        <v>1.0926220150318715</v>
      </c>
      <c r="T2811" s="76">
        <f t="shared" si="1051"/>
        <v>1.087847255256398</v>
      </c>
      <c r="U2811" s="76">
        <f t="shared" si="1052"/>
        <v>1.087847255256398</v>
      </c>
    </row>
    <row r="2812" spans="1:21" x14ac:dyDescent="0.25">
      <c r="A2812" s="71">
        <v>34</v>
      </c>
      <c r="B2812" s="72">
        <f t="shared" si="1053"/>
        <v>46661</v>
      </c>
      <c r="C2812" s="73">
        <f t="shared" si="1034"/>
        <v>46691</v>
      </c>
      <c r="D2812" s="67">
        <f t="shared" si="1035"/>
        <v>31</v>
      </c>
      <c r="E2812" s="67">
        <f t="shared" si="1036"/>
        <v>10</v>
      </c>
      <c r="F2812" s="74">
        <f t="shared" si="1037"/>
        <v>46676.5</v>
      </c>
      <c r="G2812" s="67">
        <f t="shared" si="1038"/>
        <v>24333</v>
      </c>
      <c r="H2812" s="75">
        <f t="shared" si="1039"/>
        <v>1</v>
      </c>
      <c r="I2812" s="76">
        <f t="shared" si="1040"/>
        <v>1.1000000000000001</v>
      </c>
      <c r="J2812" s="76">
        <f t="shared" si="1041"/>
        <v>1.1000000000000001</v>
      </c>
      <c r="K2812" s="67">
        <f t="shared" si="1042"/>
        <v>0</v>
      </c>
      <c r="L2812" s="67">
        <f t="shared" si="1043"/>
        <v>0</v>
      </c>
      <c r="M2812" s="77">
        <f t="shared" si="1044"/>
        <v>0</v>
      </c>
      <c r="N2812" s="76">
        <f t="shared" si="1045"/>
        <v>1.1000000000000001</v>
      </c>
      <c r="O2812" s="77">
        <f t="shared" si="1046"/>
        <v>0.91416301969365432</v>
      </c>
      <c r="P2812" s="76">
        <f t="shared" si="1047"/>
        <v>0</v>
      </c>
      <c r="Q2812" s="76">
        <f t="shared" si="1048"/>
        <v>0.41666666666666669</v>
      </c>
      <c r="R2812" s="76">
        <f t="shared" si="1049"/>
        <v>0.58333333333333326</v>
      </c>
      <c r="S2812" s="76">
        <f t="shared" si="1050"/>
        <v>1.0930210018076301</v>
      </c>
      <c r="T2812" s="76">
        <f t="shared" si="1051"/>
        <v>1.1970708662353728</v>
      </c>
      <c r="U2812" s="76">
        <f t="shared" si="1052"/>
        <v>1.1970708662353728</v>
      </c>
    </row>
    <row r="2813" spans="1:21" x14ac:dyDescent="0.25">
      <c r="A2813" s="71">
        <v>35</v>
      </c>
      <c r="B2813" s="72">
        <f t="shared" si="1053"/>
        <v>46692</v>
      </c>
      <c r="C2813" s="73">
        <f t="shared" si="1034"/>
        <v>46721</v>
      </c>
      <c r="D2813" s="67">
        <f t="shared" si="1035"/>
        <v>30</v>
      </c>
      <c r="E2813" s="67">
        <f t="shared" si="1036"/>
        <v>11</v>
      </c>
      <c r="F2813" s="74">
        <f t="shared" si="1037"/>
        <v>46707</v>
      </c>
      <c r="G2813" s="67">
        <f t="shared" si="1038"/>
        <v>24334</v>
      </c>
      <c r="H2813" s="75">
        <f t="shared" si="1039"/>
        <v>1</v>
      </c>
      <c r="I2813" s="76">
        <f t="shared" si="1040"/>
        <v>1.1000000000000001</v>
      </c>
      <c r="J2813" s="76">
        <f t="shared" si="1041"/>
        <v>1.1000000000000001</v>
      </c>
      <c r="K2813" s="67">
        <f t="shared" si="1042"/>
        <v>0</v>
      </c>
      <c r="L2813" s="67">
        <f t="shared" si="1043"/>
        <v>0</v>
      </c>
      <c r="M2813" s="77">
        <f t="shared" si="1044"/>
        <v>0</v>
      </c>
      <c r="N2813" s="76">
        <f t="shared" si="1045"/>
        <v>1.1000000000000001</v>
      </c>
      <c r="O2813" s="77">
        <f t="shared" si="1046"/>
        <v>0.91449671772428887</v>
      </c>
      <c r="P2813" s="76">
        <f t="shared" si="1047"/>
        <v>0</v>
      </c>
      <c r="Q2813" s="76">
        <f t="shared" si="1048"/>
        <v>0.25</v>
      </c>
      <c r="R2813" s="76">
        <f t="shared" si="1049"/>
        <v>0.75</v>
      </c>
      <c r="S2813" s="76">
        <f t="shared" si="1050"/>
        <v>1.0934199885833888</v>
      </c>
      <c r="T2813" s="76">
        <f t="shared" si="1051"/>
        <v>1.1975097516887072</v>
      </c>
      <c r="U2813" s="76">
        <f t="shared" si="1052"/>
        <v>1.1975097516887072</v>
      </c>
    </row>
    <row r="2814" spans="1:21" x14ac:dyDescent="0.25">
      <c r="A2814" s="71">
        <v>36</v>
      </c>
      <c r="B2814" s="72">
        <f t="shared" si="1053"/>
        <v>46722</v>
      </c>
      <c r="C2814" s="73">
        <f t="shared" si="1034"/>
        <v>46752</v>
      </c>
      <c r="D2814" s="67">
        <f t="shared" si="1035"/>
        <v>31</v>
      </c>
      <c r="E2814" s="67">
        <f t="shared" si="1036"/>
        <v>12</v>
      </c>
      <c r="F2814" s="74">
        <f t="shared" si="1037"/>
        <v>46737.5</v>
      </c>
      <c r="G2814" s="67">
        <f t="shared" si="1038"/>
        <v>24335</v>
      </c>
      <c r="H2814" s="75">
        <f t="shared" si="1039"/>
        <v>1</v>
      </c>
      <c r="I2814" s="76">
        <f t="shared" si="1040"/>
        <v>1.1000000000000001</v>
      </c>
      <c r="J2814" s="76">
        <f t="shared" si="1041"/>
        <v>1.1000000000000001</v>
      </c>
      <c r="K2814" s="67">
        <f t="shared" si="1042"/>
        <v>0</v>
      </c>
      <c r="L2814" s="67">
        <f t="shared" si="1043"/>
        <v>0</v>
      </c>
      <c r="M2814" s="77">
        <f t="shared" si="1044"/>
        <v>0</v>
      </c>
      <c r="N2814" s="76">
        <f t="shared" si="1045"/>
        <v>1.1000000000000001</v>
      </c>
      <c r="O2814" s="77">
        <f t="shared" si="1046"/>
        <v>0.91483041575492341</v>
      </c>
      <c r="P2814" s="76">
        <f t="shared" si="1047"/>
        <v>0</v>
      </c>
      <c r="Q2814" s="76">
        <f t="shared" si="1048"/>
        <v>8.3333333333333329E-2</v>
      </c>
      <c r="R2814" s="76">
        <f t="shared" si="1049"/>
        <v>0.91666666666666663</v>
      </c>
      <c r="S2814" s="76">
        <f t="shared" si="1050"/>
        <v>1.0938189753591476</v>
      </c>
      <c r="T2814" s="76">
        <f t="shared" si="1051"/>
        <v>1.1979486371420418</v>
      </c>
      <c r="U2814" s="76">
        <f t="shared" si="1052"/>
        <v>1.1979486371420418</v>
      </c>
    </row>
    <row r="2815" spans="1:21" x14ac:dyDescent="0.25">
      <c r="A2815" s="71">
        <v>37</v>
      </c>
      <c r="B2815" s="72">
        <f t="shared" si="1053"/>
        <v>46753</v>
      </c>
      <c r="C2815" s="73">
        <f t="shared" si="1034"/>
        <v>46783</v>
      </c>
      <c r="D2815" s="67">
        <f t="shared" si="1035"/>
        <v>31</v>
      </c>
      <c r="E2815" s="67">
        <f t="shared" si="1036"/>
        <v>1</v>
      </c>
      <c r="F2815" s="74">
        <f t="shared" si="1037"/>
        <v>46768.5</v>
      </c>
      <c r="G2815" s="67">
        <f t="shared" si="1038"/>
        <v>24336</v>
      </c>
      <c r="H2815" s="75">
        <f t="shared" si="1039"/>
        <v>1</v>
      </c>
      <c r="I2815" s="76">
        <f t="shared" si="1040"/>
        <v>1.1000000000000001</v>
      </c>
      <c r="J2815" s="76">
        <f t="shared" si="1041"/>
        <v>1.1000000000000001</v>
      </c>
      <c r="K2815" s="67">
        <f t="shared" si="1042"/>
        <v>0</v>
      </c>
      <c r="L2815" s="67">
        <f t="shared" si="1043"/>
        <v>0</v>
      </c>
      <c r="M2815" s="77">
        <f t="shared" si="1044"/>
        <v>0</v>
      </c>
      <c r="N2815" s="76">
        <f t="shared" si="1045"/>
        <v>1.1000000000000001</v>
      </c>
      <c r="O2815" s="77">
        <f t="shared" si="1046"/>
        <v>0.91500000000000004</v>
      </c>
      <c r="P2815" s="76">
        <f t="shared" si="1047"/>
        <v>0</v>
      </c>
      <c r="Q2815" s="76">
        <f t="shared" si="1048"/>
        <v>0</v>
      </c>
      <c r="R2815" s="76">
        <f t="shared" si="1049"/>
        <v>1</v>
      </c>
      <c r="S2815" s="76">
        <f t="shared" si="1050"/>
        <v>1.0940217391304348</v>
      </c>
      <c r="T2815" s="76">
        <f t="shared" si="1051"/>
        <v>1.1931424816858531</v>
      </c>
      <c r="U2815" s="76">
        <f t="shared" si="1052"/>
        <v>1.1931424816858531</v>
      </c>
    </row>
    <row r="2816" spans="1:21" x14ac:dyDescent="0.25">
      <c r="A2816" s="71">
        <v>38</v>
      </c>
      <c r="B2816" s="72">
        <f t="shared" si="1053"/>
        <v>46784</v>
      </c>
      <c r="C2816" s="73">
        <f t="shared" si="1034"/>
        <v>46812</v>
      </c>
      <c r="D2816" s="67">
        <f t="shared" si="1035"/>
        <v>29</v>
      </c>
      <c r="E2816" s="67">
        <f t="shared" si="1036"/>
        <v>2</v>
      </c>
      <c r="F2816" s="74">
        <f t="shared" si="1037"/>
        <v>46798.5</v>
      </c>
      <c r="G2816" s="67">
        <f t="shared" si="1038"/>
        <v>24337</v>
      </c>
      <c r="H2816" s="75">
        <f t="shared" si="1039"/>
        <v>1</v>
      </c>
      <c r="I2816" s="76">
        <f t="shared" si="1040"/>
        <v>1.1000000000000001</v>
      </c>
      <c r="J2816" s="76">
        <f t="shared" si="1041"/>
        <v>1.1000000000000001</v>
      </c>
      <c r="K2816" s="67">
        <f t="shared" si="1042"/>
        <v>0</v>
      </c>
      <c r="L2816" s="67">
        <f t="shared" si="1043"/>
        <v>0</v>
      </c>
      <c r="M2816" s="77">
        <f t="shared" si="1044"/>
        <v>0</v>
      </c>
      <c r="N2816" s="76">
        <f t="shared" si="1045"/>
        <v>1.1000000000000001</v>
      </c>
      <c r="O2816" s="77">
        <f t="shared" si="1046"/>
        <v>0.91500000000000004</v>
      </c>
      <c r="P2816" s="76">
        <f t="shared" si="1047"/>
        <v>0</v>
      </c>
      <c r="Q2816" s="76">
        <f t="shared" si="1048"/>
        <v>0</v>
      </c>
      <c r="R2816" s="76">
        <f t="shared" si="1049"/>
        <v>1</v>
      </c>
      <c r="S2816" s="76">
        <f t="shared" si="1050"/>
        <v>1.0940217391304348</v>
      </c>
      <c r="T2816" s="76">
        <f t="shared" si="1051"/>
        <v>1.1935669774521931</v>
      </c>
      <c r="U2816" s="76">
        <f t="shared" si="1052"/>
        <v>1.1935669774521931</v>
      </c>
    </row>
    <row r="2817" spans="1:21" x14ac:dyDescent="0.25">
      <c r="A2817" s="71">
        <v>39</v>
      </c>
      <c r="B2817" s="72">
        <f t="shared" si="1053"/>
        <v>46813</v>
      </c>
      <c r="C2817" s="73">
        <f t="shared" si="1034"/>
        <v>46843</v>
      </c>
      <c r="D2817" s="67">
        <f t="shared" si="1035"/>
        <v>31</v>
      </c>
      <c r="E2817" s="67">
        <f t="shared" si="1036"/>
        <v>3</v>
      </c>
      <c r="F2817" s="74">
        <f t="shared" si="1037"/>
        <v>46828.5</v>
      </c>
      <c r="G2817" s="67">
        <f t="shared" si="1038"/>
        <v>24338</v>
      </c>
      <c r="H2817" s="75">
        <f t="shared" si="1039"/>
        <v>1</v>
      </c>
      <c r="I2817" s="76">
        <f t="shared" si="1040"/>
        <v>1.1000000000000001</v>
      </c>
      <c r="J2817" s="76">
        <f t="shared" si="1041"/>
        <v>1.1000000000000001</v>
      </c>
      <c r="K2817" s="67">
        <f t="shared" si="1042"/>
        <v>0</v>
      </c>
      <c r="L2817" s="67">
        <f t="shared" si="1043"/>
        <v>0</v>
      </c>
      <c r="M2817" s="77">
        <f t="shared" si="1044"/>
        <v>0</v>
      </c>
      <c r="N2817" s="76">
        <f t="shared" si="1045"/>
        <v>1.1000000000000001</v>
      </c>
      <c r="O2817" s="77">
        <f t="shared" si="1046"/>
        <v>0.91500000000000004</v>
      </c>
      <c r="P2817" s="76">
        <f t="shared" si="1047"/>
        <v>0</v>
      </c>
      <c r="Q2817" s="76">
        <f t="shared" si="1048"/>
        <v>0</v>
      </c>
      <c r="R2817" s="76">
        <f t="shared" si="1049"/>
        <v>1</v>
      </c>
      <c r="S2817" s="76">
        <f t="shared" si="1050"/>
        <v>1.0940217391304348</v>
      </c>
      <c r="T2817" s="76">
        <f t="shared" si="1051"/>
        <v>1.1939914732185333</v>
      </c>
      <c r="U2817" s="76">
        <f t="shared" si="1052"/>
        <v>1.1939914732185333</v>
      </c>
    </row>
    <row r="2818" spans="1:21" x14ac:dyDescent="0.25">
      <c r="A2818" s="71">
        <v>40</v>
      </c>
      <c r="B2818" s="72">
        <f t="shared" si="1053"/>
        <v>46844</v>
      </c>
      <c r="C2818" s="73">
        <f t="shared" si="1034"/>
        <v>46873</v>
      </c>
      <c r="D2818" s="67">
        <f t="shared" si="1035"/>
        <v>30</v>
      </c>
      <c r="E2818" s="67">
        <f t="shared" si="1036"/>
        <v>4</v>
      </c>
      <c r="F2818" s="74">
        <f t="shared" si="1037"/>
        <v>46859</v>
      </c>
      <c r="G2818" s="67">
        <f t="shared" si="1038"/>
        <v>24339</v>
      </c>
      <c r="H2818" s="75">
        <f t="shared" si="1039"/>
        <v>1</v>
      </c>
      <c r="I2818" s="76">
        <f t="shared" si="1040"/>
        <v>1.1000000000000001</v>
      </c>
      <c r="J2818" s="76">
        <f t="shared" si="1041"/>
        <v>1.1000000000000001</v>
      </c>
      <c r="K2818" s="67">
        <f t="shared" si="1042"/>
        <v>0</v>
      </c>
      <c r="L2818" s="67">
        <f t="shared" si="1043"/>
        <v>0</v>
      </c>
      <c r="M2818" s="77">
        <f t="shared" si="1044"/>
        <v>0</v>
      </c>
      <c r="N2818" s="76">
        <f t="shared" si="1045"/>
        <v>1.1000000000000001</v>
      </c>
      <c r="O2818" s="77">
        <f t="shared" si="1046"/>
        <v>0.91500000000000004</v>
      </c>
      <c r="P2818" s="76">
        <f t="shared" si="1047"/>
        <v>0</v>
      </c>
      <c r="Q2818" s="76">
        <f t="shared" si="1048"/>
        <v>0</v>
      </c>
      <c r="R2818" s="76">
        <f t="shared" si="1049"/>
        <v>1</v>
      </c>
      <c r="S2818" s="76">
        <f t="shared" si="1050"/>
        <v>1.0940217391304348</v>
      </c>
      <c r="T2818" s="76">
        <f t="shared" si="1051"/>
        <v>1.1944303586718676</v>
      </c>
      <c r="U2818" s="76">
        <f t="shared" si="1052"/>
        <v>1.1944303586718676</v>
      </c>
    </row>
    <row r="2819" spans="1:21" x14ac:dyDescent="0.25">
      <c r="A2819" s="71">
        <v>41</v>
      </c>
      <c r="B2819" s="72">
        <f t="shared" si="1053"/>
        <v>46874</v>
      </c>
      <c r="C2819" s="73">
        <f t="shared" si="1034"/>
        <v>46904</v>
      </c>
      <c r="D2819" s="67">
        <f t="shared" si="1035"/>
        <v>31</v>
      </c>
      <c r="E2819" s="67">
        <f t="shared" si="1036"/>
        <v>5</v>
      </c>
      <c r="F2819" s="74">
        <f t="shared" si="1037"/>
        <v>46889.5</v>
      </c>
      <c r="G2819" s="67">
        <f t="shared" si="1038"/>
        <v>24340</v>
      </c>
      <c r="H2819" s="75">
        <f t="shared" si="1039"/>
        <v>1</v>
      </c>
      <c r="I2819" s="76">
        <f t="shared" si="1040"/>
        <v>1.1000000000000001</v>
      </c>
      <c r="J2819" s="76">
        <f t="shared" si="1041"/>
        <v>1.1000000000000001</v>
      </c>
      <c r="K2819" s="67">
        <f t="shared" si="1042"/>
        <v>0</v>
      </c>
      <c r="L2819" s="67">
        <f t="shared" si="1043"/>
        <v>0</v>
      </c>
      <c r="M2819" s="77">
        <f t="shared" si="1044"/>
        <v>0</v>
      </c>
      <c r="N2819" s="76">
        <f t="shared" si="1045"/>
        <v>1.1000000000000001</v>
      </c>
      <c r="O2819" s="77">
        <f t="shared" si="1046"/>
        <v>0.91500000000000004</v>
      </c>
      <c r="P2819" s="76">
        <f t="shared" si="1047"/>
        <v>0</v>
      </c>
      <c r="Q2819" s="76">
        <f t="shared" si="1048"/>
        <v>0</v>
      </c>
      <c r="R2819" s="76">
        <f t="shared" si="1049"/>
        <v>1</v>
      </c>
      <c r="S2819" s="76">
        <f t="shared" si="1050"/>
        <v>1.0940217391304348</v>
      </c>
      <c r="T2819" s="76">
        <f t="shared" si="1051"/>
        <v>1.1948692441252022</v>
      </c>
      <c r="U2819" s="76">
        <f t="shared" si="1052"/>
        <v>1.1948692441252022</v>
      </c>
    </row>
    <row r="2820" spans="1:21" x14ac:dyDescent="0.25">
      <c r="A2820" s="71">
        <v>42</v>
      </c>
      <c r="B2820" s="72">
        <f t="shared" si="1053"/>
        <v>46905</v>
      </c>
      <c r="C2820" s="73">
        <f t="shared" si="1034"/>
        <v>46934</v>
      </c>
      <c r="D2820" s="67">
        <f t="shared" si="1035"/>
        <v>30</v>
      </c>
      <c r="E2820" s="67">
        <f t="shared" si="1036"/>
        <v>6</v>
      </c>
      <c r="F2820" s="74">
        <f t="shared" si="1037"/>
        <v>46920</v>
      </c>
      <c r="G2820" s="67">
        <f t="shared" si="1038"/>
        <v>24341</v>
      </c>
      <c r="H2820" s="75">
        <f t="shared" si="1039"/>
        <v>1</v>
      </c>
      <c r="I2820" s="76">
        <f t="shared" si="1040"/>
        <v>1.1000000000000001</v>
      </c>
      <c r="J2820" s="76">
        <f t="shared" si="1041"/>
        <v>1.1000000000000001</v>
      </c>
      <c r="K2820" s="67">
        <f t="shared" si="1042"/>
        <v>0</v>
      </c>
      <c r="L2820" s="67">
        <f t="shared" si="1043"/>
        <v>0</v>
      </c>
      <c r="M2820" s="77">
        <f t="shared" si="1044"/>
        <v>0</v>
      </c>
      <c r="N2820" s="76">
        <f t="shared" si="1045"/>
        <v>1.1000000000000001</v>
      </c>
      <c r="O2820" s="77">
        <f t="shared" si="1046"/>
        <v>0.91500000000000004</v>
      </c>
      <c r="P2820" s="76">
        <f t="shared" si="1047"/>
        <v>0</v>
      </c>
      <c r="Q2820" s="76">
        <f t="shared" si="1048"/>
        <v>0</v>
      </c>
      <c r="R2820" s="76">
        <f t="shared" si="1049"/>
        <v>1</v>
      </c>
      <c r="S2820" s="76">
        <f t="shared" si="1050"/>
        <v>1.0940217391304348</v>
      </c>
      <c r="T2820" s="76">
        <f t="shared" si="1051"/>
        <v>1.195308129578537</v>
      </c>
      <c r="U2820" s="76">
        <f t="shared" si="1052"/>
        <v>1.195308129578537</v>
      </c>
    </row>
    <row r="2821" spans="1:21" x14ac:dyDescent="0.25">
      <c r="A2821" s="71">
        <v>43</v>
      </c>
      <c r="B2821" s="72">
        <f t="shared" si="1053"/>
        <v>46935</v>
      </c>
      <c r="C2821" s="73">
        <f t="shared" si="1034"/>
        <v>46965</v>
      </c>
      <c r="D2821" s="67">
        <f t="shared" si="1035"/>
        <v>31</v>
      </c>
      <c r="E2821" s="67">
        <f t="shared" si="1036"/>
        <v>7</v>
      </c>
      <c r="F2821" s="74">
        <f t="shared" si="1037"/>
        <v>46950.5</v>
      </c>
      <c r="G2821" s="67">
        <f t="shared" si="1038"/>
        <v>24342</v>
      </c>
      <c r="H2821" s="75">
        <f t="shared" si="1039"/>
        <v>1</v>
      </c>
      <c r="I2821" s="76">
        <f t="shared" si="1040"/>
        <v>1.1000000000000001</v>
      </c>
      <c r="J2821" s="76">
        <f t="shared" si="1041"/>
        <v>1.1000000000000001</v>
      </c>
      <c r="K2821" s="67">
        <f t="shared" si="1042"/>
        <v>0</v>
      </c>
      <c r="L2821" s="67">
        <f t="shared" si="1043"/>
        <v>0</v>
      </c>
      <c r="M2821" s="77">
        <f t="shared" si="1044"/>
        <v>0</v>
      </c>
      <c r="N2821" s="76">
        <f t="shared" si="1045"/>
        <v>1.1000000000000001</v>
      </c>
      <c r="O2821" s="77">
        <f t="shared" si="1046"/>
        <v>0.91500000000000004</v>
      </c>
      <c r="P2821" s="76">
        <f t="shared" si="1047"/>
        <v>0</v>
      </c>
      <c r="Q2821" s="76">
        <f t="shared" si="1048"/>
        <v>0</v>
      </c>
      <c r="R2821" s="76">
        <f t="shared" si="1049"/>
        <v>0.91666666666666663</v>
      </c>
      <c r="S2821" s="76">
        <f t="shared" si="1050"/>
        <v>1.0940217391304348</v>
      </c>
      <c r="T2821" s="76">
        <f t="shared" si="1051"/>
        <v>1.1957470150318716</v>
      </c>
      <c r="U2821" s="76">
        <f t="shared" si="1052"/>
        <v>1.1957470150318716</v>
      </c>
    </row>
    <row r="2822" spans="1:21" x14ac:dyDescent="0.25">
      <c r="A2822" s="71">
        <v>44</v>
      </c>
      <c r="B2822" s="72">
        <f t="shared" si="1053"/>
        <v>46966</v>
      </c>
      <c r="C2822" s="73">
        <f t="shared" si="1034"/>
        <v>46996</v>
      </c>
      <c r="D2822" s="67">
        <f t="shared" si="1035"/>
        <v>31</v>
      </c>
      <c r="E2822" s="67">
        <f t="shared" si="1036"/>
        <v>8</v>
      </c>
      <c r="F2822" s="74">
        <f t="shared" si="1037"/>
        <v>46981.5</v>
      </c>
      <c r="G2822" s="67">
        <f t="shared" si="1038"/>
        <v>24343</v>
      </c>
      <c r="H2822" s="75">
        <f t="shared" si="1039"/>
        <v>1</v>
      </c>
      <c r="I2822" s="76">
        <f t="shared" si="1040"/>
        <v>1.1000000000000001</v>
      </c>
      <c r="J2822" s="76">
        <f t="shared" si="1041"/>
        <v>1.1000000000000001</v>
      </c>
      <c r="K2822" s="67">
        <f t="shared" si="1042"/>
        <v>0</v>
      </c>
      <c r="L2822" s="67">
        <f t="shared" si="1043"/>
        <v>0</v>
      </c>
      <c r="M2822" s="77">
        <f t="shared" si="1044"/>
        <v>0</v>
      </c>
      <c r="N2822" s="76">
        <f t="shared" si="1045"/>
        <v>1.1000000000000001</v>
      </c>
      <c r="O2822" s="77">
        <f t="shared" si="1046"/>
        <v>0.91500000000000004</v>
      </c>
      <c r="P2822" s="76">
        <f t="shared" si="1047"/>
        <v>0</v>
      </c>
      <c r="Q2822" s="76">
        <f t="shared" si="1048"/>
        <v>0</v>
      </c>
      <c r="R2822" s="76">
        <f t="shared" si="1049"/>
        <v>0.75</v>
      </c>
      <c r="S2822" s="76">
        <f t="shared" si="1050"/>
        <v>1.0940217391304348</v>
      </c>
      <c r="T2822" s="76">
        <f t="shared" si="1051"/>
        <v>1.1961930953287032</v>
      </c>
      <c r="U2822" s="76">
        <f t="shared" si="1052"/>
        <v>1.1961930953287032</v>
      </c>
    </row>
    <row r="2823" spans="1:21" x14ac:dyDescent="0.25">
      <c r="A2823" s="71">
        <v>45</v>
      </c>
      <c r="B2823" s="72">
        <f t="shared" si="1053"/>
        <v>46997</v>
      </c>
      <c r="C2823" s="73">
        <f t="shared" si="1034"/>
        <v>47026</v>
      </c>
      <c r="D2823" s="67">
        <f t="shared" si="1035"/>
        <v>30</v>
      </c>
      <c r="E2823" s="67">
        <f t="shared" si="1036"/>
        <v>9</v>
      </c>
      <c r="F2823" s="74">
        <f t="shared" si="1037"/>
        <v>47012</v>
      </c>
      <c r="G2823" s="67">
        <f t="shared" si="1038"/>
        <v>24344</v>
      </c>
      <c r="H2823" s="75">
        <f t="shared" si="1039"/>
        <v>1</v>
      </c>
      <c r="I2823" s="76">
        <f t="shared" si="1040"/>
        <v>1.1000000000000001</v>
      </c>
      <c r="J2823" s="76">
        <f t="shared" si="1041"/>
        <v>1.1000000000000001</v>
      </c>
      <c r="K2823" s="67">
        <f t="shared" si="1042"/>
        <v>0</v>
      </c>
      <c r="L2823" s="67">
        <f t="shared" si="1043"/>
        <v>0</v>
      </c>
      <c r="M2823" s="77">
        <f t="shared" si="1044"/>
        <v>0</v>
      </c>
      <c r="N2823" s="76">
        <f t="shared" si="1045"/>
        <v>1.1000000000000001</v>
      </c>
      <c r="O2823" s="77">
        <f t="shared" si="1046"/>
        <v>0.91500000000000004</v>
      </c>
      <c r="P2823" s="76">
        <f t="shared" si="1047"/>
        <v>0</v>
      </c>
      <c r="Q2823" s="76">
        <f t="shared" si="1048"/>
        <v>0</v>
      </c>
      <c r="R2823" s="76">
        <f t="shared" si="1049"/>
        <v>0.58333333333333337</v>
      </c>
      <c r="S2823" s="76">
        <f t="shared" si="1050"/>
        <v>1.0940217391304348</v>
      </c>
      <c r="T2823" s="76">
        <f t="shared" si="1051"/>
        <v>1.196631980782038</v>
      </c>
      <c r="U2823" s="76">
        <f t="shared" si="1052"/>
        <v>1.196631980782038</v>
      </c>
    </row>
    <row r="2824" spans="1:21" x14ac:dyDescent="0.25">
      <c r="A2824" s="71">
        <v>46</v>
      </c>
      <c r="B2824" s="72">
        <f t="shared" si="1053"/>
        <v>47027</v>
      </c>
      <c r="C2824" s="73">
        <f t="shared" si="1034"/>
        <v>47057</v>
      </c>
      <c r="D2824" s="67">
        <f t="shared" si="1035"/>
        <v>31</v>
      </c>
      <c r="E2824" s="67">
        <f t="shared" si="1036"/>
        <v>10</v>
      </c>
      <c r="F2824" s="74">
        <f t="shared" si="1037"/>
        <v>47042.5</v>
      </c>
      <c r="G2824" s="67">
        <f t="shared" si="1038"/>
        <v>24345</v>
      </c>
      <c r="H2824" s="75">
        <f t="shared" si="1039"/>
        <v>1</v>
      </c>
      <c r="I2824" s="76">
        <f t="shared" si="1040"/>
        <v>1.1000000000000001</v>
      </c>
      <c r="J2824" s="76">
        <f t="shared" si="1041"/>
        <v>1.1000000000000001</v>
      </c>
      <c r="K2824" s="67">
        <f t="shared" si="1042"/>
        <v>0</v>
      </c>
      <c r="L2824" s="67">
        <f t="shared" si="1043"/>
        <v>0</v>
      </c>
      <c r="M2824" s="77">
        <f t="shared" si="1044"/>
        <v>0</v>
      </c>
      <c r="N2824" s="76">
        <f t="shared" si="1045"/>
        <v>1.1000000000000001</v>
      </c>
      <c r="O2824" s="77">
        <f t="shared" si="1046"/>
        <v>0.91500000000000004</v>
      </c>
      <c r="P2824" s="76">
        <f t="shared" si="1047"/>
        <v>0</v>
      </c>
      <c r="Q2824" s="76">
        <f t="shared" si="1048"/>
        <v>0</v>
      </c>
      <c r="R2824" s="76">
        <f t="shared" si="1049"/>
        <v>0.41666666666666669</v>
      </c>
      <c r="S2824" s="76">
        <f t="shared" si="1050"/>
        <v>1.0940217391304348</v>
      </c>
      <c r="T2824" s="76">
        <f t="shared" si="1051"/>
        <v>1.3167779528589103</v>
      </c>
      <c r="U2824" s="76">
        <f t="shared" si="1052"/>
        <v>1.3167779528589103</v>
      </c>
    </row>
    <row r="2825" spans="1:21" x14ac:dyDescent="0.25">
      <c r="A2825" s="71">
        <v>47</v>
      </c>
      <c r="B2825" s="72">
        <f t="shared" si="1053"/>
        <v>47058</v>
      </c>
      <c r="C2825" s="73">
        <f t="shared" si="1034"/>
        <v>47087</v>
      </c>
      <c r="D2825" s="67">
        <f t="shared" si="1035"/>
        <v>30</v>
      </c>
      <c r="E2825" s="67">
        <f t="shared" si="1036"/>
        <v>11</v>
      </c>
      <c r="F2825" s="74">
        <f t="shared" si="1037"/>
        <v>47073</v>
      </c>
      <c r="G2825" s="67">
        <f t="shared" si="1038"/>
        <v>24346</v>
      </c>
      <c r="H2825" s="75">
        <f t="shared" si="1039"/>
        <v>1</v>
      </c>
      <c r="I2825" s="76">
        <f t="shared" si="1040"/>
        <v>1.1000000000000001</v>
      </c>
      <c r="J2825" s="76">
        <f t="shared" si="1041"/>
        <v>1.1000000000000001</v>
      </c>
      <c r="K2825" s="67">
        <f t="shared" si="1042"/>
        <v>0</v>
      </c>
      <c r="L2825" s="67">
        <f t="shared" si="1043"/>
        <v>0</v>
      </c>
      <c r="M2825" s="77">
        <f t="shared" si="1044"/>
        <v>0</v>
      </c>
      <c r="N2825" s="76">
        <f t="shared" si="1045"/>
        <v>1.1000000000000001</v>
      </c>
      <c r="O2825" s="77">
        <f t="shared" si="1046"/>
        <v>0.91500000000000004</v>
      </c>
      <c r="P2825" s="76">
        <f t="shared" si="1047"/>
        <v>0</v>
      </c>
      <c r="Q2825" s="76">
        <f t="shared" si="1048"/>
        <v>0</v>
      </c>
      <c r="R2825" s="76">
        <f t="shared" si="1049"/>
        <v>0.25</v>
      </c>
      <c r="S2825" s="76">
        <f t="shared" si="1050"/>
        <v>1.0940217391304348</v>
      </c>
      <c r="T2825" s="76">
        <f t="shared" si="1051"/>
        <v>1.317260726857578</v>
      </c>
      <c r="U2825" s="76">
        <f t="shared" si="1052"/>
        <v>1.317260726857578</v>
      </c>
    </row>
    <row r="2826" spans="1:21" x14ac:dyDescent="0.25">
      <c r="A2826" s="71">
        <v>48</v>
      </c>
      <c r="B2826" s="72">
        <f t="shared" si="1053"/>
        <v>47088</v>
      </c>
      <c r="C2826" s="73">
        <f t="shared" si="1034"/>
        <v>47118</v>
      </c>
      <c r="D2826" s="67">
        <f t="shared" si="1035"/>
        <v>31</v>
      </c>
      <c r="E2826" s="67">
        <f t="shared" si="1036"/>
        <v>12</v>
      </c>
      <c r="F2826" s="74">
        <f t="shared" si="1037"/>
        <v>47103.5</v>
      </c>
      <c r="G2826" s="67">
        <f t="shared" si="1038"/>
        <v>24347</v>
      </c>
      <c r="H2826" s="75">
        <f t="shared" si="1039"/>
        <v>1</v>
      </c>
      <c r="I2826" s="76">
        <f t="shared" si="1040"/>
        <v>1.1000000000000001</v>
      </c>
      <c r="J2826" s="76">
        <f t="shared" si="1041"/>
        <v>1.1000000000000001</v>
      </c>
      <c r="K2826" s="67">
        <f t="shared" si="1042"/>
        <v>0</v>
      </c>
      <c r="L2826" s="67">
        <f t="shared" si="1043"/>
        <v>0</v>
      </c>
      <c r="M2826" s="77">
        <f t="shared" si="1044"/>
        <v>0</v>
      </c>
      <c r="N2826" s="76">
        <f t="shared" si="1045"/>
        <v>1.1000000000000001</v>
      </c>
      <c r="O2826" s="77">
        <f t="shared" si="1046"/>
        <v>0.91500000000000004</v>
      </c>
      <c r="P2826" s="76">
        <f t="shared" si="1047"/>
        <v>0</v>
      </c>
      <c r="Q2826" s="76">
        <f t="shared" si="1048"/>
        <v>0</v>
      </c>
      <c r="R2826" s="76">
        <f t="shared" si="1049"/>
        <v>8.3333333333333329E-2</v>
      </c>
      <c r="S2826" s="76">
        <f t="shared" si="1050"/>
        <v>1.0940217391304348</v>
      </c>
      <c r="T2826" s="76">
        <f t="shared" si="1051"/>
        <v>1.3177435008562461</v>
      </c>
      <c r="U2826" s="76">
        <f t="shared" si="1052"/>
        <v>1.3177435008562461</v>
      </c>
    </row>
    <row r="2827" spans="1:21" x14ac:dyDescent="0.25">
      <c r="A2827" s="81" t="s">
        <v>1187</v>
      </c>
      <c r="B2827" s="53">
        <f>EXP(SUMPRODUCT((rl_key=$A$2776)*(rl_cons="Y")*rl_ln1p))</f>
        <v>1</v>
      </c>
      <c r="C2827" s="53">
        <f>SUMPRODUCT($H$2779:$H$2826,$P$2779:$P$2826,$U$2779:$U$2826)/SUMPRODUCT($H$2779:$H$2826,$P$2779:$P$2826)</f>
        <v>0.99314407062971088</v>
      </c>
      <c r="D2827" s="53">
        <f>SUMPRODUCT($H$2779:$H$2826,$Q$2779:$Q$2826,$U$2779:$U$2826)/SUMPRODUCT($H$2779:$H$2826,$Q$2779:$Q$2826)</f>
        <v>1.0874724808798193</v>
      </c>
      <c r="E2827" s="53">
        <f>SUMPRODUCT($H$2779:$H$2826,$R$2779:$R$2826,$U$2779:$U$2826)/SUMPRODUCT($H$2779:$H$2826,$R$2779:$R$2826)</f>
        <v>1.1962197289678012</v>
      </c>
      <c r="F2827" s="172">
        <f>SUMPRODUCT($H$2779:$H$2826,$Q$2779:$Q$2826,$O$2779:$O$2826)/SUMPRODUCT($H$2779:$H$2826,$Q$2779:$Q$2826)</f>
        <v>0.91199626185266247</v>
      </c>
      <c r="G2827" s="172">
        <f>SUMPRODUCT($H$2779:$H$2826,$R$2779:$R$2826,$O$2779:$O$2826)/SUMPRODUCT($H$2779:$H$2826,$R$2779:$R$2826)</f>
        <v>0.91483011184050556</v>
      </c>
    </row>
    <row r="2830" spans="1:21" x14ac:dyDescent="0.25">
      <c r="A2830" s="81" t="str">
        <f>INDEX(lr_key,52)</f>
        <v>BU-C|KY</v>
      </c>
      <c r="B2830" s="81" t="str">
        <f>INDEX(lr_state,52)</f>
        <v>KY</v>
      </c>
      <c r="C2830" s="55">
        <f>nr_TermMonths</f>
        <v>6</v>
      </c>
      <c r="D2830" s="55">
        <f>IF(COUNTIF(se_state,$B2830)=0,0,MATCH($B2830,se_state,0))</f>
        <v>0</v>
      </c>
      <c r="E2830" s="57">
        <f>IF($D2830=0,0,INDEX(se_sum,$D2830))</f>
        <v>0</v>
      </c>
      <c r="F2830" s="172">
        <f>IF(N(INDEX(lr_mind,52))=0,1,INDEX(lr_mind,52))</f>
        <v>0.92</v>
      </c>
      <c r="G2830" s="172">
        <f>IF(N(INDEX(lr_m0,52))=0,1,INDEX(lr_m0,52))</f>
        <v>0.91</v>
      </c>
      <c r="H2830" s="54">
        <f>IF(N(INDEX(lr_m0asof,52))=0,DATE(nr_PlanYear-1,10,1),INDEX(lr_m0asof,52))</f>
        <v>46295</v>
      </c>
      <c r="I2830" s="172">
        <f>IF(N(INDEX(lr_m1,52))=0,1,INDEX(lr_m1,52))</f>
        <v>0.93</v>
      </c>
      <c r="J2830" s="172">
        <f>INDEX(lr_mprior,52)</f>
        <v>0</v>
      </c>
      <c r="K2830" s="172">
        <f>INDEX(lr_m2,52)</f>
        <v>0</v>
      </c>
      <c r="L2830" s="81" t="b">
        <f>NOT(ISBLANK(INDEX(lr_netp,52)))</f>
        <v>0</v>
      </c>
      <c r="M2830" s="52">
        <f>N(INDEX(lr_netp,52))</f>
        <v>0</v>
      </c>
      <c r="N2830" s="52">
        <f>IF(ISBLANK(INDEX(lr_netp1,52)),$M$2830,N(INDEX(lr_netp1,52)))</f>
        <v>0</v>
      </c>
      <c r="O2830" s="55">
        <f>IF(AND(nr_ModAdjMaster="ON",INDEX(lr_modadj,52)="ON"),1,0)</f>
        <v>1</v>
      </c>
    </row>
    <row r="2831" spans="1:21" x14ac:dyDescent="0.25">
      <c r="A2831" s="81">
        <f>EDATE($H$2830,-12)+1</f>
        <v>45931</v>
      </c>
      <c r="B2831" s="81">
        <f>$H$2830+1</f>
        <v>46296</v>
      </c>
      <c r="C2831" s="81">
        <f>DATE(nr_PlanYear,12,31)+1</f>
        <v>46753</v>
      </c>
      <c r="D2831" s="81">
        <f>DATE(nr_PlanYear+1,12,31)+1</f>
        <v>47119</v>
      </c>
      <c r="E2831" s="81">
        <f>IF(N($J$2830)=0,$F$2831-($G$2831-$F$2831)/($C$2831-$B$2831)*($B$2831-$A$2831),$J$2830)</f>
        <v>0.89402625820568926</v>
      </c>
      <c r="F2831" s="81">
        <f>$G$2830</f>
        <v>0.91</v>
      </c>
      <c r="G2831" s="81">
        <f>$I$2830</f>
        <v>0.93</v>
      </c>
      <c r="H2831" s="81">
        <f>IF(N($K$2830)=0,$I$2830,$K$2830)</f>
        <v>0.93</v>
      </c>
      <c r="I2831" s="81">
        <f>($F$2831-$E$2831)/($B$2831-$A$2831)</f>
        <v>4.3763676148796628E-5</v>
      </c>
      <c r="J2831" s="81">
        <f>($G$2831-$F$2831)/($C$2831-$B$2831)</f>
        <v>4.376367614879654E-5</v>
      </c>
      <c r="K2831" s="81">
        <f>($H$2831-$G$2831)/($D$2831-$C$2831)</f>
        <v>0</v>
      </c>
    </row>
    <row r="2832" spans="1:21" ht="36" x14ac:dyDescent="0.25">
      <c r="A2832" s="50" t="s">
        <v>211</v>
      </c>
      <c r="B2832" s="50" t="s">
        <v>212</v>
      </c>
      <c r="C2832" s="50" t="s">
        <v>213</v>
      </c>
      <c r="D2832" s="50" t="s">
        <v>214</v>
      </c>
      <c r="E2832" s="50" t="s">
        <v>215</v>
      </c>
      <c r="F2832" s="50" t="s">
        <v>216</v>
      </c>
      <c r="G2832" s="50" t="s">
        <v>217</v>
      </c>
      <c r="H2832" s="50" t="s">
        <v>218</v>
      </c>
      <c r="I2832" s="50" t="s">
        <v>219</v>
      </c>
      <c r="J2832" s="50" t="s">
        <v>220</v>
      </c>
      <c r="K2832" s="50" t="s">
        <v>221</v>
      </c>
      <c r="L2832" s="50" t="s">
        <v>222</v>
      </c>
      <c r="M2832" s="50" t="s">
        <v>223</v>
      </c>
      <c r="N2832" s="50" t="s">
        <v>224</v>
      </c>
      <c r="O2832" s="50" t="s">
        <v>225</v>
      </c>
      <c r="P2832" s="50" t="s">
        <v>226</v>
      </c>
      <c r="Q2832" s="50" t="s">
        <v>227</v>
      </c>
      <c r="R2832" s="50" t="s">
        <v>228</v>
      </c>
      <c r="S2832" s="50" t="s">
        <v>229</v>
      </c>
      <c r="T2832" s="50" t="s">
        <v>230</v>
      </c>
      <c r="U2832" s="50" t="s">
        <v>231</v>
      </c>
    </row>
    <row r="2833" spans="1:21" x14ac:dyDescent="0.25">
      <c r="A2833" s="71">
        <v>1</v>
      </c>
      <c r="B2833" s="72">
        <f>DATE(nr_PlanYear-2,1,1)</f>
        <v>45658</v>
      </c>
      <c r="C2833" s="73">
        <f t="shared" ref="C2833:C2880" si="1054">EOMONTH($B2833,0)</f>
        <v>45688</v>
      </c>
      <c r="D2833" s="67">
        <f t="shared" ref="D2833:D2880" si="1055">$C2833-$B2833+1</f>
        <v>31</v>
      </c>
      <c r="E2833" s="67">
        <f t="shared" ref="E2833:E2880" si="1056">MONTH($B2833)</f>
        <v>1</v>
      </c>
      <c r="F2833" s="74">
        <f t="shared" ref="F2833:F2880" si="1057">($B2833+$C2833+1)/2</f>
        <v>45673.5</v>
      </c>
      <c r="G2833" s="67">
        <f t="shared" ref="G2833:G2880" si="1058">YEAR($B2833)*12+MONTH($B2833)-1</f>
        <v>24300</v>
      </c>
      <c r="H2833" s="75">
        <f t="shared" ref="H2833:H2880" si="1059">IF(OR(nr_SeasonOn="OFF",$D$2830=0,$E$2830=0),1,12*INDEX(se_block,$D$2830,$E2833)/$E$2830)</f>
        <v>1</v>
      </c>
      <c r="I2833" s="76">
        <f t="shared" ref="I2833:I2880" si="1060">EXP(SUMPRODUCT((rl_eff&lt;$B2833)*(rl_key=$A$2830)*rl_ln1p))</f>
        <v>1</v>
      </c>
      <c r="J2833" s="76">
        <f t="shared" ref="J2833:J2880" si="1061">EXP(SUMPRODUCT((rl_eff&lt;=$C2833)*(rl_key=$A$2830)*rl_ln1p))</f>
        <v>1</v>
      </c>
      <c r="K2833" s="67">
        <f t="shared" ref="K2833:K2880" si="1062">COUNTIFS(rl_key,$A$2830,rl_eff,"&gt;="&amp;$B2833,rl_eff,"&lt;="&amp;$C2833)</f>
        <v>0</v>
      </c>
      <c r="L2833" s="67">
        <f t="shared" ref="L2833:L2880" si="1063">SUMIFS(rl_daysafter,rl_key,$A$2830,rl_effmonth,$B2833,rl_first,1)</f>
        <v>0</v>
      </c>
      <c r="M2833" s="77">
        <f t="shared" ref="M2833:M2880" si="1064">IF($K2833=0,0,MIN(1,$L2833/$D2833))</f>
        <v>0</v>
      </c>
      <c r="N2833" s="76">
        <f t="shared" ref="N2833:N2880" si="1065">IF($K2833=0,$J2833,(1-$M2833)*$I2833+$M2833*$J2833)</f>
        <v>1</v>
      </c>
      <c r="O2833" s="77">
        <f t="shared" ref="O2833:O2880" si="1066">IF($F2833&lt;$B$2831,$E$2831+$I$2831*($F2833-$A$2831),IF($F2833&lt;$C$2831,$F$2831+$J$2831*($F2833-$B$2831),$G$2831+$K$2831*($F2833-$C$2831)))</f>
        <v>0.88275711159737413</v>
      </c>
      <c r="P2833" s="76">
        <f t="shared" ref="P2833:P2880" si="1067">MIN(1,MAX(0,(nr_MEndPm1-$G2833+0.5)/$C$2830))-MIN(1,MAX(0,(nr_MStartPm1-1-$G2833+0.5)/$C$2830))</f>
        <v>0</v>
      </c>
      <c r="Q2833" s="76">
        <f t="shared" ref="Q2833:Q2880" si="1068">MIN(1,MAX(0,(nr_MEndP-$G2833+0.5)/$C$2830))-MIN(1,MAX(0,(nr_MStartP-1-$G2833+0.5)/$C$2830))</f>
        <v>0</v>
      </c>
      <c r="R2833" s="76">
        <f t="shared" ref="R2833:R2880" si="1069">MIN(1,MAX(0,(nr_MEndP1-$G2833+0.5)/$C$2830))-MIN(1,MAX(0,(nr_MStartP1-1-$G2833+0.5)/$C$2830))</f>
        <v>0</v>
      </c>
      <c r="S2833" s="76">
        <f t="shared" ref="S2833:S2880" si="1070">$N2833*IF($O$2830=1,$O2833/$F$2830,1)</f>
        <v>0.95951859956236318</v>
      </c>
      <c r="T2833" s="76">
        <f t="shared" ref="T2833:T2880" si="1071">IF($G2833&lt;nr_MStartP,$S2833,$T2821*(1+IF($G2833&lt;nr_MStartP1,$M$2830,$N$2830)))</f>
        <v>0.95951859956236318</v>
      </c>
      <c r="U2833" s="76">
        <f t="shared" ref="U2833:U2880" si="1072">IF($L$2830,$T2833,$N2833)</f>
        <v>1</v>
      </c>
    </row>
    <row r="2834" spans="1:21" x14ac:dyDescent="0.25">
      <c r="A2834" s="71">
        <v>2</v>
      </c>
      <c r="B2834" s="72">
        <f t="shared" ref="B2834:B2880" si="1073">EDATE($B2833,1)</f>
        <v>45689</v>
      </c>
      <c r="C2834" s="73">
        <f t="shared" si="1054"/>
        <v>45716</v>
      </c>
      <c r="D2834" s="67">
        <f t="shared" si="1055"/>
        <v>28</v>
      </c>
      <c r="E2834" s="67">
        <f t="shared" si="1056"/>
        <v>2</v>
      </c>
      <c r="F2834" s="74">
        <f t="shared" si="1057"/>
        <v>45703</v>
      </c>
      <c r="G2834" s="67">
        <f t="shared" si="1058"/>
        <v>24301</v>
      </c>
      <c r="H2834" s="75">
        <f t="shared" si="1059"/>
        <v>1</v>
      </c>
      <c r="I2834" s="76">
        <f t="shared" si="1060"/>
        <v>1</v>
      </c>
      <c r="J2834" s="76">
        <f t="shared" si="1061"/>
        <v>1</v>
      </c>
      <c r="K2834" s="67">
        <f t="shared" si="1062"/>
        <v>0</v>
      </c>
      <c r="L2834" s="67">
        <f t="shared" si="1063"/>
        <v>0</v>
      </c>
      <c r="M2834" s="77">
        <f t="shared" si="1064"/>
        <v>0</v>
      </c>
      <c r="N2834" s="76">
        <f t="shared" si="1065"/>
        <v>1</v>
      </c>
      <c r="O2834" s="77">
        <f t="shared" si="1066"/>
        <v>0.88404814004376364</v>
      </c>
      <c r="P2834" s="76">
        <f t="shared" si="1067"/>
        <v>0</v>
      </c>
      <c r="Q2834" s="76">
        <f t="shared" si="1068"/>
        <v>0</v>
      </c>
      <c r="R2834" s="76">
        <f t="shared" si="1069"/>
        <v>0</v>
      </c>
      <c r="S2834" s="76">
        <f t="shared" si="1070"/>
        <v>0.96092189135191697</v>
      </c>
      <c r="T2834" s="76">
        <f t="shared" si="1071"/>
        <v>0.96092189135191697</v>
      </c>
      <c r="U2834" s="76">
        <f t="shared" si="1072"/>
        <v>1</v>
      </c>
    </row>
    <row r="2835" spans="1:21" x14ac:dyDescent="0.25">
      <c r="A2835" s="71">
        <v>3</v>
      </c>
      <c r="B2835" s="72">
        <f t="shared" si="1073"/>
        <v>45717</v>
      </c>
      <c r="C2835" s="73">
        <f t="shared" si="1054"/>
        <v>45747</v>
      </c>
      <c r="D2835" s="67">
        <f t="shared" si="1055"/>
        <v>31</v>
      </c>
      <c r="E2835" s="67">
        <f t="shared" si="1056"/>
        <v>3</v>
      </c>
      <c r="F2835" s="74">
        <f t="shared" si="1057"/>
        <v>45732.5</v>
      </c>
      <c r="G2835" s="67">
        <f t="shared" si="1058"/>
        <v>24302</v>
      </c>
      <c r="H2835" s="75">
        <f t="shared" si="1059"/>
        <v>1</v>
      </c>
      <c r="I2835" s="76">
        <f t="shared" si="1060"/>
        <v>1</v>
      </c>
      <c r="J2835" s="76">
        <f t="shared" si="1061"/>
        <v>1</v>
      </c>
      <c r="K2835" s="67">
        <f t="shared" si="1062"/>
        <v>0</v>
      </c>
      <c r="L2835" s="67">
        <f t="shared" si="1063"/>
        <v>0</v>
      </c>
      <c r="M2835" s="77">
        <f t="shared" si="1064"/>
        <v>0</v>
      </c>
      <c r="N2835" s="76">
        <f t="shared" si="1065"/>
        <v>1</v>
      </c>
      <c r="O2835" s="77">
        <f t="shared" si="1066"/>
        <v>0.88533916849015315</v>
      </c>
      <c r="P2835" s="76">
        <f t="shared" si="1067"/>
        <v>0</v>
      </c>
      <c r="Q2835" s="76">
        <f t="shared" si="1068"/>
        <v>0</v>
      </c>
      <c r="R2835" s="76">
        <f t="shared" si="1069"/>
        <v>0</v>
      </c>
      <c r="S2835" s="76">
        <f t="shared" si="1070"/>
        <v>0.96232518314147075</v>
      </c>
      <c r="T2835" s="76">
        <f t="shared" si="1071"/>
        <v>0.96232518314147075</v>
      </c>
      <c r="U2835" s="76">
        <f t="shared" si="1072"/>
        <v>1</v>
      </c>
    </row>
    <row r="2836" spans="1:21" x14ac:dyDescent="0.25">
      <c r="A2836" s="71">
        <v>4</v>
      </c>
      <c r="B2836" s="72">
        <f t="shared" si="1073"/>
        <v>45748</v>
      </c>
      <c r="C2836" s="73">
        <f t="shared" si="1054"/>
        <v>45777</v>
      </c>
      <c r="D2836" s="67">
        <f t="shared" si="1055"/>
        <v>30</v>
      </c>
      <c r="E2836" s="67">
        <f t="shared" si="1056"/>
        <v>4</v>
      </c>
      <c r="F2836" s="74">
        <f t="shared" si="1057"/>
        <v>45763</v>
      </c>
      <c r="G2836" s="67">
        <f t="shared" si="1058"/>
        <v>24303</v>
      </c>
      <c r="H2836" s="75">
        <f t="shared" si="1059"/>
        <v>1</v>
      </c>
      <c r="I2836" s="76">
        <f t="shared" si="1060"/>
        <v>1</v>
      </c>
      <c r="J2836" s="76">
        <f t="shared" si="1061"/>
        <v>1</v>
      </c>
      <c r="K2836" s="67">
        <f t="shared" si="1062"/>
        <v>0</v>
      </c>
      <c r="L2836" s="67">
        <f t="shared" si="1063"/>
        <v>0</v>
      </c>
      <c r="M2836" s="77">
        <f t="shared" si="1064"/>
        <v>0</v>
      </c>
      <c r="N2836" s="76">
        <f t="shared" si="1065"/>
        <v>1</v>
      </c>
      <c r="O2836" s="77">
        <f t="shared" si="1066"/>
        <v>0.88667396061269144</v>
      </c>
      <c r="P2836" s="76">
        <f t="shared" si="1067"/>
        <v>0</v>
      </c>
      <c r="Q2836" s="76">
        <f t="shared" si="1068"/>
        <v>0</v>
      </c>
      <c r="R2836" s="76">
        <f t="shared" si="1069"/>
        <v>0</v>
      </c>
      <c r="S2836" s="76">
        <f t="shared" si="1070"/>
        <v>0.96377604414422979</v>
      </c>
      <c r="T2836" s="76">
        <f t="shared" si="1071"/>
        <v>0.96377604414422979</v>
      </c>
      <c r="U2836" s="76">
        <f t="shared" si="1072"/>
        <v>1</v>
      </c>
    </row>
    <row r="2837" spans="1:21" x14ac:dyDescent="0.25">
      <c r="A2837" s="71">
        <v>5</v>
      </c>
      <c r="B2837" s="72">
        <f t="shared" si="1073"/>
        <v>45778</v>
      </c>
      <c r="C2837" s="73">
        <f t="shared" si="1054"/>
        <v>45808</v>
      </c>
      <c r="D2837" s="67">
        <f t="shared" si="1055"/>
        <v>31</v>
      </c>
      <c r="E2837" s="67">
        <f t="shared" si="1056"/>
        <v>5</v>
      </c>
      <c r="F2837" s="74">
        <f t="shared" si="1057"/>
        <v>45793.5</v>
      </c>
      <c r="G2837" s="67">
        <f t="shared" si="1058"/>
        <v>24304</v>
      </c>
      <c r="H2837" s="75">
        <f t="shared" si="1059"/>
        <v>1</v>
      </c>
      <c r="I2837" s="76">
        <f t="shared" si="1060"/>
        <v>1</v>
      </c>
      <c r="J2837" s="76">
        <f t="shared" si="1061"/>
        <v>1</v>
      </c>
      <c r="K2837" s="67">
        <f t="shared" si="1062"/>
        <v>0</v>
      </c>
      <c r="L2837" s="67">
        <f t="shared" si="1063"/>
        <v>0</v>
      </c>
      <c r="M2837" s="77">
        <f t="shared" si="1064"/>
        <v>0</v>
      </c>
      <c r="N2837" s="76">
        <f t="shared" si="1065"/>
        <v>1</v>
      </c>
      <c r="O2837" s="77">
        <f t="shared" si="1066"/>
        <v>0.88800875273522972</v>
      </c>
      <c r="P2837" s="76">
        <f t="shared" si="1067"/>
        <v>0</v>
      </c>
      <c r="Q2837" s="76">
        <f t="shared" si="1068"/>
        <v>0</v>
      </c>
      <c r="R2837" s="76">
        <f t="shared" si="1069"/>
        <v>0</v>
      </c>
      <c r="S2837" s="76">
        <f t="shared" si="1070"/>
        <v>0.96522690514698883</v>
      </c>
      <c r="T2837" s="76">
        <f t="shared" si="1071"/>
        <v>0.96522690514698883</v>
      </c>
      <c r="U2837" s="76">
        <f t="shared" si="1072"/>
        <v>1</v>
      </c>
    </row>
    <row r="2838" spans="1:21" x14ac:dyDescent="0.25">
      <c r="A2838" s="71">
        <v>6</v>
      </c>
      <c r="B2838" s="72">
        <f t="shared" si="1073"/>
        <v>45809</v>
      </c>
      <c r="C2838" s="73">
        <f t="shared" si="1054"/>
        <v>45838</v>
      </c>
      <c r="D2838" s="67">
        <f t="shared" si="1055"/>
        <v>30</v>
      </c>
      <c r="E2838" s="67">
        <f t="shared" si="1056"/>
        <v>6</v>
      </c>
      <c r="F2838" s="74">
        <f t="shared" si="1057"/>
        <v>45824</v>
      </c>
      <c r="G2838" s="67">
        <f t="shared" si="1058"/>
        <v>24305</v>
      </c>
      <c r="H2838" s="75">
        <f t="shared" si="1059"/>
        <v>1</v>
      </c>
      <c r="I2838" s="76">
        <f t="shared" si="1060"/>
        <v>1</v>
      </c>
      <c r="J2838" s="76">
        <f t="shared" si="1061"/>
        <v>1</v>
      </c>
      <c r="K2838" s="67">
        <f t="shared" si="1062"/>
        <v>0</v>
      </c>
      <c r="L2838" s="67">
        <f t="shared" si="1063"/>
        <v>0</v>
      </c>
      <c r="M2838" s="77">
        <f t="shared" si="1064"/>
        <v>0</v>
      </c>
      <c r="N2838" s="76">
        <f t="shared" si="1065"/>
        <v>1</v>
      </c>
      <c r="O2838" s="77">
        <f t="shared" si="1066"/>
        <v>0.88934354485776801</v>
      </c>
      <c r="P2838" s="76">
        <f t="shared" si="1067"/>
        <v>0</v>
      </c>
      <c r="Q2838" s="76">
        <f t="shared" si="1068"/>
        <v>0</v>
      </c>
      <c r="R2838" s="76">
        <f t="shared" si="1069"/>
        <v>0</v>
      </c>
      <c r="S2838" s="76">
        <f t="shared" si="1070"/>
        <v>0.96667776614974776</v>
      </c>
      <c r="T2838" s="76">
        <f t="shared" si="1071"/>
        <v>0.96667776614974776</v>
      </c>
      <c r="U2838" s="76">
        <f t="shared" si="1072"/>
        <v>1</v>
      </c>
    </row>
    <row r="2839" spans="1:21" x14ac:dyDescent="0.25">
      <c r="A2839" s="71">
        <v>7</v>
      </c>
      <c r="B2839" s="72">
        <f t="shared" si="1073"/>
        <v>45839</v>
      </c>
      <c r="C2839" s="73">
        <f t="shared" si="1054"/>
        <v>45869</v>
      </c>
      <c r="D2839" s="67">
        <f t="shared" si="1055"/>
        <v>31</v>
      </c>
      <c r="E2839" s="67">
        <f t="shared" si="1056"/>
        <v>7</v>
      </c>
      <c r="F2839" s="74">
        <f t="shared" si="1057"/>
        <v>45854.5</v>
      </c>
      <c r="G2839" s="67">
        <f t="shared" si="1058"/>
        <v>24306</v>
      </c>
      <c r="H2839" s="75">
        <f t="shared" si="1059"/>
        <v>1</v>
      </c>
      <c r="I2839" s="76">
        <f t="shared" si="1060"/>
        <v>1</v>
      </c>
      <c r="J2839" s="76">
        <f t="shared" si="1061"/>
        <v>1</v>
      </c>
      <c r="K2839" s="67">
        <f t="shared" si="1062"/>
        <v>0</v>
      </c>
      <c r="L2839" s="67">
        <f t="shared" si="1063"/>
        <v>0</v>
      </c>
      <c r="M2839" s="77">
        <f t="shared" si="1064"/>
        <v>0</v>
      </c>
      <c r="N2839" s="76">
        <f t="shared" si="1065"/>
        <v>1</v>
      </c>
      <c r="O2839" s="77">
        <f t="shared" si="1066"/>
        <v>0.8906783369803063</v>
      </c>
      <c r="P2839" s="76">
        <f t="shared" si="1067"/>
        <v>8.333333333333337E-2</v>
      </c>
      <c r="Q2839" s="76">
        <f t="shared" si="1068"/>
        <v>0</v>
      </c>
      <c r="R2839" s="76">
        <f t="shared" si="1069"/>
        <v>0</v>
      </c>
      <c r="S2839" s="76">
        <f t="shared" si="1070"/>
        <v>0.9681286271525068</v>
      </c>
      <c r="T2839" s="76">
        <f t="shared" si="1071"/>
        <v>0.9681286271525068</v>
      </c>
      <c r="U2839" s="76">
        <f t="shared" si="1072"/>
        <v>1</v>
      </c>
    </row>
    <row r="2840" spans="1:21" x14ac:dyDescent="0.25">
      <c r="A2840" s="71">
        <v>8</v>
      </c>
      <c r="B2840" s="72">
        <f t="shared" si="1073"/>
        <v>45870</v>
      </c>
      <c r="C2840" s="73">
        <f t="shared" si="1054"/>
        <v>45900</v>
      </c>
      <c r="D2840" s="67">
        <f t="shared" si="1055"/>
        <v>31</v>
      </c>
      <c r="E2840" s="67">
        <f t="shared" si="1056"/>
        <v>8</v>
      </c>
      <c r="F2840" s="74">
        <f t="shared" si="1057"/>
        <v>45885.5</v>
      </c>
      <c r="G2840" s="67">
        <f t="shared" si="1058"/>
        <v>24307</v>
      </c>
      <c r="H2840" s="75">
        <f t="shared" si="1059"/>
        <v>1</v>
      </c>
      <c r="I2840" s="76">
        <f t="shared" si="1060"/>
        <v>1</v>
      </c>
      <c r="J2840" s="76">
        <f t="shared" si="1061"/>
        <v>1</v>
      </c>
      <c r="K2840" s="67">
        <f t="shared" si="1062"/>
        <v>0</v>
      </c>
      <c r="L2840" s="67">
        <f t="shared" si="1063"/>
        <v>0</v>
      </c>
      <c r="M2840" s="77">
        <f t="shared" si="1064"/>
        <v>0</v>
      </c>
      <c r="N2840" s="76">
        <f t="shared" si="1065"/>
        <v>1</v>
      </c>
      <c r="O2840" s="77">
        <f t="shared" si="1066"/>
        <v>0.89203501094091897</v>
      </c>
      <c r="P2840" s="76">
        <f t="shared" si="1067"/>
        <v>0.25</v>
      </c>
      <c r="Q2840" s="76">
        <f t="shared" si="1068"/>
        <v>0</v>
      </c>
      <c r="R2840" s="76">
        <f t="shared" si="1069"/>
        <v>0</v>
      </c>
      <c r="S2840" s="76">
        <f t="shared" si="1070"/>
        <v>0.96960327276186842</v>
      </c>
      <c r="T2840" s="76">
        <f t="shared" si="1071"/>
        <v>0.96960327276186842</v>
      </c>
      <c r="U2840" s="76">
        <f t="shared" si="1072"/>
        <v>1</v>
      </c>
    </row>
    <row r="2841" spans="1:21" x14ac:dyDescent="0.25">
      <c r="A2841" s="71">
        <v>9</v>
      </c>
      <c r="B2841" s="72">
        <f t="shared" si="1073"/>
        <v>45901</v>
      </c>
      <c r="C2841" s="73">
        <f t="shared" si="1054"/>
        <v>45930</v>
      </c>
      <c r="D2841" s="67">
        <f t="shared" si="1055"/>
        <v>30</v>
      </c>
      <c r="E2841" s="67">
        <f t="shared" si="1056"/>
        <v>9</v>
      </c>
      <c r="F2841" s="74">
        <f t="shared" si="1057"/>
        <v>45916</v>
      </c>
      <c r="G2841" s="67">
        <f t="shared" si="1058"/>
        <v>24308</v>
      </c>
      <c r="H2841" s="75">
        <f t="shared" si="1059"/>
        <v>1</v>
      </c>
      <c r="I2841" s="76">
        <f t="shared" si="1060"/>
        <v>1</v>
      </c>
      <c r="J2841" s="76">
        <f t="shared" si="1061"/>
        <v>1</v>
      </c>
      <c r="K2841" s="67">
        <f t="shared" si="1062"/>
        <v>0</v>
      </c>
      <c r="L2841" s="67">
        <f t="shared" si="1063"/>
        <v>0</v>
      </c>
      <c r="M2841" s="77">
        <f t="shared" si="1064"/>
        <v>0</v>
      </c>
      <c r="N2841" s="76">
        <f t="shared" si="1065"/>
        <v>1</v>
      </c>
      <c r="O2841" s="77">
        <f t="shared" si="1066"/>
        <v>0.89336980306345726</v>
      </c>
      <c r="P2841" s="76">
        <f t="shared" si="1067"/>
        <v>0.41666666666666663</v>
      </c>
      <c r="Q2841" s="76">
        <f t="shared" si="1068"/>
        <v>0</v>
      </c>
      <c r="R2841" s="76">
        <f t="shared" si="1069"/>
        <v>0</v>
      </c>
      <c r="S2841" s="76">
        <f t="shared" si="1070"/>
        <v>0.97105413376462746</v>
      </c>
      <c r="T2841" s="76">
        <f t="shared" si="1071"/>
        <v>0.97105413376462746</v>
      </c>
      <c r="U2841" s="76">
        <f t="shared" si="1072"/>
        <v>1</v>
      </c>
    </row>
    <row r="2842" spans="1:21" x14ac:dyDescent="0.25">
      <c r="A2842" s="71">
        <v>10</v>
      </c>
      <c r="B2842" s="72">
        <f t="shared" si="1073"/>
        <v>45931</v>
      </c>
      <c r="C2842" s="73">
        <f t="shared" si="1054"/>
        <v>45961</v>
      </c>
      <c r="D2842" s="67">
        <f t="shared" si="1055"/>
        <v>31</v>
      </c>
      <c r="E2842" s="67">
        <f t="shared" si="1056"/>
        <v>10</v>
      </c>
      <c r="F2842" s="74">
        <f t="shared" si="1057"/>
        <v>45946.5</v>
      </c>
      <c r="G2842" s="67">
        <f t="shared" si="1058"/>
        <v>24309</v>
      </c>
      <c r="H2842" s="75">
        <f t="shared" si="1059"/>
        <v>1</v>
      </c>
      <c r="I2842" s="76">
        <f t="shared" si="1060"/>
        <v>1</v>
      </c>
      <c r="J2842" s="76">
        <f t="shared" si="1061"/>
        <v>1</v>
      </c>
      <c r="K2842" s="67">
        <f t="shared" si="1062"/>
        <v>0</v>
      </c>
      <c r="L2842" s="67">
        <f t="shared" si="1063"/>
        <v>0</v>
      </c>
      <c r="M2842" s="77">
        <f t="shared" si="1064"/>
        <v>0</v>
      </c>
      <c r="N2842" s="76">
        <f t="shared" si="1065"/>
        <v>1</v>
      </c>
      <c r="O2842" s="77">
        <f t="shared" si="1066"/>
        <v>0.89470459518599565</v>
      </c>
      <c r="P2842" s="76">
        <f t="shared" si="1067"/>
        <v>0.58333333333333326</v>
      </c>
      <c r="Q2842" s="76">
        <f t="shared" si="1068"/>
        <v>0</v>
      </c>
      <c r="R2842" s="76">
        <f t="shared" si="1069"/>
        <v>0</v>
      </c>
      <c r="S2842" s="76">
        <f t="shared" si="1070"/>
        <v>0.9725049947673865</v>
      </c>
      <c r="T2842" s="76">
        <f t="shared" si="1071"/>
        <v>0.9725049947673865</v>
      </c>
      <c r="U2842" s="76">
        <f t="shared" si="1072"/>
        <v>1</v>
      </c>
    </row>
    <row r="2843" spans="1:21" x14ac:dyDescent="0.25">
      <c r="A2843" s="71">
        <v>11</v>
      </c>
      <c r="B2843" s="72">
        <f t="shared" si="1073"/>
        <v>45962</v>
      </c>
      <c r="C2843" s="73">
        <f t="shared" si="1054"/>
        <v>45991</v>
      </c>
      <c r="D2843" s="67">
        <f t="shared" si="1055"/>
        <v>30</v>
      </c>
      <c r="E2843" s="67">
        <f t="shared" si="1056"/>
        <v>11</v>
      </c>
      <c r="F2843" s="74">
        <f t="shared" si="1057"/>
        <v>45977</v>
      </c>
      <c r="G2843" s="67">
        <f t="shared" si="1058"/>
        <v>24310</v>
      </c>
      <c r="H2843" s="75">
        <f t="shared" si="1059"/>
        <v>1</v>
      </c>
      <c r="I2843" s="76">
        <f t="shared" si="1060"/>
        <v>1</v>
      </c>
      <c r="J2843" s="76">
        <f t="shared" si="1061"/>
        <v>1</v>
      </c>
      <c r="K2843" s="67">
        <f t="shared" si="1062"/>
        <v>0</v>
      </c>
      <c r="L2843" s="67">
        <f t="shared" si="1063"/>
        <v>0</v>
      </c>
      <c r="M2843" s="77">
        <f t="shared" si="1064"/>
        <v>0</v>
      </c>
      <c r="N2843" s="76">
        <f t="shared" si="1065"/>
        <v>1</v>
      </c>
      <c r="O2843" s="77">
        <f t="shared" si="1066"/>
        <v>0.89603938730853394</v>
      </c>
      <c r="P2843" s="76">
        <f t="shared" si="1067"/>
        <v>0.75</v>
      </c>
      <c r="Q2843" s="76">
        <f t="shared" si="1068"/>
        <v>0</v>
      </c>
      <c r="R2843" s="76">
        <f t="shared" si="1069"/>
        <v>0</v>
      </c>
      <c r="S2843" s="76">
        <f t="shared" si="1070"/>
        <v>0.97395585577014554</v>
      </c>
      <c r="T2843" s="76">
        <f t="shared" si="1071"/>
        <v>0.97395585577014554</v>
      </c>
      <c r="U2843" s="76">
        <f t="shared" si="1072"/>
        <v>1</v>
      </c>
    </row>
    <row r="2844" spans="1:21" x14ac:dyDescent="0.25">
      <c r="A2844" s="71">
        <v>12</v>
      </c>
      <c r="B2844" s="72">
        <f t="shared" si="1073"/>
        <v>45992</v>
      </c>
      <c r="C2844" s="73">
        <f t="shared" si="1054"/>
        <v>46022</v>
      </c>
      <c r="D2844" s="67">
        <f t="shared" si="1055"/>
        <v>31</v>
      </c>
      <c r="E2844" s="67">
        <f t="shared" si="1056"/>
        <v>12</v>
      </c>
      <c r="F2844" s="74">
        <f t="shared" si="1057"/>
        <v>46007.5</v>
      </c>
      <c r="G2844" s="67">
        <f t="shared" si="1058"/>
        <v>24311</v>
      </c>
      <c r="H2844" s="75">
        <f t="shared" si="1059"/>
        <v>1</v>
      </c>
      <c r="I2844" s="76">
        <f t="shared" si="1060"/>
        <v>1</v>
      </c>
      <c r="J2844" s="76">
        <f t="shared" si="1061"/>
        <v>1</v>
      </c>
      <c r="K2844" s="67">
        <f t="shared" si="1062"/>
        <v>0</v>
      </c>
      <c r="L2844" s="67">
        <f t="shared" si="1063"/>
        <v>0</v>
      </c>
      <c r="M2844" s="77">
        <f t="shared" si="1064"/>
        <v>0</v>
      </c>
      <c r="N2844" s="76">
        <f t="shared" si="1065"/>
        <v>1</v>
      </c>
      <c r="O2844" s="77">
        <f t="shared" si="1066"/>
        <v>0.89737417943107223</v>
      </c>
      <c r="P2844" s="76">
        <f t="shared" si="1067"/>
        <v>0.91666666666666663</v>
      </c>
      <c r="Q2844" s="76">
        <f t="shared" si="1068"/>
        <v>0</v>
      </c>
      <c r="R2844" s="76">
        <f t="shared" si="1069"/>
        <v>0</v>
      </c>
      <c r="S2844" s="76">
        <f t="shared" si="1070"/>
        <v>0.97540671677290458</v>
      </c>
      <c r="T2844" s="76">
        <f t="shared" si="1071"/>
        <v>0.97540671677290458</v>
      </c>
      <c r="U2844" s="76">
        <f t="shared" si="1072"/>
        <v>1</v>
      </c>
    </row>
    <row r="2845" spans="1:21" x14ac:dyDescent="0.25">
      <c r="A2845" s="71">
        <v>13</v>
      </c>
      <c r="B2845" s="72">
        <f t="shared" si="1073"/>
        <v>46023</v>
      </c>
      <c r="C2845" s="73">
        <f t="shared" si="1054"/>
        <v>46053</v>
      </c>
      <c r="D2845" s="67">
        <f t="shared" si="1055"/>
        <v>31</v>
      </c>
      <c r="E2845" s="67">
        <f t="shared" si="1056"/>
        <v>1</v>
      </c>
      <c r="F2845" s="74">
        <f t="shared" si="1057"/>
        <v>46038.5</v>
      </c>
      <c r="G2845" s="67">
        <f t="shared" si="1058"/>
        <v>24312</v>
      </c>
      <c r="H2845" s="75">
        <f t="shared" si="1059"/>
        <v>1</v>
      </c>
      <c r="I2845" s="76">
        <f t="shared" si="1060"/>
        <v>1</v>
      </c>
      <c r="J2845" s="76">
        <f t="shared" si="1061"/>
        <v>1</v>
      </c>
      <c r="K2845" s="67">
        <f t="shared" si="1062"/>
        <v>0</v>
      </c>
      <c r="L2845" s="67">
        <f t="shared" si="1063"/>
        <v>0</v>
      </c>
      <c r="M2845" s="77">
        <f t="shared" si="1064"/>
        <v>0</v>
      </c>
      <c r="N2845" s="76">
        <f t="shared" si="1065"/>
        <v>1</v>
      </c>
      <c r="O2845" s="77">
        <f t="shared" si="1066"/>
        <v>0.8987308533916849</v>
      </c>
      <c r="P2845" s="76">
        <f t="shared" si="1067"/>
        <v>1</v>
      </c>
      <c r="Q2845" s="76">
        <f t="shared" si="1068"/>
        <v>0</v>
      </c>
      <c r="R2845" s="76">
        <f t="shared" si="1069"/>
        <v>0</v>
      </c>
      <c r="S2845" s="76">
        <f t="shared" si="1070"/>
        <v>0.97688136238226619</v>
      </c>
      <c r="T2845" s="76">
        <f t="shared" si="1071"/>
        <v>0.97688136238226619</v>
      </c>
      <c r="U2845" s="76">
        <f t="shared" si="1072"/>
        <v>1</v>
      </c>
    </row>
    <row r="2846" spans="1:21" x14ac:dyDescent="0.25">
      <c r="A2846" s="71">
        <v>14</v>
      </c>
      <c r="B2846" s="72">
        <f t="shared" si="1073"/>
        <v>46054</v>
      </c>
      <c r="C2846" s="73">
        <f t="shared" si="1054"/>
        <v>46081</v>
      </c>
      <c r="D2846" s="67">
        <f t="shared" si="1055"/>
        <v>28</v>
      </c>
      <c r="E2846" s="67">
        <f t="shared" si="1056"/>
        <v>2</v>
      </c>
      <c r="F2846" s="74">
        <f t="shared" si="1057"/>
        <v>46068</v>
      </c>
      <c r="G2846" s="67">
        <f t="shared" si="1058"/>
        <v>24313</v>
      </c>
      <c r="H2846" s="75">
        <f t="shared" si="1059"/>
        <v>1</v>
      </c>
      <c r="I2846" s="76">
        <f t="shared" si="1060"/>
        <v>1</v>
      </c>
      <c r="J2846" s="76">
        <f t="shared" si="1061"/>
        <v>1</v>
      </c>
      <c r="K2846" s="67">
        <f t="shared" si="1062"/>
        <v>0</v>
      </c>
      <c r="L2846" s="67">
        <f t="shared" si="1063"/>
        <v>0</v>
      </c>
      <c r="M2846" s="77">
        <f t="shared" si="1064"/>
        <v>0</v>
      </c>
      <c r="N2846" s="76">
        <f t="shared" si="1065"/>
        <v>1</v>
      </c>
      <c r="O2846" s="77">
        <f t="shared" si="1066"/>
        <v>0.90002188183807441</v>
      </c>
      <c r="P2846" s="76">
        <f t="shared" si="1067"/>
        <v>1</v>
      </c>
      <c r="Q2846" s="76">
        <f t="shared" si="1068"/>
        <v>0</v>
      </c>
      <c r="R2846" s="76">
        <f t="shared" si="1069"/>
        <v>0</v>
      </c>
      <c r="S2846" s="76">
        <f t="shared" si="1070"/>
        <v>0.97828465417181998</v>
      </c>
      <c r="T2846" s="76">
        <f t="shared" si="1071"/>
        <v>0.97828465417181998</v>
      </c>
      <c r="U2846" s="76">
        <f t="shared" si="1072"/>
        <v>1</v>
      </c>
    </row>
    <row r="2847" spans="1:21" x14ac:dyDescent="0.25">
      <c r="A2847" s="71">
        <v>15</v>
      </c>
      <c r="B2847" s="72">
        <f t="shared" si="1073"/>
        <v>46082</v>
      </c>
      <c r="C2847" s="73">
        <f t="shared" si="1054"/>
        <v>46112</v>
      </c>
      <c r="D2847" s="67">
        <f t="shared" si="1055"/>
        <v>31</v>
      </c>
      <c r="E2847" s="67">
        <f t="shared" si="1056"/>
        <v>3</v>
      </c>
      <c r="F2847" s="74">
        <f t="shared" si="1057"/>
        <v>46097.5</v>
      </c>
      <c r="G2847" s="67">
        <f t="shared" si="1058"/>
        <v>24314</v>
      </c>
      <c r="H2847" s="75">
        <f t="shared" si="1059"/>
        <v>1</v>
      </c>
      <c r="I2847" s="76">
        <f t="shared" si="1060"/>
        <v>1</v>
      </c>
      <c r="J2847" s="76">
        <f t="shared" si="1061"/>
        <v>1</v>
      </c>
      <c r="K2847" s="67">
        <f t="shared" si="1062"/>
        <v>0</v>
      </c>
      <c r="L2847" s="67">
        <f t="shared" si="1063"/>
        <v>0</v>
      </c>
      <c r="M2847" s="77">
        <f t="shared" si="1064"/>
        <v>0</v>
      </c>
      <c r="N2847" s="76">
        <f t="shared" si="1065"/>
        <v>1</v>
      </c>
      <c r="O2847" s="77">
        <f t="shared" si="1066"/>
        <v>0.90131291028446392</v>
      </c>
      <c r="P2847" s="76">
        <f t="shared" si="1067"/>
        <v>1</v>
      </c>
      <c r="Q2847" s="76">
        <f t="shared" si="1068"/>
        <v>0</v>
      </c>
      <c r="R2847" s="76">
        <f t="shared" si="1069"/>
        <v>0</v>
      </c>
      <c r="S2847" s="76">
        <f t="shared" si="1070"/>
        <v>0.97968794596137376</v>
      </c>
      <c r="T2847" s="76">
        <f t="shared" si="1071"/>
        <v>0.97968794596137376</v>
      </c>
      <c r="U2847" s="76">
        <f t="shared" si="1072"/>
        <v>1</v>
      </c>
    </row>
    <row r="2848" spans="1:21" x14ac:dyDescent="0.25">
      <c r="A2848" s="71">
        <v>16</v>
      </c>
      <c r="B2848" s="72">
        <f t="shared" si="1073"/>
        <v>46113</v>
      </c>
      <c r="C2848" s="73">
        <f t="shared" si="1054"/>
        <v>46142</v>
      </c>
      <c r="D2848" s="67">
        <f t="shared" si="1055"/>
        <v>30</v>
      </c>
      <c r="E2848" s="67">
        <f t="shared" si="1056"/>
        <v>4</v>
      </c>
      <c r="F2848" s="74">
        <f t="shared" si="1057"/>
        <v>46128</v>
      </c>
      <c r="G2848" s="67">
        <f t="shared" si="1058"/>
        <v>24315</v>
      </c>
      <c r="H2848" s="75">
        <f t="shared" si="1059"/>
        <v>1</v>
      </c>
      <c r="I2848" s="76">
        <f t="shared" si="1060"/>
        <v>1</v>
      </c>
      <c r="J2848" s="76">
        <f t="shared" si="1061"/>
        <v>1.03</v>
      </c>
      <c r="K2848" s="67">
        <f t="shared" si="1062"/>
        <v>1</v>
      </c>
      <c r="L2848" s="67">
        <f t="shared" si="1063"/>
        <v>30</v>
      </c>
      <c r="M2848" s="77">
        <f t="shared" si="1064"/>
        <v>1</v>
      </c>
      <c r="N2848" s="76">
        <f t="shared" si="1065"/>
        <v>1.03</v>
      </c>
      <c r="O2848" s="77">
        <f t="shared" si="1066"/>
        <v>0.90264770240700221</v>
      </c>
      <c r="P2848" s="76">
        <f t="shared" si="1067"/>
        <v>1</v>
      </c>
      <c r="Q2848" s="76">
        <f t="shared" si="1068"/>
        <v>0</v>
      </c>
      <c r="R2848" s="76">
        <f t="shared" si="1069"/>
        <v>0</v>
      </c>
      <c r="S2848" s="76">
        <f t="shared" si="1070"/>
        <v>1.0105729711730569</v>
      </c>
      <c r="T2848" s="76">
        <f t="shared" si="1071"/>
        <v>1.0105729711730569</v>
      </c>
      <c r="U2848" s="76">
        <f t="shared" si="1072"/>
        <v>1.03</v>
      </c>
    </row>
    <row r="2849" spans="1:21" x14ac:dyDescent="0.25">
      <c r="A2849" s="71">
        <v>17</v>
      </c>
      <c r="B2849" s="72">
        <f t="shared" si="1073"/>
        <v>46143</v>
      </c>
      <c r="C2849" s="73">
        <f t="shared" si="1054"/>
        <v>46173</v>
      </c>
      <c r="D2849" s="67">
        <f t="shared" si="1055"/>
        <v>31</v>
      </c>
      <c r="E2849" s="67">
        <f t="shared" si="1056"/>
        <v>5</v>
      </c>
      <c r="F2849" s="74">
        <f t="shared" si="1057"/>
        <v>46158.5</v>
      </c>
      <c r="G2849" s="67">
        <f t="shared" si="1058"/>
        <v>24316</v>
      </c>
      <c r="H2849" s="75">
        <f t="shared" si="1059"/>
        <v>1</v>
      </c>
      <c r="I2849" s="76">
        <f t="shared" si="1060"/>
        <v>1.03</v>
      </c>
      <c r="J2849" s="76">
        <f t="shared" si="1061"/>
        <v>1.03</v>
      </c>
      <c r="K2849" s="67">
        <f t="shared" si="1062"/>
        <v>0</v>
      </c>
      <c r="L2849" s="67">
        <f t="shared" si="1063"/>
        <v>0</v>
      </c>
      <c r="M2849" s="77">
        <f t="shared" si="1064"/>
        <v>0</v>
      </c>
      <c r="N2849" s="76">
        <f t="shared" si="1065"/>
        <v>1.03</v>
      </c>
      <c r="O2849" s="77">
        <f t="shared" si="1066"/>
        <v>0.90398249452954049</v>
      </c>
      <c r="P2849" s="76">
        <f t="shared" si="1067"/>
        <v>1</v>
      </c>
      <c r="Q2849" s="76">
        <f t="shared" si="1068"/>
        <v>0</v>
      </c>
      <c r="R2849" s="76">
        <f t="shared" si="1069"/>
        <v>0</v>
      </c>
      <c r="S2849" s="76">
        <f t="shared" si="1070"/>
        <v>1.0120673580058985</v>
      </c>
      <c r="T2849" s="76">
        <f t="shared" si="1071"/>
        <v>1.0120673580058985</v>
      </c>
      <c r="U2849" s="76">
        <f t="shared" si="1072"/>
        <v>1.03</v>
      </c>
    </row>
    <row r="2850" spans="1:21" x14ac:dyDescent="0.25">
      <c r="A2850" s="71">
        <v>18</v>
      </c>
      <c r="B2850" s="72">
        <f t="shared" si="1073"/>
        <v>46174</v>
      </c>
      <c r="C2850" s="73">
        <f t="shared" si="1054"/>
        <v>46203</v>
      </c>
      <c r="D2850" s="67">
        <f t="shared" si="1055"/>
        <v>30</v>
      </c>
      <c r="E2850" s="67">
        <f t="shared" si="1056"/>
        <v>6</v>
      </c>
      <c r="F2850" s="74">
        <f t="shared" si="1057"/>
        <v>46189</v>
      </c>
      <c r="G2850" s="67">
        <f t="shared" si="1058"/>
        <v>24317</v>
      </c>
      <c r="H2850" s="75">
        <f t="shared" si="1059"/>
        <v>1</v>
      </c>
      <c r="I2850" s="76">
        <f t="shared" si="1060"/>
        <v>1.03</v>
      </c>
      <c r="J2850" s="76">
        <f t="shared" si="1061"/>
        <v>1.03</v>
      </c>
      <c r="K2850" s="67">
        <f t="shared" si="1062"/>
        <v>0</v>
      </c>
      <c r="L2850" s="67">
        <f t="shared" si="1063"/>
        <v>0</v>
      </c>
      <c r="M2850" s="77">
        <f t="shared" si="1064"/>
        <v>0</v>
      </c>
      <c r="N2850" s="76">
        <f t="shared" si="1065"/>
        <v>1.03</v>
      </c>
      <c r="O2850" s="77">
        <f t="shared" si="1066"/>
        <v>0.90531728665207878</v>
      </c>
      <c r="P2850" s="76">
        <f t="shared" si="1067"/>
        <v>1</v>
      </c>
      <c r="Q2850" s="76">
        <f t="shared" si="1068"/>
        <v>0</v>
      </c>
      <c r="R2850" s="76">
        <f t="shared" si="1069"/>
        <v>0</v>
      </c>
      <c r="S2850" s="76">
        <f t="shared" si="1070"/>
        <v>1.0135617448387404</v>
      </c>
      <c r="T2850" s="76">
        <f t="shared" si="1071"/>
        <v>1.0135617448387404</v>
      </c>
      <c r="U2850" s="76">
        <f t="shared" si="1072"/>
        <v>1.03</v>
      </c>
    </row>
    <row r="2851" spans="1:21" x14ac:dyDescent="0.25">
      <c r="A2851" s="71">
        <v>19</v>
      </c>
      <c r="B2851" s="72">
        <f t="shared" si="1073"/>
        <v>46204</v>
      </c>
      <c r="C2851" s="73">
        <f t="shared" si="1054"/>
        <v>46234</v>
      </c>
      <c r="D2851" s="67">
        <f t="shared" si="1055"/>
        <v>31</v>
      </c>
      <c r="E2851" s="67">
        <f t="shared" si="1056"/>
        <v>7</v>
      </c>
      <c r="F2851" s="74">
        <f t="shared" si="1057"/>
        <v>46219.5</v>
      </c>
      <c r="G2851" s="67">
        <f t="shared" si="1058"/>
        <v>24318</v>
      </c>
      <c r="H2851" s="75">
        <f t="shared" si="1059"/>
        <v>1</v>
      </c>
      <c r="I2851" s="76">
        <f t="shared" si="1060"/>
        <v>1.03</v>
      </c>
      <c r="J2851" s="76">
        <f t="shared" si="1061"/>
        <v>1.03</v>
      </c>
      <c r="K2851" s="67">
        <f t="shared" si="1062"/>
        <v>0</v>
      </c>
      <c r="L2851" s="67">
        <f t="shared" si="1063"/>
        <v>0</v>
      </c>
      <c r="M2851" s="77">
        <f t="shared" si="1064"/>
        <v>0</v>
      </c>
      <c r="N2851" s="76">
        <f t="shared" si="1065"/>
        <v>1.03</v>
      </c>
      <c r="O2851" s="77">
        <f t="shared" si="1066"/>
        <v>0.90665207877461707</v>
      </c>
      <c r="P2851" s="76">
        <f t="shared" si="1067"/>
        <v>0.91666666666666663</v>
      </c>
      <c r="Q2851" s="76">
        <f t="shared" si="1068"/>
        <v>8.333333333333337E-2</v>
      </c>
      <c r="R2851" s="76">
        <f t="shared" si="1069"/>
        <v>0</v>
      </c>
      <c r="S2851" s="76">
        <f t="shared" si="1070"/>
        <v>1.015056131671582</v>
      </c>
      <c r="T2851" s="76">
        <f t="shared" si="1071"/>
        <v>1.015056131671582</v>
      </c>
      <c r="U2851" s="76">
        <f t="shared" si="1072"/>
        <v>1.03</v>
      </c>
    </row>
    <row r="2852" spans="1:21" x14ac:dyDescent="0.25">
      <c r="A2852" s="71">
        <v>20</v>
      </c>
      <c r="B2852" s="72">
        <f t="shared" si="1073"/>
        <v>46235</v>
      </c>
      <c r="C2852" s="73">
        <f t="shared" si="1054"/>
        <v>46265</v>
      </c>
      <c r="D2852" s="67">
        <f t="shared" si="1055"/>
        <v>31</v>
      </c>
      <c r="E2852" s="67">
        <f t="shared" si="1056"/>
        <v>8</v>
      </c>
      <c r="F2852" s="74">
        <f t="shared" si="1057"/>
        <v>46250.5</v>
      </c>
      <c r="G2852" s="67">
        <f t="shared" si="1058"/>
        <v>24319</v>
      </c>
      <c r="H2852" s="75">
        <f t="shared" si="1059"/>
        <v>1</v>
      </c>
      <c r="I2852" s="76">
        <f t="shared" si="1060"/>
        <v>1.03</v>
      </c>
      <c r="J2852" s="76">
        <f t="shared" si="1061"/>
        <v>1.03</v>
      </c>
      <c r="K2852" s="67">
        <f t="shared" si="1062"/>
        <v>0</v>
      </c>
      <c r="L2852" s="67">
        <f t="shared" si="1063"/>
        <v>0</v>
      </c>
      <c r="M2852" s="77">
        <f t="shared" si="1064"/>
        <v>0</v>
      </c>
      <c r="N2852" s="76">
        <f t="shared" si="1065"/>
        <v>1.03</v>
      </c>
      <c r="O2852" s="77">
        <f t="shared" si="1066"/>
        <v>0.90800875273522974</v>
      </c>
      <c r="P2852" s="76">
        <f t="shared" si="1067"/>
        <v>0.75</v>
      </c>
      <c r="Q2852" s="76">
        <f t="shared" si="1068"/>
        <v>0.25</v>
      </c>
      <c r="R2852" s="76">
        <f t="shared" si="1069"/>
        <v>0</v>
      </c>
      <c r="S2852" s="76">
        <f t="shared" si="1070"/>
        <v>1.0165750166492247</v>
      </c>
      <c r="T2852" s="76">
        <f t="shared" si="1071"/>
        <v>1.0165750166492247</v>
      </c>
      <c r="U2852" s="76">
        <f t="shared" si="1072"/>
        <v>1.03</v>
      </c>
    </row>
    <row r="2853" spans="1:21" x14ac:dyDescent="0.25">
      <c r="A2853" s="71">
        <v>21</v>
      </c>
      <c r="B2853" s="72">
        <f t="shared" si="1073"/>
        <v>46266</v>
      </c>
      <c r="C2853" s="73">
        <f t="shared" si="1054"/>
        <v>46295</v>
      </c>
      <c r="D2853" s="67">
        <f t="shared" si="1055"/>
        <v>30</v>
      </c>
      <c r="E2853" s="67">
        <f t="shared" si="1056"/>
        <v>9</v>
      </c>
      <c r="F2853" s="74">
        <f t="shared" si="1057"/>
        <v>46281</v>
      </c>
      <c r="G2853" s="67">
        <f t="shared" si="1058"/>
        <v>24320</v>
      </c>
      <c r="H2853" s="75">
        <f t="shared" si="1059"/>
        <v>1</v>
      </c>
      <c r="I2853" s="76">
        <f t="shared" si="1060"/>
        <v>1.03</v>
      </c>
      <c r="J2853" s="76">
        <f t="shared" si="1061"/>
        <v>1.03</v>
      </c>
      <c r="K2853" s="67">
        <f t="shared" si="1062"/>
        <v>0</v>
      </c>
      <c r="L2853" s="67">
        <f t="shared" si="1063"/>
        <v>0</v>
      </c>
      <c r="M2853" s="77">
        <f t="shared" si="1064"/>
        <v>0</v>
      </c>
      <c r="N2853" s="76">
        <f t="shared" si="1065"/>
        <v>1.03</v>
      </c>
      <c r="O2853" s="77">
        <f t="shared" si="1066"/>
        <v>0.90934354485776803</v>
      </c>
      <c r="P2853" s="76">
        <f t="shared" si="1067"/>
        <v>0.58333333333333337</v>
      </c>
      <c r="Q2853" s="76">
        <f t="shared" si="1068"/>
        <v>0.41666666666666663</v>
      </c>
      <c r="R2853" s="76">
        <f t="shared" si="1069"/>
        <v>0</v>
      </c>
      <c r="S2853" s="76">
        <f t="shared" si="1070"/>
        <v>1.0180694034820663</v>
      </c>
      <c r="T2853" s="76">
        <f t="shared" si="1071"/>
        <v>1.0180694034820663</v>
      </c>
      <c r="U2853" s="76">
        <f t="shared" si="1072"/>
        <v>1.03</v>
      </c>
    </row>
    <row r="2854" spans="1:21" x14ac:dyDescent="0.25">
      <c r="A2854" s="71">
        <v>22</v>
      </c>
      <c r="B2854" s="72">
        <f t="shared" si="1073"/>
        <v>46296</v>
      </c>
      <c r="C2854" s="73">
        <f t="shared" si="1054"/>
        <v>46326</v>
      </c>
      <c r="D2854" s="67">
        <f t="shared" si="1055"/>
        <v>31</v>
      </c>
      <c r="E2854" s="67">
        <f t="shared" si="1056"/>
        <v>10</v>
      </c>
      <c r="F2854" s="74">
        <f t="shared" si="1057"/>
        <v>46311.5</v>
      </c>
      <c r="G2854" s="67">
        <f t="shared" si="1058"/>
        <v>24321</v>
      </c>
      <c r="H2854" s="75">
        <f t="shared" si="1059"/>
        <v>1</v>
      </c>
      <c r="I2854" s="76">
        <f t="shared" si="1060"/>
        <v>1.03</v>
      </c>
      <c r="J2854" s="76">
        <f t="shared" si="1061"/>
        <v>1.03</v>
      </c>
      <c r="K2854" s="67">
        <f t="shared" si="1062"/>
        <v>0</v>
      </c>
      <c r="L2854" s="67">
        <f t="shared" si="1063"/>
        <v>0</v>
      </c>
      <c r="M2854" s="77">
        <f t="shared" si="1064"/>
        <v>0</v>
      </c>
      <c r="N2854" s="76">
        <f t="shared" si="1065"/>
        <v>1.03</v>
      </c>
      <c r="O2854" s="77">
        <f t="shared" si="1066"/>
        <v>0.91067833698030642</v>
      </c>
      <c r="P2854" s="76">
        <f t="shared" si="1067"/>
        <v>0.41666666666666669</v>
      </c>
      <c r="Q2854" s="76">
        <f t="shared" si="1068"/>
        <v>0.58333333333333326</v>
      </c>
      <c r="R2854" s="76">
        <f t="shared" si="1069"/>
        <v>0</v>
      </c>
      <c r="S2854" s="76">
        <f t="shared" si="1070"/>
        <v>1.0195637903149082</v>
      </c>
      <c r="T2854" s="76">
        <f t="shared" si="1071"/>
        <v>1.0195637903149082</v>
      </c>
      <c r="U2854" s="76">
        <f t="shared" si="1072"/>
        <v>1.03</v>
      </c>
    </row>
    <row r="2855" spans="1:21" x14ac:dyDescent="0.25">
      <c r="A2855" s="71">
        <v>23</v>
      </c>
      <c r="B2855" s="72">
        <f t="shared" si="1073"/>
        <v>46327</v>
      </c>
      <c r="C2855" s="73">
        <f t="shared" si="1054"/>
        <v>46356</v>
      </c>
      <c r="D2855" s="67">
        <f t="shared" si="1055"/>
        <v>30</v>
      </c>
      <c r="E2855" s="67">
        <f t="shared" si="1056"/>
        <v>11</v>
      </c>
      <c r="F2855" s="74">
        <f t="shared" si="1057"/>
        <v>46342</v>
      </c>
      <c r="G2855" s="67">
        <f t="shared" si="1058"/>
        <v>24322</v>
      </c>
      <c r="H2855" s="75">
        <f t="shared" si="1059"/>
        <v>1</v>
      </c>
      <c r="I2855" s="76">
        <f t="shared" si="1060"/>
        <v>1.03</v>
      </c>
      <c r="J2855" s="76">
        <f t="shared" si="1061"/>
        <v>1.03</v>
      </c>
      <c r="K2855" s="67">
        <f t="shared" si="1062"/>
        <v>0</v>
      </c>
      <c r="L2855" s="67">
        <f t="shared" si="1063"/>
        <v>0</v>
      </c>
      <c r="M2855" s="77">
        <f t="shared" si="1064"/>
        <v>0</v>
      </c>
      <c r="N2855" s="76">
        <f t="shared" si="1065"/>
        <v>1.03</v>
      </c>
      <c r="O2855" s="77">
        <f t="shared" si="1066"/>
        <v>0.91201312910284471</v>
      </c>
      <c r="P2855" s="76">
        <f t="shared" si="1067"/>
        <v>0.25</v>
      </c>
      <c r="Q2855" s="76">
        <f t="shared" si="1068"/>
        <v>0.75</v>
      </c>
      <c r="R2855" s="76">
        <f t="shared" si="1069"/>
        <v>0</v>
      </c>
      <c r="S2855" s="76">
        <f t="shared" si="1070"/>
        <v>1.02105817714775</v>
      </c>
      <c r="T2855" s="76">
        <f t="shared" si="1071"/>
        <v>1.02105817714775</v>
      </c>
      <c r="U2855" s="76">
        <f t="shared" si="1072"/>
        <v>1.03</v>
      </c>
    </row>
    <row r="2856" spans="1:21" x14ac:dyDescent="0.25">
      <c r="A2856" s="71">
        <v>24</v>
      </c>
      <c r="B2856" s="72">
        <f t="shared" si="1073"/>
        <v>46357</v>
      </c>
      <c r="C2856" s="73">
        <f t="shared" si="1054"/>
        <v>46387</v>
      </c>
      <c r="D2856" s="67">
        <f t="shared" si="1055"/>
        <v>31</v>
      </c>
      <c r="E2856" s="67">
        <f t="shared" si="1056"/>
        <v>12</v>
      </c>
      <c r="F2856" s="74">
        <f t="shared" si="1057"/>
        <v>46372.5</v>
      </c>
      <c r="G2856" s="67">
        <f t="shared" si="1058"/>
        <v>24323</v>
      </c>
      <c r="H2856" s="75">
        <f t="shared" si="1059"/>
        <v>1</v>
      </c>
      <c r="I2856" s="76">
        <f t="shared" si="1060"/>
        <v>1.03</v>
      </c>
      <c r="J2856" s="76">
        <f t="shared" si="1061"/>
        <v>1.03</v>
      </c>
      <c r="K2856" s="67">
        <f t="shared" si="1062"/>
        <v>0</v>
      </c>
      <c r="L2856" s="67">
        <f t="shared" si="1063"/>
        <v>0</v>
      </c>
      <c r="M2856" s="77">
        <f t="shared" si="1064"/>
        <v>0</v>
      </c>
      <c r="N2856" s="76">
        <f t="shared" si="1065"/>
        <v>1.03</v>
      </c>
      <c r="O2856" s="77">
        <f t="shared" si="1066"/>
        <v>0.913347921225383</v>
      </c>
      <c r="P2856" s="76">
        <f t="shared" si="1067"/>
        <v>8.3333333333333329E-2</v>
      </c>
      <c r="Q2856" s="76">
        <f t="shared" si="1068"/>
        <v>0.91666666666666663</v>
      </c>
      <c r="R2856" s="76">
        <f t="shared" si="1069"/>
        <v>0</v>
      </c>
      <c r="S2856" s="76">
        <f t="shared" si="1070"/>
        <v>1.0225525639805919</v>
      </c>
      <c r="T2856" s="76">
        <f t="shared" si="1071"/>
        <v>1.0225525639805919</v>
      </c>
      <c r="U2856" s="76">
        <f t="shared" si="1072"/>
        <v>1.03</v>
      </c>
    </row>
    <row r="2857" spans="1:21" x14ac:dyDescent="0.25">
      <c r="A2857" s="71">
        <v>25</v>
      </c>
      <c r="B2857" s="72">
        <f t="shared" si="1073"/>
        <v>46388</v>
      </c>
      <c r="C2857" s="73">
        <f t="shared" si="1054"/>
        <v>46418</v>
      </c>
      <c r="D2857" s="67">
        <f t="shared" si="1055"/>
        <v>31</v>
      </c>
      <c r="E2857" s="67">
        <f t="shared" si="1056"/>
        <v>1</v>
      </c>
      <c r="F2857" s="74">
        <f t="shared" si="1057"/>
        <v>46403.5</v>
      </c>
      <c r="G2857" s="67">
        <f t="shared" si="1058"/>
        <v>24324</v>
      </c>
      <c r="H2857" s="75">
        <f t="shared" si="1059"/>
        <v>1</v>
      </c>
      <c r="I2857" s="76">
        <f t="shared" si="1060"/>
        <v>1.03</v>
      </c>
      <c r="J2857" s="76">
        <f t="shared" si="1061"/>
        <v>1.03</v>
      </c>
      <c r="K2857" s="67">
        <f t="shared" si="1062"/>
        <v>0</v>
      </c>
      <c r="L2857" s="67">
        <f t="shared" si="1063"/>
        <v>0</v>
      </c>
      <c r="M2857" s="77">
        <f t="shared" si="1064"/>
        <v>0</v>
      </c>
      <c r="N2857" s="76">
        <f t="shared" si="1065"/>
        <v>1.03</v>
      </c>
      <c r="O2857" s="77">
        <f t="shared" si="1066"/>
        <v>0.91470459518599567</v>
      </c>
      <c r="P2857" s="76">
        <f t="shared" si="1067"/>
        <v>0</v>
      </c>
      <c r="Q2857" s="76">
        <f t="shared" si="1068"/>
        <v>1</v>
      </c>
      <c r="R2857" s="76">
        <f t="shared" si="1069"/>
        <v>0</v>
      </c>
      <c r="S2857" s="76">
        <f t="shared" si="1070"/>
        <v>1.0240714489582343</v>
      </c>
      <c r="T2857" s="76">
        <f t="shared" si="1071"/>
        <v>0.97688136238226619</v>
      </c>
      <c r="U2857" s="76">
        <f t="shared" si="1072"/>
        <v>1.03</v>
      </c>
    </row>
    <row r="2858" spans="1:21" x14ac:dyDescent="0.25">
      <c r="A2858" s="71">
        <v>26</v>
      </c>
      <c r="B2858" s="72">
        <f t="shared" si="1073"/>
        <v>46419</v>
      </c>
      <c r="C2858" s="73">
        <f t="shared" si="1054"/>
        <v>46446</v>
      </c>
      <c r="D2858" s="67">
        <f t="shared" si="1055"/>
        <v>28</v>
      </c>
      <c r="E2858" s="67">
        <f t="shared" si="1056"/>
        <v>2</v>
      </c>
      <c r="F2858" s="74">
        <f t="shared" si="1057"/>
        <v>46433</v>
      </c>
      <c r="G2858" s="67">
        <f t="shared" si="1058"/>
        <v>24325</v>
      </c>
      <c r="H2858" s="75">
        <f t="shared" si="1059"/>
        <v>1</v>
      </c>
      <c r="I2858" s="76">
        <f t="shared" si="1060"/>
        <v>1.03</v>
      </c>
      <c r="J2858" s="76">
        <f t="shared" si="1061"/>
        <v>1.03</v>
      </c>
      <c r="K2858" s="67">
        <f t="shared" si="1062"/>
        <v>0</v>
      </c>
      <c r="L2858" s="67">
        <f t="shared" si="1063"/>
        <v>0</v>
      </c>
      <c r="M2858" s="77">
        <f t="shared" si="1064"/>
        <v>0</v>
      </c>
      <c r="N2858" s="76">
        <f t="shared" si="1065"/>
        <v>1.03</v>
      </c>
      <c r="O2858" s="77">
        <f t="shared" si="1066"/>
        <v>0.91599562363238518</v>
      </c>
      <c r="P2858" s="76">
        <f t="shared" si="1067"/>
        <v>0</v>
      </c>
      <c r="Q2858" s="76">
        <f t="shared" si="1068"/>
        <v>1</v>
      </c>
      <c r="R2858" s="76">
        <f t="shared" si="1069"/>
        <v>0</v>
      </c>
      <c r="S2858" s="76">
        <f t="shared" si="1070"/>
        <v>1.0255168395014747</v>
      </c>
      <c r="T2858" s="76">
        <f t="shared" si="1071"/>
        <v>0.97828465417181998</v>
      </c>
      <c r="U2858" s="76">
        <f t="shared" si="1072"/>
        <v>1.03</v>
      </c>
    </row>
    <row r="2859" spans="1:21" x14ac:dyDescent="0.25">
      <c r="A2859" s="71">
        <v>27</v>
      </c>
      <c r="B2859" s="72">
        <f t="shared" si="1073"/>
        <v>46447</v>
      </c>
      <c r="C2859" s="73">
        <f t="shared" si="1054"/>
        <v>46477</v>
      </c>
      <c r="D2859" s="67">
        <f t="shared" si="1055"/>
        <v>31</v>
      </c>
      <c r="E2859" s="67">
        <f t="shared" si="1056"/>
        <v>3</v>
      </c>
      <c r="F2859" s="74">
        <f t="shared" si="1057"/>
        <v>46462.5</v>
      </c>
      <c r="G2859" s="67">
        <f t="shared" si="1058"/>
        <v>24326</v>
      </c>
      <c r="H2859" s="75">
        <f t="shared" si="1059"/>
        <v>1</v>
      </c>
      <c r="I2859" s="76">
        <f t="shared" si="1060"/>
        <v>1.03</v>
      </c>
      <c r="J2859" s="76">
        <f t="shared" si="1061"/>
        <v>1.03</v>
      </c>
      <c r="K2859" s="67">
        <f t="shared" si="1062"/>
        <v>0</v>
      </c>
      <c r="L2859" s="67">
        <f t="shared" si="1063"/>
        <v>0</v>
      </c>
      <c r="M2859" s="77">
        <f t="shared" si="1064"/>
        <v>0</v>
      </c>
      <c r="N2859" s="76">
        <f t="shared" si="1065"/>
        <v>1.03</v>
      </c>
      <c r="O2859" s="77">
        <f t="shared" si="1066"/>
        <v>0.91728665207877469</v>
      </c>
      <c r="P2859" s="76">
        <f t="shared" si="1067"/>
        <v>0</v>
      </c>
      <c r="Q2859" s="76">
        <f t="shared" si="1068"/>
        <v>1</v>
      </c>
      <c r="R2859" s="76">
        <f t="shared" si="1069"/>
        <v>0</v>
      </c>
      <c r="S2859" s="76">
        <f t="shared" si="1070"/>
        <v>1.0269622300447152</v>
      </c>
      <c r="T2859" s="76">
        <f t="shared" si="1071"/>
        <v>0.97968794596137376</v>
      </c>
      <c r="U2859" s="76">
        <f t="shared" si="1072"/>
        <v>1.03</v>
      </c>
    </row>
    <row r="2860" spans="1:21" x14ac:dyDescent="0.25">
      <c r="A2860" s="71">
        <v>28</v>
      </c>
      <c r="B2860" s="72">
        <f t="shared" si="1073"/>
        <v>46478</v>
      </c>
      <c r="C2860" s="73">
        <f t="shared" si="1054"/>
        <v>46507</v>
      </c>
      <c r="D2860" s="67">
        <f t="shared" si="1055"/>
        <v>30</v>
      </c>
      <c r="E2860" s="67">
        <f t="shared" si="1056"/>
        <v>4</v>
      </c>
      <c r="F2860" s="74">
        <f t="shared" si="1057"/>
        <v>46493</v>
      </c>
      <c r="G2860" s="67">
        <f t="shared" si="1058"/>
        <v>24327</v>
      </c>
      <c r="H2860" s="75">
        <f t="shared" si="1059"/>
        <v>1</v>
      </c>
      <c r="I2860" s="76">
        <f t="shared" si="1060"/>
        <v>1.03</v>
      </c>
      <c r="J2860" s="76">
        <f t="shared" si="1061"/>
        <v>1.03</v>
      </c>
      <c r="K2860" s="67">
        <f t="shared" si="1062"/>
        <v>0</v>
      </c>
      <c r="L2860" s="67">
        <f t="shared" si="1063"/>
        <v>0</v>
      </c>
      <c r="M2860" s="77">
        <f t="shared" si="1064"/>
        <v>0</v>
      </c>
      <c r="N2860" s="76">
        <f t="shared" si="1065"/>
        <v>1.03</v>
      </c>
      <c r="O2860" s="77">
        <f t="shared" si="1066"/>
        <v>0.91862144420131298</v>
      </c>
      <c r="P2860" s="76">
        <f t="shared" si="1067"/>
        <v>0</v>
      </c>
      <c r="Q2860" s="76">
        <f t="shared" si="1068"/>
        <v>1</v>
      </c>
      <c r="R2860" s="76">
        <f t="shared" si="1069"/>
        <v>0</v>
      </c>
      <c r="S2860" s="76">
        <f t="shared" si="1070"/>
        <v>1.0284566168775569</v>
      </c>
      <c r="T2860" s="76">
        <f t="shared" si="1071"/>
        <v>1.0105729711730569</v>
      </c>
      <c r="U2860" s="76">
        <f t="shared" si="1072"/>
        <v>1.03</v>
      </c>
    </row>
    <row r="2861" spans="1:21" x14ac:dyDescent="0.25">
      <c r="A2861" s="71">
        <v>29</v>
      </c>
      <c r="B2861" s="72">
        <f t="shared" si="1073"/>
        <v>46508</v>
      </c>
      <c r="C2861" s="73">
        <f t="shared" si="1054"/>
        <v>46538</v>
      </c>
      <c r="D2861" s="67">
        <f t="shared" si="1055"/>
        <v>31</v>
      </c>
      <c r="E2861" s="67">
        <f t="shared" si="1056"/>
        <v>5</v>
      </c>
      <c r="F2861" s="74">
        <f t="shared" si="1057"/>
        <v>46523.5</v>
      </c>
      <c r="G2861" s="67">
        <f t="shared" si="1058"/>
        <v>24328</v>
      </c>
      <c r="H2861" s="75">
        <f t="shared" si="1059"/>
        <v>1</v>
      </c>
      <c r="I2861" s="76">
        <f t="shared" si="1060"/>
        <v>1.03</v>
      </c>
      <c r="J2861" s="76">
        <f t="shared" si="1061"/>
        <v>1.03</v>
      </c>
      <c r="K2861" s="67">
        <f t="shared" si="1062"/>
        <v>0</v>
      </c>
      <c r="L2861" s="67">
        <f t="shared" si="1063"/>
        <v>0</v>
      </c>
      <c r="M2861" s="77">
        <f t="shared" si="1064"/>
        <v>0</v>
      </c>
      <c r="N2861" s="76">
        <f t="shared" si="1065"/>
        <v>1.03</v>
      </c>
      <c r="O2861" s="77">
        <f t="shared" si="1066"/>
        <v>0.91995623632385126</v>
      </c>
      <c r="P2861" s="76">
        <f t="shared" si="1067"/>
        <v>0</v>
      </c>
      <c r="Q2861" s="76">
        <f t="shared" si="1068"/>
        <v>1</v>
      </c>
      <c r="R2861" s="76">
        <f t="shared" si="1069"/>
        <v>0</v>
      </c>
      <c r="S2861" s="76">
        <f t="shared" si="1070"/>
        <v>1.0299510037103987</v>
      </c>
      <c r="T2861" s="76">
        <f t="shared" si="1071"/>
        <v>1.0120673580058985</v>
      </c>
      <c r="U2861" s="76">
        <f t="shared" si="1072"/>
        <v>1.03</v>
      </c>
    </row>
    <row r="2862" spans="1:21" x14ac:dyDescent="0.25">
      <c r="A2862" s="71">
        <v>30</v>
      </c>
      <c r="B2862" s="72">
        <f t="shared" si="1073"/>
        <v>46539</v>
      </c>
      <c r="C2862" s="73">
        <f t="shared" si="1054"/>
        <v>46568</v>
      </c>
      <c r="D2862" s="67">
        <f t="shared" si="1055"/>
        <v>30</v>
      </c>
      <c r="E2862" s="67">
        <f t="shared" si="1056"/>
        <v>6</v>
      </c>
      <c r="F2862" s="74">
        <f t="shared" si="1057"/>
        <v>46554</v>
      </c>
      <c r="G2862" s="67">
        <f t="shared" si="1058"/>
        <v>24329</v>
      </c>
      <c r="H2862" s="75">
        <f t="shared" si="1059"/>
        <v>1</v>
      </c>
      <c r="I2862" s="76">
        <f t="shared" si="1060"/>
        <v>1.03</v>
      </c>
      <c r="J2862" s="76">
        <f t="shared" si="1061"/>
        <v>1.03</v>
      </c>
      <c r="K2862" s="67">
        <f t="shared" si="1062"/>
        <v>0</v>
      </c>
      <c r="L2862" s="67">
        <f t="shared" si="1063"/>
        <v>0</v>
      </c>
      <c r="M2862" s="77">
        <f t="shared" si="1064"/>
        <v>0</v>
      </c>
      <c r="N2862" s="76">
        <f t="shared" si="1065"/>
        <v>1.03</v>
      </c>
      <c r="O2862" s="77">
        <f t="shared" si="1066"/>
        <v>0.92129102844638955</v>
      </c>
      <c r="P2862" s="76">
        <f t="shared" si="1067"/>
        <v>0</v>
      </c>
      <c r="Q2862" s="76">
        <f t="shared" si="1068"/>
        <v>1</v>
      </c>
      <c r="R2862" s="76">
        <f t="shared" si="1069"/>
        <v>0</v>
      </c>
      <c r="S2862" s="76">
        <f t="shared" si="1070"/>
        <v>1.0314453905432406</v>
      </c>
      <c r="T2862" s="76">
        <f t="shared" si="1071"/>
        <v>1.0135617448387404</v>
      </c>
      <c r="U2862" s="76">
        <f t="shared" si="1072"/>
        <v>1.03</v>
      </c>
    </row>
    <row r="2863" spans="1:21" x14ac:dyDescent="0.25">
      <c r="A2863" s="71">
        <v>31</v>
      </c>
      <c r="B2863" s="72">
        <f t="shared" si="1073"/>
        <v>46569</v>
      </c>
      <c r="C2863" s="73">
        <f t="shared" si="1054"/>
        <v>46599</v>
      </c>
      <c r="D2863" s="67">
        <f t="shared" si="1055"/>
        <v>31</v>
      </c>
      <c r="E2863" s="67">
        <f t="shared" si="1056"/>
        <v>7</v>
      </c>
      <c r="F2863" s="74">
        <f t="shared" si="1057"/>
        <v>46584.5</v>
      </c>
      <c r="G2863" s="67">
        <f t="shared" si="1058"/>
        <v>24330</v>
      </c>
      <c r="H2863" s="75">
        <f t="shared" si="1059"/>
        <v>1</v>
      </c>
      <c r="I2863" s="76">
        <f t="shared" si="1060"/>
        <v>1.03</v>
      </c>
      <c r="J2863" s="76">
        <f t="shared" si="1061"/>
        <v>1.03</v>
      </c>
      <c r="K2863" s="67">
        <f t="shared" si="1062"/>
        <v>0</v>
      </c>
      <c r="L2863" s="67">
        <f t="shared" si="1063"/>
        <v>0</v>
      </c>
      <c r="M2863" s="77">
        <f t="shared" si="1064"/>
        <v>0</v>
      </c>
      <c r="N2863" s="76">
        <f t="shared" si="1065"/>
        <v>1.03</v>
      </c>
      <c r="O2863" s="77">
        <f t="shared" si="1066"/>
        <v>0.92262582056892783</v>
      </c>
      <c r="P2863" s="76">
        <f t="shared" si="1067"/>
        <v>0</v>
      </c>
      <c r="Q2863" s="76">
        <f t="shared" si="1068"/>
        <v>0.91666666666666663</v>
      </c>
      <c r="R2863" s="76">
        <f t="shared" si="1069"/>
        <v>8.333333333333337E-2</v>
      </c>
      <c r="S2863" s="76">
        <f t="shared" si="1070"/>
        <v>1.0329397773760822</v>
      </c>
      <c r="T2863" s="76">
        <f t="shared" si="1071"/>
        <v>1.015056131671582</v>
      </c>
      <c r="U2863" s="76">
        <f t="shared" si="1072"/>
        <v>1.03</v>
      </c>
    </row>
    <row r="2864" spans="1:21" x14ac:dyDescent="0.25">
      <c r="A2864" s="71">
        <v>32</v>
      </c>
      <c r="B2864" s="72">
        <f t="shared" si="1073"/>
        <v>46600</v>
      </c>
      <c r="C2864" s="73">
        <f t="shared" si="1054"/>
        <v>46630</v>
      </c>
      <c r="D2864" s="67">
        <f t="shared" si="1055"/>
        <v>31</v>
      </c>
      <c r="E2864" s="67">
        <f t="shared" si="1056"/>
        <v>8</v>
      </c>
      <c r="F2864" s="74">
        <f t="shared" si="1057"/>
        <v>46615.5</v>
      </c>
      <c r="G2864" s="67">
        <f t="shared" si="1058"/>
        <v>24331</v>
      </c>
      <c r="H2864" s="75">
        <f t="shared" si="1059"/>
        <v>1</v>
      </c>
      <c r="I2864" s="76">
        <f t="shared" si="1060"/>
        <v>1.03</v>
      </c>
      <c r="J2864" s="76">
        <f t="shared" si="1061"/>
        <v>1.03</v>
      </c>
      <c r="K2864" s="67">
        <f t="shared" si="1062"/>
        <v>0</v>
      </c>
      <c r="L2864" s="67">
        <f t="shared" si="1063"/>
        <v>0</v>
      </c>
      <c r="M2864" s="77">
        <f t="shared" si="1064"/>
        <v>0</v>
      </c>
      <c r="N2864" s="76">
        <f t="shared" si="1065"/>
        <v>1.03</v>
      </c>
      <c r="O2864" s="77">
        <f t="shared" si="1066"/>
        <v>0.92398249452954051</v>
      </c>
      <c r="P2864" s="76">
        <f t="shared" si="1067"/>
        <v>0</v>
      </c>
      <c r="Q2864" s="76">
        <f t="shared" si="1068"/>
        <v>0.75</v>
      </c>
      <c r="R2864" s="76">
        <f t="shared" si="1069"/>
        <v>0.25</v>
      </c>
      <c r="S2864" s="76">
        <f t="shared" si="1070"/>
        <v>1.0344586623537246</v>
      </c>
      <c r="T2864" s="76">
        <f t="shared" si="1071"/>
        <v>1.0165750166492247</v>
      </c>
      <c r="U2864" s="76">
        <f t="shared" si="1072"/>
        <v>1.03</v>
      </c>
    </row>
    <row r="2865" spans="1:21" x14ac:dyDescent="0.25">
      <c r="A2865" s="71">
        <v>33</v>
      </c>
      <c r="B2865" s="72">
        <f t="shared" si="1073"/>
        <v>46631</v>
      </c>
      <c r="C2865" s="73">
        <f t="shared" si="1054"/>
        <v>46660</v>
      </c>
      <c r="D2865" s="67">
        <f t="shared" si="1055"/>
        <v>30</v>
      </c>
      <c r="E2865" s="67">
        <f t="shared" si="1056"/>
        <v>9</v>
      </c>
      <c r="F2865" s="74">
        <f t="shared" si="1057"/>
        <v>46646</v>
      </c>
      <c r="G2865" s="67">
        <f t="shared" si="1058"/>
        <v>24332</v>
      </c>
      <c r="H2865" s="75">
        <f t="shared" si="1059"/>
        <v>1</v>
      </c>
      <c r="I2865" s="76">
        <f t="shared" si="1060"/>
        <v>1.03</v>
      </c>
      <c r="J2865" s="76">
        <f t="shared" si="1061"/>
        <v>1.03</v>
      </c>
      <c r="K2865" s="67">
        <f t="shared" si="1062"/>
        <v>0</v>
      </c>
      <c r="L2865" s="67">
        <f t="shared" si="1063"/>
        <v>0</v>
      </c>
      <c r="M2865" s="77">
        <f t="shared" si="1064"/>
        <v>0</v>
      </c>
      <c r="N2865" s="76">
        <f t="shared" si="1065"/>
        <v>1.03</v>
      </c>
      <c r="O2865" s="77">
        <f t="shared" si="1066"/>
        <v>0.9253172866520788</v>
      </c>
      <c r="P2865" s="76">
        <f t="shared" si="1067"/>
        <v>0</v>
      </c>
      <c r="Q2865" s="76">
        <f t="shared" si="1068"/>
        <v>0.58333333333333337</v>
      </c>
      <c r="R2865" s="76">
        <f t="shared" si="1069"/>
        <v>0.41666666666666663</v>
      </c>
      <c r="S2865" s="76">
        <f t="shared" si="1070"/>
        <v>1.0359530491865665</v>
      </c>
      <c r="T2865" s="76">
        <f t="shared" si="1071"/>
        <v>1.0180694034820663</v>
      </c>
      <c r="U2865" s="76">
        <f t="shared" si="1072"/>
        <v>1.03</v>
      </c>
    </row>
    <row r="2866" spans="1:21" x14ac:dyDescent="0.25">
      <c r="A2866" s="71">
        <v>34</v>
      </c>
      <c r="B2866" s="72">
        <f t="shared" si="1073"/>
        <v>46661</v>
      </c>
      <c r="C2866" s="73">
        <f t="shared" si="1054"/>
        <v>46691</v>
      </c>
      <c r="D2866" s="67">
        <f t="shared" si="1055"/>
        <v>31</v>
      </c>
      <c r="E2866" s="67">
        <f t="shared" si="1056"/>
        <v>10</v>
      </c>
      <c r="F2866" s="74">
        <f t="shared" si="1057"/>
        <v>46676.5</v>
      </c>
      <c r="G2866" s="67">
        <f t="shared" si="1058"/>
        <v>24333</v>
      </c>
      <c r="H2866" s="75">
        <f t="shared" si="1059"/>
        <v>1</v>
      </c>
      <c r="I2866" s="76">
        <f t="shared" si="1060"/>
        <v>1.03</v>
      </c>
      <c r="J2866" s="76">
        <f t="shared" si="1061"/>
        <v>1.03</v>
      </c>
      <c r="K2866" s="67">
        <f t="shared" si="1062"/>
        <v>0</v>
      </c>
      <c r="L2866" s="67">
        <f t="shared" si="1063"/>
        <v>0</v>
      </c>
      <c r="M2866" s="77">
        <f t="shared" si="1064"/>
        <v>0</v>
      </c>
      <c r="N2866" s="76">
        <f t="shared" si="1065"/>
        <v>1.03</v>
      </c>
      <c r="O2866" s="77">
        <f t="shared" si="1066"/>
        <v>0.92665207877461708</v>
      </c>
      <c r="P2866" s="76">
        <f t="shared" si="1067"/>
        <v>0</v>
      </c>
      <c r="Q2866" s="76">
        <f t="shared" si="1068"/>
        <v>0.41666666666666669</v>
      </c>
      <c r="R2866" s="76">
        <f t="shared" si="1069"/>
        <v>0.58333333333333326</v>
      </c>
      <c r="S2866" s="76">
        <f t="shared" si="1070"/>
        <v>1.0374474360194084</v>
      </c>
      <c r="T2866" s="76">
        <f t="shared" si="1071"/>
        <v>1.0195637903149082</v>
      </c>
      <c r="U2866" s="76">
        <f t="shared" si="1072"/>
        <v>1.03</v>
      </c>
    </row>
    <row r="2867" spans="1:21" x14ac:dyDescent="0.25">
      <c r="A2867" s="71">
        <v>35</v>
      </c>
      <c r="B2867" s="72">
        <f t="shared" si="1073"/>
        <v>46692</v>
      </c>
      <c r="C2867" s="73">
        <f t="shared" si="1054"/>
        <v>46721</v>
      </c>
      <c r="D2867" s="67">
        <f t="shared" si="1055"/>
        <v>30</v>
      </c>
      <c r="E2867" s="67">
        <f t="shared" si="1056"/>
        <v>11</v>
      </c>
      <c r="F2867" s="74">
        <f t="shared" si="1057"/>
        <v>46707</v>
      </c>
      <c r="G2867" s="67">
        <f t="shared" si="1058"/>
        <v>24334</v>
      </c>
      <c r="H2867" s="75">
        <f t="shared" si="1059"/>
        <v>1</v>
      </c>
      <c r="I2867" s="76">
        <f t="shared" si="1060"/>
        <v>1.03</v>
      </c>
      <c r="J2867" s="76">
        <f t="shared" si="1061"/>
        <v>1.03</v>
      </c>
      <c r="K2867" s="67">
        <f t="shared" si="1062"/>
        <v>0</v>
      </c>
      <c r="L2867" s="67">
        <f t="shared" si="1063"/>
        <v>0</v>
      </c>
      <c r="M2867" s="77">
        <f t="shared" si="1064"/>
        <v>0</v>
      </c>
      <c r="N2867" s="76">
        <f t="shared" si="1065"/>
        <v>1.03</v>
      </c>
      <c r="O2867" s="77">
        <f t="shared" si="1066"/>
        <v>0.92798687089715537</v>
      </c>
      <c r="P2867" s="76">
        <f t="shared" si="1067"/>
        <v>0</v>
      </c>
      <c r="Q2867" s="76">
        <f t="shared" si="1068"/>
        <v>0.25</v>
      </c>
      <c r="R2867" s="76">
        <f t="shared" si="1069"/>
        <v>0.75</v>
      </c>
      <c r="S2867" s="76">
        <f t="shared" si="1070"/>
        <v>1.03894182285225</v>
      </c>
      <c r="T2867" s="76">
        <f t="shared" si="1071"/>
        <v>1.02105817714775</v>
      </c>
      <c r="U2867" s="76">
        <f t="shared" si="1072"/>
        <v>1.03</v>
      </c>
    </row>
    <row r="2868" spans="1:21" x14ac:dyDescent="0.25">
      <c r="A2868" s="71">
        <v>36</v>
      </c>
      <c r="B2868" s="72">
        <f t="shared" si="1073"/>
        <v>46722</v>
      </c>
      <c r="C2868" s="73">
        <f t="shared" si="1054"/>
        <v>46752</v>
      </c>
      <c r="D2868" s="67">
        <f t="shared" si="1055"/>
        <v>31</v>
      </c>
      <c r="E2868" s="67">
        <f t="shared" si="1056"/>
        <v>12</v>
      </c>
      <c r="F2868" s="74">
        <f t="shared" si="1057"/>
        <v>46737.5</v>
      </c>
      <c r="G2868" s="67">
        <f t="shared" si="1058"/>
        <v>24335</v>
      </c>
      <c r="H2868" s="75">
        <f t="shared" si="1059"/>
        <v>1</v>
      </c>
      <c r="I2868" s="76">
        <f t="shared" si="1060"/>
        <v>1.03</v>
      </c>
      <c r="J2868" s="76">
        <f t="shared" si="1061"/>
        <v>1.03</v>
      </c>
      <c r="K2868" s="67">
        <f t="shared" si="1062"/>
        <v>0</v>
      </c>
      <c r="L2868" s="67">
        <f t="shared" si="1063"/>
        <v>0</v>
      </c>
      <c r="M2868" s="77">
        <f t="shared" si="1064"/>
        <v>0</v>
      </c>
      <c r="N2868" s="76">
        <f t="shared" si="1065"/>
        <v>1.03</v>
      </c>
      <c r="O2868" s="77">
        <f t="shared" si="1066"/>
        <v>0.92932166301969366</v>
      </c>
      <c r="P2868" s="76">
        <f t="shared" si="1067"/>
        <v>0</v>
      </c>
      <c r="Q2868" s="76">
        <f t="shared" si="1068"/>
        <v>8.3333333333333329E-2</v>
      </c>
      <c r="R2868" s="76">
        <f t="shared" si="1069"/>
        <v>0.91666666666666663</v>
      </c>
      <c r="S2868" s="76">
        <f t="shared" si="1070"/>
        <v>1.0404362096850917</v>
      </c>
      <c r="T2868" s="76">
        <f t="shared" si="1071"/>
        <v>1.0225525639805919</v>
      </c>
      <c r="U2868" s="76">
        <f t="shared" si="1072"/>
        <v>1.03</v>
      </c>
    </row>
    <row r="2869" spans="1:21" x14ac:dyDescent="0.25">
      <c r="A2869" s="71">
        <v>37</v>
      </c>
      <c r="B2869" s="72">
        <f t="shared" si="1073"/>
        <v>46753</v>
      </c>
      <c r="C2869" s="73">
        <f t="shared" si="1054"/>
        <v>46783</v>
      </c>
      <c r="D2869" s="67">
        <f t="shared" si="1055"/>
        <v>31</v>
      </c>
      <c r="E2869" s="67">
        <f t="shared" si="1056"/>
        <v>1</v>
      </c>
      <c r="F2869" s="74">
        <f t="shared" si="1057"/>
        <v>46768.5</v>
      </c>
      <c r="G2869" s="67">
        <f t="shared" si="1058"/>
        <v>24336</v>
      </c>
      <c r="H2869" s="75">
        <f t="shared" si="1059"/>
        <v>1</v>
      </c>
      <c r="I2869" s="76">
        <f t="shared" si="1060"/>
        <v>1.03</v>
      </c>
      <c r="J2869" s="76">
        <f t="shared" si="1061"/>
        <v>1.03</v>
      </c>
      <c r="K2869" s="67">
        <f t="shared" si="1062"/>
        <v>0</v>
      </c>
      <c r="L2869" s="67">
        <f t="shared" si="1063"/>
        <v>0</v>
      </c>
      <c r="M2869" s="77">
        <f t="shared" si="1064"/>
        <v>0</v>
      </c>
      <c r="N2869" s="76">
        <f t="shared" si="1065"/>
        <v>1.03</v>
      </c>
      <c r="O2869" s="77">
        <f t="shared" si="1066"/>
        <v>0.93</v>
      </c>
      <c r="P2869" s="76">
        <f t="shared" si="1067"/>
        <v>0</v>
      </c>
      <c r="Q2869" s="76">
        <f t="shared" si="1068"/>
        <v>0</v>
      </c>
      <c r="R2869" s="76">
        <f t="shared" si="1069"/>
        <v>1</v>
      </c>
      <c r="S2869" s="76">
        <f t="shared" si="1070"/>
        <v>1.0411956521739132</v>
      </c>
      <c r="T2869" s="76">
        <f t="shared" si="1071"/>
        <v>0.97688136238226619</v>
      </c>
      <c r="U2869" s="76">
        <f t="shared" si="1072"/>
        <v>1.03</v>
      </c>
    </row>
    <row r="2870" spans="1:21" x14ac:dyDescent="0.25">
      <c r="A2870" s="71">
        <v>38</v>
      </c>
      <c r="B2870" s="72">
        <f t="shared" si="1073"/>
        <v>46784</v>
      </c>
      <c r="C2870" s="73">
        <f t="shared" si="1054"/>
        <v>46812</v>
      </c>
      <c r="D2870" s="67">
        <f t="shared" si="1055"/>
        <v>29</v>
      </c>
      <c r="E2870" s="67">
        <f t="shared" si="1056"/>
        <v>2</v>
      </c>
      <c r="F2870" s="74">
        <f t="shared" si="1057"/>
        <v>46798.5</v>
      </c>
      <c r="G2870" s="67">
        <f t="shared" si="1058"/>
        <v>24337</v>
      </c>
      <c r="H2870" s="75">
        <f t="shared" si="1059"/>
        <v>1</v>
      </c>
      <c r="I2870" s="76">
        <f t="shared" si="1060"/>
        <v>1.03</v>
      </c>
      <c r="J2870" s="76">
        <f t="shared" si="1061"/>
        <v>1.03</v>
      </c>
      <c r="K2870" s="67">
        <f t="shared" si="1062"/>
        <v>0</v>
      </c>
      <c r="L2870" s="67">
        <f t="shared" si="1063"/>
        <v>0</v>
      </c>
      <c r="M2870" s="77">
        <f t="shared" si="1064"/>
        <v>0</v>
      </c>
      <c r="N2870" s="76">
        <f t="shared" si="1065"/>
        <v>1.03</v>
      </c>
      <c r="O2870" s="77">
        <f t="shared" si="1066"/>
        <v>0.93</v>
      </c>
      <c r="P2870" s="76">
        <f t="shared" si="1067"/>
        <v>0</v>
      </c>
      <c r="Q2870" s="76">
        <f t="shared" si="1068"/>
        <v>0</v>
      </c>
      <c r="R2870" s="76">
        <f t="shared" si="1069"/>
        <v>1</v>
      </c>
      <c r="S2870" s="76">
        <f t="shared" si="1070"/>
        <v>1.0411956521739132</v>
      </c>
      <c r="T2870" s="76">
        <f t="shared" si="1071"/>
        <v>0.97828465417181998</v>
      </c>
      <c r="U2870" s="76">
        <f t="shared" si="1072"/>
        <v>1.03</v>
      </c>
    </row>
    <row r="2871" spans="1:21" x14ac:dyDescent="0.25">
      <c r="A2871" s="71">
        <v>39</v>
      </c>
      <c r="B2871" s="72">
        <f t="shared" si="1073"/>
        <v>46813</v>
      </c>
      <c r="C2871" s="73">
        <f t="shared" si="1054"/>
        <v>46843</v>
      </c>
      <c r="D2871" s="67">
        <f t="shared" si="1055"/>
        <v>31</v>
      </c>
      <c r="E2871" s="67">
        <f t="shared" si="1056"/>
        <v>3</v>
      </c>
      <c r="F2871" s="74">
        <f t="shared" si="1057"/>
        <v>46828.5</v>
      </c>
      <c r="G2871" s="67">
        <f t="shared" si="1058"/>
        <v>24338</v>
      </c>
      <c r="H2871" s="75">
        <f t="shared" si="1059"/>
        <v>1</v>
      </c>
      <c r="I2871" s="76">
        <f t="shared" si="1060"/>
        <v>1.03</v>
      </c>
      <c r="J2871" s="76">
        <f t="shared" si="1061"/>
        <v>1.03</v>
      </c>
      <c r="K2871" s="67">
        <f t="shared" si="1062"/>
        <v>0</v>
      </c>
      <c r="L2871" s="67">
        <f t="shared" si="1063"/>
        <v>0</v>
      </c>
      <c r="M2871" s="77">
        <f t="shared" si="1064"/>
        <v>0</v>
      </c>
      <c r="N2871" s="76">
        <f t="shared" si="1065"/>
        <v>1.03</v>
      </c>
      <c r="O2871" s="77">
        <f t="shared" si="1066"/>
        <v>0.93</v>
      </c>
      <c r="P2871" s="76">
        <f t="shared" si="1067"/>
        <v>0</v>
      </c>
      <c r="Q2871" s="76">
        <f t="shared" si="1068"/>
        <v>0</v>
      </c>
      <c r="R2871" s="76">
        <f t="shared" si="1069"/>
        <v>1</v>
      </c>
      <c r="S2871" s="76">
        <f t="shared" si="1070"/>
        <v>1.0411956521739132</v>
      </c>
      <c r="T2871" s="76">
        <f t="shared" si="1071"/>
        <v>0.97968794596137376</v>
      </c>
      <c r="U2871" s="76">
        <f t="shared" si="1072"/>
        <v>1.03</v>
      </c>
    </row>
    <row r="2872" spans="1:21" x14ac:dyDescent="0.25">
      <c r="A2872" s="71">
        <v>40</v>
      </c>
      <c r="B2872" s="72">
        <f t="shared" si="1073"/>
        <v>46844</v>
      </c>
      <c r="C2872" s="73">
        <f t="shared" si="1054"/>
        <v>46873</v>
      </c>
      <c r="D2872" s="67">
        <f t="shared" si="1055"/>
        <v>30</v>
      </c>
      <c r="E2872" s="67">
        <f t="shared" si="1056"/>
        <v>4</v>
      </c>
      <c r="F2872" s="74">
        <f t="shared" si="1057"/>
        <v>46859</v>
      </c>
      <c r="G2872" s="67">
        <f t="shared" si="1058"/>
        <v>24339</v>
      </c>
      <c r="H2872" s="75">
        <f t="shared" si="1059"/>
        <v>1</v>
      </c>
      <c r="I2872" s="76">
        <f t="shared" si="1060"/>
        <v>1.03</v>
      </c>
      <c r="J2872" s="76">
        <f t="shared" si="1061"/>
        <v>1.03</v>
      </c>
      <c r="K2872" s="67">
        <f t="shared" si="1062"/>
        <v>0</v>
      </c>
      <c r="L2872" s="67">
        <f t="shared" si="1063"/>
        <v>0</v>
      </c>
      <c r="M2872" s="77">
        <f t="shared" si="1064"/>
        <v>0</v>
      </c>
      <c r="N2872" s="76">
        <f t="shared" si="1065"/>
        <v>1.03</v>
      </c>
      <c r="O2872" s="77">
        <f t="shared" si="1066"/>
        <v>0.93</v>
      </c>
      <c r="P2872" s="76">
        <f t="shared" si="1067"/>
        <v>0</v>
      </c>
      <c r="Q2872" s="76">
        <f t="shared" si="1068"/>
        <v>0</v>
      </c>
      <c r="R2872" s="76">
        <f t="shared" si="1069"/>
        <v>1</v>
      </c>
      <c r="S2872" s="76">
        <f t="shared" si="1070"/>
        <v>1.0411956521739132</v>
      </c>
      <c r="T2872" s="76">
        <f t="shared" si="1071"/>
        <v>1.0105729711730569</v>
      </c>
      <c r="U2872" s="76">
        <f t="shared" si="1072"/>
        <v>1.03</v>
      </c>
    </row>
    <row r="2873" spans="1:21" x14ac:dyDescent="0.25">
      <c r="A2873" s="71">
        <v>41</v>
      </c>
      <c r="B2873" s="72">
        <f t="shared" si="1073"/>
        <v>46874</v>
      </c>
      <c r="C2873" s="73">
        <f t="shared" si="1054"/>
        <v>46904</v>
      </c>
      <c r="D2873" s="67">
        <f t="shared" si="1055"/>
        <v>31</v>
      </c>
      <c r="E2873" s="67">
        <f t="shared" si="1056"/>
        <v>5</v>
      </c>
      <c r="F2873" s="74">
        <f t="shared" si="1057"/>
        <v>46889.5</v>
      </c>
      <c r="G2873" s="67">
        <f t="shared" si="1058"/>
        <v>24340</v>
      </c>
      <c r="H2873" s="75">
        <f t="shared" si="1059"/>
        <v>1</v>
      </c>
      <c r="I2873" s="76">
        <f t="shared" si="1060"/>
        <v>1.03</v>
      </c>
      <c r="J2873" s="76">
        <f t="shared" si="1061"/>
        <v>1.03</v>
      </c>
      <c r="K2873" s="67">
        <f t="shared" si="1062"/>
        <v>0</v>
      </c>
      <c r="L2873" s="67">
        <f t="shared" si="1063"/>
        <v>0</v>
      </c>
      <c r="M2873" s="77">
        <f t="shared" si="1064"/>
        <v>0</v>
      </c>
      <c r="N2873" s="76">
        <f t="shared" si="1065"/>
        <v>1.03</v>
      </c>
      <c r="O2873" s="77">
        <f t="shared" si="1066"/>
        <v>0.93</v>
      </c>
      <c r="P2873" s="76">
        <f t="shared" si="1067"/>
        <v>0</v>
      </c>
      <c r="Q2873" s="76">
        <f t="shared" si="1068"/>
        <v>0</v>
      </c>
      <c r="R2873" s="76">
        <f t="shared" si="1069"/>
        <v>1</v>
      </c>
      <c r="S2873" s="76">
        <f t="shared" si="1070"/>
        <v>1.0411956521739132</v>
      </c>
      <c r="T2873" s="76">
        <f t="shared" si="1071"/>
        <v>1.0120673580058985</v>
      </c>
      <c r="U2873" s="76">
        <f t="shared" si="1072"/>
        <v>1.03</v>
      </c>
    </row>
    <row r="2874" spans="1:21" x14ac:dyDescent="0.25">
      <c r="A2874" s="71">
        <v>42</v>
      </c>
      <c r="B2874" s="72">
        <f t="shared" si="1073"/>
        <v>46905</v>
      </c>
      <c r="C2874" s="73">
        <f t="shared" si="1054"/>
        <v>46934</v>
      </c>
      <c r="D2874" s="67">
        <f t="shared" si="1055"/>
        <v>30</v>
      </c>
      <c r="E2874" s="67">
        <f t="shared" si="1056"/>
        <v>6</v>
      </c>
      <c r="F2874" s="74">
        <f t="shared" si="1057"/>
        <v>46920</v>
      </c>
      <c r="G2874" s="67">
        <f t="shared" si="1058"/>
        <v>24341</v>
      </c>
      <c r="H2874" s="75">
        <f t="shared" si="1059"/>
        <v>1</v>
      </c>
      <c r="I2874" s="76">
        <f t="shared" si="1060"/>
        <v>1.03</v>
      </c>
      <c r="J2874" s="76">
        <f t="shared" si="1061"/>
        <v>1.03</v>
      </c>
      <c r="K2874" s="67">
        <f t="shared" si="1062"/>
        <v>0</v>
      </c>
      <c r="L2874" s="67">
        <f t="shared" si="1063"/>
        <v>0</v>
      </c>
      <c r="M2874" s="77">
        <f t="shared" si="1064"/>
        <v>0</v>
      </c>
      <c r="N2874" s="76">
        <f t="shared" si="1065"/>
        <v>1.03</v>
      </c>
      <c r="O2874" s="77">
        <f t="shared" si="1066"/>
        <v>0.93</v>
      </c>
      <c r="P2874" s="76">
        <f t="shared" si="1067"/>
        <v>0</v>
      </c>
      <c r="Q2874" s="76">
        <f t="shared" si="1068"/>
        <v>0</v>
      </c>
      <c r="R2874" s="76">
        <f t="shared" si="1069"/>
        <v>1</v>
      </c>
      <c r="S2874" s="76">
        <f t="shared" si="1070"/>
        <v>1.0411956521739132</v>
      </c>
      <c r="T2874" s="76">
        <f t="shared" si="1071"/>
        <v>1.0135617448387404</v>
      </c>
      <c r="U2874" s="76">
        <f t="shared" si="1072"/>
        <v>1.03</v>
      </c>
    </row>
    <row r="2875" spans="1:21" x14ac:dyDescent="0.25">
      <c r="A2875" s="71">
        <v>43</v>
      </c>
      <c r="B2875" s="72">
        <f t="shared" si="1073"/>
        <v>46935</v>
      </c>
      <c r="C2875" s="73">
        <f t="shared" si="1054"/>
        <v>46965</v>
      </c>
      <c r="D2875" s="67">
        <f t="shared" si="1055"/>
        <v>31</v>
      </c>
      <c r="E2875" s="67">
        <f t="shared" si="1056"/>
        <v>7</v>
      </c>
      <c r="F2875" s="74">
        <f t="shared" si="1057"/>
        <v>46950.5</v>
      </c>
      <c r="G2875" s="67">
        <f t="shared" si="1058"/>
        <v>24342</v>
      </c>
      <c r="H2875" s="75">
        <f t="shared" si="1059"/>
        <v>1</v>
      </c>
      <c r="I2875" s="76">
        <f t="shared" si="1060"/>
        <v>1.03</v>
      </c>
      <c r="J2875" s="76">
        <f t="shared" si="1061"/>
        <v>1.03</v>
      </c>
      <c r="K2875" s="67">
        <f t="shared" si="1062"/>
        <v>0</v>
      </c>
      <c r="L2875" s="67">
        <f t="shared" si="1063"/>
        <v>0</v>
      </c>
      <c r="M2875" s="77">
        <f t="shared" si="1064"/>
        <v>0</v>
      </c>
      <c r="N2875" s="76">
        <f t="shared" si="1065"/>
        <v>1.03</v>
      </c>
      <c r="O2875" s="77">
        <f t="shared" si="1066"/>
        <v>0.93</v>
      </c>
      <c r="P2875" s="76">
        <f t="shared" si="1067"/>
        <v>0</v>
      </c>
      <c r="Q2875" s="76">
        <f t="shared" si="1068"/>
        <v>0</v>
      </c>
      <c r="R2875" s="76">
        <f t="shared" si="1069"/>
        <v>0.91666666666666663</v>
      </c>
      <c r="S2875" s="76">
        <f t="shared" si="1070"/>
        <v>1.0411956521739132</v>
      </c>
      <c r="T2875" s="76">
        <f t="shared" si="1071"/>
        <v>1.015056131671582</v>
      </c>
      <c r="U2875" s="76">
        <f t="shared" si="1072"/>
        <v>1.03</v>
      </c>
    </row>
    <row r="2876" spans="1:21" x14ac:dyDescent="0.25">
      <c r="A2876" s="71">
        <v>44</v>
      </c>
      <c r="B2876" s="72">
        <f t="shared" si="1073"/>
        <v>46966</v>
      </c>
      <c r="C2876" s="73">
        <f t="shared" si="1054"/>
        <v>46996</v>
      </c>
      <c r="D2876" s="67">
        <f t="shared" si="1055"/>
        <v>31</v>
      </c>
      <c r="E2876" s="67">
        <f t="shared" si="1056"/>
        <v>8</v>
      </c>
      <c r="F2876" s="74">
        <f t="shared" si="1057"/>
        <v>46981.5</v>
      </c>
      <c r="G2876" s="67">
        <f t="shared" si="1058"/>
        <v>24343</v>
      </c>
      <c r="H2876" s="75">
        <f t="shared" si="1059"/>
        <v>1</v>
      </c>
      <c r="I2876" s="76">
        <f t="shared" si="1060"/>
        <v>1.03</v>
      </c>
      <c r="J2876" s="76">
        <f t="shared" si="1061"/>
        <v>1.03</v>
      </c>
      <c r="K2876" s="67">
        <f t="shared" si="1062"/>
        <v>0</v>
      </c>
      <c r="L2876" s="67">
        <f t="shared" si="1063"/>
        <v>0</v>
      </c>
      <c r="M2876" s="77">
        <f t="shared" si="1064"/>
        <v>0</v>
      </c>
      <c r="N2876" s="76">
        <f t="shared" si="1065"/>
        <v>1.03</v>
      </c>
      <c r="O2876" s="77">
        <f t="shared" si="1066"/>
        <v>0.93</v>
      </c>
      <c r="P2876" s="76">
        <f t="shared" si="1067"/>
        <v>0</v>
      </c>
      <c r="Q2876" s="76">
        <f t="shared" si="1068"/>
        <v>0</v>
      </c>
      <c r="R2876" s="76">
        <f t="shared" si="1069"/>
        <v>0.75</v>
      </c>
      <c r="S2876" s="76">
        <f t="shared" si="1070"/>
        <v>1.0411956521739132</v>
      </c>
      <c r="T2876" s="76">
        <f t="shared" si="1071"/>
        <v>1.0165750166492247</v>
      </c>
      <c r="U2876" s="76">
        <f t="shared" si="1072"/>
        <v>1.03</v>
      </c>
    </row>
    <row r="2877" spans="1:21" x14ac:dyDescent="0.25">
      <c r="A2877" s="71">
        <v>45</v>
      </c>
      <c r="B2877" s="72">
        <f t="shared" si="1073"/>
        <v>46997</v>
      </c>
      <c r="C2877" s="73">
        <f t="shared" si="1054"/>
        <v>47026</v>
      </c>
      <c r="D2877" s="67">
        <f t="shared" si="1055"/>
        <v>30</v>
      </c>
      <c r="E2877" s="67">
        <f t="shared" si="1056"/>
        <v>9</v>
      </c>
      <c r="F2877" s="74">
        <f t="shared" si="1057"/>
        <v>47012</v>
      </c>
      <c r="G2877" s="67">
        <f t="shared" si="1058"/>
        <v>24344</v>
      </c>
      <c r="H2877" s="75">
        <f t="shared" si="1059"/>
        <v>1</v>
      </c>
      <c r="I2877" s="76">
        <f t="shared" si="1060"/>
        <v>1.03</v>
      </c>
      <c r="J2877" s="76">
        <f t="shared" si="1061"/>
        <v>1.03</v>
      </c>
      <c r="K2877" s="67">
        <f t="shared" si="1062"/>
        <v>0</v>
      </c>
      <c r="L2877" s="67">
        <f t="shared" si="1063"/>
        <v>0</v>
      </c>
      <c r="M2877" s="77">
        <f t="shared" si="1064"/>
        <v>0</v>
      </c>
      <c r="N2877" s="76">
        <f t="shared" si="1065"/>
        <v>1.03</v>
      </c>
      <c r="O2877" s="77">
        <f t="shared" si="1066"/>
        <v>0.93</v>
      </c>
      <c r="P2877" s="76">
        <f t="shared" si="1067"/>
        <v>0</v>
      </c>
      <c r="Q2877" s="76">
        <f t="shared" si="1068"/>
        <v>0</v>
      </c>
      <c r="R2877" s="76">
        <f t="shared" si="1069"/>
        <v>0.58333333333333337</v>
      </c>
      <c r="S2877" s="76">
        <f t="shared" si="1070"/>
        <v>1.0411956521739132</v>
      </c>
      <c r="T2877" s="76">
        <f t="shared" si="1071"/>
        <v>1.0180694034820663</v>
      </c>
      <c r="U2877" s="76">
        <f t="shared" si="1072"/>
        <v>1.03</v>
      </c>
    </row>
    <row r="2878" spans="1:21" x14ac:dyDescent="0.25">
      <c r="A2878" s="71">
        <v>46</v>
      </c>
      <c r="B2878" s="72">
        <f t="shared" si="1073"/>
        <v>47027</v>
      </c>
      <c r="C2878" s="73">
        <f t="shared" si="1054"/>
        <v>47057</v>
      </c>
      <c r="D2878" s="67">
        <f t="shared" si="1055"/>
        <v>31</v>
      </c>
      <c r="E2878" s="67">
        <f t="shared" si="1056"/>
        <v>10</v>
      </c>
      <c r="F2878" s="74">
        <f t="shared" si="1057"/>
        <v>47042.5</v>
      </c>
      <c r="G2878" s="67">
        <f t="shared" si="1058"/>
        <v>24345</v>
      </c>
      <c r="H2878" s="75">
        <f t="shared" si="1059"/>
        <v>1</v>
      </c>
      <c r="I2878" s="76">
        <f t="shared" si="1060"/>
        <v>1.03</v>
      </c>
      <c r="J2878" s="76">
        <f t="shared" si="1061"/>
        <v>1.03</v>
      </c>
      <c r="K2878" s="67">
        <f t="shared" si="1062"/>
        <v>0</v>
      </c>
      <c r="L2878" s="67">
        <f t="shared" si="1063"/>
        <v>0</v>
      </c>
      <c r="M2878" s="77">
        <f t="shared" si="1064"/>
        <v>0</v>
      </c>
      <c r="N2878" s="76">
        <f t="shared" si="1065"/>
        <v>1.03</v>
      </c>
      <c r="O2878" s="77">
        <f t="shared" si="1066"/>
        <v>0.93</v>
      </c>
      <c r="P2878" s="76">
        <f t="shared" si="1067"/>
        <v>0</v>
      </c>
      <c r="Q2878" s="76">
        <f t="shared" si="1068"/>
        <v>0</v>
      </c>
      <c r="R2878" s="76">
        <f t="shared" si="1069"/>
        <v>0.41666666666666669</v>
      </c>
      <c r="S2878" s="76">
        <f t="shared" si="1070"/>
        <v>1.0411956521739132</v>
      </c>
      <c r="T2878" s="76">
        <f t="shared" si="1071"/>
        <v>1.0195637903149082</v>
      </c>
      <c r="U2878" s="76">
        <f t="shared" si="1072"/>
        <v>1.03</v>
      </c>
    </row>
    <row r="2879" spans="1:21" x14ac:dyDescent="0.25">
      <c r="A2879" s="71">
        <v>47</v>
      </c>
      <c r="B2879" s="72">
        <f t="shared" si="1073"/>
        <v>47058</v>
      </c>
      <c r="C2879" s="73">
        <f t="shared" si="1054"/>
        <v>47087</v>
      </c>
      <c r="D2879" s="67">
        <f t="shared" si="1055"/>
        <v>30</v>
      </c>
      <c r="E2879" s="67">
        <f t="shared" si="1056"/>
        <v>11</v>
      </c>
      <c r="F2879" s="74">
        <f t="shared" si="1057"/>
        <v>47073</v>
      </c>
      <c r="G2879" s="67">
        <f t="shared" si="1058"/>
        <v>24346</v>
      </c>
      <c r="H2879" s="75">
        <f t="shared" si="1059"/>
        <v>1</v>
      </c>
      <c r="I2879" s="76">
        <f t="shared" si="1060"/>
        <v>1.03</v>
      </c>
      <c r="J2879" s="76">
        <f t="shared" si="1061"/>
        <v>1.03</v>
      </c>
      <c r="K2879" s="67">
        <f t="shared" si="1062"/>
        <v>0</v>
      </c>
      <c r="L2879" s="67">
        <f t="shared" si="1063"/>
        <v>0</v>
      </c>
      <c r="M2879" s="77">
        <f t="shared" si="1064"/>
        <v>0</v>
      </c>
      <c r="N2879" s="76">
        <f t="shared" si="1065"/>
        <v>1.03</v>
      </c>
      <c r="O2879" s="77">
        <f t="shared" si="1066"/>
        <v>0.93</v>
      </c>
      <c r="P2879" s="76">
        <f t="shared" si="1067"/>
        <v>0</v>
      </c>
      <c r="Q2879" s="76">
        <f t="shared" si="1068"/>
        <v>0</v>
      </c>
      <c r="R2879" s="76">
        <f t="shared" si="1069"/>
        <v>0.25</v>
      </c>
      <c r="S2879" s="76">
        <f t="shared" si="1070"/>
        <v>1.0411956521739132</v>
      </c>
      <c r="T2879" s="76">
        <f t="shared" si="1071"/>
        <v>1.02105817714775</v>
      </c>
      <c r="U2879" s="76">
        <f t="shared" si="1072"/>
        <v>1.03</v>
      </c>
    </row>
    <row r="2880" spans="1:21" x14ac:dyDescent="0.25">
      <c r="A2880" s="71">
        <v>48</v>
      </c>
      <c r="B2880" s="72">
        <f t="shared" si="1073"/>
        <v>47088</v>
      </c>
      <c r="C2880" s="73">
        <f t="shared" si="1054"/>
        <v>47118</v>
      </c>
      <c r="D2880" s="67">
        <f t="shared" si="1055"/>
        <v>31</v>
      </c>
      <c r="E2880" s="67">
        <f t="shared" si="1056"/>
        <v>12</v>
      </c>
      <c r="F2880" s="74">
        <f t="shared" si="1057"/>
        <v>47103.5</v>
      </c>
      <c r="G2880" s="67">
        <f t="shared" si="1058"/>
        <v>24347</v>
      </c>
      <c r="H2880" s="75">
        <f t="shared" si="1059"/>
        <v>1</v>
      </c>
      <c r="I2880" s="76">
        <f t="shared" si="1060"/>
        <v>1.03</v>
      </c>
      <c r="J2880" s="76">
        <f t="shared" si="1061"/>
        <v>1.03</v>
      </c>
      <c r="K2880" s="67">
        <f t="shared" si="1062"/>
        <v>0</v>
      </c>
      <c r="L2880" s="67">
        <f t="shared" si="1063"/>
        <v>0</v>
      </c>
      <c r="M2880" s="77">
        <f t="shared" si="1064"/>
        <v>0</v>
      </c>
      <c r="N2880" s="76">
        <f t="shared" si="1065"/>
        <v>1.03</v>
      </c>
      <c r="O2880" s="77">
        <f t="shared" si="1066"/>
        <v>0.93</v>
      </c>
      <c r="P2880" s="76">
        <f t="shared" si="1067"/>
        <v>0</v>
      </c>
      <c r="Q2880" s="76">
        <f t="shared" si="1068"/>
        <v>0</v>
      </c>
      <c r="R2880" s="76">
        <f t="shared" si="1069"/>
        <v>8.3333333333333329E-2</v>
      </c>
      <c r="S2880" s="76">
        <f t="shared" si="1070"/>
        <v>1.0411956521739132</v>
      </c>
      <c r="T2880" s="76">
        <f t="shared" si="1071"/>
        <v>1.0225525639805919</v>
      </c>
      <c r="U2880" s="76">
        <f t="shared" si="1072"/>
        <v>1.03</v>
      </c>
    </row>
    <row r="2881" spans="1:21" x14ac:dyDescent="0.25">
      <c r="A2881" s="81" t="s">
        <v>1187</v>
      </c>
      <c r="B2881" s="53">
        <f>EXP(SUMPRODUCT((rl_key=$A$2830)*(rl_cons="Y")*rl_ln1p))</f>
        <v>1.03</v>
      </c>
      <c r="C2881" s="53">
        <f>SUMPRODUCT($H$2833:$H$2880,$P$2833:$P$2880,$U$2833:$U$2880)/SUMPRODUCT($H$2833:$H$2880,$P$2833:$P$2880)</f>
        <v>1.0149999999999999</v>
      </c>
      <c r="D2881" s="53">
        <f>SUMPRODUCT($H$2833:$H$2880,$Q$2833:$Q$2880,$U$2833:$U$2880)/SUMPRODUCT($H$2833:$H$2880,$Q$2833:$Q$2880)</f>
        <v>1.03</v>
      </c>
      <c r="E2881" s="53">
        <f>SUMPRODUCT($H$2833:$H$2880,$R$2833:$R$2880,$U$2833:$U$2880)/SUMPRODUCT($H$2833:$H$2880,$R$2833:$R$2880)</f>
        <v>1.03</v>
      </c>
      <c r="F2881" s="172">
        <f>SUMPRODUCT($H$2833:$H$2880,$Q$2833:$Q$2880,$O$2833:$O$2880)/SUMPRODUCT($H$2833:$H$2880,$Q$2833:$Q$2880)</f>
        <v>0.91798504741064912</v>
      </c>
      <c r="G2881" s="172">
        <f>SUMPRODUCT($H$2833:$H$2880,$R$2833:$R$2880,$O$2833:$O$2880)/SUMPRODUCT($H$2833:$H$2880,$R$2833:$R$2880)</f>
        <v>0.92932044736202268</v>
      </c>
    </row>
    <row r="2884" spans="1:21" x14ac:dyDescent="0.25">
      <c r="A2884" s="81" t="str">
        <f>INDEX(lr_key,53)</f>
        <v>BU-C|MD</v>
      </c>
      <c r="B2884" s="81" t="str">
        <f>INDEX(lr_state,53)</f>
        <v>MD</v>
      </c>
      <c r="C2884" s="55">
        <f>nr_TermMonths</f>
        <v>6</v>
      </c>
      <c r="D2884" s="55">
        <f>IF(COUNTIF(se_state,$B2884)=0,0,MATCH($B2884,se_state,0))</f>
        <v>0</v>
      </c>
      <c r="E2884" s="57">
        <f>IF($D2884=0,0,INDEX(se_sum,$D2884))</f>
        <v>0</v>
      </c>
      <c r="F2884" s="172">
        <f>IF(N(INDEX(lr_mind,53))=0,1,INDEX(lr_mind,53))</f>
        <v>0.92</v>
      </c>
      <c r="G2884" s="172">
        <f>IF(N(INDEX(lr_m0,53))=0,1,INDEX(lr_m0,53))</f>
        <v>0.91</v>
      </c>
      <c r="H2884" s="54">
        <f>IF(N(INDEX(lr_m0asof,53))=0,DATE(nr_PlanYear-1,10,1),INDEX(lr_m0asof,53))</f>
        <v>46295</v>
      </c>
      <c r="I2884" s="172">
        <f>IF(N(INDEX(lr_m1,53))=0,1,INDEX(lr_m1,53))</f>
        <v>0.91</v>
      </c>
      <c r="J2884" s="172">
        <f>INDEX(lr_mprior,53)</f>
        <v>0</v>
      </c>
      <c r="K2884" s="172">
        <f>INDEX(lr_m2,53)</f>
        <v>0</v>
      </c>
      <c r="L2884" s="81" t="b">
        <f>NOT(ISBLANK(INDEX(lr_netp,53)))</f>
        <v>0</v>
      </c>
      <c r="M2884" s="52">
        <f>N(INDEX(lr_netp,53))</f>
        <v>0</v>
      </c>
      <c r="N2884" s="52">
        <f>IF(ISBLANK(INDEX(lr_netp1,53)),$M$2884,N(INDEX(lr_netp1,53)))</f>
        <v>0</v>
      </c>
      <c r="O2884" s="55">
        <f>IF(AND(nr_ModAdjMaster="ON",INDEX(lr_modadj,53)="ON"),1,0)</f>
        <v>1</v>
      </c>
    </row>
    <row r="2885" spans="1:21" x14ac:dyDescent="0.25">
      <c r="A2885" s="81">
        <f>EDATE($H$2884,-12)+1</f>
        <v>45931</v>
      </c>
      <c r="B2885" s="81">
        <f>$H$2884+1</f>
        <v>46296</v>
      </c>
      <c r="C2885" s="81">
        <f>DATE(nr_PlanYear,12,31)+1</f>
        <v>46753</v>
      </c>
      <c r="D2885" s="81">
        <f>DATE(nr_PlanYear+1,12,31)+1</f>
        <v>47119</v>
      </c>
      <c r="E2885" s="81">
        <f>IF(N($J$2884)=0,$F$2885-($G$2885-$F$2885)/($C$2885-$B$2885)*($B$2885-$A$2885),$J$2884)</f>
        <v>0.91</v>
      </c>
      <c r="F2885" s="81">
        <f>$G$2884</f>
        <v>0.91</v>
      </c>
      <c r="G2885" s="81">
        <f>$I$2884</f>
        <v>0.91</v>
      </c>
      <c r="H2885" s="81">
        <f>IF(N($K$2884)=0,$I$2884,$K$2884)</f>
        <v>0.91</v>
      </c>
      <c r="I2885" s="81">
        <f>($F$2885-$E$2885)/($B$2885-$A$2885)</f>
        <v>0</v>
      </c>
      <c r="J2885" s="81">
        <f>($G$2885-$F$2885)/($C$2885-$B$2885)</f>
        <v>0</v>
      </c>
      <c r="K2885" s="81">
        <f>($H$2885-$G$2885)/($D$2885-$C$2885)</f>
        <v>0</v>
      </c>
    </row>
    <row r="2886" spans="1:21" ht="36" x14ac:dyDescent="0.25">
      <c r="A2886" s="50" t="s">
        <v>211</v>
      </c>
      <c r="B2886" s="50" t="s">
        <v>212</v>
      </c>
      <c r="C2886" s="50" t="s">
        <v>213</v>
      </c>
      <c r="D2886" s="50" t="s">
        <v>214</v>
      </c>
      <c r="E2886" s="50" t="s">
        <v>215</v>
      </c>
      <c r="F2886" s="50" t="s">
        <v>216</v>
      </c>
      <c r="G2886" s="50" t="s">
        <v>217</v>
      </c>
      <c r="H2886" s="50" t="s">
        <v>218</v>
      </c>
      <c r="I2886" s="50" t="s">
        <v>219</v>
      </c>
      <c r="J2886" s="50" t="s">
        <v>220</v>
      </c>
      <c r="K2886" s="50" t="s">
        <v>221</v>
      </c>
      <c r="L2886" s="50" t="s">
        <v>222</v>
      </c>
      <c r="M2886" s="50" t="s">
        <v>223</v>
      </c>
      <c r="N2886" s="50" t="s">
        <v>224</v>
      </c>
      <c r="O2886" s="50" t="s">
        <v>225</v>
      </c>
      <c r="P2886" s="50" t="s">
        <v>226</v>
      </c>
      <c r="Q2886" s="50" t="s">
        <v>227</v>
      </c>
      <c r="R2886" s="50" t="s">
        <v>228</v>
      </c>
      <c r="S2886" s="50" t="s">
        <v>229</v>
      </c>
      <c r="T2886" s="50" t="s">
        <v>230</v>
      </c>
      <c r="U2886" s="50" t="s">
        <v>231</v>
      </c>
    </row>
    <row r="2887" spans="1:21" x14ac:dyDescent="0.25">
      <c r="A2887" s="71">
        <v>1</v>
      </c>
      <c r="B2887" s="72">
        <f>DATE(nr_PlanYear-2,1,1)</f>
        <v>45658</v>
      </c>
      <c r="C2887" s="73">
        <f t="shared" ref="C2887:C2934" si="1074">EOMONTH($B2887,0)</f>
        <v>45688</v>
      </c>
      <c r="D2887" s="67">
        <f t="shared" ref="D2887:D2934" si="1075">$C2887-$B2887+1</f>
        <v>31</v>
      </c>
      <c r="E2887" s="67">
        <f t="shared" ref="E2887:E2934" si="1076">MONTH($B2887)</f>
        <v>1</v>
      </c>
      <c r="F2887" s="74">
        <f t="shared" ref="F2887:F2934" si="1077">($B2887+$C2887+1)/2</f>
        <v>45673.5</v>
      </c>
      <c r="G2887" s="67">
        <f t="shared" ref="G2887:G2934" si="1078">YEAR($B2887)*12+MONTH($B2887)-1</f>
        <v>24300</v>
      </c>
      <c r="H2887" s="75">
        <f t="shared" ref="H2887:H2934" si="1079">IF(OR(nr_SeasonOn="OFF",$D$2884=0,$E$2884=0),1,12*INDEX(se_block,$D$2884,$E2887)/$E$2884)</f>
        <v>1</v>
      </c>
      <c r="I2887" s="76">
        <f t="shared" ref="I2887:I2934" si="1080">EXP(SUMPRODUCT((rl_eff&lt;$B2887)*(rl_key=$A$2884)*rl_ln1p))</f>
        <v>1</v>
      </c>
      <c r="J2887" s="76">
        <f t="shared" ref="J2887:J2934" si="1081">EXP(SUMPRODUCT((rl_eff&lt;=$C2887)*(rl_key=$A$2884)*rl_ln1p))</f>
        <v>1</v>
      </c>
      <c r="K2887" s="67">
        <f t="shared" ref="K2887:K2934" si="1082">COUNTIFS(rl_key,$A$2884,rl_eff,"&gt;="&amp;$B2887,rl_eff,"&lt;="&amp;$C2887)</f>
        <v>0</v>
      </c>
      <c r="L2887" s="67">
        <f t="shared" ref="L2887:L2934" si="1083">SUMIFS(rl_daysafter,rl_key,$A$2884,rl_effmonth,$B2887,rl_first,1)</f>
        <v>0</v>
      </c>
      <c r="M2887" s="77">
        <f t="shared" ref="M2887:M2934" si="1084">IF($K2887=0,0,MIN(1,$L2887/$D2887))</f>
        <v>0</v>
      </c>
      <c r="N2887" s="76">
        <f t="shared" ref="N2887:N2934" si="1085">IF($K2887=0,$J2887,(1-$M2887)*$I2887+$M2887*$J2887)</f>
        <v>1</v>
      </c>
      <c r="O2887" s="77">
        <f t="shared" ref="O2887:O2934" si="1086">IF($F2887&lt;$B$2885,$E$2885+$I$2885*($F2887-$A$2885),IF($F2887&lt;$C$2885,$F$2885+$J$2885*($F2887-$B$2885),$G$2885+$K$2885*($F2887-$C$2885)))</f>
        <v>0.91</v>
      </c>
      <c r="P2887" s="76">
        <f t="shared" ref="P2887:P2934" si="1087">MIN(1,MAX(0,(nr_MEndPm1-$G2887+0.5)/$C$2884))-MIN(1,MAX(0,(nr_MStartPm1-1-$G2887+0.5)/$C$2884))</f>
        <v>0</v>
      </c>
      <c r="Q2887" s="76">
        <f t="shared" ref="Q2887:Q2934" si="1088">MIN(1,MAX(0,(nr_MEndP-$G2887+0.5)/$C$2884))-MIN(1,MAX(0,(nr_MStartP-1-$G2887+0.5)/$C$2884))</f>
        <v>0</v>
      </c>
      <c r="R2887" s="76">
        <f t="shared" ref="R2887:R2934" si="1089">MIN(1,MAX(0,(nr_MEndP1-$G2887+0.5)/$C$2884))-MIN(1,MAX(0,(nr_MStartP1-1-$G2887+0.5)/$C$2884))</f>
        <v>0</v>
      </c>
      <c r="S2887" s="76">
        <f t="shared" ref="S2887:S2934" si="1090">$N2887*IF($O$2884=1,$O2887/$F$2884,1)</f>
        <v>0.98913043478260865</v>
      </c>
      <c r="T2887" s="76">
        <f t="shared" ref="T2887:T2934" si="1091">IF($G2887&lt;nr_MStartP,$S2887,$T2875*(1+IF($G2887&lt;nr_MStartP1,$M$2884,$N$2884)))</f>
        <v>0.98913043478260865</v>
      </c>
      <c r="U2887" s="76">
        <f t="shared" ref="U2887:U2934" si="1092">IF($L$2884,$T2887,$N2887)</f>
        <v>1</v>
      </c>
    </row>
    <row r="2888" spans="1:21" x14ac:dyDescent="0.25">
      <c r="A2888" s="71">
        <v>2</v>
      </c>
      <c r="B2888" s="72">
        <f t="shared" ref="B2888:B2934" si="1093">EDATE($B2887,1)</f>
        <v>45689</v>
      </c>
      <c r="C2888" s="73">
        <f t="shared" si="1074"/>
        <v>45716</v>
      </c>
      <c r="D2888" s="67">
        <f t="shared" si="1075"/>
        <v>28</v>
      </c>
      <c r="E2888" s="67">
        <f t="shared" si="1076"/>
        <v>2</v>
      </c>
      <c r="F2888" s="74">
        <f t="shared" si="1077"/>
        <v>45703</v>
      </c>
      <c r="G2888" s="67">
        <f t="shared" si="1078"/>
        <v>24301</v>
      </c>
      <c r="H2888" s="75">
        <f t="shared" si="1079"/>
        <v>1</v>
      </c>
      <c r="I2888" s="76">
        <f t="shared" si="1080"/>
        <v>1</v>
      </c>
      <c r="J2888" s="76">
        <f t="shared" si="1081"/>
        <v>1</v>
      </c>
      <c r="K2888" s="67">
        <f t="shared" si="1082"/>
        <v>0</v>
      </c>
      <c r="L2888" s="67">
        <f t="shared" si="1083"/>
        <v>0</v>
      </c>
      <c r="M2888" s="77">
        <f t="shared" si="1084"/>
        <v>0</v>
      </c>
      <c r="N2888" s="76">
        <f t="shared" si="1085"/>
        <v>1</v>
      </c>
      <c r="O2888" s="77">
        <f t="shared" si="1086"/>
        <v>0.91</v>
      </c>
      <c r="P2888" s="76">
        <f t="shared" si="1087"/>
        <v>0</v>
      </c>
      <c r="Q2888" s="76">
        <f t="shared" si="1088"/>
        <v>0</v>
      </c>
      <c r="R2888" s="76">
        <f t="shared" si="1089"/>
        <v>0</v>
      </c>
      <c r="S2888" s="76">
        <f t="shared" si="1090"/>
        <v>0.98913043478260865</v>
      </c>
      <c r="T2888" s="76">
        <f t="shared" si="1091"/>
        <v>0.98913043478260865</v>
      </c>
      <c r="U2888" s="76">
        <f t="shared" si="1092"/>
        <v>1</v>
      </c>
    </row>
    <row r="2889" spans="1:21" x14ac:dyDescent="0.25">
      <c r="A2889" s="71">
        <v>3</v>
      </c>
      <c r="B2889" s="72">
        <f t="shared" si="1093"/>
        <v>45717</v>
      </c>
      <c r="C2889" s="73">
        <f t="shared" si="1074"/>
        <v>45747</v>
      </c>
      <c r="D2889" s="67">
        <f t="shared" si="1075"/>
        <v>31</v>
      </c>
      <c r="E2889" s="67">
        <f t="shared" si="1076"/>
        <v>3</v>
      </c>
      <c r="F2889" s="74">
        <f t="shared" si="1077"/>
        <v>45732.5</v>
      </c>
      <c r="G2889" s="67">
        <f t="shared" si="1078"/>
        <v>24302</v>
      </c>
      <c r="H2889" s="75">
        <f t="shared" si="1079"/>
        <v>1</v>
      </c>
      <c r="I2889" s="76">
        <f t="shared" si="1080"/>
        <v>1</v>
      </c>
      <c r="J2889" s="76">
        <f t="shared" si="1081"/>
        <v>1</v>
      </c>
      <c r="K2889" s="67">
        <f t="shared" si="1082"/>
        <v>0</v>
      </c>
      <c r="L2889" s="67">
        <f t="shared" si="1083"/>
        <v>0</v>
      </c>
      <c r="M2889" s="77">
        <f t="shared" si="1084"/>
        <v>0</v>
      </c>
      <c r="N2889" s="76">
        <f t="shared" si="1085"/>
        <v>1</v>
      </c>
      <c r="O2889" s="77">
        <f t="shared" si="1086"/>
        <v>0.91</v>
      </c>
      <c r="P2889" s="76">
        <f t="shared" si="1087"/>
        <v>0</v>
      </c>
      <c r="Q2889" s="76">
        <f t="shared" si="1088"/>
        <v>0</v>
      </c>
      <c r="R2889" s="76">
        <f t="shared" si="1089"/>
        <v>0</v>
      </c>
      <c r="S2889" s="76">
        <f t="shared" si="1090"/>
        <v>0.98913043478260865</v>
      </c>
      <c r="T2889" s="76">
        <f t="shared" si="1091"/>
        <v>0.98913043478260865</v>
      </c>
      <c r="U2889" s="76">
        <f t="shared" si="1092"/>
        <v>1</v>
      </c>
    </row>
    <row r="2890" spans="1:21" x14ac:dyDescent="0.25">
      <c r="A2890" s="71">
        <v>4</v>
      </c>
      <c r="B2890" s="72">
        <f t="shared" si="1093"/>
        <v>45748</v>
      </c>
      <c r="C2890" s="73">
        <f t="shared" si="1074"/>
        <v>45777</v>
      </c>
      <c r="D2890" s="67">
        <f t="shared" si="1075"/>
        <v>30</v>
      </c>
      <c r="E2890" s="67">
        <f t="shared" si="1076"/>
        <v>4</v>
      </c>
      <c r="F2890" s="74">
        <f t="shared" si="1077"/>
        <v>45763</v>
      </c>
      <c r="G2890" s="67">
        <f t="shared" si="1078"/>
        <v>24303</v>
      </c>
      <c r="H2890" s="75">
        <f t="shared" si="1079"/>
        <v>1</v>
      </c>
      <c r="I2890" s="76">
        <f t="shared" si="1080"/>
        <v>1</v>
      </c>
      <c r="J2890" s="76">
        <f t="shared" si="1081"/>
        <v>1</v>
      </c>
      <c r="K2890" s="67">
        <f t="shared" si="1082"/>
        <v>0</v>
      </c>
      <c r="L2890" s="67">
        <f t="shared" si="1083"/>
        <v>0</v>
      </c>
      <c r="M2890" s="77">
        <f t="shared" si="1084"/>
        <v>0</v>
      </c>
      <c r="N2890" s="76">
        <f t="shared" si="1085"/>
        <v>1</v>
      </c>
      <c r="O2890" s="77">
        <f t="shared" si="1086"/>
        <v>0.91</v>
      </c>
      <c r="P2890" s="76">
        <f t="shared" si="1087"/>
        <v>0</v>
      </c>
      <c r="Q2890" s="76">
        <f t="shared" si="1088"/>
        <v>0</v>
      </c>
      <c r="R2890" s="76">
        <f t="shared" si="1089"/>
        <v>0</v>
      </c>
      <c r="S2890" s="76">
        <f t="shared" si="1090"/>
        <v>0.98913043478260865</v>
      </c>
      <c r="T2890" s="76">
        <f t="shared" si="1091"/>
        <v>0.98913043478260865</v>
      </c>
      <c r="U2890" s="76">
        <f t="shared" si="1092"/>
        <v>1</v>
      </c>
    </row>
    <row r="2891" spans="1:21" x14ac:dyDescent="0.25">
      <c r="A2891" s="71">
        <v>5</v>
      </c>
      <c r="B2891" s="72">
        <f t="shared" si="1093"/>
        <v>45778</v>
      </c>
      <c r="C2891" s="73">
        <f t="shared" si="1074"/>
        <v>45808</v>
      </c>
      <c r="D2891" s="67">
        <f t="shared" si="1075"/>
        <v>31</v>
      </c>
      <c r="E2891" s="67">
        <f t="shared" si="1076"/>
        <v>5</v>
      </c>
      <c r="F2891" s="74">
        <f t="shared" si="1077"/>
        <v>45793.5</v>
      </c>
      <c r="G2891" s="67">
        <f t="shared" si="1078"/>
        <v>24304</v>
      </c>
      <c r="H2891" s="75">
        <f t="shared" si="1079"/>
        <v>1</v>
      </c>
      <c r="I2891" s="76">
        <f t="shared" si="1080"/>
        <v>1</v>
      </c>
      <c r="J2891" s="76">
        <f t="shared" si="1081"/>
        <v>1</v>
      </c>
      <c r="K2891" s="67">
        <f t="shared" si="1082"/>
        <v>0</v>
      </c>
      <c r="L2891" s="67">
        <f t="shared" si="1083"/>
        <v>0</v>
      </c>
      <c r="M2891" s="77">
        <f t="shared" si="1084"/>
        <v>0</v>
      </c>
      <c r="N2891" s="76">
        <f t="shared" si="1085"/>
        <v>1</v>
      </c>
      <c r="O2891" s="77">
        <f t="shared" si="1086"/>
        <v>0.91</v>
      </c>
      <c r="P2891" s="76">
        <f t="shared" si="1087"/>
        <v>0</v>
      </c>
      <c r="Q2891" s="76">
        <f t="shared" si="1088"/>
        <v>0</v>
      </c>
      <c r="R2891" s="76">
        <f t="shared" si="1089"/>
        <v>0</v>
      </c>
      <c r="S2891" s="76">
        <f t="shared" si="1090"/>
        <v>0.98913043478260865</v>
      </c>
      <c r="T2891" s="76">
        <f t="shared" si="1091"/>
        <v>0.98913043478260865</v>
      </c>
      <c r="U2891" s="76">
        <f t="shared" si="1092"/>
        <v>1</v>
      </c>
    </row>
    <row r="2892" spans="1:21" x14ac:dyDescent="0.25">
      <c r="A2892" s="71">
        <v>6</v>
      </c>
      <c r="B2892" s="72">
        <f t="shared" si="1093"/>
        <v>45809</v>
      </c>
      <c r="C2892" s="73">
        <f t="shared" si="1074"/>
        <v>45838</v>
      </c>
      <c r="D2892" s="67">
        <f t="shared" si="1075"/>
        <v>30</v>
      </c>
      <c r="E2892" s="67">
        <f t="shared" si="1076"/>
        <v>6</v>
      </c>
      <c r="F2892" s="74">
        <f t="shared" si="1077"/>
        <v>45824</v>
      </c>
      <c r="G2892" s="67">
        <f t="shared" si="1078"/>
        <v>24305</v>
      </c>
      <c r="H2892" s="75">
        <f t="shared" si="1079"/>
        <v>1</v>
      </c>
      <c r="I2892" s="76">
        <f t="shared" si="1080"/>
        <v>1</v>
      </c>
      <c r="J2892" s="76">
        <f t="shared" si="1081"/>
        <v>1</v>
      </c>
      <c r="K2892" s="67">
        <f t="shared" si="1082"/>
        <v>0</v>
      </c>
      <c r="L2892" s="67">
        <f t="shared" si="1083"/>
        <v>0</v>
      </c>
      <c r="M2892" s="77">
        <f t="shared" si="1084"/>
        <v>0</v>
      </c>
      <c r="N2892" s="76">
        <f t="shared" si="1085"/>
        <v>1</v>
      </c>
      <c r="O2892" s="77">
        <f t="shared" si="1086"/>
        <v>0.91</v>
      </c>
      <c r="P2892" s="76">
        <f t="shared" si="1087"/>
        <v>0</v>
      </c>
      <c r="Q2892" s="76">
        <f t="shared" si="1088"/>
        <v>0</v>
      </c>
      <c r="R2892" s="76">
        <f t="shared" si="1089"/>
        <v>0</v>
      </c>
      <c r="S2892" s="76">
        <f t="shared" si="1090"/>
        <v>0.98913043478260865</v>
      </c>
      <c r="T2892" s="76">
        <f t="shared" si="1091"/>
        <v>0.98913043478260865</v>
      </c>
      <c r="U2892" s="76">
        <f t="shared" si="1092"/>
        <v>1</v>
      </c>
    </row>
    <row r="2893" spans="1:21" x14ac:dyDescent="0.25">
      <c r="A2893" s="71">
        <v>7</v>
      </c>
      <c r="B2893" s="72">
        <f t="shared" si="1093"/>
        <v>45839</v>
      </c>
      <c r="C2893" s="73">
        <f t="shared" si="1074"/>
        <v>45869</v>
      </c>
      <c r="D2893" s="67">
        <f t="shared" si="1075"/>
        <v>31</v>
      </c>
      <c r="E2893" s="67">
        <f t="shared" si="1076"/>
        <v>7</v>
      </c>
      <c r="F2893" s="74">
        <f t="shared" si="1077"/>
        <v>45854.5</v>
      </c>
      <c r="G2893" s="67">
        <f t="shared" si="1078"/>
        <v>24306</v>
      </c>
      <c r="H2893" s="75">
        <f t="shared" si="1079"/>
        <v>1</v>
      </c>
      <c r="I2893" s="76">
        <f t="shared" si="1080"/>
        <v>1</v>
      </c>
      <c r="J2893" s="76">
        <f t="shared" si="1081"/>
        <v>1</v>
      </c>
      <c r="K2893" s="67">
        <f t="shared" si="1082"/>
        <v>0</v>
      </c>
      <c r="L2893" s="67">
        <f t="shared" si="1083"/>
        <v>0</v>
      </c>
      <c r="M2893" s="77">
        <f t="shared" si="1084"/>
        <v>0</v>
      </c>
      <c r="N2893" s="76">
        <f t="shared" si="1085"/>
        <v>1</v>
      </c>
      <c r="O2893" s="77">
        <f t="shared" si="1086"/>
        <v>0.91</v>
      </c>
      <c r="P2893" s="76">
        <f t="shared" si="1087"/>
        <v>8.333333333333337E-2</v>
      </c>
      <c r="Q2893" s="76">
        <f t="shared" si="1088"/>
        <v>0</v>
      </c>
      <c r="R2893" s="76">
        <f t="shared" si="1089"/>
        <v>0</v>
      </c>
      <c r="S2893" s="76">
        <f t="shared" si="1090"/>
        <v>0.98913043478260865</v>
      </c>
      <c r="T2893" s="76">
        <f t="shared" si="1091"/>
        <v>0.98913043478260865</v>
      </c>
      <c r="U2893" s="76">
        <f t="shared" si="1092"/>
        <v>1</v>
      </c>
    </row>
    <row r="2894" spans="1:21" x14ac:dyDescent="0.25">
      <c r="A2894" s="71">
        <v>8</v>
      </c>
      <c r="B2894" s="72">
        <f t="shared" si="1093"/>
        <v>45870</v>
      </c>
      <c r="C2894" s="73">
        <f t="shared" si="1074"/>
        <v>45900</v>
      </c>
      <c r="D2894" s="67">
        <f t="shared" si="1075"/>
        <v>31</v>
      </c>
      <c r="E2894" s="67">
        <f t="shared" si="1076"/>
        <v>8</v>
      </c>
      <c r="F2894" s="74">
        <f t="shared" si="1077"/>
        <v>45885.5</v>
      </c>
      <c r="G2894" s="67">
        <f t="shared" si="1078"/>
        <v>24307</v>
      </c>
      <c r="H2894" s="75">
        <f t="shared" si="1079"/>
        <v>1</v>
      </c>
      <c r="I2894" s="76">
        <f t="shared" si="1080"/>
        <v>1</v>
      </c>
      <c r="J2894" s="76">
        <f t="shared" si="1081"/>
        <v>1</v>
      </c>
      <c r="K2894" s="67">
        <f t="shared" si="1082"/>
        <v>0</v>
      </c>
      <c r="L2894" s="67">
        <f t="shared" si="1083"/>
        <v>0</v>
      </c>
      <c r="M2894" s="77">
        <f t="shared" si="1084"/>
        <v>0</v>
      </c>
      <c r="N2894" s="76">
        <f t="shared" si="1085"/>
        <v>1</v>
      </c>
      <c r="O2894" s="77">
        <f t="shared" si="1086"/>
        <v>0.91</v>
      </c>
      <c r="P2894" s="76">
        <f t="shared" si="1087"/>
        <v>0.25</v>
      </c>
      <c r="Q2894" s="76">
        <f t="shared" si="1088"/>
        <v>0</v>
      </c>
      <c r="R2894" s="76">
        <f t="shared" si="1089"/>
        <v>0</v>
      </c>
      <c r="S2894" s="76">
        <f t="shared" si="1090"/>
        <v>0.98913043478260865</v>
      </c>
      <c r="T2894" s="76">
        <f t="shared" si="1091"/>
        <v>0.98913043478260865</v>
      </c>
      <c r="U2894" s="76">
        <f t="shared" si="1092"/>
        <v>1</v>
      </c>
    </row>
    <row r="2895" spans="1:21" x14ac:dyDescent="0.25">
      <c r="A2895" s="71">
        <v>9</v>
      </c>
      <c r="B2895" s="72">
        <f t="shared" si="1093"/>
        <v>45901</v>
      </c>
      <c r="C2895" s="73">
        <f t="shared" si="1074"/>
        <v>45930</v>
      </c>
      <c r="D2895" s="67">
        <f t="shared" si="1075"/>
        <v>30</v>
      </c>
      <c r="E2895" s="67">
        <f t="shared" si="1076"/>
        <v>9</v>
      </c>
      <c r="F2895" s="74">
        <f t="shared" si="1077"/>
        <v>45916</v>
      </c>
      <c r="G2895" s="67">
        <f t="shared" si="1078"/>
        <v>24308</v>
      </c>
      <c r="H2895" s="75">
        <f t="shared" si="1079"/>
        <v>1</v>
      </c>
      <c r="I2895" s="76">
        <f t="shared" si="1080"/>
        <v>1</v>
      </c>
      <c r="J2895" s="76">
        <f t="shared" si="1081"/>
        <v>1</v>
      </c>
      <c r="K2895" s="67">
        <f t="shared" si="1082"/>
        <v>0</v>
      </c>
      <c r="L2895" s="67">
        <f t="shared" si="1083"/>
        <v>0</v>
      </c>
      <c r="M2895" s="77">
        <f t="shared" si="1084"/>
        <v>0</v>
      </c>
      <c r="N2895" s="76">
        <f t="shared" si="1085"/>
        <v>1</v>
      </c>
      <c r="O2895" s="77">
        <f t="shared" si="1086"/>
        <v>0.91</v>
      </c>
      <c r="P2895" s="76">
        <f t="shared" si="1087"/>
        <v>0.41666666666666663</v>
      </c>
      <c r="Q2895" s="76">
        <f t="shared" si="1088"/>
        <v>0</v>
      </c>
      <c r="R2895" s="76">
        <f t="shared" si="1089"/>
        <v>0</v>
      </c>
      <c r="S2895" s="76">
        <f t="shared" si="1090"/>
        <v>0.98913043478260865</v>
      </c>
      <c r="T2895" s="76">
        <f t="shared" si="1091"/>
        <v>0.98913043478260865</v>
      </c>
      <c r="U2895" s="76">
        <f t="shared" si="1092"/>
        <v>1</v>
      </c>
    </row>
    <row r="2896" spans="1:21" x14ac:dyDescent="0.25">
      <c r="A2896" s="71">
        <v>10</v>
      </c>
      <c r="B2896" s="72">
        <f t="shared" si="1093"/>
        <v>45931</v>
      </c>
      <c r="C2896" s="73">
        <f t="shared" si="1074"/>
        <v>45961</v>
      </c>
      <c r="D2896" s="67">
        <f t="shared" si="1075"/>
        <v>31</v>
      </c>
      <c r="E2896" s="67">
        <f t="shared" si="1076"/>
        <v>10</v>
      </c>
      <c r="F2896" s="74">
        <f t="shared" si="1077"/>
        <v>45946.5</v>
      </c>
      <c r="G2896" s="67">
        <f t="shared" si="1078"/>
        <v>24309</v>
      </c>
      <c r="H2896" s="75">
        <f t="shared" si="1079"/>
        <v>1</v>
      </c>
      <c r="I2896" s="76">
        <f t="shared" si="1080"/>
        <v>1</v>
      </c>
      <c r="J2896" s="76">
        <f t="shared" si="1081"/>
        <v>1</v>
      </c>
      <c r="K2896" s="67">
        <f t="shared" si="1082"/>
        <v>0</v>
      </c>
      <c r="L2896" s="67">
        <f t="shared" si="1083"/>
        <v>0</v>
      </c>
      <c r="M2896" s="77">
        <f t="shared" si="1084"/>
        <v>0</v>
      </c>
      <c r="N2896" s="76">
        <f t="shared" si="1085"/>
        <v>1</v>
      </c>
      <c r="O2896" s="77">
        <f t="shared" si="1086"/>
        <v>0.91</v>
      </c>
      <c r="P2896" s="76">
        <f t="shared" si="1087"/>
        <v>0.58333333333333326</v>
      </c>
      <c r="Q2896" s="76">
        <f t="shared" si="1088"/>
        <v>0</v>
      </c>
      <c r="R2896" s="76">
        <f t="shared" si="1089"/>
        <v>0</v>
      </c>
      <c r="S2896" s="76">
        <f t="shared" si="1090"/>
        <v>0.98913043478260865</v>
      </c>
      <c r="T2896" s="76">
        <f t="shared" si="1091"/>
        <v>0.98913043478260865</v>
      </c>
      <c r="U2896" s="76">
        <f t="shared" si="1092"/>
        <v>1</v>
      </c>
    </row>
    <row r="2897" spans="1:21" x14ac:dyDescent="0.25">
      <c r="A2897" s="71">
        <v>11</v>
      </c>
      <c r="B2897" s="72">
        <f t="shared" si="1093"/>
        <v>45962</v>
      </c>
      <c r="C2897" s="73">
        <f t="shared" si="1074"/>
        <v>45991</v>
      </c>
      <c r="D2897" s="67">
        <f t="shared" si="1075"/>
        <v>30</v>
      </c>
      <c r="E2897" s="67">
        <f t="shared" si="1076"/>
        <v>11</v>
      </c>
      <c r="F2897" s="74">
        <f t="shared" si="1077"/>
        <v>45977</v>
      </c>
      <c r="G2897" s="67">
        <f t="shared" si="1078"/>
        <v>24310</v>
      </c>
      <c r="H2897" s="75">
        <f t="shared" si="1079"/>
        <v>1</v>
      </c>
      <c r="I2897" s="76">
        <f t="shared" si="1080"/>
        <v>1</v>
      </c>
      <c r="J2897" s="76">
        <f t="shared" si="1081"/>
        <v>1</v>
      </c>
      <c r="K2897" s="67">
        <f t="shared" si="1082"/>
        <v>0</v>
      </c>
      <c r="L2897" s="67">
        <f t="shared" si="1083"/>
        <v>0</v>
      </c>
      <c r="M2897" s="77">
        <f t="shared" si="1084"/>
        <v>0</v>
      </c>
      <c r="N2897" s="76">
        <f t="shared" si="1085"/>
        <v>1</v>
      </c>
      <c r="O2897" s="77">
        <f t="shared" si="1086"/>
        <v>0.91</v>
      </c>
      <c r="P2897" s="76">
        <f t="shared" si="1087"/>
        <v>0.75</v>
      </c>
      <c r="Q2897" s="76">
        <f t="shared" si="1088"/>
        <v>0</v>
      </c>
      <c r="R2897" s="76">
        <f t="shared" si="1089"/>
        <v>0</v>
      </c>
      <c r="S2897" s="76">
        <f t="shared" si="1090"/>
        <v>0.98913043478260865</v>
      </c>
      <c r="T2897" s="76">
        <f t="shared" si="1091"/>
        <v>0.98913043478260865</v>
      </c>
      <c r="U2897" s="76">
        <f t="shared" si="1092"/>
        <v>1</v>
      </c>
    </row>
    <row r="2898" spans="1:21" x14ac:dyDescent="0.25">
      <c r="A2898" s="71">
        <v>12</v>
      </c>
      <c r="B2898" s="72">
        <f t="shared" si="1093"/>
        <v>45992</v>
      </c>
      <c r="C2898" s="73">
        <f t="shared" si="1074"/>
        <v>46022</v>
      </c>
      <c r="D2898" s="67">
        <f t="shared" si="1075"/>
        <v>31</v>
      </c>
      <c r="E2898" s="67">
        <f t="shared" si="1076"/>
        <v>12</v>
      </c>
      <c r="F2898" s="74">
        <f t="shared" si="1077"/>
        <v>46007.5</v>
      </c>
      <c r="G2898" s="67">
        <f t="shared" si="1078"/>
        <v>24311</v>
      </c>
      <c r="H2898" s="75">
        <f t="shared" si="1079"/>
        <v>1</v>
      </c>
      <c r="I2898" s="76">
        <f t="shared" si="1080"/>
        <v>1</v>
      </c>
      <c r="J2898" s="76">
        <f t="shared" si="1081"/>
        <v>1</v>
      </c>
      <c r="K2898" s="67">
        <f t="shared" si="1082"/>
        <v>0</v>
      </c>
      <c r="L2898" s="67">
        <f t="shared" si="1083"/>
        <v>0</v>
      </c>
      <c r="M2898" s="77">
        <f t="shared" si="1084"/>
        <v>0</v>
      </c>
      <c r="N2898" s="76">
        <f t="shared" si="1085"/>
        <v>1</v>
      </c>
      <c r="O2898" s="77">
        <f t="shared" si="1086"/>
        <v>0.91</v>
      </c>
      <c r="P2898" s="76">
        <f t="shared" si="1087"/>
        <v>0.91666666666666663</v>
      </c>
      <c r="Q2898" s="76">
        <f t="shared" si="1088"/>
        <v>0</v>
      </c>
      <c r="R2898" s="76">
        <f t="shared" si="1089"/>
        <v>0</v>
      </c>
      <c r="S2898" s="76">
        <f t="shared" si="1090"/>
        <v>0.98913043478260865</v>
      </c>
      <c r="T2898" s="76">
        <f t="shared" si="1091"/>
        <v>0.98913043478260865</v>
      </c>
      <c r="U2898" s="76">
        <f t="shared" si="1092"/>
        <v>1</v>
      </c>
    </row>
    <row r="2899" spans="1:21" x14ac:dyDescent="0.25">
      <c r="A2899" s="71">
        <v>13</v>
      </c>
      <c r="B2899" s="72">
        <f t="shared" si="1093"/>
        <v>46023</v>
      </c>
      <c r="C2899" s="73">
        <f t="shared" si="1074"/>
        <v>46053</v>
      </c>
      <c r="D2899" s="67">
        <f t="shared" si="1075"/>
        <v>31</v>
      </c>
      <c r="E2899" s="67">
        <f t="shared" si="1076"/>
        <v>1</v>
      </c>
      <c r="F2899" s="74">
        <f t="shared" si="1077"/>
        <v>46038.5</v>
      </c>
      <c r="G2899" s="67">
        <f t="shared" si="1078"/>
        <v>24312</v>
      </c>
      <c r="H2899" s="75">
        <f t="shared" si="1079"/>
        <v>1</v>
      </c>
      <c r="I2899" s="76">
        <f t="shared" si="1080"/>
        <v>1</v>
      </c>
      <c r="J2899" s="76">
        <f t="shared" si="1081"/>
        <v>1</v>
      </c>
      <c r="K2899" s="67">
        <f t="shared" si="1082"/>
        <v>0</v>
      </c>
      <c r="L2899" s="67">
        <f t="shared" si="1083"/>
        <v>0</v>
      </c>
      <c r="M2899" s="77">
        <f t="shared" si="1084"/>
        <v>0</v>
      </c>
      <c r="N2899" s="76">
        <f t="shared" si="1085"/>
        <v>1</v>
      </c>
      <c r="O2899" s="77">
        <f t="shared" si="1086"/>
        <v>0.91</v>
      </c>
      <c r="P2899" s="76">
        <f t="shared" si="1087"/>
        <v>1</v>
      </c>
      <c r="Q2899" s="76">
        <f t="shared" si="1088"/>
        <v>0</v>
      </c>
      <c r="R2899" s="76">
        <f t="shared" si="1089"/>
        <v>0</v>
      </c>
      <c r="S2899" s="76">
        <f t="shared" si="1090"/>
        <v>0.98913043478260865</v>
      </c>
      <c r="T2899" s="76">
        <f t="shared" si="1091"/>
        <v>0.98913043478260865</v>
      </c>
      <c r="U2899" s="76">
        <f t="shared" si="1092"/>
        <v>1</v>
      </c>
    </row>
    <row r="2900" spans="1:21" x14ac:dyDescent="0.25">
      <c r="A2900" s="71">
        <v>14</v>
      </c>
      <c r="B2900" s="72">
        <f t="shared" si="1093"/>
        <v>46054</v>
      </c>
      <c r="C2900" s="73">
        <f t="shared" si="1074"/>
        <v>46081</v>
      </c>
      <c r="D2900" s="67">
        <f t="shared" si="1075"/>
        <v>28</v>
      </c>
      <c r="E2900" s="67">
        <f t="shared" si="1076"/>
        <v>2</v>
      </c>
      <c r="F2900" s="74">
        <f t="shared" si="1077"/>
        <v>46068</v>
      </c>
      <c r="G2900" s="67">
        <f t="shared" si="1078"/>
        <v>24313</v>
      </c>
      <c r="H2900" s="75">
        <f t="shared" si="1079"/>
        <v>1</v>
      </c>
      <c r="I2900" s="76">
        <f t="shared" si="1080"/>
        <v>1</v>
      </c>
      <c r="J2900" s="76">
        <f t="shared" si="1081"/>
        <v>1</v>
      </c>
      <c r="K2900" s="67">
        <f t="shared" si="1082"/>
        <v>0</v>
      </c>
      <c r="L2900" s="67">
        <f t="shared" si="1083"/>
        <v>0</v>
      </c>
      <c r="M2900" s="77">
        <f t="shared" si="1084"/>
        <v>0</v>
      </c>
      <c r="N2900" s="76">
        <f t="shared" si="1085"/>
        <v>1</v>
      </c>
      <c r="O2900" s="77">
        <f t="shared" si="1086"/>
        <v>0.91</v>
      </c>
      <c r="P2900" s="76">
        <f t="shared" si="1087"/>
        <v>1</v>
      </c>
      <c r="Q2900" s="76">
        <f t="shared" si="1088"/>
        <v>0</v>
      </c>
      <c r="R2900" s="76">
        <f t="shared" si="1089"/>
        <v>0</v>
      </c>
      <c r="S2900" s="76">
        <f t="shared" si="1090"/>
        <v>0.98913043478260865</v>
      </c>
      <c r="T2900" s="76">
        <f t="shared" si="1091"/>
        <v>0.98913043478260865</v>
      </c>
      <c r="U2900" s="76">
        <f t="shared" si="1092"/>
        <v>1</v>
      </c>
    </row>
    <row r="2901" spans="1:21" x14ac:dyDescent="0.25">
      <c r="A2901" s="71">
        <v>15</v>
      </c>
      <c r="B2901" s="72">
        <f t="shared" si="1093"/>
        <v>46082</v>
      </c>
      <c r="C2901" s="73">
        <f t="shared" si="1074"/>
        <v>46112</v>
      </c>
      <c r="D2901" s="67">
        <f t="shared" si="1075"/>
        <v>31</v>
      </c>
      <c r="E2901" s="67">
        <f t="shared" si="1076"/>
        <v>3</v>
      </c>
      <c r="F2901" s="74">
        <f t="shared" si="1077"/>
        <v>46097.5</v>
      </c>
      <c r="G2901" s="67">
        <f t="shared" si="1078"/>
        <v>24314</v>
      </c>
      <c r="H2901" s="75">
        <f t="shared" si="1079"/>
        <v>1</v>
      </c>
      <c r="I2901" s="76">
        <f t="shared" si="1080"/>
        <v>1</v>
      </c>
      <c r="J2901" s="76">
        <f t="shared" si="1081"/>
        <v>1</v>
      </c>
      <c r="K2901" s="67">
        <f t="shared" si="1082"/>
        <v>0</v>
      </c>
      <c r="L2901" s="67">
        <f t="shared" si="1083"/>
        <v>0</v>
      </c>
      <c r="M2901" s="77">
        <f t="shared" si="1084"/>
        <v>0</v>
      </c>
      <c r="N2901" s="76">
        <f t="shared" si="1085"/>
        <v>1</v>
      </c>
      <c r="O2901" s="77">
        <f t="shared" si="1086"/>
        <v>0.91</v>
      </c>
      <c r="P2901" s="76">
        <f t="shared" si="1087"/>
        <v>1</v>
      </c>
      <c r="Q2901" s="76">
        <f t="shared" si="1088"/>
        <v>0</v>
      </c>
      <c r="R2901" s="76">
        <f t="shared" si="1089"/>
        <v>0</v>
      </c>
      <c r="S2901" s="76">
        <f t="shared" si="1090"/>
        <v>0.98913043478260865</v>
      </c>
      <c r="T2901" s="76">
        <f t="shared" si="1091"/>
        <v>0.98913043478260865</v>
      </c>
      <c r="U2901" s="76">
        <f t="shared" si="1092"/>
        <v>1</v>
      </c>
    </row>
    <row r="2902" spans="1:21" x14ac:dyDescent="0.25">
      <c r="A2902" s="71">
        <v>16</v>
      </c>
      <c r="B2902" s="72">
        <f t="shared" si="1093"/>
        <v>46113</v>
      </c>
      <c r="C2902" s="73">
        <f t="shared" si="1074"/>
        <v>46142</v>
      </c>
      <c r="D2902" s="67">
        <f t="shared" si="1075"/>
        <v>30</v>
      </c>
      <c r="E2902" s="67">
        <f t="shared" si="1076"/>
        <v>4</v>
      </c>
      <c r="F2902" s="74">
        <f t="shared" si="1077"/>
        <v>46128</v>
      </c>
      <c r="G2902" s="67">
        <f t="shared" si="1078"/>
        <v>24315</v>
      </c>
      <c r="H2902" s="75">
        <f t="shared" si="1079"/>
        <v>1</v>
      </c>
      <c r="I2902" s="76">
        <f t="shared" si="1080"/>
        <v>1</v>
      </c>
      <c r="J2902" s="76">
        <f t="shared" si="1081"/>
        <v>1</v>
      </c>
      <c r="K2902" s="67">
        <f t="shared" si="1082"/>
        <v>0</v>
      </c>
      <c r="L2902" s="67">
        <f t="shared" si="1083"/>
        <v>0</v>
      </c>
      <c r="M2902" s="77">
        <f t="shared" si="1084"/>
        <v>0</v>
      </c>
      <c r="N2902" s="76">
        <f t="shared" si="1085"/>
        <v>1</v>
      </c>
      <c r="O2902" s="77">
        <f t="shared" si="1086"/>
        <v>0.91</v>
      </c>
      <c r="P2902" s="76">
        <f t="shared" si="1087"/>
        <v>1</v>
      </c>
      <c r="Q2902" s="76">
        <f t="shared" si="1088"/>
        <v>0</v>
      </c>
      <c r="R2902" s="76">
        <f t="shared" si="1089"/>
        <v>0</v>
      </c>
      <c r="S2902" s="76">
        <f t="shared" si="1090"/>
        <v>0.98913043478260865</v>
      </c>
      <c r="T2902" s="76">
        <f t="shared" si="1091"/>
        <v>0.98913043478260865</v>
      </c>
      <c r="U2902" s="76">
        <f t="shared" si="1092"/>
        <v>1</v>
      </c>
    </row>
    <row r="2903" spans="1:21" x14ac:dyDescent="0.25">
      <c r="A2903" s="71">
        <v>17</v>
      </c>
      <c r="B2903" s="72">
        <f t="shared" si="1093"/>
        <v>46143</v>
      </c>
      <c r="C2903" s="73">
        <f t="shared" si="1074"/>
        <v>46173</v>
      </c>
      <c r="D2903" s="67">
        <f t="shared" si="1075"/>
        <v>31</v>
      </c>
      <c r="E2903" s="67">
        <f t="shared" si="1076"/>
        <v>5</v>
      </c>
      <c r="F2903" s="74">
        <f t="shared" si="1077"/>
        <v>46158.5</v>
      </c>
      <c r="G2903" s="67">
        <f t="shared" si="1078"/>
        <v>24316</v>
      </c>
      <c r="H2903" s="75">
        <f t="shared" si="1079"/>
        <v>1</v>
      </c>
      <c r="I2903" s="76">
        <f t="shared" si="1080"/>
        <v>1</v>
      </c>
      <c r="J2903" s="76">
        <f t="shared" si="1081"/>
        <v>1.04</v>
      </c>
      <c r="K2903" s="67">
        <f t="shared" si="1082"/>
        <v>1</v>
      </c>
      <c r="L2903" s="67">
        <f t="shared" si="1083"/>
        <v>31</v>
      </c>
      <c r="M2903" s="77">
        <f t="shared" si="1084"/>
        <v>1</v>
      </c>
      <c r="N2903" s="76">
        <f t="shared" si="1085"/>
        <v>1.04</v>
      </c>
      <c r="O2903" s="77">
        <f t="shared" si="1086"/>
        <v>0.91</v>
      </c>
      <c r="P2903" s="76">
        <f t="shared" si="1087"/>
        <v>1</v>
      </c>
      <c r="Q2903" s="76">
        <f t="shared" si="1088"/>
        <v>0</v>
      </c>
      <c r="R2903" s="76">
        <f t="shared" si="1089"/>
        <v>0</v>
      </c>
      <c r="S2903" s="76">
        <f t="shared" si="1090"/>
        <v>1.028695652173913</v>
      </c>
      <c r="T2903" s="76">
        <f t="shared" si="1091"/>
        <v>1.028695652173913</v>
      </c>
      <c r="U2903" s="76">
        <f t="shared" si="1092"/>
        <v>1.04</v>
      </c>
    </row>
    <row r="2904" spans="1:21" x14ac:dyDescent="0.25">
      <c r="A2904" s="71">
        <v>18</v>
      </c>
      <c r="B2904" s="72">
        <f t="shared" si="1093"/>
        <v>46174</v>
      </c>
      <c r="C2904" s="73">
        <f t="shared" si="1074"/>
        <v>46203</v>
      </c>
      <c r="D2904" s="67">
        <f t="shared" si="1075"/>
        <v>30</v>
      </c>
      <c r="E2904" s="67">
        <f t="shared" si="1076"/>
        <v>6</v>
      </c>
      <c r="F2904" s="74">
        <f t="shared" si="1077"/>
        <v>46189</v>
      </c>
      <c r="G2904" s="67">
        <f t="shared" si="1078"/>
        <v>24317</v>
      </c>
      <c r="H2904" s="75">
        <f t="shared" si="1079"/>
        <v>1</v>
      </c>
      <c r="I2904" s="76">
        <f t="shared" si="1080"/>
        <v>1.04</v>
      </c>
      <c r="J2904" s="76">
        <f t="shared" si="1081"/>
        <v>1.04</v>
      </c>
      <c r="K2904" s="67">
        <f t="shared" si="1082"/>
        <v>0</v>
      </c>
      <c r="L2904" s="67">
        <f t="shared" si="1083"/>
        <v>0</v>
      </c>
      <c r="M2904" s="77">
        <f t="shared" si="1084"/>
        <v>0</v>
      </c>
      <c r="N2904" s="76">
        <f t="shared" si="1085"/>
        <v>1.04</v>
      </c>
      <c r="O2904" s="77">
        <f t="shared" si="1086"/>
        <v>0.91</v>
      </c>
      <c r="P2904" s="76">
        <f t="shared" si="1087"/>
        <v>1</v>
      </c>
      <c r="Q2904" s="76">
        <f t="shared" si="1088"/>
        <v>0</v>
      </c>
      <c r="R2904" s="76">
        <f t="shared" si="1089"/>
        <v>0</v>
      </c>
      <c r="S2904" s="76">
        <f t="shared" si="1090"/>
        <v>1.028695652173913</v>
      </c>
      <c r="T2904" s="76">
        <f t="shared" si="1091"/>
        <v>1.028695652173913</v>
      </c>
      <c r="U2904" s="76">
        <f t="shared" si="1092"/>
        <v>1.04</v>
      </c>
    </row>
    <row r="2905" spans="1:21" x14ac:dyDescent="0.25">
      <c r="A2905" s="71">
        <v>19</v>
      </c>
      <c r="B2905" s="72">
        <f t="shared" si="1093"/>
        <v>46204</v>
      </c>
      <c r="C2905" s="73">
        <f t="shared" si="1074"/>
        <v>46234</v>
      </c>
      <c r="D2905" s="67">
        <f t="shared" si="1075"/>
        <v>31</v>
      </c>
      <c r="E2905" s="67">
        <f t="shared" si="1076"/>
        <v>7</v>
      </c>
      <c r="F2905" s="74">
        <f t="shared" si="1077"/>
        <v>46219.5</v>
      </c>
      <c r="G2905" s="67">
        <f t="shared" si="1078"/>
        <v>24318</v>
      </c>
      <c r="H2905" s="75">
        <f t="shared" si="1079"/>
        <v>1</v>
      </c>
      <c r="I2905" s="76">
        <f t="shared" si="1080"/>
        <v>1.04</v>
      </c>
      <c r="J2905" s="76">
        <f t="shared" si="1081"/>
        <v>1.04</v>
      </c>
      <c r="K2905" s="67">
        <f t="shared" si="1082"/>
        <v>0</v>
      </c>
      <c r="L2905" s="67">
        <f t="shared" si="1083"/>
        <v>0</v>
      </c>
      <c r="M2905" s="77">
        <f t="shared" si="1084"/>
        <v>0</v>
      </c>
      <c r="N2905" s="76">
        <f t="shared" si="1085"/>
        <v>1.04</v>
      </c>
      <c r="O2905" s="77">
        <f t="shared" si="1086"/>
        <v>0.91</v>
      </c>
      <c r="P2905" s="76">
        <f t="shared" si="1087"/>
        <v>0.91666666666666663</v>
      </c>
      <c r="Q2905" s="76">
        <f t="shared" si="1088"/>
        <v>8.333333333333337E-2</v>
      </c>
      <c r="R2905" s="76">
        <f t="shared" si="1089"/>
        <v>0</v>
      </c>
      <c r="S2905" s="76">
        <f t="shared" si="1090"/>
        <v>1.028695652173913</v>
      </c>
      <c r="T2905" s="76">
        <f t="shared" si="1091"/>
        <v>1.028695652173913</v>
      </c>
      <c r="U2905" s="76">
        <f t="shared" si="1092"/>
        <v>1.04</v>
      </c>
    </row>
    <row r="2906" spans="1:21" x14ac:dyDescent="0.25">
      <c r="A2906" s="71">
        <v>20</v>
      </c>
      <c r="B2906" s="72">
        <f t="shared" si="1093"/>
        <v>46235</v>
      </c>
      <c r="C2906" s="73">
        <f t="shared" si="1074"/>
        <v>46265</v>
      </c>
      <c r="D2906" s="67">
        <f t="shared" si="1075"/>
        <v>31</v>
      </c>
      <c r="E2906" s="67">
        <f t="shared" si="1076"/>
        <v>8</v>
      </c>
      <c r="F2906" s="74">
        <f t="shared" si="1077"/>
        <v>46250.5</v>
      </c>
      <c r="G2906" s="67">
        <f t="shared" si="1078"/>
        <v>24319</v>
      </c>
      <c r="H2906" s="75">
        <f t="shared" si="1079"/>
        <v>1</v>
      </c>
      <c r="I2906" s="76">
        <f t="shared" si="1080"/>
        <v>1.04</v>
      </c>
      <c r="J2906" s="76">
        <f t="shared" si="1081"/>
        <v>1.04</v>
      </c>
      <c r="K2906" s="67">
        <f t="shared" si="1082"/>
        <v>0</v>
      </c>
      <c r="L2906" s="67">
        <f t="shared" si="1083"/>
        <v>0</v>
      </c>
      <c r="M2906" s="77">
        <f t="shared" si="1084"/>
        <v>0</v>
      </c>
      <c r="N2906" s="76">
        <f t="shared" si="1085"/>
        <v>1.04</v>
      </c>
      <c r="O2906" s="77">
        <f t="shared" si="1086"/>
        <v>0.91</v>
      </c>
      <c r="P2906" s="76">
        <f t="shared" si="1087"/>
        <v>0.75</v>
      </c>
      <c r="Q2906" s="76">
        <f t="shared" si="1088"/>
        <v>0.25</v>
      </c>
      <c r="R2906" s="76">
        <f t="shared" si="1089"/>
        <v>0</v>
      </c>
      <c r="S2906" s="76">
        <f t="shared" si="1090"/>
        <v>1.028695652173913</v>
      </c>
      <c r="T2906" s="76">
        <f t="shared" si="1091"/>
        <v>1.028695652173913</v>
      </c>
      <c r="U2906" s="76">
        <f t="shared" si="1092"/>
        <v>1.04</v>
      </c>
    </row>
    <row r="2907" spans="1:21" x14ac:dyDescent="0.25">
      <c r="A2907" s="71">
        <v>21</v>
      </c>
      <c r="B2907" s="72">
        <f t="shared" si="1093"/>
        <v>46266</v>
      </c>
      <c r="C2907" s="73">
        <f t="shared" si="1074"/>
        <v>46295</v>
      </c>
      <c r="D2907" s="67">
        <f t="shared" si="1075"/>
        <v>30</v>
      </c>
      <c r="E2907" s="67">
        <f t="shared" si="1076"/>
        <v>9</v>
      </c>
      <c r="F2907" s="74">
        <f t="shared" si="1077"/>
        <v>46281</v>
      </c>
      <c r="G2907" s="67">
        <f t="shared" si="1078"/>
        <v>24320</v>
      </c>
      <c r="H2907" s="75">
        <f t="shared" si="1079"/>
        <v>1</v>
      </c>
      <c r="I2907" s="76">
        <f t="shared" si="1080"/>
        <v>1.04</v>
      </c>
      <c r="J2907" s="76">
        <f t="shared" si="1081"/>
        <v>1.04</v>
      </c>
      <c r="K2907" s="67">
        <f t="shared" si="1082"/>
        <v>0</v>
      </c>
      <c r="L2907" s="67">
        <f t="shared" si="1083"/>
        <v>0</v>
      </c>
      <c r="M2907" s="77">
        <f t="shared" si="1084"/>
        <v>0</v>
      </c>
      <c r="N2907" s="76">
        <f t="shared" si="1085"/>
        <v>1.04</v>
      </c>
      <c r="O2907" s="77">
        <f t="shared" si="1086"/>
        <v>0.91</v>
      </c>
      <c r="P2907" s="76">
        <f t="shared" si="1087"/>
        <v>0.58333333333333337</v>
      </c>
      <c r="Q2907" s="76">
        <f t="shared" si="1088"/>
        <v>0.41666666666666663</v>
      </c>
      <c r="R2907" s="76">
        <f t="shared" si="1089"/>
        <v>0</v>
      </c>
      <c r="S2907" s="76">
        <f t="shared" si="1090"/>
        <v>1.028695652173913</v>
      </c>
      <c r="T2907" s="76">
        <f t="shared" si="1091"/>
        <v>1.028695652173913</v>
      </c>
      <c r="U2907" s="76">
        <f t="shared" si="1092"/>
        <v>1.04</v>
      </c>
    </row>
    <row r="2908" spans="1:21" x14ac:dyDescent="0.25">
      <c r="A2908" s="71">
        <v>22</v>
      </c>
      <c r="B2908" s="72">
        <f t="shared" si="1093"/>
        <v>46296</v>
      </c>
      <c r="C2908" s="73">
        <f t="shared" si="1074"/>
        <v>46326</v>
      </c>
      <c r="D2908" s="67">
        <f t="shared" si="1075"/>
        <v>31</v>
      </c>
      <c r="E2908" s="67">
        <f t="shared" si="1076"/>
        <v>10</v>
      </c>
      <c r="F2908" s="74">
        <f t="shared" si="1077"/>
        <v>46311.5</v>
      </c>
      <c r="G2908" s="67">
        <f t="shared" si="1078"/>
        <v>24321</v>
      </c>
      <c r="H2908" s="75">
        <f t="shared" si="1079"/>
        <v>1</v>
      </c>
      <c r="I2908" s="76">
        <f t="shared" si="1080"/>
        <v>1.04</v>
      </c>
      <c r="J2908" s="76">
        <f t="shared" si="1081"/>
        <v>1.04</v>
      </c>
      <c r="K2908" s="67">
        <f t="shared" si="1082"/>
        <v>0</v>
      </c>
      <c r="L2908" s="67">
        <f t="shared" si="1083"/>
        <v>0</v>
      </c>
      <c r="M2908" s="77">
        <f t="shared" si="1084"/>
        <v>0</v>
      </c>
      <c r="N2908" s="76">
        <f t="shared" si="1085"/>
        <v>1.04</v>
      </c>
      <c r="O2908" s="77">
        <f t="shared" si="1086"/>
        <v>0.91</v>
      </c>
      <c r="P2908" s="76">
        <f t="shared" si="1087"/>
        <v>0.41666666666666669</v>
      </c>
      <c r="Q2908" s="76">
        <f t="shared" si="1088"/>
        <v>0.58333333333333326</v>
      </c>
      <c r="R2908" s="76">
        <f t="shared" si="1089"/>
        <v>0</v>
      </c>
      <c r="S2908" s="76">
        <f t="shared" si="1090"/>
        <v>1.028695652173913</v>
      </c>
      <c r="T2908" s="76">
        <f t="shared" si="1091"/>
        <v>1.028695652173913</v>
      </c>
      <c r="U2908" s="76">
        <f t="shared" si="1092"/>
        <v>1.04</v>
      </c>
    </row>
    <row r="2909" spans="1:21" x14ac:dyDescent="0.25">
      <c r="A2909" s="71">
        <v>23</v>
      </c>
      <c r="B2909" s="72">
        <f t="shared" si="1093"/>
        <v>46327</v>
      </c>
      <c r="C2909" s="73">
        <f t="shared" si="1074"/>
        <v>46356</v>
      </c>
      <c r="D2909" s="67">
        <f t="shared" si="1075"/>
        <v>30</v>
      </c>
      <c r="E2909" s="67">
        <f t="shared" si="1076"/>
        <v>11</v>
      </c>
      <c r="F2909" s="74">
        <f t="shared" si="1077"/>
        <v>46342</v>
      </c>
      <c r="G2909" s="67">
        <f t="shared" si="1078"/>
        <v>24322</v>
      </c>
      <c r="H2909" s="75">
        <f t="shared" si="1079"/>
        <v>1</v>
      </c>
      <c r="I2909" s="76">
        <f t="shared" si="1080"/>
        <v>1.04</v>
      </c>
      <c r="J2909" s="76">
        <f t="shared" si="1081"/>
        <v>1.04</v>
      </c>
      <c r="K2909" s="67">
        <f t="shared" si="1082"/>
        <v>0</v>
      </c>
      <c r="L2909" s="67">
        <f t="shared" si="1083"/>
        <v>0</v>
      </c>
      <c r="M2909" s="77">
        <f t="shared" si="1084"/>
        <v>0</v>
      </c>
      <c r="N2909" s="76">
        <f t="shared" si="1085"/>
        <v>1.04</v>
      </c>
      <c r="O2909" s="77">
        <f t="shared" si="1086"/>
        <v>0.91</v>
      </c>
      <c r="P2909" s="76">
        <f t="shared" si="1087"/>
        <v>0.25</v>
      </c>
      <c r="Q2909" s="76">
        <f t="shared" si="1088"/>
        <v>0.75</v>
      </c>
      <c r="R2909" s="76">
        <f t="shared" si="1089"/>
        <v>0</v>
      </c>
      <c r="S2909" s="76">
        <f t="shared" si="1090"/>
        <v>1.028695652173913</v>
      </c>
      <c r="T2909" s="76">
        <f t="shared" si="1091"/>
        <v>1.028695652173913</v>
      </c>
      <c r="U2909" s="76">
        <f t="shared" si="1092"/>
        <v>1.04</v>
      </c>
    </row>
    <row r="2910" spans="1:21" x14ac:dyDescent="0.25">
      <c r="A2910" s="71">
        <v>24</v>
      </c>
      <c r="B2910" s="72">
        <f t="shared" si="1093"/>
        <v>46357</v>
      </c>
      <c r="C2910" s="73">
        <f t="shared" si="1074"/>
        <v>46387</v>
      </c>
      <c r="D2910" s="67">
        <f t="shared" si="1075"/>
        <v>31</v>
      </c>
      <c r="E2910" s="67">
        <f t="shared" si="1076"/>
        <v>12</v>
      </c>
      <c r="F2910" s="74">
        <f t="shared" si="1077"/>
        <v>46372.5</v>
      </c>
      <c r="G2910" s="67">
        <f t="shared" si="1078"/>
        <v>24323</v>
      </c>
      <c r="H2910" s="75">
        <f t="shared" si="1079"/>
        <v>1</v>
      </c>
      <c r="I2910" s="76">
        <f t="shared" si="1080"/>
        <v>1.04</v>
      </c>
      <c r="J2910" s="76">
        <f t="shared" si="1081"/>
        <v>1.04</v>
      </c>
      <c r="K2910" s="67">
        <f t="shared" si="1082"/>
        <v>0</v>
      </c>
      <c r="L2910" s="67">
        <f t="shared" si="1083"/>
        <v>0</v>
      </c>
      <c r="M2910" s="77">
        <f t="shared" si="1084"/>
        <v>0</v>
      </c>
      <c r="N2910" s="76">
        <f t="shared" si="1085"/>
        <v>1.04</v>
      </c>
      <c r="O2910" s="77">
        <f t="shared" si="1086"/>
        <v>0.91</v>
      </c>
      <c r="P2910" s="76">
        <f t="shared" si="1087"/>
        <v>8.3333333333333329E-2</v>
      </c>
      <c r="Q2910" s="76">
        <f t="shared" si="1088"/>
        <v>0.91666666666666663</v>
      </c>
      <c r="R2910" s="76">
        <f t="shared" si="1089"/>
        <v>0</v>
      </c>
      <c r="S2910" s="76">
        <f t="shared" si="1090"/>
        <v>1.028695652173913</v>
      </c>
      <c r="T2910" s="76">
        <f t="shared" si="1091"/>
        <v>1.028695652173913</v>
      </c>
      <c r="U2910" s="76">
        <f t="shared" si="1092"/>
        <v>1.04</v>
      </c>
    </row>
    <row r="2911" spans="1:21" x14ac:dyDescent="0.25">
      <c r="A2911" s="71">
        <v>25</v>
      </c>
      <c r="B2911" s="72">
        <f t="shared" si="1093"/>
        <v>46388</v>
      </c>
      <c r="C2911" s="73">
        <f t="shared" si="1074"/>
        <v>46418</v>
      </c>
      <c r="D2911" s="67">
        <f t="shared" si="1075"/>
        <v>31</v>
      </c>
      <c r="E2911" s="67">
        <f t="shared" si="1076"/>
        <v>1</v>
      </c>
      <c r="F2911" s="74">
        <f t="shared" si="1077"/>
        <v>46403.5</v>
      </c>
      <c r="G2911" s="67">
        <f t="shared" si="1078"/>
        <v>24324</v>
      </c>
      <c r="H2911" s="75">
        <f t="shared" si="1079"/>
        <v>1</v>
      </c>
      <c r="I2911" s="76">
        <f t="shared" si="1080"/>
        <v>1.04</v>
      </c>
      <c r="J2911" s="76">
        <f t="shared" si="1081"/>
        <v>1.04</v>
      </c>
      <c r="K2911" s="67">
        <f t="shared" si="1082"/>
        <v>0</v>
      </c>
      <c r="L2911" s="67">
        <f t="shared" si="1083"/>
        <v>0</v>
      </c>
      <c r="M2911" s="77">
        <f t="shared" si="1084"/>
        <v>0</v>
      </c>
      <c r="N2911" s="76">
        <f t="shared" si="1085"/>
        <v>1.04</v>
      </c>
      <c r="O2911" s="77">
        <f t="shared" si="1086"/>
        <v>0.91</v>
      </c>
      <c r="P2911" s="76">
        <f t="shared" si="1087"/>
        <v>0</v>
      </c>
      <c r="Q2911" s="76">
        <f t="shared" si="1088"/>
        <v>1</v>
      </c>
      <c r="R2911" s="76">
        <f t="shared" si="1089"/>
        <v>0</v>
      </c>
      <c r="S2911" s="76">
        <f t="shared" si="1090"/>
        <v>1.028695652173913</v>
      </c>
      <c r="T2911" s="76">
        <f t="shared" si="1091"/>
        <v>0.98913043478260865</v>
      </c>
      <c r="U2911" s="76">
        <f t="shared" si="1092"/>
        <v>1.04</v>
      </c>
    </row>
    <row r="2912" spans="1:21" x14ac:dyDescent="0.25">
      <c r="A2912" s="71">
        <v>26</v>
      </c>
      <c r="B2912" s="72">
        <f t="shared" si="1093"/>
        <v>46419</v>
      </c>
      <c r="C2912" s="73">
        <f t="shared" si="1074"/>
        <v>46446</v>
      </c>
      <c r="D2912" s="67">
        <f t="shared" si="1075"/>
        <v>28</v>
      </c>
      <c r="E2912" s="67">
        <f t="shared" si="1076"/>
        <v>2</v>
      </c>
      <c r="F2912" s="74">
        <f t="shared" si="1077"/>
        <v>46433</v>
      </c>
      <c r="G2912" s="67">
        <f t="shared" si="1078"/>
        <v>24325</v>
      </c>
      <c r="H2912" s="75">
        <f t="shared" si="1079"/>
        <v>1</v>
      </c>
      <c r="I2912" s="76">
        <f t="shared" si="1080"/>
        <v>1.04</v>
      </c>
      <c r="J2912" s="76">
        <f t="shared" si="1081"/>
        <v>1.04</v>
      </c>
      <c r="K2912" s="67">
        <f t="shared" si="1082"/>
        <v>0</v>
      </c>
      <c r="L2912" s="67">
        <f t="shared" si="1083"/>
        <v>0</v>
      </c>
      <c r="M2912" s="77">
        <f t="shared" si="1084"/>
        <v>0</v>
      </c>
      <c r="N2912" s="76">
        <f t="shared" si="1085"/>
        <v>1.04</v>
      </c>
      <c r="O2912" s="77">
        <f t="shared" si="1086"/>
        <v>0.91</v>
      </c>
      <c r="P2912" s="76">
        <f t="shared" si="1087"/>
        <v>0</v>
      </c>
      <c r="Q2912" s="76">
        <f t="shared" si="1088"/>
        <v>1</v>
      </c>
      <c r="R2912" s="76">
        <f t="shared" si="1089"/>
        <v>0</v>
      </c>
      <c r="S2912" s="76">
        <f t="shared" si="1090"/>
        <v>1.028695652173913</v>
      </c>
      <c r="T2912" s="76">
        <f t="shared" si="1091"/>
        <v>0.98913043478260865</v>
      </c>
      <c r="U2912" s="76">
        <f t="shared" si="1092"/>
        <v>1.04</v>
      </c>
    </row>
    <row r="2913" spans="1:21" x14ac:dyDescent="0.25">
      <c r="A2913" s="71">
        <v>27</v>
      </c>
      <c r="B2913" s="72">
        <f t="shared" si="1093"/>
        <v>46447</v>
      </c>
      <c r="C2913" s="73">
        <f t="shared" si="1074"/>
        <v>46477</v>
      </c>
      <c r="D2913" s="67">
        <f t="shared" si="1075"/>
        <v>31</v>
      </c>
      <c r="E2913" s="67">
        <f t="shared" si="1076"/>
        <v>3</v>
      </c>
      <c r="F2913" s="74">
        <f t="shared" si="1077"/>
        <v>46462.5</v>
      </c>
      <c r="G2913" s="67">
        <f t="shared" si="1078"/>
        <v>24326</v>
      </c>
      <c r="H2913" s="75">
        <f t="shared" si="1079"/>
        <v>1</v>
      </c>
      <c r="I2913" s="76">
        <f t="shared" si="1080"/>
        <v>1.04</v>
      </c>
      <c r="J2913" s="76">
        <f t="shared" si="1081"/>
        <v>1.04</v>
      </c>
      <c r="K2913" s="67">
        <f t="shared" si="1082"/>
        <v>0</v>
      </c>
      <c r="L2913" s="67">
        <f t="shared" si="1083"/>
        <v>0</v>
      </c>
      <c r="M2913" s="77">
        <f t="shared" si="1084"/>
        <v>0</v>
      </c>
      <c r="N2913" s="76">
        <f t="shared" si="1085"/>
        <v>1.04</v>
      </c>
      <c r="O2913" s="77">
        <f t="shared" si="1086"/>
        <v>0.91</v>
      </c>
      <c r="P2913" s="76">
        <f t="shared" si="1087"/>
        <v>0</v>
      </c>
      <c r="Q2913" s="76">
        <f t="shared" si="1088"/>
        <v>1</v>
      </c>
      <c r="R2913" s="76">
        <f t="shared" si="1089"/>
        <v>0</v>
      </c>
      <c r="S2913" s="76">
        <f t="shared" si="1090"/>
        <v>1.028695652173913</v>
      </c>
      <c r="T2913" s="76">
        <f t="shared" si="1091"/>
        <v>0.98913043478260865</v>
      </c>
      <c r="U2913" s="76">
        <f t="shared" si="1092"/>
        <v>1.04</v>
      </c>
    </row>
    <row r="2914" spans="1:21" x14ac:dyDescent="0.25">
      <c r="A2914" s="71">
        <v>28</v>
      </c>
      <c r="B2914" s="72">
        <f t="shared" si="1093"/>
        <v>46478</v>
      </c>
      <c r="C2914" s="73">
        <f t="shared" si="1074"/>
        <v>46507</v>
      </c>
      <c r="D2914" s="67">
        <f t="shared" si="1075"/>
        <v>30</v>
      </c>
      <c r="E2914" s="67">
        <f t="shared" si="1076"/>
        <v>4</v>
      </c>
      <c r="F2914" s="74">
        <f t="shared" si="1077"/>
        <v>46493</v>
      </c>
      <c r="G2914" s="67">
        <f t="shared" si="1078"/>
        <v>24327</v>
      </c>
      <c r="H2914" s="75">
        <f t="shared" si="1079"/>
        <v>1</v>
      </c>
      <c r="I2914" s="76">
        <f t="shared" si="1080"/>
        <v>1.04</v>
      </c>
      <c r="J2914" s="76">
        <f t="shared" si="1081"/>
        <v>1.04</v>
      </c>
      <c r="K2914" s="67">
        <f t="shared" si="1082"/>
        <v>0</v>
      </c>
      <c r="L2914" s="67">
        <f t="shared" si="1083"/>
        <v>0</v>
      </c>
      <c r="M2914" s="77">
        <f t="shared" si="1084"/>
        <v>0</v>
      </c>
      <c r="N2914" s="76">
        <f t="shared" si="1085"/>
        <v>1.04</v>
      </c>
      <c r="O2914" s="77">
        <f t="shared" si="1086"/>
        <v>0.91</v>
      </c>
      <c r="P2914" s="76">
        <f t="shared" si="1087"/>
        <v>0</v>
      </c>
      <c r="Q2914" s="76">
        <f t="shared" si="1088"/>
        <v>1</v>
      </c>
      <c r="R2914" s="76">
        <f t="shared" si="1089"/>
        <v>0</v>
      </c>
      <c r="S2914" s="76">
        <f t="shared" si="1090"/>
        <v>1.028695652173913</v>
      </c>
      <c r="T2914" s="76">
        <f t="shared" si="1091"/>
        <v>0.98913043478260865</v>
      </c>
      <c r="U2914" s="76">
        <f t="shared" si="1092"/>
        <v>1.04</v>
      </c>
    </row>
    <row r="2915" spans="1:21" x14ac:dyDescent="0.25">
      <c r="A2915" s="71">
        <v>29</v>
      </c>
      <c r="B2915" s="72">
        <f t="shared" si="1093"/>
        <v>46508</v>
      </c>
      <c r="C2915" s="73">
        <f t="shared" si="1074"/>
        <v>46538</v>
      </c>
      <c r="D2915" s="67">
        <f t="shared" si="1075"/>
        <v>31</v>
      </c>
      <c r="E2915" s="67">
        <f t="shared" si="1076"/>
        <v>5</v>
      </c>
      <c r="F2915" s="74">
        <f t="shared" si="1077"/>
        <v>46523.5</v>
      </c>
      <c r="G2915" s="67">
        <f t="shared" si="1078"/>
        <v>24328</v>
      </c>
      <c r="H2915" s="75">
        <f t="shared" si="1079"/>
        <v>1</v>
      </c>
      <c r="I2915" s="76">
        <f t="shared" si="1080"/>
        <v>1.04</v>
      </c>
      <c r="J2915" s="76">
        <f t="shared" si="1081"/>
        <v>1.04</v>
      </c>
      <c r="K2915" s="67">
        <f t="shared" si="1082"/>
        <v>0</v>
      </c>
      <c r="L2915" s="67">
        <f t="shared" si="1083"/>
        <v>0</v>
      </c>
      <c r="M2915" s="77">
        <f t="shared" si="1084"/>
        <v>0</v>
      </c>
      <c r="N2915" s="76">
        <f t="shared" si="1085"/>
        <v>1.04</v>
      </c>
      <c r="O2915" s="77">
        <f t="shared" si="1086"/>
        <v>0.91</v>
      </c>
      <c r="P2915" s="76">
        <f t="shared" si="1087"/>
        <v>0</v>
      </c>
      <c r="Q2915" s="76">
        <f t="shared" si="1088"/>
        <v>1</v>
      </c>
      <c r="R2915" s="76">
        <f t="shared" si="1089"/>
        <v>0</v>
      </c>
      <c r="S2915" s="76">
        <f t="shared" si="1090"/>
        <v>1.028695652173913</v>
      </c>
      <c r="T2915" s="76">
        <f t="shared" si="1091"/>
        <v>1.028695652173913</v>
      </c>
      <c r="U2915" s="76">
        <f t="shared" si="1092"/>
        <v>1.04</v>
      </c>
    </row>
    <row r="2916" spans="1:21" x14ac:dyDescent="0.25">
      <c r="A2916" s="71">
        <v>30</v>
      </c>
      <c r="B2916" s="72">
        <f t="shared" si="1093"/>
        <v>46539</v>
      </c>
      <c r="C2916" s="73">
        <f t="shared" si="1074"/>
        <v>46568</v>
      </c>
      <c r="D2916" s="67">
        <f t="shared" si="1075"/>
        <v>30</v>
      </c>
      <c r="E2916" s="67">
        <f t="shared" si="1076"/>
        <v>6</v>
      </c>
      <c r="F2916" s="74">
        <f t="shared" si="1077"/>
        <v>46554</v>
      </c>
      <c r="G2916" s="67">
        <f t="shared" si="1078"/>
        <v>24329</v>
      </c>
      <c r="H2916" s="75">
        <f t="shared" si="1079"/>
        <v>1</v>
      </c>
      <c r="I2916" s="76">
        <f t="shared" si="1080"/>
        <v>1.04</v>
      </c>
      <c r="J2916" s="76">
        <f t="shared" si="1081"/>
        <v>1.04</v>
      </c>
      <c r="K2916" s="67">
        <f t="shared" si="1082"/>
        <v>0</v>
      </c>
      <c r="L2916" s="67">
        <f t="shared" si="1083"/>
        <v>0</v>
      </c>
      <c r="M2916" s="77">
        <f t="shared" si="1084"/>
        <v>0</v>
      </c>
      <c r="N2916" s="76">
        <f t="shared" si="1085"/>
        <v>1.04</v>
      </c>
      <c r="O2916" s="77">
        <f t="shared" si="1086"/>
        <v>0.91</v>
      </c>
      <c r="P2916" s="76">
        <f t="shared" si="1087"/>
        <v>0</v>
      </c>
      <c r="Q2916" s="76">
        <f t="shared" si="1088"/>
        <v>1</v>
      </c>
      <c r="R2916" s="76">
        <f t="shared" si="1089"/>
        <v>0</v>
      </c>
      <c r="S2916" s="76">
        <f t="shared" si="1090"/>
        <v>1.028695652173913</v>
      </c>
      <c r="T2916" s="76">
        <f t="shared" si="1091"/>
        <v>1.028695652173913</v>
      </c>
      <c r="U2916" s="76">
        <f t="shared" si="1092"/>
        <v>1.04</v>
      </c>
    </row>
    <row r="2917" spans="1:21" x14ac:dyDescent="0.25">
      <c r="A2917" s="71">
        <v>31</v>
      </c>
      <c r="B2917" s="72">
        <f t="shared" si="1093"/>
        <v>46569</v>
      </c>
      <c r="C2917" s="73">
        <f t="shared" si="1074"/>
        <v>46599</v>
      </c>
      <c r="D2917" s="67">
        <f t="shared" si="1075"/>
        <v>31</v>
      </c>
      <c r="E2917" s="67">
        <f t="shared" si="1076"/>
        <v>7</v>
      </c>
      <c r="F2917" s="74">
        <f t="shared" si="1077"/>
        <v>46584.5</v>
      </c>
      <c r="G2917" s="67">
        <f t="shared" si="1078"/>
        <v>24330</v>
      </c>
      <c r="H2917" s="75">
        <f t="shared" si="1079"/>
        <v>1</v>
      </c>
      <c r="I2917" s="76">
        <f t="shared" si="1080"/>
        <v>1.04</v>
      </c>
      <c r="J2917" s="76">
        <f t="shared" si="1081"/>
        <v>1.04</v>
      </c>
      <c r="K2917" s="67">
        <f t="shared" si="1082"/>
        <v>0</v>
      </c>
      <c r="L2917" s="67">
        <f t="shared" si="1083"/>
        <v>0</v>
      </c>
      <c r="M2917" s="77">
        <f t="shared" si="1084"/>
        <v>0</v>
      </c>
      <c r="N2917" s="76">
        <f t="shared" si="1085"/>
        <v>1.04</v>
      </c>
      <c r="O2917" s="77">
        <f t="shared" si="1086"/>
        <v>0.91</v>
      </c>
      <c r="P2917" s="76">
        <f t="shared" si="1087"/>
        <v>0</v>
      </c>
      <c r="Q2917" s="76">
        <f t="shared" si="1088"/>
        <v>0.91666666666666663</v>
      </c>
      <c r="R2917" s="76">
        <f t="shared" si="1089"/>
        <v>8.333333333333337E-2</v>
      </c>
      <c r="S2917" s="76">
        <f t="shared" si="1090"/>
        <v>1.028695652173913</v>
      </c>
      <c r="T2917" s="76">
        <f t="shared" si="1091"/>
        <v>1.028695652173913</v>
      </c>
      <c r="U2917" s="76">
        <f t="shared" si="1092"/>
        <v>1.04</v>
      </c>
    </row>
    <row r="2918" spans="1:21" x14ac:dyDescent="0.25">
      <c r="A2918" s="71">
        <v>32</v>
      </c>
      <c r="B2918" s="72">
        <f t="shared" si="1093"/>
        <v>46600</v>
      </c>
      <c r="C2918" s="73">
        <f t="shared" si="1074"/>
        <v>46630</v>
      </c>
      <c r="D2918" s="67">
        <f t="shared" si="1075"/>
        <v>31</v>
      </c>
      <c r="E2918" s="67">
        <f t="shared" si="1076"/>
        <v>8</v>
      </c>
      <c r="F2918" s="74">
        <f t="shared" si="1077"/>
        <v>46615.5</v>
      </c>
      <c r="G2918" s="67">
        <f t="shared" si="1078"/>
        <v>24331</v>
      </c>
      <c r="H2918" s="75">
        <f t="shared" si="1079"/>
        <v>1</v>
      </c>
      <c r="I2918" s="76">
        <f t="shared" si="1080"/>
        <v>1.04</v>
      </c>
      <c r="J2918" s="76">
        <f t="shared" si="1081"/>
        <v>1.04</v>
      </c>
      <c r="K2918" s="67">
        <f t="shared" si="1082"/>
        <v>0</v>
      </c>
      <c r="L2918" s="67">
        <f t="shared" si="1083"/>
        <v>0</v>
      </c>
      <c r="M2918" s="77">
        <f t="shared" si="1084"/>
        <v>0</v>
      </c>
      <c r="N2918" s="76">
        <f t="shared" si="1085"/>
        <v>1.04</v>
      </c>
      <c r="O2918" s="77">
        <f t="shared" si="1086"/>
        <v>0.91</v>
      </c>
      <c r="P2918" s="76">
        <f t="shared" si="1087"/>
        <v>0</v>
      </c>
      <c r="Q2918" s="76">
        <f t="shared" si="1088"/>
        <v>0.75</v>
      </c>
      <c r="R2918" s="76">
        <f t="shared" si="1089"/>
        <v>0.25</v>
      </c>
      <c r="S2918" s="76">
        <f t="shared" si="1090"/>
        <v>1.028695652173913</v>
      </c>
      <c r="T2918" s="76">
        <f t="shared" si="1091"/>
        <v>1.028695652173913</v>
      </c>
      <c r="U2918" s="76">
        <f t="shared" si="1092"/>
        <v>1.04</v>
      </c>
    </row>
    <row r="2919" spans="1:21" x14ac:dyDescent="0.25">
      <c r="A2919" s="71">
        <v>33</v>
      </c>
      <c r="B2919" s="72">
        <f t="shared" si="1093"/>
        <v>46631</v>
      </c>
      <c r="C2919" s="73">
        <f t="shared" si="1074"/>
        <v>46660</v>
      </c>
      <c r="D2919" s="67">
        <f t="shared" si="1075"/>
        <v>30</v>
      </c>
      <c r="E2919" s="67">
        <f t="shared" si="1076"/>
        <v>9</v>
      </c>
      <c r="F2919" s="74">
        <f t="shared" si="1077"/>
        <v>46646</v>
      </c>
      <c r="G2919" s="67">
        <f t="shared" si="1078"/>
        <v>24332</v>
      </c>
      <c r="H2919" s="75">
        <f t="shared" si="1079"/>
        <v>1</v>
      </c>
      <c r="I2919" s="76">
        <f t="shared" si="1080"/>
        <v>1.04</v>
      </c>
      <c r="J2919" s="76">
        <f t="shared" si="1081"/>
        <v>1.04</v>
      </c>
      <c r="K2919" s="67">
        <f t="shared" si="1082"/>
        <v>0</v>
      </c>
      <c r="L2919" s="67">
        <f t="shared" si="1083"/>
        <v>0</v>
      </c>
      <c r="M2919" s="77">
        <f t="shared" si="1084"/>
        <v>0</v>
      </c>
      <c r="N2919" s="76">
        <f t="shared" si="1085"/>
        <v>1.04</v>
      </c>
      <c r="O2919" s="77">
        <f t="shared" si="1086"/>
        <v>0.91</v>
      </c>
      <c r="P2919" s="76">
        <f t="shared" si="1087"/>
        <v>0</v>
      </c>
      <c r="Q2919" s="76">
        <f t="shared" si="1088"/>
        <v>0.58333333333333337</v>
      </c>
      <c r="R2919" s="76">
        <f t="shared" si="1089"/>
        <v>0.41666666666666663</v>
      </c>
      <c r="S2919" s="76">
        <f t="shared" si="1090"/>
        <v>1.028695652173913</v>
      </c>
      <c r="T2919" s="76">
        <f t="shared" si="1091"/>
        <v>1.028695652173913</v>
      </c>
      <c r="U2919" s="76">
        <f t="shared" si="1092"/>
        <v>1.04</v>
      </c>
    </row>
    <row r="2920" spans="1:21" x14ac:dyDescent="0.25">
      <c r="A2920" s="71">
        <v>34</v>
      </c>
      <c r="B2920" s="72">
        <f t="shared" si="1093"/>
        <v>46661</v>
      </c>
      <c r="C2920" s="73">
        <f t="shared" si="1074"/>
        <v>46691</v>
      </c>
      <c r="D2920" s="67">
        <f t="shared" si="1075"/>
        <v>31</v>
      </c>
      <c r="E2920" s="67">
        <f t="shared" si="1076"/>
        <v>10</v>
      </c>
      <c r="F2920" s="74">
        <f t="shared" si="1077"/>
        <v>46676.5</v>
      </c>
      <c r="G2920" s="67">
        <f t="shared" si="1078"/>
        <v>24333</v>
      </c>
      <c r="H2920" s="75">
        <f t="shared" si="1079"/>
        <v>1</v>
      </c>
      <c r="I2920" s="76">
        <f t="shared" si="1080"/>
        <v>1.04</v>
      </c>
      <c r="J2920" s="76">
        <f t="shared" si="1081"/>
        <v>1.04</v>
      </c>
      <c r="K2920" s="67">
        <f t="shared" si="1082"/>
        <v>0</v>
      </c>
      <c r="L2920" s="67">
        <f t="shared" si="1083"/>
        <v>0</v>
      </c>
      <c r="M2920" s="77">
        <f t="shared" si="1084"/>
        <v>0</v>
      </c>
      <c r="N2920" s="76">
        <f t="shared" si="1085"/>
        <v>1.04</v>
      </c>
      <c r="O2920" s="77">
        <f t="shared" si="1086"/>
        <v>0.91</v>
      </c>
      <c r="P2920" s="76">
        <f t="shared" si="1087"/>
        <v>0</v>
      </c>
      <c r="Q2920" s="76">
        <f t="shared" si="1088"/>
        <v>0.41666666666666669</v>
      </c>
      <c r="R2920" s="76">
        <f t="shared" si="1089"/>
        <v>0.58333333333333326</v>
      </c>
      <c r="S2920" s="76">
        <f t="shared" si="1090"/>
        <v>1.028695652173913</v>
      </c>
      <c r="T2920" s="76">
        <f t="shared" si="1091"/>
        <v>1.028695652173913</v>
      </c>
      <c r="U2920" s="76">
        <f t="shared" si="1092"/>
        <v>1.04</v>
      </c>
    </row>
    <row r="2921" spans="1:21" x14ac:dyDescent="0.25">
      <c r="A2921" s="71">
        <v>35</v>
      </c>
      <c r="B2921" s="72">
        <f t="shared" si="1093"/>
        <v>46692</v>
      </c>
      <c r="C2921" s="73">
        <f t="shared" si="1074"/>
        <v>46721</v>
      </c>
      <c r="D2921" s="67">
        <f t="shared" si="1075"/>
        <v>30</v>
      </c>
      <c r="E2921" s="67">
        <f t="shared" si="1076"/>
        <v>11</v>
      </c>
      <c r="F2921" s="74">
        <f t="shared" si="1077"/>
        <v>46707</v>
      </c>
      <c r="G2921" s="67">
        <f t="shared" si="1078"/>
        <v>24334</v>
      </c>
      <c r="H2921" s="75">
        <f t="shared" si="1079"/>
        <v>1</v>
      </c>
      <c r="I2921" s="76">
        <f t="shared" si="1080"/>
        <v>1.04</v>
      </c>
      <c r="J2921" s="76">
        <f t="shared" si="1081"/>
        <v>1.04</v>
      </c>
      <c r="K2921" s="67">
        <f t="shared" si="1082"/>
        <v>0</v>
      </c>
      <c r="L2921" s="67">
        <f t="shared" si="1083"/>
        <v>0</v>
      </c>
      <c r="M2921" s="77">
        <f t="shared" si="1084"/>
        <v>0</v>
      </c>
      <c r="N2921" s="76">
        <f t="shared" si="1085"/>
        <v>1.04</v>
      </c>
      <c r="O2921" s="77">
        <f t="shared" si="1086"/>
        <v>0.91</v>
      </c>
      <c r="P2921" s="76">
        <f t="shared" si="1087"/>
        <v>0</v>
      </c>
      <c r="Q2921" s="76">
        <f t="shared" si="1088"/>
        <v>0.25</v>
      </c>
      <c r="R2921" s="76">
        <f t="shared" si="1089"/>
        <v>0.75</v>
      </c>
      <c r="S2921" s="76">
        <f t="shared" si="1090"/>
        <v>1.028695652173913</v>
      </c>
      <c r="T2921" s="76">
        <f t="shared" si="1091"/>
        <v>1.028695652173913</v>
      </c>
      <c r="U2921" s="76">
        <f t="shared" si="1092"/>
        <v>1.04</v>
      </c>
    </row>
    <row r="2922" spans="1:21" x14ac:dyDescent="0.25">
      <c r="A2922" s="71">
        <v>36</v>
      </c>
      <c r="B2922" s="72">
        <f t="shared" si="1093"/>
        <v>46722</v>
      </c>
      <c r="C2922" s="73">
        <f t="shared" si="1074"/>
        <v>46752</v>
      </c>
      <c r="D2922" s="67">
        <f t="shared" si="1075"/>
        <v>31</v>
      </c>
      <c r="E2922" s="67">
        <f t="shared" si="1076"/>
        <v>12</v>
      </c>
      <c r="F2922" s="74">
        <f t="shared" si="1077"/>
        <v>46737.5</v>
      </c>
      <c r="G2922" s="67">
        <f t="shared" si="1078"/>
        <v>24335</v>
      </c>
      <c r="H2922" s="75">
        <f t="shared" si="1079"/>
        <v>1</v>
      </c>
      <c r="I2922" s="76">
        <f t="shared" si="1080"/>
        <v>1.04</v>
      </c>
      <c r="J2922" s="76">
        <f t="shared" si="1081"/>
        <v>1.04</v>
      </c>
      <c r="K2922" s="67">
        <f t="shared" si="1082"/>
        <v>0</v>
      </c>
      <c r="L2922" s="67">
        <f t="shared" si="1083"/>
        <v>0</v>
      </c>
      <c r="M2922" s="77">
        <f t="shared" si="1084"/>
        <v>0</v>
      </c>
      <c r="N2922" s="76">
        <f t="shared" si="1085"/>
        <v>1.04</v>
      </c>
      <c r="O2922" s="77">
        <f t="shared" si="1086"/>
        <v>0.91</v>
      </c>
      <c r="P2922" s="76">
        <f t="shared" si="1087"/>
        <v>0</v>
      </c>
      <c r="Q2922" s="76">
        <f t="shared" si="1088"/>
        <v>8.3333333333333329E-2</v>
      </c>
      <c r="R2922" s="76">
        <f t="shared" si="1089"/>
        <v>0.91666666666666663</v>
      </c>
      <c r="S2922" s="76">
        <f t="shared" si="1090"/>
        <v>1.028695652173913</v>
      </c>
      <c r="T2922" s="76">
        <f t="shared" si="1091"/>
        <v>1.028695652173913</v>
      </c>
      <c r="U2922" s="76">
        <f t="shared" si="1092"/>
        <v>1.04</v>
      </c>
    </row>
    <row r="2923" spans="1:21" x14ac:dyDescent="0.25">
      <c r="A2923" s="71">
        <v>37</v>
      </c>
      <c r="B2923" s="72">
        <f t="shared" si="1093"/>
        <v>46753</v>
      </c>
      <c r="C2923" s="73">
        <f t="shared" si="1074"/>
        <v>46783</v>
      </c>
      <c r="D2923" s="67">
        <f t="shared" si="1075"/>
        <v>31</v>
      </c>
      <c r="E2923" s="67">
        <f t="shared" si="1076"/>
        <v>1</v>
      </c>
      <c r="F2923" s="74">
        <f t="shared" si="1077"/>
        <v>46768.5</v>
      </c>
      <c r="G2923" s="67">
        <f t="shared" si="1078"/>
        <v>24336</v>
      </c>
      <c r="H2923" s="75">
        <f t="shared" si="1079"/>
        <v>1</v>
      </c>
      <c r="I2923" s="76">
        <f t="shared" si="1080"/>
        <v>1.04</v>
      </c>
      <c r="J2923" s="76">
        <f t="shared" si="1081"/>
        <v>1.04</v>
      </c>
      <c r="K2923" s="67">
        <f t="shared" si="1082"/>
        <v>0</v>
      </c>
      <c r="L2923" s="67">
        <f t="shared" si="1083"/>
        <v>0</v>
      </c>
      <c r="M2923" s="77">
        <f t="shared" si="1084"/>
        <v>0</v>
      </c>
      <c r="N2923" s="76">
        <f t="shared" si="1085"/>
        <v>1.04</v>
      </c>
      <c r="O2923" s="77">
        <f t="shared" si="1086"/>
        <v>0.91</v>
      </c>
      <c r="P2923" s="76">
        <f t="shared" si="1087"/>
        <v>0</v>
      </c>
      <c r="Q2923" s="76">
        <f t="shared" si="1088"/>
        <v>0</v>
      </c>
      <c r="R2923" s="76">
        <f t="shared" si="1089"/>
        <v>1</v>
      </c>
      <c r="S2923" s="76">
        <f t="shared" si="1090"/>
        <v>1.028695652173913</v>
      </c>
      <c r="T2923" s="76">
        <f t="shared" si="1091"/>
        <v>0.98913043478260865</v>
      </c>
      <c r="U2923" s="76">
        <f t="shared" si="1092"/>
        <v>1.04</v>
      </c>
    </row>
    <row r="2924" spans="1:21" x14ac:dyDescent="0.25">
      <c r="A2924" s="71">
        <v>38</v>
      </c>
      <c r="B2924" s="72">
        <f t="shared" si="1093"/>
        <v>46784</v>
      </c>
      <c r="C2924" s="73">
        <f t="shared" si="1074"/>
        <v>46812</v>
      </c>
      <c r="D2924" s="67">
        <f t="shared" si="1075"/>
        <v>29</v>
      </c>
      <c r="E2924" s="67">
        <f t="shared" si="1076"/>
        <v>2</v>
      </c>
      <c r="F2924" s="74">
        <f t="shared" si="1077"/>
        <v>46798.5</v>
      </c>
      <c r="G2924" s="67">
        <f t="shared" si="1078"/>
        <v>24337</v>
      </c>
      <c r="H2924" s="75">
        <f t="shared" si="1079"/>
        <v>1</v>
      </c>
      <c r="I2924" s="76">
        <f t="shared" si="1080"/>
        <v>1.04</v>
      </c>
      <c r="J2924" s="76">
        <f t="shared" si="1081"/>
        <v>1.04</v>
      </c>
      <c r="K2924" s="67">
        <f t="shared" si="1082"/>
        <v>0</v>
      </c>
      <c r="L2924" s="67">
        <f t="shared" si="1083"/>
        <v>0</v>
      </c>
      <c r="M2924" s="77">
        <f t="shared" si="1084"/>
        <v>0</v>
      </c>
      <c r="N2924" s="76">
        <f t="shared" si="1085"/>
        <v>1.04</v>
      </c>
      <c r="O2924" s="77">
        <f t="shared" si="1086"/>
        <v>0.91</v>
      </c>
      <c r="P2924" s="76">
        <f t="shared" si="1087"/>
        <v>0</v>
      </c>
      <c r="Q2924" s="76">
        <f t="shared" si="1088"/>
        <v>0</v>
      </c>
      <c r="R2924" s="76">
        <f t="shared" si="1089"/>
        <v>1</v>
      </c>
      <c r="S2924" s="76">
        <f t="shared" si="1090"/>
        <v>1.028695652173913</v>
      </c>
      <c r="T2924" s="76">
        <f t="shared" si="1091"/>
        <v>0.98913043478260865</v>
      </c>
      <c r="U2924" s="76">
        <f t="shared" si="1092"/>
        <v>1.04</v>
      </c>
    </row>
    <row r="2925" spans="1:21" x14ac:dyDescent="0.25">
      <c r="A2925" s="71">
        <v>39</v>
      </c>
      <c r="B2925" s="72">
        <f t="shared" si="1093"/>
        <v>46813</v>
      </c>
      <c r="C2925" s="73">
        <f t="shared" si="1074"/>
        <v>46843</v>
      </c>
      <c r="D2925" s="67">
        <f t="shared" si="1075"/>
        <v>31</v>
      </c>
      <c r="E2925" s="67">
        <f t="shared" si="1076"/>
        <v>3</v>
      </c>
      <c r="F2925" s="74">
        <f t="shared" si="1077"/>
        <v>46828.5</v>
      </c>
      <c r="G2925" s="67">
        <f t="shared" si="1078"/>
        <v>24338</v>
      </c>
      <c r="H2925" s="75">
        <f t="shared" si="1079"/>
        <v>1</v>
      </c>
      <c r="I2925" s="76">
        <f t="shared" si="1080"/>
        <v>1.04</v>
      </c>
      <c r="J2925" s="76">
        <f t="shared" si="1081"/>
        <v>1.04</v>
      </c>
      <c r="K2925" s="67">
        <f t="shared" si="1082"/>
        <v>0</v>
      </c>
      <c r="L2925" s="67">
        <f t="shared" si="1083"/>
        <v>0</v>
      </c>
      <c r="M2925" s="77">
        <f t="shared" si="1084"/>
        <v>0</v>
      </c>
      <c r="N2925" s="76">
        <f t="shared" si="1085"/>
        <v>1.04</v>
      </c>
      <c r="O2925" s="77">
        <f t="shared" si="1086"/>
        <v>0.91</v>
      </c>
      <c r="P2925" s="76">
        <f t="shared" si="1087"/>
        <v>0</v>
      </c>
      <c r="Q2925" s="76">
        <f t="shared" si="1088"/>
        <v>0</v>
      </c>
      <c r="R2925" s="76">
        <f t="shared" si="1089"/>
        <v>1</v>
      </c>
      <c r="S2925" s="76">
        <f t="shared" si="1090"/>
        <v>1.028695652173913</v>
      </c>
      <c r="T2925" s="76">
        <f t="shared" si="1091"/>
        <v>0.98913043478260865</v>
      </c>
      <c r="U2925" s="76">
        <f t="shared" si="1092"/>
        <v>1.04</v>
      </c>
    </row>
    <row r="2926" spans="1:21" x14ac:dyDescent="0.25">
      <c r="A2926" s="71">
        <v>40</v>
      </c>
      <c r="B2926" s="72">
        <f t="shared" si="1093"/>
        <v>46844</v>
      </c>
      <c r="C2926" s="73">
        <f t="shared" si="1074"/>
        <v>46873</v>
      </c>
      <c r="D2926" s="67">
        <f t="shared" si="1075"/>
        <v>30</v>
      </c>
      <c r="E2926" s="67">
        <f t="shared" si="1076"/>
        <v>4</v>
      </c>
      <c r="F2926" s="74">
        <f t="shared" si="1077"/>
        <v>46859</v>
      </c>
      <c r="G2926" s="67">
        <f t="shared" si="1078"/>
        <v>24339</v>
      </c>
      <c r="H2926" s="75">
        <f t="shared" si="1079"/>
        <v>1</v>
      </c>
      <c r="I2926" s="76">
        <f t="shared" si="1080"/>
        <v>1.04</v>
      </c>
      <c r="J2926" s="76">
        <f t="shared" si="1081"/>
        <v>1.04</v>
      </c>
      <c r="K2926" s="67">
        <f t="shared" si="1082"/>
        <v>0</v>
      </c>
      <c r="L2926" s="67">
        <f t="shared" si="1083"/>
        <v>0</v>
      </c>
      <c r="M2926" s="77">
        <f t="shared" si="1084"/>
        <v>0</v>
      </c>
      <c r="N2926" s="76">
        <f t="shared" si="1085"/>
        <v>1.04</v>
      </c>
      <c r="O2926" s="77">
        <f t="shared" si="1086"/>
        <v>0.91</v>
      </c>
      <c r="P2926" s="76">
        <f t="shared" si="1087"/>
        <v>0</v>
      </c>
      <c r="Q2926" s="76">
        <f t="shared" si="1088"/>
        <v>0</v>
      </c>
      <c r="R2926" s="76">
        <f t="shared" si="1089"/>
        <v>1</v>
      </c>
      <c r="S2926" s="76">
        <f t="shared" si="1090"/>
        <v>1.028695652173913</v>
      </c>
      <c r="T2926" s="76">
        <f t="shared" si="1091"/>
        <v>0.98913043478260865</v>
      </c>
      <c r="U2926" s="76">
        <f t="shared" si="1092"/>
        <v>1.04</v>
      </c>
    </row>
    <row r="2927" spans="1:21" x14ac:dyDescent="0.25">
      <c r="A2927" s="71">
        <v>41</v>
      </c>
      <c r="B2927" s="72">
        <f t="shared" si="1093"/>
        <v>46874</v>
      </c>
      <c r="C2927" s="73">
        <f t="shared" si="1074"/>
        <v>46904</v>
      </c>
      <c r="D2927" s="67">
        <f t="shared" si="1075"/>
        <v>31</v>
      </c>
      <c r="E2927" s="67">
        <f t="shared" si="1076"/>
        <v>5</v>
      </c>
      <c r="F2927" s="74">
        <f t="shared" si="1077"/>
        <v>46889.5</v>
      </c>
      <c r="G2927" s="67">
        <f t="shared" si="1078"/>
        <v>24340</v>
      </c>
      <c r="H2927" s="75">
        <f t="shared" si="1079"/>
        <v>1</v>
      </c>
      <c r="I2927" s="76">
        <f t="shared" si="1080"/>
        <v>1.04</v>
      </c>
      <c r="J2927" s="76">
        <f t="shared" si="1081"/>
        <v>1.04</v>
      </c>
      <c r="K2927" s="67">
        <f t="shared" si="1082"/>
        <v>0</v>
      </c>
      <c r="L2927" s="67">
        <f t="shared" si="1083"/>
        <v>0</v>
      </c>
      <c r="M2927" s="77">
        <f t="shared" si="1084"/>
        <v>0</v>
      </c>
      <c r="N2927" s="76">
        <f t="shared" si="1085"/>
        <v>1.04</v>
      </c>
      <c r="O2927" s="77">
        <f t="shared" si="1086"/>
        <v>0.91</v>
      </c>
      <c r="P2927" s="76">
        <f t="shared" si="1087"/>
        <v>0</v>
      </c>
      <c r="Q2927" s="76">
        <f t="shared" si="1088"/>
        <v>0</v>
      </c>
      <c r="R2927" s="76">
        <f t="shared" si="1089"/>
        <v>1</v>
      </c>
      <c r="S2927" s="76">
        <f t="shared" si="1090"/>
        <v>1.028695652173913</v>
      </c>
      <c r="T2927" s="76">
        <f t="shared" si="1091"/>
        <v>1.028695652173913</v>
      </c>
      <c r="U2927" s="76">
        <f t="shared" si="1092"/>
        <v>1.04</v>
      </c>
    </row>
    <row r="2928" spans="1:21" x14ac:dyDescent="0.25">
      <c r="A2928" s="71">
        <v>42</v>
      </c>
      <c r="B2928" s="72">
        <f t="shared" si="1093"/>
        <v>46905</v>
      </c>
      <c r="C2928" s="73">
        <f t="shared" si="1074"/>
        <v>46934</v>
      </c>
      <c r="D2928" s="67">
        <f t="shared" si="1075"/>
        <v>30</v>
      </c>
      <c r="E2928" s="67">
        <f t="shared" si="1076"/>
        <v>6</v>
      </c>
      <c r="F2928" s="74">
        <f t="shared" si="1077"/>
        <v>46920</v>
      </c>
      <c r="G2928" s="67">
        <f t="shared" si="1078"/>
        <v>24341</v>
      </c>
      <c r="H2928" s="75">
        <f t="shared" si="1079"/>
        <v>1</v>
      </c>
      <c r="I2928" s="76">
        <f t="shared" si="1080"/>
        <v>1.04</v>
      </c>
      <c r="J2928" s="76">
        <f t="shared" si="1081"/>
        <v>1.04</v>
      </c>
      <c r="K2928" s="67">
        <f t="shared" si="1082"/>
        <v>0</v>
      </c>
      <c r="L2928" s="67">
        <f t="shared" si="1083"/>
        <v>0</v>
      </c>
      <c r="M2928" s="77">
        <f t="shared" si="1084"/>
        <v>0</v>
      </c>
      <c r="N2928" s="76">
        <f t="shared" si="1085"/>
        <v>1.04</v>
      </c>
      <c r="O2928" s="77">
        <f t="shared" si="1086"/>
        <v>0.91</v>
      </c>
      <c r="P2928" s="76">
        <f t="shared" si="1087"/>
        <v>0</v>
      </c>
      <c r="Q2928" s="76">
        <f t="shared" si="1088"/>
        <v>0</v>
      </c>
      <c r="R2928" s="76">
        <f t="shared" si="1089"/>
        <v>1</v>
      </c>
      <c r="S2928" s="76">
        <f t="shared" si="1090"/>
        <v>1.028695652173913</v>
      </c>
      <c r="T2928" s="76">
        <f t="shared" si="1091"/>
        <v>1.028695652173913</v>
      </c>
      <c r="U2928" s="76">
        <f t="shared" si="1092"/>
        <v>1.04</v>
      </c>
    </row>
    <row r="2929" spans="1:21" x14ac:dyDescent="0.25">
      <c r="A2929" s="71">
        <v>43</v>
      </c>
      <c r="B2929" s="72">
        <f t="shared" si="1093"/>
        <v>46935</v>
      </c>
      <c r="C2929" s="73">
        <f t="shared" si="1074"/>
        <v>46965</v>
      </c>
      <c r="D2929" s="67">
        <f t="shared" si="1075"/>
        <v>31</v>
      </c>
      <c r="E2929" s="67">
        <f t="shared" si="1076"/>
        <v>7</v>
      </c>
      <c r="F2929" s="74">
        <f t="shared" si="1077"/>
        <v>46950.5</v>
      </c>
      <c r="G2929" s="67">
        <f t="shared" si="1078"/>
        <v>24342</v>
      </c>
      <c r="H2929" s="75">
        <f t="shared" si="1079"/>
        <v>1</v>
      </c>
      <c r="I2929" s="76">
        <f t="shared" si="1080"/>
        <v>1.04</v>
      </c>
      <c r="J2929" s="76">
        <f t="shared" si="1081"/>
        <v>1.04</v>
      </c>
      <c r="K2929" s="67">
        <f t="shared" si="1082"/>
        <v>0</v>
      </c>
      <c r="L2929" s="67">
        <f t="shared" si="1083"/>
        <v>0</v>
      </c>
      <c r="M2929" s="77">
        <f t="shared" si="1084"/>
        <v>0</v>
      </c>
      <c r="N2929" s="76">
        <f t="shared" si="1085"/>
        <v>1.04</v>
      </c>
      <c r="O2929" s="77">
        <f t="shared" si="1086"/>
        <v>0.91</v>
      </c>
      <c r="P2929" s="76">
        <f t="shared" si="1087"/>
        <v>0</v>
      </c>
      <c r="Q2929" s="76">
        <f t="shared" si="1088"/>
        <v>0</v>
      </c>
      <c r="R2929" s="76">
        <f t="shared" si="1089"/>
        <v>0.91666666666666663</v>
      </c>
      <c r="S2929" s="76">
        <f t="shared" si="1090"/>
        <v>1.028695652173913</v>
      </c>
      <c r="T2929" s="76">
        <f t="shared" si="1091"/>
        <v>1.028695652173913</v>
      </c>
      <c r="U2929" s="76">
        <f t="shared" si="1092"/>
        <v>1.04</v>
      </c>
    </row>
    <row r="2930" spans="1:21" x14ac:dyDescent="0.25">
      <c r="A2930" s="71">
        <v>44</v>
      </c>
      <c r="B2930" s="72">
        <f t="shared" si="1093"/>
        <v>46966</v>
      </c>
      <c r="C2930" s="73">
        <f t="shared" si="1074"/>
        <v>46996</v>
      </c>
      <c r="D2930" s="67">
        <f t="shared" si="1075"/>
        <v>31</v>
      </c>
      <c r="E2930" s="67">
        <f t="shared" si="1076"/>
        <v>8</v>
      </c>
      <c r="F2930" s="74">
        <f t="shared" si="1077"/>
        <v>46981.5</v>
      </c>
      <c r="G2930" s="67">
        <f t="shared" si="1078"/>
        <v>24343</v>
      </c>
      <c r="H2930" s="75">
        <f t="shared" si="1079"/>
        <v>1</v>
      </c>
      <c r="I2930" s="76">
        <f t="shared" si="1080"/>
        <v>1.04</v>
      </c>
      <c r="J2930" s="76">
        <f t="shared" si="1081"/>
        <v>1.04</v>
      </c>
      <c r="K2930" s="67">
        <f t="shared" si="1082"/>
        <v>0</v>
      </c>
      <c r="L2930" s="67">
        <f t="shared" si="1083"/>
        <v>0</v>
      </c>
      <c r="M2930" s="77">
        <f t="shared" si="1084"/>
        <v>0</v>
      </c>
      <c r="N2930" s="76">
        <f t="shared" si="1085"/>
        <v>1.04</v>
      </c>
      <c r="O2930" s="77">
        <f t="shared" si="1086"/>
        <v>0.91</v>
      </c>
      <c r="P2930" s="76">
        <f t="shared" si="1087"/>
        <v>0</v>
      </c>
      <c r="Q2930" s="76">
        <f t="shared" si="1088"/>
        <v>0</v>
      </c>
      <c r="R2930" s="76">
        <f t="shared" si="1089"/>
        <v>0.75</v>
      </c>
      <c r="S2930" s="76">
        <f t="shared" si="1090"/>
        <v>1.028695652173913</v>
      </c>
      <c r="T2930" s="76">
        <f t="shared" si="1091"/>
        <v>1.028695652173913</v>
      </c>
      <c r="U2930" s="76">
        <f t="shared" si="1092"/>
        <v>1.04</v>
      </c>
    </row>
    <row r="2931" spans="1:21" x14ac:dyDescent="0.25">
      <c r="A2931" s="71">
        <v>45</v>
      </c>
      <c r="B2931" s="72">
        <f t="shared" si="1093"/>
        <v>46997</v>
      </c>
      <c r="C2931" s="73">
        <f t="shared" si="1074"/>
        <v>47026</v>
      </c>
      <c r="D2931" s="67">
        <f t="shared" si="1075"/>
        <v>30</v>
      </c>
      <c r="E2931" s="67">
        <f t="shared" si="1076"/>
        <v>9</v>
      </c>
      <c r="F2931" s="74">
        <f t="shared" si="1077"/>
        <v>47012</v>
      </c>
      <c r="G2931" s="67">
        <f t="shared" si="1078"/>
        <v>24344</v>
      </c>
      <c r="H2931" s="75">
        <f t="shared" si="1079"/>
        <v>1</v>
      </c>
      <c r="I2931" s="76">
        <f t="shared" si="1080"/>
        <v>1.04</v>
      </c>
      <c r="J2931" s="76">
        <f t="shared" si="1081"/>
        <v>1.04</v>
      </c>
      <c r="K2931" s="67">
        <f t="shared" si="1082"/>
        <v>0</v>
      </c>
      <c r="L2931" s="67">
        <f t="shared" si="1083"/>
        <v>0</v>
      </c>
      <c r="M2931" s="77">
        <f t="shared" si="1084"/>
        <v>0</v>
      </c>
      <c r="N2931" s="76">
        <f t="shared" si="1085"/>
        <v>1.04</v>
      </c>
      <c r="O2931" s="77">
        <f t="shared" si="1086"/>
        <v>0.91</v>
      </c>
      <c r="P2931" s="76">
        <f t="shared" si="1087"/>
        <v>0</v>
      </c>
      <c r="Q2931" s="76">
        <f t="shared" si="1088"/>
        <v>0</v>
      </c>
      <c r="R2931" s="76">
        <f t="shared" si="1089"/>
        <v>0.58333333333333337</v>
      </c>
      <c r="S2931" s="76">
        <f t="shared" si="1090"/>
        <v>1.028695652173913</v>
      </c>
      <c r="T2931" s="76">
        <f t="shared" si="1091"/>
        <v>1.028695652173913</v>
      </c>
      <c r="U2931" s="76">
        <f t="shared" si="1092"/>
        <v>1.04</v>
      </c>
    </row>
    <row r="2932" spans="1:21" x14ac:dyDescent="0.25">
      <c r="A2932" s="71">
        <v>46</v>
      </c>
      <c r="B2932" s="72">
        <f t="shared" si="1093"/>
        <v>47027</v>
      </c>
      <c r="C2932" s="73">
        <f t="shared" si="1074"/>
        <v>47057</v>
      </c>
      <c r="D2932" s="67">
        <f t="shared" si="1075"/>
        <v>31</v>
      </c>
      <c r="E2932" s="67">
        <f t="shared" si="1076"/>
        <v>10</v>
      </c>
      <c r="F2932" s="74">
        <f t="shared" si="1077"/>
        <v>47042.5</v>
      </c>
      <c r="G2932" s="67">
        <f t="shared" si="1078"/>
        <v>24345</v>
      </c>
      <c r="H2932" s="75">
        <f t="shared" si="1079"/>
        <v>1</v>
      </c>
      <c r="I2932" s="76">
        <f t="shared" si="1080"/>
        <v>1.04</v>
      </c>
      <c r="J2932" s="76">
        <f t="shared" si="1081"/>
        <v>1.04</v>
      </c>
      <c r="K2932" s="67">
        <f t="shared" si="1082"/>
        <v>0</v>
      </c>
      <c r="L2932" s="67">
        <f t="shared" si="1083"/>
        <v>0</v>
      </c>
      <c r="M2932" s="77">
        <f t="shared" si="1084"/>
        <v>0</v>
      </c>
      <c r="N2932" s="76">
        <f t="shared" si="1085"/>
        <v>1.04</v>
      </c>
      <c r="O2932" s="77">
        <f t="shared" si="1086"/>
        <v>0.91</v>
      </c>
      <c r="P2932" s="76">
        <f t="shared" si="1087"/>
        <v>0</v>
      </c>
      <c r="Q2932" s="76">
        <f t="shared" si="1088"/>
        <v>0</v>
      </c>
      <c r="R2932" s="76">
        <f t="shared" si="1089"/>
        <v>0.41666666666666669</v>
      </c>
      <c r="S2932" s="76">
        <f t="shared" si="1090"/>
        <v>1.028695652173913</v>
      </c>
      <c r="T2932" s="76">
        <f t="shared" si="1091"/>
        <v>1.028695652173913</v>
      </c>
      <c r="U2932" s="76">
        <f t="shared" si="1092"/>
        <v>1.04</v>
      </c>
    </row>
    <row r="2933" spans="1:21" x14ac:dyDescent="0.25">
      <c r="A2933" s="71">
        <v>47</v>
      </c>
      <c r="B2933" s="72">
        <f t="shared" si="1093"/>
        <v>47058</v>
      </c>
      <c r="C2933" s="73">
        <f t="shared" si="1074"/>
        <v>47087</v>
      </c>
      <c r="D2933" s="67">
        <f t="shared" si="1075"/>
        <v>30</v>
      </c>
      <c r="E2933" s="67">
        <f t="shared" si="1076"/>
        <v>11</v>
      </c>
      <c r="F2933" s="74">
        <f t="shared" si="1077"/>
        <v>47073</v>
      </c>
      <c r="G2933" s="67">
        <f t="shared" si="1078"/>
        <v>24346</v>
      </c>
      <c r="H2933" s="75">
        <f t="shared" si="1079"/>
        <v>1</v>
      </c>
      <c r="I2933" s="76">
        <f t="shared" si="1080"/>
        <v>1.04</v>
      </c>
      <c r="J2933" s="76">
        <f t="shared" si="1081"/>
        <v>1.04</v>
      </c>
      <c r="K2933" s="67">
        <f t="shared" si="1082"/>
        <v>0</v>
      </c>
      <c r="L2933" s="67">
        <f t="shared" si="1083"/>
        <v>0</v>
      </c>
      <c r="M2933" s="77">
        <f t="shared" si="1084"/>
        <v>0</v>
      </c>
      <c r="N2933" s="76">
        <f t="shared" si="1085"/>
        <v>1.04</v>
      </c>
      <c r="O2933" s="77">
        <f t="shared" si="1086"/>
        <v>0.91</v>
      </c>
      <c r="P2933" s="76">
        <f t="shared" si="1087"/>
        <v>0</v>
      </c>
      <c r="Q2933" s="76">
        <f t="shared" si="1088"/>
        <v>0</v>
      </c>
      <c r="R2933" s="76">
        <f t="shared" si="1089"/>
        <v>0.25</v>
      </c>
      <c r="S2933" s="76">
        <f t="shared" si="1090"/>
        <v>1.028695652173913</v>
      </c>
      <c r="T2933" s="76">
        <f t="shared" si="1091"/>
        <v>1.028695652173913</v>
      </c>
      <c r="U2933" s="76">
        <f t="shared" si="1092"/>
        <v>1.04</v>
      </c>
    </row>
    <row r="2934" spans="1:21" x14ac:dyDescent="0.25">
      <c r="A2934" s="71">
        <v>48</v>
      </c>
      <c r="B2934" s="72">
        <f t="shared" si="1093"/>
        <v>47088</v>
      </c>
      <c r="C2934" s="73">
        <f t="shared" si="1074"/>
        <v>47118</v>
      </c>
      <c r="D2934" s="67">
        <f t="shared" si="1075"/>
        <v>31</v>
      </c>
      <c r="E2934" s="67">
        <f t="shared" si="1076"/>
        <v>12</v>
      </c>
      <c r="F2934" s="74">
        <f t="shared" si="1077"/>
        <v>47103.5</v>
      </c>
      <c r="G2934" s="67">
        <f t="shared" si="1078"/>
        <v>24347</v>
      </c>
      <c r="H2934" s="75">
        <f t="shared" si="1079"/>
        <v>1</v>
      </c>
      <c r="I2934" s="76">
        <f t="shared" si="1080"/>
        <v>1.04</v>
      </c>
      <c r="J2934" s="76">
        <f t="shared" si="1081"/>
        <v>1.04</v>
      </c>
      <c r="K2934" s="67">
        <f t="shared" si="1082"/>
        <v>0</v>
      </c>
      <c r="L2934" s="67">
        <f t="shared" si="1083"/>
        <v>0</v>
      </c>
      <c r="M2934" s="77">
        <f t="shared" si="1084"/>
        <v>0</v>
      </c>
      <c r="N2934" s="76">
        <f t="shared" si="1085"/>
        <v>1.04</v>
      </c>
      <c r="O2934" s="77">
        <f t="shared" si="1086"/>
        <v>0.91</v>
      </c>
      <c r="P2934" s="76">
        <f t="shared" si="1087"/>
        <v>0</v>
      </c>
      <c r="Q2934" s="76">
        <f t="shared" si="1088"/>
        <v>0</v>
      </c>
      <c r="R2934" s="76">
        <f t="shared" si="1089"/>
        <v>8.3333333333333329E-2</v>
      </c>
      <c r="S2934" s="76">
        <f t="shared" si="1090"/>
        <v>1.028695652173913</v>
      </c>
      <c r="T2934" s="76">
        <f t="shared" si="1091"/>
        <v>1.028695652173913</v>
      </c>
      <c r="U2934" s="76">
        <f t="shared" si="1092"/>
        <v>1.04</v>
      </c>
    </row>
    <row r="2935" spans="1:21" x14ac:dyDescent="0.25">
      <c r="A2935" s="81" t="s">
        <v>1187</v>
      </c>
      <c r="B2935" s="53">
        <f>EXP(SUMPRODUCT((rl_key=$A$2884)*(rl_cons="Y")*rl_ln1p))</f>
        <v>1.04</v>
      </c>
      <c r="C2935" s="53">
        <f>SUMPRODUCT($H$2887:$H$2934,$P$2887:$P$2934,$U$2887:$U$2934)/SUMPRODUCT($H$2887:$H$2934,$P$2887:$P$2934)</f>
        <v>1.0166666666666664</v>
      </c>
      <c r="D2935" s="53">
        <f>SUMPRODUCT($H$2887:$H$2934,$Q$2887:$Q$2934,$U$2887:$U$2934)/SUMPRODUCT($H$2887:$H$2934,$Q$2887:$Q$2934)</f>
        <v>1.0399999999999998</v>
      </c>
      <c r="E2935" s="53">
        <f>SUMPRODUCT($H$2887:$H$2934,$R$2887:$R$2934,$U$2887:$U$2934)/SUMPRODUCT($H$2887:$H$2934,$R$2887:$R$2934)</f>
        <v>1.0399999999999998</v>
      </c>
      <c r="F2935" s="172">
        <f>SUMPRODUCT($H$2887:$H$2934,$Q$2887:$Q$2934,$O$2887:$O$2934)/SUMPRODUCT($H$2887:$H$2934,$Q$2887:$Q$2934)</f>
        <v>0.90999999999999981</v>
      </c>
      <c r="G2935" s="172">
        <f>SUMPRODUCT($H$2887:$H$2934,$R$2887:$R$2934,$O$2887:$O$2934)/SUMPRODUCT($H$2887:$H$2934,$R$2887:$R$2934)</f>
        <v>0.90999999999999981</v>
      </c>
    </row>
    <row r="2938" spans="1:21" x14ac:dyDescent="0.25">
      <c r="A2938" s="81" t="str">
        <f>INDEX(lr_key,54)</f>
        <v>BU-C|MI</v>
      </c>
      <c r="B2938" s="81" t="str">
        <f>INDEX(lr_state,54)</f>
        <v>MI</v>
      </c>
      <c r="C2938" s="55">
        <f>nr_TermMonths</f>
        <v>6</v>
      </c>
      <c r="D2938" s="55">
        <f>IF(COUNTIF(se_state,$B2938)=0,0,MATCH($B2938,se_state,0))</f>
        <v>0</v>
      </c>
      <c r="E2938" s="57">
        <f>IF($D2938=0,0,INDEX(se_sum,$D2938))</f>
        <v>0</v>
      </c>
      <c r="F2938" s="172">
        <f>IF(N(INDEX(lr_mind,54))=0,1,INDEX(lr_mind,54))</f>
        <v>0.92</v>
      </c>
      <c r="G2938" s="172">
        <f>IF(N(INDEX(lr_m0,54))=0,1,INDEX(lr_m0,54))</f>
        <v>0.91</v>
      </c>
      <c r="H2938" s="54">
        <f>IF(N(INDEX(lr_m0asof,54))=0,DATE(nr_PlanYear-1,10,1),INDEX(lr_m0asof,54))</f>
        <v>46295</v>
      </c>
      <c r="I2938" s="172">
        <f>IF(N(INDEX(lr_m1,54))=0,1,INDEX(lr_m1,54))</f>
        <v>0.92500000000000004</v>
      </c>
      <c r="J2938" s="172">
        <f>INDEX(lr_mprior,54)</f>
        <v>0</v>
      </c>
      <c r="K2938" s="172">
        <f>INDEX(lr_m2,54)</f>
        <v>0</v>
      </c>
      <c r="L2938" s="81" t="b">
        <f>NOT(ISBLANK(INDEX(lr_netp,54)))</f>
        <v>0</v>
      </c>
      <c r="M2938" s="52">
        <f>N(INDEX(lr_netp,54))</f>
        <v>0</v>
      </c>
      <c r="N2938" s="52">
        <f>IF(ISBLANK(INDEX(lr_netp1,54)),$M$2938,N(INDEX(lr_netp1,54)))</f>
        <v>0</v>
      </c>
      <c r="O2938" s="55">
        <f>IF(AND(nr_ModAdjMaster="ON",INDEX(lr_modadj,54)="ON"),1,0)</f>
        <v>1</v>
      </c>
    </row>
    <row r="2939" spans="1:21" x14ac:dyDescent="0.25">
      <c r="A2939" s="81">
        <f>EDATE($H$2938,-12)+1</f>
        <v>45931</v>
      </c>
      <c r="B2939" s="81">
        <f>$H$2938+1</f>
        <v>46296</v>
      </c>
      <c r="C2939" s="81">
        <f>DATE(nr_PlanYear,12,31)+1</f>
        <v>46753</v>
      </c>
      <c r="D2939" s="81">
        <f>DATE(nr_PlanYear+1,12,31)+1</f>
        <v>47119</v>
      </c>
      <c r="E2939" s="81">
        <f>IF(N($J$2938)=0,$F$2939-($G$2939-$F$2939)/($C$2939-$B$2939)*($B$2939-$A$2939),$J$2938)</f>
        <v>0.89801969365426693</v>
      </c>
      <c r="F2939" s="81">
        <f>$G$2938</f>
        <v>0.91</v>
      </c>
      <c r="G2939" s="81">
        <f>$I$2938</f>
        <v>0.92500000000000004</v>
      </c>
      <c r="H2939" s="81">
        <f>IF(N($K$2938)=0,$I$2938,$K$2938)</f>
        <v>0.92500000000000004</v>
      </c>
      <c r="I2939" s="81">
        <f>($F$2939-$E$2939)/($B$2939-$A$2939)</f>
        <v>3.2822757111597549E-5</v>
      </c>
      <c r="J2939" s="81">
        <f>($G$2939-$F$2939)/($C$2939-$B$2939)</f>
        <v>3.2822757111597407E-5</v>
      </c>
      <c r="K2939" s="81">
        <f>($H$2939-$G$2939)/($D$2939-$C$2939)</f>
        <v>0</v>
      </c>
    </row>
    <row r="2940" spans="1:21" ht="36" x14ac:dyDescent="0.25">
      <c r="A2940" s="50" t="s">
        <v>211</v>
      </c>
      <c r="B2940" s="50" t="s">
        <v>212</v>
      </c>
      <c r="C2940" s="50" t="s">
        <v>213</v>
      </c>
      <c r="D2940" s="50" t="s">
        <v>214</v>
      </c>
      <c r="E2940" s="50" t="s">
        <v>215</v>
      </c>
      <c r="F2940" s="50" t="s">
        <v>216</v>
      </c>
      <c r="G2940" s="50" t="s">
        <v>217</v>
      </c>
      <c r="H2940" s="50" t="s">
        <v>218</v>
      </c>
      <c r="I2940" s="50" t="s">
        <v>219</v>
      </c>
      <c r="J2940" s="50" t="s">
        <v>220</v>
      </c>
      <c r="K2940" s="50" t="s">
        <v>221</v>
      </c>
      <c r="L2940" s="50" t="s">
        <v>222</v>
      </c>
      <c r="M2940" s="50" t="s">
        <v>223</v>
      </c>
      <c r="N2940" s="50" t="s">
        <v>224</v>
      </c>
      <c r="O2940" s="50" t="s">
        <v>225</v>
      </c>
      <c r="P2940" s="50" t="s">
        <v>226</v>
      </c>
      <c r="Q2940" s="50" t="s">
        <v>227</v>
      </c>
      <c r="R2940" s="50" t="s">
        <v>228</v>
      </c>
      <c r="S2940" s="50" t="s">
        <v>229</v>
      </c>
      <c r="T2940" s="50" t="s">
        <v>230</v>
      </c>
      <c r="U2940" s="50" t="s">
        <v>231</v>
      </c>
    </row>
    <row r="2941" spans="1:21" x14ac:dyDescent="0.25">
      <c r="A2941" s="71">
        <v>1</v>
      </c>
      <c r="B2941" s="72">
        <f>DATE(nr_PlanYear-2,1,1)</f>
        <v>45658</v>
      </c>
      <c r="C2941" s="73">
        <f t="shared" ref="C2941:C2988" si="1094">EOMONTH($B2941,0)</f>
        <v>45688</v>
      </c>
      <c r="D2941" s="67">
        <f t="shared" ref="D2941:D2988" si="1095">$C2941-$B2941+1</f>
        <v>31</v>
      </c>
      <c r="E2941" s="67">
        <f t="shared" ref="E2941:E2988" si="1096">MONTH($B2941)</f>
        <v>1</v>
      </c>
      <c r="F2941" s="74">
        <f t="shared" ref="F2941:F2988" si="1097">($B2941+$C2941+1)/2</f>
        <v>45673.5</v>
      </c>
      <c r="G2941" s="67">
        <f t="shared" ref="G2941:G2988" si="1098">YEAR($B2941)*12+MONTH($B2941)-1</f>
        <v>24300</v>
      </c>
      <c r="H2941" s="75">
        <f t="shared" ref="H2941:H2988" si="1099">IF(OR(nr_SeasonOn="OFF",$D$2938=0,$E$2938=0),1,12*INDEX(se_block,$D$2938,$E2941)/$E$2938)</f>
        <v>1</v>
      </c>
      <c r="I2941" s="76">
        <f t="shared" ref="I2941:I2988" si="1100">EXP(SUMPRODUCT((rl_eff&lt;$B2941)*(rl_key=$A$2938)*rl_ln1p))</f>
        <v>1</v>
      </c>
      <c r="J2941" s="76">
        <f t="shared" ref="J2941:J2988" si="1101">EXP(SUMPRODUCT((rl_eff&lt;=$C2941)*(rl_key=$A$2938)*rl_ln1p))</f>
        <v>1</v>
      </c>
      <c r="K2941" s="67">
        <f t="shared" ref="K2941:K2988" si="1102">COUNTIFS(rl_key,$A$2938,rl_eff,"&gt;="&amp;$B2941,rl_eff,"&lt;="&amp;$C2941)</f>
        <v>0</v>
      </c>
      <c r="L2941" s="67">
        <f t="shared" ref="L2941:L2988" si="1103">SUMIFS(rl_daysafter,rl_key,$A$2938,rl_effmonth,$B2941,rl_first,1)</f>
        <v>0</v>
      </c>
      <c r="M2941" s="77">
        <f t="shared" ref="M2941:M2988" si="1104">IF($K2941=0,0,MIN(1,$L2941/$D2941))</f>
        <v>0</v>
      </c>
      <c r="N2941" s="76">
        <f t="shared" ref="N2941:N2988" si="1105">IF($K2941=0,$J2941,(1-$M2941)*$I2941+$M2941*$J2941)</f>
        <v>1</v>
      </c>
      <c r="O2941" s="77">
        <f t="shared" ref="O2941:O2988" si="1106">IF($F2941&lt;$B$2939,$E$2939+$I$2939*($F2941-$A$2939),IF($F2941&lt;$C$2939,$F$2939+$J$2939*($F2941-$B$2939),$G$2939+$K$2939*($F2941-$C$2939)))</f>
        <v>0.88956783369803061</v>
      </c>
      <c r="P2941" s="76">
        <f t="shared" ref="P2941:P2988" si="1107">MIN(1,MAX(0,(nr_MEndPm1-$G2941+0.5)/$C$2938))-MIN(1,MAX(0,(nr_MStartPm1-1-$G2941+0.5)/$C$2938))</f>
        <v>0</v>
      </c>
      <c r="Q2941" s="76">
        <f t="shared" ref="Q2941:Q2988" si="1108">MIN(1,MAX(0,(nr_MEndP-$G2941+0.5)/$C$2938))-MIN(1,MAX(0,(nr_MStartP-1-$G2941+0.5)/$C$2938))</f>
        <v>0</v>
      </c>
      <c r="R2941" s="76">
        <f t="shared" ref="R2941:R2988" si="1109">MIN(1,MAX(0,(nr_MEndP1-$G2941+0.5)/$C$2938))-MIN(1,MAX(0,(nr_MStartP1-1-$G2941+0.5)/$C$2938))</f>
        <v>0</v>
      </c>
      <c r="S2941" s="76">
        <f t="shared" ref="S2941:S2988" si="1110">$N2941*IF($O$2938=1,$O2941/$F$2938,1)</f>
        <v>0.96692155836742455</v>
      </c>
      <c r="T2941" s="76">
        <f t="shared" ref="T2941:T2988" si="1111">IF($G2941&lt;nr_MStartP,$S2941,$T2929*(1+IF($G2941&lt;nr_MStartP1,$M$2938,$N$2938)))</f>
        <v>0.96692155836742455</v>
      </c>
      <c r="U2941" s="76">
        <f t="shared" ref="U2941:U2988" si="1112">IF($L$2938,$T2941,$N2941)</f>
        <v>1</v>
      </c>
    </row>
    <row r="2942" spans="1:21" x14ac:dyDescent="0.25">
      <c r="A2942" s="71">
        <v>2</v>
      </c>
      <c r="B2942" s="72">
        <f t="shared" ref="B2942:B2988" si="1113">EDATE($B2941,1)</f>
        <v>45689</v>
      </c>
      <c r="C2942" s="73">
        <f t="shared" si="1094"/>
        <v>45716</v>
      </c>
      <c r="D2942" s="67">
        <f t="shared" si="1095"/>
        <v>28</v>
      </c>
      <c r="E2942" s="67">
        <f t="shared" si="1096"/>
        <v>2</v>
      </c>
      <c r="F2942" s="74">
        <f t="shared" si="1097"/>
        <v>45703</v>
      </c>
      <c r="G2942" s="67">
        <f t="shared" si="1098"/>
        <v>24301</v>
      </c>
      <c r="H2942" s="75">
        <f t="shared" si="1099"/>
        <v>1</v>
      </c>
      <c r="I2942" s="76">
        <f t="shared" si="1100"/>
        <v>1</v>
      </c>
      <c r="J2942" s="76">
        <f t="shared" si="1101"/>
        <v>1</v>
      </c>
      <c r="K2942" s="67">
        <f t="shared" si="1102"/>
        <v>0</v>
      </c>
      <c r="L2942" s="67">
        <f t="shared" si="1103"/>
        <v>0</v>
      </c>
      <c r="M2942" s="77">
        <f t="shared" si="1104"/>
        <v>0</v>
      </c>
      <c r="N2942" s="76">
        <f t="shared" si="1105"/>
        <v>1</v>
      </c>
      <c r="O2942" s="77">
        <f t="shared" si="1106"/>
        <v>0.89053610503282266</v>
      </c>
      <c r="P2942" s="76">
        <f t="shared" si="1107"/>
        <v>0</v>
      </c>
      <c r="Q2942" s="76">
        <f t="shared" si="1108"/>
        <v>0</v>
      </c>
      <c r="R2942" s="76">
        <f t="shared" si="1109"/>
        <v>0</v>
      </c>
      <c r="S2942" s="76">
        <f t="shared" si="1110"/>
        <v>0.9679740272095898</v>
      </c>
      <c r="T2942" s="76">
        <f t="shared" si="1111"/>
        <v>0.9679740272095898</v>
      </c>
      <c r="U2942" s="76">
        <f t="shared" si="1112"/>
        <v>1</v>
      </c>
    </row>
    <row r="2943" spans="1:21" x14ac:dyDescent="0.25">
      <c r="A2943" s="71">
        <v>3</v>
      </c>
      <c r="B2943" s="72">
        <f t="shared" si="1113"/>
        <v>45717</v>
      </c>
      <c r="C2943" s="73">
        <f t="shared" si="1094"/>
        <v>45747</v>
      </c>
      <c r="D2943" s="67">
        <f t="shared" si="1095"/>
        <v>31</v>
      </c>
      <c r="E2943" s="67">
        <f t="shared" si="1096"/>
        <v>3</v>
      </c>
      <c r="F2943" s="74">
        <f t="shared" si="1097"/>
        <v>45732.5</v>
      </c>
      <c r="G2943" s="67">
        <f t="shared" si="1098"/>
        <v>24302</v>
      </c>
      <c r="H2943" s="75">
        <f t="shared" si="1099"/>
        <v>1</v>
      </c>
      <c r="I2943" s="76">
        <f t="shared" si="1100"/>
        <v>1</v>
      </c>
      <c r="J2943" s="76">
        <f t="shared" si="1101"/>
        <v>1</v>
      </c>
      <c r="K2943" s="67">
        <f t="shared" si="1102"/>
        <v>0</v>
      </c>
      <c r="L2943" s="67">
        <f t="shared" si="1103"/>
        <v>0</v>
      </c>
      <c r="M2943" s="77">
        <f t="shared" si="1104"/>
        <v>0</v>
      </c>
      <c r="N2943" s="76">
        <f t="shared" si="1105"/>
        <v>1</v>
      </c>
      <c r="O2943" s="77">
        <f t="shared" si="1106"/>
        <v>0.89150437636761481</v>
      </c>
      <c r="P2943" s="76">
        <f t="shared" si="1107"/>
        <v>0</v>
      </c>
      <c r="Q2943" s="76">
        <f t="shared" si="1108"/>
        <v>0</v>
      </c>
      <c r="R2943" s="76">
        <f t="shared" si="1109"/>
        <v>0</v>
      </c>
      <c r="S2943" s="76">
        <f t="shared" si="1110"/>
        <v>0.96902649605175517</v>
      </c>
      <c r="T2943" s="76">
        <f t="shared" si="1111"/>
        <v>0.96902649605175517</v>
      </c>
      <c r="U2943" s="76">
        <f t="shared" si="1112"/>
        <v>1</v>
      </c>
    </row>
    <row r="2944" spans="1:21" x14ac:dyDescent="0.25">
      <c r="A2944" s="71">
        <v>4</v>
      </c>
      <c r="B2944" s="72">
        <f t="shared" si="1113"/>
        <v>45748</v>
      </c>
      <c r="C2944" s="73">
        <f t="shared" si="1094"/>
        <v>45777</v>
      </c>
      <c r="D2944" s="67">
        <f t="shared" si="1095"/>
        <v>30</v>
      </c>
      <c r="E2944" s="67">
        <f t="shared" si="1096"/>
        <v>4</v>
      </c>
      <c r="F2944" s="74">
        <f t="shared" si="1097"/>
        <v>45763</v>
      </c>
      <c r="G2944" s="67">
        <f t="shared" si="1098"/>
        <v>24303</v>
      </c>
      <c r="H2944" s="75">
        <f t="shared" si="1099"/>
        <v>1</v>
      </c>
      <c r="I2944" s="76">
        <f t="shared" si="1100"/>
        <v>1</v>
      </c>
      <c r="J2944" s="76">
        <f t="shared" si="1101"/>
        <v>1</v>
      </c>
      <c r="K2944" s="67">
        <f t="shared" si="1102"/>
        <v>0</v>
      </c>
      <c r="L2944" s="67">
        <f t="shared" si="1103"/>
        <v>0</v>
      </c>
      <c r="M2944" s="77">
        <f t="shared" si="1104"/>
        <v>0</v>
      </c>
      <c r="N2944" s="76">
        <f t="shared" si="1105"/>
        <v>1</v>
      </c>
      <c r="O2944" s="77">
        <f t="shared" si="1106"/>
        <v>0.89250547045951856</v>
      </c>
      <c r="P2944" s="76">
        <f t="shared" si="1107"/>
        <v>0</v>
      </c>
      <c r="Q2944" s="76">
        <f t="shared" si="1108"/>
        <v>0</v>
      </c>
      <c r="R2944" s="76">
        <f t="shared" si="1109"/>
        <v>0</v>
      </c>
      <c r="S2944" s="76">
        <f t="shared" si="1110"/>
        <v>0.97011464180382445</v>
      </c>
      <c r="T2944" s="76">
        <f t="shared" si="1111"/>
        <v>0.97011464180382445</v>
      </c>
      <c r="U2944" s="76">
        <f t="shared" si="1112"/>
        <v>1</v>
      </c>
    </row>
    <row r="2945" spans="1:21" x14ac:dyDescent="0.25">
      <c r="A2945" s="71">
        <v>5</v>
      </c>
      <c r="B2945" s="72">
        <f t="shared" si="1113"/>
        <v>45778</v>
      </c>
      <c r="C2945" s="73">
        <f t="shared" si="1094"/>
        <v>45808</v>
      </c>
      <c r="D2945" s="67">
        <f t="shared" si="1095"/>
        <v>31</v>
      </c>
      <c r="E2945" s="67">
        <f t="shared" si="1096"/>
        <v>5</v>
      </c>
      <c r="F2945" s="74">
        <f t="shared" si="1097"/>
        <v>45793.5</v>
      </c>
      <c r="G2945" s="67">
        <f t="shared" si="1098"/>
        <v>24304</v>
      </c>
      <c r="H2945" s="75">
        <f t="shared" si="1099"/>
        <v>1</v>
      </c>
      <c r="I2945" s="76">
        <f t="shared" si="1100"/>
        <v>1</v>
      </c>
      <c r="J2945" s="76">
        <f t="shared" si="1101"/>
        <v>1</v>
      </c>
      <c r="K2945" s="67">
        <f t="shared" si="1102"/>
        <v>0</v>
      </c>
      <c r="L2945" s="67">
        <f t="shared" si="1103"/>
        <v>0</v>
      </c>
      <c r="M2945" s="77">
        <f t="shared" si="1104"/>
        <v>0</v>
      </c>
      <c r="N2945" s="76">
        <f t="shared" si="1105"/>
        <v>1</v>
      </c>
      <c r="O2945" s="77">
        <f t="shared" si="1106"/>
        <v>0.8935065645514223</v>
      </c>
      <c r="P2945" s="76">
        <f t="shared" si="1107"/>
        <v>0</v>
      </c>
      <c r="Q2945" s="76">
        <f t="shared" si="1108"/>
        <v>0</v>
      </c>
      <c r="R2945" s="76">
        <f t="shared" si="1109"/>
        <v>0</v>
      </c>
      <c r="S2945" s="76">
        <f t="shared" si="1110"/>
        <v>0.97120278755589373</v>
      </c>
      <c r="T2945" s="76">
        <f t="shared" si="1111"/>
        <v>0.97120278755589373</v>
      </c>
      <c r="U2945" s="76">
        <f t="shared" si="1112"/>
        <v>1</v>
      </c>
    </row>
    <row r="2946" spans="1:21" x14ac:dyDescent="0.25">
      <c r="A2946" s="71">
        <v>6</v>
      </c>
      <c r="B2946" s="72">
        <f t="shared" si="1113"/>
        <v>45809</v>
      </c>
      <c r="C2946" s="73">
        <f t="shared" si="1094"/>
        <v>45838</v>
      </c>
      <c r="D2946" s="67">
        <f t="shared" si="1095"/>
        <v>30</v>
      </c>
      <c r="E2946" s="67">
        <f t="shared" si="1096"/>
        <v>6</v>
      </c>
      <c r="F2946" s="74">
        <f t="shared" si="1097"/>
        <v>45824</v>
      </c>
      <c r="G2946" s="67">
        <f t="shared" si="1098"/>
        <v>24305</v>
      </c>
      <c r="H2946" s="75">
        <f t="shared" si="1099"/>
        <v>1</v>
      </c>
      <c r="I2946" s="76">
        <f t="shared" si="1100"/>
        <v>1</v>
      </c>
      <c r="J2946" s="76">
        <f t="shared" si="1101"/>
        <v>1</v>
      </c>
      <c r="K2946" s="67">
        <f t="shared" si="1102"/>
        <v>0</v>
      </c>
      <c r="L2946" s="67">
        <f t="shared" si="1103"/>
        <v>0</v>
      </c>
      <c r="M2946" s="77">
        <f t="shared" si="1104"/>
        <v>0</v>
      </c>
      <c r="N2946" s="76">
        <f t="shared" si="1105"/>
        <v>1</v>
      </c>
      <c r="O2946" s="77">
        <f t="shared" si="1106"/>
        <v>0.89450765864332604</v>
      </c>
      <c r="P2946" s="76">
        <f t="shared" si="1107"/>
        <v>0</v>
      </c>
      <c r="Q2946" s="76">
        <f t="shared" si="1108"/>
        <v>0</v>
      </c>
      <c r="R2946" s="76">
        <f t="shared" si="1109"/>
        <v>0</v>
      </c>
      <c r="S2946" s="76">
        <f t="shared" si="1110"/>
        <v>0.97229093330796301</v>
      </c>
      <c r="T2946" s="76">
        <f t="shared" si="1111"/>
        <v>0.97229093330796301</v>
      </c>
      <c r="U2946" s="76">
        <f t="shared" si="1112"/>
        <v>1</v>
      </c>
    </row>
    <row r="2947" spans="1:21" x14ac:dyDescent="0.25">
      <c r="A2947" s="71">
        <v>7</v>
      </c>
      <c r="B2947" s="72">
        <f t="shared" si="1113"/>
        <v>45839</v>
      </c>
      <c r="C2947" s="73">
        <f t="shared" si="1094"/>
        <v>45869</v>
      </c>
      <c r="D2947" s="67">
        <f t="shared" si="1095"/>
        <v>31</v>
      </c>
      <c r="E2947" s="67">
        <f t="shared" si="1096"/>
        <v>7</v>
      </c>
      <c r="F2947" s="74">
        <f t="shared" si="1097"/>
        <v>45854.5</v>
      </c>
      <c r="G2947" s="67">
        <f t="shared" si="1098"/>
        <v>24306</v>
      </c>
      <c r="H2947" s="75">
        <f t="shared" si="1099"/>
        <v>1</v>
      </c>
      <c r="I2947" s="76">
        <f t="shared" si="1100"/>
        <v>1</v>
      </c>
      <c r="J2947" s="76">
        <f t="shared" si="1101"/>
        <v>1</v>
      </c>
      <c r="K2947" s="67">
        <f t="shared" si="1102"/>
        <v>0</v>
      </c>
      <c r="L2947" s="67">
        <f t="shared" si="1103"/>
        <v>0</v>
      </c>
      <c r="M2947" s="77">
        <f t="shared" si="1104"/>
        <v>0</v>
      </c>
      <c r="N2947" s="76">
        <f t="shared" si="1105"/>
        <v>1</v>
      </c>
      <c r="O2947" s="77">
        <f t="shared" si="1106"/>
        <v>0.89550875273522967</v>
      </c>
      <c r="P2947" s="76">
        <f t="shared" si="1107"/>
        <v>8.333333333333337E-2</v>
      </c>
      <c r="Q2947" s="76">
        <f t="shared" si="1108"/>
        <v>0</v>
      </c>
      <c r="R2947" s="76">
        <f t="shared" si="1109"/>
        <v>0</v>
      </c>
      <c r="S2947" s="76">
        <f t="shared" si="1110"/>
        <v>0.97337907906003218</v>
      </c>
      <c r="T2947" s="76">
        <f t="shared" si="1111"/>
        <v>0.97337907906003218</v>
      </c>
      <c r="U2947" s="76">
        <f t="shared" si="1112"/>
        <v>1</v>
      </c>
    </row>
    <row r="2948" spans="1:21" x14ac:dyDescent="0.25">
      <c r="A2948" s="71">
        <v>8</v>
      </c>
      <c r="B2948" s="72">
        <f t="shared" si="1113"/>
        <v>45870</v>
      </c>
      <c r="C2948" s="73">
        <f t="shared" si="1094"/>
        <v>45900</v>
      </c>
      <c r="D2948" s="67">
        <f t="shared" si="1095"/>
        <v>31</v>
      </c>
      <c r="E2948" s="67">
        <f t="shared" si="1096"/>
        <v>8</v>
      </c>
      <c r="F2948" s="74">
        <f t="shared" si="1097"/>
        <v>45885.5</v>
      </c>
      <c r="G2948" s="67">
        <f t="shared" si="1098"/>
        <v>24307</v>
      </c>
      <c r="H2948" s="75">
        <f t="shared" si="1099"/>
        <v>1</v>
      </c>
      <c r="I2948" s="76">
        <f t="shared" si="1100"/>
        <v>1</v>
      </c>
      <c r="J2948" s="76">
        <f t="shared" si="1101"/>
        <v>1</v>
      </c>
      <c r="K2948" s="67">
        <f t="shared" si="1102"/>
        <v>0</v>
      </c>
      <c r="L2948" s="67">
        <f t="shared" si="1103"/>
        <v>0</v>
      </c>
      <c r="M2948" s="77">
        <f t="shared" si="1104"/>
        <v>0</v>
      </c>
      <c r="N2948" s="76">
        <f t="shared" si="1105"/>
        <v>1</v>
      </c>
      <c r="O2948" s="77">
        <f t="shared" si="1106"/>
        <v>0.89652625820568921</v>
      </c>
      <c r="P2948" s="76">
        <f t="shared" si="1107"/>
        <v>0.25</v>
      </c>
      <c r="Q2948" s="76">
        <f t="shared" si="1108"/>
        <v>0</v>
      </c>
      <c r="R2948" s="76">
        <f t="shared" si="1109"/>
        <v>0</v>
      </c>
      <c r="S2948" s="76">
        <f t="shared" si="1110"/>
        <v>0.97448506326705342</v>
      </c>
      <c r="T2948" s="76">
        <f t="shared" si="1111"/>
        <v>0.97448506326705342</v>
      </c>
      <c r="U2948" s="76">
        <f t="shared" si="1112"/>
        <v>1</v>
      </c>
    </row>
    <row r="2949" spans="1:21" x14ac:dyDescent="0.25">
      <c r="A2949" s="71">
        <v>9</v>
      </c>
      <c r="B2949" s="72">
        <f t="shared" si="1113"/>
        <v>45901</v>
      </c>
      <c r="C2949" s="73">
        <f t="shared" si="1094"/>
        <v>45930</v>
      </c>
      <c r="D2949" s="67">
        <f t="shared" si="1095"/>
        <v>30</v>
      </c>
      <c r="E2949" s="67">
        <f t="shared" si="1096"/>
        <v>9</v>
      </c>
      <c r="F2949" s="74">
        <f t="shared" si="1097"/>
        <v>45916</v>
      </c>
      <c r="G2949" s="67">
        <f t="shared" si="1098"/>
        <v>24308</v>
      </c>
      <c r="H2949" s="75">
        <f t="shared" si="1099"/>
        <v>1</v>
      </c>
      <c r="I2949" s="76">
        <f t="shared" si="1100"/>
        <v>1</v>
      </c>
      <c r="J2949" s="76">
        <f t="shared" si="1101"/>
        <v>1</v>
      </c>
      <c r="K2949" s="67">
        <f t="shared" si="1102"/>
        <v>0</v>
      </c>
      <c r="L2949" s="67">
        <f t="shared" si="1103"/>
        <v>0</v>
      </c>
      <c r="M2949" s="77">
        <f t="shared" si="1104"/>
        <v>0</v>
      </c>
      <c r="N2949" s="76">
        <f t="shared" si="1105"/>
        <v>1</v>
      </c>
      <c r="O2949" s="77">
        <f t="shared" si="1106"/>
        <v>0.89752735229759295</v>
      </c>
      <c r="P2949" s="76">
        <f t="shared" si="1107"/>
        <v>0.41666666666666663</v>
      </c>
      <c r="Q2949" s="76">
        <f t="shared" si="1108"/>
        <v>0</v>
      </c>
      <c r="R2949" s="76">
        <f t="shared" si="1109"/>
        <v>0</v>
      </c>
      <c r="S2949" s="76">
        <f t="shared" si="1110"/>
        <v>0.9755732090191227</v>
      </c>
      <c r="T2949" s="76">
        <f t="shared" si="1111"/>
        <v>0.9755732090191227</v>
      </c>
      <c r="U2949" s="76">
        <f t="shared" si="1112"/>
        <v>1</v>
      </c>
    </row>
    <row r="2950" spans="1:21" x14ac:dyDescent="0.25">
      <c r="A2950" s="71">
        <v>10</v>
      </c>
      <c r="B2950" s="72">
        <f t="shared" si="1113"/>
        <v>45931</v>
      </c>
      <c r="C2950" s="73">
        <f t="shared" si="1094"/>
        <v>45961</v>
      </c>
      <c r="D2950" s="67">
        <f t="shared" si="1095"/>
        <v>31</v>
      </c>
      <c r="E2950" s="67">
        <f t="shared" si="1096"/>
        <v>10</v>
      </c>
      <c r="F2950" s="74">
        <f t="shared" si="1097"/>
        <v>45946.5</v>
      </c>
      <c r="G2950" s="67">
        <f t="shared" si="1098"/>
        <v>24309</v>
      </c>
      <c r="H2950" s="75">
        <f t="shared" si="1099"/>
        <v>1</v>
      </c>
      <c r="I2950" s="76">
        <f t="shared" si="1100"/>
        <v>1</v>
      </c>
      <c r="J2950" s="76">
        <f t="shared" si="1101"/>
        <v>1</v>
      </c>
      <c r="K2950" s="67">
        <f t="shared" si="1102"/>
        <v>0</v>
      </c>
      <c r="L2950" s="67">
        <f t="shared" si="1103"/>
        <v>0</v>
      </c>
      <c r="M2950" s="77">
        <f t="shared" si="1104"/>
        <v>0</v>
      </c>
      <c r="N2950" s="76">
        <f t="shared" si="1105"/>
        <v>1</v>
      </c>
      <c r="O2950" s="77">
        <f t="shared" si="1106"/>
        <v>0.89852844638949669</v>
      </c>
      <c r="P2950" s="76">
        <f t="shared" si="1107"/>
        <v>0.58333333333333326</v>
      </c>
      <c r="Q2950" s="76">
        <f t="shared" si="1108"/>
        <v>0</v>
      </c>
      <c r="R2950" s="76">
        <f t="shared" si="1109"/>
        <v>0</v>
      </c>
      <c r="S2950" s="76">
        <f t="shared" si="1110"/>
        <v>0.97666135477119198</v>
      </c>
      <c r="T2950" s="76">
        <f t="shared" si="1111"/>
        <v>0.97666135477119198</v>
      </c>
      <c r="U2950" s="76">
        <f t="shared" si="1112"/>
        <v>1</v>
      </c>
    </row>
    <row r="2951" spans="1:21" x14ac:dyDescent="0.25">
      <c r="A2951" s="71">
        <v>11</v>
      </c>
      <c r="B2951" s="72">
        <f t="shared" si="1113"/>
        <v>45962</v>
      </c>
      <c r="C2951" s="73">
        <f t="shared" si="1094"/>
        <v>45991</v>
      </c>
      <c r="D2951" s="67">
        <f t="shared" si="1095"/>
        <v>30</v>
      </c>
      <c r="E2951" s="67">
        <f t="shared" si="1096"/>
        <v>11</v>
      </c>
      <c r="F2951" s="74">
        <f t="shared" si="1097"/>
        <v>45977</v>
      </c>
      <c r="G2951" s="67">
        <f t="shared" si="1098"/>
        <v>24310</v>
      </c>
      <c r="H2951" s="75">
        <f t="shared" si="1099"/>
        <v>1</v>
      </c>
      <c r="I2951" s="76">
        <f t="shared" si="1100"/>
        <v>1</v>
      </c>
      <c r="J2951" s="76">
        <f t="shared" si="1101"/>
        <v>1</v>
      </c>
      <c r="K2951" s="67">
        <f t="shared" si="1102"/>
        <v>0</v>
      </c>
      <c r="L2951" s="67">
        <f t="shared" si="1103"/>
        <v>0</v>
      </c>
      <c r="M2951" s="77">
        <f t="shared" si="1104"/>
        <v>0</v>
      </c>
      <c r="N2951" s="76">
        <f t="shared" si="1105"/>
        <v>1</v>
      </c>
      <c r="O2951" s="77">
        <f t="shared" si="1106"/>
        <v>0.89952954048140044</v>
      </c>
      <c r="P2951" s="76">
        <f t="shared" si="1107"/>
        <v>0.75</v>
      </c>
      <c r="Q2951" s="76">
        <f t="shared" si="1108"/>
        <v>0</v>
      </c>
      <c r="R2951" s="76">
        <f t="shared" si="1109"/>
        <v>0</v>
      </c>
      <c r="S2951" s="76">
        <f t="shared" si="1110"/>
        <v>0.97774950052326126</v>
      </c>
      <c r="T2951" s="76">
        <f t="shared" si="1111"/>
        <v>0.97774950052326126</v>
      </c>
      <c r="U2951" s="76">
        <f t="shared" si="1112"/>
        <v>1</v>
      </c>
    </row>
    <row r="2952" spans="1:21" x14ac:dyDescent="0.25">
      <c r="A2952" s="71">
        <v>12</v>
      </c>
      <c r="B2952" s="72">
        <f t="shared" si="1113"/>
        <v>45992</v>
      </c>
      <c r="C2952" s="73">
        <f t="shared" si="1094"/>
        <v>46022</v>
      </c>
      <c r="D2952" s="67">
        <f t="shared" si="1095"/>
        <v>31</v>
      </c>
      <c r="E2952" s="67">
        <f t="shared" si="1096"/>
        <v>12</v>
      </c>
      <c r="F2952" s="74">
        <f t="shared" si="1097"/>
        <v>46007.5</v>
      </c>
      <c r="G2952" s="67">
        <f t="shared" si="1098"/>
        <v>24311</v>
      </c>
      <c r="H2952" s="75">
        <f t="shared" si="1099"/>
        <v>1</v>
      </c>
      <c r="I2952" s="76">
        <f t="shared" si="1100"/>
        <v>1</v>
      </c>
      <c r="J2952" s="76">
        <f t="shared" si="1101"/>
        <v>1</v>
      </c>
      <c r="K2952" s="67">
        <f t="shared" si="1102"/>
        <v>0</v>
      </c>
      <c r="L2952" s="67">
        <f t="shared" si="1103"/>
        <v>0</v>
      </c>
      <c r="M2952" s="77">
        <f t="shared" si="1104"/>
        <v>0</v>
      </c>
      <c r="N2952" s="76">
        <f t="shared" si="1105"/>
        <v>1</v>
      </c>
      <c r="O2952" s="77">
        <f t="shared" si="1106"/>
        <v>0.90053063457330418</v>
      </c>
      <c r="P2952" s="76">
        <f t="shared" si="1107"/>
        <v>0.91666666666666663</v>
      </c>
      <c r="Q2952" s="76">
        <f t="shared" si="1108"/>
        <v>0</v>
      </c>
      <c r="R2952" s="76">
        <f t="shared" si="1109"/>
        <v>0</v>
      </c>
      <c r="S2952" s="76">
        <f t="shared" si="1110"/>
        <v>0.97883764627533054</v>
      </c>
      <c r="T2952" s="76">
        <f t="shared" si="1111"/>
        <v>0.97883764627533054</v>
      </c>
      <c r="U2952" s="76">
        <f t="shared" si="1112"/>
        <v>1</v>
      </c>
    </row>
    <row r="2953" spans="1:21" x14ac:dyDescent="0.25">
      <c r="A2953" s="71">
        <v>13</v>
      </c>
      <c r="B2953" s="72">
        <f t="shared" si="1113"/>
        <v>46023</v>
      </c>
      <c r="C2953" s="73">
        <f t="shared" si="1094"/>
        <v>46053</v>
      </c>
      <c r="D2953" s="67">
        <f t="shared" si="1095"/>
        <v>31</v>
      </c>
      <c r="E2953" s="67">
        <f t="shared" si="1096"/>
        <v>1</v>
      </c>
      <c r="F2953" s="74">
        <f t="shared" si="1097"/>
        <v>46038.5</v>
      </c>
      <c r="G2953" s="67">
        <f t="shared" si="1098"/>
        <v>24312</v>
      </c>
      <c r="H2953" s="75">
        <f t="shared" si="1099"/>
        <v>1</v>
      </c>
      <c r="I2953" s="76">
        <f t="shared" si="1100"/>
        <v>1</v>
      </c>
      <c r="J2953" s="76">
        <f t="shared" si="1101"/>
        <v>1</v>
      </c>
      <c r="K2953" s="67">
        <f t="shared" si="1102"/>
        <v>0</v>
      </c>
      <c r="L2953" s="67">
        <f t="shared" si="1103"/>
        <v>0</v>
      </c>
      <c r="M2953" s="77">
        <f t="shared" si="1104"/>
        <v>0</v>
      </c>
      <c r="N2953" s="76">
        <f t="shared" si="1105"/>
        <v>1</v>
      </c>
      <c r="O2953" s="77">
        <f t="shared" si="1106"/>
        <v>0.90154814004376371</v>
      </c>
      <c r="P2953" s="76">
        <f t="shared" si="1107"/>
        <v>1</v>
      </c>
      <c r="Q2953" s="76">
        <f t="shared" si="1108"/>
        <v>0</v>
      </c>
      <c r="R2953" s="76">
        <f t="shared" si="1109"/>
        <v>0</v>
      </c>
      <c r="S2953" s="76">
        <f t="shared" si="1110"/>
        <v>0.97994363048235178</v>
      </c>
      <c r="T2953" s="76">
        <f t="shared" si="1111"/>
        <v>0.97994363048235178</v>
      </c>
      <c r="U2953" s="76">
        <f t="shared" si="1112"/>
        <v>1</v>
      </c>
    </row>
    <row r="2954" spans="1:21" x14ac:dyDescent="0.25">
      <c r="A2954" s="71">
        <v>14</v>
      </c>
      <c r="B2954" s="72">
        <f t="shared" si="1113"/>
        <v>46054</v>
      </c>
      <c r="C2954" s="73">
        <f t="shared" si="1094"/>
        <v>46081</v>
      </c>
      <c r="D2954" s="67">
        <f t="shared" si="1095"/>
        <v>28</v>
      </c>
      <c r="E2954" s="67">
        <f t="shared" si="1096"/>
        <v>2</v>
      </c>
      <c r="F2954" s="74">
        <f t="shared" si="1097"/>
        <v>46068</v>
      </c>
      <c r="G2954" s="67">
        <f t="shared" si="1098"/>
        <v>24313</v>
      </c>
      <c r="H2954" s="75">
        <f t="shared" si="1099"/>
        <v>1</v>
      </c>
      <c r="I2954" s="76">
        <f t="shared" si="1100"/>
        <v>1</v>
      </c>
      <c r="J2954" s="76">
        <f t="shared" si="1101"/>
        <v>1</v>
      </c>
      <c r="K2954" s="67">
        <f t="shared" si="1102"/>
        <v>0</v>
      </c>
      <c r="L2954" s="67">
        <f t="shared" si="1103"/>
        <v>0</v>
      </c>
      <c r="M2954" s="77">
        <f t="shared" si="1104"/>
        <v>0</v>
      </c>
      <c r="N2954" s="76">
        <f t="shared" si="1105"/>
        <v>1</v>
      </c>
      <c r="O2954" s="77">
        <f t="shared" si="1106"/>
        <v>0.90251641137855576</v>
      </c>
      <c r="P2954" s="76">
        <f t="shared" si="1107"/>
        <v>1</v>
      </c>
      <c r="Q2954" s="76">
        <f t="shared" si="1108"/>
        <v>0</v>
      </c>
      <c r="R2954" s="76">
        <f t="shared" si="1109"/>
        <v>0</v>
      </c>
      <c r="S2954" s="76">
        <f t="shared" si="1110"/>
        <v>0.98099609932451703</v>
      </c>
      <c r="T2954" s="76">
        <f t="shared" si="1111"/>
        <v>0.98099609932451703</v>
      </c>
      <c r="U2954" s="76">
        <f t="shared" si="1112"/>
        <v>1</v>
      </c>
    </row>
    <row r="2955" spans="1:21" x14ac:dyDescent="0.25">
      <c r="A2955" s="71">
        <v>15</v>
      </c>
      <c r="B2955" s="72">
        <f t="shared" si="1113"/>
        <v>46082</v>
      </c>
      <c r="C2955" s="73">
        <f t="shared" si="1094"/>
        <v>46112</v>
      </c>
      <c r="D2955" s="67">
        <f t="shared" si="1095"/>
        <v>31</v>
      </c>
      <c r="E2955" s="67">
        <f t="shared" si="1096"/>
        <v>3</v>
      </c>
      <c r="F2955" s="74">
        <f t="shared" si="1097"/>
        <v>46097.5</v>
      </c>
      <c r="G2955" s="67">
        <f t="shared" si="1098"/>
        <v>24314</v>
      </c>
      <c r="H2955" s="75">
        <f t="shared" si="1099"/>
        <v>1</v>
      </c>
      <c r="I2955" s="76">
        <f t="shared" si="1100"/>
        <v>1</v>
      </c>
      <c r="J2955" s="76">
        <f t="shared" si="1101"/>
        <v>1</v>
      </c>
      <c r="K2955" s="67">
        <f t="shared" si="1102"/>
        <v>0</v>
      </c>
      <c r="L2955" s="67">
        <f t="shared" si="1103"/>
        <v>0</v>
      </c>
      <c r="M2955" s="77">
        <f t="shared" si="1104"/>
        <v>0</v>
      </c>
      <c r="N2955" s="76">
        <f t="shared" si="1105"/>
        <v>1</v>
      </c>
      <c r="O2955" s="77">
        <f t="shared" si="1106"/>
        <v>0.90348468271334792</v>
      </c>
      <c r="P2955" s="76">
        <f t="shared" si="1107"/>
        <v>1</v>
      </c>
      <c r="Q2955" s="76">
        <f t="shared" si="1108"/>
        <v>0</v>
      </c>
      <c r="R2955" s="76">
        <f t="shared" si="1109"/>
        <v>0</v>
      </c>
      <c r="S2955" s="76">
        <f t="shared" si="1110"/>
        <v>0.98204856816668251</v>
      </c>
      <c r="T2955" s="76">
        <f t="shared" si="1111"/>
        <v>0.98204856816668251</v>
      </c>
      <c r="U2955" s="76">
        <f t="shared" si="1112"/>
        <v>1</v>
      </c>
    </row>
    <row r="2956" spans="1:21" x14ac:dyDescent="0.25">
      <c r="A2956" s="71">
        <v>16</v>
      </c>
      <c r="B2956" s="72">
        <f t="shared" si="1113"/>
        <v>46113</v>
      </c>
      <c r="C2956" s="73">
        <f t="shared" si="1094"/>
        <v>46142</v>
      </c>
      <c r="D2956" s="67">
        <f t="shared" si="1095"/>
        <v>30</v>
      </c>
      <c r="E2956" s="67">
        <f t="shared" si="1096"/>
        <v>4</v>
      </c>
      <c r="F2956" s="74">
        <f t="shared" si="1097"/>
        <v>46128</v>
      </c>
      <c r="G2956" s="67">
        <f t="shared" si="1098"/>
        <v>24315</v>
      </c>
      <c r="H2956" s="75">
        <f t="shared" si="1099"/>
        <v>1</v>
      </c>
      <c r="I2956" s="76">
        <f t="shared" si="1100"/>
        <v>1</v>
      </c>
      <c r="J2956" s="76">
        <f t="shared" si="1101"/>
        <v>1</v>
      </c>
      <c r="K2956" s="67">
        <f t="shared" si="1102"/>
        <v>0</v>
      </c>
      <c r="L2956" s="67">
        <f t="shared" si="1103"/>
        <v>0</v>
      </c>
      <c r="M2956" s="77">
        <f t="shared" si="1104"/>
        <v>0</v>
      </c>
      <c r="N2956" s="76">
        <f t="shared" si="1105"/>
        <v>1</v>
      </c>
      <c r="O2956" s="77">
        <f t="shared" si="1106"/>
        <v>0.90448577680525166</v>
      </c>
      <c r="P2956" s="76">
        <f t="shared" si="1107"/>
        <v>1</v>
      </c>
      <c r="Q2956" s="76">
        <f t="shared" si="1108"/>
        <v>0</v>
      </c>
      <c r="R2956" s="76">
        <f t="shared" si="1109"/>
        <v>0</v>
      </c>
      <c r="S2956" s="76">
        <f t="shared" si="1110"/>
        <v>0.98313671391875179</v>
      </c>
      <c r="T2956" s="76">
        <f t="shared" si="1111"/>
        <v>0.98313671391875179</v>
      </c>
      <c r="U2956" s="76">
        <f t="shared" si="1112"/>
        <v>1</v>
      </c>
    </row>
    <row r="2957" spans="1:21" x14ac:dyDescent="0.25">
      <c r="A2957" s="71">
        <v>17</v>
      </c>
      <c r="B2957" s="72">
        <f t="shared" si="1113"/>
        <v>46143</v>
      </c>
      <c r="C2957" s="73">
        <f t="shared" si="1094"/>
        <v>46173</v>
      </c>
      <c r="D2957" s="67">
        <f t="shared" si="1095"/>
        <v>31</v>
      </c>
      <c r="E2957" s="67">
        <f t="shared" si="1096"/>
        <v>5</v>
      </c>
      <c r="F2957" s="74">
        <f t="shared" si="1097"/>
        <v>46158.5</v>
      </c>
      <c r="G2957" s="67">
        <f t="shared" si="1098"/>
        <v>24316</v>
      </c>
      <c r="H2957" s="75">
        <f t="shared" si="1099"/>
        <v>1</v>
      </c>
      <c r="I2957" s="76">
        <f t="shared" si="1100"/>
        <v>1</v>
      </c>
      <c r="J2957" s="76">
        <f t="shared" si="1101"/>
        <v>1</v>
      </c>
      <c r="K2957" s="67">
        <f t="shared" si="1102"/>
        <v>0</v>
      </c>
      <c r="L2957" s="67">
        <f t="shared" si="1103"/>
        <v>0</v>
      </c>
      <c r="M2957" s="77">
        <f t="shared" si="1104"/>
        <v>0</v>
      </c>
      <c r="N2957" s="76">
        <f t="shared" si="1105"/>
        <v>1</v>
      </c>
      <c r="O2957" s="77">
        <f t="shared" si="1106"/>
        <v>0.9054868708971554</v>
      </c>
      <c r="P2957" s="76">
        <f t="shared" si="1107"/>
        <v>1</v>
      </c>
      <c r="Q2957" s="76">
        <f t="shared" si="1108"/>
        <v>0</v>
      </c>
      <c r="R2957" s="76">
        <f t="shared" si="1109"/>
        <v>0</v>
      </c>
      <c r="S2957" s="76">
        <f t="shared" si="1110"/>
        <v>0.98422485967082107</v>
      </c>
      <c r="T2957" s="76">
        <f t="shared" si="1111"/>
        <v>0.98422485967082107</v>
      </c>
      <c r="U2957" s="76">
        <f t="shared" si="1112"/>
        <v>1</v>
      </c>
    </row>
    <row r="2958" spans="1:21" x14ac:dyDescent="0.25">
      <c r="A2958" s="71">
        <v>18</v>
      </c>
      <c r="B2958" s="72">
        <f t="shared" si="1113"/>
        <v>46174</v>
      </c>
      <c r="C2958" s="73">
        <f t="shared" si="1094"/>
        <v>46203</v>
      </c>
      <c r="D2958" s="67">
        <f t="shared" si="1095"/>
        <v>30</v>
      </c>
      <c r="E2958" s="67">
        <f t="shared" si="1096"/>
        <v>6</v>
      </c>
      <c r="F2958" s="74">
        <f t="shared" si="1097"/>
        <v>46189</v>
      </c>
      <c r="G2958" s="67">
        <f t="shared" si="1098"/>
        <v>24317</v>
      </c>
      <c r="H2958" s="75">
        <f t="shared" si="1099"/>
        <v>1</v>
      </c>
      <c r="I2958" s="76">
        <f t="shared" si="1100"/>
        <v>1</v>
      </c>
      <c r="J2958" s="76">
        <f t="shared" si="1101"/>
        <v>1</v>
      </c>
      <c r="K2958" s="67">
        <f t="shared" si="1102"/>
        <v>0</v>
      </c>
      <c r="L2958" s="67">
        <f t="shared" si="1103"/>
        <v>0</v>
      </c>
      <c r="M2958" s="77">
        <f t="shared" si="1104"/>
        <v>0</v>
      </c>
      <c r="N2958" s="76">
        <f t="shared" si="1105"/>
        <v>1</v>
      </c>
      <c r="O2958" s="77">
        <f t="shared" si="1106"/>
        <v>0.90648796498905915</v>
      </c>
      <c r="P2958" s="76">
        <f t="shared" si="1107"/>
        <v>1</v>
      </c>
      <c r="Q2958" s="76">
        <f t="shared" si="1108"/>
        <v>0</v>
      </c>
      <c r="R2958" s="76">
        <f t="shared" si="1109"/>
        <v>0</v>
      </c>
      <c r="S2958" s="76">
        <f t="shared" si="1110"/>
        <v>0.98531300542289035</v>
      </c>
      <c r="T2958" s="76">
        <f t="shared" si="1111"/>
        <v>0.98531300542289035</v>
      </c>
      <c r="U2958" s="76">
        <f t="shared" si="1112"/>
        <v>1</v>
      </c>
    </row>
    <row r="2959" spans="1:21" x14ac:dyDescent="0.25">
      <c r="A2959" s="71">
        <v>19</v>
      </c>
      <c r="B2959" s="72">
        <f t="shared" si="1113"/>
        <v>46204</v>
      </c>
      <c r="C2959" s="73">
        <f t="shared" si="1094"/>
        <v>46234</v>
      </c>
      <c r="D2959" s="67">
        <f t="shared" si="1095"/>
        <v>31</v>
      </c>
      <c r="E2959" s="67">
        <f t="shared" si="1096"/>
        <v>7</v>
      </c>
      <c r="F2959" s="74">
        <f t="shared" si="1097"/>
        <v>46219.5</v>
      </c>
      <c r="G2959" s="67">
        <f t="shared" si="1098"/>
        <v>24318</v>
      </c>
      <c r="H2959" s="75">
        <f t="shared" si="1099"/>
        <v>1</v>
      </c>
      <c r="I2959" s="76">
        <f t="shared" si="1100"/>
        <v>1</v>
      </c>
      <c r="J2959" s="76">
        <f t="shared" si="1101"/>
        <v>1</v>
      </c>
      <c r="K2959" s="67">
        <f t="shared" si="1102"/>
        <v>0</v>
      </c>
      <c r="L2959" s="67">
        <f t="shared" si="1103"/>
        <v>0</v>
      </c>
      <c r="M2959" s="77">
        <f t="shared" si="1104"/>
        <v>0</v>
      </c>
      <c r="N2959" s="76">
        <f t="shared" si="1105"/>
        <v>1</v>
      </c>
      <c r="O2959" s="77">
        <f t="shared" si="1106"/>
        <v>0.90748905908096278</v>
      </c>
      <c r="P2959" s="76">
        <f t="shared" si="1107"/>
        <v>0.91666666666666663</v>
      </c>
      <c r="Q2959" s="76">
        <f t="shared" si="1108"/>
        <v>8.333333333333337E-2</v>
      </c>
      <c r="R2959" s="76">
        <f t="shared" si="1109"/>
        <v>0</v>
      </c>
      <c r="S2959" s="76">
        <f t="shared" si="1110"/>
        <v>0.98640115117495952</v>
      </c>
      <c r="T2959" s="76">
        <f t="shared" si="1111"/>
        <v>0.98640115117495952</v>
      </c>
      <c r="U2959" s="76">
        <f t="shared" si="1112"/>
        <v>1</v>
      </c>
    </row>
    <row r="2960" spans="1:21" x14ac:dyDescent="0.25">
      <c r="A2960" s="71">
        <v>20</v>
      </c>
      <c r="B2960" s="72">
        <f t="shared" si="1113"/>
        <v>46235</v>
      </c>
      <c r="C2960" s="73">
        <f t="shared" si="1094"/>
        <v>46265</v>
      </c>
      <c r="D2960" s="67">
        <f t="shared" si="1095"/>
        <v>31</v>
      </c>
      <c r="E2960" s="67">
        <f t="shared" si="1096"/>
        <v>8</v>
      </c>
      <c r="F2960" s="74">
        <f t="shared" si="1097"/>
        <v>46250.5</v>
      </c>
      <c r="G2960" s="67">
        <f t="shared" si="1098"/>
        <v>24319</v>
      </c>
      <c r="H2960" s="75">
        <f t="shared" si="1099"/>
        <v>1</v>
      </c>
      <c r="I2960" s="76">
        <f t="shared" si="1100"/>
        <v>1</v>
      </c>
      <c r="J2960" s="76">
        <f t="shared" si="1101"/>
        <v>1</v>
      </c>
      <c r="K2960" s="67">
        <f t="shared" si="1102"/>
        <v>0</v>
      </c>
      <c r="L2960" s="67">
        <f t="shared" si="1103"/>
        <v>0</v>
      </c>
      <c r="M2960" s="77">
        <f t="shared" si="1104"/>
        <v>0</v>
      </c>
      <c r="N2960" s="76">
        <f t="shared" si="1105"/>
        <v>1</v>
      </c>
      <c r="O2960" s="77">
        <f t="shared" si="1106"/>
        <v>0.90850656455142231</v>
      </c>
      <c r="P2960" s="76">
        <f t="shared" si="1107"/>
        <v>0.75</v>
      </c>
      <c r="Q2960" s="76">
        <f t="shared" si="1108"/>
        <v>0.25</v>
      </c>
      <c r="R2960" s="76">
        <f t="shared" si="1109"/>
        <v>0</v>
      </c>
      <c r="S2960" s="76">
        <f t="shared" si="1110"/>
        <v>0.98750713538198076</v>
      </c>
      <c r="T2960" s="76">
        <f t="shared" si="1111"/>
        <v>0.98750713538198076</v>
      </c>
      <c r="U2960" s="76">
        <f t="shared" si="1112"/>
        <v>1</v>
      </c>
    </row>
    <row r="2961" spans="1:21" x14ac:dyDescent="0.25">
      <c r="A2961" s="71">
        <v>21</v>
      </c>
      <c r="B2961" s="72">
        <f t="shared" si="1113"/>
        <v>46266</v>
      </c>
      <c r="C2961" s="73">
        <f t="shared" si="1094"/>
        <v>46295</v>
      </c>
      <c r="D2961" s="67">
        <f t="shared" si="1095"/>
        <v>30</v>
      </c>
      <c r="E2961" s="67">
        <f t="shared" si="1096"/>
        <v>9</v>
      </c>
      <c r="F2961" s="74">
        <f t="shared" si="1097"/>
        <v>46281</v>
      </c>
      <c r="G2961" s="67">
        <f t="shared" si="1098"/>
        <v>24320</v>
      </c>
      <c r="H2961" s="75">
        <f t="shared" si="1099"/>
        <v>1</v>
      </c>
      <c r="I2961" s="76">
        <f t="shared" si="1100"/>
        <v>1</v>
      </c>
      <c r="J2961" s="76">
        <f t="shared" si="1101"/>
        <v>1</v>
      </c>
      <c r="K2961" s="67">
        <f t="shared" si="1102"/>
        <v>0</v>
      </c>
      <c r="L2961" s="67">
        <f t="shared" si="1103"/>
        <v>0</v>
      </c>
      <c r="M2961" s="77">
        <f t="shared" si="1104"/>
        <v>0</v>
      </c>
      <c r="N2961" s="76">
        <f t="shared" si="1105"/>
        <v>1</v>
      </c>
      <c r="O2961" s="77">
        <f t="shared" si="1106"/>
        <v>0.90950765864332606</v>
      </c>
      <c r="P2961" s="76">
        <f t="shared" si="1107"/>
        <v>0.58333333333333337</v>
      </c>
      <c r="Q2961" s="76">
        <f t="shared" si="1108"/>
        <v>0.41666666666666663</v>
      </c>
      <c r="R2961" s="76">
        <f t="shared" si="1109"/>
        <v>0</v>
      </c>
      <c r="S2961" s="76">
        <f t="shared" si="1110"/>
        <v>0.98859528113405004</v>
      </c>
      <c r="T2961" s="76">
        <f t="shared" si="1111"/>
        <v>0.98859528113405004</v>
      </c>
      <c r="U2961" s="76">
        <f t="shared" si="1112"/>
        <v>1</v>
      </c>
    </row>
    <row r="2962" spans="1:21" x14ac:dyDescent="0.25">
      <c r="A2962" s="71">
        <v>22</v>
      </c>
      <c r="B2962" s="72">
        <f t="shared" si="1113"/>
        <v>46296</v>
      </c>
      <c r="C2962" s="73">
        <f t="shared" si="1094"/>
        <v>46326</v>
      </c>
      <c r="D2962" s="67">
        <f t="shared" si="1095"/>
        <v>31</v>
      </c>
      <c r="E2962" s="67">
        <f t="shared" si="1096"/>
        <v>10</v>
      </c>
      <c r="F2962" s="74">
        <f t="shared" si="1097"/>
        <v>46311.5</v>
      </c>
      <c r="G2962" s="67">
        <f t="shared" si="1098"/>
        <v>24321</v>
      </c>
      <c r="H2962" s="75">
        <f t="shared" si="1099"/>
        <v>1</v>
      </c>
      <c r="I2962" s="76">
        <f t="shared" si="1100"/>
        <v>1</v>
      </c>
      <c r="J2962" s="76">
        <f t="shared" si="1101"/>
        <v>1</v>
      </c>
      <c r="K2962" s="67">
        <f t="shared" si="1102"/>
        <v>0</v>
      </c>
      <c r="L2962" s="67">
        <f t="shared" si="1103"/>
        <v>0</v>
      </c>
      <c r="M2962" s="77">
        <f t="shared" si="1104"/>
        <v>0</v>
      </c>
      <c r="N2962" s="76">
        <f t="shared" si="1105"/>
        <v>1</v>
      </c>
      <c r="O2962" s="77">
        <f t="shared" si="1106"/>
        <v>0.9105087527352298</v>
      </c>
      <c r="P2962" s="76">
        <f t="shared" si="1107"/>
        <v>0.41666666666666669</v>
      </c>
      <c r="Q2962" s="76">
        <f t="shared" si="1108"/>
        <v>0.58333333333333326</v>
      </c>
      <c r="R2962" s="76">
        <f t="shared" si="1109"/>
        <v>0</v>
      </c>
      <c r="S2962" s="76">
        <f t="shared" si="1110"/>
        <v>0.98968342688611932</v>
      </c>
      <c r="T2962" s="76">
        <f t="shared" si="1111"/>
        <v>0.98968342688611932</v>
      </c>
      <c r="U2962" s="76">
        <f t="shared" si="1112"/>
        <v>1</v>
      </c>
    </row>
    <row r="2963" spans="1:21" x14ac:dyDescent="0.25">
      <c r="A2963" s="71">
        <v>23</v>
      </c>
      <c r="B2963" s="72">
        <f t="shared" si="1113"/>
        <v>46327</v>
      </c>
      <c r="C2963" s="73">
        <f t="shared" si="1094"/>
        <v>46356</v>
      </c>
      <c r="D2963" s="67">
        <f t="shared" si="1095"/>
        <v>30</v>
      </c>
      <c r="E2963" s="67">
        <f t="shared" si="1096"/>
        <v>11</v>
      </c>
      <c r="F2963" s="74">
        <f t="shared" si="1097"/>
        <v>46342</v>
      </c>
      <c r="G2963" s="67">
        <f t="shared" si="1098"/>
        <v>24322</v>
      </c>
      <c r="H2963" s="75">
        <f t="shared" si="1099"/>
        <v>1</v>
      </c>
      <c r="I2963" s="76">
        <f t="shared" si="1100"/>
        <v>1</v>
      </c>
      <c r="J2963" s="76">
        <f t="shared" si="1101"/>
        <v>1</v>
      </c>
      <c r="K2963" s="67">
        <f t="shared" si="1102"/>
        <v>0</v>
      </c>
      <c r="L2963" s="67">
        <f t="shared" si="1103"/>
        <v>0</v>
      </c>
      <c r="M2963" s="77">
        <f t="shared" si="1104"/>
        <v>0</v>
      </c>
      <c r="N2963" s="76">
        <f t="shared" si="1105"/>
        <v>1</v>
      </c>
      <c r="O2963" s="77">
        <f t="shared" si="1106"/>
        <v>0.91150984682713354</v>
      </c>
      <c r="P2963" s="76">
        <f t="shared" si="1107"/>
        <v>0.25</v>
      </c>
      <c r="Q2963" s="76">
        <f t="shared" si="1108"/>
        <v>0.75</v>
      </c>
      <c r="R2963" s="76">
        <f t="shared" si="1109"/>
        <v>0</v>
      </c>
      <c r="S2963" s="76">
        <f t="shared" si="1110"/>
        <v>0.9907715726381886</v>
      </c>
      <c r="T2963" s="76">
        <f t="shared" si="1111"/>
        <v>0.9907715726381886</v>
      </c>
      <c r="U2963" s="76">
        <f t="shared" si="1112"/>
        <v>1</v>
      </c>
    </row>
    <row r="2964" spans="1:21" x14ac:dyDescent="0.25">
      <c r="A2964" s="71">
        <v>24</v>
      </c>
      <c r="B2964" s="72">
        <f t="shared" si="1113"/>
        <v>46357</v>
      </c>
      <c r="C2964" s="73">
        <f t="shared" si="1094"/>
        <v>46387</v>
      </c>
      <c r="D2964" s="67">
        <f t="shared" si="1095"/>
        <v>31</v>
      </c>
      <c r="E2964" s="67">
        <f t="shared" si="1096"/>
        <v>12</v>
      </c>
      <c r="F2964" s="74">
        <f t="shared" si="1097"/>
        <v>46372.5</v>
      </c>
      <c r="G2964" s="67">
        <f t="shared" si="1098"/>
        <v>24323</v>
      </c>
      <c r="H2964" s="75">
        <f t="shared" si="1099"/>
        <v>1</v>
      </c>
      <c r="I2964" s="76">
        <f t="shared" si="1100"/>
        <v>1</v>
      </c>
      <c r="J2964" s="76">
        <f t="shared" si="1101"/>
        <v>1</v>
      </c>
      <c r="K2964" s="67">
        <f t="shared" si="1102"/>
        <v>0</v>
      </c>
      <c r="L2964" s="67">
        <f t="shared" si="1103"/>
        <v>0</v>
      </c>
      <c r="M2964" s="77">
        <f t="shared" si="1104"/>
        <v>0</v>
      </c>
      <c r="N2964" s="76">
        <f t="shared" si="1105"/>
        <v>1</v>
      </c>
      <c r="O2964" s="77">
        <f t="shared" si="1106"/>
        <v>0.91251094091903728</v>
      </c>
      <c r="P2964" s="76">
        <f t="shared" si="1107"/>
        <v>8.3333333333333329E-2</v>
      </c>
      <c r="Q2964" s="76">
        <f t="shared" si="1108"/>
        <v>0.91666666666666663</v>
      </c>
      <c r="R2964" s="76">
        <f t="shared" si="1109"/>
        <v>0</v>
      </c>
      <c r="S2964" s="76">
        <f t="shared" si="1110"/>
        <v>0.99185971839025788</v>
      </c>
      <c r="T2964" s="76">
        <f t="shared" si="1111"/>
        <v>0.99185971839025788</v>
      </c>
      <c r="U2964" s="76">
        <f t="shared" si="1112"/>
        <v>1</v>
      </c>
    </row>
    <row r="2965" spans="1:21" x14ac:dyDescent="0.25">
      <c r="A2965" s="71">
        <v>25</v>
      </c>
      <c r="B2965" s="72">
        <f t="shared" si="1113"/>
        <v>46388</v>
      </c>
      <c r="C2965" s="73">
        <f t="shared" si="1094"/>
        <v>46418</v>
      </c>
      <c r="D2965" s="67">
        <f t="shared" si="1095"/>
        <v>31</v>
      </c>
      <c r="E2965" s="67">
        <f t="shared" si="1096"/>
        <v>1</v>
      </c>
      <c r="F2965" s="74">
        <f t="shared" si="1097"/>
        <v>46403.5</v>
      </c>
      <c r="G2965" s="67">
        <f t="shared" si="1098"/>
        <v>24324</v>
      </c>
      <c r="H2965" s="75">
        <f t="shared" si="1099"/>
        <v>1</v>
      </c>
      <c r="I2965" s="76">
        <f t="shared" si="1100"/>
        <v>1</v>
      </c>
      <c r="J2965" s="76">
        <f t="shared" si="1101"/>
        <v>1</v>
      </c>
      <c r="K2965" s="67">
        <f t="shared" si="1102"/>
        <v>0</v>
      </c>
      <c r="L2965" s="67">
        <f t="shared" si="1103"/>
        <v>0</v>
      </c>
      <c r="M2965" s="77">
        <f t="shared" si="1104"/>
        <v>0</v>
      </c>
      <c r="N2965" s="76">
        <f t="shared" si="1105"/>
        <v>1</v>
      </c>
      <c r="O2965" s="77">
        <f t="shared" si="1106"/>
        <v>0.91352844638949671</v>
      </c>
      <c r="P2965" s="76">
        <f t="shared" si="1107"/>
        <v>0</v>
      </c>
      <c r="Q2965" s="76">
        <f t="shared" si="1108"/>
        <v>1</v>
      </c>
      <c r="R2965" s="76">
        <f t="shared" si="1109"/>
        <v>0</v>
      </c>
      <c r="S2965" s="76">
        <f t="shared" si="1110"/>
        <v>0.99296570259727901</v>
      </c>
      <c r="T2965" s="76">
        <f t="shared" si="1111"/>
        <v>0.97994363048235178</v>
      </c>
      <c r="U2965" s="76">
        <f t="shared" si="1112"/>
        <v>1</v>
      </c>
    </row>
    <row r="2966" spans="1:21" x14ac:dyDescent="0.25">
      <c r="A2966" s="71">
        <v>26</v>
      </c>
      <c r="B2966" s="72">
        <f t="shared" si="1113"/>
        <v>46419</v>
      </c>
      <c r="C2966" s="73">
        <f t="shared" si="1094"/>
        <v>46446</v>
      </c>
      <c r="D2966" s="67">
        <f t="shared" si="1095"/>
        <v>28</v>
      </c>
      <c r="E2966" s="67">
        <f t="shared" si="1096"/>
        <v>2</v>
      </c>
      <c r="F2966" s="74">
        <f t="shared" si="1097"/>
        <v>46433</v>
      </c>
      <c r="G2966" s="67">
        <f t="shared" si="1098"/>
        <v>24325</v>
      </c>
      <c r="H2966" s="75">
        <f t="shared" si="1099"/>
        <v>1</v>
      </c>
      <c r="I2966" s="76">
        <f t="shared" si="1100"/>
        <v>1</v>
      </c>
      <c r="J2966" s="76">
        <f t="shared" si="1101"/>
        <v>1</v>
      </c>
      <c r="K2966" s="67">
        <f t="shared" si="1102"/>
        <v>0</v>
      </c>
      <c r="L2966" s="67">
        <f t="shared" si="1103"/>
        <v>0</v>
      </c>
      <c r="M2966" s="77">
        <f t="shared" si="1104"/>
        <v>0</v>
      </c>
      <c r="N2966" s="76">
        <f t="shared" si="1105"/>
        <v>1</v>
      </c>
      <c r="O2966" s="77">
        <f t="shared" si="1106"/>
        <v>0.91449671772428887</v>
      </c>
      <c r="P2966" s="76">
        <f t="shared" si="1107"/>
        <v>0</v>
      </c>
      <c r="Q2966" s="76">
        <f t="shared" si="1108"/>
        <v>1</v>
      </c>
      <c r="R2966" s="76">
        <f t="shared" si="1109"/>
        <v>0</v>
      </c>
      <c r="S2966" s="76">
        <f t="shared" si="1110"/>
        <v>0.99401817143944438</v>
      </c>
      <c r="T2966" s="76">
        <f t="shared" si="1111"/>
        <v>0.98099609932451703</v>
      </c>
      <c r="U2966" s="76">
        <f t="shared" si="1112"/>
        <v>1</v>
      </c>
    </row>
    <row r="2967" spans="1:21" x14ac:dyDescent="0.25">
      <c r="A2967" s="71">
        <v>27</v>
      </c>
      <c r="B2967" s="72">
        <f t="shared" si="1113"/>
        <v>46447</v>
      </c>
      <c r="C2967" s="73">
        <f t="shared" si="1094"/>
        <v>46477</v>
      </c>
      <c r="D2967" s="67">
        <f t="shared" si="1095"/>
        <v>31</v>
      </c>
      <c r="E2967" s="67">
        <f t="shared" si="1096"/>
        <v>3</v>
      </c>
      <c r="F2967" s="74">
        <f t="shared" si="1097"/>
        <v>46462.5</v>
      </c>
      <c r="G2967" s="67">
        <f t="shared" si="1098"/>
        <v>24326</v>
      </c>
      <c r="H2967" s="75">
        <f t="shared" si="1099"/>
        <v>1</v>
      </c>
      <c r="I2967" s="76">
        <f t="shared" si="1100"/>
        <v>1</v>
      </c>
      <c r="J2967" s="76">
        <f t="shared" si="1101"/>
        <v>1</v>
      </c>
      <c r="K2967" s="67">
        <f t="shared" si="1102"/>
        <v>0</v>
      </c>
      <c r="L2967" s="67">
        <f t="shared" si="1103"/>
        <v>0</v>
      </c>
      <c r="M2967" s="77">
        <f t="shared" si="1104"/>
        <v>0</v>
      </c>
      <c r="N2967" s="76">
        <f t="shared" si="1105"/>
        <v>1</v>
      </c>
      <c r="O2967" s="77">
        <f t="shared" si="1106"/>
        <v>0.91546498905908102</v>
      </c>
      <c r="P2967" s="76">
        <f t="shared" si="1107"/>
        <v>0</v>
      </c>
      <c r="Q2967" s="76">
        <f t="shared" si="1108"/>
        <v>1</v>
      </c>
      <c r="R2967" s="76">
        <f t="shared" si="1109"/>
        <v>0</v>
      </c>
      <c r="S2967" s="76">
        <f t="shared" si="1110"/>
        <v>0.99507064028160974</v>
      </c>
      <c r="T2967" s="76">
        <f t="shared" si="1111"/>
        <v>0.98204856816668251</v>
      </c>
      <c r="U2967" s="76">
        <f t="shared" si="1112"/>
        <v>1</v>
      </c>
    </row>
    <row r="2968" spans="1:21" x14ac:dyDescent="0.25">
      <c r="A2968" s="71">
        <v>28</v>
      </c>
      <c r="B2968" s="72">
        <f t="shared" si="1113"/>
        <v>46478</v>
      </c>
      <c r="C2968" s="73">
        <f t="shared" si="1094"/>
        <v>46507</v>
      </c>
      <c r="D2968" s="67">
        <f t="shared" si="1095"/>
        <v>30</v>
      </c>
      <c r="E2968" s="67">
        <f t="shared" si="1096"/>
        <v>4</v>
      </c>
      <c r="F2968" s="74">
        <f t="shared" si="1097"/>
        <v>46493</v>
      </c>
      <c r="G2968" s="67">
        <f t="shared" si="1098"/>
        <v>24327</v>
      </c>
      <c r="H2968" s="75">
        <f t="shared" si="1099"/>
        <v>1</v>
      </c>
      <c r="I2968" s="76">
        <f t="shared" si="1100"/>
        <v>1</v>
      </c>
      <c r="J2968" s="76">
        <f t="shared" si="1101"/>
        <v>1.04</v>
      </c>
      <c r="K2968" s="67">
        <f t="shared" si="1102"/>
        <v>1</v>
      </c>
      <c r="L2968" s="67">
        <f t="shared" si="1103"/>
        <v>30</v>
      </c>
      <c r="M2968" s="77">
        <f t="shared" si="1104"/>
        <v>1</v>
      </c>
      <c r="N2968" s="76">
        <f t="shared" si="1105"/>
        <v>1.04</v>
      </c>
      <c r="O2968" s="77">
        <f t="shared" si="1106"/>
        <v>0.91646608315098477</v>
      </c>
      <c r="P2968" s="76">
        <f t="shared" si="1107"/>
        <v>0</v>
      </c>
      <c r="Q2968" s="76">
        <f t="shared" si="1108"/>
        <v>1</v>
      </c>
      <c r="R2968" s="76">
        <f t="shared" si="1109"/>
        <v>0</v>
      </c>
      <c r="S2968" s="76">
        <f t="shared" si="1110"/>
        <v>1.0360051374750263</v>
      </c>
      <c r="T2968" s="76">
        <f t="shared" si="1111"/>
        <v>0.98313671391875179</v>
      </c>
      <c r="U2968" s="76">
        <f t="shared" si="1112"/>
        <v>1.04</v>
      </c>
    </row>
    <row r="2969" spans="1:21" x14ac:dyDescent="0.25">
      <c r="A2969" s="71">
        <v>29</v>
      </c>
      <c r="B2969" s="72">
        <f t="shared" si="1113"/>
        <v>46508</v>
      </c>
      <c r="C2969" s="73">
        <f t="shared" si="1094"/>
        <v>46538</v>
      </c>
      <c r="D2969" s="67">
        <f t="shared" si="1095"/>
        <v>31</v>
      </c>
      <c r="E2969" s="67">
        <f t="shared" si="1096"/>
        <v>5</v>
      </c>
      <c r="F2969" s="74">
        <f t="shared" si="1097"/>
        <v>46523.5</v>
      </c>
      <c r="G2969" s="67">
        <f t="shared" si="1098"/>
        <v>24328</v>
      </c>
      <c r="H2969" s="75">
        <f t="shared" si="1099"/>
        <v>1</v>
      </c>
      <c r="I2969" s="76">
        <f t="shared" si="1100"/>
        <v>1.04</v>
      </c>
      <c r="J2969" s="76">
        <f t="shared" si="1101"/>
        <v>1.04</v>
      </c>
      <c r="K2969" s="67">
        <f t="shared" si="1102"/>
        <v>0</v>
      </c>
      <c r="L2969" s="67">
        <f t="shared" si="1103"/>
        <v>0</v>
      </c>
      <c r="M2969" s="77">
        <f t="shared" si="1104"/>
        <v>0</v>
      </c>
      <c r="N2969" s="76">
        <f t="shared" si="1105"/>
        <v>1.04</v>
      </c>
      <c r="O2969" s="77">
        <f t="shared" si="1106"/>
        <v>0.9174671772428884</v>
      </c>
      <c r="P2969" s="76">
        <f t="shared" si="1107"/>
        <v>0</v>
      </c>
      <c r="Q2969" s="76">
        <f t="shared" si="1108"/>
        <v>1</v>
      </c>
      <c r="R2969" s="76">
        <f t="shared" si="1109"/>
        <v>0</v>
      </c>
      <c r="S2969" s="76">
        <f t="shared" si="1110"/>
        <v>1.0371368090571782</v>
      </c>
      <c r="T2969" s="76">
        <f t="shared" si="1111"/>
        <v>0.98422485967082107</v>
      </c>
      <c r="U2969" s="76">
        <f t="shared" si="1112"/>
        <v>1.04</v>
      </c>
    </row>
    <row r="2970" spans="1:21" x14ac:dyDescent="0.25">
      <c r="A2970" s="71">
        <v>30</v>
      </c>
      <c r="B2970" s="72">
        <f t="shared" si="1113"/>
        <v>46539</v>
      </c>
      <c r="C2970" s="73">
        <f t="shared" si="1094"/>
        <v>46568</v>
      </c>
      <c r="D2970" s="67">
        <f t="shared" si="1095"/>
        <v>30</v>
      </c>
      <c r="E2970" s="67">
        <f t="shared" si="1096"/>
        <v>6</v>
      </c>
      <c r="F2970" s="74">
        <f t="shared" si="1097"/>
        <v>46554</v>
      </c>
      <c r="G2970" s="67">
        <f t="shared" si="1098"/>
        <v>24329</v>
      </c>
      <c r="H2970" s="75">
        <f t="shared" si="1099"/>
        <v>1</v>
      </c>
      <c r="I2970" s="76">
        <f t="shared" si="1100"/>
        <v>1.04</v>
      </c>
      <c r="J2970" s="76">
        <f t="shared" si="1101"/>
        <v>1.04</v>
      </c>
      <c r="K2970" s="67">
        <f t="shared" si="1102"/>
        <v>0</v>
      </c>
      <c r="L2970" s="67">
        <f t="shared" si="1103"/>
        <v>0</v>
      </c>
      <c r="M2970" s="77">
        <f t="shared" si="1104"/>
        <v>0</v>
      </c>
      <c r="N2970" s="76">
        <f t="shared" si="1105"/>
        <v>1.04</v>
      </c>
      <c r="O2970" s="77">
        <f t="shared" si="1106"/>
        <v>0.91846827133479214</v>
      </c>
      <c r="P2970" s="76">
        <f t="shared" si="1107"/>
        <v>0</v>
      </c>
      <c r="Q2970" s="76">
        <f t="shared" si="1108"/>
        <v>1</v>
      </c>
      <c r="R2970" s="76">
        <f t="shared" si="1109"/>
        <v>0</v>
      </c>
      <c r="S2970" s="76">
        <f t="shared" si="1110"/>
        <v>1.0382684806393303</v>
      </c>
      <c r="T2970" s="76">
        <f t="shared" si="1111"/>
        <v>0.98531300542289035</v>
      </c>
      <c r="U2970" s="76">
        <f t="shared" si="1112"/>
        <v>1.04</v>
      </c>
    </row>
    <row r="2971" spans="1:21" x14ac:dyDescent="0.25">
      <c r="A2971" s="71">
        <v>31</v>
      </c>
      <c r="B2971" s="72">
        <f t="shared" si="1113"/>
        <v>46569</v>
      </c>
      <c r="C2971" s="73">
        <f t="shared" si="1094"/>
        <v>46599</v>
      </c>
      <c r="D2971" s="67">
        <f t="shared" si="1095"/>
        <v>31</v>
      </c>
      <c r="E2971" s="67">
        <f t="shared" si="1096"/>
        <v>7</v>
      </c>
      <c r="F2971" s="74">
        <f t="shared" si="1097"/>
        <v>46584.5</v>
      </c>
      <c r="G2971" s="67">
        <f t="shared" si="1098"/>
        <v>24330</v>
      </c>
      <c r="H2971" s="75">
        <f t="shared" si="1099"/>
        <v>1</v>
      </c>
      <c r="I2971" s="76">
        <f t="shared" si="1100"/>
        <v>1.04</v>
      </c>
      <c r="J2971" s="76">
        <f t="shared" si="1101"/>
        <v>1.04</v>
      </c>
      <c r="K2971" s="67">
        <f t="shared" si="1102"/>
        <v>0</v>
      </c>
      <c r="L2971" s="67">
        <f t="shared" si="1103"/>
        <v>0</v>
      </c>
      <c r="M2971" s="77">
        <f t="shared" si="1104"/>
        <v>0</v>
      </c>
      <c r="N2971" s="76">
        <f t="shared" si="1105"/>
        <v>1.04</v>
      </c>
      <c r="O2971" s="77">
        <f t="shared" si="1106"/>
        <v>0.91946936542669588</v>
      </c>
      <c r="P2971" s="76">
        <f t="shared" si="1107"/>
        <v>0</v>
      </c>
      <c r="Q2971" s="76">
        <f t="shared" si="1108"/>
        <v>0.91666666666666663</v>
      </c>
      <c r="R2971" s="76">
        <f t="shared" si="1109"/>
        <v>8.333333333333337E-2</v>
      </c>
      <c r="S2971" s="76">
        <f t="shared" si="1110"/>
        <v>1.0394001522214822</v>
      </c>
      <c r="T2971" s="76">
        <f t="shared" si="1111"/>
        <v>0.98640115117495952</v>
      </c>
      <c r="U2971" s="76">
        <f t="shared" si="1112"/>
        <v>1.04</v>
      </c>
    </row>
    <row r="2972" spans="1:21" x14ac:dyDescent="0.25">
      <c r="A2972" s="71">
        <v>32</v>
      </c>
      <c r="B2972" s="72">
        <f t="shared" si="1113"/>
        <v>46600</v>
      </c>
      <c r="C2972" s="73">
        <f t="shared" si="1094"/>
        <v>46630</v>
      </c>
      <c r="D2972" s="67">
        <f t="shared" si="1095"/>
        <v>31</v>
      </c>
      <c r="E2972" s="67">
        <f t="shared" si="1096"/>
        <v>8</v>
      </c>
      <c r="F2972" s="74">
        <f t="shared" si="1097"/>
        <v>46615.5</v>
      </c>
      <c r="G2972" s="67">
        <f t="shared" si="1098"/>
        <v>24331</v>
      </c>
      <c r="H2972" s="75">
        <f t="shared" si="1099"/>
        <v>1</v>
      </c>
      <c r="I2972" s="76">
        <f t="shared" si="1100"/>
        <v>1.04</v>
      </c>
      <c r="J2972" s="76">
        <f t="shared" si="1101"/>
        <v>1.04</v>
      </c>
      <c r="K2972" s="67">
        <f t="shared" si="1102"/>
        <v>0</v>
      </c>
      <c r="L2972" s="67">
        <f t="shared" si="1103"/>
        <v>0</v>
      </c>
      <c r="M2972" s="77">
        <f t="shared" si="1104"/>
        <v>0</v>
      </c>
      <c r="N2972" s="76">
        <f t="shared" si="1105"/>
        <v>1.04</v>
      </c>
      <c r="O2972" s="77">
        <f t="shared" si="1106"/>
        <v>0.92048687089715542</v>
      </c>
      <c r="P2972" s="76">
        <f t="shared" si="1107"/>
        <v>0</v>
      </c>
      <c r="Q2972" s="76">
        <f t="shared" si="1108"/>
        <v>0.75</v>
      </c>
      <c r="R2972" s="76">
        <f t="shared" si="1109"/>
        <v>0.25</v>
      </c>
      <c r="S2972" s="76">
        <f t="shared" si="1110"/>
        <v>1.0405503757967844</v>
      </c>
      <c r="T2972" s="76">
        <f t="shared" si="1111"/>
        <v>0.98750713538198076</v>
      </c>
      <c r="U2972" s="76">
        <f t="shared" si="1112"/>
        <v>1.04</v>
      </c>
    </row>
    <row r="2973" spans="1:21" x14ac:dyDescent="0.25">
      <c r="A2973" s="71">
        <v>33</v>
      </c>
      <c r="B2973" s="72">
        <f t="shared" si="1113"/>
        <v>46631</v>
      </c>
      <c r="C2973" s="73">
        <f t="shared" si="1094"/>
        <v>46660</v>
      </c>
      <c r="D2973" s="67">
        <f t="shared" si="1095"/>
        <v>30</v>
      </c>
      <c r="E2973" s="67">
        <f t="shared" si="1096"/>
        <v>9</v>
      </c>
      <c r="F2973" s="74">
        <f t="shared" si="1097"/>
        <v>46646</v>
      </c>
      <c r="G2973" s="67">
        <f t="shared" si="1098"/>
        <v>24332</v>
      </c>
      <c r="H2973" s="75">
        <f t="shared" si="1099"/>
        <v>1</v>
      </c>
      <c r="I2973" s="76">
        <f t="shared" si="1100"/>
        <v>1.04</v>
      </c>
      <c r="J2973" s="76">
        <f t="shared" si="1101"/>
        <v>1.04</v>
      </c>
      <c r="K2973" s="67">
        <f t="shared" si="1102"/>
        <v>0</v>
      </c>
      <c r="L2973" s="67">
        <f t="shared" si="1103"/>
        <v>0</v>
      </c>
      <c r="M2973" s="77">
        <f t="shared" si="1104"/>
        <v>0</v>
      </c>
      <c r="N2973" s="76">
        <f t="shared" si="1105"/>
        <v>1.04</v>
      </c>
      <c r="O2973" s="77">
        <f t="shared" si="1106"/>
        <v>0.92148796498905916</v>
      </c>
      <c r="P2973" s="76">
        <f t="shared" si="1107"/>
        <v>0</v>
      </c>
      <c r="Q2973" s="76">
        <f t="shared" si="1108"/>
        <v>0.58333333333333337</v>
      </c>
      <c r="R2973" s="76">
        <f t="shared" si="1109"/>
        <v>0.41666666666666663</v>
      </c>
      <c r="S2973" s="76">
        <f t="shared" si="1110"/>
        <v>1.0416820473789365</v>
      </c>
      <c r="T2973" s="76">
        <f t="shared" si="1111"/>
        <v>0.98859528113405004</v>
      </c>
      <c r="U2973" s="76">
        <f t="shared" si="1112"/>
        <v>1.04</v>
      </c>
    </row>
    <row r="2974" spans="1:21" x14ac:dyDescent="0.25">
      <c r="A2974" s="71">
        <v>34</v>
      </c>
      <c r="B2974" s="72">
        <f t="shared" si="1113"/>
        <v>46661</v>
      </c>
      <c r="C2974" s="73">
        <f t="shared" si="1094"/>
        <v>46691</v>
      </c>
      <c r="D2974" s="67">
        <f t="shared" si="1095"/>
        <v>31</v>
      </c>
      <c r="E2974" s="67">
        <f t="shared" si="1096"/>
        <v>10</v>
      </c>
      <c r="F2974" s="74">
        <f t="shared" si="1097"/>
        <v>46676.5</v>
      </c>
      <c r="G2974" s="67">
        <f t="shared" si="1098"/>
        <v>24333</v>
      </c>
      <c r="H2974" s="75">
        <f t="shared" si="1099"/>
        <v>1</v>
      </c>
      <c r="I2974" s="76">
        <f t="shared" si="1100"/>
        <v>1.04</v>
      </c>
      <c r="J2974" s="76">
        <f t="shared" si="1101"/>
        <v>1.04</v>
      </c>
      <c r="K2974" s="67">
        <f t="shared" si="1102"/>
        <v>0</v>
      </c>
      <c r="L2974" s="67">
        <f t="shared" si="1103"/>
        <v>0</v>
      </c>
      <c r="M2974" s="77">
        <f t="shared" si="1104"/>
        <v>0</v>
      </c>
      <c r="N2974" s="76">
        <f t="shared" si="1105"/>
        <v>1.04</v>
      </c>
      <c r="O2974" s="77">
        <f t="shared" si="1106"/>
        <v>0.92248905908096279</v>
      </c>
      <c r="P2974" s="76">
        <f t="shared" si="1107"/>
        <v>0</v>
      </c>
      <c r="Q2974" s="76">
        <f t="shared" si="1108"/>
        <v>0.41666666666666669</v>
      </c>
      <c r="R2974" s="76">
        <f t="shared" si="1109"/>
        <v>0.58333333333333326</v>
      </c>
      <c r="S2974" s="76">
        <f t="shared" si="1110"/>
        <v>1.0428137189610884</v>
      </c>
      <c r="T2974" s="76">
        <f t="shared" si="1111"/>
        <v>0.98968342688611932</v>
      </c>
      <c r="U2974" s="76">
        <f t="shared" si="1112"/>
        <v>1.04</v>
      </c>
    </row>
    <row r="2975" spans="1:21" x14ac:dyDescent="0.25">
      <c r="A2975" s="71">
        <v>35</v>
      </c>
      <c r="B2975" s="72">
        <f t="shared" si="1113"/>
        <v>46692</v>
      </c>
      <c r="C2975" s="73">
        <f t="shared" si="1094"/>
        <v>46721</v>
      </c>
      <c r="D2975" s="67">
        <f t="shared" si="1095"/>
        <v>30</v>
      </c>
      <c r="E2975" s="67">
        <f t="shared" si="1096"/>
        <v>11</v>
      </c>
      <c r="F2975" s="74">
        <f t="shared" si="1097"/>
        <v>46707</v>
      </c>
      <c r="G2975" s="67">
        <f t="shared" si="1098"/>
        <v>24334</v>
      </c>
      <c r="H2975" s="75">
        <f t="shared" si="1099"/>
        <v>1</v>
      </c>
      <c r="I2975" s="76">
        <f t="shared" si="1100"/>
        <v>1.04</v>
      </c>
      <c r="J2975" s="76">
        <f t="shared" si="1101"/>
        <v>1.04</v>
      </c>
      <c r="K2975" s="67">
        <f t="shared" si="1102"/>
        <v>0</v>
      </c>
      <c r="L2975" s="67">
        <f t="shared" si="1103"/>
        <v>0</v>
      </c>
      <c r="M2975" s="77">
        <f t="shared" si="1104"/>
        <v>0</v>
      </c>
      <c r="N2975" s="76">
        <f t="shared" si="1105"/>
        <v>1.04</v>
      </c>
      <c r="O2975" s="77">
        <f t="shared" si="1106"/>
        <v>0.92349015317286653</v>
      </c>
      <c r="P2975" s="76">
        <f t="shared" si="1107"/>
        <v>0</v>
      </c>
      <c r="Q2975" s="76">
        <f t="shared" si="1108"/>
        <v>0.25</v>
      </c>
      <c r="R2975" s="76">
        <f t="shared" si="1109"/>
        <v>0.75</v>
      </c>
      <c r="S2975" s="76">
        <f t="shared" si="1110"/>
        <v>1.0439453905432403</v>
      </c>
      <c r="T2975" s="76">
        <f t="shared" si="1111"/>
        <v>0.9907715726381886</v>
      </c>
      <c r="U2975" s="76">
        <f t="shared" si="1112"/>
        <v>1.04</v>
      </c>
    </row>
    <row r="2976" spans="1:21" x14ac:dyDescent="0.25">
      <c r="A2976" s="71">
        <v>36</v>
      </c>
      <c r="B2976" s="72">
        <f t="shared" si="1113"/>
        <v>46722</v>
      </c>
      <c r="C2976" s="73">
        <f t="shared" si="1094"/>
        <v>46752</v>
      </c>
      <c r="D2976" s="67">
        <f t="shared" si="1095"/>
        <v>31</v>
      </c>
      <c r="E2976" s="67">
        <f t="shared" si="1096"/>
        <v>12</v>
      </c>
      <c r="F2976" s="74">
        <f t="shared" si="1097"/>
        <v>46737.5</v>
      </c>
      <c r="G2976" s="67">
        <f t="shared" si="1098"/>
        <v>24335</v>
      </c>
      <c r="H2976" s="75">
        <f t="shared" si="1099"/>
        <v>1</v>
      </c>
      <c r="I2976" s="76">
        <f t="shared" si="1100"/>
        <v>1.04</v>
      </c>
      <c r="J2976" s="76">
        <f t="shared" si="1101"/>
        <v>1.04</v>
      </c>
      <c r="K2976" s="67">
        <f t="shared" si="1102"/>
        <v>0</v>
      </c>
      <c r="L2976" s="67">
        <f t="shared" si="1103"/>
        <v>0</v>
      </c>
      <c r="M2976" s="77">
        <f t="shared" si="1104"/>
        <v>0</v>
      </c>
      <c r="N2976" s="76">
        <f t="shared" si="1105"/>
        <v>1.04</v>
      </c>
      <c r="O2976" s="77">
        <f t="shared" si="1106"/>
        <v>0.92449124726477028</v>
      </c>
      <c r="P2976" s="76">
        <f t="shared" si="1107"/>
        <v>0</v>
      </c>
      <c r="Q2976" s="76">
        <f t="shared" si="1108"/>
        <v>8.3333333333333329E-2</v>
      </c>
      <c r="R2976" s="76">
        <f t="shared" si="1109"/>
        <v>0.91666666666666663</v>
      </c>
      <c r="S2976" s="76">
        <f t="shared" si="1110"/>
        <v>1.0450770621253924</v>
      </c>
      <c r="T2976" s="76">
        <f t="shared" si="1111"/>
        <v>0.99185971839025788</v>
      </c>
      <c r="U2976" s="76">
        <f t="shared" si="1112"/>
        <v>1.04</v>
      </c>
    </row>
    <row r="2977" spans="1:21" x14ac:dyDescent="0.25">
      <c r="A2977" s="71">
        <v>37</v>
      </c>
      <c r="B2977" s="72">
        <f t="shared" si="1113"/>
        <v>46753</v>
      </c>
      <c r="C2977" s="73">
        <f t="shared" si="1094"/>
        <v>46783</v>
      </c>
      <c r="D2977" s="67">
        <f t="shared" si="1095"/>
        <v>31</v>
      </c>
      <c r="E2977" s="67">
        <f t="shared" si="1096"/>
        <v>1</v>
      </c>
      <c r="F2977" s="74">
        <f t="shared" si="1097"/>
        <v>46768.5</v>
      </c>
      <c r="G2977" s="67">
        <f t="shared" si="1098"/>
        <v>24336</v>
      </c>
      <c r="H2977" s="75">
        <f t="shared" si="1099"/>
        <v>1</v>
      </c>
      <c r="I2977" s="76">
        <f t="shared" si="1100"/>
        <v>1.04</v>
      </c>
      <c r="J2977" s="76">
        <f t="shared" si="1101"/>
        <v>1.04</v>
      </c>
      <c r="K2977" s="67">
        <f t="shared" si="1102"/>
        <v>0</v>
      </c>
      <c r="L2977" s="67">
        <f t="shared" si="1103"/>
        <v>0</v>
      </c>
      <c r="M2977" s="77">
        <f t="shared" si="1104"/>
        <v>0</v>
      </c>
      <c r="N2977" s="76">
        <f t="shared" si="1105"/>
        <v>1.04</v>
      </c>
      <c r="O2977" s="77">
        <f t="shared" si="1106"/>
        <v>0.92500000000000004</v>
      </c>
      <c r="P2977" s="76">
        <f t="shared" si="1107"/>
        <v>0</v>
      </c>
      <c r="Q2977" s="76">
        <f t="shared" si="1108"/>
        <v>0</v>
      </c>
      <c r="R2977" s="76">
        <f t="shared" si="1109"/>
        <v>1</v>
      </c>
      <c r="S2977" s="76">
        <f t="shared" si="1110"/>
        <v>1.0456521739130433</v>
      </c>
      <c r="T2977" s="76">
        <f t="shared" si="1111"/>
        <v>0.97994363048235178</v>
      </c>
      <c r="U2977" s="76">
        <f t="shared" si="1112"/>
        <v>1.04</v>
      </c>
    </row>
    <row r="2978" spans="1:21" x14ac:dyDescent="0.25">
      <c r="A2978" s="71">
        <v>38</v>
      </c>
      <c r="B2978" s="72">
        <f t="shared" si="1113"/>
        <v>46784</v>
      </c>
      <c r="C2978" s="73">
        <f t="shared" si="1094"/>
        <v>46812</v>
      </c>
      <c r="D2978" s="67">
        <f t="shared" si="1095"/>
        <v>29</v>
      </c>
      <c r="E2978" s="67">
        <f t="shared" si="1096"/>
        <v>2</v>
      </c>
      <c r="F2978" s="74">
        <f t="shared" si="1097"/>
        <v>46798.5</v>
      </c>
      <c r="G2978" s="67">
        <f t="shared" si="1098"/>
        <v>24337</v>
      </c>
      <c r="H2978" s="75">
        <f t="shared" si="1099"/>
        <v>1</v>
      </c>
      <c r="I2978" s="76">
        <f t="shared" si="1100"/>
        <v>1.04</v>
      </c>
      <c r="J2978" s="76">
        <f t="shared" si="1101"/>
        <v>1.04</v>
      </c>
      <c r="K2978" s="67">
        <f t="shared" si="1102"/>
        <v>0</v>
      </c>
      <c r="L2978" s="67">
        <f t="shared" si="1103"/>
        <v>0</v>
      </c>
      <c r="M2978" s="77">
        <f t="shared" si="1104"/>
        <v>0</v>
      </c>
      <c r="N2978" s="76">
        <f t="shared" si="1105"/>
        <v>1.04</v>
      </c>
      <c r="O2978" s="77">
        <f t="shared" si="1106"/>
        <v>0.92500000000000004</v>
      </c>
      <c r="P2978" s="76">
        <f t="shared" si="1107"/>
        <v>0</v>
      </c>
      <c r="Q2978" s="76">
        <f t="shared" si="1108"/>
        <v>0</v>
      </c>
      <c r="R2978" s="76">
        <f t="shared" si="1109"/>
        <v>1</v>
      </c>
      <c r="S2978" s="76">
        <f t="shared" si="1110"/>
        <v>1.0456521739130433</v>
      </c>
      <c r="T2978" s="76">
        <f t="shared" si="1111"/>
        <v>0.98099609932451703</v>
      </c>
      <c r="U2978" s="76">
        <f t="shared" si="1112"/>
        <v>1.04</v>
      </c>
    </row>
    <row r="2979" spans="1:21" x14ac:dyDescent="0.25">
      <c r="A2979" s="71">
        <v>39</v>
      </c>
      <c r="B2979" s="72">
        <f t="shared" si="1113"/>
        <v>46813</v>
      </c>
      <c r="C2979" s="73">
        <f t="shared" si="1094"/>
        <v>46843</v>
      </c>
      <c r="D2979" s="67">
        <f t="shared" si="1095"/>
        <v>31</v>
      </c>
      <c r="E2979" s="67">
        <f t="shared" si="1096"/>
        <v>3</v>
      </c>
      <c r="F2979" s="74">
        <f t="shared" si="1097"/>
        <v>46828.5</v>
      </c>
      <c r="G2979" s="67">
        <f t="shared" si="1098"/>
        <v>24338</v>
      </c>
      <c r="H2979" s="75">
        <f t="shared" si="1099"/>
        <v>1</v>
      </c>
      <c r="I2979" s="76">
        <f t="shared" si="1100"/>
        <v>1.04</v>
      </c>
      <c r="J2979" s="76">
        <f t="shared" si="1101"/>
        <v>1.04</v>
      </c>
      <c r="K2979" s="67">
        <f t="shared" si="1102"/>
        <v>0</v>
      </c>
      <c r="L2979" s="67">
        <f t="shared" si="1103"/>
        <v>0</v>
      </c>
      <c r="M2979" s="77">
        <f t="shared" si="1104"/>
        <v>0</v>
      </c>
      <c r="N2979" s="76">
        <f t="shared" si="1105"/>
        <v>1.04</v>
      </c>
      <c r="O2979" s="77">
        <f t="shared" si="1106"/>
        <v>0.92500000000000004</v>
      </c>
      <c r="P2979" s="76">
        <f t="shared" si="1107"/>
        <v>0</v>
      </c>
      <c r="Q2979" s="76">
        <f t="shared" si="1108"/>
        <v>0</v>
      </c>
      <c r="R2979" s="76">
        <f t="shared" si="1109"/>
        <v>1</v>
      </c>
      <c r="S2979" s="76">
        <f t="shared" si="1110"/>
        <v>1.0456521739130433</v>
      </c>
      <c r="T2979" s="76">
        <f t="shared" si="1111"/>
        <v>0.98204856816668251</v>
      </c>
      <c r="U2979" s="76">
        <f t="shared" si="1112"/>
        <v>1.04</v>
      </c>
    </row>
    <row r="2980" spans="1:21" x14ac:dyDescent="0.25">
      <c r="A2980" s="71">
        <v>40</v>
      </c>
      <c r="B2980" s="72">
        <f t="shared" si="1113"/>
        <v>46844</v>
      </c>
      <c r="C2980" s="73">
        <f t="shared" si="1094"/>
        <v>46873</v>
      </c>
      <c r="D2980" s="67">
        <f t="shared" si="1095"/>
        <v>30</v>
      </c>
      <c r="E2980" s="67">
        <f t="shared" si="1096"/>
        <v>4</v>
      </c>
      <c r="F2980" s="74">
        <f t="shared" si="1097"/>
        <v>46859</v>
      </c>
      <c r="G2980" s="67">
        <f t="shared" si="1098"/>
        <v>24339</v>
      </c>
      <c r="H2980" s="75">
        <f t="shared" si="1099"/>
        <v>1</v>
      </c>
      <c r="I2980" s="76">
        <f t="shared" si="1100"/>
        <v>1.04</v>
      </c>
      <c r="J2980" s="76">
        <f t="shared" si="1101"/>
        <v>1.04</v>
      </c>
      <c r="K2980" s="67">
        <f t="shared" si="1102"/>
        <v>0</v>
      </c>
      <c r="L2980" s="67">
        <f t="shared" si="1103"/>
        <v>0</v>
      </c>
      <c r="M2980" s="77">
        <f t="shared" si="1104"/>
        <v>0</v>
      </c>
      <c r="N2980" s="76">
        <f t="shared" si="1105"/>
        <v>1.04</v>
      </c>
      <c r="O2980" s="77">
        <f t="shared" si="1106"/>
        <v>0.92500000000000004</v>
      </c>
      <c r="P2980" s="76">
        <f t="shared" si="1107"/>
        <v>0</v>
      </c>
      <c r="Q2980" s="76">
        <f t="shared" si="1108"/>
        <v>0</v>
      </c>
      <c r="R2980" s="76">
        <f t="shared" si="1109"/>
        <v>1</v>
      </c>
      <c r="S2980" s="76">
        <f t="shared" si="1110"/>
        <v>1.0456521739130433</v>
      </c>
      <c r="T2980" s="76">
        <f t="shared" si="1111"/>
        <v>0.98313671391875179</v>
      </c>
      <c r="U2980" s="76">
        <f t="shared" si="1112"/>
        <v>1.04</v>
      </c>
    </row>
    <row r="2981" spans="1:21" x14ac:dyDescent="0.25">
      <c r="A2981" s="71">
        <v>41</v>
      </c>
      <c r="B2981" s="72">
        <f t="shared" si="1113"/>
        <v>46874</v>
      </c>
      <c r="C2981" s="73">
        <f t="shared" si="1094"/>
        <v>46904</v>
      </c>
      <c r="D2981" s="67">
        <f t="shared" si="1095"/>
        <v>31</v>
      </c>
      <c r="E2981" s="67">
        <f t="shared" si="1096"/>
        <v>5</v>
      </c>
      <c r="F2981" s="74">
        <f t="shared" si="1097"/>
        <v>46889.5</v>
      </c>
      <c r="G2981" s="67">
        <f t="shared" si="1098"/>
        <v>24340</v>
      </c>
      <c r="H2981" s="75">
        <f t="shared" si="1099"/>
        <v>1</v>
      </c>
      <c r="I2981" s="76">
        <f t="shared" si="1100"/>
        <v>1.04</v>
      </c>
      <c r="J2981" s="76">
        <f t="shared" si="1101"/>
        <v>1.04</v>
      </c>
      <c r="K2981" s="67">
        <f t="shared" si="1102"/>
        <v>0</v>
      </c>
      <c r="L2981" s="67">
        <f t="shared" si="1103"/>
        <v>0</v>
      </c>
      <c r="M2981" s="77">
        <f t="shared" si="1104"/>
        <v>0</v>
      </c>
      <c r="N2981" s="76">
        <f t="shared" si="1105"/>
        <v>1.04</v>
      </c>
      <c r="O2981" s="77">
        <f t="shared" si="1106"/>
        <v>0.92500000000000004</v>
      </c>
      <c r="P2981" s="76">
        <f t="shared" si="1107"/>
        <v>0</v>
      </c>
      <c r="Q2981" s="76">
        <f t="shared" si="1108"/>
        <v>0</v>
      </c>
      <c r="R2981" s="76">
        <f t="shared" si="1109"/>
        <v>1</v>
      </c>
      <c r="S2981" s="76">
        <f t="shared" si="1110"/>
        <v>1.0456521739130433</v>
      </c>
      <c r="T2981" s="76">
        <f t="shared" si="1111"/>
        <v>0.98422485967082107</v>
      </c>
      <c r="U2981" s="76">
        <f t="shared" si="1112"/>
        <v>1.04</v>
      </c>
    </row>
    <row r="2982" spans="1:21" x14ac:dyDescent="0.25">
      <c r="A2982" s="71">
        <v>42</v>
      </c>
      <c r="B2982" s="72">
        <f t="shared" si="1113"/>
        <v>46905</v>
      </c>
      <c r="C2982" s="73">
        <f t="shared" si="1094"/>
        <v>46934</v>
      </c>
      <c r="D2982" s="67">
        <f t="shared" si="1095"/>
        <v>30</v>
      </c>
      <c r="E2982" s="67">
        <f t="shared" si="1096"/>
        <v>6</v>
      </c>
      <c r="F2982" s="74">
        <f t="shared" si="1097"/>
        <v>46920</v>
      </c>
      <c r="G2982" s="67">
        <f t="shared" si="1098"/>
        <v>24341</v>
      </c>
      <c r="H2982" s="75">
        <f t="shared" si="1099"/>
        <v>1</v>
      </c>
      <c r="I2982" s="76">
        <f t="shared" si="1100"/>
        <v>1.04</v>
      </c>
      <c r="J2982" s="76">
        <f t="shared" si="1101"/>
        <v>1.04</v>
      </c>
      <c r="K2982" s="67">
        <f t="shared" si="1102"/>
        <v>0</v>
      </c>
      <c r="L2982" s="67">
        <f t="shared" si="1103"/>
        <v>0</v>
      </c>
      <c r="M2982" s="77">
        <f t="shared" si="1104"/>
        <v>0</v>
      </c>
      <c r="N2982" s="76">
        <f t="shared" si="1105"/>
        <v>1.04</v>
      </c>
      <c r="O2982" s="77">
        <f t="shared" si="1106"/>
        <v>0.92500000000000004</v>
      </c>
      <c r="P2982" s="76">
        <f t="shared" si="1107"/>
        <v>0</v>
      </c>
      <c r="Q2982" s="76">
        <f t="shared" si="1108"/>
        <v>0</v>
      </c>
      <c r="R2982" s="76">
        <f t="shared" si="1109"/>
        <v>1</v>
      </c>
      <c r="S2982" s="76">
        <f t="shared" si="1110"/>
        <v>1.0456521739130433</v>
      </c>
      <c r="T2982" s="76">
        <f t="shared" si="1111"/>
        <v>0.98531300542289035</v>
      </c>
      <c r="U2982" s="76">
        <f t="shared" si="1112"/>
        <v>1.04</v>
      </c>
    </row>
    <row r="2983" spans="1:21" x14ac:dyDescent="0.25">
      <c r="A2983" s="71">
        <v>43</v>
      </c>
      <c r="B2983" s="72">
        <f t="shared" si="1113"/>
        <v>46935</v>
      </c>
      <c r="C2983" s="73">
        <f t="shared" si="1094"/>
        <v>46965</v>
      </c>
      <c r="D2983" s="67">
        <f t="shared" si="1095"/>
        <v>31</v>
      </c>
      <c r="E2983" s="67">
        <f t="shared" si="1096"/>
        <v>7</v>
      </c>
      <c r="F2983" s="74">
        <f t="shared" si="1097"/>
        <v>46950.5</v>
      </c>
      <c r="G2983" s="67">
        <f t="shared" si="1098"/>
        <v>24342</v>
      </c>
      <c r="H2983" s="75">
        <f t="shared" si="1099"/>
        <v>1</v>
      </c>
      <c r="I2983" s="76">
        <f t="shared" si="1100"/>
        <v>1.04</v>
      </c>
      <c r="J2983" s="76">
        <f t="shared" si="1101"/>
        <v>1.04</v>
      </c>
      <c r="K2983" s="67">
        <f t="shared" si="1102"/>
        <v>0</v>
      </c>
      <c r="L2983" s="67">
        <f t="shared" si="1103"/>
        <v>0</v>
      </c>
      <c r="M2983" s="77">
        <f t="shared" si="1104"/>
        <v>0</v>
      </c>
      <c r="N2983" s="76">
        <f t="shared" si="1105"/>
        <v>1.04</v>
      </c>
      <c r="O2983" s="77">
        <f t="shared" si="1106"/>
        <v>0.92500000000000004</v>
      </c>
      <c r="P2983" s="76">
        <f t="shared" si="1107"/>
        <v>0</v>
      </c>
      <c r="Q2983" s="76">
        <f t="shared" si="1108"/>
        <v>0</v>
      </c>
      <c r="R2983" s="76">
        <f t="shared" si="1109"/>
        <v>0.91666666666666663</v>
      </c>
      <c r="S2983" s="76">
        <f t="shared" si="1110"/>
        <v>1.0456521739130433</v>
      </c>
      <c r="T2983" s="76">
        <f t="shared" si="1111"/>
        <v>0.98640115117495952</v>
      </c>
      <c r="U2983" s="76">
        <f t="shared" si="1112"/>
        <v>1.04</v>
      </c>
    </row>
    <row r="2984" spans="1:21" x14ac:dyDescent="0.25">
      <c r="A2984" s="71">
        <v>44</v>
      </c>
      <c r="B2984" s="72">
        <f t="shared" si="1113"/>
        <v>46966</v>
      </c>
      <c r="C2984" s="73">
        <f t="shared" si="1094"/>
        <v>46996</v>
      </c>
      <c r="D2984" s="67">
        <f t="shared" si="1095"/>
        <v>31</v>
      </c>
      <c r="E2984" s="67">
        <f t="shared" si="1096"/>
        <v>8</v>
      </c>
      <c r="F2984" s="74">
        <f t="shared" si="1097"/>
        <v>46981.5</v>
      </c>
      <c r="G2984" s="67">
        <f t="shared" si="1098"/>
        <v>24343</v>
      </c>
      <c r="H2984" s="75">
        <f t="shared" si="1099"/>
        <v>1</v>
      </c>
      <c r="I2984" s="76">
        <f t="shared" si="1100"/>
        <v>1.04</v>
      </c>
      <c r="J2984" s="76">
        <f t="shared" si="1101"/>
        <v>1.04</v>
      </c>
      <c r="K2984" s="67">
        <f t="shared" si="1102"/>
        <v>0</v>
      </c>
      <c r="L2984" s="67">
        <f t="shared" si="1103"/>
        <v>0</v>
      </c>
      <c r="M2984" s="77">
        <f t="shared" si="1104"/>
        <v>0</v>
      </c>
      <c r="N2984" s="76">
        <f t="shared" si="1105"/>
        <v>1.04</v>
      </c>
      <c r="O2984" s="77">
        <f t="shared" si="1106"/>
        <v>0.92500000000000004</v>
      </c>
      <c r="P2984" s="76">
        <f t="shared" si="1107"/>
        <v>0</v>
      </c>
      <c r="Q2984" s="76">
        <f t="shared" si="1108"/>
        <v>0</v>
      </c>
      <c r="R2984" s="76">
        <f t="shared" si="1109"/>
        <v>0.75</v>
      </c>
      <c r="S2984" s="76">
        <f t="shared" si="1110"/>
        <v>1.0456521739130433</v>
      </c>
      <c r="T2984" s="76">
        <f t="shared" si="1111"/>
        <v>0.98750713538198076</v>
      </c>
      <c r="U2984" s="76">
        <f t="shared" si="1112"/>
        <v>1.04</v>
      </c>
    </row>
    <row r="2985" spans="1:21" x14ac:dyDescent="0.25">
      <c r="A2985" s="71">
        <v>45</v>
      </c>
      <c r="B2985" s="72">
        <f t="shared" si="1113"/>
        <v>46997</v>
      </c>
      <c r="C2985" s="73">
        <f t="shared" si="1094"/>
        <v>47026</v>
      </c>
      <c r="D2985" s="67">
        <f t="shared" si="1095"/>
        <v>30</v>
      </c>
      <c r="E2985" s="67">
        <f t="shared" si="1096"/>
        <v>9</v>
      </c>
      <c r="F2985" s="74">
        <f t="shared" si="1097"/>
        <v>47012</v>
      </c>
      <c r="G2985" s="67">
        <f t="shared" si="1098"/>
        <v>24344</v>
      </c>
      <c r="H2985" s="75">
        <f t="shared" si="1099"/>
        <v>1</v>
      </c>
      <c r="I2985" s="76">
        <f t="shared" si="1100"/>
        <v>1.04</v>
      </c>
      <c r="J2985" s="76">
        <f t="shared" si="1101"/>
        <v>1.04</v>
      </c>
      <c r="K2985" s="67">
        <f t="shared" si="1102"/>
        <v>0</v>
      </c>
      <c r="L2985" s="67">
        <f t="shared" si="1103"/>
        <v>0</v>
      </c>
      <c r="M2985" s="77">
        <f t="shared" si="1104"/>
        <v>0</v>
      </c>
      <c r="N2985" s="76">
        <f t="shared" si="1105"/>
        <v>1.04</v>
      </c>
      <c r="O2985" s="77">
        <f t="shared" si="1106"/>
        <v>0.92500000000000004</v>
      </c>
      <c r="P2985" s="76">
        <f t="shared" si="1107"/>
        <v>0</v>
      </c>
      <c r="Q2985" s="76">
        <f t="shared" si="1108"/>
        <v>0</v>
      </c>
      <c r="R2985" s="76">
        <f t="shared" si="1109"/>
        <v>0.58333333333333337</v>
      </c>
      <c r="S2985" s="76">
        <f t="shared" si="1110"/>
        <v>1.0456521739130433</v>
      </c>
      <c r="T2985" s="76">
        <f t="shared" si="1111"/>
        <v>0.98859528113405004</v>
      </c>
      <c r="U2985" s="76">
        <f t="shared" si="1112"/>
        <v>1.04</v>
      </c>
    </row>
    <row r="2986" spans="1:21" x14ac:dyDescent="0.25">
      <c r="A2986" s="71">
        <v>46</v>
      </c>
      <c r="B2986" s="72">
        <f t="shared" si="1113"/>
        <v>47027</v>
      </c>
      <c r="C2986" s="73">
        <f t="shared" si="1094"/>
        <v>47057</v>
      </c>
      <c r="D2986" s="67">
        <f t="shared" si="1095"/>
        <v>31</v>
      </c>
      <c r="E2986" s="67">
        <f t="shared" si="1096"/>
        <v>10</v>
      </c>
      <c r="F2986" s="74">
        <f t="shared" si="1097"/>
        <v>47042.5</v>
      </c>
      <c r="G2986" s="67">
        <f t="shared" si="1098"/>
        <v>24345</v>
      </c>
      <c r="H2986" s="75">
        <f t="shared" si="1099"/>
        <v>1</v>
      </c>
      <c r="I2986" s="76">
        <f t="shared" si="1100"/>
        <v>1.04</v>
      </c>
      <c r="J2986" s="76">
        <f t="shared" si="1101"/>
        <v>1.04</v>
      </c>
      <c r="K2986" s="67">
        <f t="shared" si="1102"/>
        <v>0</v>
      </c>
      <c r="L2986" s="67">
        <f t="shared" si="1103"/>
        <v>0</v>
      </c>
      <c r="M2986" s="77">
        <f t="shared" si="1104"/>
        <v>0</v>
      </c>
      <c r="N2986" s="76">
        <f t="shared" si="1105"/>
        <v>1.04</v>
      </c>
      <c r="O2986" s="77">
        <f t="shared" si="1106"/>
        <v>0.92500000000000004</v>
      </c>
      <c r="P2986" s="76">
        <f t="shared" si="1107"/>
        <v>0</v>
      </c>
      <c r="Q2986" s="76">
        <f t="shared" si="1108"/>
        <v>0</v>
      </c>
      <c r="R2986" s="76">
        <f t="shared" si="1109"/>
        <v>0.41666666666666669</v>
      </c>
      <c r="S2986" s="76">
        <f t="shared" si="1110"/>
        <v>1.0456521739130433</v>
      </c>
      <c r="T2986" s="76">
        <f t="shared" si="1111"/>
        <v>0.98968342688611932</v>
      </c>
      <c r="U2986" s="76">
        <f t="shared" si="1112"/>
        <v>1.04</v>
      </c>
    </row>
    <row r="2987" spans="1:21" x14ac:dyDescent="0.25">
      <c r="A2987" s="71">
        <v>47</v>
      </c>
      <c r="B2987" s="72">
        <f t="shared" si="1113"/>
        <v>47058</v>
      </c>
      <c r="C2987" s="73">
        <f t="shared" si="1094"/>
        <v>47087</v>
      </c>
      <c r="D2987" s="67">
        <f t="shared" si="1095"/>
        <v>30</v>
      </c>
      <c r="E2987" s="67">
        <f t="shared" si="1096"/>
        <v>11</v>
      </c>
      <c r="F2987" s="74">
        <f t="shared" si="1097"/>
        <v>47073</v>
      </c>
      <c r="G2987" s="67">
        <f t="shared" si="1098"/>
        <v>24346</v>
      </c>
      <c r="H2987" s="75">
        <f t="shared" si="1099"/>
        <v>1</v>
      </c>
      <c r="I2987" s="76">
        <f t="shared" si="1100"/>
        <v>1.04</v>
      </c>
      <c r="J2987" s="76">
        <f t="shared" si="1101"/>
        <v>1.04</v>
      </c>
      <c r="K2987" s="67">
        <f t="shared" si="1102"/>
        <v>0</v>
      </c>
      <c r="L2987" s="67">
        <f t="shared" si="1103"/>
        <v>0</v>
      </c>
      <c r="M2987" s="77">
        <f t="shared" si="1104"/>
        <v>0</v>
      </c>
      <c r="N2987" s="76">
        <f t="shared" si="1105"/>
        <v>1.04</v>
      </c>
      <c r="O2987" s="77">
        <f t="shared" si="1106"/>
        <v>0.92500000000000004</v>
      </c>
      <c r="P2987" s="76">
        <f t="shared" si="1107"/>
        <v>0</v>
      </c>
      <c r="Q2987" s="76">
        <f t="shared" si="1108"/>
        <v>0</v>
      </c>
      <c r="R2987" s="76">
        <f t="shared" si="1109"/>
        <v>0.25</v>
      </c>
      <c r="S2987" s="76">
        <f t="shared" si="1110"/>
        <v>1.0456521739130433</v>
      </c>
      <c r="T2987" s="76">
        <f t="shared" si="1111"/>
        <v>0.9907715726381886</v>
      </c>
      <c r="U2987" s="76">
        <f t="shared" si="1112"/>
        <v>1.04</v>
      </c>
    </row>
    <row r="2988" spans="1:21" x14ac:dyDescent="0.25">
      <c r="A2988" s="71">
        <v>48</v>
      </c>
      <c r="B2988" s="72">
        <f t="shared" si="1113"/>
        <v>47088</v>
      </c>
      <c r="C2988" s="73">
        <f t="shared" si="1094"/>
        <v>47118</v>
      </c>
      <c r="D2988" s="67">
        <f t="shared" si="1095"/>
        <v>31</v>
      </c>
      <c r="E2988" s="67">
        <f t="shared" si="1096"/>
        <v>12</v>
      </c>
      <c r="F2988" s="74">
        <f t="shared" si="1097"/>
        <v>47103.5</v>
      </c>
      <c r="G2988" s="67">
        <f t="shared" si="1098"/>
        <v>24347</v>
      </c>
      <c r="H2988" s="75">
        <f t="shared" si="1099"/>
        <v>1</v>
      </c>
      <c r="I2988" s="76">
        <f t="shared" si="1100"/>
        <v>1.04</v>
      </c>
      <c r="J2988" s="76">
        <f t="shared" si="1101"/>
        <v>1.04</v>
      </c>
      <c r="K2988" s="67">
        <f t="shared" si="1102"/>
        <v>0</v>
      </c>
      <c r="L2988" s="67">
        <f t="shared" si="1103"/>
        <v>0</v>
      </c>
      <c r="M2988" s="77">
        <f t="shared" si="1104"/>
        <v>0</v>
      </c>
      <c r="N2988" s="76">
        <f t="shared" si="1105"/>
        <v>1.04</v>
      </c>
      <c r="O2988" s="77">
        <f t="shared" si="1106"/>
        <v>0.92500000000000004</v>
      </c>
      <c r="P2988" s="76">
        <f t="shared" si="1107"/>
        <v>0</v>
      </c>
      <c r="Q2988" s="76">
        <f t="shared" si="1108"/>
        <v>0</v>
      </c>
      <c r="R2988" s="76">
        <f t="shared" si="1109"/>
        <v>8.3333333333333329E-2</v>
      </c>
      <c r="S2988" s="76">
        <f t="shared" si="1110"/>
        <v>1.0456521739130433</v>
      </c>
      <c r="T2988" s="76">
        <f t="shared" si="1111"/>
        <v>0.99185971839025788</v>
      </c>
      <c r="U2988" s="76">
        <f t="shared" si="1112"/>
        <v>1.04</v>
      </c>
    </row>
    <row r="2989" spans="1:21" x14ac:dyDescent="0.25">
      <c r="A2989" s="81" t="s">
        <v>1187</v>
      </c>
      <c r="B2989" s="53">
        <f>EXP(SUMPRODUCT((rl_key=$A$2938)*(rl_cons="Y")*rl_ln1p))</f>
        <v>1</v>
      </c>
      <c r="C2989" s="53">
        <f>SUMPRODUCT($H$2941:$H$2988,$P$2941:$P$2988,$U$2941:$U$2988)/SUMPRODUCT($H$2941:$H$2988,$P$2941:$P$2988)</f>
        <v>1</v>
      </c>
      <c r="D2989" s="53">
        <f>SUMPRODUCT($H$2941:$H$2988,$Q$2941:$Q$2988,$U$2941:$U$2988)/SUMPRODUCT($H$2941:$H$2988,$Q$2941:$Q$2988)</f>
        <v>1.02</v>
      </c>
      <c r="E2989" s="53">
        <f>SUMPRODUCT($H$2941:$H$2988,$R$2941:$R$2988,$U$2941:$U$2988)/SUMPRODUCT($H$2941:$H$2988,$R$2941:$R$2988)</f>
        <v>1.0399999999999998</v>
      </c>
      <c r="F2989" s="172">
        <f>SUMPRODUCT($H$2941:$H$2988,$Q$2941:$Q$2988,$O$2941:$O$2988)/SUMPRODUCT($H$2941:$H$2988,$Q$2941:$Q$2988)</f>
        <v>0.91598878555798668</v>
      </c>
      <c r="G2989" s="172">
        <f>SUMPRODUCT($H$2941:$H$2988,$R$2941:$R$2988,$O$2941:$O$2988)/SUMPRODUCT($H$2941:$H$2988,$R$2941:$R$2988)</f>
        <v>0.92449033552151683</v>
      </c>
    </row>
    <row r="2992" spans="1:21" x14ac:dyDescent="0.25">
      <c r="A2992" s="81" t="str">
        <f>INDEX(lr_key,55)</f>
        <v>BU-C|MN</v>
      </c>
      <c r="B2992" s="81" t="str">
        <f>INDEX(lr_state,55)</f>
        <v>MN</v>
      </c>
      <c r="C2992" s="55">
        <f>nr_TermMonths</f>
        <v>6</v>
      </c>
      <c r="D2992" s="55">
        <f>IF(COUNTIF(se_state,$B2992)=0,0,MATCH($B2992,se_state,0))</f>
        <v>0</v>
      </c>
      <c r="E2992" s="57">
        <f>IF($D2992=0,0,INDEX(se_sum,$D2992))</f>
        <v>0</v>
      </c>
      <c r="F2992" s="172">
        <f>IF(N(INDEX(lr_mind,55))=0,1,INDEX(lr_mind,55))</f>
        <v>0.92</v>
      </c>
      <c r="G2992" s="172">
        <f>IF(N(INDEX(lr_m0,55))=0,1,INDEX(lr_m0,55))</f>
        <v>0.91</v>
      </c>
      <c r="H2992" s="54">
        <f>IF(N(INDEX(lr_m0asof,55))=0,DATE(nr_PlanYear-1,10,1),INDEX(lr_m0asof,55))</f>
        <v>46295</v>
      </c>
      <c r="I2992" s="172">
        <f>IF(N(INDEX(lr_m1,55))=0,1,INDEX(lr_m1,55))</f>
        <v>0.90500000000000003</v>
      </c>
      <c r="J2992" s="172">
        <f>INDEX(lr_mprior,55)</f>
        <v>0</v>
      </c>
      <c r="K2992" s="172">
        <f>INDEX(lr_m2,55)</f>
        <v>0</v>
      </c>
      <c r="L2992" s="81" t="b">
        <f>NOT(ISBLANK(INDEX(lr_netp,55)))</f>
        <v>0</v>
      </c>
      <c r="M2992" s="52">
        <f>N(INDEX(lr_netp,55))</f>
        <v>0</v>
      </c>
      <c r="N2992" s="52">
        <f>IF(ISBLANK(INDEX(lr_netp1,55)),$M$2992,N(INDEX(lr_netp1,55)))</f>
        <v>0</v>
      </c>
      <c r="O2992" s="55">
        <f>IF(AND(nr_ModAdjMaster="ON",INDEX(lr_modadj,55)="ON"),1,0)</f>
        <v>1</v>
      </c>
    </row>
    <row r="2993" spans="1:21" x14ac:dyDescent="0.25">
      <c r="A2993" s="81">
        <f>EDATE($H$2992,-12)+1</f>
        <v>45931</v>
      </c>
      <c r="B2993" s="81">
        <f>$H$2992+1</f>
        <v>46296</v>
      </c>
      <c r="C2993" s="81">
        <f>DATE(nr_PlanYear,12,31)+1</f>
        <v>46753</v>
      </c>
      <c r="D2993" s="81">
        <f>DATE(nr_PlanYear+1,12,31)+1</f>
        <v>47119</v>
      </c>
      <c r="E2993" s="81">
        <f>IF(N($J$2992)=0,$F$2993-($G$2993-$F$2993)/($C$2993-$B$2993)*($B$2993-$A$2993),$J$2992)</f>
        <v>0.9139934354485777</v>
      </c>
      <c r="F2993" s="81">
        <f>$G$2992</f>
        <v>0.91</v>
      </c>
      <c r="G2993" s="81">
        <f>$I$2992</f>
        <v>0.90500000000000003</v>
      </c>
      <c r="H2993" s="81">
        <f>IF(N($K$2992)=0,$I$2992,$K$2992)</f>
        <v>0.90500000000000003</v>
      </c>
      <c r="I2993" s="81">
        <f>($F$2993-$E$2993)/($B$2993-$A$2993)</f>
        <v>-1.0940919037199081E-5</v>
      </c>
      <c r="J2993" s="81">
        <f>($G$2993-$F$2993)/($C$2993-$B$2993)</f>
        <v>-1.0940919037199135E-5</v>
      </c>
      <c r="K2993" s="81">
        <f>($H$2993-$G$2993)/($D$2993-$C$2993)</f>
        <v>0</v>
      </c>
    </row>
    <row r="2994" spans="1:21" ht="36" x14ac:dyDescent="0.25">
      <c r="A2994" s="50" t="s">
        <v>211</v>
      </c>
      <c r="B2994" s="50" t="s">
        <v>212</v>
      </c>
      <c r="C2994" s="50" t="s">
        <v>213</v>
      </c>
      <c r="D2994" s="50" t="s">
        <v>214</v>
      </c>
      <c r="E2994" s="50" t="s">
        <v>215</v>
      </c>
      <c r="F2994" s="50" t="s">
        <v>216</v>
      </c>
      <c r="G2994" s="50" t="s">
        <v>217</v>
      </c>
      <c r="H2994" s="50" t="s">
        <v>218</v>
      </c>
      <c r="I2994" s="50" t="s">
        <v>219</v>
      </c>
      <c r="J2994" s="50" t="s">
        <v>220</v>
      </c>
      <c r="K2994" s="50" t="s">
        <v>221</v>
      </c>
      <c r="L2994" s="50" t="s">
        <v>222</v>
      </c>
      <c r="M2994" s="50" t="s">
        <v>223</v>
      </c>
      <c r="N2994" s="50" t="s">
        <v>224</v>
      </c>
      <c r="O2994" s="50" t="s">
        <v>225</v>
      </c>
      <c r="P2994" s="50" t="s">
        <v>226</v>
      </c>
      <c r="Q2994" s="50" t="s">
        <v>227</v>
      </c>
      <c r="R2994" s="50" t="s">
        <v>228</v>
      </c>
      <c r="S2994" s="50" t="s">
        <v>229</v>
      </c>
      <c r="T2994" s="50" t="s">
        <v>230</v>
      </c>
      <c r="U2994" s="50" t="s">
        <v>231</v>
      </c>
    </row>
    <row r="2995" spans="1:21" x14ac:dyDescent="0.25">
      <c r="A2995" s="71">
        <v>1</v>
      </c>
      <c r="B2995" s="72">
        <f>DATE(nr_PlanYear-2,1,1)</f>
        <v>45658</v>
      </c>
      <c r="C2995" s="73">
        <f t="shared" ref="C2995:C3042" si="1114">EOMONTH($B2995,0)</f>
        <v>45688</v>
      </c>
      <c r="D2995" s="67">
        <f t="shared" ref="D2995:D3042" si="1115">$C2995-$B2995+1</f>
        <v>31</v>
      </c>
      <c r="E2995" s="67">
        <f t="shared" ref="E2995:E3042" si="1116">MONTH($B2995)</f>
        <v>1</v>
      </c>
      <c r="F2995" s="74">
        <f t="shared" ref="F2995:F3042" si="1117">($B2995+$C2995+1)/2</f>
        <v>45673.5</v>
      </c>
      <c r="G2995" s="67">
        <f t="shared" ref="G2995:G3042" si="1118">YEAR($B2995)*12+MONTH($B2995)-1</f>
        <v>24300</v>
      </c>
      <c r="H2995" s="75">
        <f t="shared" ref="H2995:H3042" si="1119">IF(OR(nr_SeasonOn="OFF",$D$2992=0,$E$2992=0),1,12*INDEX(se_block,$D$2992,$E2995)/$E$2992)</f>
        <v>1</v>
      </c>
      <c r="I2995" s="76">
        <f t="shared" ref="I2995:I3042" si="1120">EXP(SUMPRODUCT((rl_eff&lt;$B2995)*(rl_key=$A$2992)*rl_ln1p))</f>
        <v>1</v>
      </c>
      <c r="J2995" s="76">
        <f t="shared" ref="J2995:J3042" si="1121">EXP(SUMPRODUCT((rl_eff&lt;=$C2995)*(rl_key=$A$2992)*rl_ln1p))</f>
        <v>1</v>
      </c>
      <c r="K2995" s="67">
        <f t="shared" ref="K2995:K3042" si="1122">COUNTIFS(rl_key,$A$2992,rl_eff,"&gt;="&amp;$B2995,rl_eff,"&lt;="&amp;$C2995)</f>
        <v>0</v>
      </c>
      <c r="L2995" s="67">
        <f t="shared" ref="L2995:L3042" si="1123">SUMIFS(rl_daysafter,rl_key,$A$2992,rl_effmonth,$B2995,rl_first,1)</f>
        <v>0</v>
      </c>
      <c r="M2995" s="77">
        <f t="shared" ref="M2995:M3042" si="1124">IF($K2995=0,0,MIN(1,$L2995/$D2995))</f>
        <v>0</v>
      </c>
      <c r="N2995" s="76">
        <f t="shared" ref="N2995:N3042" si="1125">IF($K2995=0,$J2995,(1-$M2995)*$I2995+$M2995*$J2995)</f>
        <v>1</v>
      </c>
      <c r="O2995" s="77">
        <f t="shared" ref="O2995:O3042" si="1126">IF($F2995&lt;$B$2993,$E$2993+$I$2993*($F2995-$A$2993),IF($F2995&lt;$C$2993,$F$2993+$J$2993*($F2995-$B$2993),$G$2993+$K$2993*($F2995-$C$2993)))</f>
        <v>0.91681072210065651</v>
      </c>
      <c r="P2995" s="76">
        <f t="shared" ref="P2995:P3042" si="1127">MIN(1,MAX(0,(nr_MEndPm1-$G2995+0.5)/$C$2992))-MIN(1,MAX(0,(nr_MStartPm1-1-$G2995+0.5)/$C$2992))</f>
        <v>0</v>
      </c>
      <c r="Q2995" s="76">
        <f t="shared" ref="Q2995:Q3042" si="1128">MIN(1,MAX(0,(nr_MEndP-$G2995+0.5)/$C$2992))-MIN(1,MAX(0,(nr_MStartP-1-$G2995+0.5)/$C$2992))</f>
        <v>0</v>
      </c>
      <c r="R2995" s="76">
        <f t="shared" ref="R2995:R3042" si="1129">MIN(1,MAX(0,(nr_MEndP1-$G2995+0.5)/$C$2992))-MIN(1,MAX(0,(nr_MStartP1-1-$G2995+0.5)/$C$2992))</f>
        <v>0</v>
      </c>
      <c r="S2995" s="76">
        <f t="shared" ref="S2995:S3042" si="1130">$N2995*IF($O$2992=1,$O2995/$F$2992,1)</f>
        <v>0.99653339358767012</v>
      </c>
      <c r="T2995" s="76">
        <f t="shared" ref="T2995:T3042" si="1131">IF($G2995&lt;nr_MStartP,$S2995,$T2983*(1+IF($G2995&lt;nr_MStartP1,$M$2992,$N$2992)))</f>
        <v>0.99653339358767012</v>
      </c>
      <c r="U2995" s="76">
        <f t="shared" ref="U2995:U3042" si="1132">IF($L$2992,$T2995,$N2995)</f>
        <v>1</v>
      </c>
    </row>
    <row r="2996" spans="1:21" x14ac:dyDescent="0.25">
      <c r="A2996" s="71">
        <v>2</v>
      </c>
      <c r="B2996" s="72">
        <f t="shared" ref="B2996:B3042" si="1133">EDATE($B2995,1)</f>
        <v>45689</v>
      </c>
      <c r="C2996" s="73">
        <f t="shared" si="1114"/>
        <v>45716</v>
      </c>
      <c r="D2996" s="67">
        <f t="shared" si="1115"/>
        <v>28</v>
      </c>
      <c r="E2996" s="67">
        <f t="shared" si="1116"/>
        <v>2</v>
      </c>
      <c r="F2996" s="74">
        <f t="shared" si="1117"/>
        <v>45703</v>
      </c>
      <c r="G2996" s="67">
        <f t="shared" si="1118"/>
        <v>24301</v>
      </c>
      <c r="H2996" s="75">
        <f t="shared" si="1119"/>
        <v>1</v>
      </c>
      <c r="I2996" s="76">
        <f t="shared" si="1120"/>
        <v>1</v>
      </c>
      <c r="J2996" s="76">
        <f t="shared" si="1121"/>
        <v>1</v>
      </c>
      <c r="K2996" s="67">
        <f t="shared" si="1122"/>
        <v>0</v>
      </c>
      <c r="L2996" s="67">
        <f t="shared" si="1123"/>
        <v>0</v>
      </c>
      <c r="M2996" s="77">
        <f t="shared" si="1124"/>
        <v>0</v>
      </c>
      <c r="N2996" s="76">
        <f t="shared" si="1125"/>
        <v>1</v>
      </c>
      <c r="O2996" s="77">
        <f t="shared" si="1126"/>
        <v>0.91648796498905905</v>
      </c>
      <c r="P2996" s="76">
        <f t="shared" si="1127"/>
        <v>0</v>
      </c>
      <c r="Q2996" s="76">
        <f t="shared" si="1128"/>
        <v>0</v>
      </c>
      <c r="R2996" s="76">
        <f t="shared" si="1129"/>
        <v>0</v>
      </c>
      <c r="S2996" s="76">
        <f t="shared" si="1130"/>
        <v>0.99618257064028148</v>
      </c>
      <c r="T2996" s="76">
        <f t="shared" si="1131"/>
        <v>0.99618257064028148</v>
      </c>
      <c r="U2996" s="76">
        <f t="shared" si="1132"/>
        <v>1</v>
      </c>
    </row>
    <row r="2997" spans="1:21" x14ac:dyDescent="0.25">
      <c r="A2997" s="71">
        <v>3</v>
      </c>
      <c r="B2997" s="72">
        <f t="shared" si="1133"/>
        <v>45717</v>
      </c>
      <c r="C2997" s="73">
        <f t="shared" si="1114"/>
        <v>45747</v>
      </c>
      <c r="D2997" s="67">
        <f t="shared" si="1115"/>
        <v>31</v>
      </c>
      <c r="E2997" s="67">
        <f t="shared" si="1116"/>
        <v>3</v>
      </c>
      <c r="F2997" s="74">
        <f t="shared" si="1117"/>
        <v>45732.5</v>
      </c>
      <c r="G2997" s="67">
        <f t="shared" si="1118"/>
        <v>24302</v>
      </c>
      <c r="H2997" s="75">
        <f t="shared" si="1119"/>
        <v>1</v>
      </c>
      <c r="I2997" s="76">
        <f t="shared" si="1120"/>
        <v>1</v>
      </c>
      <c r="J2997" s="76">
        <f t="shared" si="1121"/>
        <v>1</v>
      </c>
      <c r="K2997" s="67">
        <f t="shared" si="1122"/>
        <v>0</v>
      </c>
      <c r="L2997" s="67">
        <f t="shared" si="1123"/>
        <v>0</v>
      </c>
      <c r="M2997" s="77">
        <f t="shared" si="1124"/>
        <v>0</v>
      </c>
      <c r="N2997" s="76">
        <f t="shared" si="1125"/>
        <v>1</v>
      </c>
      <c r="O2997" s="77">
        <f t="shared" si="1126"/>
        <v>0.9161652078774617</v>
      </c>
      <c r="P2997" s="76">
        <f t="shared" si="1127"/>
        <v>0</v>
      </c>
      <c r="Q2997" s="76">
        <f t="shared" si="1128"/>
        <v>0</v>
      </c>
      <c r="R2997" s="76">
        <f t="shared" si="1129"/>
        <v>0</v>
      </c>
      <c r="S2997" s="76">
        <f t="shared" si="1130"/>
        <v>0.99583174769289307</v>
      </c>
      <c r="T2997" s="76">
        <f t="shared" si="1131"/>
        <v>0.99583174769289307</v>
      </c>
      <c r="U2997" s="76">
        <f t="shared" si="1132"/>
        <v>1</v>
      </c>
    </row>
    <row r="2998" spans="1:21" x14ac:dyDescent="0.25">
      <c r="A2998" s="71">
        <v>4</v>
      </c>
      <c r="B2998" s="72">
        <f t="shared" si="1133"/>
        <v>45748</v>
      </c>
      <c r="C2998" s="73">
        <f t="shared" si="1114"/>
        <v>45777</v>
      </c>
      <c r="D2998" s="67">
        <f t="shared" si="1115"/>
        <v>30</v>
      </c>
      <c r="E2998" s="67">
        <f t="shared" si="1116"/>
        <v>4</v>
      </c>
      <c r="F2998" s="74">
        <f t="shared" si="1117"/>
        <v>45763</v>
      </c>
      <c r="G2998" s="67">
        <f t="shared" si="1118"/>
        <v>24303</v>
      </c>
      <c r="H2998" s="75">
        <f t="shared" si="1119"/>
        <v>1</v>
      </c>
      <c r="I2998" s="76">
        <f t="shared" si="1120"/>
        <v>1</v>
      </c>
      <c r="J2998" s="76">
        <f t="shared" si="1121"/>
        <v>1</v>
      </c>
      <c r="K2998" s="67">
        <f t="shared" si="1122"/>
        <v>0</v>
      </c>
      <c r="L2998" s="67">
        <f t="shared" si="1123"/>
        <v>0</v>
      </c>
      <c r="M2998" s="77">
        <f t="shared" si="1124"/>
        <v>0</v>
      </c>
      <c r="N2998" s="76">
        <f t="shared" si="1125"/>
        <v>1</v>
      </c>
      <c r="O2998" s="77">
        <f t="shared" si="1126"/>
        <v>0.91583150984682715</v>
      </c>
      <c r="P2998" s="76">
        <f t="shared" si="1127"/>
        <v>0</v>
      </c>
      <c r="Q2998" s="76">
        <f t="shared" si="1128"/>
        <v>0</v>
      </c>
      <c r="R2998" s="76">
        <f t="shared" si="1129"/>
        <v>0</v>
      </c>
      <c r="S2998" s="76">
        <f t="shared" si="1130"/>
        <v>0.99546903244220342</v>
      </c>
      <c r="T2998" s="76">
        <f t="shared" si="1131"/>
        <v>0.99546903244220342</v>
      </c>
      <c r="U2998" s="76">
        <f t="shared" si="1132"/>
        <v>1</v>
      </c>
    </row>
    <row r="2999" spans="1:21" x14ac:dyDescent="0.25">
      <c r="A2999" s="71">
        <v>5</v>
      </c>
      <c r="B2999" s="72">
        <f t="shared" si="1133"/>
        <v>45778</v>
      </c>
      <c r="C2999" s="73">
        <f t="shared" si="1114"/>
        <v>45808</v>
      </c>
      <c r="D2999" s="67">
        <f t="shared" si="1115"/>
        <v>31</v>
      </c>
      <c r="E2999" s="67">
        <f t="shared" si="1116"/>
        <v>5</v>
      </c>
      <c r="F2999" s="74">
        <f t="shared" si="1117"/>
        <v>45793.5</v>
      </c>
      <c r="G2999" s="67">
        <f t="shared" si="1118"/>
        <v>24304</v>
      </c>
      <c r="H2999" s="75">
        <f t="shared" si="1119"/>
        <v>1</v>
      </c>
      <c r="I2999" s="76">
        <f t="shared" si="1120"/>
        <v>1</v>
      </c>
      <c r="J2999" s="76">
        <f t="shared" si="1121"/>
        <v>1</v>
      </c>
      <c r="K2999" s="67">
        <f t="shared" si="1122"/>
        <v>0</v>
      </c>
      <c r="L2999" s="67">
        <f t="shared" si="1123"/>
        <v>0</v>
      </c>
      <c r="M2999" s="77">
        <f t="shared" si="1124"/>
        <v>0</v>
      </c>
      <c r="N2999" s="76">
        <f t="shared" si="1125"/>
        <v>1</v>
      </c>
      <c r="O2999" s="77">
        <f t="shared" si="1126"/>
        <v>0.91549781181619261</v>
      </c>
      <c r="P2999" s="76">
        <f t="shared" si="1127"/>
        <v>0</v>
      </c>
      <c r="Q2999" s="76">
        <f t="shared" si="1128"/>
        <v>0</v>
      </c>
      <c r="R2999" s="76">
        <f t="shared" si="1129"/>
        <v>0</v>
      </c>
      <c r="S2999" s="76">
        <f t="shared" si="1130"/>
        <v>0.99510631719151366</v>
      </c>
      <c r="T2999" s="76">
        <f t="shared" si="1131"/>
        <v>0.99510631719151366</v>
      </c>
      <c r="U2999" s="76">
        <f t="shared" si="1132"/>
        <v>1</v>
      </c>
    </row>
    <row r="3000" spans="1:21" x14ac:dyDescent="0.25">
      <c r="A3000" s="71">
        <v>6</v>
      </c>
      <c r="B3000" s="72">
        <f t="shared" si="1133"/>
        <v>45809</v>
      </c>
      <c r="C3000" s="73">
        <f t="shared" si="1114"/>
        <v>45838</v>
      </c>
      <c r="D3000" s="67">
        <f t="shared" si="1115"/>
        <v>30</v>
      </c>
      <c r="E3000" s="67">
        <f t="shared" si="1116"/>
        <v>6</v>
      </c>
      <c r="F3000" s="74">
        <f t="shared" si="1117"/>
        <v>45824</v>
      </c>
      <c r="G3000" s="67">
        <f t="shared" si="1118"/>
        <v>24305</v>
      </c>
      <c r="H3000" s="75">
        <f t="shared" si="1119"/>
        <v>1</v>
      </c>
      <c r="I3000" s="76">
        <f t="shared" si="1120"/>
        <v>1</v>
      </c>
      <c r="J3000" s="76">
        <f t="shared" si="1121"/>
        <v>1</v>
      </c>
      <c r="K3000" s="67">
        <f t="shared" si="1122"/>
        <v>0</v>
      </c>
      <c r="L3000" s="67">
        <f t="shared" si="1123"/>
        <v>0</v>
      </c>
      <c r="M3000" s="77">
        <f t="shared" si="1124"/>
        <v>0</v>
      </c>
      <c r="N3000" s="76">
        <f t="shared" si="1125"/>
        <v>1</v>
      </c>
      <c r="O3000" s="77">
        <f t="shared" si="1126"/>
        <v>0.91516411378555795</v>
      </c>
      <c r="P3000" s="76">
        <f t="shared" si="1127"/>
        <v>0</v>
      </c>
      <c r="Q3000" s="76">
        <f t="shared" si="1128"/>
        <v>0</v>
      </c>
      <c r="R3000" s="76">
        <f t="shared" si="1129"/>
        <v>0</v>
      </c>
      <c r="S3000" s="76">
        <f t="shared" si="1130"/>
        <v>0.99474360194082379</v>
      </c>
      <c r="T3000" s="76">
        <f t="shared" si="1131"/>
        <v>0.99474360194082379</v>
      </c>
      <c r="U3000" s="76">
        <f t="shared" si="1132"/>
        <v>1</v>
      </c>
    </row>
    <row r="3001" spans="1:21" x14ac:dyDescent="0.25">
      <c r="A3001" s="71">
        <v>7</v>
      </c>
      <c r="B3001" s="72">
        <f t="shared" si="1133"/>
        <v>45839</v>
      </c>
      <c r="C3001" s="73">
        <f t="shared" si="1114"/>
        <v>45869</v>
      </c>
      <c r="D3001" s="67">
        <f t="shared" si="1115"/>
        <v>31</v>
      </c>
      <c r="E3001" s="67">
        <f t="shared" si="1116"/>
        <v>7</v>
      </c>
      <c r="F3001" s="74">
        <f t="shared" si="1117"/>
        <v>45854.5</v>
      </c>
      <c r="G3001" s="67">
        <f t="shared" si="1118"/>
        <v>24306</v>
      </c>
      <c r="H3001" s="75">
        <f t="shared" si="1119"/>
        <v>1</v>
      </c>
      <c r="I3001" s="76">
        <f t="shared" si="1120"/>
        <v>1</v>
      </c>
      <c r="J3001" s="76">
        <f t="shared" si="1121"/>
        <v>1</v>
      </c>
      <c r="K3001" s="67">
        <f t="shared" si="1122"/>
        <v>0</v>
      </c>
      <c r="L3001" s="67">
        <f t="shared" si="1123"/>
        <v>0</v>
      </c>
      <c r="M3001" s="77">
        <f t="shared" si="1124"/>
        <v>0</v>
      </c>
      <c r="N3001" s="76">
        <f t="shared" si="1125"/>
        <v>1</v>
      </c>
      <c r="O3001" s="77">
        <f t="shared" si="1126"/>
        <v>0.91483041575492341</v>
      </c>
      <c r="P3001" s="76">
        <f t="shared" si="1127"/>
        <v>8.333333333333337E-2</v>
      </c>
      <c r="Q3001" s="76">
        <f t="shared" si="1128"/>
        <v>0</v>
      </c>
      <c r="R3001" s="76">
        <f t="shared" si="1129"/>
        <v>0</v>
      </c>
      <c r="S3001" s="76">
        <f t="shared" si="1130"/>
        <v>0.99438088669013414</v>
      </c>
      <c r="T3001" s="76">
        <f t="shared" si="1131"/>
        <v>0.99438088669013414</v>
      </c>
      <c r="U3001" s="76">
        <f t="shared" si="1132"/>
        <v>1</v>
      </c>
    </row>
    <row r="3002" spans="1:21" x14ac:dyDescent="0.25">
      <c r="A3002" s="71">
        <v>8</v>
      </c>
      <c r="B3002" s="72">
        <f t="shared" si="1133"/>
        <v>45870</v>
      </c>
      <c r="C3002" s="73">
        <f t="shared" si="1114"/>
        <v>45900</v>
      </c>
      <c r="D3002" s="67">
        <f t="shared" si="1115"/>
        <v>31</v>
      </c>
      <c r="E3002" s="67">
        <f t="shared" si="1116"/>
        <v>8</v>
      </c>
      <c r="F3002" s="74">
        <f t="shared" si="1117"/>
        <v>45885.5</v>
      </c>
      <c r="G3002" s="67">
        <f t="shared" si="1118"/>
        <v>24307</v>
      </c>
      <c r="H3002" s="75">
        <f t="shared" si="1119"/>
        <v>1</v>
      </c>
      <c r="I3002" s="76">
        <f t="shared" si="1120"/>
        <v>1</v>
      </c>
      <c r="J3002" s="76">
        <f t="shared" si="1121"/>
        <v>1</v>
      </c>
      <c r="K3002" s="67">
        <f t="shared" si="1122"/>
        <v>0</v>
      </c>
      <c r="L3002" s="67">
        <f t="shared" si="1123"/>
        <v>0</v>
      </c>
      <c r="M3002" s="77">
        <f t="shared" si="1124"/>
        <v>0</v>
      </c>
      <c r="N3002" s="76">
        <f t="shared" si="1125"/>
        <v>1</v>
      </c>
      <c r="O3002" s="77">
        <f t="shared" si="1126"/>
        <v>0.91449124726477027</v>
      </c>
      <c r="P3002" s="76">
        <f t="shared" si="1127"/>
        <v>0.25</v>
      </c>
      <c r="Q3002" s="76">
        <f t="shared" si="1128"/>
        <v>0</v>
      </c>
      <c r="R3002" s="76">
        <f t="shared" si="1129"/>
        <v>0</v>
      </c>
      <c r="S3002" s="76">
        <f t="shared" si="1130"/>
        <v>0.99401222528779376</v>
      </c>
      <c r="T3002" s="76">
        <f t="shared" si="1131"/>
        <v>0.99401222528779376</v>
      </c>
      <c r="U3002" s="76">
        <f t="shared" si="1132"/>
        <v>1</v>
      </c>
    </row>
    <row r="3003" spans="1:21" x14ac:dyDescent="0.25">
      <c r="A3003" s="71">
        <v>9</v>
      </c>
      <c r="B3003" s="72">
        <f t="shared" si="1133"/>
        <v>45901</v>
      </c>
      <c r="C3003" s="73">
        <f t="shared" si="1114"/>
        <v>45930</v>
      </c>
      <c r="D3003" s="67">
        <f t="shared" si="1115"/>
        <v>30</v>
      </c>
      <c r="E3003" s="67">
        <f t="shared" si="1116"/>
        <v>9</v>
      </c>
      <c r="F3003" s="74">
        <f t="shared" si="1117"/>
        <v>45916</v>
      </c>
      <c r="G3003" s="67">
        <f t="shared" si="1118"/>
        <v>24308</v>
      </c>
      <c r="H3003" s="75">
        <f t="shared" si="1119"/>
        <v>1</v>
      </c>
      <c r="I3003" s="76">
        <f t="shared" si="1120"/>
        <v>1</v>
      </c>
      <c r="J3003" s="76">
        <f t="shared" si="1121"/>
        <v>1</v>
      </c>
      <c r="K3003" s="67">
        <f t="shared" si="1122"/>
        <v>0</v>
      </c>
      <c r="L3003" s="67">
        <f t="shared" si="1123"/>
        <v>0</v>
      </c>
      <c r="M3003" s="77">
        <f t="shared" si="1124"/>
        <v>0</v>
      </c>
      <c r="N3003" s="76">
        <f t="shared" si="1125"/>
        <v>1</v>
      </c>
      <c r="O3003" s="77">
        <f t="shared" si="1126"/>
        <v>0.91415754923413572</v>
      </c>
      <c r="P3003" s="76">
        <f t="shared" si="1127"/>
        <v>0.41666666666666663</v>
      </c>
      <c r="Q3003" s="76">
        <f t="shared" si="1128"/>
        <v>0</v>
      </c>
      <c r="R3003" s="76">
        <f t="shared" si="1129"/>
        <v>0</v>
      </c>
      <c r="S3003" s="76">
        <f t="shared" si="1130"/>
        <v>0.993649510037104</v>
      </c>
      <c r="T3003" s="76">
        <f t="shared" si="1131"/>
        <v>0.993649510037104</v>
      </c>
      <c r="U3003" s="76">
        <f t="shared" si="1132"/>
        <v>1</v>
      </c>
    </row>
    <row r="3004" spans="1:21" x14ac:dyDescent="0.25">
      <c r="A3004" s="71">
        <v>10</v>
      </c>
      <c r="B3004" s="72">
        <f t="shared" si="1133"/>
        <v>45931</v>
      </c>
      <c r="C3004" s="73">
        <f t="shared" si="1114"/>
        <v>45961</v>
      </c>
      <c r="D3004" s="67">
        <f t="shared" si="1115"/>
        <v>31</v>
      </c>
      <c r="E3004" s="67">
        <f t="shared" si="1116"/>
        <v>10</v>
      </c>
      <c r="F3004" s="74">
        <f t="shared" si="1117"/>
        <v>45946.5</v>
      </c>
      <c r="G3004" s="67">
        <f t="shared" si="1118"/>
        <v>24309</v>
      </c>
      <c r="H3004" s="75">
        <f t="shared" si="1119"/>
        <v>1</v>
      </c>
      <c r="I3004" s="76">
        <f t="shared" si="1120"/>
        <v>1</v>
      </c>
      <c r="J3004" s="76">
        <f t="shared" si="1121"/>
        <v>1</v>
      </c>
      <c r="K3004" s="67">
        <f t="shared" si="1122"/>
        <v>0</v>
      </c>
      <c r="L3004" s="67">
        <f t="shared" si="1123"/>
        <v>0</v>
      </c>
      <c r="M3004" s="77">
        <f t="shared" si="1124"/>
        <v>0</v>
      </c>
      <c r="N3004" s="76">
        <f t="shared" si="1125"/>
        <v>1</v>
      </c>
      <c r="O3004" s="77">
        <f t="shared" si="1126"/>
        <v>0.91382385120350107</v>
      </c>
      <c r="P3004" s="76">
        <f t="shared" si="1127"/>
        <v>0.58333333333333326</v>
      </c>
      <c r="Q3004" s="76">
        <f t="shared" si="1128"/>
        <v>0</v>
      </c>
      <c r="R3004" s="76">
        <f t="shared" si="1129"/>
        <v>0</v>
      </c>
      <c r="S3004" s="76">
        <f t="shared" si="1130"/>
        <v>0.99328679478641413</v>
      </c>
      <c r="T3004" s="76">
        <f t="shared" si="1131"/>
        <v>0.99328679478641413</v>
      </c>
      <c r="U3004" s="76">
        <f t="shared" si="1132"/>
        <v>1</v>
      </c>
    </row>
    <row r="3005" spans="1:21" x14ac:dyDescent="0.25">
      <c r="A3005" s="71">
        <v>11</v>
      </c>
      <c r="B3005" s="72">
        <f t="shared" si="1133"/>
        <v>45962</v>
      </c>
      <c r="C3005" s="73">
        <f t="shared" si="1114"/>
        <v>45991</v>
      </c>
      <c r="D3005" s="67">
        <f t="shared" si="1115"/>
        <v>30</v>
      </c>
      <c r="E3005" s="67">
        <f t="shared" si="1116"/>
        <v>11</v>
      </c>
      <c r="F3005" s="74">
        <f t="shared" si="1117"/>
        <v>45977</v>
      </c>
      <c r="G3005" s="67">
        <f t="shared" si="1118"/>
        <v>24310</v>
      </c>
      <c r="H3005" s="75">
        <f t="shared" si="1119"/>
        <v>1</v>
      </c>
      <c r="I3005" s="76">
        <f t="shared" si="1120"/>
        <v>1</v>
      </c>
      <c r="J3005" s="76">
        <f t="shared" si="1121"/>
        <v>1</v>
      </c>
      <c r="K3005" s="67">
        <f t="shared" si="1122"/>
        <v>0</v>
      </c>
      <c r="L3005" s="67">
        <f t="shared" si="1123"/>
        <v>0</v>
      </c>
      <c r="M3005" s="77">
        <f t="shared" si="1124"/>
        <v>0</v>
      </c>
      <c r="N3005" s="76">
        <f t="shared" si="1125"/>
        <v>1</v>
      </c>
      <c r="O3005" s="77">
        <f t="shared" si="1126"/>
        <v>0.91349015317286653</v>
      </c>
      <c r="P3005" s="76">
        <f t="shared" si="1127"/>
        <v>0.75</v>
      </c>
      <c r="Q3005" s="76">
        <f t="shared" si="1128"/>
        <v>0</v>
      </c>
      <c r="R3005" s="76">
        <f t="shared" si="1129"/>
        <v>0</v>
      </c>
      <c r="S3005" s="76">
        <f t="shared" si="1130"/>
        <v>0.99292407953572448</v>
      </c>
      <c r="T3005" s="76">
        <f t="shared" si="1131"/>
        <v>0.99292407953572448</v>
      </c>
      <c r="U3005" s="76">
        <f t="shared" si="1132"/>
        <v>1</v>
      </c>
    </row>
    <row r="3006" spans="1:21" x14ac:dyDescent="0.25">
      <c r="A3006" s="71">
        <v>12</v>
      </c>
      <c r="B3006" s="72">
        <f t="shared" si="1133"/>
        <v>45992</v>
      </c>
      <c r="C3006" s="73">
        <f t="shared" si="1114"/>
        <v>46022</v>
      </c>
      <c r="D3006" s="67">
        <f t="shared" si="1115"/>
        <v>31</v>
      </c>
      <c r="E3006" s="67">
        <f t="shared" si="1116"/>
        <v>12</v>
      </c>
      <c r="F3006" s="74">
        <f t="shared" si="1117"/>
        <v>46007.5</v>
      </c>
      <c r="G3006" s="67">
        <f t="shared" si="1118"/>
        <v>24311</v>
      </c>
      <c r="H3006" s="75">
        <f t="shared" si="1119"/>
        <v>1</v>
      </c>
      <c r="I3006" s="76">
        <f t="shared" si="1120"/>
        <v>1</v>
      </c>
      <c r="J3006" s="76">
        <f t="shared" si="1121"/>
        <v>1</v>
      </c>
      <c r="K3006" s="67">
        <f t="shared" si="1122"/>
        <v>0</v>
      </c>
      <c r="L3006" s="67">
        <f t="shared" si="1123"/>
        <v>0</v>
      </c>
      <c r="M3006" s="77">
        <f t="shared" si="1124"/>
        <v>0</v>
      </c>
      <c r="N3006" s="76">
        <f t="shared" si="1125"/>
        <v>1</v>
      </c>
      <c r="O3006" s="77">
        <f t="shared" si="1126"/>
        <v>0.91315645514223198</v>
      </c>
      <c r="P3006" s="76">
        <f t="shared" si="1127"/>
        <v>0.91666666666666663</v>
      </c>
      <c r="Q3006" s="76">
        <f t="shared" si="1128"/>
        <v>0</v>
      </c>
      <c r="R3006" s="76">
        <f t="shared" si="1129"/>
        <v>0</v>
      </c>
      <c r="S3006" s="76">
        <f t="shared" si="1130"/>
        <v>0.99256136428503472</v>
      </c>
      <c r="T3006" s="76">
        <f t="shared" si="1131"/>
        <v>0.99256136428503472</v>
      </c>
      <c r="U3006" s="76">
        <f t="shared" si="1132"/>
        <v>1</v>
      </c>
    </row>
    <row r="3007" spans="1:21" x14ac:dyDescent="0.25">
      <c r="A3007" s="71">
        <v>13</v>
      </c>
      <c r="B3007" s="72">
        <f t="shared" si="1133"/>
        <v>46023</v>
      </c>
      <c r="C3007" s="73">
        <f t="shared" si="1114"/>
        <v>46053</v>
      </c>
      <c r="D3007" s="67">
        <f t="shared" si="1115"/>
        <v>31</v>
      </c>
      <c r="E3007" s="67">
        <f t="shared" si="1116"/>
        <v>1</v>
      </c>
      <c r="F3007" s="74">
        <f t="shared" si="1117"/>
        <v>46038.5</v>
      </c>
      <c r="G3007" s="67">
        <f t="shared" si="1118"/>
        <v>24312</v>
      </c>
      <c r="H3007" s="75">
        <f t="shared" si="1119"/>
        <v>1</v>
      </c>
      <c r="I3007" s="76">
        <f t="shared" si="1120"/>
        <v>1</v>
      </c>
      <c r="J3007" s="76">
        <f t="shared" si="1121"/>
        <v>1</v>
      </c>
      <c r="K3007" s="67">
        <f t="shared" si="1122"/>
        <v>0</v>
      </c>
      <c r="L3007" s="67">
        <f t="shared" si="1123"/>
        <v>0</v>
      </c>
      <c r="M3007" s="77">
        <f t="shared" si="1124"/>
        <v>0</v>
      </c>
      <c r="N3007" s="76">
        <f t="shared" si="1125"/>
        <v>1</v>
      </c>
      <c r="O3007" s="77">
        <f t="shared" si="1126"/>
        <v>0.91281728665207884</v>
      </c>
      <c r="P3007" s="76">
        <f t="shared" si="1127"/>
        <v>1</v>
      </c>
      <c r="Q3007" s="76">
        <f t="shared" si="1128"/>
        <v>0</v>
      </c>
      <c r="R3007" s="76">
        <f t="shared" si="1129"/>
        <v>0</v>
      </c>
      <c r="S3007" s="76">
        <f t="shared" si="1130"/>
        <v>0.99219270288269434</v>
      </c>
      <c r="T3007" s="76">
        <f t="shared" si="1131"/>
        <v>0.99219270288269434</v>
      </c>
      <c r="U3007" s="76">
        <f t="shared" si="1132"/>
        <v>1</v>
      </c>
    </row>
    <row r="3008" spans="1:21" x14ac:dyDescent="0.25">
      <c r="A3008" s="71">
        <v>14</v>
      </c>
      <c r="B3008" s="72">
        <f t="shared" si="1133"/>
        <v>46054</v>
      </c>
      <c r="C3008" s="73">
        <f t="shared" si="1114"/>
        <v>46081</v>
      </c>
      <c r="D3008" s="67">
        <f t="shared" si="1115"/>
        <v>28</v>
      </c>
      <c r="E3008" s="67">
        <f t="shared" si="1116"/>
        <v>2</v>
      </c>
      <c r="F3008" s="74">
        <f t="shared" si="1117"/>
        <v>46068</v>
      </c>
      <c r="G3008" s="67">
        <f t="shared" si="1118"/>
        <v>24313</v>
      </c>
      <c r="H3008" s="75">
        <f t="shared" si="1119"/>
        <v>1</v>
      </c>
      <c r="I3008" s="76">
        <f t="shared" si="1120"/>
        <v>1</v>
      </c>
      <c r="J3008" s="76">
        <f t="shared" si="1121"/>
        <v>1</v>
      </c>
      <c r="K3008" s="67">
        <f t="shared" si="1122"/>
        <v>0</v>
      </c>
      <c r="L3008" s="67">
        <f t="shared" si="1123"/>
        <v>0</v>
      </c>
      <c r="M3008" s="77">
        <f t="shared" si="1124"/>
        <v>0</v>
      </c>
      <c r="N3008" s="76">
        <f t="shared" si="1125"/>
        <v>1</v>
      </c>
      <c r="O3008" s="77">
        <f t="shared" si="1126"/>
        <v>0.91249452954048138</v>
      </c>
      <c r="P3008" s="76">
        <f t="shared" si="1127"/>
        <v>1</v>
      </c>
      <c r="Q3008" s="76">
        <f t="shared" si="1128"/>
        <v>0</v>
      </c>
      <c r="R3008" s="76">
        <f t="shared" si="1129"/>
        <v>0</v>
      </c>
      <c r="S3008" s="76">
        <f t="shared" si="1130"/>
        <v>0.99184187993530581</v>
      </c>
      <c r="T3008" s="76">
        <f t="shared" si="1131"/>
        <v>0.99184187993530581</v>
      </c>
      <c r="U3008" s="76">
        <f t="shared" si="1132"/>
        <v>1</v>
      </c>
    </row>
    <row r="3009" spans="1:21" x14ac:dyDescent="0.25">
      <c r="A3009" s="71">
        <v>15</v>
      </c>
      <c r="B3009" s="72">
        <f t="shared" si="1133"/>
        <v>46082</v>
      </c>
      <c r="C3009" s="73">
        <f t="shared" si="1114"/>
        <v>46112</v>
      </c>
      <c r="D3009" s="67">
        <f t="shared" si="1115"/>
        <v>31</v>
      </c>
      <c r="E3009" s="67">
        <f t="shared" si="1116"/>
        <v>3</v>
      </c>
      <c r="F3009" s="74">
        <f t="shared" si="1117"/>
        <v>46097.5</v>
      </c>
      <c r="G3009" s="67">
        <f t="shared" si="1118"/>
        <v>24314</v>
      </c>
      <c r="H3009" s="75">
        <f t="shared" si="1119"/>
        <v>1</v>
      </c>
      <c r="I3009" s="76">
        <f t="shared" si="1120"/>
        <v>1</v>
      </c>
      <c r="J3009" s="76">
        <f t="shared" si="1121"/>
        <v>1</v>
      </c>
      <c r="K3009" s="67">
        <f t="shared" si="1122"/>
        <v>0</v>
      </c>
      <c r="L3009" s="67">
        <f t="shared" si="1123"/>
        <v>0</v>
      </c>
      <c r="M3009" s="77">
        <f t="shared" si="1124"/>
        <v>0</v>
      </c>
      <c r="N3009" s="76">
        <f t="shared" si="1125"/>
        <v>1</v>
      </c>
      <c r="O3009" s="77">
        <f t="shared" si="1126"/>
        <v>0.91217177242888403</v>
      </c>
      <c r="P3009" s="76">
        <f t="shared" si="1127"/>
        <v>1</v>
      </c>
      <c r="Q3009" s="76">
        <f t="shared" si="1128"/>
        <v>0</v>
      </c>
      <c r="R3009" s="76">
        <f t="shared" si="1129"/>
        <v>0</v>
      </c>
      <c r="S3009" s="76">
        <f t="shared" si="1130"/>
        <v>0.9914910569879174</v>
      </c>
      <c r="T3009" s="76">
        <f t="shared" si="1131"/>
        <v>0.9914910569879174</v>
      </c>
      <c r="U3009" s="76">
        <f t="shared" si="1132"/>
        <v>1</v>
      </c>
    </row>
    <row r="3010" spans="1:21" x14ac:dyDescent="0.25">
      <c r="A3010" s="71">
        <v>16</v>
      </c>
      <c r="B3010" s="72">
        <f t="shared" si="1133"/>
        <v>46113</v>
      </c>
      <c r="C3010" s="73">
        <f t="shared" si="1114"/>
        <v>46142</v>
      </c>
      <c r="D3010" s="67">
        <f t="shared" si="1115"/>
        <v>30</v>
      </c>
      <c r="E3010" s="67">
        <f t="shared" si="1116"/>
        <v>4</v>
      </c>
      <c r="F3010" s="74">
        <f t="shared" si="1117"/>
        <v>46128</v>
      </c>
      <c r="G3010" s="67">
        <f t="shared" si="1118"/>
        <v>24315</v>
      </c>
      <c r="H3010" s="75">
        <f t="shared" si="1119"/>
        <v>1</v>
      </c>
      <c r="I3010" s="76">
        <f t="shared" si="1120"/>
        <v>1</v>
      </c>
      <c r="J3010" s="76">
        <f t="shared" si="1121"/>
        <v>1</v>
      </c>
      <c r="K3010" s="67">
        <f t="shared" si="1122"/>
        <v>0</v>
      </c>
      <c r="L3010" s="67">
        <f t="shared" si="1123"/>
        <v>0</v>
      </c>
      <c r="M3010" s="77">
        <f t="shared" si="1124"/>
        <v>0</v>
      </c>
      <c r="N3010" s="76">
        <f t="shared" si="1125"/>
        <v>1</v>
      </c>
      <c r="O3010" s="77">
        <f t="shared" si="1126"/>
        <v>0.91183807439824949</v>
      </c>
      <c r="P3010" s="76">
        <f t="shared" si="1127"/>
        <v>1</v>
      </c>
      <c r="Q3010" s="76">
        <f t="shared" si="1128"/>
        <v>0</v>
      </c>
      <c r="R3010" s="76">
        <f t="shared" si="1129"/>
        <v>0</v>
      </c>
      <c r="S3010" s="76">
        <f t="shared" si="1130"/>
        <v>0.99112834173722764</v>
      </c>
      <c r="T3010" s="76">
        <f t="shared" si="1131"/>
        <v>0.99112834173722764</v>
      </c>
      <c r="U3010" s="76">
        <f t="shared" si="1132"/>
        <v>1</v>
      </c>
    </row>
    <row r="3011" spans="1:21" x14ac:dyDescent="0.25">
      <c r="A3011" s="71">
        <v>17</v>
      </c>
      <c r="B3011" s="72">
        <f t="shared" si="1133"/>
        <v>46143</v>
      </c>
      <c r="C3011" s="73">
        <f t="shared" si="1114"/>
        <v>46173</v>
      </c>
      <c r="D3011" s="67">
        <f t="shared" si="1115"/>
        <v>31</v>
      </c>
      <c r="E3011" s="67">
        <f t="shared" si="1116"/>
        <v>5</v>
      </c>
      <c r="F3011" s="74">
        <f t="shared" si="1117"/>
        <v>46158.5</v>
      </c>
      <c r="G3011" s="67">
        <f t="shared" si="1118"/>
        <v>24316</v>
      </c>
      <c r="H3011" s="75">
        <f t="shared" si="1119"/>
        <v>1</v>
      </c>
      <c r="I3011" s="76">
        <f t="shared" si="1120"/>
        <v>1</v>
      </c>
      <c r="J3011" s="76">
        <f t="shared" si="1121"/>
        <v>1</v>
      </c>
      <c r="K3011" s="67">
        <f t="shared" si="1122"/>
        <v>0</v>
      </c>
      <c r="L3011" s="67">
        <f t="shared" si="1123"/>
        <v>0</v>
      </c>
      <c r="M3011" s="77">
        <f t="shared" si="1124"/>
        <v>0</v>
      </c>
      <c r="N3011" s="76">
        <f t="shared" si="1125"/>
        <v>1</v>
      </c>
      <c r="O3011" s="77">
        <f t="shared" si="1126"/>
        <v>0.91150437636761494</v>
      </c>
      <c r="P3011" s="76">
        <f t="shared" si="1127"/>
        <v>1</v>
      </c>
      <c r="Q3011" s="76">
        <f t="shared" si="1128"/>
        <v>0</v>
      </c>
      <c r="R3011" s="76">
        <f t="shared" si="1129"/>
        <v>0</v>
      </c>
      <c r="S3011" s="76">
        <f t="shared" si="1130"/>
        <v>0.99076562648653799</v>
      </c>
      <c r="T3011" s="76">
        <f t="shared" si="1131"/>
        <v>0.99076562648653799</v>
      </c>
      <c r="U3011" s="76">
        <f t="shared" si="1132"/>
        <v>1</v>
      </c>
    </row>
    <row r="3012" spans="1:21" x14ac:dyDescent="0.25">
      <c r="A3012" s="71">
        <v>18</v>
      </c>
      <c r="B3012" s="72">
        <f t="shared" si="1133"/>
        <v>46174</v>
      </c>
      <c r="C3012" s="73">
        <f t="shared" si="1114"/>
        <v>46203</v>
      </c>
      <c r="D3012" s="67">
        <f t="shared" si="1115"/>
        <v>30</v>
      </c>
      <c r="E3012" s="67">
        <f t="shared" si="1116"/>
        <v>6</v>
      </c>
      <c r="F3012" s="74">
        <f t="shared" si="1117"/>
        <v>46189</v>
      </c>
      <c r="G3012" s="67">
        <f t="shared" si="1118"/>
        <v>24317</v>
      </c>
      <c r="H3012" s="75">
        <f t="shared" si="1119"/>
        <v>1</v>
      </c>
      <c r="I3012" s="76">
        <f t="shared" si="1120"/>
        <v>1</v>
      </c>
      <c r="J3012" s="76">
        <f t="shared" si="1121"/>
        <v>1</v>
      </c>
      <c r="K3012" s="67">
        <f t="shared" si="1122"/>
        <v>0</v>
      </c>
      <c r="L3012" s="67">
        <f t="shared" si="1123"/>
        <v>0</v>
      </c>
      <c r="M3012" s="77">
        <f t="shared" si="1124"/>
        <v>0</v>
      </c>
      <c r="N3012" s="76">
        <f t="shared" si="1125"/>
        <v>1</v>
      </c>
      <c r="O3012" s="77">
        <f t="shared" si="1126"/>
        <v>0.91117067833698029</v>
      </c>
      <c r="P3012" s="76">
        <f t="shared" si="1127"/>
        <v>1</v>
      </c>
      <c r="Q3012" s="76">
        <f t="shared" si="1128"/>
        <v>0</v>
      </c>
      <c r="R3012" s="76">
        <f t="shared" si="1129"/>
        <v>0</v>
      </c>
      <c r="S3012" s="76">
        <f t="shared" si="1130"/>
        <v>0.99040291123584812</v>
      </c>
      <c r="T3012" s="76">
        <f t="shared" si="1131"/>
        <v>0.99040291123584812</v>
      </c>
      <c r="U3012" s="76">
        <f t="shared" si="1132"/>
        <v>1</v>
      </c>
    </row>
    <row r="3013" spans="1:21" x14ac:dyDescent="0.25">
      <c r="A3013" s="71">
        <v>19</v>
      </c>
      <c r="B3013" s="72">
        <f t="shared" si="1133"/>
        <v>46204</v>
      </c>
      <c r="C3013" s="73">
        <f t="shared" si="1114"/>
        <v>46234</v>
      </c>
      <c r="D3013" s="67">
        <f t="shared" si="1115"/>
        <v>31</v>
      </c>
      <c r="E3013" s="67">
        <f t="shared" si="1116"/>
        <v>7</v>
      </c>
      <c r="F3013" s="74">
        <f t="shared" si="1117"/>
        <v>46219.5</v>
      </c>
      <c r="G3013" s="67">
        <f t="shared" si="1118"/>
        <v>24318</v>
      </c>
      <c r="H3013" s="75">
        <f t="shared" si="1119"/>
        <v>1</v>
      </c>
      <c r="I3013" s="76">
        <f t="shared" si="1120"/>
        <v>1</v>
      </c>
      <c r="J3013" s="76">
        <f t="shared" si="1121"/>
        <v>1.06</v>
      </c>
      <c r="K3013" s="67">
        <f t="shared" si="1122"/>
        <v>1</v>
      </c>
      <c r="L3013" s="67">
        <f t="shared" si="1123"/>
        <v>31</v>
      </c>
      <c r="M3013" s="77">
        <f t="shared" si="1124"/>
        <v>1</v>
      </c>
      <c r="N3013" s="76">
        <f t="shared" si="1125"/>
        <v>1.06</v>
      </c>
      <c r="O3013" s="77">
        <f t="shared" si="1126"/>
        <v>0.91083698030634574</v>
      </c>
      <c r="P3013" s="76">
        <f t="shared" si="1127"/>
        <v>0.91666666666666663</v>
      </c>
      <c r="Q3013" s="76">
        <f t="shared" si="1128"/>
        <v>8.333333333333337E-2</v>
      </c>
      <c r="R3013" s="76">
        <f t="shared" si="1129"/>
        <v>0</v>
      </c>
      <c r="S3013" s="76">
        <f t="shared" si="1130"/>
        <v>1.049442607744268</v>
      </c>
      <c r="T3013" s="76">
        <f t="shared" si="1131"/>
        <v>1.049442607744268</v>
      </c>
      <c r="U3013" s="76">
        <f t="shared" si="1132"/>
        <v>1.06</v>
      </c>
    </row>
    <row r="3014" spans="1:21" x14ac:dyDescent="0.25">
      <c r="A3014" s="71">
        <v>20</v>
      </c>
      <c r="B3014" s="72">
        <f t="shared" si="1133"/>
        <v>46235</v>
      </c>
      <c r="C3014" s="73">
        <f t="shared" si="1114"/>
        <v>46265</v>
      </c>
      <c r="D3014" s="67">
        <f t="shared" si="1115"/>
        <v>31</v>
      </c>
      <c r="E3014" s="67">
        <f t="shared" si="1116"/>
        <v>8</v>
      </c>
      <c r="F3014" s="74">
        <f t="shared" si="1117"/>
        <v>46250.5</v>
      </c>
      <c r="G3014" s="67">
        <f t="shared" si="1118"/>
        <v>24319</v>
      </c>
      <c r="H3014" s="75">
        <f t="shared" si="1119"/>
        <v>1</v>
      </c>
      <c r="I3014" s="76">
        <f t="shared" si="1120"/>
        <v>1.06</v>
      </c>
      <c r="J3014" s="76">
        <f t="shared" si="1121"/>
        <v>1.06</v>
      </c>
      <c r="K3014" s="67">
        <f t="shared" si="1122"/>
        <v>0</v>
      </c>
      <c r="L3014" s="67">
        <f t="shared" si="1123"/>
        <v>0</v>
      </c>
      <c r="M3014" s="77">
        <f t="shared" si="1124"/>
        <v>0</v>
      </c>
      <c r="N3014" s="76">
        <f t="shared" si="1125"/>
        <v>1.06</v>
      </c>
      <c r="O3014" s="77">
        <f t="shared" si="1126"/>
        <v>0.9104978118161926</v>
      </c>
      <c r="P3014" s="76">
        <f t="shared" si="1127"/>
        <v>0.75</v>
      </c>
      <c r="Q3014" s="76">
        <f t="shared" si="1128"/>
        <v>0.25</v>
      </c>
      <c r="R3014" s="76">
        <f t="shared" si="1129"/>
        <v>0</v>
      </c>
      <c r="S3014" s="76">
        <f t="shared" si="1130"/>
        <v>1.0490518266577871</v>
      </c>
      <c r="T3014" s="76">
        <f t="shared" si="1131"/>
        <v>1.0490518266577871</v>
      </c>
      <c r="U3014" s="76">
        <f t="shared" si="1132"/>
        <v>1.06</v>
      </c>
    </row>
    <row r="3015" spans="1:21" x14ac:dyDescent="0.25">
      <c r="A3015" s="71">
        <v>21</v>
      </c>
      <c r="B3015" s="72">
        <f t="shared" si="1133"/>
        <v>46266</v>
      </c>
      <c r="C3015" s="73">
        <f t="shared" si="1114"/>
        <v>46295</v>
      </c>
      <c r="D3015" s="67">
        <f t="shared" si="1115"/>
        <v>30</v>
      </c>
      <c r="E3015" s="67">
        <f t="shared" si="1116"/>
        <v>9</v>
      </c>
      <c r="F3015" s="74">
        <f t="shared" si="1117"/>
        <v>46281</v>
      </c>
      <c r="G3015" s="67">
        <f t="shared" si="1118"/>
        <v>24320</v>
      </c>
      <c r="H3015" s="75">
        <f t="shared" si="1119"/>
        <v>1</v>
      </c>
      <c r="I3015" s="76">
        <f t="shared" si="1120"/>
        <v>1.06</v>
      </c>
      <c r="J3015" s="76">
        <f t="shared" si="1121"/>
        <v>1.06</v>
      </c>
      <c r="K3015" s="67">
        <f t="shared" si="1122"/>
        <v>0</v>
      </c>
      <c r="L3015" s="67">
        <f t="shared" si="1123"/>
        <v>0</v>
      </c>
      <c r="M3015" s="77">
        <f t="shared" si="1124"/>
        <v>0</v>
      </c>
      <c r="N3015" s="76">
        <f t="shared" si="1125"/>
        <v>1.06</v>
      </c>
      <c r="O3015" s="77">
        <f t="shared" si="1126"/>
        <v>0.91016411378555806</v>
      </c>
      <c r="P3015" s="76">
        <f t="shared" si="1127"/>
        <v>0.58333333333333337</v>
      </c>
      <c r="Q3015" s="76">
        <f t="shared" si="1128"/>
        <v>0.41666666666666663</v>
      </c>
      <c r="R3015" s="76">
        <f t="shared" si="1129"/>
        <v>0</v>
      </c>
      <c r="S3015" s="76">
        <f t="shared" si="1130"/>
        <v>1.0486673484920561</v>
      </c>
      <c r="T3015" s="76">
        <f t="shared" si="1131"/>
        <v>1.0486673484920561</v>
      </c>
      <c r="U3015" s="76">
        <f t="shared" si="1132"/>
        <v>1.06</v>
      </c>
    </row>
    <row r="3016" spans="1:21" x14ac:dyDescent="0.25">
      <c r="A3016" s="71">
        <v>22</v>
      </c>
      <c r="B3016" s="72">
        <f t="shared" si="1133"/>
        <v>46296</v>
      </c>
      <c r="C3016" s="73">
        <f t="shared" si="1114"/>
        <v>46326</v>
      </c>
      <c r="D3016" s="67">
        <f t="shared" si="1115"/>
        <v>31</v>
      </c>
      <c r="E3016" s="67">
        <f t="shared" si="1116"/>
        <v>10</v>
      </c>
      <c r="F3016" s="74">
        <f t="shared" si="1117"/>
        <v>46311.5</v>
      </c>
      <c r="G3016" s="67">
        <f t="shared" si="1118"/>
        <v>24321</v>
      </c>
      <c r="H3016" s="75">
        <f t="shared" si="1119"/>
        <v>1</v>
      </c>
      <c r="I3016" s="76">
        <f t="shared" si="1120"/>
        <v>1.06</v>
      </c>
      <c r="J3016" s="76">
        <f t="shared" si="1121"/>
        <v>1.06</v>
      </c>
      <c r="K3016" s="67">
        <f t="shared" si="1122"/>
        <v>0</v>
      </c>
      <c r="L3016" s="67">
        <f t="shared" si="1123"/>
        <v>0</v>
      </c>
      <c r="M3016" s="77">
        <f t="shared" si="1124"/>
        <v>0</v>
      </c>
      <c r="N3016" s="76">
        <f t="shared" si="1125"/>
        <v>1.06</v>
      </c>
      <c r="O3016" s="77">
        <f t="shared" si="1126"/>
        <v>0.90983041575492341</v>
      </c>
      <c r="P3016" s="76">
        <f t="shared" si="1127"/>
        <v>0.41666666666666669</v>
      </c>
      <c r="Q3016" s="76">
        <f t="shared" si="1128"/>
        <v>0.58333333333333326</v>
      </c>
      <c r="R3016" s="76">
        <f t="shared" si="1129"/>
        <v>0</v>
      </c>
      <c r="S3016" s="76">
        <f t="shared" si="1130"/>
        <v>1.0482828703263247</v>
      </c>
      <c r="T3016" s="76">
        <f t="shared" si="1131"/>
        <v>1.0482828703263247</v>
      </c>
      <c r="U3016" s="76">
        <f t="shared" si="1132"/>
        <v>1.06</v>
      </c>
    </row>
    <row r="3017" spans="1:21" x14ac:dyDescent="0.25">
      <c r="A3017" s="71">
        <v>23</v>
      </c>
      <c r="B3017" s="72">
        <f t="shared" si="1133"/>
        <v>46327</v>
      </c>
      <c r="C3017" s="73">
        <f t="shared" si="1114"/>
        <v>46356</v>
      </c>
      <c r="D3017" s="67">
        <f t="shared" si="1115"/>
        <v>30</v>
      </c>
      <c r="E3017" s="67">
        <f t="shared" si="1116"/>
        <v>11</v>
      </c>
      <c r="F3017" s="74">
        <f t="shared" si="1117"/>
        <v>46342</v>
      </c>
      <c r="G3017" s="67">
        <f t="shared" si="1118"/>
        <v>24322</v>
      </c>
      <c r="H3017" s="75">
        <f t="shared" si="1119"/>
        <v>1</v>
      </c>
      <c r="I3017" s="76">
        <f t="shared" si="1120"/>
        <v>1.06</v>
      </c>
      <c r="J3017" s="76">
        <f t="shared" si="1121"/>
        <v>1.06</v>
      </c>
      <c r="K3017" s="67">
        <f t="shared" si="1122"/>
        <v>0</v>
      </c>
      <c r="L3017" s="67">
        <f t="shared" si="1123"/>
        <v>0</v>
      </c>
      <c r="M3017" s="77">
        <f t="shared" si="1124"/>
        <v>0</v>
      </c>
      <c r="N3017" s="76">
        <f t="shared" si="1125"/>
        <v>1.06</v>
      </c>
      <c r="O3017" s="77">
        <f t="shared" si="1126"/>
        <v>0.90949671772428886</v>
      </c>
      <c r="P3017" s="76">
        <f t="shared" si="1127"/>
        <v>0.25</v>
      </c>
      <c r="Q3017" s="76">
        <f t="shared" si="1128"/>
        <v>0.75</v>
      </c>
      <c r="R3017" s="76">
        <f t="shared" si="1129"/>
        <v>0</v>
      </c>
      <c r="S3017" s="76">
        <f t="shared" si="1130"/>
        <v>1.0478983921605938</v>
      </c>
      <c r="T3017" s="76">
        <f t="shared" si="1131"/>
        <v>1.0478983921605938</v>
      </c>
      <c r="U3017" s="76">
        <f t="shared" si="1132"/>
        <v>1.06</v>
      </c>
    </row>
    <row r="3018" spans="1:21" x14ac:dyDescent="0.25">
      <c r="A3018" s="71">
        <v>24</v>
      </c>
      <c r="B3018" s="72">
        <f t="shared" si="1133"/>
        <v>46357</v>
      </c>
      <c r="C3018" s="73">
        <f t="shared" si="1114"/>
        <v>46387</v>
      </c>
      <c r="D3018" s="67">
        <f t="shared" si="1115"/>
        <v>31</v>
      </c>
      <c r="E3018" s="67">
        <f t="shared" si="1116"/>
        <v>12</v>
      </c>
      <c r="F3018" s="74">
        <f t="shared" si="1117"/>
        <v>46372.5</v>
      </c>
      <c r="G3018" s="67">
        <f t="shared" si="1118"/>
        <v>24323</v>
      </c>
      <c r="H3018" s="75">
        <f t="shared" si="1119"/>
        <v>1</v>
      </c>
      <c r="I3018" s="76">
        <f t="shared" si="1120"/>
        <v>1.06</v>
      </c>
      <c r="J3018" s="76">
        <f t="shared" si="1121"/>
        <v>1.06</v>
      </c>
      <c r="K3018" s="67">
        <f t="shared" si="1122"/>
        <v>0</v>
      </c>
      <c r="L3018" s="67">
        <f t="shared" si="1123"/>
        <v>0</v>
      </c>
      <c r="M3018" s="77">
        <f t="shared" si="1124"/>
        <v>0</v>
      </c>
      <c r="N3018" s="76">
        <f t="shared" si="1125"/>
        <v>1.06</v>
      </c>
      <c r="O3018" s="77">
        <f t="shared" si="1126"/>
        <v>0.90916301969365432</v>
      </c>
      <c r="P3018" s="76">
        <f t="shared" si="1127"/>
        <v>8.3333333333333329E-2</v>
      </c>
      <c r="Q3018" s="76">
        <f t="shared" si="1128"/>
        <v>0.91666666666666663</v>
      </c>
      <c r="R3018" s="76">
        <f t="shared" si="1129"/>
        <v>0</v>
      </c>
      <c r="S3018" s="76">
        <f t="shared" si="1130"/>
        <v>1.0475139139948626</v>
      </c>
      <c r="T3018" s="76">
        <f t="shared" si="1131"/>
        <v>1.0475139139948626</v>
      </c>
      <c r="U3018" s="76">
        <f t="shared" si="1132"/>
        <v>1.06</v>
      </c>
    </row>
    <row r="3019" spans="1:21" x14ac:dyDescent="0.25">
      <c r="A3019" s="71">
        <v>25</v>
      </c>
      <c r="B3019" s="72">
        <f t="shared" si="1133"/>
        <v>46388</v>
      </c>
      <c r="C3019" s="73">
        <f t="shared" si="1114"/>
        <v>46418</v>
      </c>
      <c r="D3019" s="67">
        <f t="shared" si="1115"/>
        <v>31</v>
      </c>
      <c r="E3019" s="67">
        <f t="shared" si="1116"/>
        <v>1</v>
      </c>
      <c r="F3019" s="74">
        <f t="shared" si="1117"/>
        <v>46403.5</v>
      </c>
      <c r="G3019" s="67">
        <f t="shared" si="1118"/>
        <v>24324</v>
      </c>
      <c r="H3019" s="75">
        <f t="shared" si="1119"/>
        <v>1</v>
      </c>
      <c r="I3019" s="76">
        <f t="shared" si="1120"/>
        <v>1.06</v>
      </c>
      <c r="J3019" s="76">
        <f t="shared" si="1121"/>
        <v>1.06</v>
      </c>
      <c r="K3019" s="67">
        <f t="shared" si="1122"/>
        <v>0</v>
      </c>
      <c r="L3019" s="67">
        <f t="shared" si="1123"/>
        <v>0</v>
      </c>
      <c r="M3019" s="77">
        <f t="shared" si="1124"/>
        <v>0</v>
      </c>
      <c r="N3019" s="76">
        <f t="shared" si="1125"/>
        <v>1.06</v>
      </c>
      <c r="O3019" s="77">
        <f t="shared" si="1126"/>
        <v>0.90882385120350118</v>
      </c>
      <c r="P3019" s="76">
        <f t="shared" si="1127"/>
        <v>0</v>
      </c>
      <c r="Q3019" s="76">
        <f t="shared" si="1128"/>
        <v>1</v>
      </c>
      <c r="R3019" s="76">
        <f t="shared" si="1129"/>
        <v>0</v>
      </c>
      <c r="S3019" s="76">
        <f t="shared" si="1130"/>
        <v>1.0471231329083819</v>
      </c>
      <c r="T3019" s="76">
        <f t="shared" si="1131"/>
        <v>0.99219270288269434</v>
      </c>
      <c r="U3019" s="76">
        <f t="shared" si="1132"/>
        <v>1.06</v>
      </c>
    </row>
    <row r="3020" spans="1:21" x14ac:dyDescent="0.25">
      <c r="A3020" s="71">
        <v>26</v>
      </c>
      <c r="B3020" s="72">
        <f t="shared" si="1133"/>
        <v>46419</v>
      </c>
      <c r="C3020" s="73">
        <f t="shared" si="1114"/>
        <v>46446</v>
      </c>
      <c r="D3020" s="67">
        <f t="shared" si="1115"/>
        <v>28</v>
      </c>
      <c r="E3020" s="67">
        <f t="shared" si="1116"/>
        <v>2</v>
      </c>
      <c r="F3020" s="74">
        <f t="shared" si="1117"/>
        <v>46433</v>
      </c>
      <c r="G3020" s="67">
        <f t="shared" si="1118"/>
        <v>24325</v>
      </c>
      <c r="H3020" s="75">
        <f t="shared" si="1119"/>
        <v>1</v>
      </c>
      <c r="I3020" s="76">
        <f t="shared" si="1120"/>
        <v>1.06</v>
      </c>
      <c r="J3020" s="76">
        <f t="shared" si="1121"/>
        <v>1.06</v>
      </c>
      <c r="K3020" s="67">
        <f t="shared" si="1122"/>
        <v>0</v>
      </c>
      <c r="L3020" s="67">
        <f t="shared" si="1123"/>
        <v>0</v>
      </c>
      <c r="M3020" s="77">
        <f t="shared" si="1124"/>
        <v>0</v>
      </c>
      <c r="N3020" s="76">
        <f t="shared" si="1125"/>
        <v>1.06</v>
      </c>
      <c r="O3020" s="77">
        <f t="shared" si="1126"/>
        <v>0.90850109409190372</v>
      </c>
      <c r="P3020" s="76">
        <f t="shared" si="1127"/>
        <v>0</v>
      </c>
      <c r="Q3020" s="76">
        <f t="shared" si="1128"/>
        <v>1</v>
      </c>
      <c r="R3020" s="76">
        <f t="shared" si="1129"/>
        <v>0</v>
      </c>
      <c r="S3020" s="76">
        <f t="shared" si="1130"/>
        <v>1.0467512605841498</v>
      </c>
      <c r="T3020" s="76">
        <f t="shared" si="1131"/>
        <v>0.99184187993530581</v>
      </c>
      <c r="U3020" s="76">
        <f t="shared" si="1132"/>
        <v>1.06</v>
      </c>
    </row>
    <row r="3021" spans="1:21" x14ac:dyDescent="0.25">
      <c r="A3021" s="71">
        <v>27</v>
      </c>
      <c r="B3021" s="72">
        <f t="shared" si="1133"/>
        <v>46447</v>
      </c>
      <c r="C3021" s="73">
        <f t="shared" si="1114"/>
        <v>46477</v>
      </c>
      <c r="D3021" s="67">
        <f t="shared" si="1115"/>
        <v>31</v>
      </c>
      <c r="E3021" s="67">
        <f t="shared" si="1116"/>
        <v>3</v>
      </c>
      <c r="F3021" s="74">
        <f t="shared" si="1117"/>
        <v>46462.5</v>
      </c>
      <c r="G3021" s="67">
        <f t="shared" si="1118"/>
        <v>24326</v>
      </c>
      <c r="H3021" s="75">
        <f t="shared" si="1119"/>
        <v>1</v>
      </c>
      <c r="I3021" s="76">
        <f t="shared" si="1120"/>
        <v>1.06</v>
      </c>
      <c r="J3021" s="76">
        <f t="shared" si="1121"/>
        <v>1.06</v>
      </c>
      <c r="K3021" s="67">
        <f t="shared" si="1122"/>
        <v>0</v>
      </c>
      <c r="L3021" s="67">
        <f t="shared" si="1123"/>
        <v>0</v>
      </c>
      <c r="M3021" s="77">
        <f t="shared" si="1124"/>
        <v>0</v>
      </c>
      <c r="N3021" s="76">
        <f t="shared" si="1125"/>
        <v>1.06</v>
      </c>
      <c r="O3021" s="77">
        <f t="shared" si="1126"/>
        <v>0.90817833698030637</v>
      </c>
      <c r="P3021" s="76">
        <f t="shared" si="1127"/>
        <v>0</v>
      </c>
      <c r="Q3021" s="76">
        <f t="shared" si="1128"/>
        <v>1</v>
      </c>
      <c r="R3021" s="76">
        <f t="shared" si="1129"/>
        <v>0</v>
      </c>
      <c r="S3021" s="76">
        <f t="shared" si="1130"/>
        <v>1.0463793882599182</v>
      </c>
      <c r="T3021" s="76">
        <f t="shared" si="1131"/>
        <v>0.9914910569879174</v>
      </c>
      <c r="U3021" s="76">
        <f t="shared" si="1132"/>
        <v>1.06</v>
      </c>
    </row>
    <row r="3022" spans="1:21" x14ac:dyDescent="0.25">
      <c r="A3022" s="71">
        <v>28</v>
      </c>
      <c r="B3022" s="72">
        <f t="shared" si="1133"/>
        <v>46478</v>
      </c>
      <c r="C3022" s="73">
        <f t="shared" si="1114"/>
        <v>46507</v>
      </c>
      <c r="D3022" s="67">
        <f t="shared" si="1115"/>
        <v>30</v>
      </c>
      <c r="E3022" s="67">
        <f t="shared" si="1116"/>
        <v>4</v>
      </c>
      <c r="F3022" s="74">
        <f t="shared" si="1117"/>
        <v>46493</v>
      </c>
      <c r="G3022" s="67">
        <f t="shared" si="1118"/>
        <v>24327</v>
      </c>
      <c r="H3022" s="75">
        <f t="shared" si="1119"/>
        <v>1</v>
      </c>
      <c r="I3022" s="76">
        <f t="shared" si="1120"/>
        <v>1.06</v>
      </c>
      <c r="J3022" s="76">
        <f t="shared" si="1121"/>
        <v>1.06</v>
      </c>
      <c r="K3022" s="67">
        <f t="shared" si="1122"/>
        <v>0</v>
      </c>
      <c r="L3022" s="67">
        <f t="shared" si="1123"/>
        <v>0</v>
      </c>
      <c r="M3022" s="77">
        <f t="shared" si="1124"/>
        <v>0</v>
      </c>
      <c r="N3022" s="76">
        <f t="shared" si="1125"/>
        <v>1.06</v>
      </c>
      <c r="O3022" s="77">
        <f t="shared" si="1126"/>
        <v>0.90784463894967182</v>
      </c>
      <c r="P3022" s="76">
        <f t="shared" si="1127"/>
        <v>0</v>
      </c>
      <c r="Q3022" s="76">
        <f t="shared" si="1128"/>
        <v>1</v>
      </c>
      <c r="R3022" s="76">
        <f t="shared" si="1129"/>
        <v>0</v>
      </c>
      <c r="S3022" s="76">
        <f t="shared" si="1130"/>
        <v>1.0459949100941872</v>
      </c>
      <c r="T3022" s="76">
        <f t="shared" si="1131"/>
        <v>0.99112834173722764</v>
      </c>
      <c r="U3022" s="76">
        <f t="shared" si="1132"/>
        <v>1.06</v>
      </c>
    </row>
    <row r="3023" spans="1:21" x14ac:dyDescent="0.25">
      <c r="A3023" s="71">
        <v>29</v>
      </c>
      <c r="B3023" s="72">
        <f t="shared" si="1133"/>
        <v>46508</v>
      </c>
      <c r="C3023" s="73">
        <f t="shared" si="1114"/>
        <v>46538</v>
      </c>
      <c r="D3023" s="67">
        <f t="shared" si="1115"/>
        <v>31</v>
      </c>
      <c r="E3023" s="67">
        <f t="shared" si="1116"/>
        <v>5</v>
      </c>
      <c r="F3023" s="74">
        <f t="shared" si="1117"/>
        <v>46523.5</v>
      </c>
      <c r="G3023" s="67">
        <f t="shared" si="1118"/>
        <v>24328</v>
      </c>
      <c r="H3023" s="75">
        <f t="shared" si="1119"/>
        <v>1</v>
      </c>
      <c r="I3023" s="76">
        <f t="shared" si="1120"/>
        <v>1.06</v>
      </c>
      <c r="J3023" s="76">
        <f t="shared" si="1121"/>
        <v>1.06</v>
      </c>
      <c r="K3023" s="67">
        <f t="shared" si="1122"/>
        <v>0</v>
      </c>
      <c r="L3023" s="67">
        <f t="shared" si="1123"/>
        <v>0</v>
      </c>
      <c r="M3023" s="77">
        <f t="shared" si="1124"/>
        <v>0</v>
      </c>
      <c r="N3023" s="76">
        <f t="shared" si="1125"/>
        <v>1.06</v>
      </c>
      <c r="O3023" s="77">
        <f t="shared" si="1126"/>
        <v>0.90751094091903728</v>
      </c>
      <c r="P3023" s="76">
        <f t="shared" si="1127"/>
        <v>0</v>
      </c>
      <c r="Q3023" s="76">
        <f t="shared" si="1128"/>
        <v>1</v>
      </c>
      <c r="R3023" s="76">
        <f t="shared" si="1129"/>
        <v>0</v>
      </c>
      <c r="S3023" s="76">
        <f t="shared" si="1130"/>
        <v>1.045610431928456</v>
      </c>
      <c r="T3023" s="76">
        <f t="shared" si="1131"/>
        <v>0.99076562648653799</v>
      </c>
      <c r="U3023" s="76">
        <f t="shared" si="1132"/>
        <v>1.06</v>
      </c>
    </row>
    <row r="3024" spans="1:21" x14ac:dyDescent="0.25">
      <c r="A3024" s="71">
        <v>30</v>
      </c>
      <c r="B3024" s="72">
        <f t="shared" si="1133"/>
        <v>46539</v>
      </c>
      <c r="C3024" s="73">
        <f t="shared" si="1114"/>
        <v>46568</v>
      </c>
      <c r="D3024" s="67">
        <f t="shared" si="1115"/>
        <v>30</v>
      </c>
      <c r="E3024" s="67">
        <f t="shared" si="1116"/>
        <v>6</v>
      </c>
      <c r="F3024" s="74">
        <f t="shared" si="1117"/>
        <v>46554</v>
      </c>
      <c r="G3024" s="67">
        <f t="shared" si="1118"/>
        <v>24329</v>
      </c>
      <c r="H3024" s="75">
        <f t="shared" si="1119"/>
        <v>1</v>
      </c>
      <c r="I3024" s="76">
        <f t="shared" si="1120"/>
        <v>1.06</v>
      </c>
      <c r="J3024" s="76">
        <f t="shared" si="1121"/>
        <v>1.06</v>
      </c>
      <c r="K3024" s="67">
        <f t="shared" si="1122"/>
        <v>0</v>
      </c>
      <c r="L3024" s="67">
        <f t="shared" si="1123"/>
        <v>0</v>
      </c>
      <c r="M3024" s="77">
        <f t="shared" si="1124"/>
        <v>0</v>
      </c>
      <c r="N3024" s="76">
        <f t="shared" si="1125"/>
        <v>1.06</v>
      </c>
      <c r="O3024" s="77">
        <f t="shared" si="1126"/>
        <v>0.90717724288840262</v>
      </c>
      <c r="P3024" s="76">
        <f t="shared" si="1127"/>
        <v>0</v>
      </c>
      <c r="Q3024" s="76">
        <f t="shared" si="1128"/>
        <v>1</v>
      </c>
      <c r="R3024" s="76">
        <f t="shared" si="1129"/>
        <v>0</v>
      </c>
      <c r="S3024" s="76">
        <f t="shared" si="1130"/>
        <v>1.0452259537627246</v>
      </c>
      <c r="T3024" s="76">
        <f t="shared" si="1131"/>
        <v>0.99040291123584812</v>
      </c>
      <c r="U3024" s="76">
        <f t="shared" si="1132"/>
        <v>1.06</v>
      </c>
    </row>
    <row r="3025" spans="1:21" x14ac:dyDescent="0.25">
      <c r="A3025" s="71">
        <v>31</v>
      </c>
      <c r="B3025" s="72">
        <f t="shared" si="1133"/>
        <v>46569</v>
      </c>
      <c r="C3025" s="73">
        <f t="shared" si="1114"/>
        <v>46599</v>
      </c>
      <c r="D3025" s="67">
        <f t="shared" si="1115"/>
        <v>31</v>
      </c>
      <c r="E3025" s="67">
        <f t="shared" si="1116"/>
        <v>7</v>
      </c>
      <c r="F3025" s="74">
        <f t="shared" si="1117"/>
        <v>46584.5</v>
      </c>
      <c r="G3025" s="67">
        <f t="shared" si="1118"/>
        <v>24330</v>
      </c>
      <c r="H3025" s="75">
        <f t="shared" si="1119"/>
        <v>1</v>
      </c>
      <c r="I3025" s="76">
        <f t="shared" si="1120"/>
        <v>1.06</v>
      </c>
      <c r="J3025" s="76">
        <f t="shared" si="1121"/>
        <v>1.06</v>
      </c>
      <c r="K3025" s="67">
        <f t="shared" si="1122"/>
        <v>0</v>
      </c>
      <c r="L3025" s="67">
        <f t="shared" si="1123"/>
        <v>0</v>
      </c>
      <c r="M3025" s="77">
        <f t="shared" si="1124"/>
        <v>0</v>
      </c>
      <c r="N3025" s="76">
        <f t="shared" si="1125"/>
        <v>1.06</v>
      </c>
      <c r="O3025" s="77">
        <f t="shared" si="1126"/>
        <v>0.90684354485776808</v>
      </c>
      <c r="P3025" s="76">
        <f t="shared" si="1127"/>
        <v>0</v>
      </c>
      <c r="Q3025" s="76">
        <f t="shared" si="1128"/>
        <v>0.91666666666666663</v>
      </c>
      <c r="R3025" s="76">
        <f t="shared" si="1129"/>
        <v>8.333333333333337E-2</v>
      </c>
      <c r="S3025" s="76">
        <f t="shared" si="1130"/>
        <v>1.0448414755969937</v>
      </c>
      <c r="T3025" s="76">
        <f t="shared" si="1131"/>
        <v>1.049442607744268</v>
      </c>
      <c r="U3025" s="76">
        <f t="shared" si="1132"/>
        <v>1.06</v>
      </c>
    </row>
    <row r="3026" spans="1:21" x14ac:dyDescent="0.25">
      <c r="A3026" s="71">
        <v>32</v>
      </c>
      <c r="B3026" s="72">
        <f t="shared" si="1133"/>
        <v>46600</v>
      </c>
      <c r="C3026" s="73">
        <f t="shared" si="1114"/>
        <v>46630</v>
      </c>
      <c r="D3026" s="67">
        <f t="shared" si="1115"/>
        <v>31</v>
      </c>
      <c r="E3026" s="67">
        <f t="shared" si="1116"/>
        <v>8</v>
      </c>
      <c r="F3026" s="74">
        <f t="shared" si="1117"/>
        <v>46615.5</v>
      </c>
      <c r="G3026" s="67">
        <f t="shared" si="1118"/>
        <v>24331</v>
      </c>
      <c r="H3026" s="75">
        <f t="shared" si="1119"/>
        <v>1</v>
      </c>
      <c r="I3026" s="76">
        <f t="shared" si="1120"/>
        <v>1.06</v>
      </c>
      <c r="J3026" s="76">
        <f t="shared" si="1121"/>
        <v>1.06</v>
      </c>
      <c r="K3026" s="67">
        <f t="shared" si="1122"/>
        <v>0</v>
      </c>
      <c r="L3026" s="67">
        <f t="shared" si="1123"/>
        <v>0</v>
      </c>
      <c r="M3026" s="77">
        <f t="shared" si="1124"/>
        <v>0</v>
      </c>
      <c r="N3026" s="76">
        <f t="shared" si="1125"/>
        <v>1.06</v>
      </c>
      <c r="O3026" s="77">
        <f t="shared" si="1126"/>
        <v>0.90650437636761494</v>
      </c>
      <c r="P3026" s="76">
        <f t="shared" si="1127"/>
        <v>0</v>
      </c>
      <c r="Q3026" s="76">
        <f t="shared" si="1128"/>
        <v>0.75</v>
      </c>
      <c r="R3026" s="76">
        <f t="shared" si="1129"/>
        <v>0.25</v>
      </c>
      <c r="S3026" s="76">
        <f t="shared" si="1130"/>
        <v>1.044450694510513</v>
      </c>
      <c r="T3026" s="76">
        <f t="shared" si="1131"/>
        <v>1.0490518266577871</v>
      </c>
      <c r="U3026" s="76">
        <f t="shared" si="1132"/>
        <v>1.06</v>
      </c>
    </row>
    <row r="3027" spans="1:21" x14ac:dyDescent="0.25">
      <c r="A3027" s="71">
        <v>33</v>
      </c>
      <c r="B3027" s="72">
        <f t="shared" si="1133"/>
        <v>46631</v>
      </c>
      <c r="C3027" s="73">
        <f t="shared" si="1114"/>
        <v>46660</v>
      </c>
      <c r="D3027" s="67">
        <f t="shared" si="1115"/>
        <v>30</v>
      </c>
      <c r="E3027" s="67">
        <f t="shared" si="1116"/>
        <v>9</v>
      </c>
      <c r="F3027" s="74">
        <f t="shared" si="1117"/>
        <v>46646</v>
      </c>
      <c r="G3027" s="67">
        <f t="shared" si="1118"/>
        <v>24332</v>
      </c>
      <c r="H3027" s="75">
        <f t="shared" si="1119"/>
        <v>1</v>
      </c>
      <c r="I3027" s="76">
        <f t="shared" si="1120"/>
        <v>1.06</v>
      </c>
      <c r="J3027" s="76">
        <f t="shared" si="1121"/>
        <v>1.06</v>
      </c>
      <c r="K3027" s="67">
        <f t="shared" si="1122"/>
        <v>0</v>
      </c>
      <c r="L3027" s="67">
        <f t="shared" si="1123"/>
        <v>0</v>
      </c>
      <c r="M3027" s="77">
        <f t="shared" si="1124"/>
        <v>0</v>
      </c>
      <c r="N3027" s="76">
        <f t="shared" si="1125"/>
        <v>1.06</v>
      </c>
      <c r="O3027" s="77">
        <f t="shared" si="1126"/>
        <v>0.90617067833698028</v>
      </c>
      <c r="P3027" s="76">
        <f t="shared" si="1127"/>
        <v>0</v>
      </c>
      <c r="Q3027" s="76">
        <f t="shared" si="1128"/>
        <v>0.58333333333333337</v>
      </c>
      <c r="R3027" s="76">
        <f t="shared" si="1129"/>
        <v>0.41666666666666663</v>
      </c>
      <c r="S3027" s="76">
        <f t="shared" si="1130"/>
        <v>1.0440662163447816</v>
      </c>
      <c r="T3027" s="76">
        <f t="shared" si="1131"/>
        <v>1.0486673484920561</v>
      </c>
      <c r="U3027" s="76">
        <f t="shared" si="1132"/>
        <v>1.06</v>
      </c>
    </row>
    <row r="3028" spans="1:21" x14ac:dyDescent="0.25">
      <c r="A3028" s="71">
        <v>34</v>
      </c>
      <c r="B3028" s="72">
        <f t="shared" si="1133"/>
        <v>46661</v>
      </c>
      <c r="C3028" s="73">
        <f t="shared" si="1114"/>
        <v>46691</v>
      </c>
      <c r="D3028" s="67">
        <f t="shared" si="1115"/>
        <v>31</v>
      </c>
      <c r="E3028" s="67">
        <f t="shared" si="1116"/>
        <v>10</v>
      </c>
      <c r="F3028" s="74">
        <f t="shared" si="1117"/>
        <v>46676.5</v>
      </c>
      <c r="G3028" s="67">
        <f t="shared" si="1118"/>
        <v>24333</v>
      </c>
      <c r="H3028" s="75">
        <f t="shared" si="1119"/>
        <v>1</v>
      </c>
      <c r="I3028" s="76">
        <f t="shared" si="1120"/>
        <v>1.06</v>
      </c>
      <c r="J3028" s="76">
        <f t="shared" si="1121"/>
        <v>1.06</v>
      </c>
      <c r="K3028" s="67">
        <f t="shared" si="1122"/>
        <v>0</v>
      </c>
      <c r="L3028" s="67">
        <f t="shared" si="1123"/>
        <v>0</v>
      </c>
      <c r="M3028" s="77">
        <f t="shared" si="1124"/>
        <v>0</v>
      </c>
      <c r="N3028" s="76">
        <f t="shared" si="1125"/>
        <v>1.06</v>
      </c>
      <c r="O3028" s="77">
        <f t="shared" si="1126"/>
        <v>0.90583698030634574</v>
      </c>
      <c r="P3028" s="76">
        <f t="shared" si="1127"/>
        <v>0</v>
      </c>
      <c r="Q3028" s="76">
        <f t="shared" si="1128"/>
        <v>0.41666666666666669</v>
      </c>
      <c r="R3028" s="76">
        <f t="shared" si="1129"/>
        <v>0.58333333333333326</v>
      </c>
      <c r="S3028" s="76">
        <f t="shared" si="1130"/>
        <v>1.0436817381790504</v>
      </c>
      <c r="T3028" s="76">
        <f t="shared" si="1131"/>
        <v>1.0482828703263247</v>
      </c>
      <c r="U3028" s="76">
        <f t="shared" si="1132"/>
        <v>1.06</v>
      </c>
    </row>
    <row r="3029" spans="1:21" x14ac:dyDescent="0.25">
      <c r="A3029" s="71">
        <v>35</v>
      </c>
      <c r="B3029" s="72">
        <f t="shared" si="1133"/>
        <v>46692</v>
      </c>
      <c r="C3029" s="73">
        <f t="shared" si="1114"/>
        <v>46721</v>
      </c>
      <c r="D3029" s="67">
        <f t="shared" si="1115"/>
        <v>30</v>
      </c>
      <c r="E3029" s="67">
        <f t="shared" si="1116"/>
        <v>11</v>
      </c>
      <c r="F3029" s="74">
        <f t="shared" si="1117"/>
        <v>46707</v>
      </c>
      <c r="G3029" s="67">
        <f t="shared" si="1118"/>
        <v>24334</v>
      </c>
      <c r="H3029" s="75">
        <f t="shared" si="1119"/>
        <v>1</v>
      </c>
      <c r="I3029" s="76">
        <f t="shared" si="1120"/>
        <v>1.06</v>
      </c>
      <c r="J3029" s="76">
        <f t="shared" si="1121"/>
        <v>1.06</v>
      </c>
      <c r="K3029" s="67">
        <f t="shared" si="1122"/>
        <v>0</v>
      </c>
      <c r="L3029" s="67">
        <f t="shared" si="1123"/>
        <v>0</v>
      </c>
      <c r="M3029" s="77">
        <f t="shared" si="1124"/>
        <v>0</v>
      </c>
      <c r="N3029" s="76">
        <f t="shared" si="1125"/>
        <v>1.06</v>
      </c>
      <c r="O3029" s="77">
        <f t="shared" si="1126"/>
        <v>0.9055032822757112</v>
      </c>
      <c r="P3029" s="76">
        <f t="shared" si="1127"/>
        <v>0</v>
      </c>
      <c r="Q3029" s="76">
        <f t="shared" si="1128"/>
        <v>0.25</v>
      </c>
      <c r="R3029" s="76">
        <f t="shared" si="1129"/>
        <v>0.75</v>
      </c>
      <c r="S3029" s="76">
        <f t="shared" si="1130"/>
        <v>1.0432972600133195</v>
      </c>
      <c r="T3029" s="76">
        <f t="shared" si="1131"/>
        <v>1.0478983921605938</v>
      </c>
      <c r="U3029" s="76">
        <f t="shared" si="1132"/>
        <v>1.06</v>
      </c>
    </row>
    <row r="3030" spans="1:21" x14ac:dyDescent="0.25">
      <c r="A3030" s="71">
        <v>36</v>
      </c>
      <c r="B3030" s="72">
        <f t="shared" si="1133"/>
        <v>46722</v>
      </c>
      <c r="C3030" s="73">
        <f t="shared" si="1114"/>
        <v>46752</v>
      </c>
      <c r="D3030" s="67">
        <f t="shared" si="1115"/>
        <v>31</v>
      </c>
      <c r="E3030" s="67">
        <f t="shared" si="1116"/>
        <v>12</v>
      </c>
      <c r="F3030" s="74">
        <f t="shared" si="1117"/>
        <v>46737.5</v>
      </c>
      <c r="G3030" s="67">
        <f t="shared" si="1118"/>
        <v>24335</v>
      </c>
      <c r="H3030" s="75">
        <f t="shared" si="1119"/>
        <v>1</v>
      </c>
      <c r="I3030" s="76">
        <f t="shared" si="1120"/>
        <v>1.06</v>
      </c>
      <c r="J3030" s="76">
        <f t="shared" si="1121"/>
        <v>1.06</v>
      </c>
      <c r="K3030" s="67">
        <f t="shared" si="1122"/>
        <v>0</v>
      </c>
      <c r="L3030" s="67">
        <f t="shared" si="1123"/>
        <v>0</v>
      </c>
      <c r="M3030" s="77">
        <f t="shared" si="1124"/>
        <v>0</v>
      </c>
      <c r="N3030" s="76">
        <f t="shared" si="1125"/>
        <v>1.06</v>
      </c>
      <c r="O3030" s="77">
        <f t="shared" si="1126"/>
        <v>0.90516958424507665</v>
      </c>
      <c r="P3030" s="76">
        <f t="shared" si="1127"/>
        <v>0</v>
      </c>
      <c r="Q3030" s="76">
        <f t="shared" si="1128"/>
        <v>8.3333333333333329E-2</v>
      </c>
      <c r="R3030" s="76">
        <f t="shared" si="1129"/>
        <v>0.91666666666666663</v>
      </c>
      <c r="S3030" s="76">
        <f t="shared" si="1130"/>
        <v>1.0429127818475883</v>
      </c>
      <c r="T3030" s="76">
        <f t="shared" si="1131"/>
        <v>1.0475139139948626</v>
      </c>
      <c r="U3030" s="76">
        <f t="shared" si="1132"/>
        <v>1.06</v>
      </c>
    </row>
    <row r="3031" spans="1:21" x14ac:dyDescent="0.25">
      <c r="A3031" s="71">
        <v>37</v>
      </c>
      <c r="B3031" s="72">
        <f t="shared" si="1133"/>
        <v>46753</v>
      </c>
      <c r="C3031" s="73">
        <f t="shared" si="1114"/>
        <v>46783</v>
      </c>
      <c r="D3031" s="67">
        <f t="shared" si="1115"/>
        <v>31</v>
      </c>
      <c r="E3031" s="67">
        <f t="shared" si="1116"/>
        <v>1</v>
      </c>
      <c r="F3031" s="74">
        <f t="shared" si="1117"/>
        <v>46768.5</v>
      </c>
      <c r="G3031" s="67">
        <f t="shared" si="1118"/>
        <v>24336</v>
      </c>
      <c r="H3031" s="75">
        <f t="shared" si="1119"/>
        <v>1</v>
      </c>
      <c r="I3031" s="76">
        <f t="shared" si="1120"/>
        <v>1.06</v>
      </c>
      <c r="J3031" s="76">
        <f t="shared" si="1121"/>
        <v>1.06</v>
      </c>
      <c r="K3031" s="67">
        <f t="shared" si="1122"/>
        <v>0</v>
      </c>
      <c r="L3031" s="67">
        <f t="shared" si="1123"/>
        <v>0</v>
      </c>
      <c r="M3031" s="77">
        <f t="shared" si="1124"/>
        <v>0</v>
      </c>
      <c r="N3031" s="76">
        <f t="shared" si="1125"/>
        <v>1.06</v>
      </c>
      <c r="O3031" s="77">
        <f t="shared" si="1126"/>
        <v>0.90500000000000003</v>
      </c>
      <c r="P3031" s="76">
        <f t="shared" si="1127"/>
        <v>0</v>
      </c>
      <c r="Q3031" s="76">
        <f t="shared" si="1128"/>
        <v>0</v>
      </c>
      <c r="R3031" s="76">
        <f t="shared" si="1129"/>
        <v>1</v>
      </c>
      <c r="S3031" s="76">
        <f t="shared" si="1130"/>
        <v>1.0427173913043479</v>
      </c>
      <c r="T3031" s="76">
        <f t="shared" si="1131"/>
        <v>0.99219270288269434</v>
      </c>
      <c r="U3031" s="76">
        <f t="shared" si="1132"/>
        <v>1.06</v>
      </c>
    </row>
    <row r="3032" spans="1:21" x14ac:dyDescent="0.25">
      <c r="A3032" s="71">
        <v>38</v>
      </c>
      <c r="B3032" s="72">
        <f t="shared" si="1133"/>
        <v>46784</v>
      </c>
      <c r="C3032" s="73">
        <f t="shared" si="1114"/>
        <v>46812</v>
      </c>
      <c r="D3032" s="67">
        <f t="shared" si="1115"/>
        <v>29</v>
      </c>
      <c r="E3032" s="67">
        <f t="shared" si="1116"/>
        <v>2</v>
      </c>
      <c r="F3032" s="74">
        <f t="shared" si="1117"/>
        <v>46798.5</v>
      </c>
      <c r="G3032" s="67">
        <f t="shared" si="1118"/>
        <v>24337</v>
      </c>
      <c r="H3032" s="75">
        <f t="shared" si="1119"/>
        <v>1</v>
      </c>
      <c r="I3032" s="76">
        <f t="shared" si="1120"/>
        <v>1.06</v>
      </c>
      <c r="J3032" s="76">
        <f t="shared" si="1121"/>
        <v>1.06</v>
      </c>
      <c r="K3032" s="67">
        <f t="shared" si="1122"/>
        <v>0</v>
      </c>
      <c r="L3032" s="67">
        <f t="shared" si="1123"/>
        <v>0</v>
      </c>
      <c r="M3032" s="77">
        <f t="shared" si="1124"/>
        <v>0</v>
      </c>
      <c r="N3032" s="76">
        <f t="shared" si="1125"/>
        <v>1.06</v>
      </c>
      <c r="O3032" s="77">
        <f t="shared" si="1126"/>
        <v>0.90500000000000003</v>
      </c>
      <c r="P3032" s="76">
        <f t="shared" si="1127"/>
        <v>0</v>
      </c>
      <c r="Q3032" s="76">
        <f t="shared" si="1128"/>
        <v>0</v>
      </c>
      <c r="R3032" s="76">
        <f t="shared" si="1129"/>
        <v>1</v>
      </c>
      <c r="S3032" s="76">
        <f t="shared" si="1130"/>
        <v>1.0427173913043479</v>
      </c>
      <c r="T3032" s="76">
        <f t="shared" si="1131"/>
        <v>0.99184187993530581</v>
      </c>
      <c r="U3032" s="76">
        <f t="shared" si="1132"/>
        <v>1.06</v>
      </c>
    </row>
    <row r="3033" spans="1:21" x14ac:dyDescent="0.25">
      <c r="A3033" s="71">
        <v>39</v>
      </c>
      <c r="B3033" s="72">
        <f t="shared" si="1133"/>
        <v>46813</v>
      </c>
      <c r="C3033" s="73">
        <f t="shared" si="1114"/>
        <v>46843</v>
      </c>
      <c r="D3033" s="67">
        <f t="shared" si="1115"/>
        <v>31</v>
      </c>
      <c r="E3033" s="67">
        <f t="shared" si="1116"/>
        <v>3</v>
      </c>
      <c r="F3033" s="74">
        <f t="shared" si="1117"/>
        <v>46828.5</v>
      </c>
      <c r="G3033" s="67">
        <f t="shared" si="1118"/>
        <v>24338</v>
      </c>
      <c r="H3033" s="75">
        <f t="shared" si="1119"/>
        <v>1</v>
      </c>
      <c r="I3033" s="76">
        <f t="shared" si="1120"/>
        <v>1.06</v>
      </c>
      <c r="J3033" s="76">
        <f t="shared" si="1121"/>
        <v>1.06</v>
      </c>
      <c r="K3033" s="67">
        <f t="shared" si="1122"/>
        <v>0</v>
      </c>
      <c r="L3033" s="67">
        <f t="shared" si="1123"/>
        <v>0</v>
      </c>
      <c r="M3033" s="77">
        <f t="shared" si="1124"/>
        <v>0</v>
      </c>
      <c r="N3033" s="76">
        <f t="shared" si="1125"/>
        <v>1.06</v>
      </c>
      <c r="O3033" s="77">
        <f t="shared" si="1126"/>
        <v>0.90500000000000003</v>
      </c>
      <c r="P3033" s="76">
        <f t="shared" si="1127"/>
        <v>0</v>
      </c>
      <c r="Q3033" s="76">
        <f t="shared" si="1128"/>
        <v>0</v>
      </c>
      <c r="R3033" s="76">
        <f t="shared" si="1129"/>
        <v>1</v>
      </c>
      <c r="S3033" s="76">
        <f t="shared" si="1130"/>
        <v>1.0427173913043479</v>
      </c>
      <c r="T3033" s="76">
        <f t="shared" si="1131"/>
        <v>0.9914910569879174</v>
      </c>
      <c r="U3033" s="76">
        <f t="shared" si="1132"/>
        <v>1.06</v>
      </c>
    </row>
    <row r="3034" spans="1:21" x14ac:dyDescent="0.25">
      <c r="A3034" s="71">
        <v>40</v>
      </c>
      <c r="B3034" s="72">
        <f t="shared" si="1133"/>
        <v>46844</v>
      </c>
      <c r="C3034" s="73">
        <f t="shared" si="1114"/>
        <v>46873</v>
      </c>
      <c r="D3034" s="67">
        <f t="shared" si="1115"/>
        <v>30</v>
      </c>
      <c r="E3034" s="67">
        <f t="shared" si="1116"/>
        <v>4</v>
      </c>
      <c r="F3034" s="74">
        <f t="shared" si="1117"/>
        <v>46859</v>
      </c>
      <c r="G3034" s="67">
        <f t="shared" si="1118"/>
        <v>24339</v>
      </c>
      <c r="H3034" s="75">
        <f t="shared" si="1119"/>
        <v>1</v>
      </c>
      <c r="I3034" s="76">
        <f t="shared" si="1120"/>
        <v>1.06</v>
      </c>
      <c r="J3034" s="76">
        <f t="shared" si="1121"/>
        <v>1.06</v>
      </c>
      <c r="K3034" s="67">
        <f t="shared" si="1122"/>
        <v>0</v>
      </c>
      <c r="L3034" s="67">
        <f t="shared" si="1123"/>
        <v>0</v>
      </c>
      <c r="M3034" s="77">
        <f t="shared" si="1124"/>
        <v>0</v>
      </c>
      <c r="N3034" s="76">
        <f t="shared" si="1125"/>
        <v>1.06</v>
      </c>
      <c r="O3034" s="77">
        <f t="shared" si="1126"/>
        <v>0.90500000000000003</v>
      </c>
      <c r="P3034" s="76">
        <f t="shared" si="1127"/>
        <v>0</v>
      </c>
      <c r="Q3034" s="76">
        <f t="shared" si="1128"/>
        <v>0</v>
      </c>
      <c r="R3034" s="76">
        <f t="shared" si="1129"/>
        <v>1</v>
      </c>
      <c r="S3034" s="76">
        <f t="shared" si="1130"/>
        <v>1.0427173913043479</v>
      </c>
      <c r="T3034" s="76">
        <f t="shared" si="1131"/>
        <v>0.99112834173722764</v>
      </c>
      <c r="U3034" s="76">
        <f t="shared" si="1132"/>
        <v>1.06</v>
      </c>
    </row>
    <row r="3035" spans="1:21" x14ac:dyDescent="0.25">
      <c r="A3035" s="71">
        <v>41</v>
      </c>
      <c r="B3035" s="72">
        <f t="shared" si="1133"/>
        <v>46874</v>
      </c>
      <c r="C3035" s="73">
        <f t="shared" si="1114"/>
        <v>46904</v>
      </c>
      <c r="D3035" s="67">
        <f t="shared" si="1115"/>
        <v>31</v>
      </c>
      <c r="E3035" s="67">
        <f t="shared" si="1116"/>
        <v>5</v>
      </c>
      <c r="F3035" s="74">
        <f t="shared" si="1117"/>
        <v>46889.5</v>
      </c>
      <c r="G3035" s="67">
        <f t="shared" si="1118"/>
        <v>24340</v>
      </c>
      <c r="H3035" s="75">
        <f t="shared" si="1119"/>
        <v>1</v>
      </c>
      <c r="I3035" s="76">
        <f t="shared" si="1120"/>
        <v>1.06</v>
      </c>
      <c r="J3035" s="76">
        <f t="shared" si="1121"/>
        <v>1.06</v>
      </c>
      <c r="K3035" s="67">
        <f t="shared" si="1122"/>
        <v>0</v>
      </c>
      <c r="L3035" s="67">
        <f t="shared" si="1123"/>
        <v>0</v>
      </c>
      <c r="M3035" s="77">
        <f t="shared" si="1124"/>
        <v>0</v>
      </c>
      <c r="N3035" s="76">
        <f t="shared" si="1125"/>
        <v>1.06</v>
      </c>
      <c r="O3035" s="77">
        <f t="shared" si="1126"/>
        <v>0.90500000000000003</v>
      </c>
      <c r="P3035" s="76">
        <f t="shared" si="1127"/>
        <v>0</v>
      </c>
      <c r="Q3035" s="76">
        <f t="shared" si="1128"/>
        <v>0</v>
      </c>
      <c r="R3035" s="76">
        <f t="shared" si="1129"/>
        <v>1</v>
      </c>
      <c r="S3035" s="76">
        <f t="shared" si="1130"/>
        <v>1.0427173913043479</v>
      </c>
      <c r="T3035" s="76">
        <f t="shared" si="1131"/>
        <v>0.99076562648653799</v>
      </c>
      <c r="U3035" s="76">
        <f t="shared" si="1132"/>
        <v>1.06</v>
      </c>
    </row>
    <row r="3036" spans="1:21" x14ac:dyDescent="0.25">
      <c r="A3036" s="71">
        <v>42</v>
      </c>
      <c r="B3036" s="72">
        <f t="shared" si="1133"/>
        <v>46905</v>
      </c>
      <c r="C3036" s="73">
        <f t="shared" si="1114"/>
        <v>46934</v>
      </c>
      <c r="D3036" s="67">
        <f t="shared" si="1115"/>
        <v>30</v>
      </c>
      <c r="E3036" s="67">
        <f t="shared" si="1116"/>
        <v>6</v>
      </c>
      <c r="F3036" s="74">
        <f t="shared" si="1117"/>
        <v>46920</v>
      </c>
      <c r="G3036" s="67">
        <f t="shared" si="1118"/>
        <v>24341</v>
      </c>
      <c r="H3036" s="75">
        <f t="shared" si="1119"/>
        <v>1</v>
      </c>
      <c r="I3036" s="76">
        <f t="shared" si="1120"/>
        <v>1.06</v>
      </c>
      <c r="J3036" s="76">
        <f t="shared" si="1121"/>
        <v>1.06</v>
      </c>
      <c r="K3036" s="67">
        <f t="shared" si="1122"/>
        <v>0</v>
      </c>
      <c r="L3036" s="67">
        <f t="shared" si="1123"/>
        <v>0</v>
      </c>
      <c r="M3036" s="77">
        <f t="shared" si="1124"/>
        <v>0</v>
      </c>
      <c r="N3036" s="76">
        <f t="shared" si="1125"/>
        <v>1.06</v>
      </c>
      <c r="O3036" s="77">
        <f t="shared" si="1126"/>
        <v>0.90500000000000003</v>
      </c>
      <c r="P3036" s="76">
        <f t="shared" si="1127"/>
        <v>0</v>
      </c>
      <c r="Q3036" s="76">
        <f t="shared" si="1128"/>
        <v>0</v>
      </c>
      <c r="R3036" s="76">
        <f t="shared" si="1129"/>
        <v>1</v>
      </c>
      <c r="S3036" s="76">
        <f t="shared" si="1130"/>
        <v>1.0427173913043479</v>
      </c>
      <c r="T3036" s="76">
        <f t="shared" si="1131"/>
        <v>0.99040291123584812</v>
      </c>
      <c r="U3036" s="76">
        <f t="shared" si="1132"/>
        <v>1.06</v>
      </c>
    </row>
    <row r="3037" spans="1:21" x14ac:dyDescent="0.25">
      <c r="A3037" s="71">
        <v>43</v>
      </c>
      <c r="B3037" s="72">
        <f t="shared" si="1133"/>
        <v>46935</v>
      </c>
      <c r="C3037" s="73">
        <f t="shared" si="1114"/>
        <v>46965</v>
      </c>
      <c r="D3037" s="67">
        <f t="shared" si="1115"/>
        <v>31</v>
      </c>
      <c r="E3037" s="67">
        <f t="shared" si="1116"/>
        <v>7</v>
      </c>
      <c r="F3037" s="74">
        <f t="shared" si="1117"/>
        <v>46950.5</v>
      </c>
      <c r="G3037" s="67">
        <f t="shared" si="1118"/>
        <v>24342</v>
      </c>
      <c r="H3037" s="75">
        <f t="shared" si="1119"/>
        <v>1</v>
      </c>
      <c r="I3037" s="76">
        <f t="shared" si="1120"/>
        <v>1.06</v>
      </c>
      <c r="J3037" s="76">
        <f t="shared" si="1121"/>
        <v>1.06</v>
      </c>
      <c r="K3037" s="67">
        <f t="shared" si="1122"/>
        <v>0</v>
      </c>
      <c r="L3037" s="67">
        <f t="shared" si="1123"/>
        <v>0</v>
      </c>
      <c r="M3037" s="77">
        <f t="shared" si="1124"/>
        <v>0</v>
      </c>
      <c r="N3037" s="76">
        <f t="shared" si="1125"/>
        <v>1.06</v>
      </c>
      <c r="O3037" s="77">
        <f t="shared" si="1126"/>
        <v>0.90500000000000003</v>
      </c>
      <c r="P3037" s="76">
        <f t="shared" si="1127"/>
        <v>0</v>
      </c>
      <c r="Q3037" s="76">
        <f t="shared" si="1128"/>
        <v>0</v>
      </c>
      <c r="R3037" s="76">
        <f t="shared" si="1129"/>
        <v>0.91666666666666663</v>
      </c>
      <c r="S3037" s="76">
        <f t="shared" si="1130"/>
        <v>1.0427173913043479</v>
      </c>
      <c r="T3037" s="76">
        <f t="shared" si="1131"/>
        <v>1.049442607744268</v>
      </c>
      <c r="U3037" s="76">
        <f t="shared" si="1132"/>
        <v>1.06</v>
      </c>
    </row>
    <row r="3038" spans="1:21" x14ac:dyDescent="0.25">
      <c r="A3038" s="71">
        <v>44</v>
      </c>
      <c r="B3038" s="72">
        <f t="shared" si="1133"/>
        <v>46966</v>
      </c>
      <c r="C3038" s="73">
        <f t="shared" si="1114"/>
        <v>46996</v>
      </c>
      <c r="D3038" s="67">
        <f t="shared" si="1115"/>
        <v>31</v>
      </c>
      <c r="E3038" s="67">
        <f t="shared" si="1116"/>
        <v>8</v>
      </c>
      <c r="F3038" s="74">
        <f t="shared" si="1117"/>
        <v>46981.5</v>
      </c>
      <c r="G3038" s="67">
        <f t="shared" si="1118"/>
        <v>24343</v>
      </c>
      <c r="H3038" s="75">
        <f t="shared" si="1119"/>
        <v>1</v>
      </c>
      <c r="I3038" s="76">
        <f t="shared" si="1120"/>
        <v>1.06</v>
      </c>
      <c r="J3038" s="76">
        <f t="shared" si="1121"/>
        <v>1.06</v>
      </c>
      <c r="K3038" s="67">
        <f t="shared" si="1122"/>
        <v>0</v>
      </c>
      <c r="L3038" s="67">
        <f t="shared" si="1123"/>
        <v>0</v>
      </c>
      <c r="M3038" s="77">
        <f t="shared" si="1124"/>
        <v>0</v>
      </c>
      <c r="N3038" s="76">
        <f t="shared" si="1125"/>
        <v>1.06</v>
      </c>
      <c r="O3038" s="77">
        <f t="shared" si="1126"/>
        <v>0.90500000000000003</v>
      </c>
      <c r="P3038" s="76">
        <f t="shared" si="1127"/>
        <v>0</v>
      </c>
      <c r="Q3038" s="76">
        <f t="shared" si="1128"/>
        <v>0</v>
      </c>
      <c r="R3038" s="76">
        <f t="shared" si="1129"/>
        <v>0.75</v>
      </c>
      <c r="S3038" s="76">
        <f t="shared" si="1130"/>
        <v>1.0427173913043479</v>
      </c>
      <c r="T3038" s="76">
        <f t="shared" si="1131"/>
        <v>1.0490518266577871</v>
      </c>
      <c r="U3038" s="76">
        <f t="shared" si="1132"/>
        <v>1.06</v>
      </c>
    </row>
    <row r="3039" spans="1:21" x14ac:dyDescent="0.25">
      <c r="A3039" s="71">
        <v>45</v>
      </c>
      <c r="B3039" s="72">
        <f t="shared" si="1133"/>
        <v>46997</v>
      </c>
      <c r="C3039" s="73">
        <f t="shared" si="1114"/>
        <v>47026</v>
      </c>
      <c r="D3039" s="67">
        <f t="shared" si="1115"/>
        <v>30</v>
      </c>
      <c r="E3039" s="67">
        <f t="shared" si="1116"/>
        <v>9</v>
      </c>
      <c r="F3039" s="74">
        <f t="shared" si="1117"/>
        <v>47012</v>
      </c>
      <c r="G3039" s="67">
        <f t="shared" si="1118"/>
        <v>24344</v>
      </c>
      <c r="H3039" s="75">
        <f t="shared" si="1119"/>
        <v>1</v>
      </c>
      <c r="I3039" s="76">
        <f t="shared" si="1120"/>
        <v>1.06</v>
      </c>
      <c r="J3039" s="76">
        <f t="shared" si="1121"/>
        <v>1.06</v>
      </c>
      <c r="K3039" s="67">
        <f t="shared" si="1122"/>
        <v>0</v>
      </c>
      <c r="L3039" s="67">
        <f t="shared" si="1123"/>
        <v>0</v>
      </c>
      <c r="M3039" s="77">
        <f t="shared" si="1124"/>
        <v>0</v>
      </c>
      <c r="N3039" s="76">
        <f t="shared" si="1125"/>
        <v>1.06</v>
      </c>
      <c r="O3039" s="77">
        <f t="shared" si="1126"/>
        <v>0.90500000000000003</v>
      </c>
      <c r="P3039" s="76">
        <f t="shared" si="1127"/>
        <v>0</v>
      </c>
      <c r="Q3039" s="76">
        <f t="shared" si="1128"/>
        <v>0</v>
      </c>
      <c r="R3039" s="76">
        <f t="shared" si="1129"/>
        <v>0.58333333333333337</v>
      </c>
      <c r="S3039" s="76">
        <f t="shared" si="1130"/>
        <v>1.0427173913043479</v>
      </c>
      <c r="T3039" s="76">
        <f t="shared" si="1131"/>
        <v>1.0486673484920561</v>
      </c>
      <c r="U3039" s="76">
        <f t="shared" si="1132"/>
        <v>1.06</v>
      </c>
    </row>
    <row r="3040" spans="1:21" x14ac:dyDescent="0.25">
      <c r="A3040" s="71">
        <v>46</v>
      </c>
      <c r="B3040" s="72">
        <f t="shared" si="1133"/>
        <v>47027</v>
      </c>
      <c r="C3040" s="73">
        <f t="shared" si="1114"/>
        <v>47057</v>
      </c>
      <c r="D3040" s="67">
        <f t="shared" si="1115"/>
        <v>31</v>
      </c>
      <c r="E3040" s="67">
        <f t="shared" si="1116"/>
        <v>10</v>
      </c>
      <c r="F3040" s="74">
        <f t="shared" si="1117"/>
        <v>47042.5</v>
      </c>
      <c r="G3040" s="67">
        <f t="shared" si="1118"/>
        <v>24345</v>
      </c>
      <c r="H3040" s="75">
        <f t="shared" si="1119"/>
        <v>1</v>
      </c>
      <c r="I3040" s="76">
        <f t="shared" si="1120"/>
        <v>1.06</v>
      </c>
      <c r="J3040" s="76">
        <f t="shared" si="1121"/>
        <v>1.06</v>
      </c>
      <c r="K3040" s="67">
        <f t="shared" si="1122"/>
        <v>0</v>
      </c>
      <c r="L3040" s="67">
        <f t="shared" si="1123"/>
        <v>0</v>
      </c>
      <c r="M3040" s="77">
        <f t="shared" si="1124"/>
        <v>0</v>
      </c>
      <c r="N3040" s="76">
        <f t="shared" si="1125"/>
        <v>1.06</v>
      </c>
      <c r="O3040" s="77">
        <f t="shared" si="1126"/>
        <v>0.90500000000000003</v>
      </c>
      <c r="P3040" s="76">
        <f t="shared" si="1127"/>
        <v>0</v>
      </c>
      <c r="Q3040" s="76">
        <f t="shared" si="1128"/>
        <v>0</v>
      </c>
      <c r="R3040" s="76">
        <f t="shared" si="1129"/>
        <v>0.41666666666666669</v>
      </c>
      <c r="S3040" s="76">
        <f t="shared" si="1130"/>
        <v>1.0427173913043479</v>
      </c>
      <c r="T3040" s="76">
        <f t="shared" si="1131"/>
        <v>1.0482828703263247</v>
      </c>
      <c r="U3040" s="76">
        <f t="shared" si="1132"/>
        <v>1.06</v>
      </c>
    </row>
    <row r="3041" spans="1:21" x14ac:dyDescent="0.25">
      <c r="A3041" s="71">
        <v>47</v>
      </c>
      <c r="B3041" s="72">
        <f t="shared" si="1133"/>
        <v>47058</v>
      </c>
      <c r="C3041" s="73">
        <f t="shared" si="1114"/>
        <v>47087</v>
      </c>
      <c r="D3041" s="67">
        <f t="shared" si="1115"/>
        <v>30</v>
      </c>
      <c r="E3041" s="67">
        <f t="shared" si="1116"/>
        <v>11</v>
      </c>
      <c r="F3041" s="74">
        <f t="shared" si="1117"/>
        <v>47073</v>
      </c>
      <c r="G3041" s="67">
        <f t="shared" si="1118"/>
        <v>24346</v>
      </c>
      <c r="H3041" s="75">
        <f t="shared" si="1119"/>
        <v>1</v>
      </c>
      <c r="I3041" s="76">
        <f t="shared" si="1120"/>
        <v>1.06</v>
      </c>
      <c r="J3041" s="76">
        <f t="shared" si="1121"/>
        <v>1.06</v>
      </c>
      <c r="K3041" s="67">
        <f t="shared" si="1122"/>
        <v>0</v>
      </c>
      <c r="L3041" s="67">
        <f t="shared" si="1123"/>
        <v>0</v>
      </c>
      <c r="M3041" s="77">
        <f t="shared" si="1124"/>
        <v>0</v>
      </c>
      <c r="N3041" s="76">
        <f t="shared" si="1125"/>
        <v>1.06</v>
      </c>
      <c r="O3041" s="77">
        <f t="shared" si="1126"/>
        <v>0.90500000000000003</v>
      </c>
      <c r="P3041" s="76">
        <f t="shared" si="1127"/>
        <v>0</v>
      </c>
      <c r="Q3041" s="76">
        <f t="shared" si="1128"/>
        <v>0</v>
      </c>
      <c r="R3041" s="76">
        <f t="shared" si="1129"/>
        <v>0.25</v>
      </c>
      <c r="S3041" s="76">
        <f t="shared" si="1130"/>
        <v>1.0427173913043479</v>
      </c>
      <c r="T3041" s="76">
        <f t="shared" si="1131"/>
        <v>1.0478983921605938</v>
      </c>
      <c r="U3041" s="76">
        <f t="shared" si="1132"/>
        <v>1.06</v>
      </c>
    </row>
    <row r="3042" spans="1:21" x14ac:dyDescent="0.25">
      <c r="A3042" s="71">
        <v>48</v>
      </c>
      <c r="B3042" s="72">
        <f t="shared" si="1133"/>
        <v>47088</v>
      </c>
      <c r="C3042" s="73">
        <f t="shared" si="1114"/>
        <v>47118</v>
      </c>
      <c r="D3042" s="67">
        <f t="shared" si="1115"/>
        <v>31</v>
      </c>
      <c r="E3042" s="67">
        <f t="shared" si="1116"/>
        <v>12</v>
      </c>
      <c r="F3042" s="74">
        <f t="shared" si="1117"/>
        <v>47103.5</v>
      </c>
      <c r="G3042" s="67">
        <f t="shared" si="1118"/>
        <v>24347</v>
      </c>
      <c r="H3042" s="75">
        <f t="shared" si="1119"/>
        <v>1</v>
      </c>
      <c r="I3042" s="76">
        <f t="shared" si="1120"/>
        <v>1.06</v>
      </c>
      <c r="J3042" s="76">
        <f t="shared" si="1121"/>
        <v>1.06</v>
      </c>
      <c r="K3042" s="67">
        <f t="shared" si="1122"/>
        <v>0</v>
      </c>
      <c r="L3042" s="67">
        <f t="shared" si="1123"/>
        <v>0</v>
      </c>
      <c r="M3042" s="77">
        <f t="shared" si="1124"/>
        <v>0</v>
      </c>
      <c r="N3042" s="76">
        <f t="shared" si="1125"/>
        <v>1.06</v>
      </c>
      <c r="O3042" s="77">
        <f t="shared" si="1126"/>
        <v>0.90500000000000003</v>
      </c>
      <c r="P3042" s="76">
        <f t="shared" si="1127"/>
        <v>0</v>
      </c>
      <c r="Q3042" s="76">
        <f t="shared" si="1128"/>
        <v>0</v>
      </c>
      <c r="R3042" s="76">
        <f t="shared" si="1129"/>
        <v>8.3333333333333329E-2</v>
      </c>
      <c r="S3042" s="76">
        <f t="shared" si="1130"/>
        <v>1.0427173913043479</v>
      </c>
      <c r="T3042" s="76">
        <f t="shared" si="1131"/>
        <v>1.0475139139948626</v>
      </c>
      <c r="U3042" s="76">
        <f t="shared" si="1132"/>
        <v>1.06</v>
      </c>
    </row>
    <row r="3043" spans="1:21" x14ac:dyDescent="0.25">
      <c r="A3043" s="81" t="s">
        <v>1187</v>
      </c>
      <c r="B3043" s="53">
        <f>EXP(SUMPRODUCT((rl_key=$A$2992)*(rl_cons="Y")*rl_ln1p))</f>
        <v>1.06</v>
      </c>
      <c r="C3043" s="53">
        <f>SUMPRODUCT($H$2995:$H$3042,$P$2995:$P$3042,$U$2995:$U$3042)/SUMPRODUCT($H$2995:$H$3042,$P$2995:$P$3042)</f>
        <v>1.0150000000000001</v>
      </c>
      <c r="D3043" s="53">
        <f>SUMPRODUCT($H$2995:$H$3042,$Q$2995:$Q$3042,$U$2995:$U$3042)/SUMPRODUCT($H$2995:$H$3042,$Q$2995:$Q$3042)</f>
        <v>1.0600000000000003</v>
      </c>
      <c r="E3043" s="53">
        <f>SUMPRODUCT($H$2995:$H$3042,$R$2995:$R$3042,$U$2995:$U$3042)/SUMPRODUCT($H$2995:$H$3042,$R$2995:$R$3042)</f>
        <v>1.0600000000000003</v>
      </c>
      <c r="F3043" s="172">
        <f>SUMPRODUCT($H$2995:$H$3042,$Q$2995:$Q$3042,$O$2995:$O$3042)/SUMPRODUCT($H$2995:$H$3042,$Q$2995:$Q$3042)</f>
        <v>0.9080037381473377</v>
      </c>
      <c r="G3043" s="172">
        <f>SUMPRODUCT($H$2995:$H$3042,$R$2995:$R$3042,$O$2995:$O$3042)/SUMPRODUCT($H$2995:$H$3042,$R$2995:$R$3042)</f>
        <v>0.90516988815949428</v>
      </c>
    </row>
    <row r="3046" spans="1:21" x14ac:dyDescent="0.25">
      <c r="A3046" s="81" t="str">
        <f>INDEX(lr_key,56)</f>
        <v>BU-C|MO</v>
      </c>
      <c r="B3046" s="81" t="str">
        <f>INDEX(lr_state,56)</f>
        <v>MO</v>
      </c>
      <c r="C3046" s="55">
        <f>nr_TermMonths</f>
        <v>6</v>
      </c>
      <c r="D3046" s="55">
        <f>IF(COUNTIF(se_state,$B3046)=0,0,MATCH($B3046,se_state,0))</f>
        <v>0</v>
      </c>
      <c r="E3046" s="57">
        <f>IF($D3046=0,0,INDEX(se_sum,$D3046))</f>
        <v>0</v>
      </c>
      <c r="F3046" s="172">
        <f>IF(N(INDEX(lr_mind,56))=0,1,INDEX(lr_mind,56))</f>
        <v>0.92</v>
      </c>
      <c r="G3046" s="172">
        <f>IF(N(INDEX(lr_m0,56))=0,1,INDEX(lr_m0,56))</f>
        <v>0.91</v>
      </c>
      <c r="H3046" s="54">
        <f>IF(N(INDEX(lr_m0asof,56))=0,DATE(nr_PlanYear-1,10,1),INDEX(lr_m0asof,56))</f>
        <v>46295</v>
      </c>
      <c r="I3046" s="172">
        <f>IF(N(INDEX(lr_m1,56))=0,1,INDEX(lr_m1,56))</f>
        <v>0.92</v>
      </c>
      <c r="J3046" s="172">
        <f>INDEX(lr_mprior,56)</f>
        <v>0</v>
      </c>
      <c r="K3046" s="172">
        <f>INDEX(lr_m2,56)</f>
        <v>0</v>
      </c>
      <c r="L3046" s="81" t="b">
        <f>NOT(ISBLANK(INDEX(lr_netp,56)))</f>
        <v>0</v>
      </c>
      <c r="M3046" s="52">
        <f>N(INDEX(lr_netp,56))</f>
        <v>0</v>
      </c>
      <c r="N3046" s="52">
        <f>IF(ISBLANK(INDEX(lr_netp1,56)),$M$3046,N(INDEX(lr_netp1,56)))</f>
        <v>0</v>
      </c>
      <c r="O3046" s="55">
        <f>IF(AND(nr_ModAdjMaster="ON",INDEX(lr_modadj,56)="ON"),1,0)</f>
        <v>1</v>
      </c>
    </row>
    <row r="3047" spans="1:21" x14ac:dyDescent="0.25">
      <c r="A3047" s="81">
        <f>EDATE($H$3046,-12)+1</f>
        <v>45931</v>
      </c>
      <c r="B3047" s="81">
        <f>$H$3046+1</f>
        <v>46296</v>
      </c>
      <c r="C3047" s="81">
        <f>DATE(nr_PlanYear,12,31)+1</f>
        <v>46753</v>
      </c>
      <c r="D3047" s="81">
        <f>DATE(nr_PlanYear+1,12,31)+1</f>
        <v>47119</v>
      </c>
      <c r="E3047" s="81">
        <f>IF(N($J$3046)=0,$F$3047-($G$3047-$F$3047)/($C$3047-$B$3047)*($B$3047-$A$3047),$J$3046)</f>
        <v>0.9020131291028447</v>
      </c>
      <c r="F3047" s="81">
        <f>$G$3046</f>
        <v>0.91</v>
      </c>
      <c r="G3047" s="81">
        <f>$I$3046</f>
        <v>0.92</v>
      </c>
      <c r="H3047" s="81">
        <f>IF(N($K$3046)=0,$I$3046,$K$3046)</f>
        <v>0.92</v>
      </c>
      <c r="I3047" s="81">
        <f>($F$3047-$E$3047)/($B$3047-$A$3047)</f>
        <v>2.1881838074398162E-5</v>
      </c>
      <c r="J3047" s="81">
        <f>($G$3047-$F$3047)/($C$3047-$B$3047)</f>
        <v>2.188183807439827E-5</v>
      </c>
      <c r="K3047" s="81">
        <f>($H$3047-$G$3047)/($D$3047-$C$3047)</f>
        <v>0</v>
      </c>
    </row>
    <row r="3048" spans="1:21" ht="36" x14ac:dyDescent="0.25">
      <c r="A3048" s="50" t="s">
        <v>211</v>
      </c>
      <c r="B3048" s="50" t="s">
        <v>212</v>
      </c>
      <c r="C3048" s="50" t="s">
        <v>213</v>
      </c>
      <c r="D3048" s="50" t="s">
        <v>214</v>
      </c>
      <c r="E3048" s="50" t="s">
        <v>215</v>
      </c>
      <c r="F3048" s="50" t="s">
        <v>216</v>
      </c>
      <c r="G3048" s="50" t="s">
        <v>217</v>
      </c>
      <c r="H3048" s="50" t="s">
        <v>218</v>
      </c>
      <c r="I3048" s="50" t="s">
        <v>219</v>
      </c>
      <c r="J3048" s="50" t="s">
        <v>220</v>
      </c>
      <c r="K3048" s="50" t="s">
        <v>221</v>
      </c>
      <c r="L3048" s="50" t="s">
        <v>222</v>
      </c>
      <c r="M3048" s="50" t="s">
        <v>223</v>
      </c>
      <c r="N3048" s="50" t="s">
        <v>224</v>
      </c>
      <c r="O3048" s="50" t="s">
        <v>225</v>
      </c>
      <c r="P3048" s="50" t="s">
        <v>226</v>
      </c>
      <c r="Q3048" s="50" t="s">
        <v>227</v>
      </c>
      <c r="R3048" s="50" t="s">
        <v>228</v>
      </c>
      <c r="S3048" s="50" t="s">
        <v>229</v>
      </c>
      <c r="T3048" s="50" t="s">
        <v>230</v>
      </c>
      <c r="U3048" s="50" t="s">
        <v>231</v>
      </c>
    </row>
    <row r="3049" spans="1:21" x14ac:dyDescent="0.25">
      <c r="A3049" s="71">
        <v>1</v>
      </c>
      <c r="B3049" s="72">
        <f>DATE(nr_PlanYear-2,1,1)</f>
        <v>45658</v>
      </c>
      <c r="C3049" s="73">
        <f t="shared" ref="C3049:C3096" si="1134">EOMONTH($B3049,0)</f>
        <v>45688</v>
      </c>
      <c r="D3049" s="67">
        <f t="shared" ref="D3049:D3096" si="1135">$C3049-$B3049+1</f>
        <v>31</v>
      </c>
      <c r="E3049" s="67">
        <f t="shared" ref="E3049:E3096" si="1136">MONTH($B3049)</f>
        <v>1</v>
      </c>
      <c r="F3049" s="74">
        <f t="shared" ref="F3049:F3096" si="1137">($B3049+$C3049+1)/2</f>
        <v>45673.5</v>
      </c>
      <c r="G3049" s="67">
        <f t="shared" ref="G3049:G3096" si="1138">YEAR($B3049)*12+MONTH($B3049)-1</f>
        <v>24300</v>
      </c>
      <c r="H3049" s="75">
        <f t="shared" ref="H3049:H3096" si="1139">IF(OR(nr_SeasonOn="OFF",$D$3046=0,$E$3046=0),1,12*INDEX(se_block,$D$3046,$E3049)/$E$3046)</f>
        <v>1</v>
      </c>
      <c r="I3049" s="76">
        <f t="shared" ref="I3049:I3096" si="1140">EXP(SUMPRODUCT((rl_eff&lt;$B3049)*(rl_key=$A$3046)*rl_ln1p))</f>
        <v>1</v>
      </c>
      <c r="J3049" s="76">
        <f t="shared" ref="J3049:J3096" si="1141">EXP(SUMPRODUCT((rl_eff&lt;=$C3049)*(rl_key=$A$3046)*rl_ln1p))</f>
        <v>1</v>
      </c>
      <c r="K3049" s="67">
        <f t="shared" ref="K3049:K3096" si="1142">COUNTIFS(rl_key,$A$3046,rl_eff,"&gt;="&amp;$B3049,rl_eff,"&lt;="&amp;$C3049)</f>
        <v>0</v>
      </c>
      <c r="L3049" s="67">
        <f t="shared" ref="L3049:L3096" si="1143">SUMIFS(rl_daysafter,rl_key,$A$3046,rl_effmonth,$B3049,rl_first,1)</f>
        <v>0</v>
      </c>
      <c r="M3049" s="77">
        <f t="shared" ref="M3049:M3096" si="1144">IF($K3049=0,0,MIN(1,$L3049/$D3049))</f>
        <v>0</v>
      </c>
      <c r="N3049" s="76">
        <f t="shared" ref="N3049:N3096" si="1145">IF($K3049=0,$J3049,(1-$M3049)*$I3049+$M3049*$J3049)</f>
        <v>1</v>
      </c>
      <c r="O3049" s="77">
        <f t="shared" ref="O3049:O3096" si="1146">IF($F3049&lt;$B$3047,$E$3047+$I$3047*($F3049-$A$3047),IF($F3049&lt;$C$3047,$F$3047+$J$3047*($F3049-$B$3047),$G$3047+$K$3047*($F3049-$C$3047)))</f>
        <v>0.89637855579868719</v>
      </c>
      <c r="P3049" s="76">
        <f t="shared" ref="P3049:P3096" si="1147">MIN(1,MAX(0,(nr_MEndPm1-$G3049+0.5)/$C$3046))-MIN(1,MAX(0,(nr_MStartPm1-1-$G3049+0.5)/$C$3046))</f>
        <v>0</v>
      </c>
      <c r="Q3049" s="76">
        <f t="shared" ref="Q3049:Q3096" si="1148">MIN(1,MAX(0,(nr_MEndP-$G3049+0.5)/$C$3046))-MIN(1,MAX(0,(nr_MStartP-1-$G3049+0.5)/$C$3046))</f>
        <v>0</v>
      </c>
      <c r="R3049" s="76">
        <f t="shared" ref="R3049:R3096" si="1149">MIN(1,MAX(0,(nr_MEndP1-$G3049+0.5)/$C$3046))-MIN(1,MAX(0,(nr_MStartP1-1-$G3049+0.5)/$C$3046))</f>
        <v>0</v>
      </c>
      <c r="S3049" s="76">
        <f t="shared" ref="S3049:S3096" si="1150">$N3049*IF($O$3046=1,$O3049/$F$3046,1)</f>
        <v>0.97432451717248603</v>
      </c>
      <c r="T3049" s="76">
        <f t="shared" ref="T3049:T3096" si="1151">IF($G3049&lt;nr_MStartP,$S3049,$T3037*(1+IF($G3049&lt;nr_MStartP1,$M$3046,$N$3046)))</f>
        <v>0.97432451717248603</v>
      </c>
      <c r="U3049" s="76">
        <f t="shared" ref="U3049:U3096" si="1152">IF($L$3046,$T3049,$N3049)</f>
        <v>1</v>
      </c>
    </row>
    <row r="3050" spans="1:21" x14ac:dyDescent="0.25">
      <c r="A3050" s="71">
        <v>2</v>
      </c>
      <c r="B3050" s="72">
        <f t="shared" ref="B3050:B3096" si="1153">EDATE($B3049,1)</f>
        <v>45689</v>
      </c>
      <c r="C3050" s="73">
        <f t="shared" si="1134"/>
        <v>45716</v>
      </c>
      <c r="D3050" s="67">
        <f t="shared" si="1135"/>
        <v>28</v>
      </c>
      <c r="E3050" s="67">
        <f t="shared" si="1136"/>
        <v>2</v>
      </c>
      <c r="F3050" s="74">
        <f t="shared" si="1137"/>
        <v>45703</v>
      </c>
      <c r="G3050" s="67">
        <f t="shared" si="1138"/>
        <v>24301</v>
      </c>
      <c r="H3050" s="75">
        <f t="shared" si="1139"/>
        <v>1</v>
      </c>
      <c r="I3050" s="76">
        <f t="shared" si="1140"/>
        <v>1</v>
      </c>
      <c r="J3050" s="76">
        <f t="shared" si="1141"/>
        <v>1</v>
      </c>
      <c r="K3050" s="67">
        <f t="shared" si="1142"/>
        <v>0</v>
      </c>
      <c r="L3050" s="67">
        <f t="shared" si="1143"/>
        <v>0</v>
      </c>
      <c r="M3050" s="77">
        <f t="shared" si="1144"/>
        <v>0</v>
      </c>
      <c r="N3050" s="76">
        <f t="shared" si="1145"/>
        <v>1</v>
      </c>
      <c r="O3050" s="77">
        <f t="shared" si="1146"/>
        <v>0.89702407002188189</v>
      </c>
      <c r="P3050" s="76">
        <f t="shared" si="1147"/>
        <v>0</v>
      </c>
      <c r="Q3050" s="76">
        <f t="shared" si="1148"/>
        <v>0</v>
      </c>
      <c r="R3050" s="76">
        <f t="shared" si="1149"/>
        <v>0</v>
      </c>
      <c r="S3050" s="76">
        <f t="shared" si="1150"/>
        <v>0.97502616306726286</v>
      </c>
      <c r="T3050" s="76">
        <f t="shared" si="1151"/>
        <v>0.97502616306726286</v>
      </c>
      <c r="U3050" s="76">
        <f t="shared" si="1152"/>
        <v>1</v>
      </c>
    </row>
    <row r="3051" spans="1:21" x14ac:dyDescent="0.25">
      <c r="A3051" s="71">
        <v>3</v>
      </c>
      <c r="B3051" s="72">
        <f t="shared" si="1153"/>
        <v>45717</v>
      </c>
      <c r="C3051" s="73">
        <f t="shared" si="1134"/>
        <v>45747</v>
      </c>
      <c r="D3051" s="67">
        <f t="shared" si="1135"/>
        <v>31</v>
      </c>
      <c r="E3051" s="67">
        <f t="shared" si="1136"/>
        <v>3</v>
      </c>
      <c r="F3051" s="74">
        <f t="shared" si="1137"/>
        <v>45732.5</v>
      </c>
      <c r="G3051" s="67">
        <f t="shared" si="1138"/>
        <v>24302</v>
      </c>
      <c r="H3051" s="75">
        <f t="shared" si="1139"/>
        <v>1</v>
      </c>
      <c r="I3051" s="76">
        <f t="shared" si="1140"/>
        <v>1</v>
      </c>
      <c r="J3051" s="76">
        <f t="shared" si="1141"/>
        <v>1</v>
      </c>
      <c r="K3051" s="67">
        <f t="shared" si="1142"/>
        <v>0</v>
      </c>
      <c r="L3051" s="67">
        <f t="shared" si="1143"/>
        <v>0</v>
      </c>
      <c r="M3051" s="77">
        <f t="shared" si="1144"/>
        <v>0</v>
      </c>
      <c r="N3051" s="76">
        <f t="shared" si="1145"/>
        <v>1</v>
      </c>
      <c r="O3051" s="77">
        <f t="shared" si="1146"/>
        <v>0.8976695842450767</v>
      </c>
      <c r="P3051" s="76">
        <f t="shared" si="1147"/>
        <v>0</v>
      </c>
      <c r="Q3051" s="76">
        <f t="shared" si="1148"/>
        <v>0</v>
      </c>
      <c r="R3051" s="76">
        <f t="shared" si="1149"/>
        <v>0</v>
      </c>
      <c r="S3051" s="76">
        <f t="shared" si="1150"/>
        <v>0.97572780896203981</v>
      </c>
      <c r="T3051" s="76">
        <f t="shared" si="1151"/>
        <v>0.97572780896203981</v>
      </c>
      <c r="U3051" s="76">
        <f t="shared" si="1152"/>
        <v>1</v>
      </c>
    </row>
    <row r="3052" spans="1:21" x14ac:dyDescent="0.25">
      <c r="A3052" s="71">
        <v>4</v>
      </c>
      <c r="B3052" s="72">
        <f t="shared" si="1153"/>
        <v>45748</v>
      </c>
      <c r="C3052" s="73">
        <f t="shared" si="1134"/>
        <v>45777</v>
      </c>
      <c r="D3052" s="67">
        <f t="shared" si="1135"/>
        <v>30</v>
      </c>
      <c r="E3052" s="67">
        <f t="shared" si="1136"/>
        <v>4</v>
      </c>
      <c r="F3052" s="74">
        <f t="shared" si="1137"/>
        <v>45763</v>
      </c>
      <c r="G3052" s="67">
        <f t="shared" si="1138"/>
        <v>24303</v>
      </c>
      <c r="H3052" s="75">
        <f t="shared" si="1139"/>
        <v>1</v>
      </c>
      <c r="I3052" s="76">
        <f t="shared" si="1140"/>
        <v>1</v>
      </c>
      <c r="J3052" s="76">
        <f t="shared" si="1141"/>
        <v>1</v>
      </c>
      <c r="K3052" s="67">
        <f t="shared" si="1142"/>
        <v>0</v>
      </c>
      <c r="L3052" s="67">
        <f t="shared" si="1143"/>
        <v>0</v>
      </c>
      <c r="M3052" s="77">
        <f t="shared" si="1144"/>
        <v>0</v>
      </c>
      <c r="N3052" s="76">
        <f t="shared" si="1145"/>
        <v>1</v>
      </c>
      <c r="O3052" s="77">
        <f t="shared" si="1146"/>
        <v>0.89833698030634579</v>
      </c>
      <c r="P3052" s="76">
        <f t="shared" si="1147"/>
        <v>0</v>
      </c>
      <c r="Q3052" s="76">
        <f t="shared" si="1148"/>
        <v>0</v>
      </c>
      <c r="R3052" s="76">
        <f t="shared" si="1149"/>
        <v>0</v>
      </c>
      <c r="S3052" s="76">
        <f t="shared" si="1150"/>
        <v>0.97645323946341933</v>
      </c>
      <c r="T3052" s="76">
        <f t="shared" si="1151"/>
        <v>0.97645323946341933</v>
      </c>
      <c r="U3052" s="76">
        <f t="shared" si="1152"/>
        <v>1</v>
      </c>
    </row>
    <row r="3053" spans="1:21" x14ac:dyDescent="0.25">
      <c r="A3053" s="71">
        <v>5</v>
      </c>
      <c r="B3053" s="72">
        <f t="shared" si="1153"/>
        <v>45778</v>
      </c>
      <c r="C3053" s="73">
        <f t="shared" si="1134"/>
        <v>45808</v>
      </c>
      <c r="D3053" s="67">
        <f t="shared" si="1135"/>
        <v>31</v>
      </c>
      <c r="E3053" s="67">
        <f t="shared" si="1136"/>
        <v>5</v>
      </c>
      <c r="F3053" s="74">
        <f t="shared" si="1137"/>
        <v>45793.5</v>
      </c>
      <c r="G3053" s="67">
        <f t="shared" si="1138"/>
        <v>24304</v>
      </c>
      <c r="H3053" s="75">
        <f t="shared" si="1139"/>
        <v>1</v>
      </c>
      <c r="I3053" s="76">
        <f t="shared" si="1140"/>
        <v>1</v>
      </c>
      <c r="J3053" s="76">
        <f t="shared" si="1141"/>
        <v>1</v>
      </c>
      <c r="K3053" s="67">
        <f t="shared" si="1142"/>
        <v>0</v>
      </c>
      <c r="L3053" s="67">
        <f t="shared" si="1143"/>
        <v>0</v>
      </c>
      <c r="M3053" s="77">
        <f t="shared" si="1144"/>
        <v>0</v>
      </c>
      <c r="N3053" s="76">
        <f t="shared" si="1145"/>
        <v>1</v>
      </c>
      <c r="O3053" s="77">
        <f t="shared" si="1146"/>
        <v>0.89900437636761499</v>
      </c>
      <c r="P3053" s="76">
        <f t="shared" si="1147"/>
        <v>0</v>
      </c>
      <c r="Q3053" s="76">
        <f t="shared" si="1148"/>
        <v>0</v>
      </c>
      <c r="R3053" s="76">
        <f t="shared" si="1149"/>
        <v>0</v>
      </c>
      <c r="S3053" s="76">
        <f t="shared" si="1150"/>
        <v>0.97717866996479885</v>
      </c>
      <c r="T3053" s="76">
        <f t="shared" si="1151"/>
        <v>0.97717866996479885</v>
      </c>
      <c r="U3053" s="76">
        <f t="shared" si="1152"/>
        <v>1</v>
      </c>
    </row>
    <row r="3054" spans="1:21" x14ac:dyDescent="0.25">
      <c r="A3054" s="71">
        <v>6</v>
      </c>
      <c r="B3054" s="72">
        <f t="shared" si="1153"/>
        <v>45809</v>
      </c>
      <c r="C3054" s="73">
        <f t="shared" si="1134"/>
        <v>45838</v>
      </c>
      <c r="D3054" s="67">
        <f t="shared" si="1135"/>
        <v>30</v>
      </c>
      <c r="E3054" s="67">
        <f t="shared" si="1136"/>
        <v>6</v>
      </c>
      <c r="F3054" s="74">
        <f t="shared" si="1137"/>
        <v>45824</v>
      </c>
      <c r="G3054" s="67">
        <f t="shared" si="1138"/>
        <v>24305</v>
      </c>
      <c r="H3054" s="75">
        <f t="shared" si="1139"/>
        <v>1</v>
      </c>
      <c r="I3054" s="76">
        <f t="shared" si="1140"/>
        <v>1</v>
      </c>
      <c r="J3054" s="76">
        <f t="shared" si="1141"/>
        <v>1</v>
      </c>
      <c r="K3054" s="67">
        <f t="shared" si="1142"/>
        <v>0</v>
      </c>
      <c r="L3054" s="67">
        <f t="shared" si="1143"/>
        <v>0</v>
      </c>
      <c r="M3054" s="77">
        <f t="shared" si="1144"/>
        <v>0</v>
      </c>
      <c r="N3054" s="76">
        <f t="shared" si="1145"/>
        <v>1</v>
      </c>
      <c r="O3054" s="77">
        <f t="shared" si="1146"/>
        <v>0.89967177242888408</v>
      </c>
      <c r="P3054" s="76">
        <f t="shared" si="1147"/>
        <v>0</v>
      </c>
      <c r="Q3054" s="76">
        <f t="shared" si="1148"/>
        <v>0</v>
      </c>
      <c r="R3054" s="76">
        <f t="shared" si="1149"/>
        <v>0</v>
      </c>
      <c r="S3054" s="76">
        <f t="shared" si="1150"/>
        <v>0.97790410046617826</v>
      </c>
      <c r="T3054" s="76">
        <f t="shared" si="1151"/>
        <v>0.97790410046617826</v>
      </c>
      <c r="U3054" s="76">
        <f t="shared" si="1152"/>
        <v>1</v>
      </c>
    </row>
    <row r="3055" spans="1:21" x14ac:dyDescent="0.25">
      <c r="A3055" s="71">
        <v>7</v>
      </c>
      <c r="B3055" s="72">
        <f t="shared" si="1153"/>
        <v>45839</v>
      </c>
      <c r="C3055" s="73">
        <f t="shared" si="1134"/>
        <v>45869</v>
      </c>
      <c r="D3055" s="67">
        <f t="shared" si="1135"/>
        <v>31</v>
      </c>
      <c r="E3055" s="67">
        <f t="shared" si="1136"/>
        <v>7</v>
      </c>
      <c r="F3055" s="74">
        <f t="shared" si="1137"/>
        <v>45854.5</v>
      </c>
      <c r="G3055" s="67">
        <f t="shared" si="1138"/>
        <v>24306</v>
      </c>
      <c r="H3055" s="75">
        <f t="shared" si="1139"/>
        <v>1</v>
      </c>
      <c r="I3055" s="76">
        <f t="shared" si="1140"/>
        <v>1</v>
      </c>
      <c r="J3055" s="76">
        <f t="shared" si="1141"/>
        <v>1</v>
      </c>
      <c r="K3055" s="67">
        <f t="shared" si="1142"/>
        <v>0</v>
      </c>
      <c r="L3055" s="67">
        <f t="shared" si="1143"/>
        <v>0</v>
      </c>
      <c r="M3055" s="77">
        <f t="shared" si="1144"/>
        <v>0</v>
      </c>
      <c r="N3055" s="76">
        <f t="shared" si="1145"/>
        <v>1</v>
      </c>
      <c r="O3055" s="77">
        <f t="shared" si="1146"/>
        <v>0.90033916849015327</v>
      </c>
      <c r="P3055" s="76">
        <f t="shared" si="1147"/>
        <v>8.333333333333337E-2</v>
      </c>
      <c r="Q3055" s="76">
        <f t="shared" si="1148"/>
        <v>0</v>
      </c>
      <c r="R3055" s="76">
        <f t="shared" si="1149"/>
        <v>0</v>
      </c>
      <c r="S3055" s="76">
        <f t="shared" si="1150"/>
        <v>0.97862953096755789</v>
      </c>
      <c r="T3055" s="76">
        <f t="shared" si="1151"/>
        <v>0.97862953096755789</v>
      </c>
      <c r="U3055" s="76">
        <f t="shared" si="1152"/>
        <v>1</v>
      </c>
    </row>
    <row r="3056" spans="1:21" x14ac:dyDescent="0.25">
      <c r="A3056" s="71">
        <v>8</v>
      </c>
      <c r="B3056" s="72">
        <f t="shared" si="1153"/>
        <v>45870</v>
      </c>
      <c r="C3056" s="73">
        <f t="shared" si="1134"/>
        <v>45900</v>
      </c>
      <c r="D3056" s="67">
        <f t="shared" si="1135"/>
        <v>31</v>
      </c>
      <c r="E3056" s="67">
        <f t="shared" si="1136"/>
        <v>8</v>
      </c>
      <c r="F3056" s="74">
        <f t="shared" si="1137"/>
        <v>45885.5</v>
      </c>
      <c r="G3056" s="67">
        <f t="shared" si="1138"/>
        <v>24307</v>
      </c>
      <c r="H3056" s="75">
        <f t="shared" si="1139"/>
        <v>1</v>
      </c>
      <c r="I3056" s="76">
        <f t="shared" si="1140"/>
        <v>1</v>
      </c>
      <c r="J3056" s="76">
        <f t="shared" si="1141"/>
        <v>1</v>
      </c>
      <c r="K3056" s="67">
        <f t="shared" si="1142"/>
        <v>0</v>
      </c>
      <c r="L3056" s="67">
        <f t="shared" si="1143"/>
        <v>0</v>
      </c>
      <c r="M3056" s="77">
        <f t="shared" si="1144"/>
        <v>0</v>
      </c>
      <c r="N3056" s="76">
        <f t="shared" si="1145"/>
        <v>1</v>
      </c>
      <c r="O3056" s="77">
        <f t="shared" si="1146"/>
        <v>0.90101750547045956</v>
      </c>
      <c r="P3056" s="76">
        <f t="shared" si="1147"/>
        <v>0.25</v>
      </c>
      <c r="Q3056" s="76">
        <f t="shared" si="1148"/>
        <v>0</v>
      </c>
      <c r="R3056" s="76">
        <f t="shared" si="1149"/>
        <v>0</v>
      </c>
      <c r="S3056" s="76">
        <f t="shared" si="1150"/>
        <v>0.97936685377223864</v>
      </c>
      <c r="T3056" s="76">
        <f t="shared" si="1151"/>
        <v>0.97936685377223864</v>
      </c>
      <c r="U3056" s="76">
        <f t="shared" si="1152"/>
        <v>1</v>
      </c>
    </row>
    <row r="3057" spans="1:21" x14ac:dyDescent="0.25">
      <c r="A3057" s="71">
        <v>9</v>
      </c>
      <c r="B3057" s="72">
        <f t="shared" si="1153"/>
        <v>45901</v>
      </c>
      <c r="C3057" s="73">
        <f t="shared" si="1134"/>
        <v>45930</v>
      </c>
      <c r="D3057" s="67">
        <f t="shared" si="1135"/>
        <v>30</v>
      </c>
      <c r="E3057" s="67">
        <f t="shared" si="1136"/>
        <v>9</v>
      </c>
      <c r="F3057" s="74">
        <f t="shared" si="1137"/>
        <v>45916</v>
      </c>
      <c r="G3057" s="67">
        <f t="shared" si="1138"/>
        <v>24308</v>
      </c>
      <c r="H3057" s="75">
        <f t="shared" si="1139"/>
        <v>1</v>
      </c>
      <c r="I3057" s="76">
        <f t="shared" si="1140"/>
        <v>1</v>
      </c>
      <c r="J3057" s="76">
        <f t="shared" si="1141"/>
        <v>1</v>
      </c>
      <c r="K3057" s="67">
        <f t="shared" si="1142"/>
        <v>0</v>
      </c>
      <c r="L3057" s="67">
        <f t="shared" si="1143"/>
        <v>0</v>
      </c>
      <c r="M3057" s="77">
        <f t="shared" si="1144"/>
        <v>0</v>
      </c>
      <c r="N3057" s="76">
        <f t="shared" si="1145"/>
        <v>1</v>
      </c>
      <c r="O3057" s="77">
        <f t="shared" si="1146"/>
        <v>0.90168490153172876</v>
      </c>
      <c r="P3057" s="76">
        <f t="shared" si="1147"/>
        <v>0.41666666666666663</v>
      </c>
      <c r="Q3057" s="76">
        <f t="shared" si="1148"/>
        <v>0</v>
      </c>
      <c r="R3057" s="76">
        <f t="shared" si="1149"/>
        <v>0</v>
      </c>
      <c r="S3057" s="76">
        <f t="shared" si="1150"/>
        <v>0.98009228427361816</v>
      </c>
      <c r="T3057" s="76">
        <f t="shared" si="1151"/>
        <v>0.98009228427361816</v>
      </c>
      <c r="U3057" s="76">
        <f t="shared" si="1152"/>
        <v>1</v>
      </c>
    </row>
    <row r="3058" spans="1:21" x14ac:dyDescent="0.25">
      <c r="A3058" s="71">
        <v>10</v>
      </c>
      <c r="B3058" s="72">
        <f t="shared" si="1153"/>
        <v>45931</v>
      </c>
      <c r="C3058" s="73">
        <f t="shared" si="1134"/>
        <v>45961</v>
      </c>
      <c r="D3058" s="67">
        <f t="shared" si="1135"/>
        <v>31</v>
      </c>
      <c r="E3058" s="67">
        <f t="shared" si="1136"/>
        <v>10</v>
      </c>
      <c r="F3058" s="74">
        <f t="shared" si="1137"/>
        <v>45946.5</v>
      </c>
      <c r="G3058" s="67">
        <f t="shared" si="1138"/>
        <v>24309</v>
      </c>
      <c r="H3058" s="75">
        <f t="shared" si="1139"/>
        <v>1</v>
      </c>
      <c r="I3058" s="76">
        <f t="shared" si="1140"/>
        <v>1</v>
      </c>
      <c r="J3058" s="76">
        <f t="shared" si="1141"/>
        <v>1</v>
      </c>
      <c r="K3058" s="67">
        <f t="shared" si="1142"/>
        <v>0</v>
      </c>
      <c r="L3058" s="67">
        <f t="shared" si="1143"/>
        <v>0</v>
      </c>
      <c r="M3058" s="77">
        <f t="shared" si="1144"/>
        <v>0</v>
      </c>
      <c r="N3058" s="76">
        <f t="shared" si="1145"/>
        <v>1</v>
      </c>
      <c r="O3058" s="77">
        <f t="shared" si="1146"/>
        <v>0.90235229759299784</v>
      </c>
      <c r="P3058" s="76">
        <f t="shared" si="1147"/>
        <v>0.58333333333333326</v>
      </c>
      <c r="Q3058" s="76">
        <f t="shared" si="1148"/>
        <v>0</v>
      </c>
      <c r="R3058" s="76">
        <f t="shared" si="1149"/>
        <v>0</v>
      </c>
      <c r="S3058" s="76">
        <f t="shared" si="1150"/>
        <v>0.98081771477499757</v>
      </c>
      <c r="T3058" s="76">
        <f t="shared" si="1151"/>
        <v>0.98081771477499757</v>
      </c>
      <c r="U3058" s="76">
        <f t="shared" si="1152"/>
        <v>1</v>
      </c>
    </row>
    <row r="3059" spans="1:21" x14ac:dyDescent="0.25">
      <c r="A3059" s="71">
        <v>11</v>
      </c>
      <c r="B3059" s="72">
        <f t="shared" si="1153"/>
        <v>45962</v>
      </c>
      <c r="C3059" s="73">
        <f t="shared" si="1134"/>
        <v>45991</v>
      </c>
      <c r="D3059" s="67">
        <f t="shared" si="1135"/>
        <v>30</v>
      </c>
      <c r="E3059" s="67">
        <f t="shared" si="1136"/>
        <v>11</v>
      </c>
      <c r="F3059" s="74">
        <f t="shared" si="1137"/>
        <v>45977</v>
      </c>
      <c r="G3059" s="67">
        <f t="shared" si="1138"/>
        <v>24310</v>
      </c>
      <c r="H3059" s="75">
        <f t="shared" si="1139"/>
        <v>1</v>
      </c>
      <c r="I3059" s="76">
        <f t="shared" si="1140"/>
        <v>1</v>
      </c>
      <c r="J3059" s="76">
        <f t="shared" si="1141"/>
        <v>1</v>
      </c>
      <c r="K3059" s="67">
        <f t="shared" si="1142"/>
        <v>0</v>
      </c>
      <c r="L3059" s="67">
        <f t="shared" si="1143"/>
        <v>0</v>
      </c>
      <c r="M3059" s="77">
        <f t="shared" si="1144"/>
        <v>0</v>
      </c>
      <c r="N3059" s="76">
        <f t="shared" si="1145"/>
        <v>1</v>
      </c>
      <c r="O3059" s="77">
        <f t="shared" si="1146"/>
        <v>0.90301969365426704</v>
      </c>
      <c r="P3059" s="76">
        <f t="shared" si="1147"/>
        <v>0.75</v>
      </c>
      <c r="Q3059" s="76">
        <f t="shared" si="1148"/>
        <v>0</v>
      </c>
      <c r="R3059" s="76">
        <f t="shared" si="1149"/>
        <v>0</v>
      </c>
      <c r="S3059" s="76">
        <f t="shared" si="1150"/>
        <v>0.9815431452763772</v>
      </c>
      <c r="T3059" s="76">
        <f t="shared" si="1151"/>
        <v>0.9815431452763772</v>
      </c>
      <c r="U3059" s="76">
        <f t="shared" si="1152"/>
        <v>1</v>
      </c>
    </row>
    <row r="3060" spans="1:21" x14ac:dyDescent="0.25">
      <c r="A3060" s="71">
        <v>12</v>
      </c>
      <c r="B3060" s="72">
        <f t="shared" si="1153"/>
        <v>45992</v>
      </c>
      <c r="C3060" s="73">
        <f t="shared" si="1134"/>
        <v>46022</v>
      </c>
      <c r="D3060" s="67">
        <f t="shared" si="1135"/>
        <v>31</v>
      </c>
      <c r="E3060" s="67">
        <f t="shared" si="1136"/>
        <v>12</v>
      </c>
      <c r="F3060" s="74">
        <f t="shared" si="1137"/>
        <v>46007.5</v>
      </c>
      <c r="G3060" s="67">
        <f t="shared" si="1138"/>
        <v>24311</v>
      </c>
      <c r="H3060" s="75">
        <f t="shared" si="1139"/>
        <v>1</v>
      </c>
      <c r="I3060" s="76">
        <f t="shared" si="1140"/>
        <v>1</v>
      </c>
      <c r="J3060" s="76">
        <f t="shared" si="1141"/>
        <v>1</v>
      </c>
      <c r="K3060" s="67">
        <f t="shared" si="1142"/>
        <v>0</v>
      </c>
      <c r="L3060" s="67">
        <f t="shared" si="1143"/>
        <v>0</v>
      </c>
      <c r="M3060" s="77">
        <f t="shared" si="1144"/>
        <v>0</v>
      </c>
      <c r="N3060" s="76">
        <f t="shared" si="1145"/>
        <v>1</v>
      </c>
      <c r="O3060" s="77">
        <f t="shared" si="1146"/>
        <v>0.90368708971553613</v>
      </c>
      <c r="P3060" s="76">
        <f t="shared" si="1147"/>
        <v>0.91666666666666663</v>
      </c>
      <c r="Q3060" s="76">
        <f t="shared" si="1148"/>
        <v>0</v>
      </c>
      <c r="R3060" s="76">
        <f t="shared" si="1149"/>
        <v>0</v>
      </c>
      <c r="S3060" s="76">
        <f t="shared" si="1150"/>
        <v>0.98226857577775661</v>
      </c>
      <c r="T3060" s="76">
        <f t="shared" si="1151"/>
        <v>0.98226857577775661</v>
      </c>
      <c r="U3060" s="76">
        <f t="shared" si="1152"/>
        <v>1</v>
      </c>
    </row>
    <row r="3061" spans="1:21" x14ac:dyDescent="0.25">
      <c r="A3061" s="71">
        <v>13</v>
      </c>
      <c r="B3061" s="72">
        <f t="shared" si="1153"/>
        <v>46023</v>
      </c>
      <c r="C3061" s="73">
        <f t="shared" si="1134"/>
        <v>46053</v>
      </c>
      <c r="D3061" s="67">
        <f t="shared" si="1135"/>
        <v>31</v>
      </c>
      <c r="E3061" s="67">
        <f t="shared" si="1136"/>
        <v>1</v>
      </c>
      <c r="F3061" s="74">
        <f t="shared" si="1137"/>
        <v>46038.5</v>
      </c>
      <c r="G3061" s="67">
        <f t="shared" si="1138"/>
        <v>24312</v>
      </c>
      <c r="H3061" s="75">
        <f t="shared" si="1139"/>
        <v>1</v>
      </c>
      <c r="I3061" s="76">
        <f t="shared" si="1140"/>
        <v>1</v>
      </c>
      <c r="J3061" s="76">
        <f t="shared" si="1141"/>
        <v>1</v>
      </c>
      <c r="K3061" s="67">
        <f t="shared" si="1142"/>
        <v>0</v>
      </c>
      <c r="L3061" s="67">
        <f t="shared" si="1143"/>
        <v>0</v>
      </c>
      <c r="M3061" s="77">
        <f t="shared" si="1144"/>
        <v>0</v>
      </c>
      <c r="N3061" s="76">
        <f t="shared" si="1145"/>
        <v>1</v>
      </c>
      <c r="O3061" s="77">
        <f t="shared" si="1146"/>
        <v>0.90436542669584252</v>
      </c>
      <c r="P3061" s="76">
        <f t="shared" si="1147"/>
        <v>1</v>
      </c>
      <c r="Q3061" s="76">
        <f t="shared" si="1148"/>
        <v>0</v>
      </c>
      <c r="R3061" s="76">
        <f t="shared" si="1149"/>
        <v>0</v>
      </c>
      <c r="S3061" s="76">
        <f t="shared" si="1150"/>
        <v>0.98300589858243748</v>
      </c>
      <c r="T3061" s="76">
        <f t="shared" si="1151"/>
        <v>0.98300589858243748</v>
      </c>
      <c r="U3061" s="76">
        <f t="shared" si="1152"/>
        <v>1</v>
      </c>
    </row>
    <row r="3062" spans="1:21" x14ac:dyDescent="0.25">
      <c r="A3062" s="71">
        <v>14</v>
      </c>
      <c r="B3062" s="72">
        <f t="shared" si="1153"/>
        <v>46054</v>
      </c>
      <c r="C3062" s="73">
        <f t="shared" si="1134"/>
        <v>46081</v>
      </c>
      <c r="D3062" s="67">
        <f t="shared" si="1135"/>
        <v>28</v>
      </c>
      <c r="E3062" s="67">
        <f t="shared" si="1136"/>
        <v>2</v>
      </c>
      <c r="F3062" s="74">
        <f t="shared" si="1137"/>
        <v>46068</v>
      </c>
      <c r="G3062" s="67">
        <f t="shared" si="1138"/>
        <v>24313</v>
      </c>
      <c r="H3062" s="75">
        <f t="shared" si="1139"/>
        <v>1</v>
      </c>
      <c r="I3062" s="76">
        <f t="shared" si="1140"/>
        <v>1</v>
      </c>
      <c r="J3062" s="76">
        <f t="shared" si="1141"/>
        <v>1</v>
      </c>
      <c r="K3062" s="67">
        <f t="shared" si="1142"/>
        <v>0</v>
      </c>
      <c r="L3062" s="67">
        <f t="shared" si="1143"/>
        <v>0</v>
      </c>
      <c r="M3062" s="77">
        <f t="shared" si="1144"/>
        <v>0</v>
      </c>
      <c r="N3062" s="76">
        <f t="shared" si="1145"/>
        <v>1</v>
      </c>
      <c r="O3062" s="77">
        <f t="shared" si="1146"/>
        <v>0.90501094091903722</v>
      </c>
      <c r="P3062" s="76">
        <f t="shared" si="1147"/>
        <v>1</v>
      </c>
      <c r="Q3062" s="76">
        <f t="shared" si="1148"/>
        <v>0</v>
      </c>
      <c r="R3062" s="76">
        <f t="shared" si="1149"/>
        <v>0</v>
      </c>
      <c r="S3062" s="76">
        <f t="shared" si="1150"/>
        <v>0.98370754447721431</v>
      </c>
      <c r="T3062" s="76">
        <f t="shared" si="1151"/>
        <v>0.98370754447721431</v>
      </c>
      <c r="U3062" s="76">
        <f t="shared" si="1152"/>
        <v>1</v>
      </c>
    </row>
    <row r="3063" spans="1:21" x14ac:dyDescent="0.25">
      <c r="A3063" s="71">
        <v>15</v>
      </c>
      <c r="B3063" s="72">
        <f t="shared" si="1153"/>
        <v>46082</v>
      </c>
      <c r="C3063" s="73">
        <f t="shared" si="1134"/>
        <v>46112</v>
      </c>
      <c r="D3063" s="67">
        <f t="shared" si="1135"/>
        <v>31</v>
      </c>
      <c r="E3063" s="67">
        <f t="shared" si="1136"/>
        <v>3</v>
      </c>
      <c r="F3063" s="74">
        <f t="shared" si="1137"/>
        <v>46097.5</v>
      </c>
      <c r="G3063" s="67">
        <f t="shared" si="1138"/>
        <v>24314</v>
      </c>
      <c r="H3063" s="75">
        <f t="shared" si="1139"/>
        <v>1</v>
      </c>
      <c r="I3063" s="76">
        <f t="shared" si="1140"/>
        <v>1</v>
      </c>
      <c r="J3063" s="76">
        <f t="shared" si="1141"/>
        <v>1</v>
      </c>
      <c r="K3063" s="67">
        <f t="shared" si="1142"/>
        <v>0</v>
      </c>
      <c r="L3063" s="67">
        <f t="shared" si="1143"/>
        <v>0</v>
      </c>
      <c r="M3063" s="77">
        <f t="shared" si="1144"/>
        <v>0</v>
      </c>
      <c r="N3063" s="76">
        <f t="shared" si="1145"/>
        <v>1</v>
      </c>
      <c r="O3063" s="77">
        <f t="shared" si="1146"/>
        <v>0.90565645514223203</v>
      </c>
      <c r="P3063" s="76">
        <f t="shared" si="1147"/>
        <v>1</v>
      </c>
      <c r="Q3063" s="76">
        <f t="shared" si="1148"/>
        <v>0</v>
      </c>
      <c r="R3063" s="76">
        <f t="shared" si="1149"/>
        <v>0</v>
      </c>
      <c r="S3063" s="76">
        <f t="shared" si="1150"/>
        <v>0.98440919037199126</v>
      </c>
      <c r="T3063" s="76">
        <f t="shared" si="1151"/>
        <v>0.98440919037199126</v>
      </c>
      <c r="U3063" s="76">
        <f t="shared" si="1152"/>
        <v>1</v>
      </c>
    </row>
    <row r="3064" spans="1:21" x14ac:dyDescent="0.25">
      <c r="A3064" s="71">
        <v>16</v>
      </c>
      <c r="B3064" s="72">
        <f t="shared" si="1153"/>
        <v>46113</v>
      </c>
      <c r="C3064" s="73">
        <f t="shared" si="1134"/>
        <v>46142</v>
      </c>
      <c r="D3064" s="67">
        <f t="shared" si="1135"/>
        <v>30</v>
      </c>
      <c r="E3064" s="67">
        <f t="shared" si="1136"/>
        <v>4</v>
      </c>
      <c r="F3064" s="74">
        <f t="shared" si="1137"/>
        <v>46128</v>
      </c>
      <c r="G3064" s="67">
        <f t="shared" si="1138"/>
        <v>24315</v>
      </c>
      <c r="H3064" s="75">
        <f t="shared" si="1139"/>
        <v>1</v>
      </c>
      <c r="I3064" s="76">
        <f t="shared" si="1140"/>
        <v>1</v>
      </c>
      <c r="J3064" s="76">
        <f t="shared" si="1141"/>
        <v>1</v>
      </c>
      <c r="K3064" s="67">
        <f t="shared" si="1142"/>
        <v>0</v>
      </c>
      <c r="L3064" s="67">
        <f t="shared" si="1143"/>
        <v>0</v>
      </c>
      <c r="M3064" s="77">
        <f t="shared" si="1144"/>
        <v>0</v>
      </c>
      <c r="N3064" s="76">
        <f t="shared" si="1145"/>
        <v>1</v>
      </c>
      <c r="O3064" s="77">
        <f t="shared" si="1146"/>
        <v>0.90632385120350112</v>
      </c>
      <c r="P3064" s="76">
        <f t="shared" si="1147"/>
        <v>1</v>
      </c>
      <c r="Q3064" s="76">
        <f t="shared" si="1148"/>
        <v>0</v>
      </c>
      <c r="R3064" s="76">
        <f t="shared" si="1149"/>
        <v>0</v>
      </c>
      <c r="S3064" s="76">
        <f t="shared" si="1150"/>
        <v>0.98513462087337078</v>
      </c>
      <c r="T3064" s="76">
        <f t="shared" si="1151"/>
        <v>0.98513462087337078</v>
      </c>
      <c r="U3064" s="76">
        <f t="shared" si="1152"/>
        <v>1</v>
      </c>
    </row>
    <row r="3065" spans="1:21" x14ac:dyDescent="0.25">
      <c r="A3065" s="71">
        <v>17</v>
      </c>
      <c r="B3065" s="72">
        <f t="shared" si="1153"/>
        <v>46143</v>
      </c>
      <c r="C3065" s="73">
        <f t="shared" si="1134"/>
        <v>46173</v>
      </c>
      <c r="D3065" s="67">
        <f t="shared" si="1135"/>
        <v>31</v>
      </c>
      <c r="E3065" s="67">
        <f t="shared" si="1136"/>
        <v>5</v>
      </c>
      <c r="F3065" s="74">
        <f t="shared" si="1137"/>
        <v>46158.5</v>
      </c>
      <c r="G3065" s="67">
        <f t="shared" si="1138"/>
        <v>24316</v>
      </c>
      <c r="H3065" s="75">
        <f t="shared" si="1139"/>
        <v>1</v>
      </c>
      <c r="I3065" s="76">
        <f t="shared" si="1140"/>
        <v>1</v>
      </c>
      <c r="J3065" s="76">
        <f t="shared" si="1141"/>
        <v>1</v>
      </c>
      <c r="K3065" s="67">
        <f t="shared" si="1142"/>
        <v>0</v>
      </c>
      <c r="L3065" s="67">
        <f t="shared" si="1143"/>
        <v>0</v>
      </c>
      <c r="M3065" s="77">
        <f t="shared" si="1144"/>
        <v>0</v>
      </c>
      <c r="N3065" s="76">
        <f t="shared" si="1145"/>
        <v>1</v>
      </c>
      <c r="O3065" s="77">
        <f t="shared" si="1146"/>
        <v>0.90699124726477032</v>
      </c>
      <c r="P3065" s="76">
        <f t="shared" si="1147"/>
        <v>1</v>
      </c>
      <c r="Q3065" s="76">
        <f t="shared" si="1148"/>
        <v>0</v>
      </c>
      <c r="R3065" s="76">
        <f t="shared" si="1149"/>
        <v>0</v>
      </c>
      <c r="S3065" s="76">
        <f t="shared" si="1150"/>
        <v>0.9858600513747503</v>
      </c>
      <c r="T3065" s="76">
        <f t="shared" si="1151"/>
        <v>0.9858600513747503</v>
      </c>
      <c r="U3065" s="76">
        <f t="shared" si="1152"/>
        <v>1</v>
      </c>
    </row>
    <row r="3066" spans="1:21" x14ac:dyDescent="0.25">
      <c r="A3066" s="71">
        <v>18</v>
      </c>
      <c r="B3066" s="72">
        <f t="shared" si="1153"/>
        <v>46174</v>
      </c>
      <c r="C3066" s="73">
        <f t="shared" si="1134"/>
        <v>46203</v>
      </c>
      <c r="D3066" s="67">
        <f t="shared" si="1135"/>
        <v>30</v>
      </c>
      <c r="E3066" s="67">
        <f t="shared" si="1136"/>
        <v>6</v>
      </c>
      <c r="F3066" s="74">
        <f t="shared" si="1137"/>
        <v>46189</v>
      </c>
      <c r="G3066" s="67">
        <f t="shared" si="1138"/>
        <v>24317</v>
      </c>
      <c r="H3066" s="75">
        <f t="shared" si="1139"/>
        <v>1</v>
      </c>
      <c r="I3066" s="76">
        <f t="shared" si="1140"/>
        <v>1</v>
      </c>
      <c r="J3066" s="76">
        <f t="shared" si="1141"/>
        <v>1</v>
      </c>
      <c r="K3066" s="67">
        <f t="shared" si="1142"/>
        <v>0</v>
      </c>
      <c r="L3066" s="67">
        <f t="shared" si="1143"/>
        <v>0</v>
      </c>
      <c r="M3066" s="77">
        <f t="shared" si="1144"/>
        <v>0</v>
      </c>
      <c r="N3066" s="76">
        <f t="shared" si="1145"/>
        <v>1</v>
      </c>
      <c r="O3066" s="77">
        <f t="shared" si="1146"/>
        <v>0.9076586433260394</v>
      </c>
      <c r="P3066" s="76">
        <f t="shared" si="1147"/>
        <v>1</v>
      </c>
      <c r="Q3066" s="76">
        <f t="shared" si="1148"/>
        <v>0</v>
      </c>
      <c r="R3066" s="76">
        <f t="shared" si="1149"/>
        <v>0</v>
      </c>
      <c r="S3066" s="76">
        <f t="shared" si="1150"/>
        <v>0.98658548187612971</v>
      </c>
      <c r="T3066" s="76">
        <f t="shared" si="1151"/>
        <v>0.98658548187612971</v>
      </c>
      <c r="U3066" s="76">
        <f t="shared" si="1152"/>
        <v>1</v>
      </c>
    </row>
    <row r="3067" spans="1:21" x14ac:dyDescent="0.25">
      <c r="A3067" s="71">
        <v>19</v>
      </c>
      <c r="B3067" s="72">
        <f t="shared" si="1153"/>
        <v>46204</v>
      </c>
      <c r="C3067" s="73">
        <f t="shared" si="1134"/>
        <v>46234</v>
      </c>
      <c r="D3067" s="67">
        <f t="shared" si="1135"/>
        <v>31</v>
      </c>
      <c r="E3067" s="67">
        <f t="shared" si="1136"/>
        <v>7</v>
      </c>
      <c r="F3067" s="74">
        <f t="shared" si="1137"/>
        <v>46219.5</v>
      </c>
      <c r="G3067" s="67">
        <f t="shared" si="1138"/>
        <v>24318</v>
      </c>
      <c r="H3067" s="75">
        <f t="shared" si="1139"/>
        <v>1</v>
      </c>
      <c r="I3067" s="76">
        <f t="shared" si="1140"/>
        <v>1</v>
      </c>
      <c r="J3067" s="76">
        <f t="shared" si="1141"/>
        <v>1</v>
      </c>
      <c r="K3067" s="67">
        <f t="shared" si="1142"/>
        <v>0</v>
      </c>
      <c r="L3067" s="67">
        <f t="shared" si="1143"/>
        <v>0</v>
      </c>
      <c r="M3067" s="77">
        <f t="shared" si="1144"/>
        <v>0</v>
      </c>
      <c r="N3067" s="76">
        <f t="shared" si="1145"/>
        <v>1</v>
      </c>
      <c r="O3067" s="77">
        <f t="shared" si="1146"/>
        <v>0.9083260393873086</v>
      </c>
      <c r="P3067" s="76">
        <f t="shared" si="1147"/>
        <v>0.91666666666666663</v>
      </c>
      <c r="Q3067" s="76">
        <f t="shared" si="1148"/>
        <v>8.333333333333337E-2</v>
      </c>
      <c r="R3067" s="76">
        <f t="shared" si="1149"/>
        <v>0</v>
      </c>
      <c r="S3067" s="76">
        <f t="shared" si="1150"/>
        <v>0.98731091237750934</v>
      </c>
      <c r="T3067" s="76">
        <f t="shared" si="1151"/>
        <v>0.98731091237750934</v>
      </c>
      <c r="U3067" s="76">
        <f t="shared" si="1152"/>
        <v>1</v>
      </c>
    </row>
    <row r="3068" spans="1:21" x14ac:dyDescent="0.25">
      <c r="A3068" s="71">
        <v>20</v>
      </c>
      <c r="B3068" s="72">
        <f t="shared" si="1153"/>
        <v>46235</v>
      </c>
      <c r="C3068" s="73">
        <f t="shared" si="1134"/>
        <v>46265</v>
      </c>
      <c r="D3068" s="67">
        <f t="shared" si="1135"/>
        <v>31</v>
      </c>
      <c r="E3068" s="67">
        <f t="shared" si="1136"/>
        <v>8</v>
      </c>
      <c r="F3068" s="74">
        <f t="shared" si="1137"/>
        <v>46250.5</v>
      </c>
      <c r="G3068" s="67">
        <f t="shared" si="1138"/>
        <v>24319</v>
      </c>
      <c r="H3068" s="75">
        <f t="shared" si="1139"/>
        <v>1</v>
      </c>
      <c r="I3068" s="76">
        <f t="shared" si="1140"/>
        <v>1</v>
      </c>
      <c r="J3068" s="76">
        <f t="shared" si="1141"/>
        <v>1.02</v>
      </c>
      <c r="K3068" s="67">
        <f t="shared" si="1142"/>
        <v>1</v>
      </c>
      <c r="L3068" s="67">
        <f t="shared" si="1143"/>
        <v>31</v>
      </c>
      <c r="M3068" s="77">
        <f t="shared" si="1144"/>
        <v>1</v>
      </c>
      <c r="N3068" s="76">
        <f t="shared" si="1145"/>
        <v>1.02</v>
      </c>
      <c r="O3068" s="77">
        <f t="shared" si="1146"/>
        <v>0.90900437636761489</v>
      </c>
      <c r="P3068" s="76">
        <f t="shared" si="1147"/>
        <v>0.75</v>
      </c>
      <c r="Q3068" s="76">
        <f t="shared" si="1148"/>
        <v>0.25</v>
      </c>
      <c r="R3068" s="76">
        <f t="shared" si="1149"/>
        <v>0</v>
      </c>
      <c r="S3068" s="76">
        <f t="shared" si="1150"/>
        <v>1.0078091998858338</v>
      </c>
      <c r="T3068" s="76">
        <f t="shared" si="1151"/>
        <v>1.0078091998858338</v>
      </c>
      <c r="U3068" s="76">
        <f t="shared" si="1152"/>
        <v>1.02</v>
      </c>
    </row>
    <row r="3069" spans="1:21" x14ac:dyDescent="0.25">
      <c r="A3069" s="71">
        <v>21</v>
      </c>
      <c r="B3069" s="72">
        <f t="shared" si="1153"/>
        <v>46266</v>
      </c>
      <c r="C3069" s="73">
        <f t="shared" si="1134"/>
        <v>46295</v>
      </c>
      <c r="D3069" s="67">
        <f t="shared" si="1135"/>
        <v>30</v>
      </c>
      <c r="E3069" s="67">
        <f t="shared" si="1136"/>
        <v>9</v>
      </c>
      <c r="F3069" s="74">
        <f t="shared" si="1137"/>
        <v>46281</v>
      </c>
      <c r="G3069" s="67">
        <f t="shared" si="1138"/>
        <v>24320</v>
      </c>
      <c r="H3069" s="75">
        <f t="shared" si="1139"/>
        <v>1</v>
      </c>
      <c r="I3069" s="76">
        <f t="shared" si="1140"/>
        <v>1.02</v>
      </c>
      <c r="J3069" s="76">
        <f t="shared" si="1141"/>
        <v>1.02</v>
      </c>
      <c r="K3069" s="67">
        <f t="shared" si="1142"/>
        <v>0</v>
      </c>
      <c r="L3069" s="67">
        <f t="shared" si="1143"/>
        <v>0</v>
      </c>
      <c r="M3069" s="77">
        <f t="shared" si="1144"/>
        <v>0</v>
      </c>
      <c r="N3069" s="76">
        <f t="shared" si="1145"/>
        <v>1.02</v>
      </c>
      <c r="O3069" s="77">
        <f t="shared" si="1146"/>
        <v>0.90967177242888408</v>
      </c>
      <c r="P3069" s="76">
        <f t="shared" si="1147"/>
        <v>0.58333333333333337</v>
      </c>
      <c r="Q3069" s="76">
        <f t="shared" si="1148"/>
        <v>0.41666666666666663</v>
      </c>
      <c r="R3069" s="76">
        <f t="shared" si="1149"/>
        <v>0</v>
      </c>
      <c r="S3069" s="76">
        <f t="shared" si="1150"/>
        <v>1.008549138997241</v>
      </c>
      <c r="T3069" s="76">
        <f t="shared" si="1151"/>
        <v>1.008549138997241</v>
      </c>
      <c r="U3069" s="76">
        <f t="shared" si="1152"/>
        <v>1.02</v>
      </c>
    </row>
    <row r="3070" spans="1:21" x14ac:dyDescent="0.25">
      <c r="A3070" s="71">
        <v>22</v>
      </c>
      <c r="B3070" s="72">
        <f t="shared" si="1153"/>
        <v>46296</v>
      </c>
      <c r="C3070" s="73">
        <f t="shared" si="1134"/>
        <v>46326</v>
      </c>
      <c r="D3070" s="67">
        <f t="shared" si="1135"/>
        <v>31</v>
      </c>
      <c r="E3070" s="67">
        <f t="shared" si="1136"/>
        <v>10</v>
      </c>
      <c r="F3070" s="74">
        <f t="shared" si="1137"/>
        <v>46311.5</v>
      </c>
      <c r="G3070" s="67">
        <f t="shared" si="1138"/>
        <v>24321</v>
      </c>
      <c r="H3070" s="75">
        <f t="shared" si="1139"/>
        <v>1</v>
      </c>
      <c r="I3070" s="76">
        <f t="shared" si="1140"/>
        <v>1.02</v>
      </c>
      <c r="J3070" s="76">
        <f t="shared" si="1141"/>
        <v>1.02</v>
      </c>
      <c r="K3070" s="67">
        <f t="shared" si="1142"/>
        <v>0</v>
      </c>
      <c r="L3070" s="67">
        <f t="shared" si="1143"/>
        <v>0</v>
      </c>
      <c r="M3070" s="77">
        <f t="shared" si="1144"/>
        <v>0</v>
      </c>
      <c r="N3070" s="76">
        <f t="shared" si="1145"/>
        <v>1.02</v>
      </c>
      <c r="O3070" s="77">
        <f t="shared" si="1146"/>
        <v>0.91033916849015317</v>
      </c>
      <c r="P3070" s="76">
        <f t="shared" si="1147"/>
        <v>0.41666666666666669</v>
      </c>
      <c r="Q3070" s="76">
        <f t="shared" si="1148"/>
        <v>0.58333333333333326</v>
      </c>
      <c r="R3070" s="76">
        <f t="shared" si="1149"/>
        <v>0</v>
      </c>
      <c r="S3070" s="76">
        <f t="shared" si="1150"/>
        <v>1.0092890781086481</v>
      </c>
      <c r="T3070" s="76">
        <f t="shared" si="1151"/>
        <v>1.0092890781086481</v>
      </c>
      <c r="U3070" s="76">
        <f t="shared" si="1152"/>
        <v>1.02</v>
      </c>
    </row>
    <row r="3071" spans="1:21" x14ac:dyDescent="0.25">
      <c r="A3071" s="71">
        <v>23</v>
      </c>
      <c r="B3071" s="72">
        <f t="shared" si="1153"/>
        <v>46327</v>
      </c>
      <c r="C3071" s="73">
        <f t="shared" si="1134"/>
        <v>46356</v>
      </c>
      <c r="D3071" s="67">
        <f t="shared" si="1135"/>
        <v>30</v>
      </c>
      <c r="E3071" s="67">
        <f t="shared" si="1136"/>
        <v>11</v>
      </c>
      <c r="F3071" s="74">
        <f t="shared" si="1137"/>
        <v>46342</v>
      </c>
      <c r="G3071" s="67">
        <f t="shared" si="1138"/>
        <v>24322</v>
      </c>
      <c r="H3071" s="75">
        <f t="shared" si="1139"/>
        <v>1</v>
      </c>
      <c r="I3071" s="76">
        <f t="shared" si="1140"/>
        <v>1.02</v>
      </c>
      <c r="J3071" s="76">
        <f t="shared" si="1141"/>
        <v>1.02</v>
      </c>
      <c r="K3071" s="67">
        <f t="shared" si="1142"/>
        <v>0</v>
      </c>
      <c r="L3071" s="67">
        <f t="shared" si="1143"/>
        <v>0</v>
      </c>
      <c r="M3071" s="77">
        <f t="shared" si="1144"/>
        <v>0</v>
      </c>
      <c r="N3071" s="76">
        <f t="shared" si="1145"/>
        <v>1.02</v>
      </c>
      <c r="O3071" s="77">
        <f t="shared" si="1146"/>
        <v>0.91100656455142237</v>
      </c>
      <c r="P3071" s="76">
        <f t="shared" si="1147"/>
        <v>0.25</v>
      </c>
      <c r="Q3071" s="76">
        <f t="shared" si="1148"/>
        <v>0.75</v>
      </c>
      <c r="R3071" s="76">
        <f t="shared" si="1149"/>
        <v>0</v>
      </c>
      <c r="S3071" s="76">
        <f t="shared" si="1150"/>
        <v>1.0100290172200552</v>
      </c>
      <c r="T3071" s="76">
        <f t="shared" si="1151"/>
        <v>1.0100290172200552</v>
      </c>
      <c r="U3071" s="76">
        <f t="shared" si="1152"/>
        <v>1.02</v>
      </c>
    </row>
    <row r="3072" spans="1:21" x14ac:dyDescent="0.25">
      <c r="A3072" s="71">
        <v>24</v>
      </c>
      <c r="B3072" s="72">
        <f t="shared" si="1153"/>
        <v>46357</v>
      </c>
      <c r="C3072" s="73">
        <f t="shared" si="1134"/>
        <v>46387</v>
      </c>
      <c r="D3072" s="67">
        <f t="shared" si="1135"/>
        <v>31</v>
      </c>
      <c r="E3072" s="67">
        <f t="shared" si="1136"/>
        <v>12</v>
      </c>
      <c r="F3072" s="74">
        <f t="shared" si="1137"/>
        <v>46372.5</v>
      </c>
      <c r="G3072" s="67">
        <f t="shared" si="1138"/>
        <v>24323</v>
      </c>
      <c r="H3072" s="75">
        <f t="shared" si="1139"/>
        <v>1</v>
      </c>
      <c r="I3072" s="76">
        <f t="shared" si="1140"/>
        <v>1.02</v>
      </c>
      <c r="J3072" s="76">
        <f t="shared" si="1141"/>
        <v>1.02</v>
      </c>
      <c r="K3072" s="67">
        <f t="shared" si="1142"/>
        <v>0</v>
      </c>
      <c r="L3072" s="67">
        <f t="shared" si="1143"/>
        <v>0</v>
      </c>
      <c r="M3072" s="77">
        <f t="shared" si="1144"/>
        <v>0</v>
      </c>
      <c r="N3072" s="76">
        <f t="shared" si="1145"/>
        <v>1.02</v>
      </c>
      <c r="O3072" s="77">
        <f t="shared" si="1146"/>
        <v>0.91167396061269146</v>
      </c>
      <c r="P3072" s="76">
        <f t="shared" si="1147"/>
        <v>8.3333333333333329E-2</v>
      </c>
      <c r="Q3072" s="76">
        <f t="shared" si="1148"/>
        <v>0.91666666666666663</v>
      </c>
      <c r="R3072" s="76">
        <f t="shared" si="1149"/>
        <v>0</v>
      </c>
      <c r="S3072" s="76">
        <f t="shared" si="1150"/>
        <v>1.0107689563314621</v>
      </c>
      <c r="T3072" s="76">
        <f t="shared" si="1151"/>
        <v>1.0107689563314621</v>
      </c>
      <c r="U3072" s="76">
        <f t="shared" si="1152"/>
        <v>1.02</v>
      </c>
    </row>
    <row r="3073" spans="1:21" x14ac:dyDescent="0.25">
      <c r="A3073" s="71">
        <v>25</v>
      </c>
      <c r="B3073" s="72">
        <f t="shared" si="1153"/>
        <v>46388</v>
      </c>
      <c r="C3073" s="73">
        <f t="shared" si="1134"/>
        <v>46418</v>
      </c>
      <c r="D3073" s="67">
        <f t="shared" si="1135"/>
        <v>31</v>
      </c>
      <c r="E3073" s="67">
        <f t="shared" si="1136"/>
        <v>1</v>
      </c>
      <c r="F3073" s="74">
        <f t="shared" si="1137"/>
        <v>46403.5</v>
      </c>
      <c r="G3073" s="67">
        <f t="shared" si="1138"/>
        <v>24324</v>
      </c>
      <c r="H3073" s="75">
        <f t="shared" si="1139"/>
        <v>1</v>
      </c>
      <c r="I3073" s="76">
        <f t="shared" si="1140"/>
        <v>1.02</v>
      </c>
      <c r="J3073" s="76">
        <f t="shared" si="1141"/>
        <v>1.02</v>
      </c>
      <c r="K3073" s="67">
        <f t="shared" si="1142"/>
        <v>0</v>
      </c>
      <c r="L3073" s="67">
        <f t="shared" si="1143"/>
        <v>0</v>
      </c>
      <c r="M3073" s="77">
        <f t="shared" si="1144"/>
        <v>0</v>
      </c>
      <c r="N3073" s="76">
        <f t="shared" si="1145"/>
        <v>1.02</v>
      </c>
      <c r="O3073" s="77">
        <f t="shared" si="1146"/>
        <v>0.91235229759299785</v>
      </c>
      <c r="P3073" s="76">
        <f t="shared" si="1147"/>
        <v>0</v>
      </c>
      <c r="Q3073" s="76">
        <f t="shared" si="1148"/>
        <v>1</v>
      </c>
      <c r="R3073" s="76">
        <f t="shared" si="1149"/>
        <v>0</v>
      </c>
      <c r="S3073" s="76">
        <f t="shared" si="1150"/>
        <v>1.0115210255922367</v>
      </c>
      <c r="T3073" s="76">
        <f t="shared" si="1151"/>
        <v>0.98300589858243748</v>
      </c>
      <c r="U3073" s="76">
        <f t="shared" si="1152"/>
        <v>1.02</v>
      </c>
    </row>
    <row r="3074" spans="1:21" x14ac:dyDescent="0.25">
      <c r="A3074" s="71">
        <v>26</v>
      </c>
      <c r="B3074" s="72">
        <f t="shared" si="1153"/>
        <v>46419</v>
      </c>
      <c r="C3074" s="73">
        <f t="shared" si="1134"/>
        <v>46446</v>
      </c>
      <c r="D3074" s="67">
        <f t="shared" si="1135"/>
        <v>28</v>
      </c>
      <c r="E3074" s="67">
        <f t="shared" si="1136"/>
        <v>2</v>
      </c>
      <c r="F3074" s="74">
        <f t="shared" si="1137"/>
        <v>46433</v>
      </c>
      <c r="G3074" s="67">
        <f t="shared" si="1138"/>
        <v>24325</v>
      </c>
      <c r="H3074" s="75">
        <f t="shared" si="1139"/>
        <v>1</v>
      </c>
      <c r="I3074" s="76">
        <f t="shared" si="1140"/>
        <v>1.02</v>
      </c>
      <c r="J3074" s="76">
        <f t="shared" si="1141"/>
        <v>1.02</v>
      </c>
      <c r="K3074" s="67">
        <f t="shared" si="1142"/>
        <v>0</v>
      </c>
      <c r="L3074" s="67">
        <f t="shared" si="1143"/>
        <v>0</v>
      </c>
      <c r="M3074" s="77">
        <f t="shared" si="1144"/>
        <v>0</v>
      </c>
      <c r="N3074" s="76">
        <f t="shared" si="1145"/>
        <v>1.02</v>
      </c>
      <c r="O3074" s="77">
        <f t="shared" si="1146"/>
        <v>0.91299781181619255</v>
      </c>
      <c r="P3074" s="76">
        <f t="shared" si="1147"/>
        <v>0</v>
      </c>
      <c r="Q3074" s="76">
        <f t="shared" si="1148"/>
        <v>1</v>
      </c>
      <c r="R3074" s="76">
        <f t="shared" si="1149"/>
        <v>0</v>
      </c>
      <c r="S3074" s="76">
        <f t="shared" si="1150"/>
        <v>1.0122367044049092</v>
      </c>
      <c r="T3074" s="76">
        <f t="shared" si="1151"/>
        <v>0.98370754447721431</v>
      </c>
      <c r="U3074" s="76">
        <f t="shared" si="1152"/>
        <v>1.02</v>
      </c>
    </row>
    <row r="3075" spans="1:21" x14ac:dyDescent="0.25">
      <c r="A3075" s="71">
        <v>27</v>
      </c>
      <c r="B3075" s="72">
        <f t="shared" si="1153"/>
        <v>46447</v>
      </c>
      <c r="C3075" s="73">
        <f t="shared" si="1134"/>
        <v>46477</v>
      </c>
      <c r="D3075" s="67">
        <f t="shared" si="1135"/>
        <v>31</v>
      </c>
      <c r="E3075" s="67">
        <f t="shared" si="1136"/>
        <v>3</v>
      </c>
      <c r="F3075" s="74">
        <f t="shared" si="1137"/>
        <v>46462.5</v>
      </c>
      <c r="G3075" s="67">
        <f t="shared" si="1138"/>
        <v>24326</v>
      </c>
      <c r="H3075" s="75">
        <f t="shared" si="1139"/>
        <v>1</v>
      </c>
      <c r="I3075" s="76">
        <f t="shared" si="1140"/>
        <v>1.02</v>
      </c>
      <c r="J3075" s="76">
        <f t="shared" si="1141"/>
        <v>1.02</v>
      </c>
      <c r="K3075" s="67">
        <f t="shared" si="1142"/>
        <v>0</v>
      </c>
      <c r="L3075" s="67">
        <f t="shared" si="1143"/>
        <v>0</v>
      </c>
      <c r="M3075" s="77">
        <f t="shared" si="1144"/>
        <v>0</v>
      </c>
      <c r="N3075" s="76">
        <f t="shared" si="1145"/>
        <v>1.02</v>
      </c>
      <c r="O3075" s="77">
        <f t="shared" si="1146"/>
        <v>0.91364332603938736</v>
      </c>
      <c r="P3075" s="76">
        <f t="shared" si="1147"/>
        <v>0</v>
      </c>
      <c r="Q3075" s="76">
        <f t="shared" si="1148"/>
        <v>1</v>
      </c>
      <c r="R3075" s="76">
        <f t="shared" si="1149"/>
        <v>0</v>
      </c>
      <c r="S3075" s="76">
        <f t="shared" si="1150"/>
        <v>1.0129523832175815</v>
      </c>
      <c r="T3075" s="76">
        <f t="shared" si="1151"/>
        <v>0.98440919037199126</v>
      </c>
      <c r="U3075" s="76">
        <f t="shared" si="1152"/>
        <v>1.02</v>
      </c>
    </row>
    <row r="3076" spans="1:21" x14ac:dyDescent="0.25">
      <c r="A3076" s="71">
        <v>28</v>
      </c>
      <c r="B3076" s="72">
        <f t="shared" si="1153"/>
        <v>46478</v>
      </c>
      <c r="C3076" s="73">
        <f t="shared" si="1134"/>
        <v>46507</v>
      </c>
      <c r="D3076" s="67">
        <f t="shared" si="1135"/>
        <v>30</v>
      </c>
      <c r="E3076" s="67">
        <f t="shared" si="1136"/>
        <v>4</v>
      </c>
      <c r="F3076" s="74">
        <f t="shared" si="1137"/>
        <v>46493</v>
      </c>
      <c r="G3076" s="67">
        <f t="shared" si="1138"/>
        <v>24327</v>
      </c>
      <c r="H3076" s="75">
        <f t="shared" si="1139"/>
        <v>1</v>
      </c>
      <c r="I3076" s="76">
        <f t="shared" si="1140"/>
        <v>1.02</v>
      </c>
      <c r="J3076" s="76">
        <f t="shared" si="1141"/>
        <v>1.02</v>
      </c>
      <c r="K3076" s="67">
        <f t="shared" si="1142"/>
        <v>0</v>
      </c>
      <c r="L3076" s="67">
        <f t="shared" si="1143"/>
        <v>0</v>
      </c>
      <c r="M3076" s="77">
        <f t="shared" si="1144"/>
        <v>0</v>
      </c>
      <c r="N3076" s="76">
        <f t="shared" si="1145"/>
        <v>1.02</v>
      </c>
      <c r="O3076" s="77">
        <f t="shared" si="1146"/>
        <v>0.91431072210065645</v>
      </c>
      <c r="P3076" s="76">
        <f t="shared" si="1147"/>
        <v>0</v>
      </c>
      <c r="Q3076" s="76">
        <f t="shared" si="1148"/>
        <v>1</v>
      </c>
      <c r="R3076" s="76">
        <f t="shared" si="1149"/>
        <v>0</v>
      </c>
      <c r="S3076" s="76">
        <f t="shared" si="1150"/>
        <v>1.0136923223289886</v>
      </c>
      <c r="T3076" s="76">
        <f t="shared" si="1151"/>
        <v>0.98513462087337078</v>
      </c>
      <c r="U3076" s="76">
        <f t="shared" si="1152"/>
        <v>1.02</v>
      </c>
    </row>
    <row r="3077" spans="1:21" x14ac:dyDescent="0.25">
      <c r="A3077" s="71">
        <v>29</v>
      </c>
      <c r="B3077" s="72">
        <f t="shared" si="1153"/>
        <v>46508</v>
      </c>
      <c r="C3077" s="73">
        <f t="shared" si="1134"/>
        <v>46538</v>
      </c>
      <c r="D3077" s="67">
        <f t="shared" si="1135"/>
        <v>31</v>
      </c>
      <c r="E3077" s="67">
        <f t="shared" si="1136"/>
        <v>5</v>
      </c>
      <c r="F3077" s="74">
        <f t="shared" si="1137"/>
        <v>46523.5</v>
      </c>
      <c r="G3077" s="67">
        <f t="shared" si="1138"/>
        <v>24328</v>
      </c>
      <c r="H3077" s="75">
        <f t="shared" si="1139"/>
        <v>1</v>
      </c>
      <c r="I3077" s="76">
        <f t="shared" si="1140"/>
        <v>1.02</v>
      </c>
      <c r="J3077" s="76">
        <f t="shared" si="1141"/>
        <v>1.02</v>
      </c>
      <c r="K3077" s="67">
        <f t="shared" si="1142"/>
        <v>0</v>
      </c>
      <c r="L3077" s="67">
        <f t="shared" si="1143"/>
        <v>0</v>
      </c>
      <c r="M3077" s="77">
        <f t="shared" si="1144"/>
        <v>0</v>
      </c>
      <c r="N3077" s="76">
        <f t="shared" si="1145"/>
        <v>1.02</v>
      </c>
      <c r="O3077" s="77">
        <f t="shared" si="1146"/>
        <v>0.91497811816192565</v>
      </c>
      <c r="P3077" s="76">
        <f t="shared" si="1147"/>
        <v>0</v>
      </c>
      <c r="Q3077" s="76">
        <f t="shared" si="1148"/>
        <v>1</v>
      </c>
      <c r="R3077" s="76">
        <f t="shared" si="1149"/>
        <v>0</v>
      </c>
      <c r="S3077" s="76">
        <f t="shared" si="1150"/>
        <v>1.0144322614403958</v>
      </c>
      <c r="T3077" s="76">
        <f t="shared" si="1151"/>
        <v>0.9858600513747503</v>
      </c>
      <c r="U3077" s="76">
        <f t="shared" si="1152"/>
        <v>1.02</v>
      </c>
    </row>
    <row r="3078" spans="1:21" x14ac:dyDescent="0.25">
      <c r="A3078" s="71">
        <v>30</v>
      </c>
      <c r="B3078" s="72">
        <f t="shared" si="1153"/>
        <v>46539</v>
      </c>
      <c r="C3078" s="73">
        <f t="shared" si="1134"/>
        <v>46568</v>
      </c>
      <c r="D3078" s="67">
        <f t="shared" si="1135"/>
        <v>30</v>
      </c>
      <c r="E3078" s="67">
        <f t="shared" si="1136"/>
        <v>6</v>
      </c>
      <c r="F3078" s="74">
        <f t="shared" si="1137"/>
        <v>46554</v>
      </c>
      <c r="G3078" s="67">
        <f t="shared" si="1138"/>
        <v>24329</v>
      </c>
      <c r="H3078" s="75">
        <f t="shared" si="1139"/>
        <v>1</v>
      </c>
      <c r="I3078" s="76">
        <f t="shared" si="1140"/>
        <v>1.02</v>
      </c>
      <c r="J3078" s="76">
        <f t="shared" si="1141"/>
        <v>1.02</v>
      </c>
      <c r="K3078" s="67">
        <f t="shared" si="1142"/>
        <v>0</v>
      </c>
      <c r="L3078" s="67">
        <f t="shared" si="1143"/>
        <v>0</v>
      </c>
      <c r="M3078" s="77">
        <f t="shared" si="1144"/>
        <v>0</v>
      </c>
      <c r="N3078" s="76">
        <f t="shared" si="1145"/>
        <v>1.02</v>
      </c>
      <c r="O3078" s="77">
        <f t="shared" si="1146"/>
        <v>0.91564551422319473</v>
      </c>
      <c r="P3078" s="76">
        <f t="shared" si="1147"/>
        <v>0</v>
      </c>
      <c r="Q3078" s="76">
        <f t="shared" si="1148"/>
        <v>1</v>
      </c>
      <c r="R3078" s="76">
        <f t="shared" si="1149"/>
        <v>0</v>
      </c>
      <c r="S3078" s="76">
        <f t="shared" si="1150"/>
        <v>1.0151722005518029</v>
      </c>
      <c r="T3078" s="76">
        <f t="shared" si="1151"/>
        <v>0.98658548187612971</v>
      </c>
      <c r="U3078" s="76">
        <f t="shared" si="1152"/>
        <v>1.02</v>
      </c>
    </row>
    <row r="3079" spans="1:21" x14ac:dyDescent="0.25">
      <c r="A3079" s="71">
        <v>31</v>
      </c>
      <c r="B3079" s="72">
        <f t="shared" si="1153"/>
        <v>46569</v>
      </c>
      <c r="C3079" s="73">
        <f t="shared" si="1134"/>
        <v>46599</v>
      </c>
      <c r="D3079" s="67">
        <f t="shared" si="1135"/>
        <v>31</v>
      </c>
      <c r="E3079" s="67">
        <f t="shared" si="1136"/>
        <v>7</v>
      </c>
      <c r="F3079" s="74">
        <f t="shared" si="1137"/>
        <v>46584.5</v>
      </c>
      <c r="G3079" s="67">
        <f t="shared" si="1138"/>
        <v>24330</v>
      </c>
      <c r="H3079" s="75">
        <f t="shared" si="1139"/>
        <v>1</v>
      </c>
      <c r="I3079" s="76">
        <f t="shared" si="1140"/>
        <v>1.02</v>
      </c>
      <c r="J3079" s="76">
        <f t="shared" si="1141"/>
        <v>1.02</v>
      </c>
      <c r="K3079" s="67">
        <f t="shared" si="1142"/>
        <v>0</v>
      </c>
      <c r="L3079" s="67">
        <f t="shared" si="1143"/>
        <v>0</v>
      </c>
      <c r="M3079" s="77">
        <f t="shared" si="1144"/>
        <v>0</v>
      </c>
      <c r="N3079" s="76">
        <f t="shared" si="1145"/>
        <v>1.02</v>
      </c>
      <c r="O3079" s="77">
        <f t="shared" si="1146"/>
        <v>0.91631291028446393</v>
      </c>
      <c r="P3079" s="76">
        <f t="shared" si="1147"/>
        <v>0</v>
      </c>
      <c r="Q3079" s="76">
        <f t="shared" si="1148"/>
        <v>0.91666666666666663</v>
      </c>
      <c r="R3079" s="76">
        <f t="shared" si="1149"/>
        <v>8.333333333333337E-2</v>
      </c>
      <c r="S3079" s="76">
        <f t="shared" si="1150"/>
        <v>1.01591213966321</v>
      </c>
      <c r="T3079" s="76">
        <f t="shared" si="1151"/>
        <v>0.98731091237750934</v>
      </c>
      <c r="U3079" s="76">
        <f t="shared" si="1152"/>
        <v>1.02</v>
      </c>
    </row>
    <row r="3080" spans="1:21" x14ac:dyDescent="0.25">
      <c r="A3080" s="71">
        <v>32</v>
      </c>
      <c r="B3080" s="72">
        <f t="shared" si="1153"/>
        <v>46600</v>
      </c>
      <c r="C3080" s="73">
        <f t="shared" si="1134"/>
        <v>46630</v>
      </c>
      <c r="D3080" s="67">
        <f t="shared" si="1135"/>
        <v>31</v>
      </c>
      <c r="E3080" s="67">
        <f t="shared" si="1136"/>
        <v>8</v>
      </c>
      <c r="F3080" s="74">
        <f t="shared" si="1137"/>
        <v>46615.5</v>
      </c>
      <c r="G3080" s="67">
        <f t="shared" si="1138"/>
        <v>24331</v>
      </c>
      <c r="H3080" s="75">
        <f t="shared" si="1139"/>
        <v>1</v>
      </c>
      <c r="I3080" s="76">
        <f t="shared" si="1140"/>
        <v>1.02</v>
      </c>
      <c r="J3080" s="76">
        <f t="shared" si="1141"/>
        <v>1.02</v>
      </c>
      <c r="K3080" s="67">
        <f t="shared" si="1142"/>
        <v>0</v>
      </c>
      <c r="L3080" s="67">
        <f t="shared" si="1143"/>
        <v>0</v>
      </c>
      <c r="M3080" s="77">
        <f t="shared" si="1144"/>
        <v>0</v>
      </c>
      <c r="N3080" s="76">
        <f t="shared" si="1145"/>
        <v>1.02</v>
      </c>
      <c r="O3080" s="77">
        <f t="shared" si="1146"/>
        <v>0.91699124726477033</v>
      </c>
      <c r="P3080" s="76">
        <f t="shared" si="1147"/>
        <v>0</v>
      </c>
      <c r="Q3080" s="76">
        <f t="shared" si="1148"/>
        <v>0.75</v>
      </c>
      <c r="R3080" s="76">
        <f t="shared" si="1149"/>
        <v>0.25</v>
      </c>
      <c r="S3080" s="76">
        <f t="shared" si="1150"/>
        <v>1.0166642089239846</v>
      </c>
      <c r="T3080" s="76">
        <f t="shared" si="1151"/>
        <v>1.0078091998858338</v>
      </c>
      <c r="U3080" s="76">
        <f t="shared" si="1152"/>
        <v>1.02</v>
      </c>
    </row>
    <row r="3081" spans="1:21" x14ac:dyDescent="0.25">
      <c r="A3081" s="71">
        <v>33</v>
      </c>
      <c r="B3081" s="72">
        <f t="shared" si="1153"/>
        <v>46631</v>
      </c>
      <c r="C3081" s="73">
        <f t="shared" si="1134"/>
        <v>46660</v>
      </c>
      <c r="D3081" s="67">
        <f t="shared" si="1135"/>
        <v>30</v>
      </c>
      <c r="E3081" s="67">
        <f t="shared" si="1136"/>
        <v>9</v>
      </c>
      <c r="F3081" s="74">
        <f t="shared" si="1137"/>
        <v>46646</v>
      </c>
      <c r="G3081" s="67">
        <f t="shared" si="1138"/>
        <v>24332</v>
      </c>
      <c r="H3081" s="75">
        <f t="shared" si="1139"/>
        <v>1</v>
      </c>
      <c r="I3081" s="76">
        <f t="shared" si="1140"/>
        <v>1.02</v>
      </c>
      <c r="J3081" s="76">
        <f t="shared" si="1141"/>
        <v>1.02</v>
      </c>
      <c r="K3081" s="67">
        <f t="shared" si="1142"/>
        <v>0</v>
      </c>
      <c r="L3081" s="67">
        <f t="shared" si="1143"/>
        <v>0</v>
      </c>
      <c r="M3081" s="77">
        <f t="shared" si="1144"/>
        <v>0</v>
      </c>
      <c r="N3081" s="76">
        <f t="shared" si="1145"/>
        <v>1.02</v>
      </c>
      <c r="O3081" s="77">
        <f t="shared" si="1146"/>
        <v>0.91765864332603941</v>
      </c>
      <c r="P3081" s="76">
        <f t="shared" si="1147"/>
        <v>0</v>
      </c>
      <c r="Q3081" s="76">
        <f t="shared" si="1148"/>
        <v>0.58333333333333337</v>
      </c>
      <c r="R3081" s="76">
        <f t="shared" si="1149"/>
        <v>0.41666666666666663</v>
      </c>
      <c r="S3081" s="76">
        <f t="shared" si="1150"/>
        <v>1.0174041480353915</v>
      </c>
      <c r="T3081" s="76">
        <f t="shared" si="1151"/>
        <v>1.008549138997241</v>
      </c>
      <c r="U3081" s="76">
        <f t="shared" si="1152"/>
        <v>1.02</v>
      </c>
    </row>
    <row r="3082" spans="1:21" x14ac:dyDescent="0.25">
      <c r="A3082" s="71">
        <v>34</v>
      </c>
      <c r="B3082" s="72">
        <f t="shared" si="1153"/>
        <v>46661</v>
      </c>
      <c r="C3082" s="73">
        <f t="shared" si="1134"/>
        <v>46691</v>
      </c>
      <c r="D3082" s="67">
        <f t="shared" si="1135"/>
        <v>31</v>
      </c>
      <c r="E3082" s="67">
        <f t="shared" si="1136"/>
        <v>10</v>
      </c>
      <c r="F3082" s="74">
        <f t="shared" si="1137"/>
        <v>46676.5</v>
      </c>
      <c r="G3082" s="67">
        <f t="shared" si="1138"/>
        <v>24333</v>
      </c>
      <c r="H3082" s="75">
        <f t="shared" si="1139"/>
        <v>1</v>
      </c>
      <c r="I3082" s="76">
        <f t="shared" si="1140"/>
        <v>1.02</v>
      </c>
      <c r="J3082" s="76">
        <f t="shared" si="1141"/>
        <v>1.02</v>
      </c>
      <c r="K3082" s="67">
        <f t="shared" si="1142"/>
        <v>0</v>
      </c>
      <c r="L3082" s="67">
        <f t="shared" si="1143"/>
        <v>0</v>
      </c>
      <c r="M3082" s="77">
        <f t="shared" si="1144"/>
        <v>0</v>
      </c>
      <c r="N3082" s="76">
        <f t="shared" si="1145"/>
        <v>1.02</v>
      </c>
      <c r="O3082" s="77">
        <f t="shared" si="1146"/>
        <v>0.91832603938730861</v>
      </c>
      <c r="P3082" s="76">
        <f t="shared" si="1147"/>
        <v>0</v>
      </c>
      <c r="Q3082" s="76">
        <f t="shared" si="1148"/>
        <v>0.41666666666666669</v>
      </c>
      <c r="R3082" s="76">
        <f t="shared" si="1149"/>
        <v>0.58333333333333326</v>
      </c>
      <c r="S3082" s="76">
        <f t="shared" si="1150"/>
        <v>1.0181440871467986</v>
      </c>
      <c r="T3082" s="76">
        <f t="shared" si="1151"/>
        <v>1.0092890781086481</v>
      </c>
      <c r="U3082" s="76">
        <f t="shared" si="1152"/>
        <v>1.02</v>
      </c>
    </row>
    <row r="3083" spans="1:21" x14ac:dyDescent="0.25">
      <c r="A3083" s="71">
        <v>35</v>
      </c>
      <c r="B3083" s="72">
        <f t="shared" si="1153"/>
        <v>46692</v>
      </c>
      <c r="C3083" s="73">
        <f t="shared" si="1134"/>
        <v>46721</v>
      </c>
      <c r="D3083" s="67">
        <f t="shared" si="1135"/>
        <v>30</v>
      </c>
      <c r="E3083" s="67">
        <f t="shared" si="1136"/>
        <v>11</v>
      </c>
      <c r="F3083" s="74">
        <f t="shared" si="1137"/>
        <v>46707</v>
      </c>
      <c r="G3083" s="67">
        <f t="shared" si="1138"/>
        <v>24334</v>
      </c>
      <c r="H3083" s="75">
        <f t="shared" si="1139"/>
        <v>1</v>
      </c>
      <c r="I3083" s="76">
        <f t="shared" si="1140"/>
        <v>1.02</v>
      </c>
      <c r="J3083" s="76">
        <f t="shared" si="1141"/>
        <v>1.02</v>
      </c>
      <c r="K3083" s="67">
        <f t="shared" si="1142"/>
        <v>0</v>
      </c>
      <c r="L3083" s="67">
        <f t="shared" si="1143"/>
        <v>0</v>
      </c>
      <c r="M3083" s="77">
        <f t="shared" si="1144"/>
        <v>0</v>
      </c>
      <c r="N3083" s="76">
        <f t="shared" si="1145"/>
        <v>1.02</v>
      </c>
      <c r="O3083" s="77">
        <f t="shared" si="1146"/>
        <v>0.9189934354485777</v>
      </c>
      <c r="P3083" s="76">
        <f t="shared" si="1147"/>
        <v>0</v>
      </c>
      <c r="Q3083" s="76">
        <f t="shared" si="1148"/>
        <v>0.25</v>
      </c>
      <c r="R3083" s="76">
        <f t="shared" si="1149"/>
        <v>0.75</v>
      </c>
      <c r="S3083" s="76">
        <f t="shared" si="1150"/>
        <v>1.0188840262582057</v>
      </c>
      <c r="T3083" s="76">
        <f t="shared" si="1151"/>
        <v>1.0100290172200552</v>
      </c>
      <c r="U3083" s="76">
        <f t="shared" si="1152"/>
        <v>1.02</v>
      </c>
    </row>
    <row r="3084" spans="1:21" x14ac:dyDescent="0.25">
      <c r="A3084" s="71">
        <v>36</v>
      </c>
      <c r="B3084" s="72">
        <f t="shared" si="1153"/>
        <v>46722</v>
      </c>
      <c r="C3084" s="73">
        <f t="shared" si="1134"/>
        <v>46752</v>
      </c>
      <c r="D3084" s="67">
        <f t="shared" si="1135"/>
        <v>31</v>
      </c>
      <c r="E3084" s="67">
        <f t="shared" si="1136"/>
        <v>12</v>
      </c>
      <c r="F3084" s="74">
        <f t="shared" si="1137"/>
        <v>46737.5</v>
      </c>
      <c r="G3084" s="67">
        <f t="shared" si="1138"/>
        <v>24335</v>
      </c>
      <c r="H3084" s="75">
        <f t="shared" si="1139"/>
        <v>1</v>
      </c>
      <c r="I3084" s="76">
        <f t="shared" si="1140"/>
        <v>1.02</v>
      </c>
      <c r="J3084" s="76">
        <f t="shared" si="1141"/>
        <v>1.02</v>
      </c>
      <c r="K3084" s="67">
        <f t="shared" si="1142"/>
        <v>0</v>
      </c>
      <c r="L3084" s="67">
        <f t="shared" si="1143"/>
        <v>0</v>
      </c>
      <c r="M3084" s="77">
        <f t="shared" si="1144"/>
        <v>0</v>
      </c>
      <c r="N3084" s="76">
        <f t="shared" si="1145"/>
        <v>1.02</v>
      </c>
      <c r="O3084" s="77">
        <f t="shared" si="1146"/>
        <v>0.9196608315098469</v>
      </c>
      <c r="P3084" s="76">
        <f t="shared" si="1147"/>
        <v>0</v>
      </c>
      <c r="Q3084" s="76">
        <f t="shared" si="1148"/>
        <v>8.3333333333333329E-2</v>
      </c>
      <c r="R3084" s="76">
        <f t="shared" si="1149"/>
        <v>0.91666666666666663</v>
      </c>
      <c r="S3084" s="76">
        <f t="shared" si="1150"/>
        <v>1.0196239653696129</v>
      </c>
      <c r="T3084" s="76">
        <f t="shared" si="1151"/>
        <v>1.0107689563314621</v>
      </c>
      <c r="U3084" s="76">
        <f t="shared" si="1152"/>
        <v>1.02</v>
      </c>
    </row>
    <row r="3085" spans="1:21" x14ac:dyDescent="0.25">
      <c r="A3085" s="71">
        <v>37</v>
      </c>
      <c r="B3085" s="72">
        <f t="shared" si="1153"/>
        <v>46753</v>
      </c>
      <c r="C3085" s="73">
        <f t="shared" si="1134"/>
        <v>46783</v>
      </c>
      <c r="D3085" s="67">
        <f t="shared" si="1135"/>
        <v>31</v>
      </c>
      <c r="E3085" s="67">
        <f t="shared" si="1136"/>
        <v>1</v>
      </c>
      <c r="F3085" s="74">
        <f t="shared" si="1137"/>
        <v>46768.5</v>
      </c>
      <c r="G3085" s="67">
        <f t="shared" si="1138"/>
        <v>24336</v>
      </c>
      <c r="H3085" s="75">
        <f t="shared" si="1139"/>
        <v>1</v>
      </c>
      <c r="I3085" s="76">
        <f t="shared" si="1140"/>
        <v>1.02</v>
      </c>
      <c r="J3085" s="76">
        <f t="shared" si="1141"/>
        <v>1.02</v>
      </c>
      <c r="K3085" s="67">
        <f t="shared" si="1142"/>
        <v>0</v>
      </c>
      <c r="L3085" s="67">
        <f t="shared" si="1143"/>
        <v>0</v>
      </c>
      <c r="M3085" s="77">
        <f t="shared" si="1144"/>
        <v>0</v>
      </c>
      <c r="N3085" s="76">
        <f t="shared" si="1145"/>
        <v>1.02</v>
      </c>
      <c r="O3085" s="77">
        <f t="shared" si="1146"/>
        <v>0.92</v>
      </c>
      <c r="P3085" s="76">
        <f t="shared" si="1147"/>
        <v>0</v>
      </c>
      <c r="Q3085" s="76">
        <f t="shared" si="1148"/>
        <v>0</v>
      </c>
      <c r="R3085" s="76">
        <f t="shared" si="1149"/>
        <v>1</v>
      </c>
      <c r="S3085" s="76">
        <f t="shared" si="1150"/>
        <v>1.02</v>
      </c>
      <c r="T3085" s="76">
        <f t="shared" si="1151"/>
        <v>0.98300589858243748</v>
      </c>
      <c r="U3085" s="76">
        <f t="shared" si="1152"/>
        <v>1.02</v>
      </c>
    </row>
    <row r="3086" spans="1:21" x14ac:dyDescent="0.25">
      <c r="A3086" s="71">
        <v>38</v>
      </c>
      <c r="B3086" s="72">
        <f t="shared" si="1153"/>
        <v>46784</v>
      </c>
      <c r="C3086" s="73">
        <f t="shared" si="1134"/>
        <v>46812</v>
      </c>
      <c r="D3086" s="67">
        <f t="shared" si="1135"/>
        <v>29</v>
      </c>
      <c r="E3086" s="67">
        <f t="shared" si="1136"/>
        <v>2</v>
      </c>
      <c r="F3086" s="74">
        <f t="shared" si="1137"/>
        <v>46798.5</v>
      </c>
      <c r="G3086" s="67">
        <f t="shared" si="1138"/>
        <v>24337</v>
      </c>
      <c r="H3086" s="75">
        <f t="shared" si="1139"/>
        <v>1</v>
      </c>
      <c r="I3086" s="76">
        <f t="shared" si="1140"/>
        <v>1.02</v>
      </c>
      <c r="J3086" s="76">
        <f t="shared" si="1141"/>
        <v>1.02</v>
      </c>
      <c r="K3086" s="67">
        <f t="shared" si="1142"/>
        <v>0</v>
      </c>
      <c r="L3086" s="67">
        <f t="shared" si="1143"/>
        <v>0</v>
      </c>
      <c r="M3086" s="77">
        <f t="shared" si="1144"/>
        <v>0</v>
      </c>
      <c r="N3086" s="76">
        <f t="shared" si="1145"/>
        <v>1.02</v>
      </c>
      <c r="O3086" s="77">
        <f t="shared" si="1146"/>
        <v>0.92</v>
      </c>
      <c r="P3086" s="76">
        <f t="shared" si="1147"/>
        <v>0</v>
      </c>
      <c r="Q3086" s="76">
        <f t="shared" si="1148"/>
        <v>0</v>
      </c>
      <c r="R3086" s="76">
        <f t="shared" si="1149"/>
        <v>1</v>
      </c>
      <c r="S3086" s="76">
        <f t="shared" si="1150"/>
        <v>1.02</v>
      </c>
      <c r="T3086" s="76">
        <f t="shared" si="1151"/>
        <v>0.98370754447721431</v>
      </c>
      <c r="U3086" s="76">
        <f t="shared" si="1152"/>
        <v>1.02</v>
      </c>
    </row>
    <row r="3087" spans="1:21" x14ac:dyDescent="0.25">
      <c r="A3087" s="71">
        <v>39</v>
      </c>
      <c r="B3087" s="72">
        <f t="shared" si="1153"/>
        <v>46813</v>
      </c>
      <c r="C3087" s="73">
        <f t="shared" si="1134"/>
        <v>46843</v>
      </c>
      <c r="D3087" s="67">
        <f t="shared" si="1135"/>
        <v>31</v>
      </c>
      <c r="E3087" s="67">
        <f t="shared" si="1136"/>
        <v>3</v>
      </c>
      <c r="F3087" s="74">
        <f t="shared" si="1137"/>
        <v>46828.5</v>
      </c>
      <c r="G3087" s="67">
        <f t="shared" si="1138"/>
        <v>24338</v>
      </c>
      <c r="H3087" s="75">
        <f t="shared" si="1139"/>
        <v>1</v>
      </c>
      <c r="I3087" s="76">
        <f t="shared" si="1140"/>
        <v>1.02</v>
      </c>
      <c r="J3087" s="76">
        <f t="shared" si="1141"/>
        <v>1.02</v>
      </c>
      <c r="K3087" s="67">
        <f t="shared" si="1142"/>
        <v>0</v>
      </c>
      <c r="L3087" s="67">
        <f t="shared" si="1143"/>
        <v>0</v>
      </c>
      <c r="M3087" s="77">
        <f t="shared" si="1144"/>
        <v>0</v>
      </c>
      <c r="N3087" s="76">
        <f t="shared" si="1145"/>
        <v>1.02</v>
      </c>
      <c r="O3087" s="77">
        <f t="shared" si="1146"/>
        <v>0.92</v>
      </c>
      <c r="P3087" s="76">
        <f t="shared" si="1147"/>
        <v>0</v>
      </c>
      <c r="Q3087" s="76">
        <f t="shared" si="1148"/>
        <v>0</v>
      </c>
      <c r="R3087" s="76">
        <f t="shared" si="1149"/>
        <v>1</v>
      </c>
      <c r="S3087" s="76">
        <f t="shared" si="1150"/>
        <v>1.02</v>
      </c>
      <c r="T3087" s="76">
        <f t="shared" si="1151"/>
        <v>0.98440919037199126</v>
      </c>
      <c r="U3087" s="76">
        <f t="shared" si="1152"/>
        <v>1.02</v>
      </c>
    </row>
    <row r="3088" spans="1:21" x14ac:dyDescent="0.25">
      <c r="A3088" s="71">
        <v>40</v>
      </c>
      <c r="B3088" s="72">
        <f t="shared" si="1153"/>
        <v>46844</v>
      </c>
      <c r="C3088" s="73">
        <f t="shared" si="1134"/>
        <v>46873</v>
      </c>
      <c r="D3088" s="67">
        <f t="shared" si="1135"/>
        <v>30</v>
      </c>
      <c r="E3088" s="67">
        <f t="shared" si="1136"/>
        <v>4</v>
      </c>
      <c r="F3088" s="74">
        <f t="shared" si="1137"/>
        <v>46859</v>
      </c>
      <c r="G3088" s="67">
        <f t="shared" si="1138"/>
        <v>24339</v>
      </c>
      <c r="H3088" s="75">
        <f t="shared" si="1139"/>
        <v>1</v>
      </c>
      <c r="I3088" s="76">
        <f t="shared" si="1140"/>
        <v>1.02</v>
      </c>
      <c r="J3088" s="76">
        <f t="shared" si="1141"/>
        <v>1.02</v>
      </c>
      <c r="K3088" s="67">
        <f t="shared" si="1142"/>
        <v>0</v>
      </c>
      <c r="L3088" s="67">
        <f t="shared" si="1143"/>
        <v>0</v>
      </c>
      <c r="M3088" s="77">
        <f t="shared" si="1144"/>
        <v>0</v>
      </c>
      <c r="N3088" s="76">
        <f t="shared" si="1145"/>
        <v>1.02</v>
      </c>
      <c r="O3088" s="77">
        <f t="shared" si="1146"/>
        <v>0.92</v>
      </c>
      <c r="P3088" s="76">
        <f t="shared" si="1147"/>
        <v>0</v>
      </c>
      <c r="Q3088" s="76">
        <f t="shared" si="1148"/>
        <v>0</v>
      </c>
      <c r="R3088" s="76">
        <f t="shared" si="1149"/>
        <v>1</v>
      </c>
      <c r="S3088" s="76">
        <f t="shared" si="1150"/>
        <v>1.02</v>
      </c>
      <c r="T3088" s="76">
        <f t="shared" si="1151"/>
        <v>0.98513462087337078</v>
      </c>
      <c r="U3088" s="76">
        <f t="shared" si="1152"/>
        <v>1.02</v>
      </c>
    </row>
    <row r="3089" spans="1:21" x14ac:dyDescent="0.25">
      <c r="A3089" s="71">
        <v>41</v>
      </c>
      <c r="B3089" s="72">
        <f t="shared" si="1153"/>
        <v>46874</v>
      </c>
      <c r="C3089" s="73">
        <f t="shared" si="1134"/>
        <v>46904</v>
      </c>
      <c r="D3089" s="67">
        <f t="shared" si="1135"/>
        <v>31</v>
      </c>
      <c r="E3089" s="67">
        <f t="shared" si="1136"/>
        <v>5</v>
      </c>
      <c r="F3089" s="74">
        <f t="shared" si="1137"/>
        <v>46889.5</v>
      </c>
      <c r="G3089" s="67">
        <f t="shared" si="1138"/>
        <v>24340</v>
      </c>
      <c r="H3089" s="75">
        <f t="shared" si="1139"/>
        <v>1</v>
      </c>
      <c r="I3089" s="76">
        <f t="shared" si="1140"/>
        <v>1.02</v>
      </c>
      <c r="J3089" s="76">
        <f t="shared" si="1141"/>
        <v>1.02</v>
      </c>
      <c r="K3089" s="67">
        <f t="shared" si="1142"/>
        <v>0</v>
      </c>
      <c r="L3089" s="67">
        <f t="shared" si="1143"/>
        <v>0</v>
      </c>
      <c r="M3089" s="77">
        <f t="shared" si="1144"/>
        <v>0</v>
      </c>
      <c r="N3089" s="76">
        <f t="shared" si="1145"/>
        <v>1.02</v>
      </c>
      <c r="O3089" s="77">
        <f t="shared" si="1146"/>
        <v>0.92</v>
      </c>
      <c r="P3089" s="76">
        <f t="shared" si="1147"/>
        <v>0</v>
      </c>
      <c r="Q3089" s="76">
        <f t="shared" si="1148"/>
        <v>0</v>
      </c>
      <c r="R3089" s="76">
        <f t="shared" si="1149"/>
        <v>1</v>
      </c>
      <c r="S3089" s="76">
        <f t="shared" si="1150"/>
        <v>1.02</v>
      </c>
      <c r="T3089" s="76">
        <f t="shared" si="1151"/>
        <v>0.9858600513747503</v>
      </c>
      <c r="U3089" s="76">
        <f t="shared" si="1152"/>
        <v>1.02</v>
      </c>
    </row>
    <row r="3090" spans="1:21" x14ac:dyDescent="0.25">
      <c r="A3090" s="71">
        <v>42</v>
      </c>
      <c r="B3090" s="72">
        <f t="shared" si="1153"/>
        <v>46905</v>
      </c>
      <c r="C3090" s="73">
        <f t="shared" si="1134"/>
        <v>46934</v>
      </c>
      <c r="D3090" s="67">
        <f t="shared" si="1135"/>
        <v>30</v>
      </c>
      <c r="E3090" s="67">
        <f t="shared" si="1136"/>
        <v>6</v>
      </c>
      <c r="F3090" s="74">
        <f t="shared" si="1137"/>
        <v>46920</v>
      </c>
      <c r="G3090" s="67">
        <f t="shared" si="1138"/>
        <v>24341</v>
      </c>
      <c r="H3090" s="75">
        <f t="shared" si="1139"/>
        <v>1</v>
      </c>
      <c r="I3090" s="76">
        <f t="shared" si="1140"/>
        <v>1.02</v>
      </c>
      <c r="J3090" s="76">
        <f t="shared" si="1141"/>
        <v>1.02</v>
      </c>
      <c r="K3090" s="67">
        <f t="shared" si="1142"/>
        <v>0</v>
      </c>
      <c r="L3090" s="67">
        <f t="shared" si="1143"/>
        <v>0</v>
      </c>
      <c r="M3090" s="77">
        <f t="shared" si="1144"/>
        <v>0</v>
      </c>
      <c r="N3090" s="76">
        <f t="shared" si="1145"/>
        <v>1.02</v>
      </c>
      <c r="O3090" s="77">
        <f t="shared" si="1146"/>
        <v>0.92</v>
      </c>
      <c r="P3090" s="76">
        <f t="shared" si="1147"/>
        <v>0</v>
      </c>
      <c r="Q3090" s="76">
        <f t="shared" si="1148"/>
        <v>0</v>
      </c>
      <c r="R3090" s="76">
        <f t="shared" si="1149"/>
        <v>1</v>
      </c>
      <c r="S3090" s="76">
        <f t="shared" si="1150"/>
        <v>1.02</v>
      </c>
      <c r="T3090" s="76">
        <f t="shared" si="1151"/>
        <v>0.98658548187612971</v>
      </c>
      <c r="U3090" s="76">
        <f t="shared" si="1152"/>
        <v>1.02</v>
      </c>
    </row>
    <row r="3091" spans="1:21" x14ac:dyDescent="0.25">
      <c r="A3091" s="71">
        <v>43</v>
      </c>
      <c r="B3091" s="72">
        <f t="shared" si="1153"/>
        <v>46935</v>
      </c>
      <c r="C3091" s="73">
        <f t="shared" si="1134"/>
        <v>46965</v>
      </c>
      <c r="D3091" s="67">
        <f t="shared" si="1135"/>
        <v>31</v>
      </c>
      <c r="E3091" s="67">
        <f t="shared" si="1136"/>
        <v>7</v>
      </c>
      <c r="F3091" s="74">
        <f t="shared" si="1137"/>
        <v>46950.5</v>
      </c>
      <c r="G3091" s="67">
        <f t="shared" si="1138"/>
        <v>24342</v>
      </c>
      <c r="H3091" s="75">
        <f t="shared" si="1139"/>
        <v>1</v>
      </c>
      <c r="I3091" s="76">
        <f t="shared" si="1140"/>
        <v>1.02</v>
      </c>
      <c r="J3091" s="76">
        <f t="shared" si="1141"/>
        <v>1.02</v>
      </c>
      <c r="K3091" s="67">
        <f t="shared" si="1142"/>
        <v>0</v>
      </c>
      <c r="L3091" s="67">
        <f t="shared" si="1143"/>
        <v>0</v>
      </c>
      <c r="M3091" s="77">
        <f t="shared" si="1144"/>
        <v>0</v>
      </c>
      <c r="N3091" s="76">
        <f t="shared" si="1145"/>
        <v>1.02</v>
      </c>
      <c r="O3091" s="77">
        <f t="shared" si="1146"/>
        <v>0.92</v>
      </c>
      <c r="P3091" s="76">
        <f t="shared" si="1147"/>
        <v>0</v>
      </c>
      <c r="Q3091" s="76">
        <f t="shared" si="1148"/>
        <v>0</v>
      </c>
      <c r="R3091" s="76">
        <f t="shared" si="1149"/>
        <v>0.91666666666666663</v>
      </c>
      <c r="S3091" s="76">
        <f t="shared" si="1150"/>
        <v>1.02</v>
      </c>
      <c r="T3091" s="76">
        <f t="shared" si="1151"/>
        <v>0.98731091237750934</v>
      </c>
      <c r="U3091" s="76">
        <f t="shared" si="1152"/>
        <v>1.02</v>
      </c>
    </row>
    <row r="3092" spans="1:21" x14ac:dyDescent="0.25">
      <c r="A3092" s="71">
        <v>44</v>
      </c>
      <c r="B3092" s="72">
        <f t="shared" si="1153"/>
        <v>46966</v>
      </c>
      <c r="C3092" s="73">
        <f t="shared" si="1134"/>
        <v>46996</v>
      </c>
      <c r="D3092" s="67">
        <f t="shared" si="1135"/>
        <v>31</v>
      </c>
      <c r="E3092" s="67">
        <f t="shared" si="1136"/>
        <v>8</v>
      </c>
      <c r="F3092" s="74">
        <f t="shared" si="1137"/>
        <v>46981.5</v>
      </c>
      <c r="G3092" s="67">
        <f t="shared" si="1138"/>
        <v>24343</v>
      </c>
      <c r="H3092" s="75">
        <f t="shared" si="1139"/>
        <v>1</v>
      </c>
      <c r="I3092" s="76">
        <f t="shared" si="1140"/>
        <v>1.02</v>
      </c>
      <c r="J3092" s="76">
        <f t="shared" si="1141"/>
        <v>1.02</v>
      </c>
      <c r="K3092" s="67">
        <f t="shared" si="1142"/>
        <v>0</v>
      </c>
      <c r="L3092" s="67">
        <f t="shared" si="1143"/>
        <v>0</v>
      </c>
      <c r="M3092" s="77">
        <f t="shared" si="1144"/>
        <v>0</v>
      </c>
      <c r="N3092" s="76">
        <f t="shared" si="1145"/>
        <v>1.02</v>
      </c>
      <c r="O3092" s="77">
        <f t="shared" si="1146"/>
        <v>0.92</v>
      </c>
      <c r="P3092" s="76">
        <f t="shared" si="1147"/>
        <v>0</v>
      </c>
      <c r="Q3092" s="76">
        <f t="shared" si="1148"/>
        <v>0</v>
      </c>
      <c r="R3092" s="76">
        <f t="shared" si="1149"/>
        <v>0.75</v>
      </c>
      <c r="S3092" s="76">
        <f t="shared" si="1150"/>
        <v>1.02</v>
      </c>
      <c r="T3092" s="76">
        <f t="shared" si="1151"/>
        <v>1.0078091998858338</v>
      </c>
      <c r="U3092" s="76">
        <f t="shared" si="1152"/>
        <v>1.02</v>
      </c>
    </row>
    <row r="3093" spans="1:21" x14ac:dyDescent="0.25">
      <c r="A3093" s="71">
        <v>45</v>
      </c>
      <c r="B3093" s="72">
        <f t="shared" si="1153"/>
        <v>46997</v>
      </c>
      <c r="C3093" s="73">
        <f t="shared" si="1134"/>
        <v>47026</v>
      </c>
      <c r="D3093" s="67">
        <f t="shared" si="1135"/>
        <v>30</v>
      </c>
      <c r="E3093" s="67">
        <f t="shared" si="1136"/>
        <v>9</v>
      </c>
      <c r="F3093" s="74">
        <f t="shared" si="1137"/>
        <v>47012</v>
      </c>
      <c r="G3093" s="67">
        <f t="shared" si="1138"/>
        <v>24344</v>
      </c>
      <c r="H3093" s="75">
        <f t="shared" si="1139"/>
        <v>1</v>
      </c>
      <c r="I3093" s="76">
        <f t="shared" si="1140"/>
        <v>1.02</v>
      </c>
      <c r="J3093" s="76">
        <f t="shared" si="1141"/>
        <v>1.02</v>
      </c>
      <c r="K3093" s="67">
        <f t="shared" si="1142"/>
        <v>0</v>
      </c>
      <c r="L3093" s="67">
        <f t="shared" si="1143"/>
        <v>0</v>
      </c>
      <c r="M3093" s="77">
        <f t="shared" si="1144"/>
        <v>0</v>
      </c>
      <c r="N3093" s="76">
        <f t="shared" si="1145"/>
        <v>1.02</v>
      </c>
      <c r="O3093" s="77">
        <f t="shared" si="1146"/>
        <v>0.92</v>
      </c>
      <c r="P3093" s="76">
        <f t="shared" si="1147"/>
        <v>0</v>
      </c>
      <c r="Q3093" s="76">
        <f t="shared" si="1148"/>
        <v>0</v>
      </c>
      <c r="R3093" s="76">
        <f t="shared" si="1149"/>
        <v>0.58333333333333337</v>
      </c>
      <c r="S3093" s="76">
        <f t="shared" si="1150"/>
        <v>1.02</v>
      </c>
      <c r="T3093" s="76">
        <f t="shared" si="1151"/>
        <v>1.008549138997241</v>
      </c>
      <c r="U3093" s="76">
        <f t="shared" si="1152"/>
        <v>1.02</v>
      </c>
    </row>
    <row r="3094" spans="1:21" x14ac:dyDescent="0.25">
      <c r="A3094" s="71">
        <v>46</v>
      </c>
      <c r="B3094" s="72">
        <f t="shared" si="1153"/>
        <v>47027</v>
      </c>
      <c r="C3094" s="73">
        <f t="shared" si="1134"/>
        <v>47057</v>
      </c>
      <c r="D3094" s="67">
        <f t="shared" si="1135"/>
        <v>31</v>
      </c>
      <c r="E3094" s="67">
        <f t="shared" si="1136"/>
        <v>10</v>
      </c>
      <c r="F3094" s="74">
        <f t="shared" si="1137"/>
        <v>47042.5</v>
      </c>
      <c r="G3094" s="67">
        <f t="shared" si="1138"/>
        <v>24345</v>
      </c>
      <c r="H3094" s="75">
        <f t="shared" si="1139"/>
        <v>1</v>
      </c>
      <c r="I3094" s="76">
        <f t="shared" si="1140"/>
        <v>1.02</v>
      </c>
      <c r="J3094" s="76">
        <f t="shared" si="1141"/>
        <v>1.02</v>
      </c>
      <c r="K3094" s="67">
        <f t="shared" si="1142"/>
        <v>0</v>
      </c>
      <c r="L3094" s="67">
        <f t="shared" si="1143"/>
        <v>0</v>
      </c>
      <c r="M3094" s="77">
        <f t="shared" si="1144"/>
        <v>0</v>
      </c>
      <c r="N3094" s="76">
        <f t="shared" si="1145"/>
        <v>1.02</v>
      </c>
      <c r="O3094" s="77">
        <f t="shared" si="1146"/>
        <v>0.92</v>
      </c>
      <c r="P3094" s="76">
        <f t="shared" si="1147"/>
        <v>0</v>
      </c>
      <c r="Q3094" s="76">
        <f t="shared" si="1148"/>
        <v>0</v>
      </c>
      <c r="R3094" s="76">
        <f t="shared" si="1149"/>
        <v>0.41666666666666669</v>
      </c>
      <c r="S3094" s="76">
        <f t="shared" si="1150"/>
        <v>1.02</v>
      </c>
      <c r="T3094" s="76">
        <f t="shared" si="1151"/>
        <v>1.0092890781086481</v>
      </c>
      <c r="U3094" s="76">
        <f t="shared" si="1152"/>
        <v>1.02</v>
      </c>
    </row>
    <row r="3095" spans="1:21" x14ac:dyDescent="0.25">
      <c r="A3095" s="71">
        <v>47</v>
      </c>
      <c r="B3095" s="72">
        <f t="shared" si="1153"/>
        <v>47058</v>
      </c>
      <c r="C3095" s="73">
        <f t="shared" si="1134"/>
        <v>47087</v>
      </c>
      <c r="D3095" s="67">
        <f t="shared" si="1135"/>
        <v>30</v>
      </c>
      <c r="E3095" s="67">
        <f t="shared" si="1136"/>
        <v>11</v>
      </c>
      <c r="F3095" s="74">
        <f t="shared" si="1137"/>
        <v>47073</v>
      </c>
      <c r="G3095" s="67">
        <f t="shared" si="1138"/>
        <v>24346</v>
      </c>
      <c r="H3095" s="75">
        <f t="shared" si="1139"/>
        <v>1</v>
      </c>
      <c r="I3095" s="76">
        <f t="shared" si="1140"/>
        <v>1.02</v>
      </c>
      <c r="J3095" s="76">
        <f t="shared" si="1141"/>
        <v>1.02</v>
      </c>
      <c r="K3095" s="67">
        <f t="shared" si="1142"/>
        <v>0</v>
      </c>
      <c r="L3095" s="67">
        <f t="shared" si="1143"/>
        <v>0</v>
      </c>
      <c r="M3095" s="77">
        <f t="shared" si="1144"/>
        <v>0</v>
      </c>
      <c r="N3095" s="76">
        <f t="shared" si="1145"/>
        <v>1.02</v>
      </c>
      <c r="O3095" s="77">
        <f t="shared" si="1146"/>
        <v>0.92</v>
      </c>
      <c r="P3095" s="76">
        <f t="shared" si="1147"/>
        <v>0</v>
      </c>
      <c r="Q3095" s="76">
        <f t="shared" si="1148"/>
        <v>0</v>
      </c>
      <c r="R3095" s="76">
        <f t="shared" si="1149"/>
        <v>0.25</v>
      </c>
      <c r="S3095" s="76">
        <f t="shared" si="1150"/>
        <v>1.02</v>
      </c>
      <c r="T3095" s="76">
        <f t="shared" si="1151"/>
        <v>1.0100290172200552</v>
      </c>
      <c r="U3095" s="76">
        <f t="shared" si="1152"/>
        <v>1.02</v>
      </c>
    </row>
    <row r="3096" spans="1:21" x14ac:dyDescent="0.25">
      <c r="A3096" s="71">
        <v>48</v>
      </c>
      <c r="B3096" s="72">
        <f t="shared" si="1153"/>
        <v>47088</v>
      </c>
      <c r="C3096" s="73">
        <f t="shared" si="1134"/>
        <v>47118</v>
      </c>
      <c r="D3096" s="67">
        <f t="shared" si="1135"/>
        <v>31</v>
      </c>
      <c r="E3096" s="67">
        <f t="shared" si="1136"/>
        <v>12</v>
      </c>
      <c r="F3096" s="74">
        <f t="shared" si="1137"/>
        <v>47103.5</v>
      </c>
      <c r="G3096" s="67">
        <f t="shared" si="1138"/>
        <v>24347</v>
      </c>
      <c r="H3096" s="75">
        <f t="shared" si="1139"/>
        <v>1</v>
      </c>
      <c r="I3096" s="76">
        <f t="shared" si="1140"/>
        <v>1.02</v>
      </c>
      <c r="J3096" s="76">
        <f t="shared" si="1141"/>
        <v>1.02</v>
      </c>
      <c r="K3096" s="67">
        <f t="shared" si="1142"/>
        <v>0</v>
      </c>
      <c r="L3096" s="67">
        <f t="shared" si="1143"/>
        <v>0</v>
      </c>
      <c r="M3096" s="77">
        <f t="shared" si="1144"/>
        <v>0</v>
      </c>
      <c r="N3096" s="76">
        <f t="shared" si="1145"/>
        <v>1.02</v>
      </c>
      <c r="O3096" s="77">
        <f t="shared" si="1146"/>
        <v>0.92</v>
      </c>
      <c r="P3096" s="76">
        <f t="shared" si="1147"/>
        <v>0</v>
      </c>
      <c r="Q3096" s="76">
        <f t="shared" si="1148"/>
        <v>0</v>
      </c>
      <c r="R3096" s="76">
        <f t="shared" si="1149"/>
        <v>8.3333333333333329E-2</v>
      </c>
      <c r="S3096" s="76">
        <f t="shared" si="1150"/>
        <v>1.02</v>
      </c>
      <c r="T3096" s="76">
        <f t="shared" si="1151"/>
        <v>1.0107689563314621</v>
      </c>
      <c r="U3096" s="76">
        <f t="shared" si="1152"/>
        <v>1.02</v>
      </c>
    </row>
    <row r="3097" spans="1:21" x14ac:dyDescent="0.25">
      <c r="A3097" s="81" t="s">
        <v>1187</v>
      </c>
      <c r="B3097" s="53">
        <f>EXP(SUMPRODUCT((rl_key=$A$3046)*(rl_cons="Y")*rl_ln1p))</f>
        <v>1.02</v>
      </c>
      <c r="C3097" s="53">
        <f>SUMPRODUCT($H$3049:$H$3096,$P$3049:$P$3096,$U$3049:$U$3096)/SUMPRODUCT($H$3049:$H$3096,$P$3049:$P$3096)</f>
        <v>1.0034722222222225</v>
      </c>
      <c r="D3097" s="53">
        <f>SUMPRODUCT($H$3049:$H$3096,$Q$3049:$Q$3096,$U$3049:$U$3096)/SUMPRODUCT($H$3049:$H$3096,$Q$3049:$Q$3096)</f>
        <v>1.0198611111111113</v>
      </c>
      <c r="E3097" s="53">
        <f>SUMPRODUCT($H$3049:$H$3096,$R$3049:$R$3096,$U$3049:$U$3096)/SUMPRODUCT($H$3049:$H$3096,$R$3049:$R$3096)</f>
        <v>1.0200000000000002</v>
      </c>
      <c r="F3097" s="172">
        <f>SUMPRODUCT($H$3049:$H$3096,$Q$3049:$Q$3096,$O$3049:$O$3096)/SUMPRODUCT($H$3049:$H$3096,$Q$3049:$Q$3096)</f>
        <v>0.91399252370532447</v>
      </c>
      <c r="G3097" s="172">
        <f>SUMPRODUCT($H$3049:$H$3096,$R$3049:$R$3096,$O$3049:$O$3096)/SUMPRODUCT($H$3049:$H$3096,$R$3049:$R$3096)</f>
        <v>0.91966022368101141</v>
      </c>
    </row>
    <row r="3100" spans="1:21" x14ac:dyDescent="0.25">
      <c r="A3100" s="81" t="str">
        <f>INDEX(lr_key,57)</f>
        <v>BU-C|NC</v>
      </c>
      <c r="B3100" s="81" t="str">
        <f>INDEX(lr_state,57)</f>
        <v>NC</v>
      </c>
      <c r="C3100" s="55">
        <f>nr_TermMonths</f>
        <v>6</v>
      </c>
      <c r="D3100" s="55">
        <f>IF(COUNTIF(se_state,$B3100)=0,0,MATCH($B3100,se_state,0))</f>
        <v>0</v>
      </c>
      <c r="E3100" s="57">
        <f>IF($D3100=0,0,INDEX(se_sum,$D3100))</f>
        <v>0</v>
      </c>
      <c r="F3100" s="172">
        <f>IF(N(INDEX(lr_mind,57))=0,1,INDEX(lr_mind,57))</f>
        <v>0.92</v>
      </c>
      <c r="G3100" s="172">
        <f>IF(N(INDEX(lr_m0,57))=0,1,INDEX(lr_m0,57))</f>
        <v>0.91</v>
      </c>
      <c r="H3100" s="54">
        <f>IF(N(INDEX(lr_m0asof,57))=0,DATE(nr_PlanYear-1,10,1),INDEX(lr_m0asof,57))</f>
        <v>46295</v>
      </c>
      <c r="I3100" s="172">
        <f>IF(N(INDEX(lr_m1,57))=0,1,INDEX(lr_m1,57))</f>
        <v>0.9</v>
      </c>
      <c r="J3100" s="172">
        <f>INDEX(lr_mprior,57)</f>
        <v>0</v>
      </c>
      <c r="K3100" s="172">
        <f>INDEX(lr_m2,57)</f>
        <v>0</v>
      </c>
      <c r="L3100" s="81" t="b">
        <f>NOT(ISBLANK(INDEX(lr_netp,57)))</f>
        <v>0</v>
      </c>
      <c r="M3100" s="52">
        <f>N(INDEX(lr_netp,57))</f>
        <v>0</v>
      </c>
      <c r="N3100" s="52">
        <f>IF(ISBLANK(INDEX(lr_netp1,57)),$M$3100,N(INDEX(lr_netp1,57)))</f>
        <v>0</v>
      </c>
      <c r="O3100" s="55">
        <f>IF(AND(nr_ModAdjMaster="ON",INDEX(lr_modadj,57)="ON"),1,0)</f>
        <v>1</v>
      </c>
    </row>
    <row r="3101" spans="1:21" x14ac:dyDescent="0.25">
      <c r="A3101" s="81">
        <f>EDATE($H$3100,-12)+1</f>
        <v>45931</v>
      </c>
      <c r="B3101" s="81">
        <f>$H$3100+1</f>
        <v>46296</v>
      </c>
      <c r="C3101" s="81">
        <f>DATE(nr_PlanYear,12,31)+1</f>
        <v>46753</v>
      </c>
      <c r="D3101" s="81">
        <f>DATE(nr_PlanYear+1,12,31)+1</f>
        <v>47119</v>
      </c>
      <c r="E3101" s="81">
        <f>IF(N($J$3100)=0,$F$3101-($G$3101-$F$3101)/($C$3101-$B$3101)*($B$3101-$A$3101),$J$3100)</f>
        <v>0.91798687089715536</v>
      </c>
      <c r="F3101" s="81">
        <f>$G$3100</f>
        <v>0.91</v>
      </c>
      <c r="G3101" s="81">
        <f>$I$3100</f>
        <v>0.9</v>
      </c>
      <c r="H3101" s="81">
        <f>IF(N($K$3100)=0,$I$3100,$K$3100)</f>
        <v>0.9</v>
      </c>
      <c r="I3101" s="81">
        <f>($F$3101-$E$3101)/($B$3101-$A$3101)</f>
        <v>-2.1881838074398162E-5</v>
      </c>
      <c r="J3101" s="81">
        <f>($G$3101-$F$3101)/($C$3101-$B$3101)</f>
        <v>-2.188183807439827E-5</v>
      </c>
      <c r="K3101" s="81">
        <f>($H$3101-$G$3101)/($D$3101-$C$3101)</f>
        <v>0</v>
      </c>
    </row>
    <row r="3102" spans="1:21" ht="36" x14ac:dyDescent="0.25">
      <c r="A3102" s="50" t="s">
        <v>211</v>
      </c>
      <c r="B3102" s="50" t="s">
        <v>212</v>
      </c>
      <c r="C3102" s="50" t="s">
        <v>213</v>
      </c>
      <c r="D3102" s="50" t="s">
        <v>214</v>
      </c>
      <c r="E3102" s="50" t="s">
        <v>215</v>
      </c>
      <c r="F3102" s="50" t="s">
        <v>216</v>
      </c>
      <c r="G3102" s="50" t="s">
        <v>217</v>
      </c>
      <c r="H3102" s="50" t="s">
        <v>218</v>
      </c>
      <c r="I3102" s="50" t="s">
        <v>219</v>
      </c>
      <c r="J3102" s="50" t="s">
        <v>220</v>
      </c>
      <c r="K3102" s="50" t="s">
        <v>221</v>
      </c>
      <c r="L3102" s="50" t="s">
        <v>222</v>
      </c>
      <c r="M3102" s="50" t="s">
        <v>223</v>
      </c>
      <c r="N3102" s="50" t="s">
        <v>224</v>
      </c>
      <c r="O3102" s="50" t="s">
        <v>225</v>
      </c>
      <c r="P3102" s="50" t="s">
        <v>226</v>
      </c>
      <c r="Q3102" s="50" t="s">
        <v>227</v>
      </c>
      <c r="R3102" s="50" t="s">
        <v>228</v>
      </c>
      <c r="S3102" s="50" t="s">
        <v>229</v>
      </c>
      <c r="T3102" s="50" t="s">
        <v>230</v>
      </c>
      <c r="U3102" s="50" t="s">
        <v>231</v>
      </c>
    </row>
    <row r="3103" spans="1:21" x14ac:dyDescent="0.25">
      <c r="A3103" s="71">
        <v>1</v>
      </c>
      <c r="B3103" s="72">
        <f>DATE(nr_PlanYear-2,1,1)</f>
        <v>45658</v>
      </c>
      <c r="C3103" s="73">
        <f t="shared" ref="C3103:C3150" si="1154">EOMONTH($B3103,0)</f>
        <v>45688</v>
      </c>
      <c r="D3103" s="67">
        <f t="shared" ref="D3103:D3150" si="1155">$C3103-$B3103+1</f>
        <v>31</v>
      </c>
      <c r="E3103" s="67">
        <f t="shared" ref="E3103:E3150" si="1156">MONTH($B3103)</f>
        <v>1</v>
      </c>
      <c r="F3103" s="74">
        <f t="shared" ref="F3103:F3150" si="1157">($B3103+$C3103+1)/2</f>
        <v>45673.5</v>
      </c>
      <c r="G3103" s="67">
        <f t="shared" ref="G3103:G3150" si="1158">YEAR($B3103)*12+MONTH($B3103)-1</f>
        <v>24300</v>
      </c>
      <c r="H3103" s="75">
        <f t="shared" ref="H3103:H3150" si="1159">IF(OR(nr_SeasonOn="OFF",$D$3100=0,$E$3100=0),1,12*INDEX(se_block,$D$3100,$E3103)/$E$3100)</f>
        <v>1</v>
      </c>
      <c r="I3103" s="76">
        <f t="shared" ref="I3103:I3150" si="1160">EXP(SUMPRODUCT((rl_eff&lt;$B3103)*(rl_key=$A$3100)*rl_ln1p))</f>
        <v>1</v>
      </c>
      <c r="J3103" s="76">
        <f t="shared" ref="J3103:J3150" si="1161">EXP(SUMPRODUCT((rl_eff&lt;=$C3103)*(rl_key=$A$3100)*rl_ln1p))</f>
        <v>1</v>
      </c>
      <c r="K3103" s="67">
        <f t="shared" ref="K3103:K3150" si="1162">COUNTIFS(rl_key,$A$3100,rl_eff,"&gt;="&amp;$B3103,rl_eff,"&lt;="&amp;$C3103)</f>
        <v>0</v>
      </c>
      <c r="L3103" s="67">
        <f t="shared" ref="L3103:L3150" si="1163">SUMIFS(rl_daysafter,rl_key,$A$3100,rl_effmonth,$B3103,rl_first,1)</f>
        <v>0</v>
      </c>
      <c r="M3103" s="77">
        <f t="shared" ref="M3103:M3150" si="1164">IF($K3103=0,0,MIN(1,$L3103/$D3103))</f>
        <v>0</v>
      </c>
      <c r="N3103" s="76">
        <f t="shared" ref="N3103:N3150" si="1165">IF($K3103=0,$J3103,(1-$M3103)*$I3103+$M3103*$J3103)</f>
        <v>1</v>
      </c>
      <c r="O3103" s="77">
        <f t="shared" ref="O3103:O3150" si="1166">IF($F3103&lt;$B$3101,$E$3101+$I$3101*($F3103-$A$3101),IF($F3103&lt;$C$3101,$F$3101+$J$3101*($F3103-$B$3101),$G$3101+$K$3101*($F3103-$C$3101)))</f>
        <v>0.92362144420131287</v>
      </c>
      <c r="P3103" s="76">
        <f t="shared" ref="P3103:P3150" si="1167">MIN(1,MAX(0,(nr_MEndPm1-$G3103+0.5)/$C$3100))-MIN(1,MAX(0,(nr_MStartPm1-1-$G3103+0.5)/$C$3100))</f>
        <v>0</v>
      </c>
      <c r="Q3103" s="76">
        <f t="shared" ref="Q3103:Q3150" si="1168">MIN(1,MAX(0,(nr_MEndP-$G3103+0.5)/$C$3100))-MIN(1,MAX(0,(nr_MStartP-1-$G3103+0.5)/$C$3100))</f>
        <v>0</v>
      </c>
      <c r="R3103" s="76">
        <f t="shared" ref="R3103:R3150" si="1169">MIN(1,MAX(0,(nr_MEndP1-$G3103+0.5)/$C$3100))-MIN(1,MAX(0,(nr_MStartP1-1-$G3103+0.5)/$C$3100))</f>
        <v>0</v>
      </c>
      <c r="S3103" s="76">
        <f t="shared" ref="S3103:S3150" si="1170">$N3103*IF($O$3100=1,$O3103/$F$3100,1)</f>
        <v>1.0039363523927314</v>
      </c>
      <c r="T3103" s="76">
        <f t="shared" ref="T3103:T3150" si="1171">IF($G3103&lt;nr_MStartP,$S3103,$T3091*(1+IF($G3103&lt;nr_MStartP1,$M$3100,$N$3100)))</f>
        <v>1.0039363523927314</v>
      </c>
      <c r="U3103" s="76">
        <f t="shared" ref="U3103:U3150" si="1172">IF($L$3100,$T3103,$N3103)</f>
        <v>1</v>
      </c>
    </row>
    <row r="3104" spans="1:21" x14ac:dyDescent="0.25">
      <c r="A3104" s="71">
        <v>2</v>
      </c>
      <c r="B3104" s="72">
        <f t="shared" ref="B3104:B3150" si="1173">EDATE($B3103,1)</f>
        <v>45689</v>
      </c>
      <c r="C3104" s="73">
        <f t="shared" si="1154"/>
        <v>45716</v>
      </c>
      <c r="D3104" s="67">
        <f t="shared" si="1155"/>
        <v>28</v>
      </c>
      <c r="E3104" s="67">
        <f t="shared" si="1156"/>
        <v>2</v>
      </c>
      <c r="F3104" s="74">
        <f t="shared" si="1157"/>
        <v>45703</v>
      </c>
      <c r="G3104" s="67">
        <f t="shared" si="1158"/>
        <v>24301</v>
      </c>
      <c r="H3104" s="75">
        <f t="shared" si="1159"/>
        <v>1</v>
      </c>
      <c r="I3104" s="76">
        <f t="shared" si="1160"/>
        <v>1</v>
      </c>
      <c r="J3104" s="76">
        <f t="shared" si="1161"/>
        <v>1</v>
      </c>
      <c r="K3104" s="67">
        <f t="shared" si="1162"/>
        <v>0</v>
      </c>
      <c r="L3104" s="67">
        <f t="shared" si="1163"/>
        <v>0</v>
      </c>
      <c r="M3104" s="77">
        <f t="shared" si="1164"/>
        <v>0</v>
      </c>
      <c r="N3104" s="76">
        <f t="shared" si="1165"/>
        <v>1</v>
      </c>
      <c r="O3104" s="77">
        <f t="shared" si="1166"/>
        <v>0.92297592997811817</v>
      </c>
      <c r="P3104" s="76">
        <f t="shared" si="1167"/>
        <v>0</v>
      </c>
      <c r="Q3104" s="76">
        <f t="shared" si="1168"/>
        <v>0</v>
      </c>
      <c r="R3104" s="76">
        <f t="shared" si="1169"/>
        <v>0</v>
      </c>
      <c r="S3104" s="76">
        <f t="shared" si="1170"/>
        <v>1.0032347064979545</v>
      </c>
      <c r="T3104" s="76">
        <f t="shared" si="1171"/>
        <v>1.0032347064979545</v>
      </c>
      <c r="U3104" s="76">
        <f t="shared" si="1172"/>
        <v>1</v>
      </c>
    </row>
    <row r="3105" spans="1:21" x14ac:dyDescent="0.25">
      <c r="A3105" s="71">
        <v>3</v>
      </c>
      <c r="B3105" s="72">
        <f t="shared" si="1173"/>
        <v>45717</v>
      </c>
      <c r="C3105" s="73">
        <f t="shared" si="1154"/>
        <v>45747</v>
      </c>
      <c r="D3105" s="67">
        <f t="shared" si="1155"/>
        <v>31</v>
      </c>
      <c r="E3105" s="67">
        <f t="shared" si="1156"/>
        <v>3</v>
      </c>
      <c r="F3105" s="74">
        <f t="shared" si="1157"/>
        <v>45732.5</v>
      </c>
      <c r="G3105" s="67">
        <f t="shared" si="1158"/>
        <v>24302</v>
      </c>
      <c r="H3105" s="75">
        <f t="shared" si="1159"/>
        <v>1</v>
      </c>
      <c r="I3105" s="76">
        <f t="shared" si="1160"/>
        <v>1</v>
      </c>
      <c r="J3105" s="76">
        <f t="shared" si="1161"/>
        <v>1</v>
      </c>
      <c r="K3105" s="67">
        <f t="shared" si="1162"/>
        <v>0</v>
      </c>
      <c r="L3105" s="67">
        <f t="shared" si="1163"/>
        <v>0</v>
      </c>
      <c r="M3105" s="77">
        <f t="shared" si="1164"/>
        <v>0</v>
      </c>
      <c r="N3105" s="76">
        <f t="shared" si="1165"/>
        <v>1</v>
      </c>
      <c r="O3105" s="77">
        <f t="shared" si="1166"/>
        <v>0.92233041575492336</v>
      </c>
      <c r="P3105" s="76">
        <f t="shared" si="1167"/>
        <v>0</v>
      </c>
      <c r="Q3105" s="76">
        <f t="shared" si="1168"/>
        <v>0</v>
      </c>
      <c r="R3105" s="76">
        <f t="shared" si="1169"/>
        <v>0</v>
      </c>
      <c r="S3105" s="76">
        <f t="shared" si="1170"/>
        <v>1.0025330606031775</v>
      </c>
      <c r="T3105" s="76">
        <f t="shared" si="1171"/>
        <v>1.0025330606031775</v>
      </c>
      <c r="U3105" s="76">
        <f t="shared" si="1172"/>
        <v>1</v>
      </c>
    </row>
    <row r="3106" spans="1:21" x14ac:dyDescent="0.25">
      <c r="A3106" s="71">
        <v>4</v>
      </c>
      <c r="B3106" s="72">
        <f t="shared" si="1173"/>
        <v>45748</v>
      </c>
      <c r="C3106" s="73">
        <f t="shared" si="1154"/>
        <v>45777</v>
      </c>
      <c r="D3106" s="67">
        <f t="shared" si="1155"/>
        <v>30</v>
      </c>
      <c r="E3106" s="67">
        <f t="shared" si="1156"/>
        <v>4</v>
      </c>
      <c r="F3106" s="74">
        <f t="shared" si="1157"/>
        <v>45763</v>
      </c>
      <c r="G3106" s="67">
        <f t="shared" si="1158"/>
        <v>24303</v>
      </c>
      <c r="H3106" s="75">
        <f t="shared" si="1159"/>
        <v>1</v>
      </c>
      <c r="I3106" s="76">
        <f t="shared" si="1160"/>
        <v>1</v>
      </c>
      <c r="J3106" s="76">
        <f t="shared" si="1161"/>
        <v>1</v>
      </c>
      <c r="K3106" s="67">
        <f t="shared" si="1162"/>
        <v>0</v>
      </c>
      <c r="L3106" s="67">
        <f t="shared" si="1163"/>
        <v>0</v>
      </c>
      <c r="M3106" s="77">
        <f t="shared" si="1164"/>
        <v>0</v>
      </c>
      <c r="N3106" s="76">
        <f t="shared" si="1165"/>
        <v>1</v>
      </c>
      <c r="O3106" s="77">
        <f t="shared" si="1166"/>
        <v>0.92166301969365427</v>
      </c>
      <c r="P3106" s="76">
        <f t="shared" si="1167"/>
        <v>0</v>
      </c>
      <c r="Q3106" s="76">
        <f t="shared" si="1168"/>
        <v>0</v>
      </c>
      <c r="R3106" s="76">
        <f t="shared" si="1169"/>
        <v>0</v>
      </c>
      <c r="S3106" s="76">
        <f t="shared" si="1170"/>
        <v>1.0018076301017982</v>
      </c>
      <c r="T3106" s="76">
        <f t="shared" si="1171"/>
        <v>1.0018076301017982</v>
      </c>
      <c r="U3106" s="76">
        <f t="shared" si="1172"/>
        <v>1</v>
      </c>
    </row>
    <row r="3107" spans="1:21" x14ac:dyDescent="0.25">
      <c r="A3107" s="71">
        <v>5</v>
      </c>
      <c r="B3107" s="72">
        <f t="shared" si="1173"/>
        <v>45778</v>
      </c>
      <c r="C3107" s="73">
        <f t="shared" si="1154"/>
        <v>45808</v>
      </c>
      <c r="D3107" s="67">
        <f t="shared" si="1155"/>
        <v>31</v>
      </c>
      <c r="E3107" s="67">
        <f t="shared" si="1156"/>
        <v>5</v>
      </c>
      <c r="F3107" s="74">
        <f t="shared" si="1157"/>
        <v>45793.5</v>
      </c>
      <c r="G3107" s="67">
        <f t="shared" si="1158"/>
        <v>24304</v>
      </c>
      <c r="H3107" s="75">
        <f t="shared" si="1159"/>
        <v>1</v>
      </c>
      <c r="I3107" s="76">
        <f t="shared" si="1160"/>
        <v>1</v>
      </c>
      <c r="J3107" s="76">
        <f t="shared" si="1161"/>
        <v>1</v>
      </c>
      <c r="K3107" s="67">
        <f t="shared" si="1162"/>
        <v>0</v>
      </c>
      <c r="L3107" s="67">
        <f t="shared" si="1163"/>
        <v>0</v>
      </c>
      <c r="M3107" s="77">
        <f t="shared" si="1164"/>
        <v>0</v>
      </c>
      <c r="N3107" s="76">
        <f t="shared" si="1165"/>
        <v>1</v>
      </c>
      <c r="O3107" s="77">
        <f t="shared" si="1166"/>
        <v>0.92099562363238507</v>
      </c>
      <c r="P3107" s="76">
        <f t="shared" si="1167"/>
        <v>0</v>
      </c>
      <c r="Q3107" s="76">
        <f t="shared" si="1168"/>
        <v>0</v>
      </c>
      <c r="R3107" s="76">
        <f t="shared" si="1169"/>
        <v>0</v>
      </c>
      <c r="S3107" s="76">
        <f t="shared" si="1170"/>
        <v>1.0010821996004184</v>
      </c>
      <c r="T3107" s="76">
        <f t="shared" si="1171"/>
        <v>1.0010821996004184</v>
      </c>
      <c r="U3107" s="76">
        <f t="shared" si="1172"/>
        <v>1</v>
      </c>
    </row>
    <row r="3108" spans="1:21" x14ac:dyDescent="0.25">
      <c r="A3108" s="71">
        <v>6</v>
      </c>
      <c r="B3108" s="72">
        <f t="shared" si="1173"/>
        <v>45809</v>
      </c>
      <c r="C3108" s="73">
        <f t="shared" si="1154"/>
        <v>45838</v>
      </c>
      <c r="D3108" s="67">
        <f t="shared" si="1155"/>
        <v>30</v>
      </c>
      <c r="E3108" s="67">
        <f t="shared" si="1156"/>
        <v>6</v>
      </c>
      <c r="F3108" s="74">
        <f t="shared" si="1157"/>
        <v>45824</v>
      </c>
      <c r="G3108" s="67">
        <f t="shared" si="1158"/>
        <v>24305</v>
      </c>
      <c r="H3108" s="75">
        <f t="shared" si="1159"/>
        <v>1</v>
      </c>
      <c r="I3108" s="76">
        <f t="shared" si="1160"/>
        <v>1</v>
      </c>
      <c r="J3108" s="76">
        <f t="shared" si="1161"/>
        <v>1</v>
      </c>
      <c r="K3108" s="67">
        <f t="shared" si="1162"/>
        <v>0</v>
      </c>
      <c r="L3108" s="67">
        <f t="shared" si="1163"/>
        <v>0</v>
      </c>
      <c r="M3108" s="77">
        <f t="shared" si="1164"/>
        <v>0</v>
      </c>
      <c r="N3108" s="76">
        <f t="shared" si="1165"/>
        <v>1</v>
      </c>
      <c r="O3108" s="77">
        <f t="shared" si="1166"/>
        <v>0.92032822757111599</v>
      </c>
      <c r="P3108" s="76">
        <f t="shared" si="1167"/>
        <v>0</v>
      </c>
      <c r="Q3108" s="76">
        <f t="shared" si="1168"/>
        <v>0</v>
      </c>
      <c r="R3108" s="76">
        <f t="shared" si="1169"/>
        <v>0</v>
      </c>
      <c r="S3108" s="76">
        <f t="shared" si="1170"/>
        <v>1.0003567690990391</v>
      </c>
      <c r="T3108" s="76">
        <f t="shared" si="1171"/>
        <v>1.0003567690990391</v>
      </c>
      <c r="U3108" s="76">
        <f t="shared" si="1172"/>
        <v>1</v>
      </c>
    </row>
    <row r="3109" spans="1:21" x14ac:dyDescent="0.25">
      <c r="A3109" s="71">
        <v>7</v>
      </c>
      <c r="B3109" s="72">
        <f t="shared" si="1173"/>
        <v>45839</v>
      </c>
      <c r="C3109" s="73">
        <f t="shared" si="1154"/>
        <v>45869</v>
      </c>
      <c r="D3109" s="67">
        <f t="shared" si="1155"/>
        <v>31</v>
      </c>
      <c r="E3109" s="67">
        <f t="shared" si="1156"/>
        <v>7</v>
      </c>
      <c r="F3109" s="74">
        <f t="shared" si="1157"/>
        <v>45854.5</v>
      </c>
      <c r="G3109" s="67">
        <f t="shared" si="1158"/>
        <v>24306</v>
      </c>
      <c r="H3109" s="75">
        <f t="shared" si="1159"/>
        <v>1</v>
      </c>
      <c r="I3109" s="76">
        <f t="shared" si="1160"/>
        <v>1</v>
      </c>
      <c r="J3109" s="76">
        <f t="shared" si="1161"/>
        <v>1</v>
      </c>
      <c r="K3109" s="67">
        <f t="shared" si="1162"/>
        <v>0</v>
      </c>
      <c r="L3109" s="67">
        <f t="shared" si="1163"/>
        <v>0</v>
      </c>
      <c r="M3109" s="77">
        <f t="shared" si="1164"/>
        <v>0</v>
      </c>
      <c r="N3109" s="76">
        <f t="shared" si="1165"/>
        <v>1</v>
      </c>
      <c r="O3109" s="77">
        <f t="shared" si="1166"/>
        <v>0.91966083150984679</v>
      </c>
      <c r="P3109" s="76">
        <f t="shared" si="1167"/>
        <v>8.333333333333337E-2</v>
      </c>
      <c r="Q3109" s="76">
        <f t="shared" si="1168"/>
        <v>0</v>
      </c>
      <c r="R3109" s="76">
        <f t="shared" si="1169"/>
        <v>0</v>
      </c>
      <c r="S3109" s="76">
        <f t="shared" si="1170"/>
        <v>0.99963133859765951</v>
      </c>
      <c r="T3109" s="76">
        <f t="shared" si="1171"/>
        <v>0.99963133859765951</v>
      </c>
      <c r="U3109" s="76">
        <f t="shared" si="1172"/>
        <v>1</v>
      </c>
    </row>
    <row r="3110" spans="1:21" x14ac:dyDescent="0.25">
      <c r="A3110" s="71">
        <v>8</v>
      </c>
      <c r="B3110" s="72">
        <f t="shared" si="1173"/>
        <v>45870</v>
      </c>
      <c r="C3110" s="73">
        <f t="shared" si="1154"/>
        <v>45900</v>
      </c>
      <c r="D3110" s="67">
        <f t="shared" si="1155"/>
        <v>31</v>
      </c>
      <c r="E3110" s="67">
        <f t="shared" si="1156"/>
        <v>8</v>
      </c>
      <c r="F3110" s="74">
        <f t="shared" si="1157"/>
        <v>45885.5</v>
      </c>
      <c r="G3110" s="67">
        <f t="shared" si="1158"/>
        <v>24307</v>
      </c>
      <c r="H3110" s="75">
        <f t="shared" si="1159"/>
        <v>1</v>
      </c>
      <c r="I3110" s="76">
        <f t="shared" si="1160"/>
        <v>1</v>
      </c>
      <c r="J3110" s="76">
        <f t="shared" si="1161"/>
        <v>1</v>
      </c>
      <c r="K3110" s="67">
        <f t="shared" si="1162"/>
        <v>0</v>
      </c>
      <c r="L3110" s="67">
        <f t="shared" si="1163"/>
        <v>0</v>
      </c>
      <c r="M3110" s="77">
        <f t="shared" si="1164"/>
        <v>0</v>
      </c>
      <c r="N3110" s="76">
        <f t="shared" si="1165"/>
        <v>1</v>
      </c>
      <c r="O3110" s="77">
        <f t="shared" si="1166"/>
        <v>0.91898249452954051</v>
      </c>
      <c r="P3110" s="76">
        <f t="shared" si="1167"/>
        <v>0.25</v>
      </c>
      <c r="Q3110" s="76">
        <f t="shared" si="1168"/>
        <v>0</v>
      </c>
      <c r="R3110" s="76">
        <f t="shared" si="1169"/>
        <v>0</v>
      </c>
      <c r="S3110" s="76">
        <f t="shared" si="1170"/>
        <v>0.99889401579297876</v>
      </c>
      <c r="T3110" s="76">
        <f t="shared" si="1171"/>
        <v>0.99889401579297876</v>
      </c>
      <c r="U3110" s="76">
        <f t="shared" si="1172"/>
        <v>1</v>
      </c>
    </row>
    <row r="3111" spans="1:21" x14ac:dyDescent="0.25">
      <c r="A3111" s="71">
        <v>9</v>
      </c>
      <c r="B3111" s="72">
        <f t="shared" si="1173"/>
        <v>45901</v>
      </c>
      <c r="C3111" s="73">
        <f t="shared" si="1154"/>
        <v>45930</v>
      </c>
      <c r="D3111" s="67">
        <f t="shared" si="1155"/>
        <v>30</v>
      </c>
      <c r="E3111" s="67">
        <f t="shared" si="1156"/>
        <v>9</v>
      </c>
      <c r="F3111" s="74">
        <f t="shared" si="1157"/>
        <v>45916</v>
      </c>
      <c r="G3111" s="67">
        <f t="shared" si="1158"/>
        <v>24308</v>
      </c>
      <c r="H3111" s="75">
        <f t="shared" si="1159"/>
        <v>1</v>
      </c>
      <c r="I3111" s="76">
        <f t="shared" si="1160"/>
        <v>1</v>
      </c>
      <c r="J3111" s="76">
        <f t="shared" si="1161"/>
        <v>1</v>
      </c>
      <c r="K3111" s="67">
        <f t="shared" si="1162"/>
        <v>0</v>
      </c>
      <c r="L3111" s="67">
        <f t="shared" si="1163"/>
        <v>0</v>
      </c>
      <c r="M3111" s="77">
        <f t="shared" si="1164"/>
        <v>0</v>
      </c>
      <c r="N3111" s="76">
        <f t="shared" si="1165"/>
        <v>1</v>
      </c>
      <c r="O3111" s="77">
        <f t="shared" si="1166"/>
        <v>0.91831509846827131</v>
      </c>
      <c r="P3111" s="76">
        <f t="shared" si="1167"/>
        <v>0.41666666666666663</v>
      </c>
      <c r="Q3111" s="76">
        <f t="shared" si="1168"/>
        <v>0</v>
      </c>
      <c r="R3111" s="76">
        <f t="shared" si="1169"/>
        <v>0</v>
      </c>
      <c r="S3111" s="76">
        <f t="shared" si="1170"/>
        <v>0.99816858529159924</v>
      </c>
      <c r="T3111" s="76">
        <f t="shared" si="1171"/>
        <v>0.99816858529159924</v>
      </c>
      <c r="U3111" s="76">
        <f t="shared" si="1172"/>
        <v>1</v>
      </c>
    </row>
    <row r="3112" spans="1:21" x14ac:dyDescent="0.25">
      <c r="A3112" s="71">
        <v>10</v>
      </c>
      <c r="B3112" s="72">
        <f t="shared" si="1173"/>
        <v>45931</v>
      </c>
      <c r="C3112" s="73">
        <f t="shared" si="1154"/>
        <v>45961</v>
      </c>
      <c r="D3112" s="67">
        <f t="shared" si="1155"/>
        <v>31</v>
      </c>
      <c r="E3112" s="67">
        <f t="shared" si="1156"/>
        <v>10</v>
      </c>
      <c r="F3112" s="74">
        <f t="shared" si="1157"/>
        <v>45946.5</v>
      </c>
      <c r="G3112" s="67">
        <f t="shared" si="1158"/>
        <v>24309</v>
      </c>
      <c r="H3112" s="75">
        <f t="shared" si="1159"/>
        <v>1</v>
      </c>
      <c r="I3112" s="76">
        <f t="shared" si="1160"/>
        <v>1</v>
      </c>
      <c r="J3112" s="76">
        <f t="shared" si="1161"/>
        <v>1</v>
      </c>
      <c r="K3112" s="67">
        <f t="shared" si="1162"/>
        <v>0</v>
      </c>
      <c r="L3112" s="67">
        <f t="shared" si="1163"/>
        <v>0</v>
      </c>
      <c r="M3112" s="77">
        <f t="shared" si="1164"/>
        <v>0</v>
      </c>
      <c r="N3112" s="76">
        <f t="shared" si="1165"/>
        <v>1</v>
      </c>
      <c r="O3112" s="77">
        <f t="shared" si="1166"/>
        <v>0.91764770240700222</v>
      </c>
      <c r="P3112" s="76">
        <f t="shared" si="1167"/>
        <v>0.58333333333333326</v>
      </c>
      <c r="Q3112" s="76">
        <f t="shared" si="1168"/>
        <v>0</v>
      </c>
      <c r="R3112" s="76">
        <f t="shared" si="1169"/>
        <v>0</v>
      </c>
      <c r="S3112" s="76">
        <f t="shared" si="1170"/>
        <v>0.99744315479021972</v>
      </c>
      <c r="T3112" s="76">
        <f t="shared" si="1171"/>
        <v>0.99744315479021972</v>
      </c>
      <c r="U3112" s="76">
        <f t="shared" si="1172"/>
        <v>1</v>
      </c>
    </row>
    <row r="3113" spans="1:21" x14ac:dyDescent="0.25">
      <c r="A3113" s="71">
        <v>11</v>
      </c>
      <c r="B3113" s="72">
        <f t="shared" si="1173"/>
        <v>45962</v>
      </c>
      <c r="C3113" s="73">
        <f t="shared" si="1154"/>
        <v>45991</v>
      </c>
      <c r="D3113" s="67">
        <f t="shared" si="1155"/>
        <v>30</v>
      </c>
      <c r="E3113" s="67">
        <f t="shared" si="1156"/>
        <v>11</v>
      </c>
      <c r="F3113" s="74">
        <f t="shared" si="1157"/>
        <v>45977</v>
      </c>
      <c r="G3113" s="67">
        <f t="shared" si="1158"/>
        <v>24310</v>
      </c>
      <c r="H3113" s="75">
        <f t="shared" si="1159"/>
        <v>1</v>
      </c>
      <c r="I3113" s="76">
        <f t="shared" si="1160"/>
        <v>1</v>
      </c>
      <c r="J3113" s="76">
        <f t="shared" si="1161"/>
        <v>1</v>
      </c>
      <c r="K3113" s="67">
        <f t="shared" si="1162"/>
        <v>0</v>
      </c>
      <c r="L3113" s="67">
        <f t="shared" si="1163"/>
        <v>0</v>
      </c>
      <c r="M3113" s="77">
        <f t="shared" si="1164"/>
        <v>0</v>
      </c>
      <c r="N3113" s="76">
        <f t="shared" si="1165"/>
        <v>1</v>
      </c>
      <c r="O3113" s="77">
        <f t="shared" si="1166"/>
        <v>0.91698030634573302</v>
      </c>
      <c r="P3113" s="76">
        <f t="shared" si="1167"/>
        <v>0.75</v>
      </c>
      <c r="Q3113" s="76">
        <f t="shared" si="1168"/>
        <v>0</v>
      </c>
      <c r="R3113" s="76">
        <f t="shared" si="1169"/>
        <v>0</v>
      </c>
      <c r="S3113" s="76">
        <f t="shared" si="1170"/>
        <v>0.9967177242888402</v>
      </c>
      <c r="T3113" s="76">
        <f t="shared" si="1171"/>
        <v>0.9967177242888402</v>
      </c>
      <c r="U3113" s="76">
        <f t="shared" si="1172"/>
        <v>1</v>
      </c>
    </row>
    <row r="3114" spans="1:21" x14ac:dyDescent="0.25">
      <c r="A3114" s="71">
        <v>12</v>
      </c>
      <c r="B3114" s="72">
        <f t="shared" si="1173"/>
        <v>45992</v>
      </c>
      <c r="C3114" s="73">
        <f t="shared" si="1154"/>
        <v>46022</v>
      </c>
      <c r="D3114" s="67">
        <f t="shared" si="1155"/>
        <v>31</v>
      </c>
      <c r="E3114" s="67">
        <f t="shared" si="1156"/>
        <v>12</v>
      </c>
      <c r="F3114" s="74">
        <f t="shared" si="1157"/>
        <v>46007.5</v>
      </c>
      <c r="G3114" s="67">
        <f t="shared" si="1158"/>
        <v>24311</v>
      </c>
      <c r="H3114" s="75">
        <f t="shared" si="1159"/>
        <v>1</v>
      </c>
      <c r="I3114" s="76">
        <f t="shared" si="1160"/>
        <v>1</v>
      </c>
      <c r="J3114" s="76">
        <f t="shared" si="1161"/>
        <v>1</v>
      </c>
      <c r="K3114" s="67">
        <f t="shared" si="1162"/>
        <v>0</v>
      </c>
      <c r="L3114" s="67">
        <f t="shared" si="1163"/>
        <v>0</v>
      </c>
      <c r="M3114" s="77">
        <f t="shared" si="1164"/>
        <v>0</v>
      </c>
      <c r="N3114" s="76">
        <f t="shared" si="1165"/>
        <v>1</v>
      </c>
      <c r="O3114" s="77">
        <f t="shared" si="1166"/>
        <v>0.91631291028446393</v>
      </c>
      <c r="P3114" s="76">
        <f t="shared" si="1167"/>
        <v>0.91666666666666663</v>
      </c>
      <c r="Q3114" s="76">
        <f t="shared" si="1168"/>
        <v>0</v>
      </c>
      <c r="R3114" s="76">
        <f t="shared" si="1169"/>
        <v>0</v>
      </c>
      <c r="S3114" s="76">
        <f t="shared" si="1170"/>
        <v>0.99599229378746079</v>
      </c>
      <c r="T3114" s="76">
        <f t="shared" si="1171"/>
        <v>0.99599229378746079</v>
      </c>
      <c r="U3114" s="76">
        <f t="shared" si="1172"/>
        <v>1</v>
      </c>
    </row>
    <row r="3115" spans="1:21" x14ac:dyDescent="0.25">
      <c r="A3115" s="71">
        <v>13</v>
      </c>
      <c r="B3115" s="72">
        <f t="shared" si="1173"/>
        <v>46023</v>
      </c>
      <c r="C3115" s="73">
        <f t="shared" si="1154"/>
        <v>46053</v>
      </c>
      <c r="D3115" s="67">
        <f t="shared" si="1155"/>
        <v>31</v>
      </c>
      <c r="E3115" s="67">
        <f t="shared" si="1156"/>
        <v>1</v>
      </c>
      <c r="F3115" s="74">
        <f t="shared" si="1157"/>
        <v>46038.5</v>
      </c>
      <c r="G3115" s="67">
        <f t="shared" si="1158"/>
        <v>24312</v>
      </c>
      <c r="H3115" s="75">
        <f t="shared" si="1159"/>
        <v>1</v>
      </c>
      <c r="I3115" s="76">
        <f t="shared" si="1160"/>
        <v>1</v>
      </c>
      <c r="J3115" s="76">
        <f t="shared" si="1161"/>
        <v>1</v>
      </c>
      <c r="K3115" s="67">
        <f t="shared" si="1162"/>
        <v>0</v>
      </c>
      <c r="L3115" s="67">
        <f t="shared" si="1163"/>
        <v>0</v>
      </c>
      <c r="M3115" s="77">
        <f t="shared" si="1164"/>
        <v>0</v>
      </c>
      <c r="N3115" s="76">
        <f t="shared" si="1165"/>
        <v>1</v>
      </c>
      <c r="O3115" s="77">
        <f t="shared" si="1166"/>
        <v>0.91563457330415754</v>
      </c>
      <c r="P3115" s="76">
        <f t="shared" si="1167"/>
        <v>1</v>
      </c>
      <c r="Q3115" s="76">
        <f t="shared" si="1168"/>
        <v>0</v>
      </c>
      <c r="R3115" s="76">
        <f t="shared" si="1169"/>
        <v>0</v>
      </c>
      <c r="S3115" s="76">
        <f t="shared" si="1170"/>
        <v>0.99525497098277993</v>
      </c>
      <c r="T3115" s="76">
        <f t="shared" si="1171"/>
        <v>0.99525497098277993</v>
      </c>
      <c r="U3115" s="76">
        <f t="shared" si="1172"/>
        <v>1</v>
      </c>
    </row>
    <row r="3116" spans="1:21" x14ac:dyDescent="0.25">
      <c r="A3116" s="71">
        <v>14</v>
      </c>
      <c r="B3116" s="72">
        <f t="shared" si="1173"/>
        <v>46054</v>
      </c>
      <c r="C3116" s="73">
        <f t="shared" si="1154"/>
        <v>46081</v>
      </c>
      <c r="D3116" s="67">
        <f t="shared" si="1155"/>
        <v>28</v>
      </c>
      <c r="E3116" s="67">
        <f t="shared" si="1156"/>
        <v>2</v>
      </c>
      <c r="F3116" s="74">
        <f t="shared" si="1157"/>
        <v>46068</v>
      </c>
      <c r="G3116" s="67">
        <f t="shared" si="1158"/>
        <v>24313</v>
      </c>
      <c r="H3116" s="75">
        <f t="shared" si="1159"/>
        <v>1</v>
      </c>
      <c r="I3116" s="76">
        <f t="shared" si="1160"/>
        <v>1</v>
      </c>
      <c r="J3116" s="76">
        <f t="shared" si="1161"/>
        <v>1</v>
      </c>
      <c r="K3116" s="67">
        <f t="shared" si="1162"/>
        <v>0</v>
      </c>
      <c r="L3116" s="67">
        <f t="shared" si="1163"/>
        <v>0</v>
      </c>
      <c r="M3116" s="77">
        <f t="shared" si="1164"/>
        <v>0</v>
      </c>
      <c r="N3116" s="76">
        <f t="shared" si="1165"/>
        <v>1</v>
      </c>
      <c r="O3116" s="77">
        <f t="shared" si="1166"/>
        <v>0.91498905908096284</v>
      </c>
      <c r="P3116" s="76">
        <f t="shared" si="1167"/>
        <v>1</v>
      </c>
      <c r="Q3116" s="76">
        <f t="shared" si="1168"/>
        <v>0</v>
      </c>
      <c r="R3116" s="76">
        <f t="shared" si="1169"/>
        <v>0</v>
      </c>
      <c r="S3116" s="76">
        <f t="shared" si="1170"/>
        <v>0.99455332508800309</v>
      </c>
      <c r="T3116" s="76">
        <f t="shared" si="1171"/>
        <v>0.99455332508800309</v>
      </c>
      <c r="U3116" s="76">
        <f t="shared" si="1172"/>
        <v>1</v>
      </c>
    </row>
    <row r="3117" spans="1:21" x14ac:dyDescent="0.25">
      <c r="A3117" s="71">
        <v>15</v>
      </c>
      <c r="B3117" s="72">
        <f t="shared" si="1173"/>
        <v>46082</v>
      </c>
      <c r="C3117" s="73">
        <f t="shared" si="1154"/>
        <v>46112</v>
      </c>
      <c r="D3117" s="67">
        <f t="shared" si="1155"/>
        <v>31</v>
      </c>
      <c r="E3117" s="67">
        <f t="shared" si="1156"/>
        <v>3</v>
      </c>
      <c r="F3117" s="74">
        <f t="shared" si="1157"/>
        <v>46097.5</v>
      </c>
      <c r="G3117" s="67">
        <f t="shared" si="1158"/>
        <v>24314</v>
      </c>
      <c r="H3117" s="75">
        <f t="shared" si="1159"/>
        <v>1</v>
      </c>
      <c r="I3117" s="76">
        <f t="shared" si="1160"/>
        <v>1</v>
      </c>
      <c r="J3117" s="76">
        <f t="shared" si="1161"/>
        <v>1</v>
      </c>
      <c r="K3117" s="67">
        <f t="shared" si="1162"/>
        <v>0</v>
      </c>
      <c r="L3117" s="67">
        <f t="shared" si="1163"/>
        <v>0</v>
      </c>
      <c r="M3117" s="77">
        <f t="shared" si="1164"/>
        <v>0</v>
      </c>
      <c r="N3117" s="76">
        <f t="shared" si="1165"/>
        <v>1</v>
      </c>
      <c r="O3117" s="77">
        <f t="shared" si="1166"/>
        <v>0.91434354485776803</v>
      </c>
      <c r="P3117" s="76">
        <f t="shared" si="1167"/>
        <v>1</v>
      </c>
      <c r="Q3117" s="76">
        <f t="shared" si="1168"/>
        <v>0</v>
      </c>
      <c r="R3117" s="76">
        <f t="shared" si="1169"/>
        <v>0</v>
      </c>
      <c r="S3117" s="76">
        <f t="shared" si="1170"/>
        <v>0.99385167919322603</v>
      </c>
      <c r="T3117" s="76">
        <f t="shared" si="1171"/>
        <v>0.99385167919322603</v>
      </c>
      <c r="U3117" s="76">
        <f t="shared" si="1172"/>
        <v>1</v>
      </c>
    </row>
    <row r="3118" spans="1:21" x14ac:dyDescent="0.25">
      <c r="A3118" s="71">
        <v>16</v>
      </c>
      <c r="B3118" s="72">
        <f t="shared" si="1173"/>
        <v>46113</v>
      </c>
      <c r="C3118" s="73">
        <f t="shared" si="1154"/>
        <v>46142</v>
      </c>
      <c r="D3118" s="67">
        <f t="shared" si="1155"/>
        <v>30</v>
      </c>
      <c r="E3118" s="67">
        <f t="shared" si="1156"/>
        <v>4</v>
      </c>
      <c r="F3118" s="74">
        <f t="shared" si="1157"/>
        <v>46128</v>
      </c>
      <c r="G3118" s="67">
        <f t="shared" si="1158"/>
        <v>24315</v>
      </c>
      <c r="H3118" s="75">
        <f t="shared" si="1159"/>
        <v>1</v>
      </c>
      <c r="I3118" s="76">
        <f t="shared" si="1160"/>
        <v>1</v>
      </c>
      <c r="J3118" s="76">
        <f t="shared" si="1161"/>
        <v>1</v>
      </c>
      <c r="K3118" s="67">
        <f t="shared" si="1162"/>
        <v>0</v>
      </c>
      <c r="L3118" s="67">
        <f t="shared" si="1163"/>
        <v>0</v>
      </c>
      <c r="M3118" s="77">
        <f t="shared" si="1164"/>
        <v>0</v>
      </c>
      <c r="N3118" s="76">
        <f t="shared" si="1165"/>
        <v>1</v>
      </c>
      <c r="O3118" s="77">
        <f t="shared" si="1166"/>
        <v>0.91367614879649894</v>
      </c>
      <c r="P3118" s="76">
        <f t="shared" si="1167"/>
        <v>1</v>
      </c>
      <c r="Q3118" s="76">
        <f t="shared" si="1168"/>
        <v>0</v>
      </c>
      <c r="R3118" s="76">
        <f t="shared" si="1169"/>
        <v>0</v>
      </c>
      <c r="S3118" s="76">
        <f t="shared" si="1170"/>
        <v>0.99312624869184662</v>
      </c>
      <c r="T3118" s="76">
        <f t="shared" si="1171"/>
        <v>0.99312624869184662</v>
      </c>
      <c r="U3118" s="76">
        <f t="shared" si="1172"/>
        <v>1</v>
      </c>
    </row>
    <row r="3119" spans="1:21" x14ac:dyDescent="0.25">
      <c r="A3119" s="71">
        <v>17</v>
      </c>
      <c r="B3119" s="72">
        <f t="shared" si="1173"/>
        <v>46143</v>
      </c>
      <c r="C3119" s="73">
        <f t="shared" si="1154"/>
        <v>46173</v>
      </c>
      <c r="D3119" s="67">
        <f t="shared" si="1155"/>
        <v>31</v>
      </c>
      <c r="E3119" s="67">
        <f t="shared" si="1156"/>
        <v>5</v>
      </c>
      <c r="F3119" s="74">
        <f t="shared" si="1157"/>
        <v>46158.5</v>
      </c>
      <c r="G3119" s="67">
        <f t="shared" si="1158"/>
        <v>24316</v>
      </c>
      <c r="H3119" s="75">
        <f t="shared" si="1159"/>
        <v>1</v>
      </c>
      <c r="I3119" s="76">
        <f t="shared" si="1160"/>
        <v>1</v>
      </c>
      <c r="J3119" s="76">
        <f t="shared" si="1161"/>
        <v>1</v>
      </c>
      <c r="K3119" s="67">
        <f t="shared" si="1162"/>
        <v>0</v>
      </c>
      <c r="L3119" s="67">
        <f t="shared" si="1163"/>
        <v>0</v>
      </c>
      <c r="M3119" s="77">
        <f t="shared" si="1164"/>
        <v>0</v>
      </c>
      <c r="N3119" s="76">
        <f t="shared" si="1165"/>
        <v>1</v>
      </c>
      <c r="O3119" s="77">
        <f t="shared" si="1166"/>
        <v>0.91300875273522974</v>
      </c>
      <c r="P3119" s="76">
        <f t="shared" si="1167"/>
        <v>1</v>
      </c>
      <c r="Q3119" s="76">
        <f t="shared" si="1168"/>
        <v>0</v>
      </c>
      <c r="R3119" s="76">
        <f t="shared" si="1169"/>
        <v>0</v>
      </c>
      <c r="S3119" s="76">
        <f t="shared" si="1170"/>
        <v>0.9924008181904671</v>
      </c>
      <c r="T3119" s="76">
        <f t="shared" si="1171"/>
        <v>0.9924008181904671</v>
      </c>
      <c r="U3119" s="76">
        <f t="shared" si="1172"/>
        <v>1</v>
      </c>
    </row>
    <row r="3120" spans="1:21" x14ac:dyDescent="0.25">
      <c r="A3120" s="71">
        <v>18</v>
      </c>
      <c r="B3120" s="72">
        <f t="shared" si="1173"/>
        <v>46174</v>
      </c>
      <c r="C3120" s="73">
        <f t="shared" si="1154"/>
        <v>46203</v>
      </c>
      <c r="D3120" s="67">
        <f t="shared" si="1155"/>
        <v>30</v>
      </c>
      <c r="E3120" s="67">
        <f t="shared" si="1156"/>
        <v>6</v>
      </c>
      <c r="F3120" s="74">
        <f t="shared" si="1157"/>
        <v>46189</v>
      </c>
      <c r="G3120" s="67">
        <f t="shared" si="1158"/>
        <v>24317</v>
      </c>
      <c r="H3120" s="75">
        <f t="shared" si="1159"/>
        <v>1</v>
      </c>
      <c r="I3120" s="76">
        <f t="shared" si="1160"/>
        <v>1</v>
      </c>
      <c r="J3120" s="76">
        <f t="shared" si="1161"/>
        <v>1</v>
      </c>
      <c r="K3120" s="67">
        <f t="shared" si="1162"/>
        <v>0</v>
      </c>
      <c r="L3120" s="67">
        <f t="shared" si="1163"/>
        <v>0</v>
      </c>
      <c r="M3120" s="77">
        <f t="shared" si="1164"/>
        <v>0</v>
      </c>
      <c r="N3120" s="76">
        <f t="shared" si="1165"/>
        <v>1</v>
      </c>
      <c r="O3120" s="77">
        <f t="shared" si="1166"/>
        <v>0.91234135667396066</v>
      </c>
      <c r="P3120" s="76">
        <f t="shared" si="1167"/>
        <v>1</v>
      </c>
      <c r="Q3120" s="76">
        <f t="shared" si="1168"/>
        <v>0</v>
      </c>
      <c r="R3120" s="76">
        <f t="shared" si="1169"/>
        <v>0</v>
      </c>
      <c r="S3120" s="76">
        <f t="shared" si="1170"/>
        <v>0.99167538768908758</v>
      </c>
      <c r="T3120" s="76">
        <f t="shared" si="1171"/>
        <v>0.99167538768908758</v>
      </c>
      <c r="U3120" s="76">
        <f t="shared" si="1172"/>
        <v>1</v>
      </c>
    </row>
    <row r="3121" spans="1:21" x14ac:dyDescent="0.25">
      <c r="A3121" s="71">
        <v>19</v>
      </c>
      <c r="B3121" s="72">
        <f t="shared" si="1173"/>
        <v>46204</v>
      </c>
      <c r="C3121" s="73">
        <f t="shared" si="1154"/>
        <v>46234</v>
      </c>
      <c r="D3121" s="67">
        <f t="shared" si="1155"/>
        <v>31</v>
      </c>
      <c r="E3121" s="67">
        <f t="shared" si="1156"/>
        <v>7</v>
      </c>
      <c r="F3121" s="74">
        <f t="shared" si="1157"/>
        <v>46219.5</v>
      </c>
      <c r="G3121" s="67">
        <f t="shared" si="1158"/>
        <v>24318</v>
      </c>
      <c r="H3121" s="75">
        <f t="shared" si="1159"/>
        <v>1</v>
      </c>
      <c r="I3121" s="76">
        <f t="shared" si="1160"/>
        <v>1</v>
      </c>
      <c r="J3121" s="76">
        <f t="shared" si="1161"/>
        <v>1</v>
      </c>
      <c r="K3121" s="67">
        <f t="shared" si="1162"/>
        <v>0</v>
      </c>
      <c r="L3121" s="67">
        <f t="shared" si="1163"/>
        <v>0</v>
      </c>
      <c r="M3121" s="77">
        <f t="shared" si="1164"/>
        <v>0</v>
      </c>
      <c r="N3121" s="76">
        <f t="shared" si="1165"/>
        <v>1</v>
      </c>
      <c r="O3121" s="77">
        <f t="shared" si="1166"/>
        <v>0.91167396061269146</v>
      </c>
      <c r="P3121" s="76">
        <f t="shared" si="1167"/>
        <v>0.91666666666666663</v>
      </c>
      <c r="Q3121" s="76">
        <f t="shared" si="1168"/>
        <v>8.333333333333337E-2</v>
      </c>
      <c r="R3121" s="76">
        <f t="shared" si="1169"/>
        <v>0</v>
      </c>
      <c r="S3121" s="76">
        <f t="shared" si="1170"/>
        <v>0.99094995718770806</v>
      </c>
      <c r="T3121" s="76">
        <f t="shared" si="1171"/>
        <v>0.99094995718770806</v>
      </c>
      <c r="U3121" s="76">
        <f t="shared" si="1172"/>
        <v>1</v>
      </c>
    </row>
    <row r="3122" spans="1:21" x14ac:dyDescent="0.25">
      <c r="A3122" s="71">
        <v>20</v>
      </c>
      <c r="B3122" s="72">
        <f t="shared" si="1173"/>
        <v>46235</v>
      </c>
      <c r="C3122" s="73">
        <f t="shared" si="1154"/>
        <v>46265</v>
      </c>
      <c r="D3122" s="67">
        <f t="shared" si="1155"/>
        <v>31</v>
      </c>
      <c r="E3122" s="67">
        <f t="shared" si="1156"/>
        <v>8</v>
      </c>
      <c r="F3122" s="74">
        <f t="shared" si="1157"/>
        <v>46250.5</v>
      </c>
      <c r="G3122" s="67">
        <f t="shared" si="1158"/>
        <v>24319</v>
      </c>
      <c r="H3122" s="75">
        <f t="shared" si="1159"/>
        <v>1</v>
      </c>
      <c r="I3122" s="76">
        <f t="shared" si="1160"/>
        <v>1</v>
      </c>
      <c r="J3122" s="76">
        <f t="shared" si="1161"/>
        <v>1</v>
      </c>
      <c r="K3122" s="67">
        <f t="shared" si="1162"/>
        <v>0</v>
      </c>
      <c r="L3122" s="67">
        <f t="shared" si="1163"/>
        <v>0</v>
      </c>
      <c r="M3122" s="77">
        <f t="shared" si="1164"/>
        <v>0</v>
      </c>
      <c r="N3122" s="76">
        <f t="shared" si="1165"/>
        <v>1</v>
      </c>
      <c r="O3122" s="77">
        <f t="shared" si="1166"/>
        <v>0.91099562363238518</v>
      </c>
      <c r="P3122" s="76">
        <f t="shared" si="1167"/>
        <v>0.75</v>
      </c>
      <c r="Q3122" s="76">
        <f t="shared" si="1168"/>
        <v>0.25</v>
      </c>
      <c r="R3122" s="76">
        <f t="shared" si="1169"/>
        <v>0</v>
      </c>
      <c r="S3122" s="76">
        <f t="shared" si="1170"/>
        <v>0.99021263438302731</v>
      </c>
      <c r="T3122" s="76">
        <f t="shared" si="1171"/>
        <v>0.99021263438302731</v>
      </c>
      <c r="U3122" s="76">
        <f t="shared" si="1172"/>
        <v>1</v>
      </c>
    </row>
    <row r="3123" spans="1:21" x14ac:dyDescent="0.25">
      <c r="A3123" s="71">
        <v>21</v>
      </c>
      <c r="B3123" s="72">
        <f t="shared" si="1173"/>
        <v>46266</v>
      </c>
      <c r="C3123" s="73">
        <f t="shared" si="1154"/>
        <v>46295</v>
      </c>
      <c r="D3123" s="67">
        <f t="shared" si="1155"/>
        <v>30</v>
      </c>
      <c r="E3123" s="67">
        <f t="shared" si="1156"/>
        <v>9</v>
      </c>
      <c r="F3123" s="74">
        <f t="shared" si="1157"/>
        <v>46281</v>
      </c>
      <c r="G3123" s="67">
        <f t="shared" si="1158"/>
        <v>24320</v>
      </c>
      <c r="H3123" s="75">
        <f t="shared" si="1159"/>
        <v>1</v>
      </c>
      <c r="I3123" s="76">
        <f t="shared" si="1160"/>
        <v>1</v>
      </c>
      <c r="J3123" s="76">
        <f t="shared" si="1161"/>
        <v>1</v>
      </c>
      <c r="K3123" s="67">
        <f t="shared" si="1162"/>
        <v>0</v>
      </c>
      <c r="L3123" s="67">
        <f t="shared" si="1163"/>
        <v>0</v>
      </c>
      <c r="M3123" s="77">
        <f t="shared" si="1164"/>
        <v>0</v>
      </c>
      <c r="N3123" s="76">
        <f t="shared" si="1165"/>
        <v>1</v>
      </c>
      <c r="O3123" s="77">
        <f t="shared" si="1166"/>
        <v>0.91032822757111598</v>
      </c>
      <c r="P3123" s="76">
        <f t="shared" si="1167"/>
        <v>0.58333333333333337</v>
      </c>
      <c r="Q3123" s="76">
        <f t="shared" si="1168"/>
        <v>0.41666666666666663</v>
      </c>
      <c r="R3123" s="76">
        <f t="shared" si="1169"/>
        <v>0</v>
      </c>
      <c r="S3123" s="76">
        <f t="shared" si="1170"/>
        <v>0.98948720388164779</v>
      </c>
      <c r="T3123" s="76">
        <f t="shared" si="1171"/>
        <v>0.98948720388164779</v>
      </c>
      <c r="U3123" s="76">
        <f t="shared" si="1172"/>
        <v>1</v>
      </c>
    </row>
    <row r="3124" spans="1:21" x14ac:dyDescent="0.25">
      <c r="A3124" s="71">
        <v>22</v>
      </c>
      <c r="B3124" s="72">
        <f t="shared" si="1173"/>
        <v>46296</v>
      </c>
      <c r="C3124" s="73">
        <f t="shared" si="1154"/>
        <v>46326</v>
      </c>
      <c r="D3124" s="67">
        <f t="shared" si="1155"/>
        <v>31</v>
      </c>
      <c r="E3124" s="67">
        <f t="shared" si="1156"/>
        <v>10</v>
      </c>
      <c r="F3124" s="74">
        <f t="shared" si="1157"/>
        <v>46311.5</v>
      </c>
      <c r="G3124" s="67">
        <f t="shared" si="1158"/>
        <v>24321</v>
      </c>
      <c r="H3124" s="75">
        <f t="shared" si="1159"/>
        <v>1</v>
      </c>
      <c r="I3124" s="76">
        <f t="shared" si="1160"/>
        <v>1</v>
      </c>
      <c r="J3124" s="76">
        <f t="shared" si="1161"/>
        <v>1</v>
      </c>
      <c r="K3124" s="67">
        <f t="shared" si="1162"/>
        <v>0</v>
      </c>
      <c r="L3124" s="67">
        <f t="shared" si="1163"/>
        <v>0</v>
      </c>
      <c r="M3124" s="77">
        <f t="shared" si="1164"/>
        <v>0</v>
      </c>
      <c r="N3124" s="76">
        <f t="shared" si="1165"/>
        <v>1</v>
      </c>
      <c r="O3124" s="77">
        <f t="shared" si="1166"/>
        <v>0.90966083150984689</v>
      </c>
      <c r="P3124" s="76">
        <f t="shared" si="1167"/>
        <v>0.41666666666666669</v>
      </c>
      <c r="Q3124" s="76">
        <f t="shared" si="1168"/>
        <v>0.58333333333333326</v>
      </c>
      <c r="R3124" s="76">
        <f t="shared" si="1169"/>
        <v>0</v>
      </c>
      <c r="S3124" s="76">
        <f t="shared" si="1170"/>
        <v>0.98876177338026827</v>
      </c>
      <c r="T3124" s="76">
        <f t="shared" si="1171"/>
        <v>0.98876177338026827</v>
      </c>
      <c r="U3124" s="76">
        <f t="shared" si="1172"/>
        <v>1</v>
      </c>
    </row>
    <row r="3125" spans="1:21" x14ac:dyDescent="0.25">
      <c r="A3125" s="71">
        <v>23</v>
      </c>
      <c r="B3125" s="72">
        <f t="shared" si="1173"/>
        <v>46327</v>
      </c>
      <c r="C3125" s="73">
        <f t="shared" si="1154"/>
        <v>46356</v>
      </c>
      <c r="D3125" s="67">
        <f t="shared" si="1155"/>
        <v>30</v>
      </c>
      <c r="E3125" s="67">
        <f t="shared" si="1156"/>
        <v>11</v>
      </c>
      <c r="F3125" s="74">
        <f t="shared" si="1157"/>
        <v>46342</v>
      </c>
      <c r="G3125" s="67">
        <f t="shared" si="1158"/>
        <v>24322</v>
      </c>
      <c r="H3125" s="75">
        <f t="shared" si="1159"/>
        <v>1</v>
      </c>
      <c r="I3125" s="76">
        <f t="shared" si="1160"/>
        <v>1</v>
      </c>
      <c r="J3125" s="76">
        <f t="shared" si="1161"/>
        <v>1</v>
      </c>
      <c r="K3125" s="67">
        <f t="shared" si="1162"/>
        <v>0</v>
      </c>
      <c r="L3125" s="67">
        <f t="shared" si="1163"/>
        <v>0</v>
      </c>
      <c r="M3125" s="77">
        <f t="shared" si="1164"/>
        <v>0</v>
      </c>
      <c r="N3125" s="76">
        <f t="shared" si="1165"/>
        <v>1</v>
      </c>
      <c r="O3125" s="77">
        <f t="shared" si="1166"/>
        <v>0.90899343544857769</v>
      </c>
      <c r="P3125" s="76">
        <f t="shared" si="1167"/>
        <v>0.25</v>
      </c>
      <c r="Q3125" s="76">
        <f t="shared" si="1168"/>
        <v>0.75</v>
      </c>
      <c r="R3125" s="76">
        <f t="shared" si="1169"/>
        <v>0</v>
      </c>
      <c r="S3125" s="76">
        <f t="shared" si="1170"/>
        <v>0.98803634287888875</v>
      </c>
      <c r="T3125" s="76">
        <f t="shared" si="1171"/>
        <v>0.98803634287888875</v>
      </c>
      <c r="U3125" s="76">
        <f t="shared" si="1172"/>
        <v>1</v>
      </c>
    </row>
    <row r="3126" spans="1:21" x14ac:dyDescent="0.25">
      <c r="A3126" s="71">
        <v>24</v>
      </c>
      <c r="B3126" s="72">
        <f t="shared" si="1173"/>
        <v>46357</v>
      </c>
      <c r="C3126" s="73">
        <f t="shared" si="1154"/>
        <v>46387</v>
      </c>
      <c r="D3126" s="67">
        <f t="shared" si="1155"/>
        <v>31</v>
      </c>
      <c r="E3126" s="67">
        <f t="shared" si="1156"/>
        <v>12</v>
      </c>
      <c r="F3126" s="74">
        <f t="shared" si="1157"/>
        <v>46372.5</v>
      </c>
      <c r="G3126" s="67">
        <f t="shared" si="1158"/>
        <v>24323</v>
      </c>
      <c r="H3126" s="75">
        <f t="shared" si="1159"/>
        <v>1</v>
      </c>
      <c r="I3126" s="76">
        <f t="shared" si="1160"/>
        <v>1</v>
      </c>
      <c r="J3126" s="76">
        <f t="shared" si="1161"/>
        <v>1</v>
      </c>
      <c r="K3126" s="67">
        <f t="shared" si="1162"/>
        <v>0</v>
      </c>
      <c r="L3126" s="67">
        <f t="shared" si="1163"/>
        <v>0</v>
      </c>
      <c r="M3126" s="77">
        <f t="shared" si="1164"/>
        <v>0</v>
      </c>
      <c r="N3126" s="76">
        <f t="shared" si="1165"/>
        <v>1</v>
      </c>
      <c r="O3126" s="77">
        <f t="shared" si="1166"/>
        <v>0.9083260393873086</v>
      </c>
      <c r="P3126" s="76">
        <f t="shared" si="1167"/>
        <v>8.3333333333333329E-2</v>
      </c>
      <c r="Q3126" s="76">
        <f t="shared" si="1168"/>
        <v>0.91666666666666663</v>
      </c>
      <c r="R3126" s="76">
        <f t="shared" si="1169"/>
        <v>0</v>
      </c>
      <c r="S3126" s="76">
        <f t="shared" si="1170"/>
        <v>0.98731091237750934</v>
      </c>
      <c r="T3126" s="76">
        <f t="shared" si="1171"/>
        <v>0.98731091237750934</v>
      </c>
      <c r="U3126" s="76">
        <f t="shared" si="1172"/>
        <v>1</v>
      </c>
    </row>
    <row r="3127" spans="1:21" x14ac:dyDescent="0.25">
      <c r="A3127" s="71">
        <v>25</v>
      </c>
      <c r="B3127" s="72">
        <f t="shared" si="1173"/>
        <v>46388</v>
      </c>
      <c r="C3127" s="73">
        <f t="shared" si="1154"/>
        <v>46418</v>
      </c>
      <c r="D3127" s="67">
        <f t="shared" si="1155"/>
        <v>31</v>
      </c>
      <c r="E3127" s="67">
        <f t="shared" si="1156"/>
        <v>1</v>
      </c>
      <c r="F3127" s="74">
        <f t="shared" si="1157"/>
        <v>46403.5</v>
      </c>
      <c r="G3127" s="67">
        <f t="shared" si="1158"/>
        <v>24324</v>
      </c>
      <c r="H3127" s="75">
        <f t="shared" si="1159"/>
        <v>1</v>
      </c>
      <c r="I3127" s="76">
        <f t="shared" si="1160"/>
        <v>1</v>
      </c>
      <c r="J3127" s="76">
        <f t="shared" si="1161"/>
        <v>1</v>
      </c>
      <c r="K3127" s="67">
        <f t="shared" si="1162"/>
        <v>0</v>
      </c>
      <c r="L3127" s="67">
        <f t="shared" si="1163"/>
        <v>0</v>
      </c>
      <c r="M3127" s="77">
        <f t="shared" si="1164"/>
        <v>0</v>
      </c>
      <c r="N3127" s="76">
        <f t="shared" si="1165"/>
        <v>1</v>
      </c>
      <c r="O3127" s="77">
        <f t="shared" si="1166"/>
        <v>0.90764770240700221</v>
      </c>
      <c r="P3127" s="76">
        <f t="shared" si="1167"/>
        <v>0</v>
      </c>
      <c r="Q3127" s="76">
        <f t="shared" si="1168"/>
        <v>1</v>
      </c>
      <c r="R3127" s="76">
        <f t="shared" si="1169"/>
        <v>0</v>
      </c>
      <c r="S3127" s="76">
        <f t="shared" si="1170"/>
        <v>0.98657358957282848</v>
      </c>
      <c r="T3127" s="76">
        <f t="shared" si="1171"/>
        <v>0.99525497098277993</v>
      </c>
      <c r="U3127" s="76">
        <f t="shared" si="1172"/>
        <v>1</v>
      </c>
    </row>
    <row r="3128" spans="1:21" x14ac:dyDescent="0.25">
      <c r="A3128" s="71">
        <v>26</v>
      </c>
      <c r="B3128" s="72">
        <f t="shared" si="1173"/>
        <v>46419</v>
      </c>
      <c r="C3128" s="73">
        <f t="shared" si="1154"/>
        <v>46446</v>
      </c>
      <c r="D3128" s="67">
        <f t="shared" si="1155"/>
        <v>28</v>
      </c>
      <c r="E3128" s="67">
        <f t="shared" si="1156"/>
        <v>2</v>
      </c>
      <c r="F3128" s="74">
        <f t="shared" si="1157"/>
        <v>46433</v>
      </c>
      <c r="G3128" s="67">
        <f t="shared" si="1158"/>
        <v>24325</v>
      </c>
      <c r="H3128" s="75">
        <f t="shared" si="1159"/>
        <v>1</v>
      </c>
      <c r="I3128" s="76">
        <f t="shared" si="1160"/>
        <v>1</v>
      </c>
      <c r="J3128" s="76">
        <f t="shared" si="1161"/>
        <v>1</v>
      </c>
      <c r="K3128" s="67">
        <f t="shared" si="1162"/>
        <v>0</v>
      </c>
      <c r="L3128" s="67">
        <f t="shared" si="1163"/>
        <v>0</v>
      </c>
      <c r="M3128" s="77">
        <f t="shared" si="1164"/>
        <v>0</v>
      </c>
      <c r="N3128" s="76">
        <f t="shared" si="1165"/>
        <v>1</v>
      </c>
      <c r="O3128" s="77">
        <f t="shared" si="1166"/>
        <v>0.90700218818380751</v>
      </c>
      <c r="P3128" s="76">
        <f t="shared" si="1167"/>
        <v>0</v>
      </c>
      <c r="Q3128" s="76">
        <f t="shared" si="1168"/>
        <v>1</v>
      </c>
      <c r="R3128" s="76">
        <f t="shared" si="1169"/>
        <v>0</v>
      </c>
      <c r="S3128" s="76">
        <f t="shared" si="1170"/>
        <v>0.98587194367805164</v>
      </c>
      <c r="T3128" s="76">
        <f t="shared" si="1171"/>
        <v>0.99455332508800309</v>
      </c>
      <c r="U3128" s="76">
        <f t="shared" si="1172"/>
        <v>1</v>
      </c>
    </row>
    <row r="3129" spans="1:21" x14ac:dyDescent="0.25">
      <c r="A3129" s="71">
        <v>27</v>
      </c>
      <c r="B3129" s="72">
        <f t="shared" si="1173"/>
        <v>46447</v>
      </c>
      <c r="C3129" s="73">
        <f t="shared" si="1154"/>
        <v>46477</v>
      </c>
      <c r="D3129" s="67">
        <f t="shared" si="1155"/>
        <v>31</v>
      </c>
      <c r="E3129" s="67">
        <f t="shared" si="1156"/>
        <v>3</v>
      </c>
      <c r="F3129" s="74">
        <f t="shared" si="1157"/>
        <v>46462.5</v>
      </c>
      <c r="G3129" s="67">
        <f t="shared" si="1158"/>
        <v>24326</v>
      </c>
      <c r="H3129" s="75">
        <f t="shared" si="1159"/>
        <v>1</v>
      </c>
      <c r="I3129" s="76">
        <f t="shared" si="1160"/>
        <v>1</v>
      </c>
      <c r="J3129" s="76">
        <f t="shared" si="1161"/>
        <v>1</v>
      </c>
      <c r="K3129" s="67">
        <f t="shared" si="1162"/>
        <v>0</v>
      </c>
      <c r="L3129" s="67">
        <f t="shared" si="1163"/>
        <v>0</v>
      </c>
      <c r="M3129" s="77">
        <f t="shared" si="1164"/>
        <v>0</v>
      </c>
      <c r="N3129" s="76">
        <f t="shared" si="1165"/>
        <v>1</v>
      </c>
      <c r="O3129" s="77">
        <f t="shared" si="1166"/>
        <v>0.9063566739606127</v>
      </c>
      <c r="P3129" s="76">
        <f t="shared" si="1167"/>
        <v>0</v>
      </c>
      <c r="Q3129" s="76">
        <f t="shared" si="1168"/>
        <v>1</v>
      </c>
      <c r="R3129" s="76">
        <f t="shared" si="1169"/>
        <v>0</v>
      </c>
      <c r="S3129" s="76">
        <f t="shared" si="1170"/>
        <v>0.98517029778327458</v>
      </c>
      <c r="T3129" s="76">
        <f t="shared" si="1171"/>
        <v>0.99385167919322603</v>
      </c>
      <c r="U3129" s="76">
        <f t="shared" si="1172"/>
        <v>1</v>
      </c>
    </row>
    <row r="3130" spans="1:21" x14ac:dyDescent="0.25">
      <c r="A3130" s="71">
        <v>28</v>
      </c>
      <c r="B3130" s="72">
        <f t="shared" si="1173"/>
        <v>46478</v>
      </c>
      <c r="C3130" s="73">
        <f t="shared" si="1154"/>
        <v>46507</v>
      </c>
      <c r="D3130" s="67">
        <f t="shared" si="1155"/>
        <v>30</v>
      </c>
      <c r="E3130" s="67">
        <f t="shared" si="1156"/>
        <v>4</v>
      </c>
      <c r="F3130" s="74">
        <f t="shared" si="1157"/>
        <v>46493</v>
      </c>
      <c r="G3130" s="67">
        <f t="shared" si="1158"/>
        <v>24327</v>
      </c>
      <c r="H3130" s="75">
        <f t="shared" si="1159"/>
        <v>1</v>
      </c>
      <c r="I3130" s="76">
        <f t="shared" si="1160"/>
        <v>1</v>
      </c>
      <c r="J3130" s="76">
        <f t="shared" si="1161"/>
        <v>1</v>
      </c>
      <c r="K3130" s="67">
        <f t="shared" si="1162"/>
        <v>0</v>
      </c>
      <c r="L3130" s="67">
        <f t="shared" si="1163"/>
        <v>0</v>
      </c>
      <c r="M3130" s="77">
        <f t="shared" si="1164"/>
        <v>0</v>
      </c>
      <c r="N3130" s="76">
        <f t="shared" si="1165"/>
        <v>1</v>
      </c>
      <c r="O3130" s="77">
        <f t="shared" si="1166"/>
        <v>0.90568927789934361</v>
      </c>
      <c r="P3130" s="76">
        <f t="shared" si="1167"/>
        <v>0</v>
      </c>
      <c r="Q3130" s="76">
        <f t="shared" si="1168"/>
        <v>1</v>
      </c>
      <c r="R3130" s="76">
        <f t="shared" si="1169"/>
        <v>0</v>
      </c>
      <c r="S3130" s="76">
        <f t="shared" si="1170"/>
        <v>0.98444486728189518</v>
      </c>
      <c r="T3130" s="76">
        <f t="shared" si="1171"/>
        <v>0.99312624869184662</v>
      </c>
      <c r="U3130" s="76">
        <f t="shared" si="1172"/>
        <v>1</v>
      </c>
    </row>
    <row r="3131" spans="1:21" x14ac:dyDescent="0.25">
      <c r="A3131" s="71">
        <v>29</v>
      </c>
      <c r="B3131" s="72">
        <f t="shared" si="1173"/>
        <v>46508</v>
      </c>
      <c r="C3131" s="73">
        <f t="shared" si="1154"/>
        <v>46538</v>
      </c>
      <c r="D3131" s="67">
        <f t="shared" si="1155"/>
        <v>31</v>
      </c>
      <c r="E3131" s="67">
        <f t="shared" si="1156"/>
        <v>5</v>
      </c>
      <c r="F3131" s="74">
        <f t="shared" si="1157"/>
        <v>46523.5</v>
      </c>
      <c r="G3131" s="67">
        <f t="shared" si="1158"/>
        <v>24328</v>
      </c>
      <c r="H3131" s="75">
        <f t="shared" si="1159"/>
        <v>1</v>
      </c>
      <c r="I3131" s="76">
        <f t="shared" si="1160"/>
        <v>1</v>
      </c>
      <c r="J3131" s="76">
        <f t="shared" si="1161"/>
        <v>1</v>
      </c>
      <c r="K3131" s="67">
        <f t="shared" si="1162"/>
        <v>0</v>
      </c>
      <c r="L3131" s="67">
        <f t="shared" si="1163"/>
        <v>0</v>
      </c>
      <c r="M3131" s="77">
        <f t="shared" si="1164"/>
        <v>0</v>
      </c>
      <c r="N3131" s="76">
        <f t="shared" si="1165"/>
        <v>1</v>
      </c>
      <c r="O3131" s="77">
        <f t="shared" si="1166"/>
        <v>0.90502188183807442</v>
      </c>
      <c r="P3131" s="76">
        <f t="shared" si="1167"/>
        <v>0</v>
      </c>
      <c r="Q3131" s="76">
        <f t="shared" si="1168"/>
        <v>1</v>
      </c>
      <c r="R3131" s="76">
        <f t="shared" si="1169"/>
        <v>0</v>
      </c>
      <c r="S3131" s="76">
        <f t="shared" si="1170"/>
        <v>0.98371943678051565</v>
      </c>
      <c r="T3131" s="76">
        <f t="shared" si="1171"/>
        <v>0.9924008181904671</v>
      </c>
      <c r="U3131" s="76">
        <f t="shared" si="1172"/>
        <v>1</v>
      </c>
    </row>
    <row r="3132" spans="1:21" x14ac:dyDescent="0.25">
      <c r="A3132" s="71">
        <v>30</v>
      </c>
      <c r="B3132" s="72">
        <f t="shared" si="1173"/>
        <v>46539</v>
      </c>
      <c r="C3132" s="73">
        <f t="shared" si="1154"/>
        <v>46568</v>
      </c>
      <c r="D3132" s="67">
        <f t="shared" si="1155"/>
        <v>30</v>
      </c>
      <c r="E3132" s="67">
        <f t="shared" si="1156"/>
        <v>6</v>
      </c>
      <c r="F3132" s="74">
        <f t="shared" si="1157"/>
        <v>46554</v>
      </c>
      <c r="G3132" s="67">
        <f t="shared" si="1158"/>
        <v>24329</v>
      </c>
      <c r="H3132" s="75">
        <f t="shared" si="1159"/>
        <v>1</v>
      </c>
      <c r="I3132" s="76">
        <f t="shared" si="1160"/>
        <v>1</v>
      </c>
      <c r="J3132" s="76">
        <f t="shared" si="1161"/>
        <v>1</v>
      </c>
      <c r="K3132" s="67">
        <f t="shared" si="1162"/>
        <v>0</v>
      </c>
      <c r="L3132" s="67">
        <f t="shared" si="1163"/>
        <v>0</v>
      </c>
      <c r="M3132" s="77">
        <f t="shared" si="1164"/>
        <v>0</v>
      </c>
      <c r="N3132" s="76">
        <f t="shared" si="1165"/>
        <v>1</v>
      </c>
      <c r="O3132" s="77">
        <f t="shared" si="1166"/>
        <v>0.90435448577680533</v>
      </c>
      <c r="P3132" s="76">
        <f t="shared" si="1167"/>
        <v>0</v>
      </c>
      <c r="Q3132" s="76">
        <f t="shared" si="1168"/>
        <v>1</v>
      </c>
      <c r="R3132" s="76">
        <f t="shared" si="1169"/>
        <v>0</v>
      </c>
      <c r="S3132" s="76">
        <f t="shared" si="1170"/>
        <v>0.98299400627913613</v>
      </c>
      <c r="T3132" s="76">
        <f t="shared" si="1171"/>
        <v>0.99167538768908758</v>
      </c>
      <c r="U3132" s="76">
        <f t="shared" si="1172"/>
        <v>1</v>
      </c>
    </row>
    <row r="3133" spans="1:21" x14ac:dyDescent="0.25">
      <c r="A3133" s="71">
        <v>31</v>
      </c>
      <c r="B3133" s="72">
        <f t="shared" si="1173"/>
        <v>46569</v>
      </c>
      <c r="C3133" s="73">
        <f t="shared" si="1154"/>
        <v>46599</v>
      </c>
      <c r="D3133" s="67">
        <f t="shared" si="1155"/>
        <v>31</v>
      </c>
      <c r="E3133" s="67">
        <f t="shared" si="1156"/>
        <v>7</v>
      </c>
      <c r="F3133" s="74">
        <f t="shared" si="1157"/>
        <v>46584.5</v>
      </c>
      <c r="G3133" s="67">
        <f t="shared" si="1158"/>
        <v>24330</v>
      </c>
      <c r="H3133" s="75">
        <f t="shared" si="1159"/>
        <v>1</v>
      </c>
      <c r="I3133" s="76">
        <f t="shared" si="1160"/>
        <v>1</v>
      </c>
      <c r="J3133" s="76">
        <f t="shared" si="1161"/>
        <v>1</v>
      </c>
      <c r="K3133" s="67">
        <f t="shared" si="1162"/>
        <v>0</v>
      </c>
      <c r="L3133" s="67">
        <f t="shared" si="1163"/>
        <v>0</v>
      </c>
      <c r="M3133" s="77">
        <f t="shared" si="1164"/>
        <v>0</v>
      </c>
      <c r="N3133" s="76">
        <f t="shared" si="1165"/>
        <v>1</v>
      </c>
      <c r="O3133" s="77">
        <f t="shared" si="1166"/>
        <v>0.90368708971553613</v>
      </c>
      <c r="P3133" s="76">
        <f t="shared" si="1167"/>
        <v>0</v>
      </c>
      <c r="Q3133" s="76">
        <f t="shared" si="1168"/>
        <v>0.91666666666666663</v>
      </c>
      <c r="R3133" s="76">
        <f t="shared" si="1169"/>
        <v>8.333333333333337E-2</v>
      </c>
      <c r="S3133" s="76">
        <f t="shared" si="1170"/>
        <v>0.98226857577775661</v>
      </c>
      <c r="T3133" s="76">
        <f t="shared" si="1171"/>
        <v>0.99094995718770806</v>
      </c>
      <c r="U3133" s="76">
        <f t="shared" si="1172"/>
        <v>1</v>
      </c>
    </row>
    <row r="3134" spans="1:21" x14ac:dyDescent="0.25">
      <c r="A3134" s="71">
        <v>32</v>
      </c>
      <c r="B3134" s="72">
        <f t="shared" si="1173"/>
        <v>46600</v>
      </c>
      <c r="C3134" s="73">
        <f t="shared" si="1154"/>
        <v>46630</v>
      </c>
      <c r="D3134" s="67">
        <f t="shared" si="1155"/>
        <v>31</v>
      </c>
      <c r="E3134" s="67">
        <f t="shared" si="1156"/>
        <v>8</v>
      </c>
      <c r="F3134" s="74">
        <f t="shared" si="1157"/>
        <v>46615.5</v>
      </c>
      <c r="G3134" s="67">
        <f t="shared" si="1158"/>
        <v>24331</v>
      </c>
      <c r="H3134" s="75">
        <f t="shared" si="1159"/>
        <v>1</v>
      </c>
      <c r="I3134" s="76">
        <f t="shared" si="1160"/>
        <v>1</v>
      </c>
      <c r="J3134" s="76">
        <f t="shared" si="1161"/>
        <v>1</v>
      </c>
      <c r="K3134" s="67">
        <f t="shared" si="1162"/>
        <v>0</v>
      </c>
      <c r="L3134" s="67">
        <f t="shared" si="1163"/>
        <v>0</v>
      </c>
      <c r="M3134" s="77">
        <f t="shared" si="1164"/>
        <v>0</v>
      </c>
      <c r="N3134" s="76">
        <f t="shared" si="1165"/>
        <v>1</v>
      </c>
      <c r="O3134" s="77">
        <f t="shared" si="1166"/>
        <v>0.90300875273522974</v>
      </c>
      <c r="P3134" s="76">
        <f t="shared" si="1167"/>
        <v>0</v>
      </c>
      <c r="Q3134" s="76">
        <f t="shared" si="1168"/>
        <v>0.75</v>
      </c>
      <c r="R3134" s="76">
        <f t="shared" si="1169"/>
        <v>0.25</v>
      </c>
      <c r="S3134" s="76">
        <f t="shared" si="1170"/>
        <v>0.98153125297307575</v>
      </c>
      <c r="T3134" s="76">
        <f t="shared" si="1171"/>
        <v>0.99021263438302731</v>
      </c>
      <c r="U3134" s="76">
        <f t="shared" si="1172"/>
        <v>1</v>
      </c>
    </row>
    <row r="3135" spans="1:21" x14ac:dyDescent="0.25">
      <c r="A3135" s="71">
        <v>33</v>
      </c>
      <c r="B3135" s="72">
        <f t="shared" si="1173"/>
        <v>46631</v>
      </c>
      <c r="C3135" s="73">
        <f t="shared" si="1154"/>
        <v>46660</v>
      </c>
      <c r="D3135" s="67">
        <f t="shared" si="1155"/>
        <v>30</v>
      </c>
      <c r="E3135" s="67">
        <f t="shared" si="1156"/>
        <v>9</v>
      </c>
      <c r="F3135" s="74">
        <f t="shared" si="1157"/>
        <v>46646</v>
      </c>
      <c r="G3135" s="67">
        <f t="shared" si="1158"/>
        <v>24332</v>
      </c>
      <c r="H3135" s="75">
        <f t="shared" si="1159"/>
        <v>1</v>
      </c>
      <c r="I3135" s="76">
        <f t="shared" si="1160"/>
        <v>1</v>
      </c>
      <c r="J3135" s="76">
        <f t="shared" si="1161"/>
        <v>1</v>
      </c>
      <c r="K3135" s="67">
        <f t="shared" si="1162"/>
        <v>0</v>
      </c>
      <c r="L3135" s="67">
        <f t="shared" si="1163"/>
        <v>0</v>
      </c>
      <c r="M3135" s="77">
        <f t="shared" si="1164"/>
        <v>0</v>
      </c>
      <c r="N3135" s="76">
        <f t="shared" si="1165"/>
        <v>1</v>
      </c>
      <c r="O3135" s="77">
        <f t="shared" si="1166"/>
        <v>0.90234135667396065</v>
      </c>
      <c r="P3135" s="76">
        <f t="shared" si="1167"/>
        <v>0</v>
      </c>
      <c r="Q3135" s="76">
        <f t="shared" si="1168"/>
        <v>0.58333333333333337</v>
      </c>
      <c r="R3135" s="76">
        <f t="shared" si="1169"/>
        <v>0.41666666666666663</v>
      </c>
      <c r="S3135" s="76">
        <f t="shared" si="1170"/>
        <v>0.98080582247169634</v>
      </c>
      <c r="T3135" s="76">
        <f t="shared" si="1171"/>
        <v>0.98948720388164779</v>
      </c>
      <c r="U3135" s="76">
        <f t="shared" si="1172"/>
        <v>1</v>
      </c>
    </row>
    <row r="3136" spans="1:21" x14ac:dyDescent="0.25">
      <c r="A3136" s="71">
        <v>34</v>
      </c>
      <c r="B3136" s="72">
        <f t="shared" si="1173"/>
        <v>46661</v>
      </c>
      <c r="C3136" s="73">
        <f t="shared" si="1154"/>
        <v>46691</v>
      </c>
      <c r="D3136" s="67">
        <f t="shared" si="1155"/>
        <v>31</v>
      </c>
      <c r="E3136" s="67">
        <f t="shared" si="1156"/>
        <v>10</v>
      </c>
      <c r="F3136" s="74">
        <f t="shared" si="1157"/>
        <v>46676.5</v>
      </c>
      <c r="G3136" s="67">
        <f t="shared" si="1158"/>
        <v>24333</v>
      </c>
      <c r="H3136" s="75">
        <f t="shared" si="1159"/>
        <v>1</v>
      </c>
      <c r="I3136" s="76">
        <f t="shared" si="1160"/>
        <v>1</v>
      </c>
      <c r="J3136" s="76">
        <f t="shared" si="1161"/>
        <v>1</v>
      </c>
      <c r="K3136" s="67">
        <f t="shared" si="1162"/>
        <v>0</v>
      </c>
      <c r="L3136" s="67">
        <f t="shared" si="1163"/>
        <v>0</v>
      </c>
      <c r="M3136" s="77">
        <f t="shared" si="1164"/>
        <v>0</v>
      </c>
      <c r="N3136" s="76">
        <f t="shared" si="1165"/>
        <v>1</v>
      </c>
      <c r="O3136" s="77">
        <f t="shared" si="1166"/>
        <v>0.90167396061269145</v>
      </c>
      <c r="P3136" s="76">
        <f t="shared" si="1167"/>
        <v>0</v>
      </c>
      <c r="Q3136" s="76">
        <f t="shared" si="1168"/>
        <v>0.41666666666666669</v>
      </c>
      <c r="R3136" s="76">
        <f t="shared" si="1169"/>
        <v>0.58333333333333326</v>
      </c>
      <c r="S3136" s="76">
        <f t="shared" si="1170"/>
        <v>0.98008039197031671</v>
      </c>
      <c r="T3136" s="76">
        <f t="shared" si="1171"/>
        <v>0.98876177338026827</v>
      </c>
      <c r="U3136" s="76">
        <f t="shared" si="1172"/>
        <v>1</v>
      </c>
    </row>
    <row r="3137" spans="1:21" x14ac:dyDescent="0.25">
      <c r="A3137" s="71">
        <v>35</v>
      </c>
      <c r="B3137" s="72">
        <f t="shared" si="1173"/>
        <v>46692</v>
      </c>
      <c r="C3137" s="73">
        <f t="shared" si="1154"/>
        <v>46721</v>
      </c>
      <c r="D3137" s="67">
        <f t="shared" si="1155"/>
        <v>30</v>
      </c>
      <c r="E3137" s="67">
        <f t="shared" si="1156"/>
        <v>11</v>
      </c>
      <c r="F3137" s="74">
        <f t="shared" si="1157"/>
        <v>46707</v>
      </c>
      <c r="G3137" s="67">
        <f t="shared" si="1158"/>
        <v>24334</v>
      </c>
      <c r="H3137" s="75">
        <f t="shared" si="1159"/>
        <v>1</v>
      </c>
      <c r="I3137" s="76">
        <f t="shared" si="1160"/>
        <v>1</v>
      </c>
      <c r="J3137" s="76">
        <f t="shared" si="1161"/>
        <v>1</v>
      </c>
      <c r="K3137" s="67">
        <f t="shared" si="1162"/>
        <v>0</v>
      </c>
      <c r="L3137" s="67">
        <f t="shared" si="1163"/>
        <v>0</v>
      </c>
      <c r="M3137" s="77">
        <f t="shared" si="1164"/>
        <v>0</v>
      </c>
      <c r="N3137" s="76">
        <f t="shared" si="1165"/>
        <v>1</v>
      </c>
      <c r="O3137" s="77">
        <f t="shared" si="1166"/>
        <v>0.90100656455142236</v>
      </c>
      <c r="P3137" s="76">
        <f t="shared" si="1167"/>
        <v>0</v>
      </c>
      <c r="Q3137" s="76">
        <f t="shared" si="1168"/>
        <v>0.25</v>
      </c>
      <c r="R3137" s="76">
        <f t="shared" si="1169"/>
        <v>0.75</v>
      </c>
      <c r="S3137" s="76">
        <f t="shared" si="1170"/>
        <v>0.9793549614689373</v>
      </c>
      <c r="T3137" s="76">
        <f t="shared" si="1171"/>
        <v>0.98803634287888875</v>
      </c>
      <c r="U3137" s="76">
        <f t="shared" si="1172"/>
        <v>1</v>
      </c>
    </row>
    <row r="3138" spans="1:21" x14ac:dyDescent="0.25">
      <c r="A3138" s="71">
        <v>36</v>
      </c>
      <c r="B3138" s="72">
        <f t="shared" si="1173"/>
        <v>46722</v>
      </c>
      <c r="C3138" s="73">
        <f t="shared" si="1154"/>
        <v>46752</v>
      </c>
      <c r="D3138" s="67">
        <f t="shared" si="1155"/>
        <v>31</v>
      </c>
      <c r="E3138" s="67">
        <f t="shared" si="1156"/>
        <v>12</v>
      </c>
      <c r="F3138" s="74">
        <f t="shared" si="1157"/>
        <v>46737.5</v>
      </c>
      <c r="G3138" s="67">
        <f t="shared" si="1158"/>
        <v>24335</v>
      </c>
      <c r="H3138" s="75">
        <f t="shared" si="1159"/>
        <v>1</v>
      </c>
      <c r="I3138" s="76">
        <f t="shared" si="1160"/>
        <v>1</v>
      </c>
      <c r="J3138" s="76">
        <f t="shared" si="1161"/>
        <v>1</v>
      </c>
      <c r="K3138" s="67">
        <f t="shared" si="1162"/>
        <v>0</v>
      </c>
      <c r="L3138" s="67">
        <f t="shared" si="1163"/>
        <v>0</v>
      </c>
      <c r="M3138" s="77">
        <f t="shared" si="1164"/>
        <v>0</v>
      </c>
      <c r="N3138" s="76">
        <f t="shared" si="1165"/>
        <v>1</v>
      </c>
      <c r="O3138" s="77">
        <f t="shared" si="1166"/>
        <v>0.90033916849015316</v>
      </c>
      <c r="P3138" s="76">
        <f t="shared" si="1167"/>
        <v>0</v>
      </c>
      <c r="Q3138" s="76">
        <f t="shared" si="1168"/>
        <v>8.3333333333333329E-2</v>
      </c>
      <c r="R3138" s="76">
        <f t="shared" si="1169"/>
        <v>0.91666666666666663</v>
      </c>
      <c r="S3138" s="76">
        <f t="shared" si="1170"/>
        <v>0.97862953096755778</v>
      </c>
      <c r="T3138" s="76">
        <f t="shared" si="1171"/>
        <v>0.98731091237750934</v>
      </c>
      <c r="U3138" s="76">
        <f t="shared" si="1172"/>
        <v>1</v>
      </c>
    </row>
    <row r="3139" spans="1:21" x14ac:dyDescent="0.25">
      <c r="A3139" s="71">
        <v>37</v>
      </c>
      <c r="B3139" s="72">
        <f t="shared" si="1173"/>
        <v>46753</v>
      </c>
      <c r="C3139" s="73">
        <f t="shared" si="1154"/>
        <v>46783</v>
      </c>
      <c r="D3139" s="67">
        <f t="shared" si="1155"/>
        <v>31</v>
      </c>
      <c r="E3139" s="67">
        <f t="shared" si="1156"/>
        <v>1</v>
      </c>
      <c r="F3139" s="74">
        <f t="shared" si="1157"/>
        <v>46768.5</v>
      </c>
      <c r="G3139" s="67">
        <f t="shared" si="1158"/>
        <v>24336</v>
      </c>
      <c r="H3139" s="75">
        <f t="shared" si="1159"/>
        <v>1</v>
      </c>
      <c r="I3139" s="76">
        <f t="shared" si="1160"/>
        <v>1</v>
      </c>
      <c r="J3139" s="76">
        <f t="shared" si="1161"/>
        <v>1</v>
      </c>
      <c r="K3139" s="67">
        <f t="shared" si="1162"/>
        <v>0</v>
      </c>
      <c r="L3139" s="67">
        <f t="shared" si="1163"/>
        <v>0</v>
      </c>
      <c r="M3139" s="77">
        <f t="shared" si="1164"/>
        <v>0</v>
      </c>
      <c r="N3139" s="76">
        <f t="shared" si="1165"/>
        <v>1</v>
      </c>
      <c r="O3139" s="77">
        <f t="shared" si="1166"/>
        <v>0.9</v>
      </c>
      <c r="P3139" s="76">
        <f t="shared" si="1167"/>
        <v>0</v>
      </c>
      <c r="Q3139" s="76">
        <f t="shared" si="1168"/>
        <v>0</v>
      </c>
      <c r="R3139" s="76">
        <f t="shared" si="1169"/>
        <v>1</v>
      </c>
      <c r="S3139" s="76">
        <f t="shared" si="1170"/>
        <v>0.97826086956521741</v>
      </c>
      <c r="T3139" s="76">
        <f t="shared" si="1171"/>
        <v>0.99525497098277993</v>
      </c>
      <c r="U3139" s="76">
        <f t="shared" si="1172"/>
        <v>1</v>
      </c>
    </row>
    <row r="3140" spans="1:21" x14ac:dyDescent="0.25">
      <c r="A3140" s="71">
        <v>38</v>
      </c>
      <c r="B3140" s="72">
        <f t="shared" si="1173"/>
        <v>46784</v>
      </c>
      <c r="C3140" s="73">
        <f t="shared" si="1154"/>
        <v>46812</v>
      </c>
      <c r="D3140" s="67">
        <f t="shared" si="1155"/>
        <v>29</v>
      </c>
      <c r="E3140" s="67">
        <f t="shared" si="1156"/>
        <v>2</v>
      </c>
      <c r="F3140" s="74">
        <f t="shared" si="1157"/>
        <v>46798.5</v>
      </c>
      <c r="G3140" s="67">
        <f t="shared" si="1158"/>
        <v>24337</v>
      </c>
      <c r="H3140" s="75">
        <f t="shared" si="1159"/>
        <v>1</v>
      </c>
      <c r="I3140" s="76">
        <f t="shared" si="1160"/>
        <v>1</v>
      </c>
      <c r="J3140" s="76">
        <f t="shared" si="1161"/>
        <v>1</v>
      </c>
      <c r="K3140" s="67">
        <f t="shared" si="1162"/>
        <v>0</v>
      </c>
      <c r="L3140" s="67">
        <f t="shared" si="1163"/>
        <v>0</v>
      </c>
      <c r="M3140" s="77">
        <f t="shared" si="1164"/>
        <v>0</v>
      </c>
      <c r="N3140" s="76">
        <f t="shared" si="1165"/>
        <v>1</v>
      </c>
      <c r="O3140" s="77">
        <f t="shared" si="1166"/>
        <v>0.9</v>
      </c>
      <c r="P3140" s="76">
        <f t="shared" si="1167"/>
        <v>0</v>
      </c>
      <c r="Q3140" s="76">
        <f t="shared" si="1168"/>
        <v>0</v>
      </c>
      <c r="R3140" s="76">
        <f t="shared" si="1169"/>
        <v>1</v>
      </c>
      <c r="S3140" s="76">
        <f t="shared" si="1170"/>
        <v>0.97826086956521741</v>
      </c>
      <c r="T3140" s="76">
        <f t="shared" si="1171"/>
        <v>0.99455332508800309</v>
      </c>
      <c r="U3140" s="76">
        <f t="shared" si="1172"/>
        <v>1</v>
      </c>
    </row>
    <row r="3141" spans="1:21" x14ac:dyDescent="0.25">
      <c r="A3141" s="71">
        <v>39</v>
      </c>
      <c r="B3141" s="72">
        <f t="shared" si="1173"/>
        <v>46813</v>
      </c>
      <c r="C3141" s="73">
        <f t="shared" si="1154"/>
        <v>46843</v>
      </c>
      <c r="D3141" s="67">
        <f t="shared" si="1155"/>
        <v>31</v>
      </c>
      <c r="E3141" s="67">
        <f t="shared" si="1156"/>
        <v>3</v>
      </c>
      <c r="F3141" s="74">
        <f t="shared" si="1157"/>
        <v>46828.5</v>
      </c>
      <c r="G3141" s="67">
        <f t="shared" si="1158"/>
        <v>24338</v>
      </c>
      <c r="H3141" s="75">
        <f t="shared" si="1159"/>
        <v>1</v>
      </c>
      <c r="I3141" s="76">
        <f t="shared" si="1160"/>
        <v>1</v>
      </c>
      <c r="J3141" s="76">
        <f t="shared" si="1161"/>
        <v>1</v>
      </c>
      <c r="K3141" s="67">
        <f t="shared" si="1162"/>
        <v>0</v>
      </c>
      <c r="L3141" s="67">
        <f t="shared" si="1163"/>
        <v>0</v>
      </c>
      <c r="M3141" s="77">
        <f t="shared" si="1164"/>
        <v>0</v>
      </c>
      <c r="N3141" s="76">
        <f t="shared" si="1165"/>
        <v>1</v>
      </c>
      <c r="O3141" s="77">
        <f t="shared" si="1166"/>
        <v>0.9</v>
      </c>
      <c r="P3141" s="76">
        <f t="shared" si="1167"/>
        <v>0</v>
      </c>
      <c r="Q3141" s="76">
        <f t="shared" si="1168"/>
        <v>0</v>
      </c>
      <c r="R3141" s="76">
        <f t="shared" si="1169"/>
        <v>1</v>
      </c>
      <c r="S3141" s="76">
        <f t="shared" si="1170"/>
        <v>0.97826086956521741</v>
      </c>
      <c r="T3141" s="76">
        <f t="shared" si="1171"/>
        <v>0.99385167919322603</v>
      </c>
      <c r="U3141" s="76">
        <f t="shared" si="1172"/>
        <v>1</v>
      </c>
    </row>
    <row r="3142" spans="1:21" x14ac:dyDescent="0.25">
      <c r="A3142" s="71">
        <v>40</v>
      </c>
      <c r="B3142" s="72">
        <f t="shared" si="1173"/>
        <v>46844</v>
      </c>
      <c r="C3142" s="73">
        <f t="shared" si="1154"/>
        <v>46873</v>
      </c>
      <c r="D3142" s="67">
        <f t="shared" si="1155"/>
        <v>30</v>
      </c>
      <c r="E3142" s="67">
        <f t="shared" si="1156"/>
        <v>4</v>
      </c>
      <c r="F3142" s="74">
        <f t="shared" si="1157"/>
        <v>46859</v>
      </c>
      <c r="G3142" s="67">
        <f t="shared" si="1158"/>
        <v>24339</v>
      </c>
      <c r="H3142" s="75">
        <f t="shared" si="1159"/>
        <v>1</v>
      </c>
      <c r="I3142" s="76">
        <f t="shared" si="1160"/>
        <v>1</v>
      </c>
      <c r="J3142" s="76">
        <f t="shared" si="1161"/>
        <v>1</v>
      </c>
      <c r="K3142" s="67">
        <f t="shared" si="1162"/>
        <v>0</v>
      </c>
      <c r="L3142" s="67">
        <f t="shared" si="1163"/>
        <v>0</v>
      </c>
      <c r="M3142" s="77">
        <f t="shared" si="1164"/>
        <v>0</v>
      </c>
      <c r="N3142" s="76">
        <f t="shared" si="1165"/>
        <v>1</v>
      </c>
      <c r="O3142" s="77">
        <f t="shared" si="1166"/>
        <v>0.9</v>
      </c>
      <c r="P3142" s="76">
        <f t="shared" si="1167"/>
        <v>0</v>
      </c>
      <c r="Q3142" s="76">
        <f t="shared" si="1168"/>
        <v>0</v>
      </c>
      <c r="R3142" s="76">
        <f t="shared" si="1169"/>
        <v>1</v>
      </c>
      <c r="S3142" s="76">
        <f t="shared" si="1170"/>
        <v>0.97826086956521741</v>
      </c>
      <c r="T3142" s="76">
        <f t="shared" si="1171"/>
        <v>0.99312624869184662</v>
      </c>
      <c r="U3142" s="76">
        <f t="shared" si="1172"/>
        <v>1</v>
      </c>
    </row>
    <row r="3143" spans="1:21" x14ac:dyDescent="0.25">
      <c r="A3143" s="71">
        <v>41</v>
      </c>
      <c r="B3143" s="72">
        <f t="shared" si="1173"/>
        <v>46874</v>
      </c>
      <c r="C3143" s="73">
        <f t="shared" si="1154"/>
        <v>46904</v>
      </c>
      <c r="D3143" s="67">
        <f t="shared" si="1155"/>
        <v>31</v>
      </c>
      <c r="E3143" s="67">
        <f t="shared" si="1156"/>
        <v>5</v>
      </c>
      <c r="F3143" s="74">
        <f t="shared" si="1157"/>
        <v>46889.5</v>
      </c>
      <c r="G3143" s="67">
        <f t="shared" si="1158"/>
        <v>24340</v>
      </c>
      <c r="H3143" s="75">
        <f t="shared" si="1159"/>
        <v>1</v>
      </c>
      <c r="I3143" s="76">
        <f t="shared" si="1160"/>
        <v>1</v>
      </c>
      <c r="J3143" s="76">
        <f t="shared" si="1161"/>
        <v>1</v>
      </c>
      <c r="K3143" s="67">
        <f t="shared" si="1162"/>
        <v>0</v>
      </c>
      <c r="L3143" s="67">
        <f t="shared" si="1163"/>
        <v>0</v>
      </c>
      <c r="M3143" s="77">
        <f t="shared" si="1164"/>
        <v>0</v>
      </c>
      <c r="N3143" s="76">
        <f t="shared" si="1165"/>
        <v>1</v>
      </c>
      <c r="O3143" s="77">
        <f t="shared" si="1166"/>
        <v>0.9</v>
      </c>
      <c r="P3143" s="76">
        <f t="shared" si="1167"/>
        <v>0</v>
      </c>
      <c r="Q3143" s="76">
        <f t="shared" si="1168"/>
        <v>0</v>
      </c>
      <c r="R3143" s="76">
        <f t="shared" si="1169"/>
        <v>1</v>
      </c>
      <c r="S3143" s="76">
        <f t="shared" si="1170"/>
        <v>0.97826086956521741</v>
      </c>
      <c r="T3143" s="76">
        <f t="shared" si="1171"/>
        <v>0.9924008181904671</v>
      </c>
      <c r="U3143" s="76">
        <f t="shared" si="1172"/>
        <v>1</v>
      </c>
    </row>
    <row r="3144" spans="1:21" x14ac:dyDescent="0.25">
      <c r="A3144" s="71">
        <v>42</v>
      </c>
      <c r="B3144" s="72">
        <f t="shared" si="1173"/>
        <v>46905</v>
      </c>
      <c r="C3144" s="73">
        <f t="shared" si="1154"/>
        <v>46934</v>
      </c>
      <c r="D3144" s="67">
        <f t="shared" si="1155"/>
        <v>30</v>
      </c>
      <c r="E3144" s="67">
        <f t="shared" si="1156"/>
        <v>6</v>
      </c>
      <c r="F3144" s="74">
        <f t="shared" si="1157"/>
        <v>46920</v>
      </c>
      <c r="G3144" s="67">
        <f t="shared" si="1158"/>
        <v>24341</v>
      </c>
      <c r="H3144" s="75">
        <f t="shared" si="1159"/>
        <v>1</v>
      </c>
      <c r="I3144" s="76">
        <f t="shared" si="1160"/>
        <v>1</v>
      </c>
      <c r="J3144" s="76">
        <f t="shared" si="1161"/>
        <v>1</v>
      </c>
      <c r="K3144" s="67">
        <f t="shared" si="1162"/>
        <v>0</v>
      </c>
      <c r="L3144" s="67">
        <f t="shared" si="1163"/>
        <v>0</v>
      </c>
      <c r="M3144" s="77">
        <f t="shared" si="1164"/>
        <v>0</v>
      </c>
      <c r="N3144" s="76">
        <f t="shared" si="1165"/>
        <v>1</v>
      </c>
      <c r="O3144" s="77">
        <f t="shared" si="1166"/>
        <v>0.9</v>
      </c>
      <c r="P3144" s="76">
        <f t="shared" si="1167"/>
        <v>0</v>
      </c>
      <c r="Q3144" s="76">
        <f t="shared" si="1168"/>
        <v>0</v>
      </c>
      <c r="R3144" s="76">
        <f t="shared" si="1169"/>
        <v>1</v>
      </c>
      <c r="S3144" s="76">
        <f t="shared" si="1170"/>
        <v>0.97826086956521741</v>
      </c>
      <c r="T3144" s="76">
        <f t="shared" si="1171"/>
        <v>0.99167538768908758</v>
      </c>
      <c r="U3144" s="76">
        <f t="shared" si="1172"/>
        <v>1</v>
      </c>
    </row>
    <row r="3145" spans="1:21" x14ac:dyDescent="0.25">
      <c r="A3145" s="71">
        <v>43</v>
      </c>
      <c r="B3145" s="72">
        <f t="shared" si="1173"/>
        <v>46935</v>
      </c>
      <c r="C3145" s="73">
        <f t="shared" si="1154"/>
        <v>46965</v>
      </c>
      <c r="D3145" s="67">
        <f t="shared" si="1155"/>
        <v>31</v>
      </c>
      <c r="E3145" s="67">
        <f t="shared" si="1156"/>
        <v>7</v>
      </c>
      <c r="F3145" s="74">
        <f t="shared" si="1157"/>
        <v>46950.5</v>
      </c>
      <c r="G3145" s="67">
        <f t="shared" si="1158"/>
        <v>24342</v>
      </c>
      <c r="H3145" s="75">
        <f t="shared" si="1159"/>
        <v>1</v>
      </c>
      <c r="I3145" s="76">
        <f t="shared" si="1160"/>
        <v>1</v>
      </c>
      <c r="J3145" s="76">
        <f t="shared" si="1161"/>
        <v>1</v>
      </c>
      <c r="K3145" s="67">
        <f t="shared" si="1162"/>
        <v>0</v>
      </c>
      <c r="L3145" s="67">
        <f t="shared" si="1163"/>
        <v>0</v>
      </c>
      <c r="M3145" s="77">
        <f t="shared" si="1164"/>
        <v>0</v>
      </c>
      <c r="N3145" s="76">
        <f t="shared" si="1165"/>
        <v>1</v>
      </c>
      <c r="O3145" s="77">
        <f t="shared" si="1166"/>
        <v>0.9</v>
      </c>
      <c r="P3145" s="76">
        <f t="shared" si="1167"/>
        <v>0</v>
      </c>
      <c r="Q3145" s="76">
        <f t="shared" si="1168"/>
        <v>0</v>
      </c>
      <c r="R3145" s="76">
        <f t="shared" si="1169"/>
        <v>0.91666666666666663</v>
      </c>
      <c r="S3145" s="76">
        <f t="shared" si="1170"/>
        <v>0.97826086956521741</v>
      </c>
      <c r="T3145" s="76">
        <f t="shared" si="1171"/>
        <v>0.99094995718770806</v>
      </c>
      <c r="U3145" s="76">
        <f t="shared" si="1172"/>
        <v>1</v>
      </c>
    </row>
    <row r="3146" spans="1:21" x14ac:dyDescent="0.25">
      <c r="A3146" s="71">
        <v>44</v>
      </c>
      <c r="B3146" s="72">
        <f t="shared" si="1173"/>
        <v>46966</v>
      </c>
      <c r="C3146" s="73">
        <f t="shared" si="1154"/>
        <v>46996</v>
      </c>
      <c r="D3146" s="67">
        <f t="shared" si="1155"/>
        <v>31</v>
      </c>
      <c r="E3146" s="67">
        <f t="shared" si="1156"/>
        <v>8</v>
      </c>
      <c r="F3146" s="74">
        <f t="shared" si="1157"/>
        <v>46981.5</v>
      </c>
      <c r="G3146" s="67">
        <f t="shared" si="1158"/>
        <v>24343</v>
      </c>
      <c r="H3146" s="75">
        <f t="shared" si="1159"/>
        <v>1</v>
      </c>
      <c r="I3146" s="76">
        <f t="shared" si="1160"/>
        <v>1</v>
      </c>
      <c r="J3146" s="76">
        <f t="shared" si="1161"/>
        <v>1</v>
      </c>
      <c r="K3146" s="67">
        <f t="shared" si="1162"/>
        <v>0</v>
      </c>
      <c r="L3146" s="67">
        <f t="shared" si="1163"/>
        <v>0</v>
      </c>
      <c r="M3146" s="77">
        <f t="shared" si="1164"/>
        <v>0</v>
      </c>
      <c r="N3146" s="76">
        <f t="shared" si="1165"/>
        <v>1</v>
      </c>
      <c r="O3146" s="77">
        <f t="shared" si="1166"/>
        <v>0.9</v>
      </c>
      <c r="P3146" s="76">
        <f t="shared" si="1167"/>
        <v>0</v>
      </c>
      <c r="Q3146" s="76">
        <f t="shared" si="1168"/>
        <v>0</v>
      </c>
      <c r="R3146" s="76">
        <f t="shared" si="1169"/>
        <v>0.75</v>
      </c>
      <c r="S3146" s="76">
        <f t="shared" si="1170"/>
        <v>0.97826086956521741</v>
      </c>
      <c r="T3146" s="76">
        <f t="shared" si="1171"/>
        <v>0.99021263438302731</v>
      </c>
      <c r="U3146" s="76">
        <f t="shared" si="1172"/>
        <v>1</v>
      </c>
    </row>
    <row r="3147" spans="1:21" x14ac:dyDescent="0.25">
      <c r="A3147" s="71">
        <v>45</v>
      </c>
      <c r="B3147" s="72">
        <f t="shared" si="1173"/>
        <v>46997</v>
      </c>
      <c r="C3147" s="73">
        <f t="shared" si="1154"/>
        <v>47026</v>
      </c>
      <c r="D3147" s="67">
        <f t="shared" si="1155"/>
        <v>30</v>
      </c>
      <c r="E3147" s="67">
        <f t="shared" si="1156"/>
        <v>9</v>
      </c>
      <c r="F3147" s="74">
        <f t="shared" si="1157"/>
        <v>47012</v>
      </c>
      <c r="G3147" s="67">
        <f t="shared" si="1158"/>
        <v>24344</v>
      </c>
      <c r="H3147" s="75">
        <f t="shared" si="1159"/>
        <v>1</v>
      </c>
      <c r="I3147" s="76">
        <f t="shared" si="1160"/>
        <v>1</v>
      </c>
      <c r="J3147" s="76">
        <f t="shared" si="1161"/>
        <v>1</v>
      </c>
      <c r="K3147" s="67">
        <f t="shared" si="1162"/>
        <v>0</v>
      </c>
      <c r="L3147" s="67">
        <f t="shared" si="1163"/>
        <v>0</v>
      </c>
      <c r="M3147" s="77">
        <f t="shared" si="1164"/>
        <v>0</v>
      </c>
      <c r="N3147" s="76">
        <f t="shared" si="1165"/>
        <v>1</v>
      </c>
      <c r="O3147" s="77">
        <f t="shared" si="1166"/>
        <v>0.9</v>
      </c>
      <c r="P3147" s="76">
        <f t="shared" si="1167"/>
        <v>0</v>
      </c>
      <c r="Q3147" s="76">
        <f t="shared" si="1168"/>
        <v>0</v>
      </c>
      <c r="R3147" s="76">
        <f t="shared" si="1169"/>
        <v>0.58333333333333337</v>
      </c>
      <c r="S3147" s="76">
        <f t="shared" si="1170"/>
        <v>0.97826086956521741</v>
      </c>
      <c r="T3147" s="76">
        <f t="shared" si="1171"/>
        <v>0.98948720388164779</v>
      </c>
      <c r="U3147" s="76">
        <f t="shared" si="1172"/>
        <v>1</v>
      </c>
    </row>
    <row r="3148" spans="1:21" x14ac:dyDescent="0.25">
      <c r="A3148" s="71">
        <v>46</v>
      </c>
      <c r="B3148" s="72">
        <f t="shared" si="1173"/>
        <v>47027</v>
      </c>
      <c r="C3148" s="73">
        <f t="shared" si="1154"/>
        <v>47057</v>
      </c>
      <c r="D3148" s="67">
        <f t="shared" si="1155"/>
        <v>31</v>
      </c>
      <c r="E3148" s="67">
        <f t="shared" si="1156"/>
        <v>10</v>
      </c>
      <c r="F3148" s="74">
        <f t="shared" si="1157"/>
        <v>47042.5</v>
      </c>
      <c r="G3148" s="67">
        <f t="shared" si="1158"/>
        <v>24345</v>
      </c>
      <c r="H3148" s="75">
        <f t="shared" si="1159"/>
        <v>1</v>
      </c>
      <c r="I3148" s="76">
        <f t="shared" si="1160"/>
        <v>1</v>
      </c>
      <c r="J3148" s="76">
        <f t="shared" si="1161"/>
        <v>1</v>
      </c>
      <c r="K3148" s="67">
        <f t="shared" si="1162"/>
        <v>0</v>
      </c>
      <c r="L3148" s="67">
        <f t="shared" si="1163"/>
        <v>0</v>
      </c>
      <c r="M3148" s="77">
        <f t="shared" si="1164"/>
        <v>0</v>
      </c>
      <c r="N3148" s="76">
        <f t="shared" si="1165"/>
        <v>1</v>
      </c>
      <c r="O3148" s="77">
        <f t="shared" si="1166"/>
        <v>0.9</v>
      </c>
      <c r="P3148" s="76">
        <f t="shared" si="1167"/>
        <v>0</v>
      </c>
      <c r="Q3148" s="76">
        <f t="shared" si="1168"/>
        <v>0</v>
      </c>
      <c r="R3148" s="76">
        <f t="shared" si="1169"/>
        <v>0.41666666666666669</v>
      </c>
      <c r="S3148" s="76">
        <f t="shared" si="1170"/>
        <v>0.97826086956521741</v>
      </c>
      <c r="T3148" s="76">
        <f t="shared" si="1171"/>
        <v>0.98876177338026827</v>
      </c>
      <c r="U3148" s="76">
        <f t="shared" si="1172"/>
        <v>1</v>
      </c>
    </row>
    <row r="3149" spans="1:21" x14ac:dyDescent="0.25">
      <c r="A3149" s="71">
        <v>47</v>
      </c>
      <c r="B3149" s="72">
        <f t="shared" si="1173"/>
        <v>47058</v>
      </c>
      <c r="C3149" s="73">
        <f t="shared" si="1154"/>
        <v>47087</v>
      </c>
      <c r="D3149" s="67">
        <f t="shared" si="1155"/>
        <v>30</v>
      </c>
      <c r="E3149" s="67">
        <f t="shared" si="1156"/>
        <v>11</v>
      </c>
      <c r="F3149" s="74">
        <f t="shared" si="1157"/>
        <v>47073</v>
      </c>
      <c r="G3149" s="67">
        <f t="shared" si="1158"/>
        <v>24346</v>
      </c>
      <c r="H3149" s="75">
        <f t="shared" si="1159"/>
        <v>1</v>
      </c>
      <c r="I3149" s="76">
        <f t="shared" si="1160"/>
        <v>1</v>
      </c>
      <c r="J3149" s="76">
        <f t="shared" si="1161"/>
        <v>1</v>
      </c>
      <c r="K3149" s="67">
        <f t="shared" si="1162"/>
        <v>0</v>
      </c>
      <c r="L3149" s="67">
        <f t="shared" si="1163"/>
        <v>0</v>
      </c>
      <c r="M3149" s="77">
        <f t="shared" si="1164"/>
        <v>0</v>
      </c>
      <c r="N3149" s="76">
        <f t="shared" si="1165"/>
        <v>1</v>
      </c>
      <c r="O3149" s="77">
        <f t="shared" si="1166"/>
        <v>0.9</v>
      </c>
      <c r="P3149" s="76">
        <f t="shared" si="1167"/>
        <v>0</v>
      </c>
      <c r="Q3149" s="76">
        <f t="shared" si="1168"/>
        <v>0</v>
      </c>
      <c r="R3149" s="76">
        <f t="shared" si="1169"/>
        <v>0.25</v>
      </c>
      <c r="S3149" s="76">
        <f t="shared" si="1170"/>
        <v>0.97826086956521741</v>
      </c>
      <c r="T3149" s="76">
        <f t="shared" si="1171"/>
        <v>0.98803634287888875</v>
      </c>
      <c r="U3149" s="76">
        <f t="shared" si="1172"/>
        <v>1</v>
      </c>
    </row>
    <row r="3150" spans="1:21" x14ac:dyDescent="0.25">
      <c r="A3150" s="71">
        <v>48</v>
      </c>
      <c r="B3150" s="72">
        <f t="shared" si="1173"/>
        <v>47088</v>
      </c>
      <c r="C3150" s="73">
        <f t="shared" si="1154"/>
        <v>47118</v>
      </c>
      <c r="D3150" s="67">
        <f t="shared" si="1155"/>
        <v>31</v>
      </c>
      <c r="E3150" s="67">
        <f t="shared" si="1156"/>
        <v>12</v>
      </c>
      <c r="F3150" s="74">
        <f t="shared" si="1157"/>
        <v>47103.5</v>
      </c>
      <c r="G3150" s="67">
        <f t="shared" si="1158"/>
        <v>24347</v>
      </c>
      <c r="H3150" s="75">
        <f t="shared" si="1159"/>
        <v>1</v>
      </c>
      <c r="I3150" s="76">
        <f t="shared" si="1160"/>
        <v>1</v>
      </c>
      <c r="J3150" s="76">
        <f t="shared" si="1161"/>
        <v>1</v>
      </c>
      <c r="K3150" s="67">
        <f t="shared" si="1162"/>
        <v>0</v>
      </c>
      <c r="L3150" s="67">
        <f t="shared" si="1163"/>
        <v>0</v>
      </c>
      <c r="M3150" s="77">
        <f t="shared" si="1164"/>
        <v>0</v>
      </c>
      <c r="N3150" s="76">
        <f t="shared" si="1165"/>
        <v>1</v>
      </c>
      <c r="O3150" s="77">
        <f t="shared" si="1166"/>
        <v>0.9</v>
      </c>
      <c r="P3150" s="76">
        <f t="shared" si="1167"/>
        <v>0</v>
      </c>
      <c r="Q3150" s="76">
        <f t="shared" si="1168"/>
        <v>0</v>
      </c>
      <c r="R3150" s="76">
        <f t="shared" si="1169"/>
        <v>8.3333333333333329E-2</v>
      </c>
      <c r="S3150" s="76">
        <f t="shared" si="1170"/>
        <v>0.97826086956521741</v>
      </c>
      <c r="T3150" s="76">
        <f t="shared" si="1171"/>
        <v>0.98731091237750934</v>
      </c>
      <c r="U3150" s="76">
        <f t="shared" si="1172"/>
        <v>1</v>
      </c>
    </row>
    <row r="3151" spans="1:21" x14ac:dyDescent="0.25">
      <c r="A3151" s="81" t="s">
        <v>1187</v>
      </c>
      <c r="B3151" s="53">
        <f>EXP(SUMPRODUCT((rl_key=$A$3100)*(rl_cons="Y")*rl_ln1p))</f>
        <v>1</v>
      </c>
      <c r="C3151" s="53">
        <f>SUMPRODUCT($H$3103:$H$3150,$P$3103:$P$3150,$U$3103:$U$3150)/SUMPRODUCT($H$3103:$H$3150,$P$3103:$P$3150)</f>
        <v>1</v>
      </c>
      <c r="D3151" s="53">
        <f>SUMPRODUCT($H$3103:$H$3150,$Q$3103:$Q$3150,$U$3103:$U$3150)/SUMPRODUCT($H$3103:$H$3150,$Q$3103:$Q$3150)</f>
        <v>1</v>
      </c>
      <c r="E3151" s="53">
        <f>SUMPRODUCT($H$3103:$H$3150,$R$3103:$R$3150,$U$3103:$U$3150)/SUMPRODUCT($H$3103:$H$3150,$R$3103:$R$3150)</f>
        <v>1</v>
      </c>
      <c r="F3151" s="172">
        <f>SUMPRODUCT($H$3103:$H$3150,$Q$3103:$Q$3150,$O$3103:$O$3150)/SUMPRODUCT($H$3103:$H$3150,$Q$3103:$Q$3150)</f>
        <v>0.90600747629467537</v>
      </c>
      <c r="G3151" s="172">
        <f>SUMPRODUCT($H$3103:$H$3150,$R$3103:$R$3150,$O$3103:$O$3150)/SUMPRODUCT($H$3103:$H$3150,$R$3103:$R$3150)</f>
        <v>0.90033977631898854</v>
      </c>
    </row>
    <row r="3154" spans="1:21" x14ac:dyDescent="0.25">
      <c r="A3154" s="81" t="str">
        <f>INDEX(lr_key,58)</f>
        <v>BU-C|NJ</v>
      </c>
      <c r="B3154" s="81" t="str">
        <f>INDEX(lr_state,58)</f>
        <v>NJ</v>
      </c>
      <c r="C3154" s="55">
        <f>nr_TermMonths</f>
        <v>6</v>
      </c>
      <c r="D3154" s="55">
        <f>IF(COUNTIF(se_state,$B3154)=0,0,MATCH($B3154,se_state,0))</f>
        <v>0</v>
      </c>
      <c r="E3154" s="57">
        <f>IF($D3154=0,0,INDEX(se_sum,$D3154))</f>
        <v>0</v>
      </c>
      <c r="F3154" s="172">
        <f>IF(N(INDEX(lr_mind,58))=0,1,INDEX(lr_mind,58))</f>
        <v>0.92</v>
      </c>
      <c r="G3154" s="172">
        <f>IF(N(INDEX(lr_m0,58))=0,1,INDEX(lr_m0,58))</f>
        <v>0.91</v>
      </c>
      <c r="H3154" s="54">
        <f>IF(N(INDEX(lr_m0asof,58))=0,DATE(nr_PlanYear-1,10,1),INDEX(lr_m0asof,58))</f>
        <v>46295</v>
      </c>
      <c r="I3154" s="172">
        <f>IF(N(INDEX(lr_m1,58))=0,1,INDEX(lr_m1,58))</f>
        <v>0.91500000000000004</v>
      </c>
      <c r="J3154" s="172">
        <f>INDEX(lr_mprior,58)</f>
        <v>0</v>
      </c>
      <c r="K3154" s="172">
        <f>INDEX(lr_m2,58)</f>
        <v>0</v>
      </c>
      <c r="L3154" s="81" t="b">
        <f>NOT(ISBLANK(INDEX(lr_netp,58)))</f>
        <v>0</v>
      </c>
      <c r="M3154" s="52">
        <f>N(INDEX(lr_netp,58))</f>
        <v>0</v>
      </c>
      <c r="N3154" s="52">
        <f>IF(ISBLANK(INDEX(lr_netp1,58)),$M$3154,N(INDEX(lr_netp1,58)))</f>
        <v>0</v>
      </c>
      <c r="O3154" s="55">
        <f>IF(AND(nr_ModAdjMaster="ON",INDEX(lr_modadj,58)="ON"),1,0)</f>
        <v>1</v>
      </c>
    </row>
    <row r="3155" spans="1:21" x14ac:dyDescent="0.25">
      <c r="A3155" s="81">
        <f>EDATE($H$3154,-12)+1</f>
        <v>45931</v>
      </c>
      <c r="B3155" s="81">
        <f>$H$3154+1</f>
        <v>46296</v>
      </c>
      <c r="C3155" s="81">
        <f>DATE(nr_PlanYear,12,31)+1</f>
        <v>46753</v>
      </c>
      <c r="D3155" s="81">
        <f>DATE(nr_PlanYear+1,12,31)+1</f>
        <v>47119</v>
      </c>
      <c r="E3155" s="81">
        <f>IF(N($J$3154)=0,$F$3155-($G$3155-$F$3155)/($C$3155-$B$3155)*($B$3155-$A$3155),$J$3154)</f>
        <v>0.90600656455142237</v>
      </c>
      <c r="F3155" s="81">
        <f>$G$3154</f>
        <v>0.91</v>
      </c>
      <c r="G3155" s="81">
        <f>$I$3154</f>
        <v>0.91500000000000004</v>
      </c>
      <c r="H3155" s="81">
        <f>IF(N($K$3154)=0,$I$3154,$K$3154)</f>
        <v>0.91500000000000004</v>
      </c>
      <c r="I3155" s="81">
        <f>($F$3155-$E$3155)/($B$3155-$A$3155)</f>
        <v>1.0940919037199081E-5</v>
      </c>
      <c r="J3155" s="81">
        <f>($G$3155-$F$3155)/($C$3155-$B$3155)</f>
        <v>1.0940919037199135E-5</v>
      </c>
      <c r="K3155" s="81">
        <f>($H$3155-$G$3155)/($D$3155-$C$3155)</f>
        <v>0</v>
      </c>
    </row>
    <row r="3156" spans="1:21" ht="36" x14ac:dyDescent="0.25">
      <c r="A3156" s="50" t="s">
        <v>211</v>
      </c>
      <c r="B3156" s="50" t="s">
        <v>212</v>
      </c>
      <c r="C3156" s="50" t="s">
        <v>213</v>
      </c>
      <c r="D3156" s="50" t="s">
        <v>214</v>
      </c>
      <c r="E3156" s="50" t="s">
        <v>215</v>
      </c>
      <c r="F3156" s="50" t="s">
        <v>216</v>
      </c>
      <c r="G3156" s="50" t="s">
        <v>217</v>
      </c>
      <c r="H3156" s="50" t="s">
        <v>218</v>
      </c>
      <c r="I3156" s="50" t="s">
        <v>219</v>
      </c>
      <c r="J3156" s="50" t="s">
        <v>220</v>
      </c>
      <c r="K3156" s="50" t="s">
        <v>221</v>
      </c>
      <c r="L3156" s="50" t="s">
        <v>222</v>
      </c>
      <c r="M3156" s="50" t="s">
        <v>223</v>
      </c>
      <c r="N3156" s="50" t="s">
        <v>224</v>
      </c>
      <c r="O3156" s="50" t="s">
        <v>225</v>
      </c>
      <c r="P3156" s="50" t="s">
        <v>226</v>
      </c>
      <c r="Q3156" s="50" t="s">
        <v>227</v>
      </c>
      <c r="R3156" s="50" t="s">
        <v>228</v>
      </c>
      <c r="S3156" s="50" t="s">
        <v>229</v>
      </c>
      <c r="T3156" s="50" t="s">
        <v>230</v>
      </c>
      <c r="U3156" s="50" t="s">
        <v>231</v>
      </c>
    </row>
    <row r="3157" spans="1:21" x14ac:dyDescent="0.25">
      <c r="A3157" s="71">
        <v>1</v>
      </c>
      <c r="B3157" s="72">
        <f>DATE(nr_PlanYear-2,1,1)</f>
        <v>45658</v>
      </c>
      <c r="C3157" s="73">
        <f t="shared" ref="C3157:C3204" si="1174">EOMONTH($B3157,0)</f>
        <v>45688</v>
      </c>
      <c r="D3157" s="67">
        <f t="shared" ref="D3157:D3204" si="1175">$C3157-$B3157+1</f>
        <v>31</v>
      </c>
      <c r="E3157" s="67">
        <f t="shared" ref="E3157:E3204" si="1176">MONTH($B3157)</f>
        <v>1</v>
      </c>
      <c r="F3157" s="74">
        <f t="shared" ref="F3157:F3204" si="1177">($B3157+$C3157+1)/2</f>
        <v>45673.5</v>
      </c>
      <c r="G3157" s="67">
        <f t="shared" ref="G3157:G3204" si="1178">YEAR($B3157)*12+MONTH($B3157)-1</f>
        <v>24300</v>
      </c>
      <c r="H3157" s="75">
        <f t="shared" ref="H3157:H3204" si="1179">IF(OR(nr_SeasonOn="OFF",$D$3154=0,$E$3154=0),1,12*INDEX(se_block,$D$3154,$E3157)/$E$3154)</f>
        <v>1</v>
      </c>
      <c r="I3157" s="76">
        <f t="shared" ref="I3157:I3204" si="1180">EXP(SUMPRODUCT((rl_eff&lt;$B3157)*(rl_key=$A$3154)*rl_ln1p))</f>
        <v>1</v>
      </c>
      <c r="J3157" s="76">
        <f t="shared" ref="J3157:J3204" si="1181">EXP(SUMPRODUCT((rl_eff&lt;=$C3157)*(rl_key=$A$3154)*rl_ln1p))</f>
        <v>1</v>
      </c>
      <c r="K3157" s="67">
        <f t="shared" ref="K3157:K3204" si="1182">COUNTIFS(rl_key,$A$3154,rl_eff,"&gt;="&amp;$B3157,rl_eff,"&lt;="&amp;$C3157)</f>
        <v>0</v>
      </c>
      <c r="L3157" s="67">
        <f t="shared" ref="L3157:L3204" si="1183">SUMIFS(rl_daysafter,rl_key,$A$3154,rl_effmonth,$B3157,rl_first,1)</f>
        <v>0</v>
      </c>
      <c r="M3157" s="77">
        <f t="shared" ref="M3157:M3204" si="1184">IF($K3157=0,0,MIN(1,$L3157/$D3157))</f>
        <v>0</v>
      </c>
      <c r="N3157" s="76">
        <f t="shared" ref="N3157:N3204" si="1185">IF($K3157=0,$J3157,(1-$M3157)*$I3157+$M3157*$J3157)</f>
        <v>1</v>
      </c>
      <c r="O3157" s="77">
        <f t="shared" ref="O3157:O3204" si="1186">IF($F3157&lt;$B$3155,$E$3155+$I$3155*($F3157-$A$3155),IF($F3157&lt;$C$3155,$F$3155+$J$3155*($F3157-$B$3155),$G$3155+$K$3155*($F3157-$C$3155)))</f>
        <v>0.90318927789934356</v>
      </c>
      <c r="P3157" s="76">
        <f t="shared" ref="P3157:P3204" si="1187">MIN(1,MAX(0,(nr_MEndPm1-$G3157+0.5)/$C$3154))-MIN(1,MAX(0,(nr_MStartPm1-1-$G3157+0.5)/$C$3154))</f>
        <v>0</v>
      </c>
      <c r="Q3157" s="76">
        <f t="shared" ref="Q3157:Q3204" si="1188">MIN(1,MAX(0,(nr_MEndP-$G3157+0.5)/$C$3154))-MIN(1,MAX(0,(nr_MStartP-1-$G3157+0.5)/$C$3154))</f>
        <v>0</v>
      </c>
      <c r="R3157" s="76">
        <f t="shared" ref="R3157:R3204" si="1189">MIN(1,MAX(0,(nr_MEndP1-$G3157+0.5)/$C$3154))-MIN(1,MAX(0,(nr_MStartP1-1-$G3157+0.5)/$C$3154))</f>
        <v>0</v>
      </c>
      <c r="S3157" s="76">
        <f t="shared" ref="S3157:S3204" si="1190">$N3157*IF($O$3154=1,$O3157/$F$3154,1)</f>
        <v>0.98172747597754728</v>
      </c>
      <c r="T3157" s="76">
        <f t="shared" ref="T3157:T3204" si="1191">IF($G3157&lt;nr_MStartP,$S3157,$T3145*(1+IF($G3157&lt;nr_MStartP1,$M$3154,$N$3154)))</f>
        <v>0.98172747597754728</v>
      </c>
      <c r="U3157" s="76">
        <f t="shared" ref="U3157:U3204" si="1192">IF($L$3154,$T3157,$N3157)</f>
        <v>1</v>
      </c>
    </row>
    <row r="3158" spans="1:21" x14ac:dyDescent="0.25">
      <c r="A3158" s="71">
        <v>2</v>
      </c>
      <c r="B3158" s="72">
        <f t="shared" ref="B3158:B3204" si="1193">EDATE($B3157,1)</f>
        <v>45689</v>
      </c>
      <c r="C3158" s="73">
        <f t="shared" si="1174"/>
        <v>45716</v>
      </c>
      <c r="D3158" s="67">
        <f t="shared" si="1175"/>
        <v>28</v>
      </c>
      <c r="E3158" s="67">
        <f t="shared" si="1176"/>
        <v>2</v>
      </c>
      <c r="F3158" s="74">
        <f t="shared" si="1177"/>
        <v>45703</v>
      </c>
      <c r="G3158" s="67">
        <f t="shared" si="1178"/>
        <v>24301</v>
      </c>
      <c r="H3158" s="75">
        <f t="shared" si="1179"/>
        <v>1</v>
      </c>
      <c r="I3158" s="76">
        <f t="shared" si="1180"/>
        <v>1</v>
      </c>
      <c r="J3158" s="76">
        <f t="shared" si="1181"/>
        <v>1</v>
      </c>
      <c r="K3158" s="67">
        <f t="shared" si="1182"/>
        <v>0</v>
      </c>
      <c r="L3158" s="67">
        <f t="shared" si="1183"/>
        <v>0</v>
      </c>
      <c r="M3158" s="77">
        <f t="shared" si="1184"/>
        <v>0</v>
      </c>
      <c r="N3158" s="76">
        <f t="shared" si="1185"/>
        <v>1</v>
      </c>
      <c r="O3158" s="77">
        <f t="shared" si="1186"/>
        <v>0.90351203501094102</v>
      </c>
      <c r="P3158" s="76">
        <f t="shared" si="1187"/>
        <v>0</v>
      </c>
      <c r="Q3158" s="76">
        <f t="shared" si="1188"/>
        <v>0</v>
      </c>
      <c r="R3158" s="76">
        <f t="shared" si="1189"/>
        <v>0</v>
      </c>
      <c r="S3158" s="76">
        <f t="shared" si="1190"/>
        <v>0.98207829892493581</v>
      </c>
      <c r="T3158" s="76">
        <f t="shared" si="1191"/>
        <v>0.98207829892493581</v>
      </c>
      <c r="U3158" s="76">
        <f t="shared" si="1192"/>
        <v>1</v>
      </c>
    </row>
    <row r="3159" spans="1:21" x14ac:dyDescent="0.25">
      <c r="A3159" s="71">
        <v>3</v>
      </c>
      <c r="B3159" s="72">
        <f t="shared" si="1193"/>
        <v>45717</v>
      </c>
      <c r="C3159" s="73">
        <f t="shared" si="1174"/>
        <v>45747</v>
      </c>
      <c r="D3159" s="67">
        <f t="shared" si="1175"/>
        <v>31</v>
      </c>
      <c r="E3159" s="67">
        <f t="shared" si="1176"/>
        <v>3</v>
      </c>
      <c r="F3159" s="74">
        <f t="shared" si="1177"/>
        <v>45732.5</v>
      </c>
      <c r="G3159" s="67">
        <f t="shared" si="1178"/>
        <v>24302</v>
      </c>
      <c r="H3159" s="75">
        <f t="shared" si="1179"/>
        <v>1</v>
      </c>
      <c r="I3159" s="76">
        <f t="shared" si="1180"/>
        <v>1</v>
      </c>
      <c r="J3159" s="76">
        <f t="shared" si="1181"/>
        <v>1</v>
      </c>
      <c r="K3159" s="67">
        <f t="shared" si="1182"/>
        <v>0</v>
      </c>
      <c r="L3159" s="67">
        <f t="shared" si="1183"/>
        <v>0</v>
      </c>
      <c r="M3159" s="77">
        <f t="shared" si="1184"/>
        <v>0</v>
      </c>
      <c r="N3159" s="76">
        <f t="shared" si="1185"/>
        <v>1</v>
      </c>
      <c r="O3159" s="77">
        <f t="shared" si="1186"/>
        <v>0.90383479212253837</v>
      </c>
      <c r="P3159" s="76">
        <f t="shared" si="1187"/>
        <v>0</v>
      </c>
      <c r="Q3159" s="76">
        <f t="shared" si="1188"/>
        <v>0</v>
      </c>
      <c r="R3159" s="76">
        <f t="shared" si="1189"/>
        <v>0</v>
      </c>
      <c r="S3159" s="76">
        <f t="shared" si="1190"/>
        <v>0.98242912187232423</v>
      </c>
      <c r="T3159" s="76">
        <f t="shared" si="1191"/>
        <v>0.98242912187232423</v>
      </c>
      <c r="U3159" s="76">
        <f t="shared" si="1192"/>
        <v>1</v>
      </c>
    </row>
    <row r="3160" spans="1:21" x14ac:dyDescent="0.25">
      <c r="A3160" s="71">
        <v>4</v>
      </c>
      <c r="B3160" s="72">
        <f t="shared" si="1193"/>
        <v>45748</v>
      </c>
      <c r="C3160" s="73">
        <f t="shared" si="1174"/>
        <v>45777</v>
      </c>
      <c r="D3160" s="67">
        <f t="shared" si="1175"/>
        <v>30</v>
      </c>
      <c r="E3160" s="67">
        <f t="shared" si="1176"/>
        <v>4</v>
      </c>
      <c r="F3160" s="74">
        <f t="shared" si="1177"/>
        <v>45763</v>
      </c>
      <c r="G3160" s="67">
        <f t="shared" si="1178"/>
        <v>24303</v>
      </c>
      <c r="H3160" s="75">
        <f t="shared" si="1179"/>
        <v>1</v>
      </c>
      <c r="I3160" s="76">
        <f t="shared" si="1180"/>
        <v>1</v>
      </c>
      <c r="J3160" s="76">
        <f t="shared" si="1181"/>
        <v>1</v>
      </c>
      <c r="K3160" s="67">
        <f t="shared" si="1182"/>
        <v>0</v>
      </c>
      <c r="L3160" s="67">
        <f t="shared" si="1183"/>
        <v>0</v>
      </c>
      <c r="M3160" s="77">
        <f t="shared" si="1184"/>
        <v>0</v>
      </c>
      <c r="N3160" s="76">
        <f t="shared" si="1185"/>
        <v>1</v>
      </c>
      <c r="O3160" s="77">
        <f t="shared" si="1186"/>
        <v>0.90416849015317291</v>
      </c>
      <c r="P3160" s="76">
        <f t="shared" si="1187"/>
        <v>0</v>
      </c>
      <c r="Q3160" s="76">
        <f t="shared" si="1188"/>
        <v>0</v>
      </c>
      <c r="R3160" s="76">
        <f t="shared" si="1189"/>
        <v>0</v>
      </c>
      <c r="S3160" s="76">
        <f t="shared" si="1190"/>
        <v>0.98279183712301399</v>
      </c>
      <c r="T3160" s="76">
        <f t="shared" si="1191"/>
        <v>0.98279183712301399</v>
      </c>
      <c r="U3160" s="76">
        <f t="shared" si="1192"/>
        <v>1</v>
      </c>
    </row>
    <row r="3161" spans="1:21" x14ac:dyDescent="0.25">
      <c r="A3161" s="71">
        <v>5</v>
      </c>
      <c r="B3161" s="72">
        <f t="shared" si="1193"/>
        <v>45778</v>
      </c>
      <c r="C3161" s="73">
        <f t="shared" si="1174"/>
        <v>45808</v>
      </c>
      <c r="D3161" s="67">
        <f t="shared" si="1175"/>
        <v>31</v>
      </c>
      <c r="E3161" s="67">
        <f t="shared" si="1176"/>
        <v>5</v>
      </c>
      <c r="F3161" s="74">
        <f t="shared" si="1177"/>
        <v>45793.5</v>
      </c>
      <c r="G3161" s="67">
        <f t="shared" si="1178"/>
        <v>24304</v>
      </c>
      <c r="H3161" s="75">
        <f t="shared" si="1179"/>
        <v>1</v>
      </c>
      <c r="I3161" s="76">
        <f t="shared" si="1180"/>
        <v>1</v>
      </c>
      <c r="J3161" s="76">
        <f t="shared" si="1181"/>
        <v>1</v>
      </c>
      <c r="K3161" s="67">
        <f t="shared" si="1182"/>
        <v>0</v>
      </c>
      <c r="L3161" s="67">
        <f t="shared" si="1183"/>
        <v>0</v>
      </c>
      <c r="M3161" s="77">
        <f t="shared" si="1184"/>
        <v>0</v>
      </c>
      <c r="N3161" s="76">
        <f t="shared" si="1185"/>
        <v>1</v>
      </c>
      <c r="O3161" s="77">
        <f t="shared" si="1186"/>
        <v>0.90450218818380745</v>
      </c>
      <c r="P3161" s="76">
        <f t="shared" si="1187"/>
        <v>0</v>
      </c>
      <c r="Q3161" s="76">
        <f t="shared" si="1188"/>
        <v>0</v>
      </c>
      <c r="R3161" s="76">
        <f t="shared" si="1189"/>
        <v>0</v>
      </c>
      <c r="S3161" s="76">
        <f t="shared" si="1190"/>
        <v>0.98315455237370375</v>
      </c>
      <c r="T3161" s="76">
        <f t="shared" si="1191"/>
        <v>0.98315455237370375</v>
      </c>
      <c r="U3161" s="76">
        <f t="shared" si="1192"/>
        <v>1</v>
      </c>
    </row>
    <row r="3162" spans="1:21" x14ac:dyDescent="0.25">
      <c r="A3162" s="71">
        <v>6</v>
      </c>
      <c r="B3162" s="72">
        <f t="shared" si="1193"/>
        <v>45809</v>
      </c>
      <c r="C3162" s="73">
        <f t="shared" si="1174"/>
        <v>45838</v>
      </c>
      <c r="D3162" s="67">
        <f t="shared" si="1175"/>
        <v>30</v>
      </c>
      <c r="E3162" s="67">
        <f t="shared" si="1176"/>
        <v>6</v>
      </c>
      <c r="F3162" s="74">
        <f t="shared" si="1177"/>
        <v>45824</v>
      </c>
      <c r="G3162" s="67">
        <f t="shared" si="1178"/>
        <v>24305</v>
      </c>
      <c r="H3162" s="75">
        <f t="shared" si="1179"/>
        <v>1</v>
      </c>
      <c r="I3162" s="76">
        <f t="shared" si="1180"/>
        <v>1</v>
      </c>
      <c r="J3162" s="76">
        <f t="shared" si="1181"/>
        <v>1</v>
      </c>
      <c r="K3162" s="67">
        <f t="shared" si="1182"/>
        <v>0</v>
      </c>
      <c r="L3162" s="67">
        <f t="shared" si="1183"/>
        <v>0</v>
      </c>
      <c r="M3162" s="77">
        <f t="shared" si="1184"/>
        <v>0</v>
      </c>
      <c r="N3162" s="76">
        <f t="shared" si="1185"/>
        <v>1</v>
      </c>
      <c r="O3162" s="77">
        <f t="shared" si="1186"/>
        <v>0.90483588621444211</v>
      </c>
      <c r="P3162" s="76">
        <f t="shared" si="1187"/>
        <v>0</v>
      </c>
      <c r="Q3162" s="76">
        <f t="shared" si="1188"/>
        <v>0</v>
      </c>
      <c r="R3162" s="76">
        <f t="shared" si="1189"/>
        <v>0</v>
      </c>
      <c r="S3162" s="76">
        <f t="shared" si="1190"/>
        <v>0.98351726762439351</v>
      </c>
      <c r="T3162" s="76">
        <f t="shared" si="1191"/>
        <v>0.98351726762439351</v>
      </c>
      <c r="U3162" s="76">
        <f t="shared" si="1192"/>
        <v>1</v>
      </c>
    </row>
    <row r="3163" spans="1:21" x14ac:dyDescent="0.25">
      <c r="A3163" s="71">
        <v>7</v>
      </c>
      <c r="B3163" s="72">
        <f t="shared" si="1193"/>
        <v>45839</v>
      </c>
      <c r="C3163" s="73">
        <f t="shared" si="1174"/>
        <v>45869</v>
      </c>
      <c r="D3163" s="67">
        <f t="shared" si="1175"/>
        <v>31</v>
      </c>
      <c r="E3163" s="67">
        <f t="shared" si="1176"/>
        <v>7</v>
      </c>
      <c r="F3163" s="74">
        <f t="shared" si="1177"/>
        <v>45854.5</v>
      </c>
      <c r="G3163" s="67">
        <f t="shared" si="1178"/>
        <v>24306</v>
      </c>
      <c r="H3163" s="75">
        <f t="shared" si="1179"/>
        <v>1</v>
      </c>
      <c r="I3163" s="76">
        <f t="shared" si="1180"/>
        <v>1</v>
      </c>
      <c r="J3163" s="76">
        <f t="shared" si="1181"/>
        <v>1</v>
      </c>
      <c r="K3163" s="67">
        <f t="shared" si="1182"/>
        <v>0</v>
      </c>
      <c r="L3163" s="67">
        <f t="shared" si="1183"/>
        <v>0</v>
      </c>
      <c r="M3163" s="77">
        <f t="shared" si="1184"/>
        <v>0</v>
      </c>
      <c r="N3163" s="76">
        <f t="shared" si="1185"/>
        <v>1</v>
      </c>
      <c r="O3163" s="77">
        <f t="shared" si="1186"/>
        <v>0.90516958424507665</v>
      </c>
      <c r="P3163" s="76">
        <f t="shared" si="1187"/>
        <v>8.333333333333337E-2</v>
      </c>
      <c r="Q3163" s="76">
        <f t="shared" si="1188"/>
        <v>0</v>
      </c>
      <c r="R3163" s="76">
        <f t="shared" si="1189"/>
        <v>0</v>
      </c>
      <c r="S3163" s="76">
        <f t="shared" si="1190"/>
        <v>0.98387998287508327</v>
      </c>
      <c r="T3163" s="76">
        <f t="shared" si="1191"/>
        <v>0.98387998287508327</v>
      </c>
      <c r="U3163" s="76">
        <f t="shared" si="1192"/>
        <v>1</v>
      </c>
    </row>
    <row r="3164" spans="1:21" x14ac:dyDescent="0.25">
      <c r="A3164" s="71">
        <v>8</v>
      </c>
      <c r="B3164" s="72">
        <f t="shared" si="1193"/>
        <v>45870</v>
      </c>
      <c r="C3164" s="73">
        <f t="shared" si="1174"/>
        <v>45900</v>
      </c>
      <c r="D3164" s="67">
        <f t="shared" si="1175"/>
        <v>31</v>
      </c>
      <c r="E3164" s="67">
        <f t="shared" si="1176"/>
        <v>8</v>
      </c>
      <c r="F3164" s="74">
        <f t="shared" si="1177"/>
        <v>45885.5</v>
      </c>
      <c r="G3164" s="67">
        <f t="shared" si="1178"/>
        <v>24307</v>
      </c>
      <c r="H3164" s="75">
        <f t="shared" si="1179"/>
        <v>1</v>
      </c>
      <c r="I3164" s="76">
        <f t="shared" si="1180"/>
        <v>1</v>
      </c>
      <c r="J3164" s="76">
        <f t="shared" si="1181"/>
        <v>1</v>
      </c>
      <c r="K3164" s="67">
        <f t="shared" si="1182"/>
        <v>0</v>
      </c>
      <c r="L3164" s="67">
        <f t="shared" si="1183"/>
        <v>0</v>
      </c>
      <c r="M3164" s="77">
        <f t="shared" si="1184"/>
        <v>0</v>
      </c>
      <c r="N3164" s="76">
        <f t="shared" si="1185"/>
        <v>1</v>
      </c>
      <c r="O3164" s="77">
        <f t="shared" si="1186"/>
        <v>0.90550875273522979</v>
      </c>
      <c r="P3164" s="76">
        <f t="shared" si="1187"/>
        <v>0.25</v>
      </c>
      <c r="Q3164" s="76">
        <f t="shared" si="1188"/>
        <v>0</v>
      </c>
      <c r="R3164" s="76">
        <f t="shared" si="1189"/>
        <v>0</v>
      </c>
      <c r="S3164" s="76">
        <f t="shared" si="1190"/>
        <v>0.98424864427742365</v>
      </c>
      <c r="T3164" s="76">
        <f t="shared" si="1191"/>
        <v>0.98424864427742365</v>
      </c>
      <c r="U3164" s="76">
        <f t="shared" si="1192"/>
        <v>1</v>
      </c>
    </row>
    <row r="3165" spans="1:21" x14ac:dyDescent="0.25">
      <c r="A3165" s="71">
        <v>9</v>
      </c>
      <c r="B3165" s="72">
        <f t="shared" si="1193"/>
        <v>45901</v>
      </c>
      <c r="C3165" s="73">
        <f t="shared" si="1174"/>
        <v>45930</v>
      </c>
      <c r="D3165" s="67">
        <f t="shared" si="1175"/>
        <v>30</v>
      </c>
      <c r="E3165" s="67">
        <f t="shared" si="1176"/>
        <v>9</v>
      </c>
      <c r="F3165" s="74">
        <f t="shared" si="1177"/>
        <v>45916</v>
      </c>
      <c r="G3165" s="67">
        <f t="shared" si="1178"/>
        <v>24308</v>
      </c>
      <c r="H3165" s="75">
        <f t="shared" si="1179"/>
        <v>1</v>
      </c>
      <c r="I3165" s="76">
        <f t="shared" si="1180"/>
        <v>1</v>
      </c>
      <c r="J3165" s="76">
        <f t="shared" si="1181"/>
        <v>1</v>
      </c>
      <c r="K3165" s="67">
        <f t="shared" si="1182"/>
        <v>0</v>
      </c>
      <c r="L3165" s="67">
        <f t="shared" si="1183"/>
        <v>0</v>
      </c>
      <c r="M3165" s="77">
        <f t="shared" si="1184"/>
        <v>0</v>
      </c>
      <c r="N3165" s="76">
        <f t="shared" si="1185"/>
        <v>1</v>
      </c>
      <c r="O3165" s="77">
        <f t="shared" si="1186"/>
        <v>0.90584245076586434</v>
      </c>
      <c r="P3165" s="76">
        <f t="shared" si="1187"/>
        <v>0.41666666666666663</v>
      </c>
      <c r="Q3165" s="76">
        <f t="shared" si="1188"/>
        <v>0</v>
      </c>
      <c r="R3165" s="76">
        <f t="shared" si="1189"/>
        <v>0</v>
      </c>
      <c r="S3165" s="76">
        <f t="shared" si="1190"/>
        <v>0.98461135952811341</v>
      </c>
      <c r="T3165" s="76">
        <f t="shared" si="1191"/>
        <v>0.98461135952811341</v>
      </c>
      <c r="U3165" s="76">
        <f t="shared" si="1192"/>
        <v>1</v>
      </c>
    </row>
    <row r="3166" spans="1:21" x14ac:dyDescent="0.25">
      <c r="A3166" s="71">
        <v>10</v>
      </c>
      <c r="B3166" s="72">
        <f t="shared" si="1193"/>
        <v>45931</v>
      </c>
      <c r="C3166" s="73">
        <f t="shared" si="1174"/>
        <v>45961</v>
      </c>
      <c r="D3166" s="67">
        <f t="shared" si="1175"/>
        <v>31</v>
      </c>
      <c r="E3166" s="67">
        <f t="shared" si="1176"/>
        <v>10</v>
      </c>
      <c r="F3166" s="74">
        <f t="shared" si="1177"/>
        <v>45946.5</v>
      </c>
      <c r="G3166" s="67">
        <f t="shared" si="1178"/>
        <v>24309</v>
      </c>
      <c r="H3166" s="75">
        <f t="shared" si="1179"/>
        <v>1</v>
      </c>
      <c r="I3166" s="76">
        <f t="shared" si="1180"/>
        <v>1</v>
      </c>
      <c r="J3166" s="76">
        <f t="shared" si="1181"/>
        <v>1</v>
      </c>
      <c r="K3166" s="67">
        <f t="shared" si="1182"/>
        <v>0</v>
      </c>
      <c r="L3166" s="67">
        <f t="shared" si="1183"/>
        <v>0</v>
      </c>
      <c r="M3166" s="77">
        <f t="shared" si="1184"/>
        <v>0</v>
      </c>
      <c r="N3166" s="76">
        <f t="shared" si="1185"/>
        <v>1</v>
      </c>
      <c r="O3166" s="77">
        <f t="shared" si="1186"/>
        <v>0.90617614879649899</v>
      </c>
      <c r="P3166" s="76">
        <f t="shared" si="1187"/>
        <v>0.58333333333333326</v>
      </c>
      <c r="Q3166" s="76">
        <f t="shared" si="1188"/>
        <v>0</v>
      </c>
      <c r="R3166" s="76">
        <f t="shared" si="1189"/>
        <v>0</v>
      </c>
      <c r="S3166" s="76">
        <f t="shared" si="1190"/>
        <v>0.98497407477880317</v>
      </c>
      <c r="T3166" s="76">
        <f t="shared" si="1191"/>
        <v>0.98497407477880317</v>
      </c>
      <c r="U3166" s="76">
        <f t="shared" si="1192"/>
        <v>1</v>
      </c>
    </row>
    <row r="3167" spans="1:21" x14ac:dyDescent="0.25">
      <c r="A3167" s="71">
        <v>11</v>
      </c>
      <c r="B3167" s="72">
        <f t="shared" si="1193"/>
        <v>45962</v>
      </c>
      <c r="C3167" s="73">
        <f t="shared" si="1174"/>
        <v>45991</v>
      </c>
      <c r="D3167" s="67">
        <f t="shared" si="1175"/>
        <v>30</v>
      </c>
      <c r="E3167" s="67">
        <f t="shared" si="1176"/>
        <v>11</v>
      </c>
      <c r="F3167" s="74">
        <f t="shared" si="1177"/>
        <v>45977</v>
      </c>
      <c r="G3167" s="67">
        <f t="shared" si="1178"/>
        <v>24310</v>
      </c>
      <c r="H3167" s="75">
        <f t="shared" si="1179"/>
        <v>1</v>
      </c>
      <c r="I3167" s="76">
        <f t="shared" si="1180"/>
        <v>1</v>
      </c>
      <c r="J3167" s="76">
        <f t="shared" si="1181"/>
        <v>1</v>
      </c>
      <c r="K3167" s="67">
        <f t="shared" si="1182"/>
        <v>0</v>
      </c>
      <c r="L3167" s="67">
        <f t="shared" si="1183"/>
        <v>0</v>
      </c>
      <c r="M3167" s="77">
        <f t="shared" si="1184"/>
        <v>0</v>
      </c>
      <c r="N3167" s="76">
        <f t="shared" si="1185"/>
        <v>1</v>
      </c>
      <c r="O3167" s="77">
        <f t="shared" si="1186"/>
        <v>0.90650984682713354</v>
      </c>
      <c r="P3167" s="76">
        <f t="shared" si="1187"/>
        <v>0.75</v>
      </c>
      <c r="Q3167" s="76">
        <f t="shared" si="1188"/>
        <v>0</v>
      </c>
      <c r="R3167" s="76">
        <f t="shared" si="1189"/>
        <v>0</v>
      </c>
      <c r="S3167" s="76">
        <f t="shared" si="1190"/>
        <v>0.98533679002949293</v>
      </c>
      <c r="T3167" s="76">
        <f t="shared" si="1191"/>
        <v>0.98533679002949293</v>
      </c>
      <c r="U3167" s="76">
        <f t="shared" si="1192"/>
        <v>1</v>
      </c>
    </row>
    <row r="3168" spans="1:21" x14ac:dyDescent="0.25">
      <c r="A3168" s="71">
        <v>12</v>
      </c>
      <c r="B3168" s="72">
        <f t="shared" si="1193"/>
        <v>45992</v>
      </c>
      <c r="C3168" s="73">
        <f t="shared" si="1174"/>
        <v>46022</v>
      </c>
      <c r="D3168" s="67">
        <f t="shared" si="1175"/>
        <v>31</v>
      </c>
      <c r="E3168" s="67">
        <f t="shared" si="1176"/>
        <v>12</v>
      </c>
      <c r="F3168" s="74">
        <f t="shared" si="1177"/>
        <v>46007.5</v>
      </c>
      <c r="G3168" s="67">
        <f t="shared" si="1178"/>
        <v>24311</v>
      </c>
      <c r="H3168" s="75">
        <f t="shared" si="1179"/>
        <v>1</v>
      </c>
      <c r="I3168" s="76">
        <f t="shared" si="1180"/>
        <v>1</v>
      </c>
      <c r="J3168" s="76">
        <f t="shared" si="1181"/>
        <v>1</v>
      </c>
      <c r="K3168" s="67">
        <f t="shared" si="1182"/>
        <v>0</v>
      </c>
      <c r="L3168" s="67">
        <f t="shared" si="1183"/>
        <v>0</v>
      </c>
      <c r="M3168" s="77">
        <f t="shared" si="1184"/>
        <v>0</v>
      </c>
      <c r="N3168" s="76">
        <f t="shared" si="1185"/>
        <v>1</v>
      </c>
      <c r="O3168" s="77">
        <f t="shared" si="1186"/>
        <v>0.90684354485776808</v>
      </c>
      <c r="P3168" s="76">
        <f t="shared" si="1187"/>
        <v>0.91666666666666663</v>
      </c>
      <c r="Q3168" s="76">
        <f t="shared" si="1188"/>
        <v>0</v>
      </c>
      <c r="R3168" s="76">
        <f t="shared" si="1189"/>
        <v>0</v>
      </c>
      <c r="S3168" s="76">
        <f t="shared" si="1190"/>
        <v>0.98569950528018269</v>
      </c>
      <c r="T3168" s="76">
        <f t="shared" si="1191"/>
        <v>0.98569950528018269</v>
      </c>
      <c r="U3168" s="76">
        <f t="shared" si="1192"/>
        <v>1</v>
      </c>
    </row>
    <row r="3169" spans="1:21" x14ac:dyDescent="0.25">
      <c r="A3169" s="71">
        <v>13</v>
      </c>
      <c r="B3169" s="72">
        <f t="shared" si="1193"/>
        <v>46023</v>
      </c>
      <c r="C3169" s="73">
        <f t="shared" si="1174"/>
        <v>46053</v>
      </c>
      <c r="D3169" s="67">
        <f t="shared" si="1175"/>
        <v>31</v>
      </c>
      <c r="E3169" s="67">
        <f t="shared" si="1176"/>
        <v>1</v>
      </c>
      <c r="F3169" s="74">
        <f t="shared" si="1177"/>
        <v>46038.5</v>
      </c>
      <c r="G3169" s="67">
        <f t="shared" si="1178"/>
        <v>24312</v>
      </c>
      <c r="H3169" s="75">
        <f t="shared" si="1179"/>
        <v>1</v>
      </c>
      <c r="I3169" s="76">
        <f t="shared" si="1180"/>
        <v>1</v>
      </c>
      <c r="J3169" s="76">
        <f t="shared" si="1181"/>
        <v>1</v>
      </c>
      <c r="K3169" s="67">
        <f t="shared" si="1182"/>
        <v>0</v>
      </c>
      <c r="L3169" s="67">
        <f t="shared" si="1183"/>
        <v>0</v>
      </c>
      <c r="M3169" s="77">
        <f t="shared" si="1184"/>
        <v>0</v>
      </c>
      <c r="N3169" s="76">
        <f t="shared" si="1185"/>
        <v>1</v>
      </c>
      <c r="O3169" s="77">
        <f t="shared" si="1186"/>
        <v>0.90718271334792122</v>
      </c>
      <c r="P3169" s="76">
        <f t="shared" si="1187"/>
        <v>1</v>
      </c>
      <c r="Q3169" s="76">
        <f t="shared" si="1188"/>
        <v>0</v>
      </c>
      <c r="R3169" s="76">
        <f t="shared" si="1189"/>
        <v>0</v>
      </c>
      <c r="S3169" s="76">
        <f t="shared" si="1190"/>
        <v>0.98606816668252306</v>
      </c>
      <c r="T3169" s="76">
        <f t="shared" si="1191"/>
        <v>0.98606816668252306</v>
      </c>
      <c r="U3169" s="76">
        <f t="shared" si="1192"/>
        <v>1</v>
      </c>
    </row>
    <row r="3170" spans="1:21" x14ac:dyDescent="0.25">
      <c r="A3170" s="71">
        <v>14</v>
      </c>
      <c r="B3170" s="72">
        <f t="shared" si="1193"/>
        <v>46054</v>
      </c>
      <c r="C3170" s="73">
        <f t="shared" si="1174"/>
        <v>46081</v>
      </c>
      <c r="D3170" s="67">
        <f t="shared" si="1175"/>
        <v>28</v>
      </c>
      <c r="E3170" s="67">
        <f t="shared" si="1176"/>
        <v>2</v>
      </c>
      <c r="F3170" s="74">
        <f t="shared" si="1177"/>
        <v>46068</v>
      </c>
      <c r="G3170" s="67">
        <f t="shared" si="1178"/>
        <v>24313</v>
      </c>
      <c r="H3170" s="75">
        <f t="shared" si="1179"/>
        <v>1</v>
      </c>
      <c r="I3170" s="76">
        <f t="shared" si="1180"/>
        <v>1</v>
      </c>
      <c r="J3170" s="76">
        <f t="shared" si="1181"/>
        <v>1</v>
      </c>
      <c r="K3170" s="67">
        <f t="shared" si="1182"/>
        <v>0</v>
      </c>
      <c r="L3170" s="67">
        <f t="shared" si="1183"/>
        <v>0</v>
      </c>
      <c r="M3170" s="77">
        <f t="shared" si="1184"/>
        <v>0</v>
      </c>
      <c r="N3170" s="76">
        <f t="shared" si="1185"/>
        <v>1</v>
      </c>
      <c r="O3170" s="77">
        <f t="shared" si="1186"/>
        <v>0.90750547045951868</v>
      </c>
      <c r="P3170" s="76">
        <f t="shared" si="1187"/>
        <v>1</v>
      </c>
      <c r="Q3170" s="76">
        <f t="shared" si="1188"/>
        <v>0</v>
      </c>
      <c r="R3170" s="76">
        <f t="shared" si="1189"/>
        <v>0</v>
      </c>
      <c r="S3170" s="76">
        <f t="shared" si="1190"/>
        <v>0.98641898962991159</v>
      </c>
      <c r="T3170" s="76">
        <f t="shared" si="1191"/>
        <v>0.98641898962991159</v>
      </c>
      <c r="U3170" s="76">
        <f t="shared" si="1192"/>
        <v>1</v>
      </c>
    </row>
    <row r="3171" spans="1:21" x14ac:dyDescent="0.25">
      <c r="A3171" s="71">
        <v>15</v>
      </c>
      <c r="B3171" s="72">
        <f t="shared" si="1193"/>
        <v>46082</v>
      </c>
      <c r="C3171" s="73">
        <f t="shared" si="1174"/>
        <v>46112</v>
      </c>
      <c r="D3171" s="67">
        <f t="shared" si="1175"/>
        <v>31</v>
      </c>
      <c r="E3171" s="67">
        <f t="shared" si="1176"/>
        <v>3</v>
      </c>
      <c r="F3171" s="74">
        <f t="shared" si="1177"/>
        <v>46097.5</v>
      </c>
      <c r="G3171" s="67">
        <f t="shared" si="1178"/>
        <v>24314</v>
      </c>
      <c r="H3171" s="75">
        <f t="shared" si="1179"/>
        <v>1</v>
      </c>
      <c r="I3171" s="76">
        <f t="shared" si="1180"/>
        <v>1</v>
      </c>
      <c r="J3171" s="76">
        <f t="shared" si="1181"/>
        <v>1</v>
      </c>
      <c r="K3171" s="67">
        <f t="shared" si="1182"/>
        <v>0</v>
      </c>
      <c r="L3171" s="67">
        <f t="shared" si="1183"/>
        <v>0</v>
      </c>
      <c r="M3171" s="77">
        <f t="shared" si="1184"/>
        <v>0</v>
      </c>
      <c r="N3171" s="76">
        <f t="shared" si="1185"/>
        <v>1</v>
      </c>
      <c r="O3171" s="77">
        <f t="shared" si="1186"/>
        <v>0.90782822757111603</v>
      </c>
      <c r="P3171" s="76">
        <f t="shared" si="1187"/>
        <v>1</v>
      </c>
      <c r="Q3171" s="76">
        <f t="shared" si="1188"/>
        <v>0</v>
      </c>
      <c r="R3171" s="76">
        <f t="shared" si="1189"/>
        <v>0</v>
      </c>
      <c r="S3171" s="76">
        <f t="shared" si="1190"/>
        <v>0.98676981257730001</v>
      </c>
      <c r="T3171" s="76">
        <f t="shared" si="1191"/>
        <v>0.98676981257730001</v>
      </c>
      <c r="U3171" s="76">
        <f t="shared" si="1192"/>
        <v>1</v>
      </c>
    </row>
    <row r="3172" spans="1:21" x14ac:dyDescent="0.25">
      <c r="A3172" s="71">
        <v>16</v>
      </c>
      <c r="B3172" s="72">
        <f t="shared" si="1193"/>
        <v>46113</v>
      </c>
      <c r="C3172" s="73">
        <f t="shared" si="1174"/>
        <v>46142</v>
      </c>
      <c r="D3172" s="67">
        <f t="shared" si="1175"/>
        <v>30</v>
      </c>
      <c r="E3172" s="67">
        <f t="shared" si="1176"/>
        <v>4</v>
      </c>
      <c r="F3172" s="74">
        <f t="shared" si="1177"/>
        <v>46128</v>
      </c>
      <c r="G3172" s="67">
        <f t="shared" si="1178"/>
        <v>24315</v>
      </c>
      <c r="H3172" s="75">
        <f t="shared" si="1179"/>
        <v>1</v>
      </c>
      <c r="I3172" s="76">
        <f t="shared" si="1180"/>
        <v>1</v>
      </c>
      <c r="J3172" s="76">
        <f t="shared" si="1181"/>
        <v>1</v>
      </c>
      <c r="K3172" s="67">
        <f t="shared" si="1182"/>
        <v>0</v>
      </c>
      <c r="L3172" s="67">
        <f t="shared" si="1183"/>
        <v>0</v>
      </c>
      <c r="M3172" s="77">
        <f t="shared" si="1184"/>
        <v>0</v>
      </c>
      <c r="N3172" s="76">
        <f t="shared" si="1185"/>
        <v>1</v>
      </c>
      <c r="O3172" s="77">
        <f t="shared" si="1186"/>
        <v>0.90816192560175057</v>
      </c>
      <c r="P3172" s="76">
        <f t="shared" si="1187"/>
        <v>1</v>
      </c>
      <c r="Q3172" s="76">
        <f t="shared" si="1188"/>
        <v>0</v>
      </c>
      <c r="R3172" s="76">
        <f t="shared" si="1189"/>
        <v>0</v>
      </c>
      <c r="S3172" s="76">
        <f t="shared" si="1190"/>
        <v>0.98713252782798966</v>
      </c>
      <c r="T3172" s="76">
        <f t="shared" si="1191"/>
        <v>0.98713252782798966</v>
      </c>
      <c r="U3172" s="76">
        <f t="shared" si="1192"/>
        <v>1</v>
      </c>
    </row>
    <row r="3173" spans="1:21" x14ac:dyDescent="0.25">
      <c r="A3173" s="71">
        <v>17</v>
      </c>
      <c r="B3173" s="72">
        <f t="shared" si="1193"/>
        <v>46143</v>
      </c>
      <c r="C3173" s="73">
        <f t="shared" si="1174"/>
        <v>46173</v>
      </c>
      <c r="D3173" s="67">
        <f t="shared" si="1175"/>
        <v>31</v>
      </c>
      <c r="E3173" s="67">
        <f t="shared" si="1176"/>
        <v>5</v>
      </c>
      <c r="F3173" s="74">
        <f t="shared" si="1177"/>
        <v>46158.5</v>
      </c>
      <c r="G3173" s="67">
        <f t="shared" si="1178"/>
        <v>24316</v>
      </c>
      <c r="H3173" s="75">
        <f t="shared" si="1179"/>
        <v>1</v>
      </c>
      <c r="I3173" s="76">
        <f t="shared" si="1180"/>
        <v>1</v>
      </c>
      <c r="J3173" s="76">
        <f t="shared" si="1181"/>
        <v>1</v>
      </c>
      <c r="K3173" s="67">
        <f t="shared" si="1182"/>
        <v>0</v>
      </c>
      <c r="L3173" s="67">
        <f t="shared" si="1183"/>
        <v>0</v>
      </c>
      <c r="M3173" s="77">
        <f t="shared" si="1184"/>
        <v>0</v>
      </c>
      <c r="N3173" s="76">
        <f t="shared" si="1185"/>
        <v>1</v>
      </c>
      <c r="O3173" s="77">
        <f t="shared" si="1186"/>
        <v>0.90849562363238512</v>
      </c>
      <c r="P3173" s="76">
        <f t="shared" si="1187"/>
        <v>1</v>
      </c>
      <c r="Q3173" s="76">
        <f t="shared" si="1188"/>
        <v>0</v>
      </c>
      <c r="R3173" s="76">
        <f t="shared" si="1189"/>
        <v>0</v>
      </c>
      <c r="S3173" s="76">
        <f t="shared" si="1190"/>
        <v>0.98749524307867942</v>
      </c>
      <c r="T3173" s="76">
        <f t="shared" si="1191"/>
        <v>0.98749524307867942</v>
      </c>
      <c r="U3173" s="76">
        <f t="shared" si="1192"/>
        <v>1</v>
      </c>
    </row>
    <row r="3174" spans="1:21" x14ac:dyDescent="0.25">
      <c r="A3174" s="71">
        <v>18</v>
      </c>
      <c r="B3174" s="72">
        <f t="shared" si="1193"/>
        <v>46174</v>
      </c>
      <c r="C3174" s="73">
        <f t="shared" si="1174"/>
        <v>46203</v>
      </c>
      <c r="D3174" s="67">
        <f t="shared" si="1175"/>
        <v>30</v>
      </c>
      <c r="E3174" s="67">
        <f t="shared" si="1176"/>
        <v>6</v>
      </c>
      <c r="F3174" s="74">
        <f t="shared" si="1177"/>
        <v>46189</v>
      </c>
      <c r="G3174" s="67">
        <f t="shared" si="1178"/>
        <v>24317</v>
      </c>
      <c r="H3174" s="75">
        <f t="shared" si="1179"/>
        <v>1</v>
      </c>
      <c r="I3174" s="76">
        <f t="shared" si="1180"/>
        <v>1</v>
      </c>
      <c r="J3174" s="76">
        <f t="shared" si="1181"/>
        <v>1</v>
      </c>
      <c r="K3174" s="67">
        <f t="shared" si="1182"/>
        <v>0</v>
      </c>
      <c r="L3174" s="67">
        <f t="shared" si="1183"/>
        <v>0</v>
      </c>
      <c r="M3174" s="77">
        <f t="shared" si="1184"/>
        <v>0</v>
      </c>
      <c r="N3174" s="76">
        <f t="shared" si="1185"/>
        <v>1</v>
      </c>
      <c r="O3174" s="77">
        <f t="shared" si="1186"/>
        <v>0.90882932166301977</v>
      </c>
      <c r="P3174" s="76">
        <f t="shared" si="1187"/>
        <v>1</v>
      </c>
      <c r="Q3174" s="76">
        <f t="shared" si="1188"/>
        <v>0</v>
      </c>
      <c r="R3174" s="76">
        <f t="shared" si="1189"/>
        <v>0</v>
      </c>
      <c r="S3174" s="76">
        <f t="shared" si="1190"/>
        <v>0.98785795832936929</v>
      </c>
      <c r="T3174" s="76">
        <f t="shared" si="1191"/>
        <v>0.98785795832936929</v>
      </c>
      <c r="U3174" s="76">
        <f t="shared" si="1192"/>
        <v>1</v>
      </c>
    </row>
    <row r="3175" spans="1:21" x14ac:dyDescent="0.25">
      <c r="A3175" s="71">
        <v>19</v>
      </c>
      <c r="B3175" s="72">
        <f t="shared" si="1193"/>
        <v>46204</v>
      </c>
      <c r="C3175" s="73">
        <f t="shared" si="1174"/>
        <v>46234</v>
      </c>
      <c r="D3175" s="67">
        <f t="shared" si="1175"/>
        <v>31</v>
      </c>
      <c r="E3175" s="67">
        <f t="shared" si="1176"/>
        <v>7</v>
      </c>
      <c r="F3175" s="74">
        <f t="shared" si="1177"/>
        <v>46219.5</v>
      </c>
      <c r="G3175" s="67">
        <f t="shared" si="1178"/>
        <v>24318</v>
      </c>
      <c r="H3175" s="75">
        <f t="shared" si="1179"/>
        <v>1</v>
      </c>
      <c r="I3175" s="76">
        <f t="shared" si="1180"/>
        <v>1</v>
      </c>
      <c r="J3175" s="76">
        <f t="shared" si="1181"/>
        <v>1</v>
      </c>
      <c r="K3175" s="67">
        <f t="shared" si="1182"/>
        <v>0</v>
      </c>
      <c r="L3175" s="67">
        <f t="shared" si="1183"/>
        <v>0</v>
      </c>
      <c r="M3175" s="77">
        <f t="shared" si="1184"/>
        <v>0</v>
      </c>
      <c r="N3175" s="76">
        <f t="shared" si="1185"/>
        <v>1</v>
      </c>
      <c r="O3175" s="77">
        <f t="shared" si="1186"/>
        <v>0.90916301969365432</v>
      </c>
      <c r="P3175" s="76">
        <f t="shared" si="1187"/>
        <v>0.91666666666666663</v>
      </c>
      <c r="Q3175" s="76">
        <f t="shared" si="1188"/>
        <v>8.333333333333337E-2</v>
      </c>
      <c r="R3175" s="76">
        <f t="shared" si="1189"/>
        <v>0</v>
      </c>
      <c r="S3175" s="76">
        <f t="shared" si="1190"/>
        <v>0.98822067358005905</v>
      </c>
      <c r="T3175" s="76">
        <f t="shared" si="1191"/>
        <v>0.98822067358005905</v>
      </c>
      <c r="U3175" s="76">
        <f t="shared" si="1192"/>
        <v>1</v>
      </c>
    </row>
    <row r="3176" spans="1:21" x14ac:dyDescent="0.25">
      <c r="A3176" s="71">
        <v>20</v>
      </c>
      <c r="B3176" s="72">
        <f t="shared" si="1193"/>
        <v>46235</v>
      </c>
      <c r="C3176" s="73">
        <f t="shared" si="1174"/>
        <v>46265</v>
      </c>
      <c r="D3176" s="67">
        <f t="shared" si="1175"/>
        <v>31</v>
      </c>
      <c r="E3176" s="67">
        <f t="shared" si="1176"/>
        <v>8</v>
      </c>
      <c r="F3176" s="74">
        <f t="shared" si="1177"/>
        <v>46250.5</v>
      </c>
      <c r="G3176" s="67">
        <f t="shared" si="1178"/>
        <v>24319</v>
      </c>
      <c r="H3176" s="75">
        <f t="shared" si="1179"/>
        <v>1</v>
      </c>
      <c r="I3176" s="76">
        <f t="shared" si="1180"/>
        <v>1</v>
      </c>
      <c r="J3176" s="76">
        <f t="shared" si="1181"/>
        <v>1</v>
      </c>
      <c r="K3176" s="67">
        <f t="shared" si="1182"/>
        <v>0</v>
      </c>
      <c r="L3176" s="67">
        <f t="shared" si="1183"/>
        <v>0</v>
      </c>
      <c r="M3176" s="77">
        <f t="shared" si="1184"/>
        <v>0</v>
      </c>
      <c r="N3176" s="76">
        <f t="shared" si="1185"/>
        <v>1</v>
      </c>
      <c r="O3176" s="77">
        <f t="shared" si="1186"/>
        <v>0.90950218818380746</v>
      </c>
      <c r="P3176" s="76">
        <f t="shared" si="1187"/>
        <v>0.75</v>
      </c>
      <c r="Q3176" s="76">
        <f t="shared" si="1188"/>
        <v>0.25</v>
      </c>
      <c r="R3176" s="76">
        <f t="shared" si="1189"/>
        <v>0</v>
      </c>
      <c r="S3176" s="76">
        <f t="shared" si="1190"/>
        <v>0.98858933498239931</v>
      </c>
      <c r="T3176" s="76">
        <f t="shared" si="1191"/>
        <v>0.98858933498239931</v>
      </c>
      <c r="U3176" s="76">
        <f t="shared" si="1192"/>
        <v>1</v>
      </c>
    </row>
    <row r="3177" spans="1:21" x14ac:dyDescent="0.25">
      <c r="A3177" s="71">
        <v>21</v>
      </c>
      <c r="B3177" s="72">
        <f t="shared" si="1193"/>
        <v>46266</v>
      </c>
      <c r="C3177" s="73">
        <f t="shared" si="1174"/>
        <v>46295</v>
      </c>
      <c r="D3177" s="67">
        <f t="shared" si="1175"/>
        <v>30</v>
      </c>
      <c r="E3177" s="67">
        <f t="shared" si="1176"/>
        <v>9</v>
      </c>
      <c r="F3177" s="74">
        <f t="shared" si="1177"/>
        <v>46281</v>
      </c>
      <c r="G3177" s="67">
        <f t="shared" si="1178"/>
        <v>24320</v>
      </c>
      <c r="H3177" s="75">
        <f t="shared" si="1179"/>
        <v>1</v>
      </c>
      <c r="I3177" s="76">
        <f t="shared" si="1180"/>
        <v>1</v>
      </c>
      <c r="J3177" s="76">
        <f t="shared" si="1181"/>
        <v>1</v>
      </c>
      <c r="K3177" s="67">
        <f t="shared" si="1182"/>
        <v>0</v>
      </c>
      <c r="L3177" s="67">
        <f t="shared" si="1183"/>
        <v>0</v>
      </c>
      <c r="M3177" s="77">
        <f t="shared" si="1184"/>
        <v>0</v>
      </c>
      <c r="N3177" s="76">
        <f t="shared" si="1185"/>
        <v>1</v>
      </c>
      <c r="O3177" s="77">
        <f t="shared" si="1186"/>
        <v>0.909835886214442</v>
      </c>
      <c r="P3177" s="76">
        <f t="shared" si="1187"/>
        <v>0.58333333333333337</v>
      </c>
      <c r="Q3177" s="76">
        <f t="shared" si="1188"/>
        <v>0.41666666666666663</v>
      </c>
      <c r="R3177" s="76">
        <f t="shared" si="1189"/>
        <v>0</v>
      </c>
      <c r="S3177" s="76">
        <f t="shared" si="1190"/>
        <v>0.98895205023308907</v>
      </c>
      <c r="T3177" s="76">
        <f t="shared" si="1191"/>
        <v>0.98895205023308907</v>
      </c>
      <c r="U3177" s="76">
        <f t="shared" si="1192"/>
        <v>1</v>
      </c>
    </row>
    <row r="3178" spans="1:21" x14ac:dyDescent="0.25">
      <c r="A3178" s="71">
        <v>22</v>
      </c>
      <c r="B3178" s="72">
        <f t="shared" si="1193"/>
        <v>46296</v>
      </c>
      <c r="C3178" s="73">
        <f t="shared" si="1174"/>
        <v>46326</v>
      </c>
      <c r="D3178" s="67">
        <f t="shared" si="1175"/>
        <v>31</v>
      </c>
      <c r="E3178" s="67">
        <f t="shared" si="1176"/>
        <v>10</v>
      </c>
      <c r="F3178" s="74">
        <f t="shared" si="1177"/>
        <v>46311.5</v>
      </c>
      <c r="G3178" s="67">
        <f t="shared" si="1178"/>
        <v>24321</v>
      </c>
      <c r="H3178" s="75">
        <f t="shared" si="1179"/>
        <v>1</v>
      </c>
      <c r="I3178" s="76">
        <f t="shared" si="1180"/>
        <v>1</v>
      </c>
      <c r="J3178" s="76">
        <f t="shared" si="1181"/>
        <v>1.04</v>
      </c>
      <c r="K3178" s="67">
        <f t="shared" si="1182"/>
        <v>1</v>
      </c>
      <c r="L3178" s="67">
        <f t="shared" si="1183"/>
        <v>31</v>
      </c>
      <c r="M3178" s="77">
        <f t="shared" si="1184"/>
        <v>1</v>
      </c>
      <c r="N3178" s="76">
        <f t="shared" si="1185"/>
        <v>1.04</v>
      </c>
      <c r="O3178" s="77">
        <f t="shared" si="1186"/>
        <v>0.91016958424507666</v>
      </c>
      <c r="P3178" s="76">
        <f t="shared" si="1187"/>
        <v>0.41666666666666669</v>
      </c>
      <c r="Q3178" s="76">
        <f t="shared" si="1188"/>
        <v>0.58333333333333326</v>
      </c>
      <c r="R3178" s="76">
        <f t="shared" si="1189"/>
        <v>0</v>
      </c>
      <c r="S3178" s="76">
        <f t="shared" si="1190"/>
        <v>1.0288873561031302</v>
      </c>
      <c r="T3178" s="76">
        <f t="shared" si="1191"/>
        <v>1.0288873561031302</v>
      </c>
      <c r="U3178" s="76">
        <f t="shared" si="1192"/>
        <v>1.04</v>
      </c>
    </row>
    <row r="3179" spans="1:21" x14ac:dyDescent="0.25">
      <c r="A3179" s="71">
        <v>23</v>
      </c>
      <c r="B3179" s="72">
        <f t="shared" si="1193"/>
        <v>46327</v>
      </c>
      <c r="C3179" s="73">
        <f t="shared" si="1174"/>
        <v>46356</v>
      </c>
      <c r="D3179" s="67">
        <f t="shared" si="1175"/>
        <v>30</v>
      </c>
      <c r="E3179" s="67">
        <f t="shared" si="1176"/>
        <v>11</v>
      </c>
      <c r="F3179" s="74">
        <f t="shared" si="1177"/>
        <v>46342</v>
      </c>
      <c r="G3179" s="67">
        <f t="shared" si="1178"/>
        <v>24322</v>
      </c>
      <c r="H3179" s="75">
        <f t="shared" si="1179"/>
        <v>1</v>
      </c>
      <c r="I3179" s="76">
        <f t="shared" si="1180"/>
        <v>1.04</v>
      </c>
      <c r="J3179" s="76">
        <f t="shared" si="1181"/>
        <v>1.04</v>
      </c>
      <c r="K3179" s="67">
        <f t="shared" si="1182"/>
        <v>0</v>
      </c>
      <c r="L3179" s="67">
        <f t="shared" si="1183"/>
        <v>0</v>
      </c>
      <c r="M3179" s="77">
        <f t="shared" si="1184"/>
        <v>0</v>
      </c>
      <c r="N3179" s="76">
        <f t="shared" si="1185"/>
        <v>1.04</v>
      </c>
      <c r="O3179" s="77">
        <f t="shared" si="1186"/>
        <v>0.9105032822757112</v>
      </c>
      <c r="P3179" s="76">
        <f t="shared" si="1187"/>
        <v>0.25</v>
      </c>
      <c r="Q3179" s="76">
        <f t="shared" si="1188"/>
        <v>0.75</v>
      </c>
      <c r="R3179" s="76">
        <f t="shared" si="1189"/>
        <v>0</v>
      </c>
      <c r="S3179" s="76">
        <f t="shared" si="1190"/>
        <v>1.0292645799638476</v>
      </c>
      <c r="T3179" s="76">
        <f t="shared" si="1191"/>
        <v>1.0292645799638476</v>
      </c>
      <c r="U3179" s="76">
        <f t="shared" si="1192"/>
        <v>1.04</v>
      </c>
    </row>
    <row r="3180" spans="1:21" x14ac:dyDescent="0.25">
      <c r="A3180" s="71">
        <v>24</v>
      </c>
      <c r="B3180" s="72">
        <f t="shared" si="1193"/>
        <v>46357</v>
      </c>
      <c r="C3180" s="73">
        <f t="shared" si="1174"/>
        <v>46387</v>
      </c>
      <c r="D3180" s="67">
        <f t="shared" si="1175"/>
        <v>31</v>
      </c>
      <c r="E3180" s="67">
        <f t="shared" si="1176"/>
        <v>12</v>
      </c>
      <c r="F3180" s="74">
        <f t="shared" si="1177"/>
        <v>46372.5</v>
      </c>
      <c r="G3180" s="67">
        <f t="shared" si="1178"/>
        <v>24323</v>
      </c>
      <c r="H3180" s="75">
        <f t="shared" si="1179"/>
        <v>1</v>
      </c>
      <c r="I3180" s="76">
        <f t="shared" si="1180"/>
        <v>1.04</v>
      </c>
      <c r="J3180" s="76">
        <f t="shared" si="1181"/>
        <v>1.04</v>
      </c>
      <c r="K3180" s="67">
        <f t="shared" si="1182"/>
        <v>0</v>
      </c>
      <c r="L3180" s="67">
        <f t="shared" si="1183"/>
        <v>0</v>
      </c>
      <c r="M3180" s="77">
        <f t="shared" si="1184"/>
        <v>0</v>
      </c>
      <c r="N3180" s="76">
        <f t="shared" si="1185"/>
        <v>1.04</v>
      </c>
      <c r="O3180" s="77">
        <f t="shared" si="1186"/>
        <v>0.91083698030634574</v>
      </c>
      <c r="P3180" s="76">
        <f t="shared" si="1187"/>
        <v>8.3333333333333329E-2</v>
      </c>
      <c r="Q3180" s="76">
        <f t="shared" si="1188"/>
        <v>0.91666666666666663</v>
      </c>
      <c r="R3180" s="76">
        <f t="shared" si="1189"/>
        <v>0</v>
      </c>
      <c r="S3180" s="76">
        <f t="shared" si="1190"/>
        <v>1.0296418038245647</v>
      </c>
      <c r="T3180" s="76">
        <f t="shared" si="1191"/>
        <v>1.0296418038245647</v>
      </c>
      <c r="U3180" s="76">
        <f t="shared" si="1192"/>
        <v>1.04</v>
      </c>
    </row>
    <row r="3181" spans="1:21" x14ac:dyDescent="0.25">
      <c r="A3181" s="71">
        <v>25</v>
      </c>
      <c r="B3181" s="72">
        <f t="shared" si="1193"/>
        <v>46388</v>
      </c>
      <c r="C3181" s="73">
        <f t="shared" si="1174"/>
        <v>46418</v>
      </c>
      <c r="D3181" s="67">
        <f t="shared" si="1175"/>
        <v>31</v>
      </c>
      <c r="E3181" s="67">
        <f t="shared" si="1176"/>
        <v>1</v>
      </c>
      <c r="F3181" s="74">
        <f t="shared" si="1177"/>
        <v>46403.5</v>
      </c>
      <c r="G3181" s="67">
        <f t="shared" si="1178"/>
        <v>24324</v>
      </c>
      <c r="H3181" s="75">
        <f t="shared" si="1179"/>
        <v>1</v>
      </c>
      <c r="I3181" s="76">
        <f t="shared" si="1180"/>
        <v>1.04</v>
      </c>
      <c r="J3181" s="76">
        <f t="shared" si="1181"/>
        <v>1.04</v>
      </c>
      <c r="K3181" s="67">
        <f t="shared" si="1182"/>
        <v>0</v>
      </c>
      <c r="L3181" s="67">
        <f t="shared" si="1183"/>
        <v>0</v>
      </c>
      <c r="M3181" s="77">
        <f t="shared" si="1184"/>
        <v>0</v>
      </c>
      <c r="N3181" s="76">
        <f t="shared" si="1185"/>
        <v>1.04</v>
      </c>
      <c r="O3181" s="77">
        <f t="shared" si="1186"/>
        <v>0.91117614879649889</v>
      </c>
      <c r="P3181" s="76">
        <f t="shared" si="1187"/>
        <v>0</v>
      </c>
      <c r="Q3181" s="76">
        <f t="shared" si="1188"/>
        <v>1</v>
      </c>
      <c r="R3181" s="76">
        <f t="shared" si="1189"/>
        <v>0</v>
      </c>
      <c r="S3181" s="76">
        <f t="shared" si="1190"/>
        <v>1.0300252116829987</v>
      </c>
      <c r="T3181" s="76">
        <f t="shared" si="1191"/>
        <v>0.98606816668252306</v>
      </c>
      <c r="U3181" s="76">
        <f t="shared" si="1192"/>
        <v>1.04</v>
      </c>
    </row>
    <row r="3182" spans="1:21" x14ac:dyDescent="0.25">
      <c r="A3182" s="71">
        <v>26</v>
      </c>
      <c r="B3182" s="72">
        <f t="shared" si="1193"/>
        <v>46419</v>
      </c>
      <c r="C3182" s="73">
        <f t="shared" si="1174"/>
        <v>46446</v>
      </c>
      <c r="D3182" s="67">
        <f t="shared" si="1175"/>
        <v>28</v>
      </c>
      <c r="E3182" s="67">
        <f t="shared" si="1176"/>
        <v>2</v>
      </c>
      <c r="F3182" s="74">
        <f t="shared" si="1177"/>
        <v>46433</v>
      </c>
      <c r="G3182" s="67">
        <f t="shared" si="1178"/>
        <v>24325</v>
      </c>
      <c r="H3182" s="75">
        <f t="shared" si="1179"/>
        <v>1</v>
      </c>
      <c r="I3182" s="76">
        <f t="shared" si="1180"/>
        <v>1.04</v>
      </c>
      <c r="J3182" s="76">
        <f t="shared" si="1181"/>
        <v>1.04</v>
      </c>
      <c r="K3182" s="67">
        <f t="shared" si="1182"/>
        <v>0</v>
      </c>
      <c r="L3182" s="67">
        <f t="shared" si="1183"/>
        <v>0</v>
      </c>
      <c r="M3182" s="77">
        <f t="shared" si="1184"/>
        <v>0</v>
      </c>
      <c r="N3182" s="76">
        <f t="shared" si="1185"/>
        <v>1.04</v>
      </c>
      <c r="O3182" s="77">
        <f t="shared" si="1186"/>
        <v>0.91149890590809635</v>
      </c>
      <c r="P3182" s="76">
        <f t="shared" si="1187"/>
        <v>0</v>
      </c>
      <c r="Q3182" s="76">
        <f t="shared" si="1188"/>
        <v>1</v>
      </c>
      <c r="R3182" s="76">
        <f t="shared" si="1189"/>
        <v>0</v>
      </c>
      <c r="S3182" s="76">
        <f t="shared" si="1190"/>
        <v>1.0303900675482829</v>
      </c>
      <c r="T3182" s="76">
        <f t="shared" si="1191"/>
        <v>0.98641898962991159</v>
      </c>
      <c r="U3182" s="76">
        <f t="shared" si="1192"/>
        <v>1.04</v>
      </c>
    </row>
    <row r="3183" spans="1:21" x14ac:dyDescent="0.25">
      <c r="A3183" s="71">
        <v>27</v>
      </c>
      <c r="B3183" s="72">
        <f t="shared" si="1193"/>
        <v>46447</v>
      </c>
      <c r="C3183" s="73">
        <f t="shared" si="1174"/>
        <v>46477</v>
      </c>
      <c r="D3183" s="67">
        <f t="shared" si="1175"/>
        <v>31</v>
      </c>
      <c r="E3183" s="67">
        <f t="shared" si="1176"/>
        <v>3</v>
      </c>
      <c r="F3183" s="74">
        <f t="shared" si="1177"/>
        <v>46462.5</v>
      </c>
      <c r="G3183" s="67">
        <f t="shared" si="1178"/>
        <v>24326</v>
      </c>
      <c r="H3183" s="75">
        <f t="shared" si="1179"/>
        <v>1</v>
      </c>
      <c r="I3183" s="76">
        <f t="shared" si="1180"/>
        <v>1.04</v>
      </c>
      <c r="J3183" s="76">
        <f t="shared" si="1181"/>
        <v>1.04</v>
      </c>
      <c r="K3183" s="67">
        <f t="shared" si="1182"/>
        <v>0</v>
      </c>
      <c r="L3183" s="67">
        <f t="shared" si="1183"/>
        <v>0</v>
      </c>
      <c r="M3183" s="77">
        <f t="shared" si="1184"/>
        <v>0</v>
      </c>
      <c r="N3183" s="76">
        <f t="shared" si="1185"/>
        <v>1.04</v>
      </c>
      <c r="O3183" s="77">
        <f t="shared" si="1186"/>
        <v>0.9118216630196937</v>
      </c>
      <c r="P3183" s="76">
        <f t="shared" si="1187"/>
        <v>0</v>
      </c>
      <c r="Q3183" s="76">
        <f t="shared" si="1188"/>
        <v>1</v>
      </c>
      <c r="R3183" s="76">
        <f t="shared" si="1189"/>
        <v>0</v>
      </c>
      <c r="S3183" s="76">
        <f t="shared" si="1190"/>
        <v>1.0307549234135667</v>
      </c>
      <c r="T3183" s="76">
        <f t="shared" si="1191"/>
        <v>0.98676981257730001</v>
      </c>
      <c r="U3183" s="76">
        <f t="shared" si="1192"/>
        <v>1.04</v>
      </c>
    </row>
    <row r="3184" spans="1:21" x14ac:dyDescent="0.25">
      <c r="A3184" s="71">
        <v>28</v>
      </c>
      <c r="B3184" s="72">
        <f t="shared" si="1193"/>
        <v>46478</v>
      </c>
      <c r="C3184" s="73">
        <f t="shared" si="1174"/>
        <v>46507</v>
      </c>
      <c r="D3184" s="67">
        <f t="shared" si="1175"/>
        <v>30</v>
      </c>
      <c r="E3184" s="67">
        <f t="shared" si="1176"/>
        <v>4</v>
      </c>
      <c r="F3184" s="74">
        <f t="shared" si="1177"/>
        <v>46493</v>
      </c>
      <c r="G3184" s="67">
        <f t="shared" si="1178"/>
        <v>24327</v>
      </c>
      <c r="H3184" s="75">
        <f t="shared" si="1179"/>
        <v>1</v>
      </c>
      <c r="I3184" s="76">
        <f t="shared" si="1180"/>
        <v>1.04</v>
      </c>
      <c r="J3184" s="76">
        <f t="shared" si="1181"/>
        <v>1.04</v>
      </c>
      <c r="K3184" s="67">
        <f t="shared" si="1182"/>
        <v>0</v>
      </c>
      <c r="L3184" s="67">
        <f t="shared" si="1183"/>
        <v>0</v>
      </c>
      <c r="M3184" s="77">
        <f t="shared" si="1184"/>
        <v>0</v>
      </c>
      <c r="N3184" s="76">
        <f t="shared" si="1185"/>
        <v>1.04</v>
      </c>
      <c r="O3184" s="77">
        <f t="shared" si="1186"/>
        <v>0.91215536105032824</v>
      </c>
      <c r="P3184" s="76">
        <f t="shared" si="1187"/>
        <v>0</v>
      </c>
      <c r="Q3184" s="76">
        <f t="shared" si="1188"/>
        <v>1</v>
      </c>
      <c r="R3184" s="76">
        <f t="shared" si="1189"/>
        <v>0</v>
      </c>
      <c r="S3184" s="76">
        <f t="shared" si="1190"/>
        <v>1.031132147274284</v>
      </c>
      <c r="T3184" s="76">
        <f t="shared" si="1191"/>
        <v>0.98713252782798966</v>
      </c>
      <c r="U3184" s="76">
        <f t="shared" si="1192"/>
        <v>1.04</v>
      </c>
    </row>
    <row r="3185" spans="1:21" x14ac:dyDescent="0.25">
      <c r="A3185" s="71">
        <v>29</v>
      </c>
      <c r="B3185" s="72">
        <f t="shared" si="1193"/>
        <v>46508</v>
      </c>
      <c r="C3185" s="73">
        <f t="shared" si="1174"/>
        <v>46538</v>
      </c>
      <c r="D3185" s="67">
        <f t="shared" si="1175"/>
        <v>31</v>
      </c>
      <c r="E3185" s="67">
        <f t="shared" si="1176"/>
        <v>5</v>
      </c>
      <c r="F3185" s="74">
        <f t="shared" si="1177"/>
        <v>46523.5</v>
      </c>
      <c r="G3185" s="67">
        <f t="shared" si="1178"/>
        <v>24328</v>
      </c>
      <c r="H3185" s="75">
        <f t="shared" si="1179"/>
        <v>1</v>
      </c>
      <c r="I3185" s="76">
        <f t="shared" si="1180"/>
        <v>1.04</v>
      </c>
      <c r="J3185" s="76">
        <f t="shared" si="1181"/>
        <v>1.04</v>
      </c>
      <c r="K3185" s="67">
        <f t="shared" si="1182"/>
        <v>0</v>
      </c>
      <c r="L3185" s="67">
        <f t="shared" si="1183"/>
        <v>0</v>
      </c>
      <c r="M3185" s="77">
        <f t="shared" si="1184"/>
        <v>0</v>
      </c>
      <c r="N3185" s="76">
        <f t="shared" si="1185"/>
        <v>1.04</v>
      </c>
      <c r="O3185" s="77">
        <f t="shared" si="1186"/>
        <v>0.91248905908096278</v>
      </c>
      <c r="P3185" s="76">
        <f t="shared" si="1187"/>
        <v>0</v>
      </c>
      <c r="Q3185" s="76">
        <f t="shared" si="1188"/>
        <v>1</v>
      </c>
      <c r="R3185" s="76">
        <f t="shared" si="1189"/>
        <v>0</v>
      </c>
      <c r="S3185" s="76">
        <f t="shared" si="1190"/>
        <v>1.0315093711350014</v>
      </c>
      <c r="T3185" s="76">
        <f t="shared" si="1191"/>
        <v>0.98749524307867942</v>
      </c>
      <c r="U3185" s="76">
        <f t="shared" si="1192"/>
        <v>1.04</v>
      </c>
    </row>
    <row r="3186" spans="1:21" x14ac:dyDescent="0.25">
      <c r="A3186" s="71">
        <v>30</v>
      </c>
      <c r="B3186" s="72">
        <f t="shared" si="1193"/>
        <v>46539</v>
      </c>
      <c r="C3186" s="73">
        <f t="shared" si="1174"/>
        <v>46568</v>
      </c>
      <c r="D3186" s="67">
        <f t="shared" si="1175"/>
        <v>30</v>
      </c>
      <c r="E3186" s="67">
        <f t="shared" si="1176"/>
        <v>6</v>
      </c>
      <c r="F3186" s="74">
        <f t="shared" si="1177"/>
        <v>46554</v>
      </c>
      <c r="G3186" s="67">
        <f t="shared" si="1178"/>
        <v>24329</v>
      </c>
      <c r="H3186" s="75">
        <f t="shared" si="1179"/>
        <v>1</v>
      </c>
      <c r="I3186" s="76">
        <f t="shared" si="1180"/>
        <v>1.04</v>
      </c>
      <c r="J3186" s="76">
        <f t="shared" si="1181"/>
        <v>1.04</v>
      </c>
      <c r="K3186" s="67">
        <f t="shared" si="1182"/>
        <v>0</v>
      </c>
      <c r="L3186" s="67">
        <f t="shared" si="1183"/>
        <v>0</v>
      </c>
      <c r="M3186" s="77">
        <f t="shared" si="1184"/>
        <v>0</v>
      </c>
      <c r="N3186" s="76">
        <f t="shared" si="1185"/>
        <v>1.04</v>
      </c>
      <c r="O3186" s="77">
        <f t="shared" si="1186"/>
        <v>0.91282275711159744</v>
      </c>
      <c r="P3186" s="76">
        <f t="shared" si="1187"/>
        <v>0</v>
      </c>
      <c r="Q3186" s="76">
        <f t="shared" si="1188"/>
        <v>1</v>
      </c>
      <c r="R3186" s="76">
        <f t="shared" si="1189"/>
        <v>0</v>
      </c>
      <c r="S3186" s="76">
        <f t="shared" si="1190"/>
        <v>1.0318865949957188</v>
      </c>
      <c r="T3186" s="76">
        <f t="shared" si="1191"/>
        <v>0.98785795832936929</v>
      </c>
      <c r="U3186" s="76">
        <f t="shared" si="1192"/>
        <v>1.04</v>
      </c>
    </row>
    <row r="3187" spans="1:21" x14ac:dyDescent="0.25">
      <c r="A3187" s="71">
        <v>31</v>
      </c>
      <c r="B3187" s="72">
        <f t="shared" si="1193"/>
        <v>46569</v>
      </c>
      <c r="C3187" s="73">
        <f t="shared" si="1174"/>
        <v>46599</v>
      </c>
      <c r="D3187" s="67">
        <f t="shared" si="1175"/>
        <v>31</v>
      </c>
      <c r="E3187" s="67">
        <f t="shared" si="1176"/>
        <v>7</v>
      </c>
      <c r="F3187" s="74">
        <f t="shared" si="1177"/>
        <v>46584.5</v>
      </c>
      <c r="G3187" s="67">
        <f t="shared" si="1178"/>
        <v>24330</v>
      </c>
      <c r="H3187" s="75">
        <f t="shared" si="1179"/>
        <v>1</v>
      </c>
      <c r="I3187" s="76">
        <f t="shared" si="1180"/>
        <v>1.04</v>
      </c>
      <c r="J3187" s="76">
        <f t="shared" si="1181"/>
        <v>1.04</v>
      </c>
      <c r="K3187" s="67">
        <f t="shared" si="1182"/>
        <v>0</v>
      </c>
      <c r="L3187" s="67">
        <f t="shared" si="1183"/>
        <v>0</v>
      </c>
      <c r="M3187" s="77">
        <f t="shared" si="1184"/>
        <v>0</v>
      </c>
      <c r="N3187" s="76">
        <f t="shared" si="1185"/>
        <v>1.04</v>
      </c>
      <c r="O3187" s="77">
        <f t="shared" si="1186"/>
        <v>0.91315645514223198</v>
      </c>
      <c r="P3187" s="76">
        <f t="shared" si="1187"/>
        <v>0</v>
      </c>
      <c r="Q3187" s="76">
        <f t="shared" si="1188"/>
        <v>0.91666666666666663</v>
      </c>
      <c r="R3187" s="76">
        <f t="shared" si="1189"/>
        <v>8.333333333333337E-2</v>
      </c>
      <c r="S3187" s="76">
        <f t="shared" si="1190"/>
        <v>1.0322638188564361</v>
      </c>
      <c r="T3187" s="76">
        <f t="shared" si="1191"/>
        <v>0.98822067358005905</v>
      </c>
      <c r="U3187" s="76">
        <f t="shared" si="1192"/>
        <v>1.04</v>
      </c>
    </row>
    <row r="3188" spans="1:21" x14ac:dyDescent="0.25">
      <c r="A3188" s="71">
        <v>32</v>
      </c>
      <c r="B3188" s="72">
        <f t="shared" si="1193"/>
        <v>46600</v>
      </c>
      <c r="C3188" s="73">
        <f t="shared" si="1174"/>
        <v>46630</v>
      </c>
      <c r="D3188" s="67">
        <f t="shared" si="1175"/>
        <v>31</v>
      </c>
      <c r="E3188" s="67">
        <f t="shared" si="1176"/>
        <v>8</v>
      </c>
      <c r="F3188" s="74">
        <f t="shared" si="1177"/>
        <v>46615.5</v>
      </c>
      <c r="G3188" s="67">
        <f t="shared" si="1178"/>
        <v>24331</v>
      </c>
      <c r="H3188" s="75">
        <f t="shared" si="1179"/>
        <v>1</v>
      </c>
      <c r="I3188" s="76">
        <f t="shared" si="1180"/>
        <v>1.04</v>
      </c>
      <c r="J3188" s="76">
        <f t="shared" si="1181"/>
        <v>1.0816000000000001</v>
      </c>
      <c r="K3188" s="67">
        <f t="shared" si="1182"/>
        <v>1</v>
      </c>
      <c r="L3188" s="67">
        <f t="shared" si="1183"/>
        <v>31</v>
      </c>
      <c r="M3188" s="77">
        <f t="shared" si="1184"/>
        <v>1</v>
      </c>
      <c r="N3188" s="76">
        <f t="shared" si="1185"/>
        <v>1.0816000000000001</v>
      </c>
      <c r="O3188" s="77">
        <f t="shared" si="1186"/>
        <v>0.91349562363238512</v>
      </c>
      <c r="P3188" s="76">
        <f t="shared" si="1187"/>
        <v>0</v>
      </c>
      <c r="Q3188" s="76">
        <f t="shared" si="1188"/>
        <v>0.75</v>
      </c>
      <c r="R3188" s="76">
        <f t="shared" si="1189"/>
        <v>0.25</v>
      </c>
      <c r="S3188" s="76">
        <f t="shared" si="1190"/>
        <v>1.073953115783465</v>
      </c>
      <c r="T3188" s="76">
        <f t="shared" si="1191"/>
        <v>0.98858933498239931</v>
      </c>
      <c r="U3188" s="76">
        <f t="shared" si="1192"/>
        <v>1.0816000000000001</v>
      </c>
    </row>
    <row r="3189" spans="1:21" x14ac:dyDescent="0.25">
      <c r="A3189" s="71">
        <v>33</v>
      </c>
      <c r="B3189" s="72">
        <f t="shared" si="1193"/>
        <v>46631</v>
      </c>
      <c r="C3189" s="73">
        <f t="shared" si="1174"/>
        <v>46660</v>
      </c>
      <c r="D3189" s="67">
        <f t="shared" si="1175"/>
        <v>30</v>
      </c>
      <c r="E3189" s="67">
        <f t="shared" si="1176"/>
        <v>9</v>
      </c>
      <c r="F3189" s="74">
        <f t="shared" si="1177"/>
        <v>46646</v>
      </c>
      <c r="G3189" s="67">
        <f t="shared" si="1178"/>
        <v>24332</v>
      </c>
      <c r="H3189" s="75">
        <f t="shared" si="1179"/>
        <v>1</v>
      </c>
      <c r="I3189" s="76">
        <f t="shared" si="1180"/>
        <v>1.0816000000000001</v>
      </c>
      <c r="J3189" s="76">
        <f t="shared" si="1181"/>
        <v>1.0816000000000001</v>
      </c>
      <c r="K3189" s="67">
        <f t="shared" si="1182"/>
        <v>0</v>
      </c>
      <c r="L3189" s="67">
        <f t="shared" si="1183"/>
        <v>0</v>
      </c>
      <c r="M3189" s="77">
        <f t="shared" si="1184"/>
        <v>0</v>
      </c>
      <c r="N3189" s="76">
        <f t="shared" si="1185"/>
        <v>1.0816000000000001</v>
      </c>
      <c r="O3189" s="77">
        <f t="shared" si="1186"/>
        <v>0.91382932166301978</v>
      </c>
      <c r="P3189" s="76">
        <f t="shared" si="1187"/>
        <v>0</v>
      </c>
      <c r="Q3189" s="76">
        <f t="shared" si="1188"/>
        <v>0.58333333333333337</v>
      </c>
      <c r="R3189" s="76">
        <f t="shared" si="1189"/>
        <v>0.41666666666666663</v>
      </c>
      <c r="S3189" s="76">
        <f t="shared" si="1190"/>
        <v>1.0743454285986112</v>
      </c>
      <c r="T3189" s="76">
        <f t="shared" si="1191"/>
        <v>0.98895205023308907</v>
      </c>
      <c r="U3189" s="76">
        <f t="shared" si="1192"/>
        <v>1.0816000000000001</v>
      </c>
    </row>
    <row r="3190" spans="1:21" x14ac:dyDescent="0.25">
      <c r="A3190" s="71">
        <v>34</v>
      </c>
      <c r="B3190" s="72">
        <f t="shared" si="1193"/>
        <v>46661</v>
      </c>
      <c r="C3190" s="73">
        <f t="shared" si="1174"/>
        <v>46691</v>
      </c>
      <c r="D3190" s="67">
        <f t="shared" si="1175"/>
        <v>31</v>
      </c>
      <c r="E3190" s="67">
        <f t="shared" si="1176"/>
        <v>10</v>
      </c>
      <c r="F3190" s="74">
        <f t="shared" si="1177"/>
        <v>46676.5</v>
      </c>
      <c r="G3190" s="67">
        <f t="shared" si="1178"/>
        <v>24333</v>
      </c>
      <c r="H3190" s="75">
        <f t="shared" si="1179"/>
        <v>1</v>
      </c>
      <c r="I3190" s="76">
        <f t="shared" si="1180"/>
        <v>1.0816000000000001</v>
      </c>
      <c r="J3190" s="76">
        <f t="shared" si="1181"/>
        <v>1.0816000000000001</v>
      </c>
      <c r="K3190" s="67">
        <f t="shared" si="1182"/>
        <v>0</v>
      </c>
      <c r="L3190" s="67">
        <f t="shared" si="1183"/>
        <v>0</v>
      </c>
      <c r="M3190" s="77">
        <f t="shared" si="1184"/>
        <v>0</v>
      </c>
      <c r="N3190" s="76">
        <f t="shared" si="1185"/>
        <v>1.0816000000000001</v>
      </c>
      <c r="O3190" s="77">
        <f t="shared" si="1186"/>
        <v>0.91416301969365432</v>
      </c>
      <c r="P3190" s="76">
        <f t="shared" si="1187"/>
        <v>0</v>
      </c>
      <c r="Q3190" s="76">
        <f t="shared" si="1188"/>
        <v>0.41666666666666669</v>
      </c>
      <c r="R3190" s="76">
        <f t="shared" si="1189"/>
        <v>0.58333333333333326</v>
      </c>
      <c r="S3190" s="76">
        <f t="shared" si="1190"/>
        <v>1.0747377414137571</v>
      </c>
      <c r="T3190" s="76">
        <f t="shared" si="1191"/>
        <v>1.0288873561031302</v>
      </c>
      <c r="U3190" s="76">
        <f t="shared" si="1192"/>
        <v>1.0816000000000001</v>
      </c>
    </row>
    <row r="3191" spans="1:21" x14ac:dyDescent="0.25">
      <c r="A3191" s="71">
        <v>35</v>
      </c>
      <c r="B3191" s="72">
        <f t="shared" si="1193"/>
        <v>46692</v>
      </c>
      <c r="C3191" s="73">
        <f t="shared" si="1174"/>
        <v>46721</v>
      </c>
      <c r="D3191" s="67">
        <f t="shared" si="1175"/>
        <v>30</v>
      </c>
      <c r="E3191" s="67">
        <f t="shared" si="1176"/>
        <v>11</v>
      </c>
      <c r="F3191" s="74">
        <f t="shared" si="1177"/>
        <v>46707</v>
      </c>
      <c r="G3191" s="67">
        <f t="shared" si="1178"/>
        <v>24334</v>
      </c>
      <c r="H3191" s="75">
        <f t="shared" si="1179"/>
        <v>1</v>
      </c>
      <c r="I3191" s="76">
        <f t="shared" si="1180"/>
        <v>1.0816000000000001</v>
      </c>
      <c r="J3191" s="76">
        <f t="shared" si="1181"/>
        <v>1.0816000000000001</v>
      </c>
      <c r="K3191" s="67">
        <f t="shared" si="1182"/>
        <v>0</v>
      </c>
      <c r="L3191" s="67">
        <f t="shared" si="1183"/>
        <v>0</v>
      </c>
      <c r="M3191" s="77">
        <f t="shared" si="1184"/>
        <v>0</v>
      </c>
      <c r="N3191" s="76">
        <f t="shared" si="1185"/>
        <v>1.0816000000000001</v>
      </c>
      <c r="O3191" s="77">
        <f t="shared" si="1186"/>
        <v>0.91449671772428887</v>
      </c>
      <c r="P3191" s="76">
        <f t="shared" si="1187"/>
        <v>0</v>
      </c>
      <c r="Q3191" s="76">
        <f t="shared" si="1188"/>
        <v>0.25</v>
      </c>
      <c r="R3191" s="76">
        <f t="shared" si="1189"/>
        <v>0.75</v>
      </c>
      <c r="S3191" s="76">
        <f t="shared" si="1190"/>
        <v>1.0751300542289031</v>
      </c>
      <c r="T3191" s="76">
        <f t="shared" si="1191"/>
        <v>1.0292645799638476</v>
      </c>
      <c r="U3191" s="76">
        <f t="shared" si="1192"/>
        <v>1.0816000000000001</v>
      </c>
    </row>
    <row r="3192" spans="1:21" x14ac:dyDescent="0.25">
      <c r="A3192" s="71">
        <v>36</v>
      </c>
      <c r="B3192" s="72">
        <f t="shared" si="1193"/>
        <v>46722</v>
      </c>
      <c r="C3192" s="73">
        <f t="shared" si="1174"/>
        <v>46752</v>
      </c>
      <c r="D3192" s="67">
        <f t="shared" si="1175"/>
        <v>31</v>
      </c>
      <c r="E3192" s="67">
        <f t="shared" si="1176"/>
        <v>12</v>
      </c>
      <c r="F3192" s="74">
        <f t="shared" si="1177"/>
        <v>46737.5</v>
      </c>
      <c r="G3192" s="67">
        <f t="shared" si="1178"/>
        <v>24335</v>
      </c>
      <c r="H3192" s="75">
        <f t="shared" si="1179"/>
        <v>1</v>
      </c>
      <c r="I3192" s="76">
        <f t="shared" si="1180"/>
        <v>1.0816000000000001</v>
      </c>
      <c r="J3192" s="76">
        <f t="shared" si="1181"/>
        <v>1.0816000000000001</v>
      </c>
      <c r="K3192" s="67">
        <f t="shared" si="1182"/>
        <v>0</v>
      </c>
      <c r="L3192" s="67">
        <f t="shared" si="1183"/>
        <v>0</v>
      </c>
      <c r="M3192" s="77">
        <f t="shared" si="1184"/>
        <v>0</v>
      </c>
      <c r="N3192" s="76">
        <f t="shared" si="1185"/>
        <v>1.0816000000000001</v>
      </c>
      <c r="O3192" s="77">
        <f t="shared" si="1186"/>
        <v>0.91483041575492341</v>
      </c>
      <c r="P3192" s="76">
        <f t="shared" si="1187"/>
        <v>0</v>
      </c>
      <c r="Q3192" s="76">
        <f t="shared" si="1188"/>
        <v>8.3333333333333329E-2</v>
      </c>
      <c r="R3192" s="76">
        <f t="shared" si="1189"/>
        <v>0.91666666666666663</v>
      </c>
      <c r="S3192" s="76">
        <f t="shared" si="1190"/>
        <v>1.0755223670440492</v>
      </c>
      <c r="T3192" s="76">
        <f t="shared" si="1191"/>
        <v>1.0296418038245647</v>
      </c>
      <c r="U3192" s="76">
        <f t="shared" si="1192"/>
        <v>1.0816000000000001</v>
      </c>
    </row>
    <row r="3193" spans="1:21" x14ac:dyDescent="0.25">
      <c r="A3193" s="71">
        <v>37</v>
      </c>
      <c r="B3193" s="72">
        <f t="shared" si="1193"/>
        <v>46753</v>
      </c>
      <c r="C3193" s="73">
        <f t="shared" si="1174"/>
        <v>46783</v>
      </c>
      <c r="D3193" s="67">
        <f t="shared" si="1175"/>
        <v>31</v>
      </c>
      <c r="E3193" s="67">
        <f t="shared" si="1176"/>
        <v>1</v>
      </c>
      <c r="F3193" s="74">
        <f t="shared" si="1177"/>
        <v>46768.5</v>
      </c>
      <c r="G3193" s="67">
        <f t="shared" si="1178"/>
        <v>24336</v>
      </c>
      <c r="H3193" s="75">
        <f t="shared" si="1179"/>
        <v>1</v>
      </c>
      <c r="I3193" s="76">
        <f t="shared" si="1180"/>
        <v>1.0816000000000001</v>
      </c>
      <c r="J3193" s="76">
        <f t="shared" si="1181"/>
        <v>1.0816000000000001</v>
      </c>
      <c r="K3193" s="67">
        <f t="shared" si="1182"/>
        <v>0</v>
      </c>
      <c r="L3193" s="67">
        <f t="shared" si="1183"/>
        <v>0</v>
      </c>
      <c r="M3193" s="77">
        <f t="shared" si="1184"/>
        <v>0</v>
      </c>
      <c r="N3193" s="76">
        <f t="shared" si="1185"/>
        <v>1.0816000000000001</v>
      </c>
      <c r="O3193" s="77">
        <f t="shared" si="1186"/>
        <v>0.91500000000000004</v>
      </c>
      <c r="P3193" s="76">
        <f t="shared" si="1187"/>
        <v>0</v>
      </c>
      <c r="Q3193" s="76">
        <f t="shared" si="1188"/>
        <v>0</v>
      </c>
      <c r="R3193" s="76">
        <f t="shared" si="1189"/>
        <v>1</v>
      </c>
      <c r="S3193" s="76">
        <f t="shared" si="1190"/>
        <v>1.0757217391304348</v>
      </c>
      <c r="T3193" s="76">
        <f t="shared" si="1191"/>
        <v>0.98606816668252306</v>
      </c>
      <c r="U3193" s="76">
        <f t="shared" si="1192"/>
        <v>1.0816000000000001</v>
      </c>
    </row>
    <row r="3194" spans="1:21" x14ac:dyDescent="0.25">
      <c r="A3194" s="71">
        <v>38</v>
      </c>
      <c r="B3194" s="72">
        <f t="shared" si="1193"/>
        <v>46784</v>
      </c>
      <c r="C3194" s="73">
        <f t="shared" si="1174"/>
        <v>46812</v>
      </c>
      <c r="D3194" s="67">
        <f t="shared" si="1175"/>
        <v>29</v>
      </c>
      <c r="E3194" s="67">
        <f t="shared" si="1176"/>
        <v>2</v>
      </c>
      <c r="F3194" s="74">
        <f t="shared" si="1177"/>
        <v>46798.5</v>
      </c>
      <c r="G3194" s="67">
        <f t="shared" si="1178"/>
        <v>24337</v>
      </c>
      <c r="H3194" s="75">
        <f t="shared" si="1179"/>
        <v>1</v>
      </c>
      <c r="I3194" s="76">
        <f t="shared" si="1180"/>
        <v>1.0816000000000001</v>
      </c>
      <c r="J3194" s="76">
        <f t="shared" si="1181"/>
        <v>1.0816000000000001</v>
      </c>
      <c r="K3194" s="67">
        <f t="shared" si="1182"/>
        <v>0</v>
      </c>
      <c r="L3194" s="67">
        <f t="shared" si="1183"/>
        <v>0</v>
      </c>
      <c r="M3194" s="77">
        <f t="shared" si="1184"/>
        <v>0</v>
      </c>
      <c r="N3194" s="76">
        <f t="shared" si="1185"/>
        <v>1.0816000000000001</v>
      </c>
      <c r="O3194" s="77">
        <f t="shared" si="1186"/>
        <v>0.91500000000000004</v>
      </c>
      <c r="P3194" s="76">
        <f t="shared" si="1187"/>
        <v>0</v>
      </c>
      <c r="Q3194" s="76">
        <f t="shared" si="1188"/>
        <v>0</v>
      </c>
      <c r="R3194" s="76">
        <f t="shared" si="1189"/>
        <v>1</v>
      </c>
      <c r="S3194" s="76">
        <f t="shared" si="1190"/>
        <v>1.0757217391304348</v>
      </c>
      <c r="T3194" s="76">
        <f t="shared" si="1191"/>
        <v>0.98641898962991159</v>
      </c>
      <c r="U3194" s="76">
        <f t="shared" si="1192"/>
        <v>1.0816000000000001</v>
      </c>
    </row>
    <row r="3195" spans="1:21" x14ac:dyDescent="0.25">
      <c r="A3195" s="71">
        <v>39</v>
      </c>
      <c r="B3195" s="72">
        <f t="shared" si="1193"/>
        <v>46813</v>
      </c>
      <c r="C3195" s="73">
        <f t="shared" si="1174"/>
        <v>46843</v>
      </c>
      <c r="D3195" s="67">
        <f t="shared" si="1175"/>
        <v>31</v>
      </c>
      <c r="E3195" s="67">
        <f t="shared" si="1176"/>
        <v>3</v>
      </c>
      <c r="F3195" s="74">
        <f t="shared" si="1177"/>
        <v>46828.5</v>
      </c>
      <c r="G3195" s="67">
        <f t="shared" si="1178"/>
        <v>24338</v>
      </c>
      <c r="H3195" s="75">
        <f t="shared" si="1179"/>
        <v>1</v>
      </c>
      <c r="I3195" s="76">
        <f t="shared" si="1180"/>
        <v>1.0816000000000001</v>
      </c>
      <c r="J3195" s="76">
        <f t="shared" si="1181"/>
        <v>1.0816000000000001</v>
      </c>
      <c r="K3195" s="67">
        <f t="shared" si="1182"/>
        <v>0</v>
      </c>
      <c r="L3195" s="67">
        <f t="shared" si="1183"/>
        <v>0</v>
      </c>
      <c r="M3195" s="77">
        <f t="shared" si="1184"/>
        <v>0</v>
      </c>
      <c r="N3195" s="76">
        <f t="shared" si="1185"/>
        <v>1.0816000000000001</v>
      </c>
      <c r="O3195" s="77">
        <f t="shared" si="1186"/>
        <v>0.91500000000000004</v>
      </c>
      <c r="P3195" s="76">
        <f t="shared" si="1187"/>
        <v>0</v>
      </c>
      <c r="Q3195" s="76">
        <f t="shared" si="1188"/>
        <v>0</v>
      </c>
      <c r="R3195" s="76">
        <f t="shared" si="1189"/>
        <v>1</v>
      </c>
      <c r="S3195" s="76">
        <f t="shared" si="1190"/>
        <v>1.0757217391304348</v>
      </c>
      <c r="T3195" s="76">
        <f t="shared" si="1191"/>
        <v>0.98676981257730001</v>
      </c>
      <c r="U3195" s="76">
        <f t="shared" si="1192"/>
        <v>1.0816000000000001</v>
      </c>
    </row>
    <row r="3196" spans="1:21" x14ac:dyDescent="0.25">
      <c r="A3196" s="71">
        <v>40</v>
      </c>
      <c r="B3196" s="72">
        <f t="shared" si="1193"/>
        <v>46844</v>
      </c>
      <c r="C3196" s="73">
        <f t="shared" si="1174"/>
        <v>46873</v>
      </c>
      <c r="D3196" s="67">
        <f t="shared" si="1175"/>
        <v>30</v>
      </c>
      <c r="E3196" s="67">
        <f t="shared" si="1176"/>
        <v>4</v>
      </c>
      <c r="F3196" s="74">
        <f t="shared" si="1177"/>
        <v>46859</v>
      </c>
      <c r="G3196" s="67">
        <f t="shared" si="1178"/>
        <v>24339</v>
      </c>
      <c r="H3196" s="75">
        <f t="shared" si="1179"/>
        <v>1</v>
      </c>
      <c r="I3196" s="76">
        <f t="shared" si="1180"/>
        <v>1.0816000000000001</v>
      </c>
      <c r="J3196" s="76">
        <f t="shared" si="1181"/>
        <v>1.0816000000000001</v>
      </c>
      <c r="K3196" s="67">
        <f t="shared" si="1182"/>
        <v>0</v>
      </c>
      <c r="L3196" s="67">
        <f t="shared" si="1183"/>
        <v>0</v>
      </c>
      <c r="M3196" s="77">
        <f t="shared" si="1184"/>
        <v>0</v>
      </c>
      <c r="N3196" s="76">
        <f t="shared" si="1185"/>
        <v>1.0816000000000001</v>
      </c>
      <c r="O3196" s="77">
        <f t="shared" si="1186"/>
        <v>0.91500000000000004</v>
      </c>
      <c r="P3196" s="76">
        <f t="shared" si="1187"/>
        <v>0</v>
      </c>
      <c r="Q3196" s="76">
        <f t="shared" si="1188"/>
        <v>0</v>
      </c>
      <c r="R3196" s="76">
        <f t="shared" si="1189"/>
        <v>1</v>
      </c>
      <c r="S3196" s="76">
        <f t="shared" si="1190"/>
        <v>1.0757217391304348</v>
      </c>
      <c r="T3196" s="76">
        <f t="shared" si="1191"/>
        <v>0.98713252782798966</v>
      </c>
      <c r="U3196" s="76">
        <f t="shared" si="1192"/>
        <v>1.0816000000000001</v>
      </c>
    </row>
    <row r="3197" spans="1:21" x14ac:dyDescent="0.25">
      <c r="A3197" s="71">
        <v>41</v>
      </c>
      <c r="B3197" s="72">
        <f t="shared" si="1193"/>
        <v>46874</v>
      </c>
      <c r="C3197" s="73">
        <f t="shared" si="1174"/>
        <v>46904</v>
      </c>
      <c r="D3197" s="67">
        <f t="shared" si="1175"/>
        <v>31</v>
      </c>
      <c r="E3197" s="67">
        <f t="shared" si="1176"/>
        <v>5</v>
      </c>
      <c r="F3197" s="74">
        <f t="shared" si="1177"/>
        <v>46889.5</v>
      </c>
      <c r="G3197" s="67">
        <f t="shared" si="1178"/>
        <v>24340</v>
      </c>
      <c r="H3197" s="75">
        <f t="shared" si="1179"/>
        <v>1</v>
      </c>
      <c r="I3197" s="76">
        <f t="shared" si="1180"/>
        <v>1.0816000000000001</v>
      </c>
      <c r="J3197" s="76">
        <f t="shared" si="1181"/>
        <v>1.0816000000000001</v>
      </c>
      <c r="K3197" s="67">
        <f t="shared" si="1182"/>
        <v>0</v>
      </c>
      <c r="L3197" s="67">
        <f t="shared" si="1183"/>
        <v>0</v>
      </c>
      <c r="M3197" s="77">
        <f t="shared" si="1184"/>
        <v>0</v>
      </c>
      <c r="N3197" s="76">
        <f t="shared" si="1185"/>
        <v>1.0816000000000001</v>
      </c>
      <c r="O3197" s="77">
        <f t="shared" si="1186"/>
        <v>0.91500000000000004</v>
      </c>
      <c r="P3197" s="76">
        <f t="shared" si="1187"/>
        <v>0</v>
      </c>
      <c r="Q3197" s="76">
        <f t="shared" si="1188"/>
        <v>0</v>
      </c>
      <c r="R3197" s="76">
        <f t="shared" si="1189"/>
        <v>1</v>
      </c>
      <c r="S3197" s="76">
        <f t="shared" si="1190"/>
        <v>1.0757217391304348</v>
      </c>
      <c r="T3197" s="76">
        <f t="shared" si="1191"/>
        <v>0.98749524307867942</v>
      </c>
      <c r="U3197" s="76">
        <f t="shared" si="1192"/>
        <v>1.0816000000000001</v>
      </c>
    </row>
    <row r="3198" spans="1:21" x14ac:dyDescent="0.25">
      <c r="A3198" s="71">
        <v>42</v>
      </c>
      <c r="B3198" s="72">
        <f t="shared" si="1193"/>
        <v>46905</v>
      </c>
      <c r="C3198" s="73">
        <f t="shared" si="1174"/>
        <v>46934</v>
      </c>
      <c r="D3198" s="67">
        <f t="shared" si="1175"/>
        <v>30</v>
      </c>
      <c r="E3198" s="67">
        <f t="shared" si="1176"/>
        <v>6</v>
      </c>
      <c r="F3198" s="74">
        <f t="shared" si="1177"/>
        <v>46920</v>
      </c>
      <c r="G3198" s="67">
        <f t="shared" si="1178"/>
        <v>24341</v>
      </c>
      <c r="H3198" s="75">
        <f t="shared" si="1179"/>
        <v>1</v>
      </c>
      <c r="I3198" s="76">
        <f t="shared" si="1180"/>
        <v>1.0816000000000001</v>
      </c>
      <c r="J3198" s="76">
        <f t="shared" si="1181"/>
        <v>1.0816000000000001</v>
      </c>
      <c r="K3198" s="67">
        <f t="shared" si="1182"/>
        <v>0</v>
      </c>
      <c r="L3198" s="67">
        <f t="shared" si="1183"/>
        <v>0</v>
      </c>
      <c r="M3198" s="77">
        <f t="shared" si="1184"/>
        <v>0</v>
      </c>
      <c r="N3198" s="76">
        <f t="shared" si="1185"/>
        <v>1.0816000000000001</v>
      </c>
      <c r="O3198" s="77">
        <f t="shared" si="1186"/>
        <v>0.91500000000000004</v>
      </c>
      <c r="P3198" s="76">
        <f t="shared" si="1187"/>
        <v>0</v>
      </c>
      <c r="Q3198" s="76">
        <f t="shared" si="1188"/>
        <v>0</v>
      </c>
      <c r="R3198" s="76">
        <f t="shared" si="1189"/>
        <v>1</v>
      </c>
      <c r="S3198" s="76">
        <f t="shared" si="1190"/>
        <v>1.0757217391304348</v>
      </c>
      <c r="T3198" s="76">
        <f t="shared" si="1191"/>
        <v>0.98785795832936929</v>
      </c>
      <c r="U3198" s="76">
        <f t="shared" si="1192"/>
        <v>1.0816000000000001</v>
      </c>
    </row>
    <row r="3199" spans="1:21" x14ac:dyDescent="0.25">
      <c r="A3199" s="71">
        <v>43</v>
      </c>
      <c r="B3199" s="72">
        <f t="shared" si="1193"/>
        <v>46935</v>
      </c>
      <c r="C3199" s="73">
        <f t="shared" si="1174"/>
        <v>46965</v>
      </c>
      <c r="D3199" s="67">
        <f t="shared" si="1175"/>
        <v>31</v>
      </c>
      <c r="E3199" s="67">
        <f t="shared" si="1176"/>
        <v>7</v>
      </c>
      <c r="F3199" s="74">
        <f t="shared" si="1177"/>
        <v>46950.5</v>
      </c>
      <c r="G3199" s="67">
        <f t="shared" si="1178"/>
        <v>24342</v>
      </c>
      <c r="H3199" s="75">
        <f t="shared" si="1179"/>
        <v>1</v>
      </c>
      <c r="I3199" s="76">
        <f t="shared" si="1180"/>
        <v>1.0816000000000001</v>
      </c>
      <c r="J3199" s="76">
        <f t="shared" si="1181"/>
        <v>1.0816000000000001</v>
      </c>
      <c r="K3199" s="67">
        <f t="shared" si="1182"/>
        <v>0</v>
      </c>
      <c r="L3199" s="67">
        <f t="shared" si="1183"/>
        <v>0</v>
      </c>
      <c r="M3199" s="77">
        <f t="shared" si="1184"/>
        <v>0</v>
      </c>
      <c r="N3199" s="76">
        <f t="shared" si="1185"/>
        <v>1.0816000000000001</v>
      </c>
      <c r="O3199" s="77">
        <f t="shared" si="1186"/>
        <v>0.91500000000000004</v>
      </c>
      <c r="P3199" s="76">
        <f t="shared" si="1187"/>
        <v>0</v>
      </c>
      <c r="Q3199" s="76">
        <f t="shared" si="1188"/>
        <v>0</v>
      </c>
      <c r="R3199" s="76">
        <f t="shared" si="1189"/>
        <v>0.91666666666666663</v>
      </c>
      <c r="S3199" s="76">
        <f t="shared" si="1190"/>
        <v>1.0757217391304348</v>
      </c>
      <c r="T3199" s="76">
        <f t="shared" si="1191"/>
        <v>0.98822067358005905</v>
      </c>
      <c r="U3199" s="76">
        <f t="shared" si="1192"/>
        <v>1.0816000000000001</v>
      </c>
    </row>
    <row r="3200" spans="1:21" x14ac:dyDescent="0.25">
      <c r="A3200" s="71">
        <v>44</v>
      </c>
      <c r="B3200" s="72">
        <f t="shared" si="1193"/>
        <v>46966</v>
      </c>
      <c r="C3200" s="73">
        <f t="shared" si="1174"/>
        <v>46996</v>
      </c>
      <c r="D3200" s="67">
        <f t="shared" si="1175"/>
        <v>31</v>
      </c>
      <c r="E3200" s="67">
        <f t="shared" si="1176"/>
        <v>8</v>
      </c>
      <c r="F3200" s="74">
        <f t="shared" si="1177"/>
        <v>46981.5</v>
      </c>
      <c r="G3200" s="67">
        <f t="shared" si="1178"/>
        <v>24343</v>
      </c>
      <c r="H3200" s="75">
        <f t="shared" si="1179"/>
        <v>1</v>
      </c>
      <c r="I3200" s="76">
        <f t="shared" si="1180"/>
        <v>1.0816000000000001</v>
      </c>
      <c r="J3200" s="76">
        <f t="shared" si="1181"/>
        <v>1.0816000000000001</v>
      </c>
      <c r="K3200" s="67">
        <f t="shared" si="1182"/>
        <v>0</v>
      </c>
      <c r="L3200" s="67">
        <f t="shared" si="1183"/>
        <v>0</v>
      </c>
      <c r="M3200" s="77">
        <f t="shared" si="1184"/>
        <v>0</v>
      </c>
      <c r="N3200" s="76">
        <f t="shared" si="1185"/>
        <v>1.0816000000000001</v>
      </c>
      <c r="O3200" s="77">
        <f t="shared" si="1186"/>
        <v>0.91500000000000004</v>
      </c>
      <c r="P3200" s="76">
        <f t="shared" si="1187"/>
        <v>0</v>
      </c>
      <c r="Q3200" s="76">
        <f t="shared" si="1188"/>
        <v>0</v>
      </c>
      <c r="R3200" s="76">
        <f t="shared" si="1189"/>
        <v>0.75</v>
      </c>
      <c r="S3200" s="76">
        <f t="shared" si="1190"/>
        <v>1.0757217391304348</v>
      </c>
      <c r="T3200" s="76">
        <f t="shared" si="1191"/>
        <v>0.98858933498239931</v>
      </c>
      <c r="U3200" s="76">
        <f t="shared" si="1192"/>
        <v>1.0816000000000001</v>
      </c>
    </row>
    <row r="3201" spans="1:21" x14ac:dyDescent="0.25">
      <c r="A3201" s="71">
        <v>45</v>
      </c>
      <c r="B3201" s="72">
        <f t="shared" si="1193"/>
        <v>46997</v>
      </c>
      <c r="C3201" s="73">
        <f t="shared" si="1174"/>
        <v>47026</v>
      </c>
      <c r="D3201" s="67">
        <f t="shared" si="1175"/>
        <v>30</v>
      </c>
      <c r="E3201" s="67">
        <f t="shared" si="1176"/>
        <v>9</v>
      </c>
      <c r="F3201" s="74">
        <f t="shared" si="1177"/>
        <v>47012</v>
      </c>
      <c r="G3201" s="67">
        <f t="shared" si="1178"/>
        <v>24344</v>
      </c>
      <c r="H3201" s="75">
        <f t="shared" si="1179"/>
        <v>1</v>
      </c>
      <c r="I3201" s="76">
        <f t="shared" si="1180"/>
        <v>1.0816000000000001</v>
      </c>
      <c r="J3201" s="76">
        <f t="shared" si="1181"/>
        <v>1.0816000000000001</v>
      </c>
      <c r="K3201" s="67">
        <f t="shared" si="1182"/>
        <v>0</v>
      </c>
      <c r="L3201" s="67">
        <f t="shared" si="1183"/>
        <v>0</v>
      </c>
      <c r="M3201" s="77">
        <f t="shared" si="1184"/>
        <v>0</v>
      </c>
      <c r="N3201" s="76">
        <f t="shared" si="1185"/>
        <v>1.0816000000000001</v>
      </c>
      <c r="O3201" s="77">
        <f t="shared" si="1186"/>
        <v>0.91500000000000004</v>
      </c>
      <c r="P3201" s="76">
        <f t="shared" si="1187"/>
        <v>0</v>
      </c>
      <c r="Q3201" s="76">
        <f t="shared" si="1188"/>
        <v>0</v>
      </c>
      <c r="R3201" s="76">
        <f t="shared" si="1189"/>
        <v>0.58333333333333337</v>
      </c>
      <c r="S3201" s="76">
        <f t="shared" si="1190"/>
        <v>1.0757217391304348</v>
      </c>
      <c r="T3201" s="76">
        <f t="shared" si="1191"/>
        <v>0.98895205023308907</v>
      </c>
      <c r="U3201" s="76">
        <f t="shared" si="1192"/>
        <v>1.0816000000000001</v>
      </c>
    </row>
    <row r="3202" spans="1:21" x14ac:dyDescent="0.25">
      <c r="A3202" s="71">
        <v>46</v>
      </c>
      <c r="B3202" s="72">
        <f t="shared" si="1193"/>
        <v>47027</v>
      </c>
      <c r="C3202" s="73">
        <f t="shared" si="1174"/>
        <v>47057</v>
      </c>
      <c r="D3202" s="67">
        <f t="shared" si="1175"/>
        <v>31</v>
      </c>
      <c r="E3202" s="67">
        <f t="shared" si="1176"/>
        <v>10</v>
      </c>
      <c r="F3202" s="74">
        <f t="shared" si="1177"/>
        <v>47042.5</v>
      </c>
      <c r="G3202" s="67">
        <f t="shared" si="1178"/>
        <v>24345</v>
      </c>
      <c r="H3202" s="75">
        <f t="shared" si="1179"/>
        <v>1</v>
      </c>
      <c r="I3202" s="76">
        <f t="shared" si="1180"/>
        <v>1.0816000000000001</v>
      </c>
      <c r="J3202" s="76">
        <f t="shared" si="1181"/>
        <v>1.0816000000000001</v>
      </c>
      <c r="K3202" s="67">
        <f t="shared" si="1182"/>
        <v>0</v>
      </c>
      <c r="L3202" s="67">
        <f t="shared" si="1183"/>
        <v>0</v>
      </c>
      <c r="M3202" s="77">
        <f t="shared" si="1184"/>
        <v>0</v>
      </c>
      <c r="N3202" s="76">
        <f t="shared" si="1185"/>
        <v>1.0816000000000001</v>
      </c>
      <c r="O3202" s="77">
        <f t="shared" si="1186"/>
        <v>0.91500000000000004</v>
      </c>
      <c r="P3202" s="76">
        <f t="shared" si="1187"/>
        <v>0</v>
      </c>
      <c r="Q3202" s="76">
        <f t="shared" si="1188"/>
        <v>0</v>
      </c>
      <c r="R3202" s="76">
        <f t="shared" si="1189"/>
        <v>0.41666666666666669</v>
      </c>
      <c r="S3202" s="76">
        <f t="shared" si="1190"/>
        <v>1.0757217391304348</v>
      </c>
      <c r="T3202" s="76">
        <f t="shared" si="1191"/>
        <v>1.0288873561031302</v>
      </c>
      <c r="U3202" s="76">
        <f t="shared" si="1192"/>
        <v>1.0816000000000001</v>
      </c>
    </row>
    <row r="3203" spans="1:21" x14ac:dyDescent="0.25">
      <c r="A3203" s="71">
        <v>47</v>
      </c>
      <c r="B3203" s="72">
        <f t="shared" si="1193"/>
        <v>47058</v>
      </c>
      <c r="C3203" s="73">
        <f t="shared" si="1174"/>
        <v>47087</v>
      </c>
      <c r="D3203" s="67">
        <f t="shared" si="1175"/>
        <v>30</v>
      </c>
      <c r="E3203" s="67">
        <f t="shared" si="1176"/>
        <v>11</v>
      </c>
      <c r="F3203" s="74">
        <f t="shared" si="1177"/>
        <v>47073</v>
      </c>
      <c r="G3203" s="67">
        <f t="shared" si="1178"/>
        <v>24346</v>
      </c>
      <c r="H3203" s="75">
        <f t="shared" si="1179"/>
        <v>1</v>
      </c>
      <c r="I3203" s="76">
        <f t="shared" si="1180"/>
        <v>1.0816000000000001</v>
      </c>
      <c r="J3203" s="76">
        <f t="shared" si="1181"/>
        <v>1.0816000000000001</v>
      </c>
      <c r="K3203" s="67">
        <f t="shared" si="1182"/>
        <v>0</v>
      </c>
      <c r="L3203" s="67">
        <f t="shared" si="1183"/>
        <v>0</v>
      </c>
      <c r="M3203" s="77">
        <f t="shared" si="1184"/>
        <v>0</v>
      </c>
      <c r="N3203" s="76">
        <f t="shared" si="1185"/>
        <v>1.0816000000000001</v>
      </c>
      <c r="O3203" s="77">
        <f t="shared" si="1186"/>
        <v>0.91500000000000004</v>
      </c>
      <c r="P3203" s="76">
        <f t="shared" si="1187"/>
        <v>0</v>
      </c>
      <c r="Q3203" s="76">
        <f t="shared" si="1188"/>
        <v>0</v>
      </c>
      <c r="R3203" s="76">
        <f t="shared" si="1189"/>
        <v>0.25</v>
      </c>
      <c r="S3203" s="76">
        <f t="shared" si="1190"/>
        <v>1.0757217391304348</v>
      </c>
      <c r="T3203" s="76">
        <f t="shared" si="1191"/>
        <v>1.0292645799638476</v>
      </c>
      <c r="U3203" s="76">
        <f t="shared" si="1192"/>
        <v>1.0816000000000001</v>
      </c>
    </row>
    <row r="3204" spans="1:21" x14ac:dyDescent="0.25">
      <c r="A3204" s="71">
        <v>48</v>
      </c>
      <c r="B3204" s="72">
        <f t="shared" si="1193"/>
        <v>47088</v>
      </c>
      <c r="C3204" s="73">
        <f t="shared" si="1174"/>
        <v>47118</v>
      </c>
      <c r="D3204" s="67">
        <f t="shared" si="1175"/>
        <v>31</v>
      </c>
      <c r="E3204" s="67">
        <f t="shared" si="1176"/>
        <v>12</v>
      </c>
      <c r="F3204" s="74">
        <f t="shared" si="1177"/>
        <v>47103.5</v>
      </c>
      <c r="G3204" s="67">
        <f t="shared" si="1178"/>
        <v>24347</v>
      </c>
      <c r="H3204" s="75">
        <f t="shared" si="1179"/>
        <v>1</v>
      </c>
      <c r="I3204" s="76">
        <f t="shared" si="1180"/>
        <v>1.0816000000000001</v>
      </c>
      <c r="J3204" s="76">
        <f t="shared" si="1181"/>
        <v>1.0816000000000001</v>
      </c>
      <c r="K3204" s="67">
        <f t="shared" si="1182"/>
        <v>0</v>
      </c>
      <c r="L3204" s="67">
        <f t="shared" si="1183"/>
        <v>0</v>
      </c>
      <c r="M3204" s="77">
        <f t="shared" si="1184"/>
        <v>0</v>
      </c>
      <c r="N3204" s="76">
        <f t="shared" si="1185"/>
        <v>1.0816000000000001</v>
      </c>
      <c r="O3204" s="77">
        <f t="shared" si="1186"/>
        <v>0.91500000000000004</v>
      </c>
      <c r="P3204" s="76">
        <f t="shared" si="1187"/>
        <v>0</v>
      </c>
      <c r="Q3204" s="76">
        <f t="shared" si="1188"/>
        <v>0</v>
      </c>
      <c r="R3204" s="76">
        <f t="shared" si="1189"/>
        <v>8.3333333333333329E-2</v>
      </c>
      <c r="S3204" s="76">
        <f t="shared" si="1190"/>
        <v>1.0757217391304348</v>
      </c>
      <c r="T3204" s="76">
        <f t="shared" si="1191"/>
        <v>1.0296418038245647</v>
      </c>
      <c r="U3204" s="76">
        <f t="shared" si="1192"/>
        <v>1.0816000000000001</v>
      </c>
    </row>
    <row r="3205" spans="1:21" x14ac:dyDescent="0.25">
      <c r="A3205" s="81" t="s">
        <v>1187</v>
      </c>
      <c r="B3205" s="53">
        <f>EXP(SUMPRODUCT((rl_key=$A$3154)*(rl_cons="Y")*rl_ln1p))</f>
        <v>1.04</v>
      </c>
      <c r="C3205" s="53">
        <f>SUMPRODUCT($H$3157:$H$3204,$P$3157:$P$3204,$U$3157:$U$3204)/SUMPRODUCT($H$3157:$H$3204,$P$3157:$P$3204)</f>
        <v>1.0024999999999999</v>
      </c>
      <c r="D3205" s="53">
        <f>SUMPRODUCT($H$3157:$H$3204,$Q$3157:$Q$3204,$U$3157:$U$3204)/SUMPRODUCT($H$3157:$H$3204,$Q$3157:$Q$3204)</f>
        <v>1.0447222222222221</v>
      </c>
      <c r="E3205" s="53">
        <f>SUMPRODUCT($H$3157:$H$3204,$R$3157:$R$3204,$U$3157:$U$3204)/SUMPRODUCT($H$3157:$H$3204,$R$3157:$R$3204)</f>
        <v>1.0813111111111111</v>
      </c>
      <c r="F3205" s="172">
        <f>SUMPRODUCT($H$3157:$H$3204,$Q$3157:$Q$3204,$O$3157:$O$3204)/SUMPRODUCT($H$3157:$H$3204,$Q$3157:$Q$3204)</f>
        <v>0.91199626185266247</v>
      </c>
      <c r="G3205" s="172">
        <f>SUMPRODUCT($H$3157:$H$3204,$R$3157:$R$3204,$O$3157:$O$3204)/SUMPRODUCT($H$3157:$H$3204,$R$3157:$R$3204)</f>
        <v>0.91483011184050556</v>
      </c>
    </row>
    <row r="3208" spans="1:21" x14ac:dyDescent="0.25">
      <c r="A3208" s="81" t="str">
        <f>INDEX(lr_key,59)</f>
        <v>BU-C|NY</v>
      </c>
      <c r="B3208" s="81" t="str">
        <f>INDEX(lr_state,59)</f>
        <v>NY</v>
      </c>
      <c r="C3208" s="55">
        <f>nr_TermMonths</f>
        <v>6</v>
      </c>
      <c r="D3208" s="55">
        <f>IF(COUNTIF(se_state,$B3208)=0,0,MATCH($B3208,se_state,0))</f>
        <v>0</v>
      </c>
      <c r="E3208" s="57">
        <f>IF($D3208=0,0,INDEX(se_sum,$D3208))</f>
        <v>0</v>
      </c>
      <c r="F3208" s="172">
        <f>IF(N(INDEX(lr_mind,59))=0,1,INDEX(lr_mind,59))</f>
        <v>0.92</v>
      </c>
      <c r="G3208" s="172">
        <f>IF(N(INDEX(lr_m0,59))=0,1,INDEX(lr_m0,59))</f>
        <v>0.91</v>
      </c>
      <c r="H3208" s="54">
        <f>IF(N(INDEX(lr_m0asof,59))=0,DATE(nr_PlanYear-1,10,1),INDEX(lr_m0asof,59))</f>
        <v>46295</v>
      </c>
      <c r="I3208" s="172">
        <f>IF(N(INDEX(lr_m1,59))=0,1,INDEX(lr_m1,59))</f>
        <v>0.93</v>
      </c>
      <c r="J3208" s="172">
        <f>INDEX(lr_mprior,59)</f>
        <v>0</v>
      </c>
      <c r="K3208" s="172">
        <f>INDEX(lr_m2,59)</f>
        <v>0</v>
      </c>
      <c r="L3208" s="81" t="b">
        <f>NOT(ISBLANK(INDEX(lr_netp,59)))</f>
        <v>0</v>
      </c>
      <c r="M3208" s="52">
        <f>N(INDEX(lr_netp,59))</f>
        <v>0</v>
      </c>
      <c r="N3208" s="52">
        <f>IF(ISBLANK(INDEX(lr_netp1,59)),$M$3208,N(INDEX(lr_netp1,59)))</f>
        <v>0</v>
      </c>
      <c r="O3208" s="55">
        <f>IF(AND(nr_ModAdjMaster="ON",INDEX(lr_modadj,59)="ON"),1,0)</f>
        <v>1</v>
      </c>
    </row>
    <row r="3209" spans="1:21" x14ac:dyDescent="0.25">
      <c r="A3209" s="81">
        <f>EDATE($H$3208,-12)+1</f>
        <v>45931</v>
      </c>
      <c r="B3209" s="81">
        <f>$H$3208+1</f>
        <v>46296</v>
      </c>
      <c r="C3209" s="81">
        <f>DATE(nr_PlanYear,12,31)+1</f>
        <v>46753</v>
      </c>
      <c r="D3209" s="81">
        <f>DATE(nr_PlanYear+1,12,31)+1</f>
        <v>47119</v>
      </c>
      <c r="E3209" s="81">
        <f>IF(N($J$3208)=0,$F$3209-($G$3209-$F$3209)/($C$3209-$B$3209)*($B$3209-$A$3209),$J$3208)</f>
        <v>0.89402625820568926</v>
      </c>
      <c r="F3209" s="81">
        <f>$G$3208</f>
        <v>0.91</v>
      </c>
      <c r="G3209" s="81">
        <f>$I$3208</f>
        <v>0.93</v>
      </c>
      <c r="H3209" s="81">
        <f>IF(N($K$3208)=0,$I$3208,$K$3208)</f>
        <v>0.93</v>
      </c>
      <c r="I3209" s="81">
        <f>($F$3209-$E$3209)/($B$3209-$A$3209)</f>
        <v>4.3763676148796628E-5</v>
      </c>
      <c r="J3209" s="81">
        <f>($G$3209-$F$3209)/($C$3209-$B$3209)</f>
        <v>4.376367614879654E-5</v>
      </c>
      <c r="K3209" s="81">
        <f>($H$3209-$G$3209)/($D$3209-$C$3209)</f>
        <v>0</v>
      </c>
    </row>
    <row r="3210" spans="1:21" ht="36" x14ac:dyDescent="0.25">
      <c r="A3210" s="50" t="s">
        <v>211</v>
      </c>
      <c r="B3210" s="50" t="s">
        <v>212</v>
      </c>
      <c r="C3210" s="50" t="s">
        <v>213</v>
      </c>
      <c r="D3210" s="50" t="s">
        <v>214</v>
      </c>
      <c r="E3210" s="50" t="s">
        <v>215</v>
      </c>
      <c r="F3210" s="50" t="s">
        <v>216</v>
      </c>
      <c r="G3210" s="50" t="s">
        <v>217</v>
      </c>
      <c r="H3210" s="50" t="s">
        <v>218</v>
      </c>
      <c r="I3210" s="50" t="s">
        <v>219</v>
      </c>
      <c r="J3210" s="50" t="s">
        <v>220</v>
      </c>
      <c r="K3210" s="50" t="s">
        <v>221</v>
      </c>
      <c r="L3210" s="50" t="s">
        <v>222</v>
      </c>
      <c r="M3210" s="50" t="s">
        <v>223</v>
      </c>
      <c r="N3210" s="50" t="s">
        <v>224</v>
      </c>
      <c r="O3210" s="50" t="s">
        <v>225</v>
      </c>
      <c r="P3210" s="50" t="s">
        <v>226</v>
      </c>
      <c r="Q3210" s="50" t="s">
        <v>227</v>
      </c>
      <c r="R3210" s="50" t="s">
        <v>228</v>
      </c>
      <c r="S3210" s="50" t="s">
        <v>229</v>
      </c>
      <c r="T3210" s="50" t="s">
        <v>230</v>
      </c>
      <c r="U3210" s="50" t="s">
        <v>231</v>
      </c>
    </row>
    <row r="3211" spans="1:21" x14ac:dyDescent="0.25">
      <c r="A3211" s="71">
        <v>1</v>
      </c>
      <c r="B3211" s="72">
        <f>DATE(nr_PlanYear-2,1,1)</f>
        <v>45658</v>
      </c>
      <c r="C3211" s="73">
        <f t="shared" ref="C3211:C3258" si="1194">EOMONTH($B3211,0)</f>
        <v>45688</v>
      </c>
      <c r="D3211" s="67">
        <f t="shared" ref="D3211:D3258" si="1195">$C3211-$B3211+1</f>
        <v>31</v>
      </c>
      <c r="E3211" s="67">
        <f t="shared" ref="E3211:E3258" si="1196">MONTH($B3211)</f>
        <v>1</v>
      </c>
      <c r="F3211" s="74">
        <f t="shared" ref="F3211:F3258" si="1197">($B3211+$C3211+1)/2</f>
        <v>45673.5</v>
      </c>
      <c r="G3211" s="67">
        <f t="shared" ref="G3211:G3258" si="1198">YEAR($B3211)*12+MONTH($B3211)-1</f>
        <v>24300</v>
      </c>
      <c r="H3211" s="75">
        <f t="shared" ref="H3211:H3258" si="1199">IF(OR(nr_SeasonOn="OFF",$D$3208=0,$E$3208=0),1,12*INDEX(se_block,$D$3208,$E3211)/$E$3208)</f>
        <v>1</v>
      </c>
      <c r="I3211" s="76">
        <f t="shared" ref="I3211:I3258" si="1200">EXP(SUMPRODUCT((rl_eff&lt;$B3211)*(rl_key=$A$3208)*rl_ln1p))</f>
        <v>1</v>
      </c>
      <c r="J3211" s="76">
        <f t="shared" ref="J3211:J3258" si="1201">EXP(SUMPRODUCT((rl_eff&lt;=$C3211)*(rl_key=$A$3208)*rl_ln1p))</f>
        <v>1</v>
      </c>
      <c r="K3211" s="67">
        <f t="shared" ref="K3211:K3258" si="1202">COUNTIFS(rl_key,$A$3208,rl_eff,"&gt;="&amp;$B3211,rl_eff,"&lt;="&amp;$C3211)</f>
        <v>0</v>
      </c>
      <c r="L3211" s="67">
        <f t="shared" ref="L3211:L3258" si="1203">SUMIFS(rl_daysafter,rl_key,$A$3208,rl_effmonth,$B3211,rl_first,1)</f>
        <v>0</v>
      </c>
      <c r="M3211" s="77">
        <f t="shared" ref="M3211:M3258" si="1204">IF($K3211=0,0,MIN(1,$L3211/$D3211))</f>
        <v>0</v>
      </c>
      <c r="N3211" s="76">
        <f t="shared" ref="N3211:N3258" si="1205">IF($K3211=0,$J3211,(1-$M3211)*$I3211+$M3211*$J3211)</f>
        <v>1</v>
      </c>
      <c r="O3211" s="77">
        <f t="shared" ref="O3211:O3258" si="1206">IF($F3211&lt;$B$3209,$E$3209+$I$3209*($F3211-$A$3209),IF($F3211&lt;$C$3209,$F$3209+$J$3209*($F3211-$B$3209),$G$3209+$K$3209*($F3211-$C$3209)))</f>
        <v>0.88275711159737413</v>
      </c>
      <c r="P3211" s="76">
        <f t="shared" ref="P3211:P3258" si="1207">MIN(1,MAX(0,(nr_MEndPm1-$G3211+0.5)/$C$3208))-MIN(1,MAX(0,(nr_MStartPm1-1-$G3211+0.5)/$C$3208))</f>
        <v>0</v>
      </c>
      <c r="Q3211" s="76">
        <f t="shared" ref="Q3211:Q3258" si="1208">MIN(1,MAX(0,(nr_MEndP-$G3211+0.5)/$C$3208))-MIN(1,MAX(0,(nr_MStartP-1-$G3211+0.5)/$C$3208))</f>
        <v>0</v>
      </c>
      <c r="R3211" s="76">
        <f t="shared" ref="R3211:R3258" si="1209">MIN(1,MAX(0,(nr_MEndP1-$G3211+0.5)/$C$3208))-MIN(1,MAX(0,(nr_MStartP1-1-$G3211+0.5)/$C$3208))</f>
        <v>0</v>
      </c>
      <c r="S3211" s="76">
        <f t="shared" ref="S3211:S3258" si="1210">$N3211*IF($O$3208=1,$O3211/$F$3208,1)</f>
        <v>0.95951859956236318</v>
      </c>
      <c r="T3211" s="76">
        <f t="shared" ref="T3211:T3258" si="1211">IF($G3211&lt;nr_MStartP,$S3211,$T3199*(1+IF($G3211&lt;nr_MStartP1,$M$3208,$N$3208)))</f>
        <v>0.95951859956236318</v>
      </c>
      <c r="U3211" s="76">
        <f t="shared" ref="U3211:U3258" si="1212">IF($L$3208,$T3211,$N3211)</f>
        <v>1</v>
      </c>
    </row>
    <row r="3212" spans="1:21" x14ac:dyDescent="0.25">
      <c r="A3212" s="71">
        <v>2</v>
      </c>
      <c r="B3212" s="72">
        <f t="shared" ref="B3212:B3258" si="1213">EDATE($B3211,1)</f>
        <v>45689</v>
      </c>
      <c r="C3212" s="73">
        <f t="shared" si="1194"/>
        <v>45716</v>
      </c>
      <c r="D3212" s="67">
        <f t="shared" si="1195"/>
        <v>28</v>
      </c>
      <c r="E3212" s="67">
        <f t="shared" si="1196"/>
        <v>2</v>
      </c>
      <c r="F3212" s="74">
        <f t="shared" si="1197"/>
        <v>45703</v>
      </c>
      <c r="G3212" s="67">
        <f t="shared" si="1198"/>
        <v>24301</v>
      </c>
      <c r="H3212" s="75">
        <f t="shared" si="1199"/>
        <v>1</v>
      </c>
      <c r="I3212" s="76">
        <f t="shared" si="1200"/>
        <v>1</v>
      </c>
      <c r="J3212" s="76">
        <f t="shared" si="1201"/>
        <v>1</v>
      </c>
      <c r="K3212" s="67">
        <f t="shared" si="1202"/>
        <v>0</v>
      </c>
      <c r="L3212" s="67">
        <f t="shared" si="1203"/>
        <v>0</v>
      </c>
      <c r="M3212" s="77">
        <f t="shared" si="1204"/>
        <v>0</v>
      </c>
      <c r="N3212" s="76">
        <f t="shared" si="1205"/>
        <v>1</v>
      </c>
      <c r="O3212" s="77">
        <f t="shared" si="1206"/>
        <v>0.88404814004376364</v>
      </c>
      <c r="P3212" s="76">
        <f t="shared" si="1207"/>
        <v>0</v>
      </c>
      <c r="Q3212" s="76">
        <f t="shared" si="1208"/>
        <v>0</v>
      </c>
      <c r="R3212" s="76">
        <f t="shared" si="1209"/>
        <v>0</v>
      </c>
      <c r="S3212" s="76">
        <f t="shared" si="1210"/>
        <v>0.96092189135191697</v>
      </c>
      <c r="T3212" s="76">
        <f t="shared" si="1211"/>
        <v>0.96092189135191697</v>
      </c>
      <c r="U3212" s="76">
        <f t="shared" si="1212"/>
        <v>1</v>
      </c>
    </row>
    <row r="3213" spans="1:21" x14ac:dyDescent="0.25">
      <c r="A3213" s="71">
        <v>3</v>
      </c>
      <c r="B3213" s="72">
        <f t="shared" si="1213"/>
        <v>45717</v>
      </c>
      <c r="C3213" s="73">
        <f t="shared" si="1194"/>
        <v>45747</v>
      </c>
      <c r="D3213" s="67">
        <f t="shared" si="1195"/>
        <v>31</v>
      </c>
      <c r="E3213" s="67">
        <f t="shared" si="1196"/>
        <v>3</v>
      </c>
      <c r="F3213" s="74">
        <f t="shared" si="1197"/>
        <v>45732.5</v>
      </c>
      <c r="G3213" s="67">
        <f t="shared" si="1198"/>
        <v>24302</v>
      </c>
      <c r="H3213" s="75">
        <f t="shared" si="1199"/>
        <v>1</v>
      </c>
      <c r="I3213" s="76">
        <f t="shared" si="1200"/>
        <v>1</v>
      </c>
      <c r="J3213" s="76">
        <f t="shared" si="1201"/>
        <v>1</v>
      </c>
      <c r="K3213" s="67">
        <f t="shared" si="1202"/>
        <v>0</v>
      </c>
      <c r="L3213" s="67">
        <f t="shared" si="1203"/>
        <v>0</v>
      </c>
      <c r="M3213" s="77">
        <f t="shared" si="1204"/>
        <v>0</v>
      </c>
      <c r="N3213" s="76">
        <f t="shared" si="1205"/>
        <v>1</v>
      </c>
      <c r="O3213" s="77">
        <f t="shared" si="1206"/>
        <v>0.88533916849015315</v>
      </c>
      <c r="P3213" s="76">
        <f t="shared" si="1207"/>
        <v>0</v>
      </c>
      <c r="Q3213" s="76">
        <f t="shared" si="1208"/>
        <v>0</v>
      </c>
      <c r="R3213" s="76">
        <f t="shared" si="1209"/>
        <v>0</v>
      </c>
      <c r="S3213" s="76">
        <f t="shared" si="1210"/>
        <v>0.96232518314147075</v>
      </c>
      <c r="T3213" s="76">
        <f t="shared" si="1211"/>
        <v>0.96232518314147075</v>
      </c>
      <c r="U3213" s="76">
        <f t="shared" si="1212"/>
        <v>1</v>
      </c>
    </row>
    <row r="3214" spans="1:21" x14ac:dyDescent="0.25">
      <c r="A3214" s="71">
        <v>4</v>
      </c>
      <c r="B3214" s="72">
        <f t="shared" si="1213"/>
        <v>45748</v>
      </c>
      <c r="C3214" s="73">
        <f t="shared" si="1194"/>
        <v>45777</v>
      </c>
      <c r="D3214" s="67">
        <f t="shared" si="1195"/>
        <v>30</v>
      </c>
      <c r="E3214" s="67">
        <f t="shared" si="1196"/>
        <v>4</v>
      </c>
      <c r="F3214" s="74">
        <f t="shared" si="1197"/>
        <v>45763</v>
      </c>
      <c r="G3214" s="67">
        <f t="shared" si="1198"/>
        <v>24303</v>
      </c>
      <c r="H3214" s="75">
        <f t="shared" si="1199"/>
        <v>1</v>
      </c>
      <c r="I3214" s="76">
        <f t="shared" si="1200"/>
        <v>1</v>
      </c>
      <c r="J3214" s="76">
        <f t="shared" si="1201"/>
        <v>1</v>
      </c>
      <c r="K3214" s="67">
        <f t="shared" si="1202"/>
        <v>0</v>
      </c>
      <c r="L3214" s="67">
        <f t="shared" si="1203"/>
        <v>0</v>
      </c>
      <c r="M3214" s="77">
        <f t="shared" si="1204"/>
        <v>0</v>
      </c>
      <c r="N3214" s="76">
        <f t="shared" si="1205"/>
        <v>1</v>
      </c>
      <c r="O3214" s="77">
        <f t="shared" si="1206"/>
        <v>0.88667396061269144</v>
      </c>
      <c r="P3214" s="76">
        <f t="shared" si="1207"/>
        <v>0</v>
      </c>
      <c r="Q3214" s="76">
        <f t="shared" si="1208"/>
        <v>0</v>
      </c>
      <c r="R3214" s="76">
        <f t="shared" si="1209"/>
        <v>0</v>
      </c>
      <c r="S3214" s="76">
        <f t="shared" si="1210"/>
        <v>0.96377604414422979</v>
      </c>
      <c r="T3214" s="76">
        <f t="shared" si="1211"/>
        <v>0.96377604414422979</v>
      </c>
      <c r="U3214" s="76">
        <f t="shared" si="1212"/>
        <v>1</v>
      </c>
    </row>
    <row r="3215" spans="1:21" x14ac:dyDescent="0.25">
      <c r="A3215" s="71">
        <v>5</v>
      </c>
      <c r="B3215" s="72">
        <f t="shared" si="1213"/>
        <v>45778</v>
      </c>
      <c r="C3215" s="73">
        <f t="shared" si="1194"/>
        <v>45808</v>
      </c>
      <c r="D3215" s="67">
        <f t="shared" si="1195"/>
        <v>31</v>
      </c>
      <c r="E3215" s="67">
        <f t="shared" si="1196"/>
        <v>5</v>
      </c>
      <c r="F3215" s="74">
        <f t="shared" si="1197"/>
        <v>45793.5</v>
      </c>
      <c r="G3215" s="67">
        <f t="shared" si="1198"/>
        <v>24304</v>
      </c>
      <c r="H3215" s="75">
        <f t="shared" si="1199"/>
        <v>1</v>
      </c>
      <c r="I3215" s="76">
        <f t="shared" si="1200"/>
        <v>1</v>
      </c>
      <c r="J3215" s="76">
        <f t="shared" si="1201"/>
        <v>1</v>
      </c>
      <c r="K3215" s="67">
        <f t="shared" si="1202"/>
        <v>0</v>
      </c>
      <c r="L3215" s="67">
        <f t="shared" si="1203"/>
        <v>0</v>
      </c>
      <c r="M3215" s="77">
        <f t="shared" si="1204"/>
        <v>0</v>
      </c>
      <c r="N3215" s="76">
        <f t="shared" si="1205"/>
        <v>1</v>
      </c>
      <c r="O3215" s="77">
        <f t="shared" si="1206"/>
        <v>0.88800875273522972</v>
      </c>
      <c r="P3215" s="76">
        <f t="shared" si="1207"/>
        <v>0</v>
      </c>
      <c r="Q3215" s="76">
        <f t="shared" si="1208"/>
        <v>0</v>
      </c>
      <c r="R3215" s="76">
        <f t="shared" si="1209"/>
        <v>0</v>
      </c>
      <c r="S3215" s="76">
        <f t="shared" si="1210"/>
        <v>0.96522690514698883</v>
      </c>
      <c r="T3215" s="76">
        <f t="shared" si="1211"/>
        <v>0.96522690514698883</v>
      </c>
      <c r="U3215" s="76">
        <f t="shared" si="1212"/>
        <v>1</v>
      </c>
    </row>
    <row r="3216" spans="1:21" x14ac:dyDescent="0.25">
      <c r="A3216" s="71">
        <v>6</v>
      </c>
      <c r="B3216" s="72">
        <f t="shared" si="1213"/>
        <v>45809</v>
      </c>
      <c r="C3216" s="73">
        <f t="shared" si="1194"/>
        <v>45838</v>
      </c>
      <c r="D3216" s="67">
        <f t="shared" si="1195"/>
        <v>30</v>
      </c>
      <c r="E3216" s="67">
        <f t="shared" si="1196"/>
        <v>6</v>
      </c>
      <c r="F3216" s="74">
        <f t="shared" si="1197"/>
        <v>45824</v>
      </c>
      <c r="G3216" s="67">
        <f t="shared" si="1198"/>
        <v>24305</v>
      </c>
      <c r="H3216" s="75">
        <f t="shared" si="1199"/>
        <v>1</v>
      </c>
      <c r="I3216" s="76">
        <f t="shared" si="1200"/>
        <v>1</v>
      </c>
      <c r="J3216" s="76">
        <f t="shared" si="1201"/>
        <v>1</v>
      </c>
      <c r="K3216" s="67">
        <f t="shared" si="1202"/>
        <v>0</v>
      </c>
      <c r="L3216" s="67">
        <f t="shared" si="1203"/>
        <v>0</v>
      </c>
      <c r="M3216" s="77">
        <f t="shared" si="1204"/>
        <v>0</v>
      </c>
      <c r="N3216" s="76">
        <f t="shared" si="1205"/>
        <v>1</v>
      </c>
      <c r="O3216" s="77">
        <f t="shared" si="1206"/>
        <v>0.88934354485776801</v>
      </c>
      <c r="P3216" s="76">
        <f t="shared" si="1207"/>
        <v>0</v>
      </c>
      <c r="Q3216" s="76">
        <f t="shared" si="1208"/>
        <v>0</v>
      </c>
      <c r="R3216" s="76">
        <f t="shared" si="1209"/>
        <v>0</v>
      </c>
      <c r="S3216" s="76">
        <f t="shared" si="1210"/>
        <v>0.96667776614974776</v>
      </c>
      <c r="T3216" s="76">
        <f t="shared" si="1211"/>
        <v>0.96667776614974776</v>
      </c>
      <c r="U3216" s="76">
        <f t="shared" si="1212"/>
        <v>1</v>
      </c>
    </row>
    <row r="3217" spans="1:21" x14ac:dyDescent="0.25">
      <c r="A3217" s="71">
        <v>7</v>
      </c>
      <c r="B3217" s="72">
        <f t="shared" si="1213"/>
        <v>45839</v>
      </c>
      <c r="C3217" s="73">
        <f t="shared" si="1194"/>
        <v>45869</v>
      </c>
      <c r="D3217" s="67">
        <f t="shared" si="1195"/>
        <v>31</v>
      </c>
      <c r="E3217" s="67">
        <f t="shared" si="1196"/>
        <v>7</v>
      </c>
      <c r="F3217" s="74">
        <f t="shared" si="1197"/>
        <v>45854.5</v>
      </c>
      <c r="G3217" s="67">
        <f t="shared" si="1198"/>
        <v>24306</v>
      </c>
      <c r="H3217" s="75">
        <f t="shared" si="1199"/>
        <v>1</v>
      </c>
      <c r="I3217" s="76">
        <f t="shared" si="1200"/>
        <v>1</v>
      </c>
      <c r="J3217" s="76">
        <f t="shared" si="1201"/>
        <v>1</v>
      </c>
      <c r="K3217" s="67">
        <f t="shared" si="1202"/>
        <v>0</v>
      </c>
      <c r="L3217" s="67">
        <f t="shared" si="1203"/>
        <v>0</v>
      </c>
      <c r="M3217" s="77">
        <f t="shared" si="1204"/>
        <v>0</v>
      </c>
      <c r="N3217" s="76">
        <f t="shared" si="1205"/>
        <v>1</v>
      </c>
      <c r="O3217" s="77">
        <f t="shared" si="1206"/>
        <v>0.8906783369803063</v>
      </c>
      <c r="P3217" s="76">
        <f t="shared" si="1207"/>
        <v>8.333333333333337E-2</v>
      </c>
      <c r="Q3217" s="76">
        <f t="shared" si="1208"/>
        <v>0</v>
      </c>
      <c r="R3217" s="76">
        <f t="shared" si="1209"/>
        <v>0</v>
      </c>
      <c r="S3217" s="76">
        <f t="shared" si="1210"/>
        <v>0.9681286271525068</v>
      </c>
      <c r="T3217" s="76">
        <f t="shared" si="1211"/>
        <v>0.9681286271525068</v>
      </c>
      <c r="U3217" s="76">
        <f t="shared" si="1212"/>
        <v>1</v>
      </c>
    </row>
    <row r="3218" spans="1:21" x14ac:dyDescent="0.25">
      <c r="A3218" s="71">
        <v>8</v>
      </c>
      <c r="B3218" s="72">
        <f t="shared" si="1213"/>
        <v>45870</v>
      </c>
      <c r="C3218" s="73">
        <f t="shared" si="1194"/>
        <v>45900</v>
      </c>
      <c r="D3218" s="67">
        <f t="shared" si="1195"/>
        <v>31</v>
      </c>
      <c r="E3218" s="67">
        <f t="shared" si="1196"/>
        <v>8</v>
      </c>
      <c r="F3218" s="74">
        <f t="shared" si="1197"/>
        <v>45885.5</v>
      </c>
      <c r="G3218" s="67">
        <f t="shared" si="1198"/>
        <v>24307</v>
      </c>
      <c r="H3218" s="75">
        <f t="shared" si="1199"/>
        <v>1</v>
      </c>
      <c r="I3218" s="76">
        <f t="shared" si="1200"/>
        <v>1</v>
      </c>
      <c r="J3218" s="76">
        <f t="shared" si="1201"/>
        <v>1</v>
      </c>
      <c r="K3218" s="67">
        <f t="shared" si="1202"/>
        <v>0</v>
      </c>
      <c r="L3218" s="67">
        <f t="shared" si="1203"/>
        <v>0</v>
      </c>
      <c r="M3218" s="77">
        <f t="shared" si="1204"/>
        <v>0</v>
      </c>
      <c r="N3218" s="76">
        <f t="shared" si="1205"/>
        <v>1</v>
      </c>
      <c r="O3218" s="77">
        <f t="shared" si="1206"/>
        <v>0.89203501094091897</v>
      </c>
      <c r="P3218" s="76">
        <f t="shared" si="1207"/>
        <v>0.25</v>
      </c>
      <c r="Q3218" s="76">
        <f t="shared" si="1208"/>
        <v>0</v>
      </c>
      <c r="R3218" s="76">
        <f t="shared" si="1209"/>
        <v>0</v>
      </c>
      <c r="S3218" s="76">
        <f t="shared" si="1210"/>
        <v>0.96960327276186842</v>
      </c>
      <c r="T3218" s="76">
        <f t="shared" si="1211"/>
        <v>0.96960327276186842</v>
      </c>
      <c r="U3218" s="76">
        <f t="shared" si="1212"/>
        <v>1</v>
      </c>
    </row>
    <row r="3219" spans="1:21" x14ac:dyDescent="0.25">
      <c r="A3219" s="71">
        <v>9</v>
      </c>
      <c r="B3219" s="72">
        <f t="shared" si="1213"/>
        <v>45901</v>
      </c>
      <c r="C3219" s="73">
        <f t="shared" si="1194"/>
        <v>45930</v>
      </c>
      <c r="D3219" s="67">
        <f t="shared" si="1195"/>
        <v>30</v>
      </c>
      <c r="E3219" s="67">
        <f t="shared" si="1196"/>
        <v>9</v>
      </c>
      <c r="F3219" s="74">
        <f t="shared" si="1197"/>
        <v>45916</v>
      </c>
      <c r="G3219" s="67">
        <f t="shared" si="1198"/>
        <v>24308</v>
      </c>
      <c r="H3219" s="75">
        <f t="shared" si="1199"/>
        <v>1</v>
      </c>
      <c r="I3219" s="76">
        <f t="shared" si="1200"/>
        <v>1</v>
      </c>
      <c r="J3219" s="76">
        <f t="shared" si="1201"/>
        <v>1</v>
      </c>
      <c r="K3219" s="67">
        <f t="shared" si="1202"/>
        <v>0</v>
      </c>
      <c r="L3219" s="67">
        <f t="shared" si="1203"/>
        <v>0</v>
      </c>
      <c r="M3219" s="77">
        <f t="shared" si="1204"/>
        <v>0</v>
      </c>
      <c r="N3219" s="76">
        <f t="shared" si="1205"/>
        <v>1</v>
      </c>
      <c r="O3219" s="77">
        <f t="shared" si="1206"/>
        <v>0.89336980306345726</v>
      </c>
      <c r="P3219" s="76">
        <f t="shared" si="1207"/>
        <v>0.41666666666666663</v>
      </c>
      <c r="Q3219" s="76">
        <f t="shared" si="1208"/>
        <v>0</v>
      </c>
      <c r="R3219" s="76">
        <f t="shared" si="1209"/>
        <v>0</v>
      </c>
      <c r="S3219" s="76">
        <f t="shared" si="1210"/>
        <v>0.97105413376462746</v>
      </c>
      <c r="T3219" s="76">
        <f t="shared" si="1211"/>
        <v>0.97105413376462746</v>
      </c>
      <c r="U3219" s="76">
        <f t="shared" si="1212"/>
        <v>1</v>
      </c>
    </row>
    <row r="3220" spans="1:21" x14ac:dyDescent="0.25">
      <c r="A3220" s="71">
        <v>10</v>
      </c>
      <c r="B3220" s="72">
        <f t="shared" si="1213"/>
        <v>45931</v>
      </c>
      <c r="C3220" s="73">
        <f t="shared" si="1194"/>
        <v>45961</v>
      </c>
      <c r="D3220" s="67">
        <f t="shared" si="1195"/>
        <v>31</v>
      </c>
      <c r="E3220" s="67">
        <f t="shared" si="1196"/>
        <v>10</v>
      </c>
      <c r="F3220" s="74">
        <f t="shared" si="1197"/>
        <v>45946.5</v>
      </c>
      <c r="G3220" s="67">
        <f t="shared" si="1198"/>
        <v>24309</v>
      </c>
      <c r="H3220" s="75">
        <f t="shared" si="1199"/>
        <v>1</v>
      </c>
      <c r="I3220" s="76">
        <f t="shared" si="1200"/>
        <v>1</v>
      </c>
      <c r="J3220" s="76">
        <f t="shared" si="1201"/>
        <v>1</v>
      </c>
      <c r="K3220" s="67">
        <f t="shared" si="1202"/>
        <v>0</v>
      </c>
      <c r="L3220" s="67">
        <f t="shared" si="1203"/>
        <v>0</v>
      </c>
      <c r="M3220" s="77">
        <f t="shared" si="1204"/>
        <v>0</v>
      </c>
      <c r="N3220" s="76">
        <f t="shared" si="1205"/>
        <v>1</v>
      </c>
      <c r="O3220" s="77">
        <f t="shared" si="1206"/>
        <v>0.89470459518599565</v>
      </c>
      <c r="P3220" s="76">
        <f t="shared" si="1207"/>
        <v>0.58333333333333326</v>
      </c>
      <c r="Q3220" s="76">
        <f t="shared" si="1208"/>
        <v>0</v>
      </c>
      <c r="R3220" s="76">
        <f t="shared" si="1209"/>
        <v>0</v>
      </c>
      <c r="S3220" s="76">
        <f t="shared" si="1210"/>
        <v>0.9725049947673865</v>
      </c>
      <c r="T3220" s="76">
        <f t="shared" si="1211"/>
        <v>0.9725049947673865</v>
      </c>
      <c r="U3220" s="76">
        <f t="shared" si="1212"/>
        <v>1</v>
      </c>
    </row>
    <row r="3221" spans="1:21" x14ac:dyDescent="0.25">
      <c r="A3221" s="71">
        <v>11</v>
      </c>
      <c r="B3221" s="72">
        <f t="shared" si="1213"/>
        <v>45962</v>
      </c>
      <c r="C3221" s="73">
        <f t="shared" si="1194"/>
        <v>45991</v>
      </c>
      <c r="D3221" s="67">
        <f t="shared" si="1195"/>
        <v>30</v>
      </c>
      <c r="E3221" s="67">
        <f t="shared" si="1196"/>
        <v>11</v>
      </c>
      <c r="F3221" s="74">
        <f t="shared" si="1197"/>
        <v>45977</v>
      </c>
      <c r="G3221" s="67">
        <f t="shared" si="1198"/>
        <v>24310</v>
      </c>
      <c r="H3221" s="75">
        <f t="shared" si="1199"/>
        <v>1</v>
      </c>
      <c r="I3221" s="76">
        <f t="shared" si="1200"/>
        <v>1</v>
      </c>
      <c r="J3221" s="76">
        <f t="shared" si="1201"/>
        <v>1</v>
      </c>
      <c r="K3221" s="67">
        <f t="shared" si="1202"/>
        <v>0</v>
      </c>
      <c r="L3221" s="67">
        <f t="shared" si="1203"/>
        <v>0</v>
      </c>
      <c r="M3221" s="77">
        <f t="shared" si="1204"/>
        <v>0</v>
      </c>
      <c r="N3221" s="76">
        <f t="shared" si="1205"/>
        <v>1</v>
      </c>
      <c r="O3221" s="77">
        <f t="shared" si="1206"/>
        <v>0.89603938730853394</v>
      </c>
      <c r="P3221" s="76">
        <f t="shared" si="1207"/>
        <v>0.75</v>
      </c>
      <c r="Q3221" s="76">
        <f t="shared" si="1208"/>
        <v>0</v>
      </c>
      <c r="R3221" s="76">
        <f t="shared" si="1209"/>
        <v>0</v>
      </c>
      <c r="S3221" s="76">
        <f t="shared" si="1210"/>
        <v>0.97395585577014554</v>
      </c>
      <c r="T3221" s="76">
        <f t="shared" si="1211"/>
        <v>0.97395585577014554</v>
      </c>
      <c r="U3221" s="76">
        <f t="shared" si="1212"/>
        <v>1</v>
      </c>
    </row>
    <row r="3222" spans="1:21" x14ac:dyDescent="0.25">
      <c r="A3222" s="71">
        <v>12</v>
      </c>
      <c r="B3222" s="72">
        <f t="shared" si="1213"/>
        <v>45992</v>
      </c>
      <c r="C3222" s="73">
        <f t="shared" si="1194"/>
        <v>46022</v>
      </c>
      <c r="D3222" s="67">
        <f t="shared" si="1195"/>
        <v>31</v>
      </c>
      <c r="E3222" s="67">
        <f t="shared" si="1196"/>
        <v>12</v>
      </c>
      <c r="F3222" s="74">
        <f t="shared" si="1197"/>
        <v>46007.5</v>
      </c>
      <c r="G3222" s="67">
        <f t="shared" si="1198"/>
        <v>24311</v>
      </c>
      <c r="H3222" s="75">
        <f t="shared" si="1199"/>
        <v>1</v>
      </c>
      <c r="I3222" s="76">
        <f t="shared" si="1200"/>
        <v>1</v>
      </c>
      <c r="J3222" s="76">
        <f t="shared" si="1201"/>
        <v>1</v>
      </c>
      <c r="K3222" s="67">
        <f t="shared" si="1202"/>
        <v>0</v>
      </c>
      <c r="L3222" s="67">
        <f t="shared" si="1203"/>
        <v>0</v>
      </c>
      <c r="M3222" s="77">
        <f t="shared" si="1204"/>
        <v>0</v>
      </c>
      <c r="N3222" s="76">
        <f t="shared" si="1205"/>
        <v>1</v>
      </c>
      <c r="O3222" s="77">
        <f t="shared" si="1206"/>
        <v>0.89737417943107223</v>
      </c>
      <c r="P3222" s="76">
        <f t="shared" si="1207"/>
        <v>0.91666666666666663</v>
      </c>
      <c r="Q3222" s="76">
        <f t="shared" si="1208"/>
        <v>0</v>
      </c>
      <c r="R3222" s="76">
        <f t="shared" si="1209"/>
        <v>0</v>
      </c>
      <c r="S3222" s="76">
        <f t="shared" si="1210"/>
        <v>0.97540671677290458</v>
      </c>
      <c r="T3222" s="76">
        <f t="shared" si="1211"/>
        <v>0.97540671677290458</v>
      </c>
      <c r="U3222" s="76">
        <f t="shared" si="1212"/>
        <v>1</v>
      </c>
    </row>
    <row r="3223" spans="1:21" x14ac:dyDescent="0.25">
      <c r="A3223" s="71">
        <v>13</v>
      </c>
      <c r="B3223" s="72">
        <f t="shared" si="1213"/>
        <v>46023</v>
      </c>
      <c r="C3223" s="73">
        <f t="shared" si="1194"/>
        <v>46053</v>
      </c>
      <c r="D3223" s="67">
        <f t="shared" si="1195"/>
        <v>31</v>
      </c>
      <c r="E3223" s="67">
        <f t="shared" si="1196"/>
        <v>1</v>
      </c>
      <c r="F3223" s="74">
        <f t="shared" si="1197"/>
        <v>46038.5</v>
      </c>
      <c r="G3223" s="67">
        <f t="shared" si="1198"/>
        <v>24312</v>
      </c>
      <c r="H3223" s="75">
        <f t="shared" si="1199"/>
        <v>1</v>
      </c>
      <c r="I3223" s="76">
        <f t="shared" si="1200"/>
        <v>1</v>
      </c>
      <c r="J3223" s="76">
        <f t="shared" si="1201"/>
        <v>1</v>
      </c>
      <c r="K3223" s="67">
        <f t="shared" si="1202"/>
        <v>0</v>
      </c>
      <c r="L3223" s="67">
        <f t="shared" si="1203"/>
        <v>0</v>
      </c>
      <c r="M3223" s="77">
        <f t="shared" si="1204"/>
        <v>0</v>
      </c>
      <c r="N3223" s="76">
        <f t="shared" si="1205"/>
        <v>1</v>
      </c>
      <c r="O3223" s="77">
        <f t="shared" si="1206"/>
        <v>0.8987308533916849</v>
      </c>
      <c r="P3223" s="76">
        <f t="shared" si="1207"/>
        <v>1</v>
      </c>
      <c r="Q3223" s="76">
        <f t="shared" si="1208"/>
        <v>0</v>
      </c>
      <c r="R3223" s="76">
        <f t="shared" si="1209"/>
        <v>0</v>
      </c>
      <c r="S3223" s="76">
        <f t="shared" si="1210"/>
        <v>0.97688136238226619</v>
      </c>
      <c r="T3223" s="76">
        <f t="shared" si="1211"/>
        <v>0.97688136238226619</v>
      </c>
      <c r="U3223" s="76">
        <f t="shared" si="1212"/>
        <v>1</v>
      </c>
    </row>
    <row r="3224" spans="1:21" x14ac:dyDescent="0.25">
      <c r="A3224" s="71">
        <v>14</v>
      </c>
      <c r="B3224" s="72">
        <f t="shared" si="1213"/>
        <v>46054</v>
      </c>
      <c r="C3224" s="73">
        <f t="shared" si="1194"/>
        <v>46081</v>
      </c>
      <c r="D3224" s="67">
        <f t="shared" si="1195"/>
        <v>28</v>
      </c>
      <c r="E3224" s="67">
        <f t="shared" si="1196"/>
        <v>2</v>
      </c>
      <c r="F3224" s="74">
        <f t="shared" si="1197"/>
        <v>46068</v>
      </c>
      <c r="G3224" s="67">
        <f t="shared" si="1198"/>
        <v>24313</v>
      </c>
      <c r="H3224" s="75">
        <f t="shared" si="1199"/>
        <v>1</v>
      </c>
      <c r="I3224" s="76">
        <f t="shared" si="1200"/>
        <v>1</v>
      </c>
      <c r="J3224" s="76">
        <f t="shared" si="1201"/>
        <v>1</v>
      </c>
      <c r="K3224" s="67">
        <f t="shared" si="1202"/>
        <v>0</v>
      </c>
      <c r="L3224" s="67">
        <f t="shared" si="1203"/>
        <v>0</v>
      </c>
      <c r="M3224" s="77">
        <f t="shared" si="1204"/>
        <v>0</v>
      </c>
      <c r="N3224" s="76">
        <f t="shared" si="1205"/>
        <v>1</v>
      </c>
      <c r="O3224" s="77">
        <f t="shared" si="1206"/>
        <v>0.90002188183807441</v>
      </c>
      <c r="P3224" s="76">
        <f t="shared" si="1207"/>
        <v>1</v>
      </c>
      <c r="Q3224" s="76">
        <f t="shared" si="1208"/>
        <v>0</v>
      </c>
      <c r="R3224" s="76">
        <f t="shared" si="1209"/>
        <v>0</v>
      </c>
      <c r="S3224" s="76">
        <f t="shared" si="1210"/>
        <v>0.97828465417181998</v>
      </c>
      <c r="T3224" s="76">
        <f t="shared" si="1211"/>
        <v>0.97828465417181998</v>
      </c>
      <c r="U3224" s="76">
        <f t="shared" si="1212"/>
        <v>1</v>
      </c>
    </row>
    <row r="3225" spans="1:21" x14ac:dyDescent="0.25">
      <c r="A3225" s="71">
        <v>15</v>
      </c>
      <c r="B3225" s="72">
        <f t="shared" si="1213"/>
        <v>46082</v>
      </c>
      <c r="C3225" s="73">
        <f t="shared" si="1194"/>
        <v>46112</v>
      </c>
      <c r="D3225" s="67">
        <f t="shared" si="1195"/>
        <v>31</v>
      </c>
      <c r="E3225" s="67">
        <f t="shared" si="1196"/>
        <v>3</v>
      </c>
      <c r="F3225" s="74">
        <f t="shared" si="1197"/>
        <v>46097.5</v>
      </c>
      <c r="G3225" s="67">
        <f t="shared" si="1198"/>
        <v>24314</v>
      </c>
      <c r="H3225" s="75">
        <f t="shared" si="1199"/>
        <v>1</v>
      </c>
      <c r="I3225" s="76">
        <f t="shared" si="1200"/>
        <v>1</v>
      </c>
      <c r="J3225" s="76">
        <f t="shared" si="1201"/>
        <v>1</v>
      </c>
      <c r="K3225" s="67">
        <f t="shared" si="1202"/>
        <v>0</v>
      </c>
      <c r="L3225" s="67">
        <f t="shared" si="1203"/>
        <v>0</v>
      </c>
      <c r="M3225" s="77">
        <f t="shared" si="1204"/>
        <v>0</v>
      </c>
      <c r="N3225" s="76">
        <f t="shared" si="1205"/>
        <v>1</v>
      </c>
      <c r="O3225" s="77">
        <f t="shared" si="1206"/>
        <v>0.90131291028446392</v>
      </c>
      <c r="P3225" s="76">
        <f t="shared" si="1207"/>
        <v>1</v>
      </c>
      <c r="Q3225" s="76">
        <f t="shared" si="1208"/>
        <v>0</v>
      </c>
      <c r="R3225" s="76">
        <f t="shared" si="1209"/>
        <v>0</v>
      </c>
      <c r="S3225" s="76">
        <f t="shared" si="1210"/>
        <v>0.97968794596137376</v>
      </c>
      <c r="T3225" s="76">
        <f t="shared" si="1211"/>
        <v>0.97968794596137376</v>
      </c>
      <c r="U3225" s="76">
        <f t="shared" si="1212"/>
        <v>1</v>
      </c>
    </row>
    <row r="3226" spans="1:21" x14ac:dyDescent="0.25">
      <c r="A3226" s="71">
        <v>16</v>
      </c>
      <c r="B3226" s="72">
        <f t="shared" si="1213"/>
        <v>46113</v>
      </c>
      <c r="C3226" s="73">
        <f t="shared" si="1194"/>
        <v>46142</v>
      </c>
      <c r="D3226" s="67">
        <f t="shared" si="1195"/>
        <v>30</v>
      </c>
      <c r="E3226" s="67">
        <f t="shared" si="1196"/>
        <v>4</v>
      </c>
      <c r="F3226" s="74">
        <f t="shared" si="1197"/>
        <v>46128</v>
      </c>
      <c r="G3226" s="67">
        <f t="shared" si="1198"/>
        <v>24315</v>
      </c>
      <c r="H3226" s="75">
        <f t="shared" si="1199"/>
        <v>1</v>
      </c>
      <c r="I3226" s="76">
        <f t="shared" si="1200"/>
        <v>1</v>
      </c>
      <c r="J3226" s="76">
        <f t="shared" si="1201"/>
        <v>1</v>
      </c>
      <c r="K3226" s="67">
        <f t="shared" si="1202"/>
        <v>0</v>
      </c>
      <c r="L3226" s="67">
        <f t="shared" si="1203"/>
        <v>0</v>
      </c>
      <c r="M3226" s="77">
        <f t="shared" si="1204"/>
        <v>0</v>
      </c>
      <c r="N3226" s="76">
        <f t="shared" si="1205"/>
        <v>1</v>
      </c>
      <c r="O3226" s="77">
        <f t="shared" si="1206"/>
        <v>0.90264770240700221</v>
      </c>
      <c r="P3226" s="76">
        <f t="shared" si="1207"/>
        <v>1</v>
      </c>
      <c r="Q3226" s="76">
        <f t="shared" si="1208"/>
        <v>0</v>
      </c>
      <c r="R3226" s="76">
        <f t="shared" si="1209"/>
        <v>0</v>
      </c>
      <c r="S3226" s="76">
        <f t="shared" si="1210"/>
        <v>0.9811388069641328</v>
      </c>
      <c r="T3226" s="76">
        <f t="shared" si="1211"/>
        <v>0.9811388069641328</v>
      </c>
      <c r="U3226" s="76">
        <f t="shared" si="1212"/>
        <v>1</v>
      </c>
    </row>
    <row r="3227" spans="1:21" x14ac:dyDescent="0.25">
      <c r="A3227" s="71">
        <v>17</v>
      </c>
      <c r="B3227" s="72">
        <f t="shared" si="1213"/>
        <v>46143</v>
      </c>
      <c r="C3227" s="73">
        <f t="shared" si="1194"/>
        <v>46173</v>
      </c>
      <c r="D3227" s="67">
        <f t="shared" si="1195"/>
        <v>31</v>
      </c>
      <c r="E3227" s="67">
        <f t="shared" si="1196"/>
        <v>5</v>
      </c>
      <c r="F3227" s="74">
        <f t="shared" si="1197"/>
        <v>46158.5</v>
      </c>
      <c r="G3227" s="67">
        <f t="shared" si="1198"/>
        <v>24316</v>
      </c>
      <c r="H3227" s="75">
        <f t="shared" si="1199"/>
        <v>1</v>
      </c>
      <c r="I3227" s="76">
        <f t="shared" si="1200"/>
        <v>1</v>
      </c>
      <c r="J3227" s="76">
        <f t="shared" si="1201"/>
        <v>1</v>
      </c>
      <c r="K3227" s="67">
        <f t="shared" si="1202"/>
        <v>0</v>
      </c>
      <c r="L3227" s="67">
        <f t="shared" si="1203"/>
        <v>0</v>
      </c>
      <c r="M3227" s="77">
        <f t="shared" si="1204"/>
        <v>0</v>
      </c>
      <c r="N3227" s="76">
        <f t="shared" si="1205"/>
        <v>1</v>
      </c>
      <c r="O3227" s="77">
        <f t="shared" si="1206"/>
        <v>0.90398249452954049</v>
      </c>
      <c r="P3227" s="76">
        <f t="shared" si="1207"/>
        <v>1</v>
      </c>
      <c r="Q3227" s="76">
        <f t="shared" si="1208"/>
        <v>0</v>
      </c>
      <c r="R3227" s="76">
        <f t="shared" si="1209"/>
        <v>0</v>
      </c>
      <c r="S3227" s="76">
        <f t="shared" si="1210"/>
        <v>0.98258966796689184</v>
      </c>
      <c r="T3227" s="76">
        <f t="shared" si="1211"/>
        <v>0.98258966796689184</v>
      </c>
      <c r="U3227" s="76">
        <f t="shared" si="1212"/>
        <v>1</v>
      </c>
    </row>
    <row r="3228" spans="1:21" x14ac:dyDescent="0.25">
      <c r="A3228" s="71">
        <v>18</v>
      </c>
      <c r="B3228" s="72">
        <f t="shared" si="1213"/>
        <v>46174</v>
      </c>
      <c r="C3228" s="73">
        <f t="shared" si="1194"/>
        <v>46203</v>
      </c>
      <c r="D3228" s="67">
        <f t="shared" si="1195"/>
        <v>30</v>
      </c>
      <c r="E3228" s="67">
        <f t="shared" si="1196"/>
        <v>6</v>
      </c>
      <c r="F3228" s="74">
        <f t="shared" si="1197"/>
        <v>46189</v>
      </c>
      <c r="G3228" s="67">
        <f t="shared" si="1198"/>
        <v>24317</v>
      </c>
      <c r="H3228" s="75">
        <f t="shared" si="1199"/>
        <v>1</v>
      </c>
      <c r="I3228" s="76">
        <f t="shared" si="1200"/>
        <v>1</v>
      </c>
      <c r="J3228" s="76">
        <f t="shared" si="1201"/>
        <v>1</v>
      </c>
      <c r="K3228" s="67">
        <f t="shared" si="1202"/>
        <v>0</v>
      </c>
      <c r="L3228" s="67">
        <f t="shared" si="1203"/>
        <v>0</v>
      </c>
      <c r="M3228" s="77">
        <f t="shared" si="1204"/>
        <v>0</v>
      </c>
      <c r="N3228" s="76">
        <f t="shared" si="1205"/>
        <v>1</v>
      </c>
      <c r="O3228" s="77">
        <f t="shared" si="1206"/>
        <v>0.90531728665207878</v>
      </c>
      <c r="P3228" s="76">
        <f t="shared" si="1207"/>
        <v>1</v>
      </c>
      <c r="Q3228" s="76">
        <f t="shared" si="1208"/>
        <v>0</v>
      </c>
      <c r="R3228" s="76">
        <f t="shared" si="1209"/>
        <v>0</v>
      </c>
      <c r="S3228" s="76">
        <f t="shared" si="1210"/>
        <v>0.98404052896965077</v>
      </c>
      <c r="T3228" s="76">
        <f t="shared" si="1211"/>
        <v>0.98404052896965077</v>
      </c>
      <c r="U3228" s="76">
        <f t="shared" si="1212"/>
        <v>1</v>
      </c>
    </row>
    <row r="3229" spans="1:21" x14ac:dyDescent="0.25">
      <c r="A3229" s="71">
        <v>19</v>
      </c>
      <c r="B3229" s="72">
        <f t="shared" si="1213"/>
        <v>46204</v>
      </c>
      <c r="C3229" s="73">
        <f t="shared" si="1194"/>
        <v>46234</v>
      </c>
      <c r="D3229" s="67">
        <f t="shared" si="1195"/>
        <v>31</v>
      </c>
      <c r="E3229" s="67">
        <f t="shared" si="1196"/>
        <v>7</v>
      </c>
      <c r="F3229" s="74">
        <f t="shared" si="1197"/>
        <v>46219.5</v>
      </c>
      <c r="G3229" s="67">
        <f t="shared" si="1198"/>
        <v>24318</v>
      </c>
      <c r="H3229" s="75">
        <f t="shared" si="1199"/>
        <v>1</v>
      </c>
      <c r="I3229" s="76">
        <f t="shared" si="1200"/>
        <v>1</v>
      </c>
      <c r="J3229" s="76">
        <f t="shared" si="1201"/>
        <v>1</v>
      </c>
      <c r="K3229" s="67">
        <f t="shared" si="1202"/>
        <v>0</v>
      </c>
      <c r="L3229" s="67">
        <f t="shared" si="1203"/>
        <v>0</v>
      </c>
      <c r="M3229" s="77">
        <f t="shared" si="1204"/>
        <v>0</v>
      </c>
      <c r="N3229" s="76">
        <f t="shared" si="1205"/>
        <v>1</v>
      </c>
      <c r="O3229" s="77">
        <f t="shared" si="1206"/>
        <v>0.90665207877461707</v>
      </c>
      <c r="P3229" s="76">
        <f t="shared" si="1207"/>
        <v>0.91666666666666663</v>
      </c>
      <c r="Q3229" s="76">
        <f t="shared" si="1208"/>
        <v>8.333333333333337E-2</v>
      </c>
      <c r="R3229" s="76">
        <f t="shared" si="1209"/>
        <v>0</v>
      </c>
      <c r="S3229" s="76">
        <f t="shared" si="1210"/>
        <v>0.98549138997240981</v>
      </c>
      <c r="T3229" s="76">
        <f t="shared" si="1211"/>
        <v>0.98549138997240981</v>
      </c>
      <c r="U3229" s="76">
        <f t="shared" si="1212"/>
        <v>1</v>
      </c>
    </row>
    <row r="3230" spans="1:21" x14ac:dyDescent="0.25">
      <c r="A3230" s="71">
        <v>20</v>
      </c>
      <c r="B3230" s="72">
        <f t="shared" si="1213"/>
        <v>46235</v>
      </c>
      <c r="C3230" s="73">
        <f t="shared" si="1194"/>
        <v>46265</v>
      </c>
      <c r="D3230" s="67">
        <f t="shared" si="1195"/>
        <v>31</v>
      </c>
      <c r="E3230" s="67">
        <f t="shared" si="1196"/>
        <v>8</v>
      </c>
      <c r="F3230" s="74">
        <f t="shared" si="1197"/>
        <v>46250.5</v>
      </c>
      <c r="G3230" s="67">
        <f t="shared" si="1198"/>
        <v>24319</v>
      </c>
      <c r="H3230" s="75">
        <f t="shared" si="1199"/>
        <v>1</v>
      </c>
      <c r="I3230" s="76">
        <f t="shared" si="1200"/>
        <v>1</v>
      </c>
      <c r="J3230" s="76">
        <f t="shared" si="1201"/>
        <v>1</v>
      </c>
      <c r="K3230" s="67">
        <f t="shared" si="1202"/>
        <v>0</v>
      </c>
      <c r="L3230" s="67">
        <f t="shared" si="1203"/>
        <v>0</v>
      </c>
      <c r="M3230" s="77">
        <f t="shared" si="1204"/>
        <v>0</v>
      </c>
      <c r="N3230" s="76">
        <f t="shared" si="1205"/>
        <v>1</v>
      </c>
      <c r="O3230" s="77">
        <f t="shared" si="1206"/>
        <v>0.90800875273522974</v>
      </c>
      <c r="P3230" s="76">
        <f t="shared" si="1207"/>
        <v>0.75</v>
      </c>
      <c r="Q3230" s="76">
        <f t="shared" si="1208"/>
        <v>0.25</v>
      </c>
      <c r="R3230" s="76">
        <f t="shared" si="1209"/>
        <v>0</v>
      </c>
      <c r="S3230" s="76">
        <f t="shared" si="1210"/>
        <v>0.98696603558177143</v>
      </c>
      <c r="T3230" s="76">
        <f t="shared" si="1211"/>
        <v>0.98696603558177143</v>
      </c>
      <c r="U3230" s="76">
        <f t="shared" si="1212"/>
        <v>1</v>
      </c>
    </row>
    <row r="3231" spans="1:21" x14ac:dyDescent="0.25">
      <c r="A3231" s="71">
        <v>21</v>
      </c>
      <c r="B3231" s="72">
        <f t="shared" si="1213"/>
        <v>46266</v>
      </c>
      <c r="C3231" s="73">
        <f t="shared" si="1194"/>
        <v>46295</v>
      </c>
      <c r="D3231" s="67">
        <f t="shared" si="1195"/>
        <v>30</v>
      </c>
      <c r="E3231" s="67">
        <f t="shared" si="1196"/>
        <v>9</v>
      </c>
      <c r="F3231" s="74">
        <f t="shared" si="1197"/>
        <v>46281</v>
      </c>
      <c r="G3231" s="67">
        <f t="shared" si="1198"/>
        <v>24320</v>
      </c>
      <c r="H3231" s="75">
        <f t="shared" si="1199"/>
        <v>1</v>
      </c>
      <c r="I3231" s="76">
        <f t="shared" si="1200"/>
        <v>1</v>
      </c>
      <c r="J3231" s="76">
        <f t="shared" si="1201"/>
        <v>1</v>
      </c>
      <c r="K3231" s="67">
        <f t="shared" si="1202"/>
        <v>0</v>
      </c>
      <c r="L3231" s="67">
        <f t="shared" si="1203"/>
        <v>0</v>
      </c>
      <c r="M3231" s="77">
        <f t="shared" si="1204"/>
        <v>0</v>
      </c>
      <c r="N3231" s="76">
        <f t="shared" si="1205"/>
        <v>1</v>
      </c>
      <c r="O3231" s="77">
        <f t="shared" si="1206"/>
        <v>0.90934354485776803</v>
      </c>
      <c r="P3231" s="76">
        <f t="shared" si="1207"/>
        <v>0.58333333333333337</v>
      </c>
      <c r="Q3231" s="76">
        <f t="shared" si="1208"/>
        <v>0.41666666666666663</v>
      </c>
      <c r="R3231" s="76">
        <f t="shared" si="1209"/>
        <v>0</v>
      </c>
      <c r="S3231" s="76">
        <f t="shared" si="1210"/>
        <v>0.98841689658453047</v>
      </c>
      <c r="T3231" s="76">
        <f t="shared" si="1211"/>
        <v>0.98841689658453047</v>
      </c>
      <c r="U3231" s="76">
        <f t="shared" si="1212"/>
        <v>1</v>
      </c>
    </row>
    <row r="3232" spans="1:21" x14ac:dyDescent="0.25">
      <c r="A3232" s="71">
        <v>22</v>
      </c>
      <c r="B3232" s="72">
        <f t="shared" si="1213"/>
        <v>46296</v>
      </c>
      <c r="C3232" s="73">
        <f t="shared" si="1194"/>
        <v>46326</v>
      </c>
      <c r="D3232" s="67">
        <f t="shared" si="1195"/>
        <v>31</v>
      </c>
      <c r="E3232" s="67">
        <f t="shared" si="1196"/>
        <v>10</v>
      </c>
      <c r="F3232" s="74">
        <f t="shared" si="1197"/>
        <v>46311.5</v>
      </c>
      <c r="G3232" s="67">
        <f t="shared" si="1198"/>
        <v>24321</v>
      </c>
      <c r="H3232" s="75">
        <f t="shared" si="1199"/>
        <v>1</v>
      </c>
      <c r="I3232" s="76">
        <f t="shared" si="1200"/>
        <v>1</v>
      </c>
      <c r="J3232" s="76">
        <f t="shared" si="1201"/>
        <v>1</v>
      </c>
      <c r="K3232" s="67">
        <f t="shared" si="1202"/>
        <v>0</v>
      </c>
      <c r="L3232" s="67">
        <f t="shared" si="1203"/>
        <v>0</v>
      </c>
      <c r="M3232" s="77">
        <f t="shared" si="1204"/>
        <v>0</v>
      </c>
      <c r="N3232" s="76">
        <f t="shared" si="1205"/>
        <v>1</v>
      </c>
      <c r="O3232" s="77">
        <f t="shared" si="1206"/>
        <v>0.91067833698030642</v>
      </c>
      <c r="P3232" s="76">
        <f t="shared" si="1207"/>
        <v>0.41666666666666669</v>
      </c>
      <c r="Q3232" s="76">
        <f t="shared" si="1208"/>
        <v>0.58333333333333326</v>
      </c>
      <c r="R3232" s="76">
        <f t="shared" si="1209"/>
        <v>0</v>
      </c>
      <c r="S3232" s="76">
        <f t="shared" si="1210"/>
        <v>0.98986775758728951</v>
      </c>
      <c r="T3232" s="76">
        <f t="shared" si="1211"/>
        <v>0.98986775758728951</v>
      </c>
      <c r="U3232" s="76">
        <f t="shared" si="1212"/>
        <v>1</v>
      </c>
    </row>
    <row r="3233" spans="1:21" x14ac:dyDescent="0.25">
      <c r="A3233" s="71">
        <v>23</v>
      </c>
      <c r="B3233" s="72">
        <f t="shared" si="1213"/>
        <v>46327</v>
      </c>
      <c r="C3233" s="73">
        <f t="shared" si="1194"/>
        <v>46356</v>
      </c>
      <c r="D3233" s="67">
        <f t="shared" si="1195"/>
        <v>30</v>
      </c>
      <c r="E3233" s="67">
        <f t="shared" si="1196"/>
        <v>11</v>
      </c>
      <c r="F3233" s="74">
        <f t="shared" si="1197"/>
        <v>46342</v>
      </c>
      <c r="G3233" s="67">
        <f t="shared" si="1198"/>
        <v>24322</v>
      </c>
      <c r="H3233" s="75">
        <f t="shared" si="1199"/>
        <v>1</v>
      </c>
      <c r="I3233" s="76">
        <f t="shared" si="1200"/>
        <v>1</v>
      </c>
      <c r="J3233" s="76">
        <f t="shared" si="1201"/>
        <v>1.05</v>
      </c>
      <c r="K3233" s="67">
        <f t="shared" si="1202"/>
        <v>1</v>
      </c>
      <c r="L3233" s="67">
        <f t="shared" si="1203"/>
        <v>30</v>
      </c>
      <c r="M3233" s="77">
        <f t="shared" si="1204"/>
        <v>1</v>
      </c>
      <c r="N3233" s="76">
        <f t="shared" si="1205"/>
        <v>1.05</v>
      </c>
      <c r="O3233" s="77">
        <f t="shared" si="1206"/>
        <v>0.91201312910284471</v>
      </c>
      <c r="P3233" s="76">
        <f t="shared" si="1207"/>
        <v>0.25</v>
      </c>
      <c r="Q3233" s="76">
        <f t="shared" si="1208"/>
        <v>0.75</v>
      </c>
      <c r="R3233" s="76">
        <f t="shared" si="1209"/>
        <v>0</v>
      </c>
      <c r="S3233" s="76">
        <f t="shared" si="1210"/>
        <v>1.0408845495195511</v>
      </c>
      <c r="T3233" s="76">
        <f t="shared" si="1211"/>
        <v>1.0408845495195511</v>
      </c>
      <c r="U3233" s="76">
        <f t="shared" si="1212"/>
        <v>1.05</v>
      </c>
    </row>
    <row r="3234" spans="1:21" x14ac:dyDescent="0.25">
      <c r="A3234" s="71">
        <v>24</v>
      </c>
      <c r="B3234" s="72">
        <f t="shared" si="1213"/>
        <v>46357</v>
      </c>
      <c r="C3234" s="73">
        <f t="shared" si="1194"/>
        <v>46387</v>
      </c>
      <c r="D3234" s="67">
        <f t="shared" si="1195"/>
        <v>31</v>
      </c>
      <c r="E3234" s="67">
        <f t="shared" si="1196"/>
        <v>12</v>
      </c>
      <c r="F3234" s="74">
        <f t="shared" si="1197"/>
        <v>46372.5</v>
      </c>
      <c r="G3234" s="67">
        <f t="shared" si="1198"/>
        <v>24323</v>
      </c>
      <c r="H3234" s="75">
        <f t="shared" si="1199"/>
        <v>1</v>
      </c>
      <c r="I3234" s="76">
        <f t="shared" si="1200"/>
        <v>1.05</v>
      </c>
      <c r="J3234" s="76">
        <f t="shared" si="1201"/>
        <v>1.05</v>
      </c>
      <c r="K3234" s="67">
        <f t="shared" si="1202"/>
        <v>0</v>
      </c>
      <c r="L3234" s="67">
        <f t="shared" si="1203"/>
        <v>0</v>
      </c>
      <c r="M3234" s="77">
        <f t="shared" si="1204"/>
        <v>0</v>
      </c>
      <c r="N3234" s="76">
        <f t="shared" si="1205"/>
        <v>1.05</v>
      </c>
      <c r="O3234" s="77">
        <f t="shared" si="1206"/>
        <v>0.913347921225383</v>
      </c>
      <c r="P3234" s="76">
        <f t="shared" si="1207"/>
        <v>8.3333333333333329E-2</v>
      </c>
      <c r="Q3234" s="76">
        <f t="shared" si="1208"/>
        <v>0.91666666666666663</v>
      </c>
      <c r="R3234" s="76">
        <f t="shared" si="1209"/>
        <v>0</v>
      </c>
      <c r="S3234" s="76">
        <f t="shared" si="1210"/>
        <v>1.042407953572448</v>
      </c>
      <c r="T3234" s="76">
        <f t="shared" si="1211"/>
        <v>1.042407953572448</v>
      </c>
      <c r="U3234" s="76">
        <f t="shared" si="1212"/>
        <v>1.05</v>
      </c>
    </row>
    <row r="3235" spans="1:21" x14ac:dyDescent="0.25">
      <c r="A3235" s="71">
        <v>25</v>
      </c>
      <c r="B3235" s="72">
        <f t="shared" si="1213"/>
        <v>46388</v>
      </c>
      <c r="C3235" s="73">
        <f t="shared" si="1194"/>
        <v>46418</v>
      </c>
      <c r="D3235" s="67">
        <f t="shared" si="1195"/>
        <v>31</v>
      </c>
      <c r="E3235" s="67">
        <f t="shared" si="1196"/>
        <v>1</v>
      </c>
      <c r="F3235" s="74">
        <f t="shared" si="1197"/>
        <v>46403.5</v>
      </c>
      <c r="G3235" s="67">
        <f t="shared" si="1198"/>
        <v>24324</v>
      </c>
      <c r="H3235" s="75">
        <f t="shared" si="1199"/>
        <v>1</v>
      </c>
      <c r="I3235" s="76">
        <f t="shared" si="1200"/>
        <v>1.05</v>
      </c>
      <c r="J3235" s="76">
        <f t="shared" si="1201"/>
        <v>1.05</v>
      </c>
      <c r="K3235" s="67">
        <f t="shared" si="1202"/>
        <v>0</v>
      </c>
      <c r="L3235" s="67">
        <f t="shared" si="1203"/>
        <v>0</v>
      </c>
      <c r="M3235" s="77">
        <f t="shared" si="1204"/>
        <v>0</v>
      </c>
      <c r="N3235" s="76">
        <f t="shared" si="1205"/>
        <v>1.05</v>
      </c>
      <c r="O3235" s="77">
        <f t="shared" si="1206"/>
        <v>0.91470459518599567</v>
      </c>
      <c r="P3235" s="76">
        <f t="shared" si="1207"/>
        <v>0</v>
      </c>
      <c r="Q3235" s="76">
        <f t="shared" si="1208"/>
        <v>1</v>
      </c>
      <c r="R3235" s="76">
        <f t="shared" si="1209"/>
        <v>0</v>
      </c>
      <c r="S3235" s="76">
        <f t="shared" si="1210"/>
        <v>1.0439563314622777</v>
      </c>
      <c r="T3235" s="76">
        <f t="shared" si="1211"/>
        <v>0.97688136238226619</v>
      </c>
      <c r="U3235" s="76">
        <f t="shared" si="1212"/>
        <v>1.05</v>
      </c>
    </row>
    <row r="3236" spans="1:21" x14ac:dyDescent="0.25">
      <c r="A3236" s="71">
        <v>26</v>
      </c>
      <c r="B3236" s="72">
        <f t="shared" si="1213"/>
        <v>46419</v>
      </c>
      <c r="C3236" s="73">
        <f t="shared" si="1194"/>
        <v>46446</v>
      </c>
      <c r="D3236" s="67">
        <f t="shared" si="1195"/>
        <v>28</v>
      </c>
      <c r="E3236" s="67">
        <f t="shared" si="1196"/>
        <v>2</v>
      </c>
      <c r="F3236" s="74">
        <f t="shared" si="1197"/>
        <v>46433</v>
      </c>
      <c r="G3236" s="67">
        <f t="shared" si="1198"/>
        <v>24325</v>
      </c>
      <c r="H3236" s="75">
        <f t="shared" si="1199"/>
        <v>1</v>
      </c>
      <c r="I3236" s="76">
        <f t="shared" si="1200"/>
        <v>1.05</v>
      </c>
      <c r="J3236" s="76">
        <f t="shared" si="1201"/>
        <v>1.05</v>
      </c>
      <c r="K3236" s="67">
        <f t="shared" si="1202"/>
        <v>0</v>
      </c>
      <c r="L3236" s="67">
        <f t="shared" si="1203"/>
        <v>0</v>
      </c>
      <c r="M3236" s="77">
        <f t="shared" si="1204"/>
        <v>0</v>
      </c>
      <c r="N3236" s="76">
        <f t="shared" si="1205"/>
        <v>1.05</v>
      </c>
      <c r="O3236" s="77">
        <f t="shared" si="1206"/>
        <v>0.91599562363238518</v>
      </c>
      <c r="P3236" s="76">
        <f t="shared" si="1207"/>
        <v>0</v>
      </c>
      <c r="Q3236" s="76">
        <f t="shared" si="1208"/>
        <v>1</v>
      </c>
      <c r="R3236" s="76">
        <f t="shared" si="1209"/>
        <v>0</v>
      </c>
      <c r="S3236" s="76">
        <f t="shared" si="1210"/>
        <v>1.0454297878413092</v>
      </c>
      <c r="T3236" s="76">
        <f t="shared" si="1211"/>
        <v>0.97828465417181998</v>
      </c>
      <c r="U3236" s="76">
        <f t="shared" si="1212"/>
        <v>1.05</v>
      </c>
    </row>
    <row r="3237" spans="1:21" x14ac:dyDescent="0.25">
      <c r="A3237" s="71">
        <v>27</v>
      </c>
      <c r="B3237" s="72">
        <f t="shared" si="1213"/>
        <v>46447</v>
      </c>
      <c r="C3237" s="73">
        <f t="shared" si="1194"/>
        <v>46477</v>
      </c>
      <c r="D3237" s="67">
        <f t="shared" si="1195"/>
        <v>31</v>
      </c>
      <c r="E3237" s="67">
        <f t="shared" si="1196"/>
        <v>3</v>
      </c>
      <c r="F3237" s="74">
        <f t="shared" si="1197"/>
        <v>46462.5</v>
      </c>
      <c r="G3237" s="67">
        <f t="shared" si="1198"/>
        <v>24326</v>
      </c>
      <c r="H3237" s="75">
        <f t="shared" si="1199"/>
        <v>1</v>
      </c>
      <c r="I3237" s="76">
        <f t="shared" si="1200"/>
        <v>1.05</v>
      </c>
      <c r="J3237" s="76">
        <f t="shared" si="1201"/>
        <v>1.05</v>
      </c>
      <c r="K3237" s="67">
        <f t="shared" si="1202"/>
        <v>0</v>
      </c>
      <c r="L3237" s="67">
        <f t="shared" si="1203"/>
        <v>0</v>
      </c>
      <c r="M3237" s="77">
        <f t="shared" si="1204"/>
        <v>0</v>
      </c>
      <c r="N3237" s="76">
        <f t="shared" si="1205"/>
        <v>1.05</v>
      </c>
      <c r="O3237" s="77">
        <f t="shared" si="1206"/>
        <v>0.91728665207877469</v>
      </c>
      <c r="P3237" s="76">
        <f t="shared" si="1207"/>
        <v>0</v>
      </c>
      <c r="Q3237" s="76">
        <f t="shared" si="1208"/>
        <v>1</v>
      </c>
      <c r="R3237" s="76">
        <f t="shared" si="1209"/>
        <v>0</v>
      </c>
      <c r="S3237" s="76">
        <f t="shared" si="1210"/>
        <v>1.0469032442203408</v>
      </c>
      <c r="T3237" s="76">
        <f t="shared" si="1211"/>
        <v>0.97968794596137376</v>
      </c>
      <c r="U3237" s="76">
        <f t="shared" si="1212"/>
        <v>1.05</v>
      </c>
    </row>
    <row r="3238" spans="1:21" x14ac:dyDescent="0.25">
      <c r="A3238" s="71">
        <v>28</v>
      </c>
      <c r="B3238" s="72">
        <f t="shared" si="1213"/>
        <v>46478</v>
      </c>
      <c r="C3238" s="73">
        <f t="shared" si="1194"/>
        <v>46507</v>
      </c>
      <c r="D3238" s="67">
        <f t="shared" si="1195"/>
        <v>30</v>
      </c>
      <c r="E3238" s="67">
        <f t="shared" si="1196"/>
        <v>4</v>
      </c>
      <c r="F3238" s="74">
        <f t="shared" si="1197"/>
        <v>46493</v>
      </c>
      <c r="G3238" s="67">
        <f t="shared" si="1198"/>
        <v>24327</v>
      </c>
      <c r="H3238" s="75">
        <f t="shared" si="1199"/>
        <v>1</v>
      </c>
      <c r="I3238" s="76">
        <f t="shared" si="1200"/>
        <v>1.05</v>
      </c>
      <c r="J3238" s="76">
        <f t="shared" si="1201"/>
        <v>1.05</v>
      </c>
      <c r="K3238" s="67">
        <f t="shared" si="1202"/>
        <v>0</v>
      </c>
      <c r="L3238" s="67">
        <f t="shared" si="1203"/>
        <v>0</v>
      </c>
      <c r="M3238" s="77">
        <f t="shared" si="1204"/>
        <v>0</v>
      </c>
      <c r="N3238" s="76">
        <f t="shared" si="1205"/>
        <v>1.05</v>
      </c>
      <c r="O3238" s="77">
        <f t="shared" si="1206"/>
        <v>0.91862144420131298</v>
      </c>
      <c r="P3238" s="76">
        <f t="shared" si="1207"/>
        <v>0</v>
      </c>
      <c r="Q3238" s="76">
        <f t="shared" si="1208"/>
        <v>1</v>
      </c>
      <c r="R3238" s="76">
        <f t="shared" si="1209"/>
        <v>0</v>
      </c>
      <c r="S3238" s="76">
        <f t="shared" si="1210"/>
        <v>1.0484266482732376</v>
      </c>
      <c r="T3238" s="76">
        <f t="shared" si="1211"/>
        <v>0.9811388069641328</v>
      </c>
      <c r="U3238" s="76">
        <f t="shared" si="1212"/>
        <v>1.05</v>
      </c>
    </row>
    <row r="3239" spans="1:21" x14ac:dyDescent="0.25">
      <c r="A3239" s="71">
        <v>29</v>
      </c>
      <c r="B3239" s="72">
        <f t="shared" si="1213"/>
        <v>46508</v>
      </c>
      <c r="C3239" s="73">
        <f t="shared" si="1194"/>
        <v>46538</v>
      </c>
      <c r="D3239" s="67">
        <f t="shared" si="1195"/>
        <v>31</v>
      </c>
      <c r="E3239" s="67">
        <f t="shared" si="1196"/>
        <v>5</v>
      </c>
      <c r="F3239" s="74">
        <f t="shared" si="1197"/>
        <v>46523.5</v>
      </c>
      <c r="G3239" s="67">
        <f t="shared" si="1198"/>
        <v>24328</v>
      </c>
      <c r="H3239" s="75">
        <f t="shared" si="1199"/>
        <v>1</v>
      </c>
      <c r="I3239" s="76">
        <f t="shared" si="1200"/>
        <v>1.05</v>
      </c>
      <c r="J3239" s="76">
        <f t="shared" si="1201"/>
        <v>1.05</v>
      </c>
      <c r="K3239" s="67">
        <f t="shared" si="1202"/>
        <v>0</v>
      </c>
      <c r="L3239" s="67">
        <f t="shared" si="1203"/>
        <v>0</v>
      </c>
      <c r="M3239" s="77">
        <f t="shared" si="1204"/>
        <v>0</v>
      </c>
      <c r="N3239" s="76">
        <f t="shared" si="1205"/>
        <v>1.05</v>
      </c>
      <c r="O3239" s="77">
        <f t="shared" si="1206"/>
        <v>0.91995623632385126</v>
      </c>
      <c r="P3239" s="76">
        <f t="shared" si="1207"/>
        <v>0</v>
      </c>
      <c r="Q3239" s="76">
        <f t="shared" si="1208"/>
        <v>1</v>
      </c>
      <c r="R3239" s="76">
        <f t="shared" si="1209"/>
        <v>0</v>
      </c>
      <c r="S3239" s="76">
        <f t="shared" si="1210"/>
        <v>1.0499500523261347</v>
      </c>
      <c r="T3239" s="76">
        <f t="shared" si="1211"/>
        <v>0.98258966796689184</v>
      </c>
      <c r="U3239" s="76">
        <f t="shared" si="1212"/>
        <v>1.05</v>
      </c>
    </row>
    <row r="3240" spans="1:21" x14ac:dyDescent="0.25">
      <c r="A3240" s="71">
        <v>30</v>
      </c>
      <c r="B3240" s="72">
        <f t="shared" si="1213"/>
        <v>46539</v>
      </c>
      <c r="C3240" s="73">
        <f t="shared" si="1194"/>
        <v>46568</v>
      </c>
      <c r="D3240" s="67">
        <f t="shared" si="1195"/>
        <v>30</v>
      </c>
      <c r="E3240" s="67">
        <f t="shared" si="1196"/>
        <v>6</v>
      </c>
      <c r="F3240" s="74">
        <f t="shared" si="1197"/>
        <v>46554</v>
      </c>
      <c r="G3240" s="67">
        <f t="shared" si="1198"/>
        <v>24329</v>
      </c>
      <c r="H3240" s="75">
        <f t="shared" si="1199"/>
        <v>1</v>
      </c>
      <c r="I3240" s="76">
        <f t="shared" si="1200"/>
        <v>1.05</v>
      </c>
      <c r="J3240" s="76">
        <f t="shared" si="1201"/>
        <v>1.05</v>
      </c>
      <c r="K3240" s="67">
        <f t="shared" si="1202"/>
        <v>0</v>
      </c>
      <c r="L3240" s="67">
        <f t="shared" si="1203"/>
        <v>0</v>
      </c>
      <c r="M3240" s="77">
        <f t="shared" si="1204"/>
        <v>0</v>
      </c>
      <c r="N3240" s="76">
        <f t="shared" si="1205"/>
        <v>1.05</v>
      </c>
      <c r="O3240" s="77">
        <f t="shared" si="1206"/>
        <v>0.92129102844638955</v>
      </c>
      <c r="P3240" s="76">
        <f t="shared" si="1207"/>
        <v>0</v>
      </c>
      <c r="Q3240" s="76">
        <f t="shared" si="1208"/>
        <v>1</v>
      </c>
      <c r="R3240" s="76">
        <f t="shared" si="1209"/>
        <v>0</v>
      </c>
      <c r="S3240" s="76">
        <f t="shared" si="1210"/>
        <v>1.0514734563790316</v>
      </c>
      <c r="T3240" s="76">
        <f t="shared" si="1211"/>
        <v>0.98404052896965077</v>
      </c>
      <c r="U3240" s="76">
        <f t="shared" si="1212"/>
        <v>1.05</v>
      </c>
    </row>
    <row r="3241" spans="1:21" x14ac:dyDescent="0.25">
      <c r="A3241" s="71">
        <v>31</v>
      </c>
      <c r="B3241" s="72">
        <f t="shared" si="1213"/>
        <v>46569</v>
      </c>
      <c r="C3241" s="73">
        <f t="shared" si="1194"/>
        <v>46599</v>
      </c>
      <c r="D3241" s="67">
        <f t="shared" si="1195"/>
        <v>31</v>
      </c>
      <c r="E3241" s="67">
        <f t="shared" si="1196"/>
        <v>7</v>
      </c>
      <c r="F3241" s="74">
        <f t="shared" si="1197"/>
        <v>46584.5</v>
      </c>
      <c r="G3241" s="67">
        <f t="shared" si="1198"/>
        <v>24330</v>
      </c>
      <c r="H3241" s="75">
        <f t="shared" si="1199"/>
        <v>1</v>
      </c>
      <c r="I3241" s="76">
        <f t="shared" si="1200"/>
        <v>1.05</v>
      </c>
      <c r="J3241" s="76">
        <f t="shared" si="1201"/>
        <v>1.05</v>
      </c>
      <c r="K3241" s="67">
        <f t="shared" si="1202"/>
        <v>0</v>
      </c>
      <c r="L3241" s="67">
        <f t="shared" si="1203"/>
        <v>0</v>
      </c>
      <c r="M3241" s="77">
        <f t="shared" si="1204"/>
        <v>0</v>
      </c>
      <c r="N3241" s="76">
        <f t="shared" si="1205"/>
        <v>1.05</v>
      </c>
      <c r="O3241" s="77">
        <f t="shared" si="1206"/>
        <v>0.92262582056892783</v>
      </c>
      <c r="P3241" s="76">
        <f t="shared" si="1207"/>
        <v>0</v>
      </c>
      <c r="Q3241" s="76">
        <f t="shared" si="1208"/>
        <v>0.91666666666666663</v>
      </c>
      <c r="R3241" s="76">
        <f t="shared" si="1209"/>
        <v>8.333333333333337E-2</v>
      </c>
      <c r="S3241" s="76">
        <f t="shared" si="1210"/>
        <v>1.0529968604319284</v>
      </c>
      <c r="T3241" s="76">
        <f t="shared" si="1211"/>
        <v>0.98549138997240981</v>
      </c>
      <c r="U3241" s="76">
        <f t="shared" si="1212"/>
        <v>1.05</v>
      </c>
    </row>
    <row r="3242" spans="1:21" x14ac:dyDescent="0.25">
      <c r="A3242" s="71">
        <v>32</v>
      </c>
      <c r="B3242" s="72">
        <f t="shared" si="1213"/>
        <v>46600</v>
      </c>
      <c r="C3242" s="73">
        <f t="shared" si="1194"/>
        <v>46630</v>
      </c>
      <c r="D3242" s="67">
        <f t="shared" si="1195"/>
        <v>31</v>
      </c>
      <c r="E3242" s="67">
        <f t="shared" si="1196"/>
        <v>8</v>
      </c>
      <c r="F3242" s="74">
        <f t="shared" si="1197"/>
        <v>46615.5</v>
      </c>
      <c r="G3242" s="67">
        <f t="shared" si="1198"/>
        <v>24331</v>
      </c>
      <c r="H3242" s="75">
        <f t="shared" si="1199"/>
        <v>1</v>
      </c>
      <c r="I3242" s="76">
        <f t="shared" si="1200"/>
        <v>1.05</v>
      </c>
      <c r="J3242" s="76">
        <f t="shared" si="1201"/>
        <v>1.05</v>
      </c>
      <c r="K3242" s="67">
        <f t="shared" si="1202"/>
        <v>0</v>
      </c>
      <c r="L3242" s="67">
        <f t="shared" si="1203"/>
        <v>0</v>
      </c>
      <c r="M3242" s="77">
        <f t="shared" si="1204"/>
        <v>0</v>
      </c>
      <c r="N3242" s="76">
        <f t="shared" si="1205"/>
        <v>1.05</v>
      </c>
      <c r="O3242" s="77">
        <f t="shared" si="1206"/>
        <v>0.92398249452954051</v>
      </c>
      <c r="P3242" s="76">
        <f t="shared" si="1207"/>
        <v>0</v>
      </c>
      <c r="Q3242" s="76">
        <f t="shared" si="1208"/>
        <v>0.75</v>
      </c>
      <c r="R3242" s="76">
        <f t="shared" si="1209"/>
        <v>0.25</v>
      </c>
      <c r="S3242" s="76">
        <f t="shared" si="1210"/>
        <v>1.0545452383217582</v>
      </c>
      <c r="T3242" s="76">
        <f t="shared" si="1211"/>
        <v>0.98696603558177143</v>
      </c>
      <c r="U3242" s="76">
        <f t="shared" si="1212"/>
        <v>1.05</v>
      </c>
    </row>
    <row r="3243" spans="1:21" x14ac:dyDescent="0.25">
      <c r="A3243" s="71">
        <v>33</v>
      </c>
      <c r="B3243" s="72">
        <f t="shared" si="1213"/>
        <v>46631</v>
      </c>
      <c r="C3243" s="73">
        <f t="shared" si="1194"/>
        <v>46660</v>
      </c>
      <c r="D3243" s="67">
        <f t="shared" si="1195"/>
        <v>30</v>
      </c>
      <c r="E3243" s="67">
        <f t="shared" si="1196"/>
        <v>9</v>
      </c>
      <c r="F3243" s="74">
        <f t="shared" si="1197"/>
        <v>46646</v>
      </c>
      <c r="G3243" s="67">
        <f t="shared" si="1198"/>
        <v>24332</v>
      </c>
      <c r="H3243" s="75">
        <f t="shared" si="1199"/>
        <v>1</v>
      </c>
      <c r="I3243" s="76">
        <f t="shared" si="1200"/>
        <v>1.05</v>
      </c>
      <c r="J3243" s="76">
        <f t="shared" si="1201"/>
        <v>1.05</v>
      </c>
      <c r="K3243" s="67">
        <f t="shared" si="1202"/>
        <v>0</v>
      </c>
      <c r="L3243" s="67">
        <f t="shared" si="1203"/>
        <v>0</v>
      </c>
      <c r="M3243" s="77">
        <f t="shared" si="1204"/>
        <v>0</v>
      </c>
      <c r="N3243" s="76">
        <f t="shared" si="1205"/>
        <v>1.05</v>
      </c>
      <c r="O3243" s="77">
        <f t="shared" si="1206"/>
        <v>0.9253172866520788</v>
      </c>
      <c r="P3243" s="76">
        <f t="shared" si="1207"/>
        <v>0</v>
      </c>
      <c r="Q3243" s="76">
        <f t="shared" si="1208"/>
        <v>0.58333333333333337</v>
      </c>
      <c r="R3243" s="76">
        <f t="shared" si="1209"/>
        <v>0.41666666666666663</v>
      </c>
      <c r="S3243" s="76">
        <f t="shared" si="1210"/>
        <v>1.0560686423746553</v>
      </c>
      <c r="T3243" s="76">
        <f t="shared" si="1211"/>
        <v>0.98841689658453047</v>
      </c>
      <c r="U3243" s="76">
        <f t="shared" si="1212"/>
        <v>1.05</v>
      </c>
    </row>
    <row r="3244" spans="1:21" x14ac:dyDescent="0.25">
      <c r="A3244" s="71">
        <v>34</v>
      </c>
      <c r="B3244" s="72">
        <f t="shared" si="1213"/>
        <v>46661</v>
      </c>
      <c r="C3244" s="73">
        <f t="shared" si="1194"/>
        <v>46691</v>
      </c>
      <c r="D3244" s="67">
        <f t="shared" si="1195"/>
        <v>31</v>
      </c>
      <c r="E3244" s="67">
        <f t="shared" si="1196"/>
        <v>10</v>
      </c>
      <c r="F3244" s="74">
        <f t="shared" si="1197"/>
        <v>46676.5</v>
      </c>
      <c r="G3244" s="67">
        <f t="shared" si="1198"/>
        <v>24333</v>
      </c>
      <c r="H3244" s="75">
        <f t="shared" si="1199"/>
        <v>1</v>
      </c>
      <c r="I3244" s="76">
        <f t="shared" si="1200"/>
        <v>1.05</v>
      </c>
      <c r="J3244" s="76">
        <f t="shared" si="1201"/>
        <v>1.05</v>
      </c>
      <c r="K3244" s="67">
        <f t="shared" si="1202"/>
        <v>0</v>
      </c>
      <c r="L3244" s="67">
        <f t="shared" si="1203"/>
        <v>0</v>
      </c>
      <c r="M3244" s="77">
        <f t="shared" si="1204"/>
        <v>0</v>
      </c>
      <c r="N3244" s="76">
        <f t="shared" si="1205"/>
        <v>1.05</v>
      </c>
      <c r="O3244" s="77">
        <f t="shared" si="1206"/>
        <v>0.92665207877461708</v>
      </c>
      <c r="P3244" s="76">
        <f t="shared" si="1207"/>
        <v>0</v>
      </c>
      <c r="Q3244" s="76">
        <f t="shared" si="1208"/>
        <v>0.41666666666666669</v>
      </c>
      <c r="R3244" s="76">
        <f t="shared" si="1209"/>
        <v>0.58333333333333326</v>
      </c>
      <c r="S3244" s="76">
        <f t="shared" si="1210"/>
        <v>1.0575920464275521</v>
      </c>
      <c r="T3244" s="76">
        <f t="shared" si="1211"/>
        <v>0.98986775758728951</v>
      </c>
      <c r="U3244" s="76">
        <f t="shared" si="1212"/>
        <v>1.05</v>
      </c>
    </row>
    <row r="3245" spans="1:21" x14ac:dyDescent="0.25">
      <c r="A3245" s="71">
        <v>35</v>
      </c>
      <c r="B3245" s="72">
        <f t="shared" si="1213"/>
        <v>46692</v>
      </c>
      <c r="C3245" s="73">
        <f t="shared" si="1194"/>
        <v>46721</v>
      </c>
      <c r="D3245" s="67">
        <f t="shared" si="1195"/>
        <v>30</v>
      </c>
      <c r="E3245" s="67">
        <f t="shared" si="1196"/>
        <v>11</v>
      </c>
      <c r="F3245" s="74">
        <f t="shared" si="1197"/>
        <v>46707</v>
      </c>
      <c r="G3245" s="67">
        <f t="shared" si="1198"/>
        <v>24334</v>
      </c>
      <c r="H3245" s="75">
        <f t="shared" si="1199"/>
        <v>1</v>
      </c>
      <c r="I3245" s="76">
        <f t="shared" si="1200"/>
        <v>1.05</v>
      </c>
      <c r="J3245" s="76">
        <f t="shared" si="1201"/>
        <v>1.05</v>
      </c>
      <c r="K3245" s="67">
        <f t="shared" si="1202"/>
        <v>0</v>
      </c>
      <c r="L3245" s="67">
        <f t="shared" si="1203"/>
        <v>0</v>
      </c>
      <c r="M3245" s="77">
        <f t="shared" si="1204"/>
        <v>0</v>
      </c>
      <c r="N3245" s="76">
        <f t="shared" si="1205"/>
        <v>1.05</v>
      </c>
      <c r="O3245" s="77">
        <f t="shared" si="1206"/>
        <v>0.92798687089715537</v>
      </c>
      <c r="P3245" s="76">
        <f t="shared" si="1207"/>
        <v>0</v>
      </c>
      <c r="Q3245" s="76">
        <f t="shared" si="1208"/>
        <v>0.25</v>
      </c>
      <c r="R3245" s="76">
        <f t="shared" si="1209"/>
        <v>0.75</v>
      </c>
      <c r="S3245" s="76">
        <f t="shared" si="1210"/>
        <v>1.059115450480449</v>
      </c>
      <c r="T3245" s="76">
        <f t="shared" si="1211"/>
        <v>1.0408845495195511</v>
      </c>
      <c r="U3245" s="76">
        <f t="shared" si="1212"/>
        <v>1.05</v>
      </c>
    </row>
    <row r="3246" spans="1:21" x14ac:dyDescent="0.25">
      <c r="A3246" s="71">
        <v>36</v>
      </c>
      <c r="B3246" s="72">
        <f t="shared" si="1213"/>
        <v>46722</v>
      </c>
      <c r="C3246" s="73">
        <f t="shared" si="1194"/>
        <v>46752</v>
      </c>
      <c r="D3246" s="67">
        <f t="shared" si="1195"/>
        <v>31</v>
      </c>
      <c r="E3246" s="67">
        <f t="shared" si="1196"/>
        <v>12</v>
      </c>
      <c r="F3246" s="74">
        <f t="shared" si="1197"/>
        <v>46737.5</v>
      </c>
      <c r="G3246" s="67">
        <f t="shared" si="1198"/>
        <v>24335</v>
      </c>
      <c r="H3246" s="75">
        <f t="shared" si="1199"/>
        <v>1</v>
      </c>
      <c r="I3246" s="76">
        <f t="shared" si="1200"/>
        <v>1.05</v>
      </c>
      <c r="J3246" s="76">
        <f t="shared" si="1201"/>
        <v>1.05</v>
      </c>
      <c r="K3246" s="67">
        <f t="shared" si="1202"/>
        <v>0</v>
      </c>
      <c r="L3246" s="67">
        <f t="shared" si="1203"/>
        <v>0</v>
      </c>
      <c r="M3246" s="77">
        <f t="shared" si="1204"/>
        <v>0</v>
      </c>
      <c r="N3246" s="76">
        <f t="shared" si="1205"/>
        <v>1.05</v>
      </c>
      <c r="O3246" s="77">
        <f t="shared" si="1206"/>
        <v>0.92932166301969366</v>
      </c>
      <c r="P3246" s="76">
        <f t="shared" si="1207"/>
        <v>0</v>
      </c>
      <c r="Q3246" s="76">
        <f t="shared" si="1208"/>
        <v>8.3333333333333329E-2</v>
      </c>
      <c r="R3246" s="76">
        <f t="shared" si="1209"/>
        <v>0.91666666666666663</v>
      </c>
      <c r="S3246" s="76">
        <f t="shared" si="1210"/>
        <v>1.0606388545333461</v>
      </c>
      <c r="T3246" s="76">
        <f t="shared" si="1211"/>
        <v>1.042407953572448</v>
      </c>
      <c r="U3246" s="76">
        <f t="shared" si="1212"/>
        <v>1.05</v>
      </c>
    </row>
    <row r="3247" spans="1:21" x14ac:dyDescent="0.25">
      <c r="A3247" s="71">
        <v>37</v>
      </c>
      <c r="B3247" s="72">
        <f t="shared" si="1213"/>
        <v>46753</v>
      </c>
      <c r="C3247" s="73">
        <f t="shared" si="1194"/>
        <v>46783</v>
      </c>
      <c r="D3247" s="67">
        <f t="shared" si="1195"/>
        <v>31</v>
      </c>
      <c r="E3247" s="67">
        <f t="shared" si="1196"/>
        <v>1</v>
      </c>
      <c r="F3247" s="74">
        <f t="shared" si="1197"/>
        <v>46768.5</v>
      </c>
      <c r="G3247" s="67">
        <f t="shared" si="1198"/>
        <v>24336</v>
      </c>
      <c r="H3247" s="75">
        <f t="shared" si="1199"/>
        <v>1</v>
      </c>
      <c r="I3247" s="76">
        <f t="shared" si="1200"/>
        <v>1.05</v>
      </c>
      <c r="J3247" s="76">
        <f t="shared" si="1201"/>
        <v>1.05</v>
      </c>
      <c r="K3247" s="67">
        <f t="shared" si="1202"/>
        <v>0</v>
      </c>
      <c r="L3247" s="67">
        <f t="shared" si="1203"/>
        <v>0</v>
      </c>
      <c r="M3247" s="77">
        <f t="shared" si="1204"/>
        <v>0</v>
      </c>
      <c r="N3247" s="76">
        <f t="shared" si="1205"/>
        <v>1.05</v>
      </c>
      <c r="O3247" s="77">
        <f t="shared" si="1206"/>
        <v>0.93</v>
      </c>
      <c r="P3247" s="76">
        <f t="shared" si="1207"/>
        <v>0</v>
      </c>
      <c r="Q3247" s="76">
        <f t="shared" si="1208"/>
        <v>0</v>
      </c>
      <c r="R3247" s="76">
        <f t="shared" si="1209"/>
        <v>1</v>
      </c>
      <c r="S3247" s="76">
        <f t="shared" si="1210"/>
        <v>1.0614130434782609</v>
      </c>
      <c r="T3247" s="76">
        <f t="shared" si="1211"/>
        <v>0.97688136238226619</v>
      </c>
      <c r="U3247" s="76">
        <f t="shared" si="1212"/>
        <v>1.05</v>
      </c>
    </row>
    <row r="3248" spans="1:21" x14ac:dyDescent="0.25">
      <c r="A3248" s="71">
        <v>38</v>
      </c>
      <c r="B3248" s="72">
        <f t="shared" si="1213"/>
        <v>46784</v>
      </c>
      <c r="C3248" s="73">
        <f t="shared" si="1194"/>
        <v>46812</v>
      </c>
      <c r="D3248" s="67">
        <f t="shared" si="1195"/>
        <v>29</v>
      </c>
      <c r="E3248" s="67">
        <f t="shared" si="1196"/>
        <v>2</v>
      </c>
      <c r="F3248" s="74">
        <f t="shared" si="1197"/>
        <v>46798.5</v>
      </c>
      <c r="G3248" s="67">
        <f t="shared" si="1198"/>
        <v>24337</v>
      </c>
      <c r="H3248" s="75">
        <f t="shared" si="1199"/>
        <v>1</v>
      </c>
      <c r="I3248" s="76">
        <f t="shared" si="1200"/>
        <v>1.05</v>
      </c>
      <c r="J3248" s="76">
        <f t="shared" si="1201"/>
        <v>1.05</v>
      </c>
      <c r="K3248" s="67">
        <f t="shared" si="1202"/>
        <v>0</v>
      </c>
      <c r="L3248" s="67">
        <f t="shared" si="1203"/>
        <v>0</v>
      </c>
      <c r="M3248" s="77">
        <f t="shared" si="1204"/>
        <v>0</v>
      </c>
      <c r="N3248" s="76">
        <f t="shared" si="1205"/>
        <v>1.05</v>
      </c>
      <c r="O3248" s="77">
        <f t="shared" si="1206"/>
        <v>0.93</v>
      </c>
      <c r="P3248" s="76">
        <f t="shared" si="1207"/>
        <v>0</v>
      </c>
      <c r="Q3248" s="76">
        <f t="shared" si="1208"/>
        <v>0</v>
      </c>
      <c r="R3248" s="76">
        <f t="shared" si="1209"/>
        <v>1</v>
      </c>
      <c r="S3248" s="76">
        <f t="shared" si="1210"/>
        <v>1.0614130434782609</v>
      </c>
      <c r="T3248" s="76">
        <f t="shared" si="1211"/>
        <v>0.97828465417181998</v>
      </c>
      <c r="U3248" s="76">
        <f t="shared" si="1212"/>
        <v>1.05</v>
      </c>
    </row>
    <row r="3249" spans="1:21" x14ac:dyDescent="0.25">
      <c r="A3249" s="71">
        <v>39</v>
      </c>
      <c r="B3249" s="72">
        <f t="shared" si="1213"/>
        <v>46813</v>
      </c>
      <c r="C3249" s="73">
        <f t="shared" si="1194"/>
        <v>46843</v>
      </c>
      <c r="D3249" s="67">
        <f t="shared" si="1195"/>
        <v>31</v>
      </c>
      <c r="E3249" s="67">
        <f t="shared" si="1196"/>
        <v>3</v>
      </c>
      <c r="F3249" s="74">
        <f t="shared" si="1197"/>
        <v>46828.5</v>
      </c>
      <c r="G3249" s="67">
        <f t="shared" si="1198"/>
        <v>24338</v>
      </c>
      <c r="H3249" s="75">
        <f t="shared" si="1199"/>
        <v>1</v>
      </c>
      <c r="I3249" s="76">
        <f t="shared" si="1200"/>
        <v>1.05</v>
      </c>
      <c r="J3249" s="76">
        <f t="shared" si="1201"/>
        <v>1.05</v>
      </c>
      <c r="K3249" s="67">
        <f t="shared" si="1202"/>
        <v>0</v>
      </c>
      <c r="L3249" s="67">
        <f t="shared" si="1203"/>
        <v>0</v>
      </c>
      <c r="M3249" s="77">
        <f t="shared" si="1204"/>
        <v>0</v>
      </c>
      <c r="N3249" s="76">
        <f t="shared" si="1205"/>
        <v>1.05</v>
      </c>
      <c r="O3249" s="77">
        <f t="shared" si="1206"/>
        <v>0.93</v>
      </c>
      <c r="P3249" s="76">
        <f t="shared" si="1207"/>
        <v>0</v>
      </c>
      <c r="Q3249" s="76">
        <f t="shared" si="1208"/>
        <v>0</v>
      </c>
      <c r="R3249" s="76">
        <f t="shared" si="1209"/>
        <v>1</v>
      </c>
      <c r="S3249" s="76">
        <f t="shared" si="1210"/>
        <v>1.0614130434782609</v>
      </c>
      <c r="T3249" s="76">
        <f t="shared" si="1211"/>
        <v>0.97968794596137376</v>
      </c>
      <c r="U3249" s="76">
        <f t="shared" si="1212"/>
        <v>1.05</v>
      </c>
    </row>
    <row r="3250" spans="1:21" x14ac:dyDescent="0.25">
      <c r="A3250" s="71">
        <v>40</v>
      </c>
      <c r="B3250" s="72">
        <f t="shared" si="1213"/>
        <v>46844</v>
      </c>
      <c r="C3250" s="73">
        <f t="shared" si="1194"/>
        <v>46873</v>
      </c>
      <c r="D3250" s="67">
        <f t="shared" si="1195"/>
        <v>30</v>
      </c>
      <c r="E3250" s="67">
        <f t="shared" si="1196"/>
        <v>4</v>
      </c>
      <c r="F3250" s="74">
        <f t="shared" si="1197"/>
        <v>46859</v>
      </c>
      <c r="G3250" s="67">
        <f t="shared" si="1198"/>
        <v>24339</v>
      </c>
      <c r="H3250" s="75">
        <f t="shared" si="1199"/>
        <v>1</v>
      </c>
      <c r="I3250" s="76">
        <f t="shared" si="1200"/>
        <v>1.05</v>
      </c>
      <c r="J3250" s="76">
        <f t="shared" si="1201"/>
        <v>1.05</v>
      </c>
      <c r="K3250" s="67">
        <f t="shared" si="1202"/>
        <v>0</v>
      </c>
      <c r="L3250" s="67">
        <f t="shared" si="1203"/>
        <v>0</v>
      </c>
      <c r="M3250" s="77">
        <f t="shared" si="1204"/>
        <v>0</v>
      </c>
      <c r="N3250" s="76">
        <f t="shared" si="1205"/>
        <v>1.05</v>
      </c>
      <c r="O3250" s="77">
        <f t="shared" si="1206"/>
        <v>0.93</v>
      </c>
      <c r="P3250" s="76">
        <f t="shared" si="1207"/>
        <v>0</v>
      </c>
      <c r="Q3250" s="76">
        <f t="shared" si="1208"/>
        <v>0</v>
      </c>
      <c r="R3250" s="76">
        <f t="shared" si="1209"/>
        <v>1</v>
      </c>
      <c r="S3250" s="76">
        <f t="shared" si="1210"/>
        <v>1.0614130434782609</v>
      </c>
      <c r="T3250" s="76">
        <f t="shared" si="1211"/>
        <v>0.9811388069641328</v>
      </c>
      <c r="U3250" s="76">
        <f t="shared" si="1212"/>
        <v>1.05</v>
      </c>
    </row>
    <row r="3251" spans="1:21" x14ac:dyDescent="0.25">
      <c r="A3251" s="71">
        <v>41</v>
      </c>
      <c r="B3251" s="72">
        <f t="shared" si="1213"/>
        <v>46874</v>
      </c>
      <c r="C3251" s="73">
        <f t="shared" si="1194"/>
        <v>46904</v>
      </c>
      <c r="D3251" s="67">
        <f t="shared" si="1195"/>
        <v>31</v>
      </c>
      <c r="E3251" s="67">
        <f t="shared" si="1196"/>
        <v>5</v>
      </c>
      <c r="F3251" s="74">
        <f t="shared" si="1197"/>
        <v>46889.5</v>
      </c>
      <c r="G3251" s="67">
        <f t="shared" si="1198"/>
        <v>24340</v>
      </c>
      <c r="H3251" s="75">
        <f t="shared" si="1199"/>
        <v>1</v>
      </c>
      <c r="I3251" s="76">
        <f t="shared" si="1200"/>
        <v>1.05</v>
      </c>
      <c r="J3251" s="76">
        <f t="shared" si="1201"/>
        <v>1.05</v>
      </c>
      <c r="K3251" s="67">
        <f t="shared" si="1202"/>
        <v>0</v>
      </c>
      <c r="L3251" s="67">
        <f t="shared" si="1203"/>
        <v>0</v>
      </c>
      <c r="M3251" s="77">
        <f t="shared" si="1204"/>
        <v>0</v>
      </c>
      <c r="N3251" s="76">
        <f t="shared" si="1205"/>
        <v>1.05</v>
      </c>
      <c r="O3251" s="77">
        <f t="shared" si="1206"/>
        <v>0.93</v>
      </c>
      <c r="P3251" s="76">
        <f t="shared" si="1207"/>
        <v>0</v>
      </c>
      <c r="Q3251" s="76">
        <f t="shared" si="1208"/>
        <v>0</v>
      </c>
      <c r="R3251" s="76">
        <f t="shared" si="1209"/>
        <v>1</v>
      </c>
      <c r="S3251" s="76">
        <f t="shared" si="1210"/>
        <v>1.0614130434782609</v>
      </c>
      <c r="T3251" s="76">
        <f t="shared" si="1211"/>
        <v>0.98258966796689184</v>
      </c>
      <c r="U3251" s="76">
        <f t="shared" si="1212"/>
        <v>1.05</v>
      </c>
    </row>
    <row r="3252" spans="1:21" x14ac:dyDescent="0.25">
      <c r="A3252" s="71">
        <v>42</v>
      </c>
      <c r="B3252" s="72">
        <f t="shared" si="1213"/>
        <v>46905</v>
      </c>
      <c r="C3252" s="73">
        <f t="shared" si="1194"/>
        <v>46934</v>
      </c>
      <c r="D3252" s="67">
        <f t="shared" si="1195"/>
        <v>30</v>
      </c>
      <c r="E3252" s="67">
        <f t="shared" si="1196"/>
        <v>6</v>
      </c>
      <c r="F3252" s="74">
        <f t="shared" si="1197"/>
        <v>46920</v>
      </c>
      <c r="G3252" s="67">
        <f t="shared" si="1198"/>
        <v>24341</v>
      </c>
      <c r="H3252" s="75">
        <f t="shared" si="1199"/>
        <v>1</v>
      </c>
      <c r="I3252" s="76">
        <f t="shared" si="1200"/>
        <v>1.05</v>
      </c>
      <c r="J3252" s="76">
        <f t="shared" si="1201"/>
        <v>1.05</v>
      </c>
      <c r="K3252" s="67">
        <f t="shared" si="1202"/>
        <v>0</v>
      </c>
      <c r="L3252" s="67">
        <f t="shared" si="1203"/>
        <v>0</v>
      </c>
      <c r="M3252" s="77">
        <f t="shared" si="1204"/>
        <v>0</v>
      </c>
      <c r="N3252" s="76">
        <f t="shared" si="1205"/>
        <v>1.05</v>
      </c>
      <c r="O3252" s="77">
        <f t="shared" si="1206"/>
        <v>0.93</v>
      </c>
      <c r="P3252" s="76">
        <f t="shared" si="1207"/>
        <v>0</v>
      </c>
      <c r="Q3252" s="76">
        <f t="shared" si="1208"/>
        <v>0</v>
      </c>
      <c r="R3252" s="76">
        <f t="shared" si="1209"/>
        <v>1</v>
      </c>
      <c r="S3252" s="76">
        <f t="shared" si="1210"/>
        <v>1.0614130434782609</v>
      </c>
      <c r="T3252" s="76">
        <f t="shared" si="1211"/>
        <v>0.98404052896965077</v>
      </c>
      <c r="U3252" s="76">
        <f t="shared" si="1212"/>
        <v>1.05</v>
      </c>
    </row>
    <row r="3253" spans="1:21" x14ac:dyDescent="0.25">
      <c r="A3253" s="71">
        <v>43</v>
      </c>
      <c r="B3253" s="72">
        <f t="shared" si="1213"/>
        <v>46935</v>
      </c>
      <c r="C3253" s="73">
        <f t="shared" si="1194"/>
        <v>46965</v>
      </c>
      <c r="D3253" s="67">
        <f t="shared" si="1195"/>
        <v>31</v>
      </c>
      <c r="E3253" s="67">
        <f t="shared" si="1196"/>
        <v>7</v>
      </c>
      <c r="F3253" s="74">
        <f t="shared" si="1197"/>
        <v>46950.5</v>
      </c>
      <c r="G3253" s="67">
        <f t="shared" si="1198"/>
        <v>24342</v>
      </c>
      <c r="H3253" s="75">
        <f t="shared" si="1199"/>
        <v>1</v>
      </c>
      <c r="I3253" s="76">
        <f t="shared" si="1200"/>
        <v>1.05</v>
      </c>
      <c r="J3253" s="76">
        <f t="shared" si="1201"/>
        <v>1.05</v>
      </c>
      <c r="K3253" s="67">
        <f t="shared" si="1202"/>
        <v>0</v>
      </c>
      <c r="L3253" s="67">
        <f t="shared" si="1203"/>
        <v>0</v>
      </c>
      <c r="M3253" s="77">
        <f t="shared" si="1204"/>
        <v>0</v>
      </c>
      <c r="N3253" s="76">
        <f t="shared" si="1205"/>
        <v>1.05</v>
      </c>
      <c r="O3253" s="77">
        <f t="shared" si="1206"/>
        <v>0.93</v>
      </c>
      <c r="P3253" s="76">
        <f t="shared" si="1207"/>
        <v>0</v>
      </c>
      <c r="Q3253" s="76">
        <f t="shared" si="1208"/>
        <v>0</v>
      </c>
      <c r="R3253" s="76">
        <f t="shared" si="1209"/>
        <v>0.91666666666666663</v>
      </c>
      <c r="S3253" s="76">
        <f t="shared" si="1210"/>
        <v>1.0614130434782609</v>
      </c>
      <c r="T3253" s="76">
        <f t="shared" si="1211"/>
        <v>0.98549138997240981</v>
      </c>
      <c r="U3253" s="76">
        <f t="shared" si="1212"/>
        <v>1.05</v>
      </c>
    </row>
    <row r="3254" spans="1:21" x14ac:dyDescent="0.25">
      <c r="A3254" s="71">
        <v>44</v>
      </c>
      <c r="B3254" s="72">
        <f t="shared" si="1213"/>
        <v>46966</v>
      </c>
      <c r="C3254" s="73">
        <f t="shared" si="1194"/>
        <v>46996</v>
      </c>
      <c r="D3254" s="67">
        <f t="shared" si="1195"/>
        <v>31</v>
      </c>
      <c r="E3254" s="67">
        <f t="shared" si="1196"/>
        <v>8</v>
      </c>
      <c r="F3254" s="74">
        <f t="shared" si="1197"/>
        <v>46981.5</v>
      </c>
      <c r="G3254" s="67">
        <f t="shared" si="1198"/>
        <v>24343</v>
      </c>
      <c r="H3254" s="75">
        <f t="shared" si="1199"/>
        <v>1</v>
      </c>
      <c r="I3254" s="76">
        <f t="shared" si="1200"/>
        <v>1.05</v>
      </c>
      <c r="J3254" s="76">
        <f t="shared" si="1201"/>
        <v>1.05</v>
      </c>
      <c r="K3254" s="67">
        <f t="shared" si="1202"/>
        <v>0</v>
      </c>
      <c r="L3254" s="67">
        <f t="shared" si="1203"/>
        <v>0</v>
      </c>
      <c r="M3254" s="77">
        <f t="shared" si="1204"/>
        <v>0</v>
      </c>
      <c r="N3254" s="76">
        <f t="shared" si="1205"/>
        <v>1.05</v>
      </c>
      <c r="O3254" s="77">
        <f t="shared" si="1206"/>
        <v>0.93</v>
      </c>
      <c r="P3254" s="76">
        <f t="shared" si="1207"/>
        <v>0</v>
      </c>
      <c r="Q3254" s="76">
        <f t="shared" si="1208"/>
        <v>0</v>
      </c>
      <c r="R3254" s="76">
        <f t="shared" si="1209"/>
        <v>0.75</v>
      </c>
      <c r="S3254" s="76">
        <f t="shared" si="1210"/>
        <v>1.0614130434782609</v>
      </c>
      <c r="T3254" s="76">
        <f t="shared" si="1211"/>
        <v>0.98696603558177143</v>
      </c>
      <c r="U3254" s="76">
        <f t="shared" si="1212"/>
        <v>1.05</v>
      </c>
    </row>
    <row r="3255" spans="1:21" x14ac:dyDescent="0.25">
      <c r="A3255" s="71">
        <v>45</v>
      </c>
      <c r="B3255" s="72">
        <f t="shared" si="1213"/>
        <v>46997</v>
      </c>
      <c r="C3255" s="73">
        <f t="shared" si="1194"/>
        <v>47026</v>
      </c>
      <c r="D3255" s="67">
        <f t="shared" si="1195"/>
        <v>30</v>
      </c>
      <c r="E3255" s="67">
        <f t="shared" si="1196"/>
        <v>9</v>
      </c>
      <c r="F3255" s="74">
        <f t="shared" si="1197"/>
        <v>47012</v>
      </c>
      <c r="G3255" s="67">
        <f t="shared" si="1198"/>
        <v>24344</v>
      </c>
      <c r="H3255" s="75">
        <f t="shared" si="1199"/>
        <v>1</v>
      </c>
      <c r="I3255" s="76">
        <f t="shared" si="1200"/>
        <v>1.05</v>
      </c>
      <c r="J3255" s="76">
        <f t="shared" si="1201"/>
        <v>1.05</v>
      </c>
      <c r="K3255" s="67">
        <f t="shared" si="1202"/>
        <v>0</v>
      </c>
      <c r="L3255" s="67">
        <f t="shared" si="1203"/>
        <v>0</v>
      </c>
      <c r="M3255" s="77">
        <f t="shared" si="1204"/>
        <v>0</v>
      </c>
      <c r="N3255" s="76">
        <f t="shared" si="1205"/>
        <v>1.05</v>
      </c>
      <c r="O3255" s="77">
        <f t="shared" si="1206"/>
        <v>0.93</v>
      </c>
      <c r="P3255" s="76">
        <f t="shared" si="1207"/>
        <v>0</v>
      </c>
      <c r="Q3255" s="76">
        <f t="shared" si="1208"/>
        <v>0</v>
      </c>
      <c r="R3255" s="76">
        <f t="shared" si="1209"/>
        <v>0.58333333333333337</v>
      </c>
      <c r="S3255" s="76">
        <f t="shared" si="1210"/>
        <v>1.0614130434782609</v>
      </c>
      <c r="T3255" s="76">
        <f t="shared" si="1211"/>
        <v>0.98841689658453047</v>
      </c>
      <c r="U3255" s="76">
        <f t="shared" si="1212"/>
        <v>1.05</v>
      </c>
    </row>
    <row r="3256" spans="1:21" x14ac:dyDescent="0.25">
      <c r="A3256" s="71">
        <v>46</v>
      </c>
      <c r="B3256" s="72">
        <f t="shared" si="1213"/>
        <v>47027</v>
      </c>
      <c r="C3256" s="73">
        <f t="shared" si="1194"/>
        <v>47057</v>
      </c>
      <c r="D3256" s="67">
        <f t="shared" si="1195"/>
        <v>31</v>
      </c>
      <c r="E3256" s="67">
        <f t="shared" si="1196"/>
        <v>10</v>
      </c>
      <c r="F3256" s="74">
        <f t="shared" si="1197"/>
        <v>47042.5</v>
      </c>
      <c r="G3256" s="67">
        <f t="shared" si="1198"/>
        <v>24345</v>
      </c>
      <c r="H3256" s="75">
        <f t="shared" si="1199"/>
        <v>1</v>
      </c>
      <c r="I3256" s="76">
        <f t="shared" si="1200"/>
        <v>1.05</v>
      </c>
      <c r="J3256" s="76">
        <f t="shared" si="1201"/>
        <v>1.05</v>
      </c>
      <c r="K3256" s="67">
        <f t="shared" si="1202"/>
        <v>0</v>
      </c>
      <c r="L3256" s="67">
        <f t="shared" si="1203"/>
        <v>0</v>
      </c>
      <c r="M3256" s="77">
        <f t="shared" si="1204"/>
        <v>0</v>
      </c>
      <c r="N3256" s="76">
        <f t="shared" si="1205"/>
        <v>1.05</v>
      </c>
      <c r="O3256" s="77">
        <f t="shared" si="1206"/>
        <v>0.93</v>
      </c>
      <c r="P3256" s="76">
        <f t="shared" si="1207"/>
        <v>0</v>
      </c>
      <c r="Q3256" s="76">
        <f t="shared" si="1208"/>
        <v>0</v>
      </c>
      <c r="R3256" s="76">
        <f t="shared" si="1209"/>
        <v>0.41666666666666669</v>
      </c>
      <c r="S3256" s="76">
        <f t="shared" si="1210"/>
        <v>1.0614130434782609</v>
      </c>
      <c r="T3256" s="76">
        <f t="shared" si="1211"/>
        <v>0.98986775758728951</v>
      </c>
      <c r="U3256" s="76">
        <f t="shared" si="1212"/>
        <v>1.05</v>
      </c>
    </row>
    <row r="3257" spans="1:21" x14ac:dyDescent="0.25">
      <c r="A3257" s="71">
        <v>47</v>
      </c>
      <c r="B3257" s="72">
        <f t="shared" si="1213"/>
        <v>47058</v>
      </c>
      <c r="C3257" s="73">
        <f t="shared" si="1194"/>
        <v>47087</v>
      </c>
      <c r="D3257" s="67">
        <f t="shared" si="1195"/>
        <v>30</v>
      </c>
      <c r="E3257" s="67">
        <f t="shared" si="1196"/>
        <v>11</v>
      </c>
      <c r="F3257" s="74">
        <f t="shared" si="1197"/>
        <v>47073</v>
      </c>
      <c r="G3257" s="67">
        <f t="shared" si="1198"/>
        <v>24346</v>
      </c>
      <c r="H3257" s="75">
        <f t="shared" si="1199"/>
        <v>1</v>
      </c>
      <c r="I3257" s="76">
        <f t="shared" si="1200"/>
        <v>1.05</v>
      </c>
      <c r="J3257" s="76">
        <f t="shared" si="1201"/>
        <v>1.05</v>
      </c>
      <c r="K3257" s="67">
        <f t="shared" si="1202"/>
        <v>0</v>
      </c>
      <c r="L3257" s="67">
        <f t="shared" si="1203"/>
        <v>0</v>
      </c>
      <c r="M3257" s="77">
        <f t="shared" si="1204"/>
        <v>0</v>
      </c>
      <c r="N3257" s="76">
        <f t="shared" si="1205"/>
        <v>1.05</v>
      </c>
      <c r="O3257" s="77">
        <f t="shared" si="1206"/>
        <v>0.93</v>
      </c>
      <c r="P3257" s="76">
        <f t="shared" si="1207"/>
        <v>0</v>
      </c>
      <c r="Q3257" s="76">
        <f t="shared" si="1208"/>
        <v>0</v>
      </c>
      <c r="R3257" s="76">
        <f t="shared" si="1209"/>
        <v>0.25</v>
      </c>
      <c r="S3257" s="76">
        <f t="shared" si="1210"/>
        <v>1.0614130434782609</v>
      </c>
      <c r="T3257" s="76">
        <f t="shared" si="1211"/>
        <v>1.0408845495195511</v>
      </c>
      <c r="U3257" s="76">
        <f t="shared" si="1212"/>
        <v>1.05</v>
      </c>
    </row>
    <row r="3258" spans="1:21" x14ac:dyDescent="0.25">
      <c r="A3258" s="71">
        <v>48</v>
      </c>
      <c r="B3258" s="72">
        <f t="shared" si="1213"/>
        <v>47088</v>
      </c>
      <c r="C3258" s="73">
        <f t="shared" si="1194"/>
        <v>47118</v>
      </c>
      <c r="D3258" s="67">
        <f t="shared" si="1195"/>
        <v>31</v>
      </c>
      <c r="E3258" s="67">
        <f t="shared" si="1196"/>
        <v>12</v>
      </c>
      <c r="F3258" s="74">
        <f t="shared" si="1197"/>
        <v>47103.5</v>
      </c>
      <c r="G3258" s="67">
        <f t="shared" si="1198"/>
        <v>24347</v>
      </c>
      <c r="H3258" s="75">
        <f t="shared" si="1199"/>
        <v>1</v>
      </c>
      <c r="I3258" s="76">
        <f t="shared" si="1200"/>
        <v>1.05</v>
      </c>
      <c r="J3258" s="76">
        <f t="shared" si="1201"/>
        <v>1.05</v>
      </c>
      <c r="K3258" s="67">
        <f t="shared" si="1202"/>
        <v>0</v>
      </c>
      <c r="L3258" s="67">
        <f t="shared" si="1203"/>
        <v>0</v>
      </c>
      <c r="M3258" s="77">
        <f t="shared" si="1204"/>
        <v>0</v>
      </c>
      <c r="N3258" s="76">
        <f t="shared" si="1205"/>
        <v>1.05</v>
      </c>
      <c r="O3258" s="77">
        <f t="shared" si="1206"/>
        <v>0.93</v>
      </c>
      <c r="P3258" s="76">
        <f t="shared" si="1207"/>
        <v>0</v>
      </c>
      <c r="Q3258" s="76">
        <f t="shared" si="1208"/>
        <v>0</v>
      </c>
      <c r="R3258" s="76">
        <f t="shared" si="1209"/>
        <v>8.3333333333333329E-2</v>
      </c>
      <c r="S3258" s="76">
        <f t="shared" si="1210"/>
        <v>1.0614130434782609</v>
      </c>
      <c r="T3258" s="76">
        <f t="shared" si="1211"/>
        <v>1.042407953572448</v>
      </c>
      <c r="U3258" s="76">
        <f t="shared" si="1212"/>
        <v>1.05</v>
      </c>
    </row>
    <row r="3259" spans="1:21" x14ac:dyDescent="0.25">
      <c r="A3259" s="81" t="s">
        <v>1187</v>
      </c>
      <c r="B3259" s="53">
        <f>EXP(SUMPRODUCT((rl_key=$A$3208)*(rl_cons="Y")*rl_ln1p))</f>
        <v>1.05</v>
      </c>
      <c r="C3259" s="53">
        <f>SUMPRODUCT($H$3211:$H$3258,$P$3211:$P$3258,$U$3211:$U$3258)/SUMPRODUCT($H$3211:$H$3258,$P$3211:$P$3258)</f>
        <v>1.0013888888888889</v>
      </c>
      <c r="D3259" s="53">
        <f>SUMPRODUCT($H$3211:$H$3258,$Q$3211:$Q$3258,$U$3211:$U$3258)/SUMPRODUCT($H$3211:$H$3258,$Q$3211:$Q$3258)</f>
        <v>1.0444444444444445</v>
      </c>
      <c r="E3259" s="53">
        <f>SUMPRODUCT($H$3211:$H$3258,$R$3211:$R$3258,$U$3211:$U$3258)/SUMPRODUCT($H$3211:$H$3258,$R$3211:$R$3258)</f>
        <v>1.05</v>
      </c>
      <c r="F3259" s="172">
        <f>SUMPRODUCT($H$3211:$H$3258,$Q$3211:$Q$3258,$O$3211:$O$3258)/SUMPRODUCT($H$3211:$H$3258,$Q$3211:$Q$3258)</f>
        <v>0.91798504741064912</v>
      </c>
      <c r="G3259" s="172">
        <f>SUMPRODUCT($H$3211:$H$3258,$R$3211:$R$3258,$O$3211:$O$3258)/SUMPRODUCT($H$3211:$H$3258,$R$3211:$R$3258)</f>
        <v>0.92932044736202268</v>
      </c>
    </row>
    <row r="3262" spans="1:21" x14ac:dyDescent="0.25">
      <c r="A3262" s="81" t="str">
        <f>INDEX(lr_key,60)</f>
        <v>BU-C|OH</v>
      </c>
      <c r="B3262" s="81" t="str">
        <f>INDEX(lr_state,60)</f>
        <v>OH</v>
      </c>
      <c r="C3262" s="55">
        <f>nr_TermMonths</f>
        <v>6</v>
      </c>
      <c r="D3262" s="55">
        <f>IF(COUNTIF(se_state,$B3262)=0,0,MATCH($B3262,se_state,0))</f>
        <v>0</v>
      </c>
      <c r="E3262" s="57">
        <f>IF($D3262=0,0,INDEX(se_sum,$D3262))</f>
        <v>0</v>
      </c>
      <c r="F3262" s="172">
        <f>IF(N(INDEX(lr_mind,60))=0,1,INDEX(lr_mind,60))</f>
        <v>0.92</v>
      </c>
      <c r="G3262" s="172">
        <f>IF(N(INDEX(lr_m0,60))=0,1,INDEX(lr_m0,60))</f>
        <v>0.91</v>
      </c>
      <c r="H3262" s="54">
        <f>IF(N(INDEX(lr_m0asof,60))=0,DATE(nr_PlanYear-1,10,1),INDEX(lr_m0asof,60))</f>
        <v>46295</v>
      </c>
      <c r="I3262" s="172">
        <f>IF(N(INDEX(lr_m1,60))=0,1,INDEX(lr_m1,60))</f>
        <v>0.91</v>
      </c>
      <c r="J3262" s="172">
        <f>INDEX(lr_mprior,60)</f>
        <v>0</v>
      </c>
      <c r="K3262" s="172">
        <f>INDEX(lr_m2,60)</f>
        <v>0</v>
      </c>
      <c r="L3262" s="81" t="b">
        <f>NOT(ISBLANK(INDEX(lr_netp,60)))</f>
        <v>0</v>
      </c>
      <c r="M3262" s="52">
        <f>N(INDEX(lr_netp,60))</f>
        <v>0</v>
      </c>
      <c r="N3262" s="52">
        <f>IF(ISBLANK(INDEX(lr_netp1,60)),$M$3262,N(INDEX(lr_netp1,60)))</f>
        <v>0</v>
      </c>
      <c r="O3262" s="55">
        <f>IF(AND(nr_ModAdjMaster="ON",INDEX(lr_modadj,60)="ON"),1,0)</f>
        <v>1</v>
      </c>
    </row>
    <row r="3263" spans="1:21" x14ac:dyDescent="0.25">
      <c r="A3263" s="81">
        <f>EDATE($H$3262,-12)+1</f>
        <v>45931</v>
      </c>
      <c r="B3263" s="81">
        <f>$H$3262+1</f>
        <v>46296</v>
      </c>
      <c r="C3263" s="81">
        <f>DATE(nr_PlanYear,12,31)+1</f>
        <v>46753</v>
      </c>
      <c r="D3263" s="81">
        <f>DATE(nr_PlanYear+1,12,31)+1</f>
        <v>47119</v>
      </c>
      <c r="E3263" s="81">
        <f>IF(N($J$3262)=0,$F$3263-($G$3263-$F$3263)/($C$3263-$B$3263)*($B$3263-$A$3263),$J$3262)</f>
        <v>0.91</v>
      </c>
      <c r="F3263" s="81">
        <f>$G$3262</f>
        <v>0.91</v>
      </c>
      <c r="G3263" s="81">
        <f>$I$3262</f>
        <v>0.91</v>
      </c>
      <c r="H3263" s="81">
        <f>IF(N($K$3262)=0,$I$3262,$K$3262)</f>
        <v>0.91</v>
      </c>
      <c r="I3263" s="81">
        <f>($F$3263-$E$3263)/($B$3263-$A$3263)</f>
        <v>0</v>
      </c>
      <c r="J3263" s="81">
        <f>($G$3263-$F$3263)/($C$3263-$B$3263)</f>
        <v>0</v>
      </c>
      <c r="K3263" s="81">
        <f>($H$3263-$G$3263)/($D$3263-$C$3263)</f>
        <v>0</v>
      </c>
    </row>
    <row r="3264" spans="1:21" ht="36" x14ac:dyDescent="0.25">
      <c r="A3264" s="50" t="s">
        <v>211</v>
      </c>
      <c r="B3264" s="50" t="s">
        <v>212</v>
      </c>
      <c r="C3264" s="50" t="s">
        <v>213</v>
      </c>
      <c r="D3264" s="50" t="s">
        <v>214</v>
      </c>
      <c r="E3264" s="50" t="s">
        <v>215</v>
      </c>
      <c r="F3264" s="50" t="s">
        <v>216</v>
      </c>
      <c r="G3264" s="50" t="s">
        <v>217</v>
      </c>
      <c r="H3264" s="50" t="s">
        <v>218</v>
      </c>
      <c r="I3264" s="50" t="s">
        <v>219</v>
      </c>
      <c r="J3264" s="50" t="s">
        <v>220</v>
      </c>
      <c r="K3264" s="50" t="s">
        <v>221</v>
      </c>
      <c r="L3264" s="50" t="s">
        <v>222</v>
      </c>
      <c r="M3264" s="50" t="s">
        <v>223</v>
      </c>
      <c r="N3264" s="50" t="s">
        <v>224</v>
      </c>
      <c r="O3264" s="50" t="s">
        <v>225</v>
      </c>
      <c r="P3264" s="50" t="s">
        <v>226</v>
      </c>
      <c r="Q3264" s="50" t="s">
        <v>227</v>
      </c>
      <c r="R3264" s="50" t="s">
        <v>228</v>
      </c>
      <c r="S3264" s="50" t="s">
        <v>229</v>
      </c>
      <c r="T3264" s="50" t="s">
        <v>230</v>
      </c>
      <c r="U3264" s="50" t="s">
        <v>231</v>
      </c>
    </row>
    <row r="3265" spans="1:21" x14ac:dyDescent="0.25">
      <c r="A3265" s="71">
        <v>1</v>
      </c>
      <c r="B3265" s="72">
        <f>DATE(nr_PlanYear-2,1,1)</f>
        <v>45658</v>
      </c>
      <c r="C3265" s="73">
        <f t="shared" ref="C3265:C3312" si="1214">EOMONTH($B3265,0)</f>
        <v>45688</v>
      </c>
      <c r="D3265" s="67">
        <f t="shared" ref="D3265:D3312" si="1215">$C3265-$B3265+1</f>
        <v>31</v>
      </c>
      <c r="E3265" s="67">
        <f t="shared" ref="E3265:E3312" si="1216">MONTH($B3265)</f>
        <v>1</v>
      </c>
      <c r="F3265" s="74">
        <f t="shared" ref="F3265:F3312" si="1217">($B3265+$C3265+1)/2</f>
        <v>45673.5</v>
      </c>
      <c r="G3265" s="67">
        <f t="shared" ref="G3265:G3312" si="1218">YEAR($B3265)*12+MONTH($B3265)-1</f>
        <v>24300</v>
      </c>
      <c r="H3265" s="75">
        <f t="shared" ref="H3265:H3312" si="1219">IF(OR(nr_SeasonOn="OFF",$D$3262=0,$E$3262=0),1,12*INDEX(se_block,$D$3262,$E3265)/$E$3262)</f>
        <v>1</v>
      </c>
      <c r="I3265" s="76">
        <f t="shared" ref="I3265:I3312" si="1220">EXP(SUMPRODUCT((rl_eff&lt;$B3265)*(rl_key=$A$3262)*rl_ln1p))</f>
        <v>1</v>
      </c>
      <c r="J3265" s="76">
        <f t="shared" ref="J3265:J3312" si="1221">EXP(SUMPRODUCT((rl_eff&lt;=$C3265)*(rl_key=$A$3262)*rl_ln1p))</f>
        <v>1</v>
      </c>
      <c r="K3265" s="67">
        <f t="shared" ref="K3265:K3312" si="1222">COUNTIFS(rl_key,$A$3262,rl_eff,"&gt;="&amp;$B3265,rl_eff,"&lt;="&amp;$C3265)</f>
        <v>0</v>
      </c>
      <c r="L3265" s="67">
        <f t="shared" ref="L3265:L3312" si="1223">SUMIFS(rl_daysafter,rl_key,$A$3262,rl_effmonth,$B3265,rl_first,1)</f>
        <v>0</v>
      </c>
      <c r="M3265" s="77">
        <f t="shared" ref="M3265:M3312" si="1224">IF($K3265=0,0,MIN(1,$L3265/$D3265))</f>
        <v>0</v>
      </c>
      <c r="N3265" s="76">
        <f t="shared" ref="N3265:N3312" si="1225">IF($K3265=0,$J3265,(1-$M3265)*$I3265+$M3265*$J3265)</f>
        <v>1</v>
      </c>
      <c r="O3265" s="77">
        <f t="shared" ref="O3265:O3312" si="1226">IF($F3265&lt;$B$3263,$E$3263+$I$3263*($F3265-$A$3263),IF($F3265&lt;$C$3263,$F$3263+$J$3263*($F3265-$B$3263),$G$3263+$K$3263*($F3265-$C$3263)))</f>
        <v>0.91</v>
      </c>
      <c r="P3265" s="76">
        <f t="shared" ref="P3265:P3312" si="1227">MIN(1,MAX(0,(nr_MEndPm1-$G3265+0.5)/$C$3262))-MIN(1,MAX(0,(nr_MStartPm1-1-$G3265+0.5)/$C$3262))</f>
        <v>0</v>
      </c>
      <c r="Q3265" s="76">
        <f t="shared" ref="Q3265:Q3312" si="1228">MIN(1,MAX(0,(nr_MEndP-$G3265+0.5)/$C$3262))-MIN(1,MAX(0,(nr_MStartP-1-$G3265+0.5)/$C$3262))</f>
        <v>0</v>
      </c>
      <c r="R3265" s="76">
        <f t="shared" ref="R3265:R3312" si="1229">MIN(1,MAX(0,(nr_MEndP1-$G3265+0.5)/$C$3262))-MIN(1,MAX(0,(nr_MStartP1-1-$G3265+0.5)/$C$3262))</f>
        <v>0</v>
      </c>
      <c r="S3265" s="76">
        <f t="shared" ref="S3265:S3312" si="1230">$N3265*IF($O$3262=1,$O3265/$F$3262,1)</f>
        <v>0.98913043478260865</v>
      </c>
      <c r="T3265" s="76">
        <f t="shared" ref="T3265:T3312" si="1231">IF($G3265&lt;nr_MStartP,$S3265,$T3253*(1+IF($G3265&lt;nr_MStartP1,$M$3262,$N$3262)))</f>
        <v>0.98913043478260865</v>
      </c>
      <c r="U3265" s="76">
        <f t="shared" ref="U3265:U3312" si="1232">IF($L$3262,$T3265,$N3265)</f>
        <v>1</v>
      </c>
    </row>
    <row r="3266" spans="1:21" x14ac:dyDescent="0.25">
      <c r="A3266" s="71">
        <v>2</v>
      </c>
      <c r="B3266" s="72">
        <f t="shared" ref="B3266:B3312" si="1233">EDATE($B3265,1)</f>
        <v>45689</v>
      </c>
      <c r="C3266" s="73">
        <f t="shared" si="1214"/>
        <v>45716</v>
      </c>
      <c r="D3266" s="67">
        <f t="shared" si="1215"/>
        <v>28</v>
      </c>
      <c r="E3266" s="67">
        <f t="shared" si="1216"/>
        <v>2</v>
      </c>
      <c r="F3266" s="74">
        <f t="shared" si="1217"/>
        <v>45703</v>
      </c>
      <c r="G3266" s="67">
        <f t="shared" si="1218"/>
        <v>24301</v>
      </c>
      <c r="H3266" s="75">
        <f t="shared" si="1219"/>
        <v>1</v>
      </c>
      <c r="I3266" s="76">
        <f t="shared" si="1220"/>
        <v>1</v>
      </c>
      <c r="J3266" s="76">
        <f t="shared" si="1221"/>
        <v>1</v>
      </c>
      <c r="K3266" s="67">
        <f t="shared" si="1222"/>
        <v>0</v>
      </c>
      <c r="L3266" s="67">
        <f t="shared" si="1223"/>
        <v>0</v>
      </c>
      <c r="M3266" s="77">
        <f t="shared" si="1224"/>
        <v>0</v>
      </c>
      <c r="N3266" s="76">
        <f t="shared" si="1225"/>
        <v>1</v>
      </c>
      <c r="O3266" s="77">
        <f t="shared" si="1226"/>
        <v>0.91</v>
      </c>
      <c r="P3266" s="76">
        <f t="shared" si="1227"/>
        <v>0</v>
      </c>
      <c r="Q3266" s="76">
        <f t="shared" si="1228"/>
        <v>0</v>
      </c>
      <c r="R3266" s="76">
        <f t="shared" si="1229"/>
        <v>0</v>
      </c>
      <c r="S3266" s="76">
        <f t="shared" si="1230"/>
        <v>0.98913043478260865</v>
      </c>
      <c r="T3266" s="76">
        <f t="shared" si="1231"/>
        <v>0.98913043478260865</v>
      </c>
      <c r="U3266" s="76">
        <f t="shared" si="1232"/>
        <v>1</v>
      </c>
    </row>
    <row r="3267" spans="1:21" x14ac:dyDescent="0.25">
      <c r="A3267" s="71">
        <v>3</v>
      </c>
      <c r="B3267" s="72">
        <f t="shared" si="1233"/>
        <v>45717</v>
      </c>
      <c r="C3267" s="73">
        <f t="shared" si="1214"/>
        <v>45747</v>
      </c>
      <c r="D3267" s="67">
        <f t="shared" si="1215"/>
        <v>31</v>
      </c>
      <c r="E3267" s="67">
        <f t="shared" si="1216"/>
        <v>3</v>
      </c>
      <c r="F3267" s="74">
        <f t="shared" si="1217"/>
        <v>45732.5</v>
      </c>
      <c r="G3267" s="67">
        <f t="shared" si="1218"/>
        <v>24302</v>
      </c>
      <c r="H3267" s="75">
        <f t="shared" si="1219"/>
        <v>1</v>
      </c>
      <c r="I3267" s="76">
        <f t="shared" si="1220"/>
        <v>1</v>
      </c>
      <c r="J3267" s="76">
        <f t="shared" si="1221"/>
        <v>1</v>
      </c>
      <c r="K3267" s="67">
        <f t="shared" si="1222"/>
        <v>0</v>
      </c>
      <c r="L3267" s="67">
        <f t="shared" si="1223"/>
        <v>0</v>
      </c>
      <c r="M3267" s="77">
        <f t="shared" si="1224"/>
        <v>0</v>
      </c>
      <c r="N3267" s="76">
        <f t="shared" si="1225"/>
        <v>1</v>
      </c>
      <c r="O3267" s="77">
        <f t="shared" si="1226"/>
        <v>0.91</v>
      </c>
      <c r="P3267" s="76">
        <f t="shared" si="1227"/>
        <v>0</v>
      </c>
      <c r="Q3267" s="76">
        <f t="shared" si="1228"/>
        <v>0</v>
      </c>
      <c r="R3267" s="76">
        <f t="shared" si="1229"/>
        <v>0</v>
      </c>
      <c r="S3267" s="76">
        <f t="shared" si="1230"/>
        <v>0.98913043478260865</v>
      </c>
      <c r="T3267" s="76">
        <f t="shared" si="1231"/>
        <v>0.98913043478260865</v>
      </c>
      <c r="U3267" s="76">
        <f t="shared" si="1232"/>
        <v>1</v>
      </c>
    </row>
    <row r="3268" spans="1:21" x14ac:dyDescent="0.25">
      <c r="A3268" s="71">
        <v>4</v>
      </c>
      <c r="B3268" s="72">
        <f t="shared" si="1233"/>
        <v>45748</v>
      </c>
      <c r="C3268" s="73">
        <f t="shared" si="1214"/>
        <v>45777</v>
      </c>
      <c r="D3268" s="67">
        <f t="shared" si="1215"/>
        <v>30</v>
      </c>
      <c r="E3268" s="67">
        <f t="shared" si="1216"/>
        <v>4</v>
      </c>
      <c r="F3268" s="74">
        <f t="shared" si="1217"/>
        <v>45763</v>
      </c>
      <c r="G3268" s="67">
        <f t="shared" si="1218"/>
        <v>24303</v>
      </c>
      <c r="H3268" s="75">
        <f t="shared" si="1219"/>
        <v>1</v>
      </c>
      <c r="I3268" s="76">
        <f t="shared" si="1220"/>
        <v>1</v>
      </c>
      <c r="J3268" s="76">
        <f t="shared" si="1221"/>
        <v>1</v>
      </c>
      <c r="K3268" s="67">
        <f t="shared" si="1222"/>
        <v>0</v>
      </c>
      <c r="L3268" s="67">
        <f t="shared" si="1223"/>
        <v>0</v>
      </c>
      <c r="M3268" s="77">
        <f t="shared" si="1224"/>
        <v>0</v>
      </c>
      <c r="N3268" s="76">
        <f t="shared" si="1225"/>
        <v>1</v>
      </c>
      <c r="O3268" s="77">
        <f t="shared" si="1226"/>
        <v>0.91</v>
      </c>
      <c r="P3268" s="76">
        <f t="shared" si="1227"/>
        <v>0</v>
      </c>
      <c r="Q3268" s="76">
        <f t="shared" si="1228"/>
        <v>0</v>
      </c>
      <c r="R3268" s="76">
        <f t="shared" si="1229"/>
        <v>0</v>
      </c>
      <c r="S3268" s="76">
        <f t="shared" si="1230"/>
        <v>0.98913043478260865</v>
      </c>
      <c r="T3268" s="76">
        <f t="shared" si="1231"/>
        <v>0.98913043478260865</v>
      </c>
      <c r="U3268" s="76">
        <f t="shared" si="1232"/>
        <v>1</v>
      </c>
    </row>
    <row r="3269" spans="1:21" x14ac:dyDescent="0.25">
      <c r="A3269" s="71">
        <v>5</v>
      </c>
      <c r="B3269" s="72">
        <f t="shared" si="1233"/>
        <v>45778</v>
      </c>
      <c r="C3269" s="73">
        <f t="shared" si="1214"/>
        <v>45808</v>
      </c>
      <c r="D3269" s="67">
        <f t="shared" si="1215"/>
        <v>31</v>
      </c>
      <c r="E3269" s="67">
        <f t="shared" si="1216"/>
        <v>5</v>
      </c>
      <c r="F3269" s="74">
        <f t="shared" si="1217"/>
        <v>45793.5</v>
      </c>
      <c r="G3269" s="67">
        <f t="shared" si="1218"/>
        <v>24304</v>
      </c>
      <c r="H3269" s="75">
        <f t="shared" si="1219"/>
        <v>1</v>
      </c>
      <c r="I3269" s="76">
        <f t="shared" si="1220"/>
        <v>1</v>
      </c>
      <c r="J3269" s="76">
        <f t="shared" si="1221"/>
        <v>1</v>
      </c>
      <c r="K3269" s="67">
        <f t="shared" si="1222"/>
        <v>0</v>
      </c>
      <c r="L3269" s="67">
        <f t="shared" si="1223"/>
        <v>0</v>
      </c>
      <c r="M3269" s="77">
        <f t="shared" si="1224"/>
        <v>0</v>
      </c>
      <c r="N3269" s="76">
        <f t="shared" si="1225"/>
        <v>1</v>
      </c>
      <c r="O3269" s="77">
        <f t="shared" si="1226"/>
        <v>0.91</v>
      </c>
      <c r="P3269" s="76">
        <f t="shared" si="1227"/>
        <v>0</v>
      </c>
      <c r="Q3269" s="76">
        <f t="shared" si="1228"/>
        <v>0</v>
      </c>
      <c r="R3269" s="76">
        <f t="shared" si="1229"/>
        <v>0</v>
      </c>
      <c r="S3269" s="76">
        <f t="shared" si="1230"/>
        <v>0.98913043478260865</v>
      </c>
      <c r="T3269" s="76">
        <f t="shared" si="1231"/>
        <v>0.98913043478260865</v>
      </c>
      <c r="U3269" s="76">
        <f t="shared" si="1232"/>
        <v>1</v>
      </c>
    </row>
    <row r="3270" spans="1:21" x14ac:dyDescent="0.25">
      <c r="A3270" s="71">
        <v>6</v>
      </c>
      <c r="B3270" s="72">
        <f t="shared" si="1233"/>
        <v>45809</v>
      </c>
      <c r="C3270" s="73">
        <f t="shared" si="1214"/>
        <v>45838</v>
      </c>
      <c r="D3270" s="67">
        <f t="shared" si="1215"/>
        <v>30</v>
      </c>
      <c r="E3270" s="67">
        <f t="shared" si="1216"/>
        <v>6</v>
      </c>
      <c r="F3270" s="74">
        <f t="shared" si="1217"/>
        <v>45824</v>
      </c>
      <c r="G3270" s="67">
        <f t="shared" si="1218"/>
        <v>24305</v>
      </c>
      <c r="H3270" s="75">
        <f t="shared" si="1219"/>
        <v>1</v>
      </c>
      <c r="I3270" s="76">
        <f t="shared" si="1220"/>
        <v>1</v>
      </c>
      <c r="J3270" s="76">
        <f t="shared" si="1221"/>
        <v>1</v>
      </c>
      <c r="K3270" s="67">
        <f t="shared" si="1222"/>
        <v>0</v>
      </c>
      <c r="L3270" s="67">
        <f t="shared" si="1223"/>
        <v>0</v>
      </c>
      <c r="M3270" s="77">
        <f t="shared" si="1224"/>
        <v>0</v>
      </c>
      <c r="N3270" s="76">
        <f t="shared" si="1225"/>
        <v>1</v>
      </c>
      <c r="O3270" s="77">
        <f t="shared" si="1226"/>
        <v>0.91</v>
      </c>
      <c r="P3270" s="76">
        <f t="shared" si="1227"/>
        <v>0</v>
      </c>
      <c r="Q3270" s="76">
        <f t="shared" si="1228"/>
        <v>0</v>
      </c>
      <c r="R3270" s="76">
        <f t="shared" si="1229"/>
        <v>0</v>
      </c>
      <c r="S3270" s="76">
        <f t="shared" si="1230"/>
        <v>0.98913043478260865</v>
      </c>
      <c r="T3270" s="76">
        <f t="shared" si="1231"/>
        <v>0.98913043478260865</v>
      </c>
      <c r="U3270" s="76">
        <f t="shared" si="1232"/>
        <v>1</v>
      </c>
    </row>
    <row r="3271" spans="1:21" x14ac:dyDescent="0.25">
      <c r="A3271" s="71">
        <v>7</v>
      </c>
      <c r="B3271" s="72">
        <f t="shared" si="1233"/>
        <v>45839</v>
      </c>
      <c r="C3271" s="73">
        <f t="shared" si="1214"/>
        <v>45869</v>
      </c>
      <c r="D3271" s="67">
        <f t="shared" si="1215"/>
        <v>31</v>
      </c>
      <c r="E3271" s="67">
        <f t="shared" si="1216"/>
        <v>7</v>
      </c>
      <c r="F3271" s="74">
        <f t="shared" si="1217"/>
        <v>45854.5</v>
      </c>
      <c r="G3271" s="67">
        <f t="shared" si="1218"/>
        <v>24306</v>
      </c>
      <c r="H3271" s="75">
        <f t="shared" si="1219"/>
        <v>1</v>
      </c>
      <c r="I3271" s="76">
        <f t="shared" si="1220"/>
        <v>1</v>
      </c>
      <c r="J3271" s="76">
        <f t="shared" si="1221"/>
        <v>1</v>
      </c>
      <c r="K3271" s="67">
        <f t="shared" si="1222"/>
        <v>0</v>
      </c>
      <c r="L3271" s="67">
        <f t="shared" si="1223"/>
        <v>0</v>
      </c>
      <c r="M3271" s="77">
        <f t="shared" si="1224"/>
        <v>0</v>
      </c>
      <c r="N3271" s="76">
        <f t="shared" si="1225"/>
        <v>1</v>
      </c>
      <c r="O3271" s="77">
        <f t="shared" si="1226"/>
        <v>0.91</v>
      </c>
      <c r="P3271" s="76">
        <f t="shared" si="1227"/>
        <v>8.333333333333337E-2</v>
      </c>
      <c r="Q3271" s="76">
        <f t="shared" si="1228"/>
        <v>0</v>
      </c>
      <c r="R3271" s="76">
        <f t="shared" si="1229"/>
        <v>0</v>
      </c>
      <c r="S3271" s="76">
        <f t="shared" si="1230"/>
        <v>0.98913043478260865</v>
      </c>
      <c r="T3271" s="76">
        <f t="shared" si="1231"/>
        <v>0.98913043478260865</v>
      </c>
      <c r="U3271" s="76">
        <f t="shared" si="1232"/>
        <v>1</v>
      </c>
    </row>
    <row r="3272" spans="1:21" x14ac:dyDescent="0.25">
      <c r="A3272" s="71">
        <v>8</v>
      </c>
      <c r="B3272" s="72">
        <f t="shared" si="1233"/>
        <v>45870</v>
      </c>
      <c r="C3272" s="73">
        <f t="shared" si="1214"/>
        <v>45900</v>
      </c>
      <c r="D3272" s="67">
        <f t="shared" si="1215"/>
        <v>31</v>
      </c>
      <c r="E3272" s="67">
        <f t="shared" si="1216"/>
        <v>8</v>
      </c>
      <c r="F3272" s="74">
        <f t="shared" si="1217"/>
        <v>45885.5</v>
      </c>
      <c r="G3272" s="67">
        <f t="shared" si="1218"/>
        <v>24307</v>
      </c>
      <c r="H3272" s="75">
        <f t="shared" si="1219"/>
        <v>1</v>
      </c>
      <c r="I3272" s="76">
        <f t="shared" si="1220"/>
        <v>1</v>
      </c>
      <c r="J3272" s="76">
        <f t="shared" si="1221"/>
        <v>1</v>
      </c>
      <c r="K3272" s="67">
        <f t="shared" si="1222"/>
        <v>0</v>
      </c>
      <c r="L3272" s="67">
        <f t="shared" si="1223"/>
        <v>0</v>
      </c>
      <c r="M3272" s="77">
        <f t="shared" si="1224"/>
        <v>0</v>
      </c>
      <c r="N3272" s="76">
        <f t="shared" si="1225"/>
        <v>1</v>
      </c>
      <c r="O3272" s="77">
        <f t="shared" si="1226"/>
        <v>0.91</v>
      </c>
      <c r="P3272" s="76">
        <f t="shared" si="1227"/>
        <v>0.25</v>
      </c>
      <c r="Q3272" s="76">
        <f t="shared" si="1228"/>
        <v>0</v>
      </c>
      <c r="R3272" s="76">
        <f t="shared" si="1229"/>
        <v>0</v>
      </c>
      <c r="S3272" s="76">
        <f t="shared" si="1230"/>
        <v>0.98913043478260865</v>
      </c>
      <c r="T3272" s="76">
        <f t="shared" si="1231"/>
        <v>0.98913043478260865</v>
      </c>
      <c r="U3272" s="76">
        <f t="shared" si="1232"/>
        <v>1</v>
      </c>
    </row>
    <row r="3273" spans="1:21" x14ac:dyDescent="0.25">
      <c r="A3273" s="71">
        <v>9</v>
      </c>
      <c r="B3273" s="72">
        <f t="shared" si="1233"/>
        <v>45901</v>
      </c>
      <c r="C3273" s="73">
        <f t="shared" si="1214"/>
        <v>45930</v>
      </c>
      <c r="D3273" s="67">
        <f t="shared" si="1215"/>
        <v>30</v>
      </c>
      <c r="E3273" s="67">
        <f t="shared" si="1216"/>
        <v>9</v>
      </c>
      <c r="F3273" s="74">
        <f t="shared" si="1217"/>
        <v>45916</v>
      </c>
      <c r="G3273" s="67">
        <f t="shared" si="1218"/>
        <v>24308</v>
      </c>
      <c r="H3273" s="75">
        <f t="shared" si="1219"/>
        <v>1</v>
      </c>
      <c r="I3273" s="76">
        <f t="shared" si="1220"/>
        <v>1</v>
      </c>
      <c r="J3273" s="76">
        <f t="shared" si="1221"/>
        <v>1</v>
      </c>
      <c r="K3273" s="67">
        <f t="shared" si="1222"/>
        <v>0</v>
      </c>
      <c r="L3273" s="67">
        <f t="shared" si="1223"/>
        <v>0</v>
      </c>
      <c r="M3273" s="77">
        <f t="shared" si="1224"/>
        <v>0</v>
      </c>
      <c r="N3273" s="76">
        <f t="shared" si="1225"/>
        <v>1</v>
      </c>
      <c r="O3273" s="77">
        <f t="shared" si="1226"/>
        <v>0.91</v>
      </c>
      <c r="P3273" s="76">
        <f t="shared" si="1227"/>
        <v>0.41666666666666663</v>
      </c>
      <c r="Q3273" s="76">
        <f t="shared" si="1228"/>
        <v>0</v>
      </c>
      <c r="R3273" s="76">
        <f t="shared" si="1229"/>
        <v>0</v>
      </c>
      <c r="S3273" s="76">
        <f t="shared" si="1230"/>
        <v>0.98913043478260865</v>
      </c>
      <c r="T3273" s="76">
        <f t="shared" si="1231"/>
        <v>0.98913043478260865</v>
      </c>
      <c r="U3273" s="76">
        <f t="shared" si="1232"/>
        <v>1</v>
      </c>
    </row>
    <row r="3274" spans="1:21" x14ac:dyDescent="0.25">
      <c r="A3274" s="71">
        <v>10</v>
      </c>
      <c r="B3274" s="72">
        <f t="shared" si="1233"/>
        <v>45931</v>
      </c>
      <c r="C3274" s="73">
        <f t="shared" si="1214"/>
        <v>45961</v>
      </c>
      <c r="D3274" s="67">
        <f t="shared" si="1215"/>
        <v>31</v>
      </c>
      <c r="E3274" s="67">
        <f t="shared" si="1216"/>
        <v>10</v>
      </c>
      <c r="F3274" s="74">
        <f t="shared" si="1217"/>
        <v>45946.5</v>
      </c>
      <c r="G3274" s="67">
        <f t="shared" si="1218"/>
        <v>24309</v>
      </c>
      <c r="H3274" s="75">
        <f t="shared" si="1219"/>
        <v>1</v>
      </c>
      <c r="I3274" s="76">
        <f t="shared" si="1220"/>
        <v>1</v>
      </c>
      <c r="J3274" s="76">
        <f t="shared" si="1221"/>
        <v>1</v>
      </c>
      <c r="K3274" s="67">
        <f t="shared" si="1222"/>
        <v>0</v>
      </c>
      <c r="L3274" s="67">
        <f t="shared" si="1223"/>
        <v>0</v>
      </c>
      <c r="M3274" s="77">
        <f t="shared" si="1224"/>
        <v>0</v>
      </c>
      <c r="N3274" s="76">
        <f t="shared" si="1225"/>
        <v>1</v>
      </c>
      <c r="O3274" s="77">
        <f t="shared" si="1226"/>
        <v>0.91</v>
      </c>
      <c r="P3274" s="76">
        <f t="shared" si="1227"/>
        <v>0.58333333333333326</v>
      </c>
      <c r="Q3274" s="76">
        <f t="shared" si="1228"/>
        <v>0</v>
      </c>
      <c r="R3274" s="76">
        <f t="shared" si="1229"/>
        <v>0</v>
      </c>
      <c r="S3274" s="76">
        <f t="shared" si="1230"/>
        <v>0.98913043478260865</v>
      </c>
      <c r="T3274" s="76">
        <f t="shared" si="1231"/>
        <v>0.98913043478260865</v>
      </c>
      <c r="U3274" s="76">
        <f t="shared" si="1232"/>
        <v>1</v>
      </c>
    </row>
    <row r="3275" spans="1:21" x14ac:dyDescent="0.25">
      <c r="A3275" s="71">
        <v>11</v>
      </c>
      <c r="B3275" s="72">
        <f t="shared" si="1233"/>
        <v>45962</v>
      </c>
      <c r="C3275" s="73">
        <f t="shared" si="1214"/>
        <v>45991</v>
      </c>
      <c r="D3275" s="67">
        <f t="shared" si="1215"/>
        <v>30</v>
      </c>
      <c r="E3275" s="67">
        <f t="shared" si="1216"/>
        <v>11</v>
      </c>
      <c r="F3275" s="74">
        <f t="shared" si="1217"/>
        <v>45977</v>
      </c>
      <c r="G3275" s="67">
        <f t="shared" si="1218"/>
        <v>24310</v>
      </c>
      <c r="H3275" s="75">
        <f t="shared" si="1219"/>
        <v>1</v>
      </c>
      <c r="I3275" s="76">
        <f t="shared" si="1220"/>
        <v>1</v>
      </c>
      <c r="J3275" s="76">
        <f t="shared" si="1221"/>
        <v>1</v>
      </c>
      <c r="K3275" s="67">
        <f t="shared" si="1222"/>
        <v>0</v>
      </c>
      <c r="L3275" s="67">
        <f t="shared" si="1223"/>
        <v>0</v>
      </c>
      <c r="M3275" s="77">
        <f t="shared" si="1224"/>
        <v>0</v>
      </c>
      <c r="N3275" s="76">
        <f t="shared" si="1225"/>
        <v>1</v>
      </c>
      <c r="O3275" s="77">
        <f t="shared" si="1226"/>
        <v>0.91</v>
      </c>
      <c r="P3275" s="76">
        <f t="shared" si="1227"/>
        <v>0.75</v>
      </c>
      <c r="Q3275" s="76">
        <f t="shared" si="1228"/>
        <v>0</v>
      </c>
      <c r="R3275" s="76">
        <f t="shared" si="1229"/>
        <v>0</v>
      </c>
      <c r="S3275" s="76">
        <f t="shared" si="1230"/>
        <v>0.98913043478260865</v>
      </c>
      <c r="T3275" s="76">
        <f t="shared" si="1231"/>
        <v>0.98913043478260865</v>
      </c>
      <c r="U3275" s="76">
        <f t="shared" si="1232"/>
        <v>1</v>
      </c>
    </row>
    <row r="3276" spans="1:21" x14ac:dyDescent="0.25">
      <c r="A3276" s="71">
        <v>12</v>
      </c>
      <c r="B3276" s="72">
        <f t="shared" si="1233"/>
        <v>45992</v>
      </c>
      <c r="C3276" s="73">
        <f t="shared" si="1214"/>
        <v>46022</v>
      </c>
      <c r="D3276" s="67">
        <f t="shared" si="1215"/>
        <v>31</v>
      </c>
      <c r="E3276" s="67">
        <f t="shared" si="1216"/>
        <v>12</v>
      </c>
      <c r="F3276" s="74">
        <f t="shared" si="1217"/>
        <v>46007.5</v>
      </c>
      <c r="G3276" s="67">
        <f t="shared" si="1218"/>
        <v>24311</v>
      </c>
      <c r="H3276" s="75">
        <f t="shared" si="1219"/>
        <v>1</v>
      </c>
      <c r="I3276" s="76">
        <f t="shared" si="1220"/>
        <v>1</v>
      </c>
      <c r="J3276" s="76">
        <f t="shared" si="1221"/>
        <v>1</v>
      </c>
      <c r="K3276" s="67">
        <f t="shared" si="1222"/>
        <v>0</v>
      </c>
      <c r="L3276" s="67">
        <f t="shared" si="1223"/>
        <v>0</v>
      </c>
      <c r="M3276" s="77">
        <f t="shared" si="1224"/>
        <v>0</v>
      </c>
      <c r="N3276" s="76">
        <f t="shared" si="1225"/>
        <v>1</v>
      </c>
      <c r="O3276" s="77">
        <f t="shared" si="1226"/>
        <v>0.91</v>
      </c>
      <c r="P3276" s="76">
        <f t="shared" si="1227"/>
        <v>0.91666666666666663</v>
      </c>
      <c r="Q3276" s="76">
        <f t="shared" si="1228"/>
        <v>0</v>
      </c>
      <c r="R3276" s="76">
        <f t="shared" si="1229"/>
        <v>0</v>
      </c>
      <c r="S3276" s="76">
        <f t="shared" si="1230"/>
        <v>0.98913043478260865</v>
      </c>
      <c r="T3276" s="76">
        <f t="shared" si="1231"/>
        <v>0.98913043478260865</v>
      </c>
      <c r="U3276" s="76">
        <f t="shared" si="1232"/>
        <v>1</v>
      </c>
    </row>
    <row r="3277" spans="1:21" x14ac:dyDescent="0.25">
      <c r="A3277" s="71">
        <v>13</v>
      </c>
      <c r="B3277" s="72">
        <f t="shared" si="1233"/>
        <v>46023</v>
      </c>
      <c r="C3277" s="73">
        <f t="shared" si="1214"/>
        <v>46053</v>
      </c>
      <c r="D3277" s="67">
        <f t="shared" si="1215"/>
        <v>31</v>
      </c>
      <c r="E3277" s="67">
        <f t="shared" si="1216"/>
        <v>1</v>
      </c>
      <c r="F3277" s="74">
        <f t="shared" si="1217"/>
        <v>46038.5</v>
      </c>
      <c r="G3277" s="67">
        <f t="shared" si="1218"/>
        <v>24312</v>
      </c>
      <c r="H3277" s="75">
        <f t="shared" si="1219"/>
        <v>1</v>
      </c>
      <c r="I3277" s="76">
        <f t="shared" si="1220"/>
        <v>1</v>
      </c>
      <c r="J3277" s="76">
        <f t="shared" si="1221"/>
        <v>1</v>
      </c>
      <c r="K3277" s="67">
        <f t="shared" si="1222"/>
        <v>0</v>
      </c>
      <c r="L3277" s="67">
        <f t="shared" si="1223"/>
        <v>0</v>
      </c>
      <c r="M3277" s="77">
        <f t="shared" si="1224"/>
        <v>0</v>
      </c>
      <c r="N3277" s="76">
        <f t="shared" si="1225"/>
        <v>1</v>
      </c>
      <c r="O3277" s="77">
        <f t="shared" si="1226"/>
        <v>0.91</v>
      </c>
      <c r="P3277" s="76">
        <f t="shared" si="1227"/>
        <v>1</v>
      </c>
      <c r="Q3277" s="76">
        <f t="shared" si="1228"/>
        <v>0</v>
      </c>
      <c r="R3277" s="76">
        <f t="shared" si="1229"/>
        <v>0</v>
      </c>
      <c r="S3277" s="76">
        <f t="shared" si="1230"/>
        <v>0.98913043478260865</v>
      </c>
      <c r="T3277" s="76">
        <f t="shared" si="1231"/>
        <v>0.98913043478260865</v>
      </c>
      <c r="U3277" s="76">
        <f t="shared" si="1232"/>
        <v>1</v>
      </c>
    </row>
    <row r="3278" spans="1:21" x14ac:dyDescent="0.25">
      <c r="A3278" s="71">
        <v>14</v>
      </c>
      <c r="B3278" s="72">
        <f t="shared" si="1233"/>
        <v>46054</v>
      </c>
      <c r="C3278" s="73">
        <f t="shared" si="1214"/>
        <v>46081</v>
      </c>
      <c r="D3278" s="67">
        <f t="shared" si="1215"/>
        <v>28</v>
      </c>
      <c r="E3278" s="67">
        <f t="shared" si="1216"/>
        <v>2</v>
      </c>
      <c r="F3278" s="74">
        <f t="shared" si="1217"/>
        <v>46068</v>
      </c>
      <c r="G3278" s="67">
        <f t="shared" si="1218"/>
        <v>24313</v>
      </c>
      <c r="H3278" s="75">
        <f t="shared" si="1219"/>
        <v>1</v>
      </c>
      <c r="I3278" s="76">
        <f t="shared" si="1220"/>
        <v>1</v>
      </c>
      <c r="J3278" s="76">
        <f t="shared" si="1221"/>
        <v>1</v>
      </c>
      <c r="K3278" s="67">
        <f t="shared" si="1222"/>
        <v>0</v>
      </c>
      <c r="L3278" s="67">
        <f t="shared" si="1223"/>
        <v>0</v>
      </c>
      <c r="M3278" s="77">
        <f t="shared" si="1224"/>
        <v>0</v>
      </c>
      <c r="N3278" s="76">
        <f t="shared" si="1225"/>
        <v>1</v>
      </c>
      <c r="O3278" s="77">
        <f t="shared" si="1226"/>
        <v>0.91</v>
      </c>
      <c r="P3278" s="76">
        <f t="shared" si="1227"/>
        <v>1</v>
      </c>
      <c r="Q3278" s="76">
        <f t="shared" si="1228"/>
        <v>0</v>
      </c>
      <c r="R3278" s="76">
        <f t="shared" si="1229"/>
        <v>0</v>
      </c>
      <c r="S3278" s="76">
        <f t="shared" si="1230"/>
        <v>0.98913043478260865</v>
      </c>
      <c r="T3278" s="76">
        <f t="shared" si="1231"/>
        <v>0.98913043478260865</v>
      </c>
      <c r="U3278" s="76">
        <f t="shared" si="1232"/>
        <v>1</v>
      </c>
    </row>
    <row r="3279" spans="1:21" x14ac:dyDescent="0.25">
      <c r="A3279" s="71">
        <v>15</v>
      </c>
      <c r="B3279" s="72">
        <f t="shared" si="1233"/>
        <v>46082</v>
      </c>
      <c r="C3279" s="73">
        <f t="shared" si="1214"/>
        <v>46112</v>
      </c>
      <c r="D3279" s="67">
        <f t="shared" si="1215"/>
        <v>31</v>
      </c>
      <c r="E3279" s="67">
        <f t="shared" si="1216"/>
        <v>3</v>
      </c>
      <c r="F3279" s="74">
        <f t="shared" si="1217"/>
        <v>46097.5</v>
      </c>
      <c r="G3279" s="67">
        <f t="shared" si="1218"/>
        <v>24314</v>
      </c>
      <c r="H3279" s="75">
        <f t="shared" si="1219"/>
        <v>1</v>
      </c>
      <c r="I3279" s="76">
        <f t="shared" si="1220"/>
        <v>1</v>
      </c>
      <c r="J3279" s="76">
        <f t="shared" si="1221"/>
        <v>1</v>
      </c>
      <c r="K3279" s="67">
        <f t="shared" si="1222"/>
        <v>0</v>
      </c>
      <c r="L3279" s="67">
        <f t="shared" si="1223"/>
        <v>0</v>
      </c>
      <c r="M3279" s="77">
        <f t="shared" si="1224"/>
        <v>0</v>
      </c>
      <c r="N3279" s="76">
        <f t="shared" si="1225"/>
        <v>1</v>
      </c>
      <c r="O3279" s="77">
        <f t="shared" si="1226"/>
        <v>0.91</v>
      </c>
      <c r="P3279" s="76">
        <f t="shared" si="1227"/>
        <v>1</v>
      </c>
      <c r="Q3279" s="76">
        <f t="shared" si="1228"/>
        <v>0</v>
      </c>
      <c r="R3279" s="76">
        <f t="shared" si="1229"/>
        <v>0</v>
      </c>
      <c r="S3279" s="76">
        <f t="shared" si="1230"/>
        <v>0.98913043478260865</v>
      </c>
      <c r="T3279" s="76">
        <f t="shared" si="1231"/>
        <v>0.98913043478260865</v>
      </c>
      <c r="U3279" s="76">
        <f t="shared" si="1232"/>
        <v>1</v>
      </c>
    </row>
    <row r="3280" spans="1:21" x14ac:dyDescent="0.25">
      <c r="A3280" s="71">
        <v>16</v>
      </c>
      <c r="B3280" s="72">
        <f t="shared" si="1233"/>
        <v>46113</v>
      </c>
      <c r="C3280" s="73">
        <f t="shared" si="1214"/>
        <v>46142</v>
      </c>
      <c r="D3280" s="67">
        <f t="shared" si="1215"/>
        <v>30</v>
      </c>
      <c r="E3280" s="67">
        <f t="shared" si="1216"/>
        <v>4</v>
      </c>
      <c r="F3280" s="74">
        <f t="shared" si="1217"/>
        <v>46128</v>
      </c>
      <c r="G3280" s="67">
        <f t="shared" si="1218"/>
        <v>24315</v>
      </c>
      <c r="H3280" s="75">
        <f t="shared" si="1219"/>
        <v>1</v>
      </c>
      <c r="I3280" s="76">
        <f t="shared" si="1220"/>
        <v>1</v>
      </c>
      <c r="J3280" s="76">
        <f t="shared" si="1221"/>
        <v>1</v>
      </c>
      <c r="K3280" s="67">
        <f t="shared" si="1222"/>
        <v>0</v>
      </c>
      <c r="L3280" s="67">
        <f t="shared" si="1223"/>
        <v>0</v>
      </c>
      <c r="M3280" s="77">
        <f t="shared" si="1224"/>
        <v>0</v>
      </c>
      <c r="N3280" s="76">
        <f t="shared" si="1225"/>
        <v>1</v>
      </c>
      <c r="O3280" s="77">
        <f t="shared" si="1226"/>
        <v>0.91</v>
      </c>
      <c r="P3280" s="76">
        <f t="shared" si="1227"/>
        <v>1</v>
      </c>
      <c r="Q3280" s="76">
        <f t="shared" si="1228"/>
        <v>0</v>
      </c>
      <c r="R3280" s="76">
        <f t="shared" si="1229"/>
        <v>0</v>
      </c>
      <c r="S3280" s="76">
        <f t="shared" si="1230"/>
        <v>0.98913043478260865</v>
      </c>
      <c r="T3280" s="76">
        <f t="shared" si="1231"/>
        <v>0.98913043478260865</v>
      </c>
      <c r="U3280" s="76">
        <f t="shared" si="1232"/>
        <v>1</v>
      </c>
    </row>
    <row r="3281" spans="1:21" x14ac:dyDescent="0.25">
      <c r="A3281" s="71">
        <v>17</v>
      </c>
      <c r="B3281" s="72">
        <f t="shared" si="1233"/>
        <v>46143</v>
      </c>
      <c r="C3281" s="73">
        <f t="shared" si="1214"/>
        <v>46173</v>
      </c>
      <c r="D3281" s="67">
        <f t="shared" si="1215"/>
        <v>31</v>
      </c>
      <c r="E3281" s="67">
        <f t="shared" si="1216"/>
        <v>5</v>
      </c>
      <c r="F3281" s="74">
        <f t="shared" si="1217"/>
        <v>46158.5</v>
      </c>
      <c r="G3281" s="67">
        <f t="shared" si="1218"/>
        <v>24316</v>
      </c>
      <c r="H3281" s="75">
        <f t="shared" si="1219"/>
        <v>1</v>
      </c>
      <c r="I3281" s="76">
        <f t="shared" si="1220"/>
        <v>1</v>
      </c>
      <c r="J3281" s="76">
        <f t="shared" si="1221"/>
        <v>1</v>
      </c>
      <c r="K3281" s="67">
        <f t="shared" si="1222"/>
        <v>0</v>
      </c>
      <c r="L3281" s="67">
        <f t="shared" si="1223"/>
        <v>0</v>
      </c>
      <c r="M3281" s="77">
        <f t="shared" si="1224"/>
        <v>0</v>
      </c>
      <c r="N3281" s="76">
        <f t="shared" si="1225"/>
        <v>1</v>
      </c>
      <c r="O3281" s="77">
        <f t="shared" si="1226"/>
        <v>0.91</v>
      </c>
      <c r="P3281" s="76">
        <f t="shared" si="1227"/>
        <v>1</v>
      </c>
      <c r="Q3281" s="76">
        <f t="shared" si="1228"/>
        <v>0</v>
      </c>
      <c r="R3281" s="76">
        <f t="shared" si="1229"/>
        <v>0</v>
      </c>
      <c r="S3281" s="76">
        <f t="shared" si="1230"/>
        <v>0.98913043478260865</v>
      </c>
      <c r="T3281" s="76">
        <f t="shared" si="1231"/>
        <v>0.98913043478260865</v>
      </c>
      <c r="U3281" s="76">
        <f t="shared" si="1232"/>
        <v>1</v>
      </c>
    </row>
    <row r="3282" spans="1:21" x14ac:dyDescent="0.25">
      <c r="A3282" s="71">
        <v>18</v>
      </c>
      <c r="B3282" s="72">
        <f t="shared" si="1233"/>
        <v>46174</v>
      </c>
      <c r="C3282" s="73">
        <f t="shared" si="1214"/>
        <v>46203</v>
      </c>
      <c r="D3282" s="67">
        <f t="shared" si="1215"/>
        <v>30</v>
      </c>
      <c r="E3282" s="67">
        <f t="shared" si="1216"/>
        <v>6</v>
      </c>
      <c r="F3282" s="74">
        <f t="shared" si="1217"/>
        <v>46189</v>
      </c>
      <c r="G3282" s="67">
        <f t="shared" si="1218"/>
        <v>24317</v>
      </c>
      <c r="H3282" s="75">
        <f t="shared" si="1219"/>
        <v>1</v>
      </c>
      <c r="I3282" s="76">
        <f t="shared" si="1220"/>
        <v>1</v>
      </c>
      <c r="J3282" s="76">
        <f t="shared" si="1221"/>
        <v>1</v>
      </c>
      <c r="K3282" s="67">
        <f t="shared" si="1222"/>
        <v>0</v>
      </c>
      <c r="L3282" s="67">
        <f t="shared" si="1223"/>
        <v>0</v>
      </c>
      <c r="M3282" s="77">
        <f t="shared" si="1224"/>
        <v>0</v>
      </c>
      <c r="N3282" s="76">
        <f t="shared" si="1225"/>
        <v>1</v>
      </c>
      <c r="O3282" s="77">
        <f t="shared" si="1226"/>
        <v>0.91</v>
      </c>
      <c r="P3282" s="76">
        <f t="shared" si="1227"/>
        <v>1</v>
      </c>
      <c r="Q3282" s="76">
        <f t="shared" si="1228"/>
        <v>0</v>
      </c>
      <c r="R3282" s="76">
        <f t="shared" si="1229"/>
        <v>0</v>
      </c>
      <c r="S3282" s="76">
        <f t="shared" si="1230"/>
        <v>0.98913043478260865</v>
      </c>
      <c r="T3282" s="76">
        <f t="shared" si="1231"/>
        <v>0.98913043478260865</v>
      </c>
      <c r="U3282" s="76">
        <f t="shared" si="1232"/>
        <v>1</v>
      </c>
    </row>
    <row r="3283" spans="1:21" x14ac:dyDescent="0.25">
      <c r="A3283" s="71">
        <v>19</v>
      </c>
      <c r="B3283" s="72">
        <f t="shared" si="1233"/>
        <v>46204</v>
      </c>
      <c r="C3283" s="73">
        <f t="shared" si="1214"/>
        <v>46234</v>
      </c>
      <c r="D3283" s="67">
        <f t="shared" si="1215"/>
        <v>31</v>
      </c>
      <c r="E3283" s="67">
        <f t="shared" si="1216"/>
        <v>7</v>
      </c>
      <c r="F3283" s="74">
        <f t="shared" si="1217"/>
        <v>46219.5</v>
      </c>
      <c r="G3283" s="67">
        <f t="shared" si="1218"/>
        <v>24318</v>
      </c>
      <c r="H3283" s="75">
        <f t="shared" si="1219"/>
        <v>1</v>
      </c>
      <c r="I3283" s="76">
        <f t="shared" si="1220"/>
        <v>1</v>
      </c>
      <c r="J3283" s="76">
        <f t="shared" si="1221"/>
        <v>1</v>
      </c>
      <c r="K3283" s="67">
        <f t="shared" si="1222"/>
        <v>0</v>
      </c>
      <c r="L3283" s="67">
        <f t="shared" si="1223"/>
        <v>0</v>
      </c>
      <c r="M3283" s="77">
        <f t="shared" si="1224"/>
        <v>0</v>
      </c>
      <c r="N3283" s="76">
        <f t="shared" si="1225"/>
        <v>1</v>
      </c>
      <c r="O3283" s="77">
        <f t="shared" si="1226"/>
        <v>0.91</v>
      </c>
      <c r="P3283" s="76">
        <f t="shared" si="1227"/>
        <v>0.91666666666666663</v>
      </c>
      <c r="Q3283" s="76">
        <f t="shared" si="1228"/>
        <v>8.333333333333337E-2</v>
      </c>
      <c r="R3283" s="76">
        <f t="shared" si="1229"/>
        <v>0</v>
      </c>
      <c r="S3283" s="76">
        <f t="shared" si="1230"/>
        <v>0.98913043478260865</v>
      </c>
      <c r="T3283" s="76">
        <f t="shared" si="1231"/>
        <v>0.98913043478260865</v>
      </c>
      <c r="U3283" s="76">
        <f t="shared" si="1232"/>
        <v>1</v>
      </c>
    </row>
    <row r="3284" spans="1:21" x14ac:dyDescent="0.25">
      <c r="A3284" s="71">
        <v>20</v>
      </c>
      <c r="B3284" s="72">
        <f t="shared" si="1233"/>
        <v>46235</v>
      </c>
      <c r="C3284" s="73">
        <f t="shared" si="1214"/>
        <v>46265</v>
      </c>
      <c r="D3284" s="67">
        <f t="shared" si="1215"/>
        <v>31</v>
      </c>
      <c r="E3284" s="67">
        <f t="shared" si="1216"/>
        <v>8</v>
      </c>
      <c r="F3284" s="74">
        <f t="shared" si="1217"/>
        <v>46250.5</v>
      </c>
      <c r="G3284" s="67">
        <f t="shared" si="1218"/>
        <v>24319</v>
      </c>
      <c r="H3284" s="75">
        <f t="shared" si="1219"/>
        <v>1</v>
      </c>
      <c r="I3284" s="76">
        <f t="shared" si="1220"/>
        <v>1</v>
      </c>
      <c r="J3284" s="76">
        <f t="shared" si="1221"/>
        <v>1</v>
      </c>
      <c r="K3284" s="67">
        <f t="shared" si="1222"/>
        <v>0</v>
      </c>
      <c r="L3284" s="67">
        <f t="shared" si="1223"/>
        <v>0</v>
      </c>
      <c r="M3284" s="77">
        <f t="shared" si="1224"/>
        <v>0</v>
      </c>
      <c r="N3284" s="76">
        <f t="shared" si="1225"/>
        <v>1</v>
      </c>
      <c r="O3284" s="77">
        <f t="shared" si="1226"/>
        <v>0.91</v>
      </c>
      <c r="P3284" s="76">
        <f t="shared" si="1227"/>
        <v>0.75</v>
      </c>
      <c r="Q3284" s="76">
        <f t="shared" si="1228"/>
        <v>0.25</v>
      </c>
      <c r="R3284" s="76">
        <f t="shared" si="1229"/>
        <v>0</v>
      </c>
      <c r="S3284" s="76">
        <f t="shared" si="1230"/>
        <v>0.98913043478260865</v>
      </c>
      <c r="T3284" s="76">
        <f t="shared" si="1231"/>
        <v>0.98913043478260865</v>
      </c>
      <c r="U3284" s="76">
        <f t="shared" si="1232"/>
        <v>1</v>
      </c>
    </row>
    <row r="3285" spans="1:21" x14ac:dyDescent="0.25">
      <c r="A3285" s="71">
        <v>21</v>
      </c>
      <c r="B3285" s="72">
        <f t="shared" si="1233"/>
        <v>46266</v>
      </c>
      <c r="C3285" s="73">
        <f t="shared" si="1214"/>
        <v>46295</v>
      </c>
      <c r="D3285" s="67">
        <f t="shared" si="1215"/>
        <v>30</v>
      </c>
      <c r="E3285" s="67">
        <f t="shared" si="1216"/>
        <v>9</v>
      </c>
      <c r="F3285" s="74">
        <f t="shared" si="1217"/>
        <v>46281</v>
      </c>
      <c r="G3285" s="67">
        <f t="shared" si="1218"/>
        <v>24320</v>
      </c>
      <c r="H3285" s="75">
        <f t="shared" si="1219"/>
        <v>1</v>
      </c>
      <c r="I3285" s="76">
        <f t="shared" si="1220"/>
        <v>1</v>
      </c>
      <c r="J3285" s="76">
        <f t="shared" si="1221"/>
        <v>1</v>
      </c>
      <c r="K3285" s="67">
        <f t="shared" si="1222"/>
        <v>0</v>
      </c>
      <c r="L3285" s="67">
        <f t="shared" si="1223"/>
        <v>0</v>
      </c>
      <c r="M3285" s="77">
        <f t="shared" si="1224"/>
        <v>0</v>
      </c>
      <c r="N3285" s="76">
        <f t="shared" si="1225"/>
        <v>1</v>
      </c>
      <c r="O3285" s="77">
        <f t="shared" si="1226"/>
        <v>0.91</v>
      </c>
      <c r="P3285" s="76">
        <f t="shared" si="1227"/>
        <v>0.58333333333333337</v>
      </c>
      <c r="Q3285" s="76">
        <f t="shared" si="1228"/>
        <v>0.41666666666666663</v>
      </c>
      <c r="R3285" s="76">
        <f t="shared" si="1229"/>
        <v>0</v>
      </c>
      <c r="S3285" s="76">
        <f t="shared" si="1230"/>
        <v>0.98913043478260865</v>
      </c>
      <c r="T3285" s="76">
        <f t="shared" si="1231"/>
        <v>0.98913043478260865</v>
      </c>
      <c r="U3285" s="76">
        <f t="shared" si="1232"/>
        <v>1</v>
      </c>
    </row>
    <row r="3286" spans="1:21" x14ac:dyDescent="0.25">
      <c r="A3286" s="71">
        <v>22</v>
      </c>
      <c r="B3286" s="72">
        <f t="shared" si="1233"/>
        <v>46296</v>
      </c>
      <c r="C3286" s="73">
        <f t="shared" si="1214"/>
        <v>46326</v>
      </c>
      <c r="D3286" s="67">
        <f t="shared" si="1215"/>
        <v>31</v>
      </c>
      <c r="E3286" s="67">
        <f t="shared" si="1216"/>
        <v>10</v>
      </c>
      <c r="F3286" s="74">
        <f t="shared" si="1217"/>
        <v>46311.5</v>
      </c>
      <c r="G3286" s="67">
        <f t="shared" si="1218"/>
        <v>24321</v>
      </c>
      <c r="H3286" s="75">
        <f t="shared" si="1219"/>
        <v>1</v>
      </c>
      <c r="I3286" s="76">
        <f t="shared" si="1220"/>
        <v>1</v>
      </c>
      <c r="J3286" s="76">
        <f t="shared" si="1221"/>
        <v>1</v>
      </c>
      <c r="K3286" s="67">
        <f t="shared" si="1222"/>
        <v>0</v>
      </c>
      <c r="L3286" s="67">
        <f t="shared" si="1223"/>
        <v>0</v>
      </c>
      <c r="M3286" s="77">
        <f t="shared" si="1224"/>
        <v>0</v>
      </c>
      <c r="N3286" s="76">
        <f t="shared" si="1225"/>
        <v>1</v>
      </c>
      <c r="O3286" s="77">
        <f t="shared" si="1226"/>
        <v>0.91</v>
      </c>
      <c r="P3286" s="76">
        <f t="shared" si="1227"/>
        <v>0.41666666666666669</v>
      </c>
      <c r="Q3286" s="76">
        <f t="shared" si="1228"/>
        <v>0.58333333333333326</v>
      </c>
      <c r="R3286" s="76">
        <f t="shared" si="1229"/>
        <v>0</v>
      </c>
      <c r="S3286" s="76">
        <f t="shared" si="1230"/>
        <v>0.98913043478260865</v>
      </c>
      <c r="T3286" s="76">
        <f t="shared" si="1231"/>
        <v>0.98913043478260865</v>
      </c>
      <c r="U3286" s="76">
        <f t="shared" si="1232"/>
        <v>1</v>
      </c>
    </row>
    <row r="3287" spans="1:21" x14ac:dyDescent="0.25">
      <c r="A3287" s="71">
        <v>23</v>
      </c>
      <c r="B3287" s="72">
        <f t="shared" si="1233"/>
        <v>46327</v>
      </c>
      <c r="C3287" s="73">
        <f t="shared" si="1214"/>
        <v>46356</v>
      </c>
      <c r="D3287" s="67">
        <f t="shared" si="1215"/>
        <v>30</v>
      </c>
      <c r="E3287" s="67">
        <f t="shared" si="1216"/>
        <v>11</v>
      </c>
      <c r="F3287" s="74">
        <f t="shared" si="1217"/>
        <v>46342</v>
      </c>
      <c r="G3287" s="67">
        <f t="shared" si="1218"/>
        <v>24322</v>
      </c>
      <c r="H3287" s="75">
        <f t="shared" si="1219"/>
        <v>1</v>
      </c>
      <c r="I3287" s="76">
        <f t="shared" si="1220"/>
        <v>1</v>
      </c>
      <c r="J3287" s="76">
        <f t="shared" si="1221"/>
        <v>1</v>
      </c>
      <c r="K3287" s="67">
        <f t="shared" si="1222"/>
        <v>0</v>
      </c>
      <c r="L3287" s="67">
        <f t="shared" si="1223"/>
        <v>0</v>
      </c>
      <c r="M3287" s="77">
        <f t="shared" si="1224"/>
        <v>0</v>
      </c>
      <c r="N3287" s="76">
        <f t="shared" si="1225"/>
        <v>1</v>
      </c>
      <c r="O3287" s="77">
        <f t="shared" si="1226"/>
        <v>0.91</v>
      </c>
      <c r="P3287" s="76">
        <f t="shared" si="1227"/>
        <v>0.25</v>
      </c>
      <c r="Q3287" s="76">
        <f t="shared" si="1228"/>
        <v>0.75</v>
      </c>
      <c r="R3287" s="76">
        <f t="shared" si="1229"/>
        <v>0</v>
      </c>
      <c r="S3287" s="76">
        <f t="shared" si="1230"/>
        <v>0.98913043478260865</v>
      </c>
      <c r="T3287" s="76">
        <f t="shared" si="1231"/>
        <v>0.98913043478260865</v>
      </c>
      <c r="U3287" s="76">
        <f t="shared" si="1232"/>
        <v>1</v>
      </c>
    </row>
    <row r="3288" spans="1:21" x14ac:dyDescent="0.25">
      <c r="A3288" s="71">
        <v>24</v>
      </c>
      <c r="B3288" s="72">
        <f t="shared" si="1233"/>
        <v>46357</v>
      </c>
      <c r="C3288" s="73">
        <f t="shared" si="1214"/>
        <v>46387</v>
      </c>
      <c r="D3288" s="67">
        <f t="shared" si="1215"/>
        <v>31</v>
      </c>
      <c r="E3288" s="67">
        <f t="shared" si="1216"/>
        <v>12</v>
      </c>
      <c r="F3288" s="74">
        <f t="shared" si="1217"/>
        <v>46372.5</v>
      </c>
      <c r="G3288" s="67">
        <f t="shared" si="1218"/>
        <v>24323</v>
      </c>
      <c r="H3288" s="75">
        <f t="shared" si="1219"/>
        <v>1</v>
      </c>
      <c r="I3288" s="76">
        <f t="shared" si="1220"/>
        <v>1</v>
      </c>
      <c r="J3288" s="76">
        <f t="shared" si="1221"/>
        <v>1</v>
      </c>
      <c r="K3288" s="67">
        <f t="shared" si="1222"/>
        <v>0</v>
      </c>
      <c r="L3288" s="67">
        <f t="shared" si="1223"/>
        <v>0</v>
      </c>
      <c r="M3288" s="77">
        <f t="shared" si="1224"/>
        <v>0</v>
      </c>
      <c r="N3288" s="76">
        <f t="shared" si="1225"/>
        <v>1</v>
      </c>
      <c r="O3288" s="77">
        <f t="shared" si="1226"/>
        <v>0.91</v>
      </c>
      <c r="P3288" s="76">
        <f t="shared" si="1227"/>
        <v>8.3333333333333329E-2</v>
      </c>
      <c r="Q3288" s="76">
        <f t="shared" si="1228"/>
        <v>0.91666666666666663</v>
      </c>
      <c r="R3288" s="76">
        <f t="shared" si="1229"/>
        <v>0</v>
      </c>
      <c r="S3288" s="76">
        <f t="shared" si="1230"/>
        <v>0.98913043478260865</v>
      </c>
      <c r="T3288" s="76">
        <f t="shared" si="1231"/>
        <v>0.98913043478260865</v>
      </c>
      <c r="U3288" s="76">
        <f t="shared" si="1232"/>
        <v>1</v>
      </c>
    </row>
    <row r="3289" spans="1:21" x14ac:dyDescent="0.25">
      <c r="A3289" s="71">
        <v>25</v>
      </c>
      <c r="B3289" s="72">
        <f t="shared" si="1233"/>
        <v>46388</v>
      </c>
      <c r="C3289" s="73">
        <f t="shared" si="1214"/>
        <v>46418</v>
      </c>
      <c r="D3289" s="67">
        <f t="shared" si="1215"/>
        <v>31</v>
      </c>
      <c r="E3289" s="67">
        <f t="shared" si="1216"/>
        <v>1</v>
      </c>
      <c r="F3289" s="74">
        <f t="shared" si="1217"/>
        <v>46403.5</v>
      </c>
      <c r="G3289" s="67">
        <f t="shared" si="1218"/>
        <v>24324</v>
      </c>
      <c r="H3289" s="75">
        <f t="shared" si="1219"/>
        <v>1</v>
      </c>
      <c r="I3289" s="76">
        <f t="shared" si="1220"/>
        <v>1</v>
      </c>
      <c r="J3289" s="76">
        <f t="shared" si="1221"/>
        <v>1</v>
      </c>
      <c r="K3289" s="67">
        <f t="shared" si="1222"/>
        <v>0</v>
      </c>
      <c r="L3289" s="67">
        <f t="shared" si="1223"/>
        <v>0</v>
      </c>
      <c r="M3289" s="77">
        <f t="shared" si="1224"/>
        <v>0</v>
      </c>
      <c r="N3289" s="76">
        <f t="shared" si="1225"/>
        <v>1</v>
      </c>
      <c r="O3289" s="77">
        <f t="shared" si="1226"/>
        <v>0.91</v>
      </c>
      <c r="P3289" s="76">
        <f t="shared" si="1227"/>
        <v>0</v>
      </c>
      <c r="Q3289" s="76">
        <f t="shared" si="1228"/>
        <v>1</v>
      </c>
      <c r="R3289" s="76">
        <f t="shared" si="1229"/>
        <v>0</v>
      </c>
      <c r="S3289" s="76">
        <f t="shared" si="1230"/>
        <v>0.98913043478260865</v>
      </c>
      <c r="T3289" s="76">
        <f t="shared" si="1231"/>
        <v>0.98913043478260865</v>
      </c>
      <c r="U3289" s="76">
        <f t="shared" si="1232"/>
        <v>1</v>
      </c>
    </row>
    <row r="3290" spans="1:21" x14ac:dyDescent="0.25">
      <c r="A3290" s="71">
        <v>26</v>
      </c>
      <c r="B3290" s="72">
        <f t="shared" si="1233"/>
        <v>46419</v>
      </c>
      <c r="C3290" s="73">
        <f t="shared" si="1214"/>
        <v>46446</v>
      </c>
      <c r="D3290" s="67">
        <f t="shared" si="1215"/>
        <v>28</v>
      </c>
      <c r="E3290" s="67">
        <f t="shared" si="1216"/>
        <v>2</v>
      </c>
      <c r="F3290" s="74">
        <f t="shared" si="1217"/>
        <v>46433</v>
      </c>
      <c r="G3290" s="67">
        <f t="shared" si="1218"/>
        <v>24325</v>
      </c>
      <c r="H3290" s="75">
        <f t="shared" si="1219"/>
        <v>1</v>
      </c>
      <c r="I3290" s="76">
        <f t="shared" si="1220"/>
        <v>1</v>
      </c>
      <c r="J3290" s="76">
        <f t="shared" si="1221"/>
        <v>1</v>
      </c>
      <c r="K3290" s="67">
        <f t="shared" si="1222"/>
        <v>0</v>
      </c>
      <c r="L3290" s="67">
        <f t="shared" si="1223"/>
        <v>0</v>
      </c>
      <c r="M3290" s="77">
        <f t="shared" si="1224"/>
        <v>0</v>
      </c>
      <c r="N3290" s="76">
        <f t="shared" si="1225"/>
        <v>1</v>
      </c>
      <c r="O3290" s="77">
        <f t="shared" si="1226"/>
        <v>0.91</v>
      </c>
      <c r="P3290" s="76">
        <f t="shared" si="1227"/>
        <v>0</v>
      </c>
      <c r="Q3290" s="76">
        <f t="shared" si="1228"/>
        <v>1</v>
      </c>
      <c r="R3290" s="76">
        <f t="shared" si="1229"/>
        <v>0</v>
      </c>
      <c r="S3290" s="76">
        <f t="shared" si="1230"/>
        <v>0.98913043478260865</v>
      </c>
      <c r="T3290" s="76">
        <f t="shared" si="1231"/>
        <v>0.98913043478260865</v>
      </c>
      <c r="U3290" s="76">
        <f t="shared" si="1232"/>
        <v>1</v>
      </c>
    </row>
    <row r="3291" spans="1:21" x14ac:dyDescent="0.25">
      <c r="A3291" s="71">
        <v>27</v>
      </c>
      <c r="B3291" s="72">
        <f t="shared" si="1233"/>
        <v>46447</v>
      </c>
      <c r="C3291" s="73">
        <f t="shared" si="1214"/>
        <v>46477</v>
      </c>
      <c r="D3291" s="67">
        <f t="shared" si="1215"/>
        <v>31</v>
      </c>
      <c r="E3291" s="67">
        <f t="shared" si="1216"/>
        <v>3</v>
      </c>
      <c r="F3291" s="74">
        <f t="shared" si="1217"/>
        <v>46462.5</v>
      </c>
      <c r="G3291" s="67">
        <f t="shared" si="1218"/>
        <v>24326</v>
      </c>
      <c r="H3291" s="75">
        <f t="shared" si="1219"/>
        <v>1</v>
      </c>
      <c r="I3291" s="76">
        <f t="shared" si="1220"/>
        <v>1</v>
      </c>
      <c r="J3291" s="76">
        <f t="shared" si="1221"/>
        <v>1</v>
      </c>
      <c r="K3291" s="67">
        <f t="shared" si="1222"/>
        <v>0</v>
      </c>
      <c r="L3291" s="67">
        <f t="shared" si="1223"/>
        <v>0</v>
      </c>
      <c r="M3291" s="77">
        <f t="shared" si="1224"/>
        <v>0</v>
      </c>
      <c r="N3291" s="76">
        <f t="shared" si="1225"/>
        <v>1</v>
      </c>
      <c r="O3291" s="77">
        <f t="shared" si="1226"/>
        <v>0.91</v>
      </c>
      <c r="P3291" s="76">
        <f t="shared" si="1227"/>
        <v>0</v>
      </c>
      <c r="Q3291" s="76">
        <f t="shared" si="1228"/>
        <v>1</v>
      </c>
      <c r="R3291" s="76">
        <f t="shared" si="1229"/>
        <v>0</v>
      </c>
      <c r="S3291" s="76">
        <f t="shared" si="1230"/>
        <v>0.98913043478260865</v>
      </c>
      <c r="T3291" s="76">
        <f t="shared" si="1231"/>
        <v>0.98913043478260865</v>
      </c>
      <c r="U3291" s="76">
        <f t="shared" si="1232"/>
        <v>1</v>
      </c>
    </row>
    <row r="3292" spans="1:21" x14ac:dyDescent="0.25">
      <c r="A3292" s="71">
        <v>28</v>
      </c>
      <c r="B3292" s="72">
        <f t="shared" si="1233"/>
        <v>46478</v>
      </c>
      <c r="C3292" s="73">
        <f t="shared" si="1214"/>
        <v>46507</v>
      </c>
      <c r="D3292" s="67">
        <f t="shared" si="1215"/>
        <v>30</v>
      </c>
      <c r="E3292" s="67">
        <f t="shared" si="1216"/>
        <v>4</v>
      </c>
      <c r="F3292" s="74">
        <f t="shared" si="1217"/>
        <v>46493</v>
      </c>
      <c r="G3292" s="67">
        <f t="shared" si="1218"/>
        <v>24327</v>
      </c>
      <c r="H3292" s="75">
        <f t="shared" si="1219"/>
        <v>1</v>
      </c>
      <c r="I3292" s="76">
        <f t="shared" si="1220"/>
        <v>1</v>
      </c>
      <c r="J3292" s="76">
        <f t="shared" si="1221"/>
        <v>1</v>
      </c>
      <c r="K3292" s="67">
        <f t="shared" si="1222"/>
        <v>0</v>
      </c>
      <c r="L3292" s="67">
        <f t="shared" si="1223"/>
        <v>0</v>
      </c>
      <c r="M3292" s="77">
        <f t="shared" si="1224"/>
        <v>0</v>
      </c>
      <c r="N3292" s="76">
        <f t="shared" si="1225"/>
        <v>1</v>
      </c>
      <c r="O3292" s="77">
        <f t="shared" si="1226"/>
        <v>0.91</v>
      </c>
      <c r="P3292" s="76">
        <f t="shared" si="1227"/>
        <v>0</v>
      </c>
      <c r="Q3292" s="76">
        <f t="shared" si="1228"/>
        <v>1</v>
      </c>
      <c r="R3292" s="76">
        <f t="shared" si="1229"/>
        <v>0</v>
      </c>
      <c r="S3292" s="76">
        <f t="shared" si="1230"/>
        <v>0.98913043478260865</v>
      </c>
      <c r="T3292" s="76">
        <f t="shared" si="1231"/>
        <v>0.98913043478260865</v>
      </c>
      <c r="U3292" s="76">
        <f t="shared" si="1232"/>
        <v>1</v>
      </c>
    </row>
    <row r="3293" spans="1:21" x14ac:dyDescent="0.25">
      <c r="A3293" s="71">
        <v>29</v>
      </c>
      <c r="B3293" s="72">
        <f t="shared" si="1233"/>
        <v>46508</v>
      </c>
      <c r="C3293" s="73">
        <f t="shared" si="1214"/>
        <v>46538</v>
      </c>
      <c r="D3293" s="67">
        <f t="shared" si="1215"/>
        <v>31</v>
      </c>
      <c r="E3293" s="67">
        <f t="shared" si="1216"/>
        <v>5</v>
      </c>
      <c r="F3293" s="74">
        <f t="shared" si="1217"/>
        <v>46523.5</v>
      </c>
      <c r="G3293" s="67">
        <f t="shared" si="1218"/>
        <v>24328</v>
      </c>
      <c r="H3293" s="75">
        <f t="shared" si="1219"/>
        <v>1</v>
      </c>
      <c r="I3293" s="76">
        <f t="shared" si="1220"/>
        <v>1</v>
      </c>
      <c r="J3293" s="76">
        <f t="shared" si="1221"/>
        <v>1</v>
      </c>
      <c r="K3293" s="67">
        <f t="shared" si="1222"/>
        <v>0</v>
      </c>
      <c r="L3293" s="67">
        <f t="shared" si="1223"/>
        <v>0</v>
      </c>
      <c r="M3293" s="77">
        <f t="shared" si="1224"/>
        <v>0</v>
      </c>
      <c r="N3293" s="76">
        <f t="shared" si="1225"/>
        <v>1</v>
      </c>
      <c r="O3293" s="77">
        <f t="shared" si="1226"/>
        <v>0.91</v>
      </c>
      <c r="P3293" s="76">
        <f t="shared" si="1227"/>
        <v>0</v>
      </c>
      <c r="Q3293" s="76">
        <f t="shared" si="1228"/>
        <v>1</v>
      </c>
      <c r="R3293" s="76">
        <f t="shared" si="1229"/>
        <v>0</v>
      </c>
      <c r="S3293" s="76">
        <f t="shared" si="1230"/>
        <v>0.98913043478260865</v>
      </c>
      <c r="T3293" s="76">
        <f t="shared" si="1231"/>
        <v>0.98913043478260865</v>
      </c>
      <c r="U3293" s="76">
        <f t="shared" si="1232"/>
        <v>1</v>
      </c>
    </row>
    <row r="3294" spans="1:21" x14ac:dyDescent="0.25">
      <c r="A3294" s="71">
        <v>30</v>
      </c>
      <c r="B3294" s="72">
        <f t="shared" si="1233"/>
        <v>46539</v>
      </c>
      <c r="C3294" s="73">
        <f t="shared" si="1214"/>
        <v>46568</v>
      </c>
      <c r="D3294" s="67">
        <f t="shared" si="1215"/>
        <v>30</v>
      </c>
      <c r="E3294" s="67">
        <f t="shared" si="1216"/>
        <v>6</v>
      </c>
      <c r="F3294" s="74">
        <f t="shared" si="1217"/>
        <v>46554</v>
      </c>
      <c r="G3294" s="67">
        <f t="shared" si="1218"/>
        <v>24329</v>
      </c>
      <c r="H3294" s="75">
        <f t="shared" si="1219"/>
        <v>1</v>
      </c>
      <c r="I3294" s="76">
        <f t="shared" si="1220"/>
        <v>1</v>
      </c>
      <c r="J3294" s="76">
        <f t="shared" si="1221"/>
        <v>1</v>
      </c>
      <c r="K3294" s="67">
        <f t="shared" si="1222"/>
        <v>0</v>
      </c>
      <c r="L3294" s="67">
        <f t="shared" si="1223"/>
        <v>0</v>
      </c>
      <c r="M3294" s="77">
        <f t="shared" si="1224"/>
        <v>0</v>
      </c>
      <c r="N3294" s="76">
        <f t="shared" si="1225"/>
        <v>1</v>
      </c>
      <c r="O3294" s="77">
        <f t="shared" si="1226"/>
        <v>0.91</v>
      </c>
      <c r="P3294" s="76">
        <f t="shared" si="1227"/>
        <v>0</v>
      </c>
      <c r="Q3294" s="76">
        <f t="shared" si="1228"/>
        <v>1</v>
      </c>
      <c r="R3294" s="76">
        <f t="shared" si="1229"/>
        <v>0</v>
      </c>
      <c r="S3294" s="76">
        <f t="shared" si="1230"/>
        <v>0.98913043478260865</v>
      </c>
      <c r="T3294" s="76">
        <f t="shared" si="1231"/>
        <v>0.98913043478260865</v>
      </c>
      <c r="U3294" s="76">
        <f t="shared" si="1232"/>
        <v>1</v>
      </c>
    </row>
    <row r="3295" spans="1:21" x14ac:dyDescent="0.25">
      <c r="A3295" s="71">
        <v>31</v>
      </c>
      <c r="B3295" s="72">
        <f t="shared" si="1233"/>
        <v>46569</v>
      </c>
      <c r="C3295" s="73">
        <f t="shared" si="1214"/>
        <v>46599</v>
      </c>
      <c r="D3295" s="67">
        <f t="shared" si="1215"/>
        <v>31</v>
      </c>
      <c r="E3295" s="67">
        <f t="shared" si="1216"/>
        <v>7</v>
      </c>
      <c r="F3295" s="74">
        <f t="shared" si="1217"/>
        <v>46584.5</v>
      </c>
      <c r="G3295" s="67">
        <f t="shared" si="1218"/>
        <v>24330</v>
      </c>
      <c r="H3295" s="75">
        <f t="shared" si="1219"/>
        <v>1</v>
      </c>
      <c r="I3295" s="76">
        <f t="shared" si="1220"/>
        <v>1</v>
      </c>
      <c r="J3295" s="76">
        <f t="shared" si="1221"/>
        <v>1</v>
      </c>
      <c r="K3295" s="67">
        <f t="shared" si="1222"/>
        <v>0</v>
      </c>
      <c r="L3295" s="67">
        <f t="shared" si="1223"/>
        <v>0</v>
      </c>
      <c r="M3295" s="77">
        <f t="shared" si="1224"/>
        <v>0</v>
      </c>
      <c r="N3295" s="76">
        <f t="shared" si="1225"/>
        <v>1</v>
      </c>
      <c r="O3295" s="77">
        <f t="shared" si="1226"/>
        <v>0.91</v>
      </c>
      <c r="P3295" s="76">
        <f t="shared" si="1227"/>
        <v>0</v>
      </c>
      <c r="Q3295" s="76">
        <f t="shared" si="1228"/>
        <v>0.91666666666666663</v>
      </c>
      <c r="R3295" s="76">
        <f t="shared" si="1229"/>
        <v>8.333333333333337E-2</v>
      </c>
      <c r="S3295" s="76">
        <f t="shared" si="1230"/>
        <v>0.98913043478260865</v>
      </c>
      <c r="T3295" s="76">
        <f t="shared" si="1231"/>
        <v>0.98913043478260865</v>
      </c>
      <c r="U3295" s="76">
        <f t="shared" si="1232"/>
        <v>1</v>
      </c>
    </row>
    <row r="3296" spans="1:21" x14ac:dyDescent="0.25">
      <c r="A3296" s="71">
        <v>32</v>
      </c>
      <c r="B3296" s="72">
        <f t="shared" si="1233"/>
        <v>46600</v>
      </c>
      <c r="C3296" s="73">
        <f t="shared" si="1214"/>
        <v>46630</v>
      </c>
      <c r="D3296" s="67">
        <f t="shared" si="1215"/>
        <v>31</v>
      </c>
      <c r="E3296" s="67">
        <f t="shared" si="1216"/>
        <v>8</v>
      </c>
      <c r="F3296" s="74">
        <f t="shared" si="1217"/>
        <v>46615.5</v>
      </c>
      <c r="G3296" s="67">
        <f t="shared" si="1218"/>
        <v>24331</v>
      </c>
      <c r="H3296" s="75">
        <f t="shared" si="1219"/>
        <v>1</v>
      </c>
      <c r="I3296" s="76">
        <f t="shared" si="1220"/>
        <v>1</v>
      </c>
      <c r="J3296" s="76">
        <f t="shared" si="1221"/>
        <v>1</v>
      </c>
      <c r="K3296" s="67">
        <f t="shared" si="1222"/>
        <v>0</v>
      </c>
      <c r="L3296" s="67">
        <f t="shared" si="1223"/>
        <v>0</v>
      </c>
      <c r="M3296" s="77">
        <f t="shared" si="1224"/>
        <v>0</v>
      </c>
      <c r="N3296" s="76">
        <f t="shared" si="1225"/>
        <v>1</v>
      </c>
      <c r="O3296" s="77">
        <f t="shared" si="1226"/>
        <v>0.91</v>
      </c>
      <c r="P3296" s="76">
        <f t="shared" si="1227"/>
        <v>0</v>
      </c>
      <c r="Q3296" s="76">
        <f t="shared" si="1228"/>
        <v>0.75</v>
      </c>
      <c r="R3296" s="76">
        <f t="shared" si="1229"/>
        <v>0.25</v>
      </c>
      <c r="S3296" s="76">
        <f t="shared" si="1230"/>
        <v>0.98913043478260865</v>
      </c>
      <c r="T3296" s="76">
        <f t="shared" si="1231"/>
        <v>0.98913043478260865</v>
      </c>
      <c r="U3296" s="76">
        <f t="shared" si="1232"/>
        <v>1</v>
      </c>
    </row>
    <row r="3297" spans="1:21" x14ac:dyDescent="0.25">
      <c r="A3297" s="71">
        <v>33</v>
      </c>
      <c r="B3297" s="72">
        <f t="shared" si="1233"/>
        <v>46631</v>
      </c>
      <c r="C3297" s="73">
        <f t="shared" si="1214"/>
        <v>46660</v>
      </c>
      <c r="D3297" s="67">
        <f t="shared" si="1215"/>
        <v>30</v>
      </c>
      <c r="E3297" s="67">
        <f t="shared" si="1216"/>
        <v>9</v>
      </c>
      <c r="F3297" s="74">
        <f t="shared" si="1217"/>
        <v>46646</v>
      </c>
      <c r="G3297" s="67">
        <f t="shared" si="1218"/>
        <v>24332</v>
      </c>
      <c r="H3297" s="75">
        <f t="shared" si="1219"/>
        <v>1</v>
      </c>
      <c r="I3297" s="76">
        <f t="shared" si="1220"/>
        <v>1</v>
      </c>
      <c r="J3297" s="76">
        <f t="shared" si="1221"/>
        <v>1</v>
      </c>
      <c r="K3297" s="67">
        <f t="shared" si="1222"/>
        <v>0</v>
      </c>
      <c r="L3297" s="67">
        <f t="shared" si="1223"/>
        <v>0</v>
      </c>
      <c r="M3297" s="77">
        <f t="shared" si="1224"/>
        <v>0</v>
      </c>
      <c r="N3297" s="76">
        <f t="shared" si="1225"/>
        <v>1</v>
      </c>
      <c r="O3297" s="77">
        <f t="shared" si="1226"/>
        <v>0.91</v>
      </c>
      <c r="P3297" s="76">
        <f t="shared" si="1227"/>
        <v>0</v>
      </c>
      <c r="Q3297" s="76">
        <f t="shared" si="1228"/>
        <v>0.58333333333333337</v>
      </c>
      <c r="R3297" s="76">
        <f t="shared" si="1229"/>
        <v>0.41666666666666663</v>
      </c>
      <c r="S3297" s="76">
        <f t="shared" si="1230"/>
        <v>0.98913043478260865</v>
      </c>
      <c r="T3297" s="76">
        <f t="shared" si="1231"/>
        <v>0.98913043478260865</v>
      </c>
      <c r="U3297" s="76">
        <f t="shared" si="1232"/>
        <v>1</v>
      </c>
    </row>
    <row r="3298" spans="1:21" x14ac:dyDescent="0.25">
      <c r="A3298" s="71">
        <v>34</v>
      </c>
      <c r="B3298" s="72">
        <f t="shared" si="1233"/>
        <v>46661</v>
      </c>
      <c r="C3298" s="73">
        <f t="shared" si="1214"/>
        <v>46691</v>
      </c>
      <c r="D3298" s="67">
        <f t="shared" si="1215"/>
        <v>31</v>
      </c>
      <c r="E3298" s="67">
        <f t="shared" si="1216"/>
        <v>10</v>
      </c>
      <c r="F3298" s="74">
        <f t="shared" si="1217"/>
        <v>46676.5</v>
      </c>
      <c r="G3298" s="67">
        <f t="shared" si="1218"/>
        <v>24333</v>
      </c>
      <c r="H3298" s="75">
        <f t="shared" si="1219"/>
        <v>1</v>
      </c>
      <c r="I3298" s="76">
        <f t="shared" si="1220"/>
        <v>1</v>
      </c>
      <c r="J3298" s="76">
        <f t="shared" si="1221"/>
        <v>1</v>
      </c>
      <c r="K3298" s="67">
        <f t="shared" si="1222"/>
        <v>0</v>
      </c>
      <c r="L3298" s="67">
        <f t="shared" si="1223"/>
        <v>0</v>
      </c>
      <c r="M3298" s="77">
        <f t="shared" si="1224"/>
        <v>0</v>
      </c>
      <c r="N3298" s="76">
        <f t="shared" si="1225"/>
        <v>1</v>
      </c>
      <c r="O3298" s="77">
        <f t="shared" si="1226"/>
        <v>0.91</v>
      </c>
      <c r="P3298" s="76">
        <f t="shared" si="1227"/>
        <v>0</v>
      </c>
      <c r="Q3298" s="76">
        <f t="shared" si="1228"/>
        <v>0.41666666666666669</v>
      </c>
      <c r="R3298" s="76">
        <f t="shared" si="1229"/>
        <v>0.58333333333333326</v>
      </c>
      <c r="S3298" s="76">
        <f t="shared" si="1230"/>
        <v>0.98913043478260865</v>
      </c>
      <c r="T3298" s="76">
        <f t="shared" si="1231"/>
        <v>0.98913043478260865</v>
      </c>
      <c r="U3298" s="76">
        <f t="shared" si="1232"/>
        <v>1</v>
      </c>
    </row>
    <row r="3299" spans="1:21" x14ac:dyDescent="0.25">
      <c r="A3299" s="71">
        <v>35</v>
      </c>
      <c r="B3299" s="72">
        <f t="shared" si="1233"/>
        <v>46692</v>
      </c>
      <c r="C3299" s="73">
        <f t="shared" si="1214"/>
        <v>46721</v>
      </c>
      <c r="D3299" s="67">
        <f t="shared" si="1215"/>
        <v>30</v>
      </c>
      <c r="E3299" s="67">
        <f t="shared" si="1216"/>
        <v>11</v>
      </c>
      <c r="F3299" s="74">
        <f t="shared" si="1217"/>
        <v>46707</v>
      </c>
      <c r="G3299" s="67">
        <f t="shared" si="1218"/>
        <v>24334</v>
      </c>
      <c r="H3299" s="75">
        <f t="shared" si="1219"/>
        <v>1</v>
      </c>
      <c r="I3299" s="76">
        <f t="shared" si="1220"/>
        <v>1</v>
      </c>
      <c r="J3299" s="76">
        <f t="shared" si="1221"/>
        <v>1</v>
      </c>
      <c r="K3299" s="67">
        <f t="shared" si="1222"/>
        <v>0</v>
      </c>
      <c r="L3299" s="67">
        <f t="shared" si="1223"/>
        <v>0</v>
      </c>
      <c r="M3299" s="77">
        <f t="shared" si="1224"/>
        <v>0</v>
      </c>
      <c r="N3299" s="76">
        <f t="shared" si="1225"/>
        <v>1</v>
      </c>
      <c r="O3299" s="77">
        <f t="shared" si="1226"/>
        <v>0.91</v>
      </c>
      <c r="P3299" s="76">
        <f t="shared" si="1227"/>
        <v>0</v>
      </c>
      <c r="Q3299" s="76">
        <f t="shared" si="1228"/>
        <v>0.25</v>
      </c>
      <c r="R3299" s="76">
        <f t="shared" si="1229"/>
        <v>0.75</v>
      </c>
      <c r="S3299" s="76">
        <f t="shared" si="1230"/>
        <v>0.98913043478260865</v>
      </c>
      <c r="T3299" s="76">
        <f t="shared" si="1231"/>
        <v>0.98913043478260865</v>
      </c>
      <c r="U3299" s="76">
        <f t="shared" si="1232"/>
        <v>1</v>
      </c>
    </row>
    <row r="3300" spans="1:21" x14ac:dyDescent="0.25">
      <c r="A3300" s="71">
        <v>36</v>
      </c>
      <c r="B3300" s="72">
        <f t="shared" si="1233"/>
        <v>46722</v>
      </c>
      <c r="C3300" s="73">
        <f t="shared" si="1214"/>
        <v>46752</v>
      </c>
      <c r="D3300" s="67">
        <f t="shared" si="1215"/>
        <v>31</v>
      </c>
      <c r="E3300" s="67">
        <f t="shared" si="1216"/>
        <v>12</v>
      </c>
      <c r="F3300" s="74">
        <f t="shared" si="1217"/>
        <v>46737.5</v>
      </c>
      <c r="G3300" s="67">
        <f t="shared" si="1218"/>
        <v>24335</v>
      </c>
      <c r="H3300" s="75">
        <f t="shared" si="1219"/>
        <v>1</v>
      </c>
      <c r="I3300" s="76">
        <f t="shared" si="1220"/>
        <v>1</v>
      </c>
      <c r="J3300" s="76">
        <f t="shared" si="1221"/>
        <v>1</v>
      </c>
      <c r="K3300" s="67">
        <f t="shared" si="1222"/>
        <v>0</v>
      </c>
      <c r="L3300" s="67">
        <f t="shared" si="1223"/>
        <v>0</v>
      </c>
      <c r="M3300" s="77">
        <f t="shared" si="1224"/>
        <v>0</v>
      </c>
      <c r="N3300" s="76">
        <f t="shared" si="1225"/>
        <v>1</v>
      </c>
      <c r="O3300" s="77">
        <f t="shared" si="1226"/>
        <v>0.91</v>
      </c>
      <c r="P3300" s="76">
        <f t="shared" si="1227"/>
        <v>0</v>
      </c>
      <c r="Q3300" s="76">
        <f t="shared" si="1228"/>
        <v>8.3333333333333329E-2</v>
      </c>
      <c r="R3300" s="76">
        <f t="shared" si="1229"/>
        <v>0.91666666666666663</v>
      </c>
      <c r="S3300" s="76">
        <f t="shared" si="1230"/>
        <v>0.98913043478260865</v>
      </c>
      <c r="T3300" s="76">
        <f t="shared" si="1231"/>
        <v>0.98913043478260865</v>
      </c>
      <c r="U3300" s="76">
        <f t="shared" si="1232"/>
        <v>1</v>
      </c>
    </row>
    <row r="3301" spans="1:21" x14ac:dyDescent="0.25">
      <c r="A3301" s="71">
        <v>37</v>
      </c>
      <c r="B3301" s="72">
        <f t="shared" si="1233"/>
        <v>46753</v>
      </c>
      <c r="C3301" s="73">
        <f t="shared" si="1214"/>
        <v>46783</v>
      </c>
      <c r="D3301" s="67">
        <f t="shared" si="1215"/>
        <v>31</v>
      </c>
      <c r="E3301" s="67">
        <f t="shared" si="1216"/>
        <v>1</v>
      </c>
      <c r="F3301" s="74">
        <f t="shared" si="1217"/>
        <v>46768.5</v>
      </c>
      <c r="G3301" s="67">
        <f t="shared" si="1218"/>
        <v>24336</v>
      </c>
      <c r="H3301" s="75">
        <f t="shared" si="1219"/>
        <v>1</v>
      </c>
      <c r="I3301" s="76">
        <f t="shared" si="1220"/>
        <v>1</v>
      </c>
      <c r="J3301" s="76">
        <f t="shared" si="1221"/>
        <v>1</v>
      </c>
      <c r="K3301" s="67">
        <f t="shared" si="1222"/>
        <v>0</v>
      </c>
      <c r="L3301" s="67">
        <f t="shared" si="1223"/>
        <v>0</v>
      </c>
      <c r="M3301" s="77">
        <f t="shared" si="1224"/>
        <v>0</v>
      </c>
      <c r="N3301" s="76">
        <f t="shared" si="1225"/>
        <v>1</v>
      </c>
      <c r="O3301" s="77">
        <f t="shared" si="1226"/>
        <v>0.91</v>
      </c>
      <c r="P3301" s="76">
        <f t="shared" si="1227"/>
        <v>0</v>
      </c>
      <c r="Q3301" s="76">
        <f t="shared" si="1228"/>
        <v>0</v>
      </c>
      <c r="R3301" s="76">
        <f t="shared" si="1229"/>
        <v>1</v>
      </c>
      <c r="S3301" s="76">
        <f t="shared" si="1230"/>
        <v>0.98913043478260865</v>
      </c>
      <c r="T3301" s="76">
        <f t="shared" si="1231"/>
        <v>0.98913043478260865</v>
      </c>
      <c r="U3301" s="76">
        <f t="shared" si="1232"/>
        <v>1</v>
      </c>
    </row>
    <row r="3302" spans="1:21" x14ac:dyDescent="0.25">
      <c r="A3302" s="71">
        <v>38</v>
      </c>
      <c r="B3302" s="72">
        <f t="shared" si="1233"/>
        <v>46784</v>
      </c>
      <c r="C3302" s="73">
        <f t="shared" si="1214"/>
        <v>46812</v>
      </c>
      <c r="D3302" s="67">
        <f t="shared" si="1215"/>
        <v>29</v>
      </c>
      <c r="E3302" s="67">
        <f t="shared" si="1216"/>
        <v>2</v>
      </c>
      <c r="F3302" s="74">
        <f t="shared" si="1217"/>
        <v>46798.5</v>
      </c>
      <c r="G3302" s="67">
        <f t="shared" si="1218"/>
        <v>24337</v>
      </c>
      <c r="H3302" s="75">
        <f t="shared" si="1219"/>
        <v>1</v>
      </c>
      <c r="I3302" s="76">
        <f t="shared" si="1220"/>
        <v>1</v>
      </c>
      <c r="J3302" s="76">
        <f t="shared" si="1221"/>
        <v>1</v>
      </c>
      <c r="K3302" s="67">
        <f t="shared" si="1222"/>
        <v>0</v>
      </c>
      <c r="L3302" s="67">
        <f t="shared" si="1223"/>
        <v>0</v>
      </c>
      <c r="M3302" s="77">
        <f t="shared" si="1224"/>
        <v>0</v>
      </c>
      <c r="N3302" s="76">
        <f t="shared" si="1225"/>
        <v>1</v>
      </c>
      <c r="O3302" s="77">
        <f t="shared" si="1226"/>
        <v>0.91</v>
      </c>
      <c r="P3302" s="76">
        <f t="shared" si="1227"/>
        <v>0</v>
      </c>
      <c r="Q3302" s="76">
        <f t="shared" si="1228"/>
        <v>0</v>
      </c>
      <c r="R3302" s="76">
        <f t="shared" si="1229"/>
        <v>1</v>
      </c>
      <c r="S3302" s="76">
        <f t="shared" si="1230"/>
        <v>0.98913043478260865</v>
      </c>
      <c r="T3302" s="76">
        <f t="shared" si="1231"/>
        <v>0.98913043478260865</v>
      </c>
      <c r="U3302" s="76">
        <f t="shared" si="1232"/>
        <v>1</v>
      </c>
    </row>
    <row r="3303" spans="1:21" x14ac:dyDescent="0.25">
      <c r="A3303" s="71">
        <v>39</v>
      </c>
      <c r="B3303" s="72">
        <f t="shared" si="1233"/>
        <v>46813</v>
      </c>
      <c r="C3303" s="73">
        <f t="shared" si="1214"/>
        <v>46843</v>
      </c>
      <c r="D3303" s="67">
        <f t="shared" si="1215"/>
        <v>31</v>
      </c>
      <c r="E3303" s="67">
        <f t="shared" si="1216"/>
        <v>3</v>
      </c>
      <c r="F3303" s="74">
        <f t="shared" si="1217"/>
        <v>46828.5</v>
      </c>
      <c r="G3303" s="67">
        <f t="shared" si="1218"/>
        <v>24338</v>
      </c>
      <c r="H3303" s="75">
        <f t="shared" si="1219"/>
        <v>1</v>
      </c>
      <c r="I3303" s="76">
        <f t="shared" si="1220"/>
        <v>1</v>
      </c>
      <c r="J3303" s="76">
        <f t="shared" si="1221"/>
        <v>1</v>
      </c>
      <c r="K3303" s="67">
        <f t="shared" si="1222"/>
        <v>0</v>
      </c>
      <c r="L3303" s="67">
        <f t="shared" si="1223"/>
        <v>0</v>
      </c>
      <c r="M3303" s="77">
        <f t="shared" si="1224"/>
        <v>0</v>
      </c>
      <c r="N3303" s="76">
        <f t="shared" si="1225"/>
        <v>1</v>
      </c>
      <c r="O3303" s="77">
        <f t="shared" si="1226"/>
        <v>0.91</v>
      </c>
      <c r="P3303" s="76">
        <f t="shared" si="1227"/>
        <v>0</v>
      </c>
      <c r="Q3303" s="76">
        <f t="shared" si="1228"/>
        <v>0</v>
      </c>
      <c r="R3303" s="76">
        <f t="shared" si="1229"/>
        <v>1</v>
      </c>
      <c r="S3303" s="76">
        <f t="shared" si="1230"/>
        <v>0.98913043478260865</v>
      </c>
      <c r="T3303" s="76">
        <f t="shared" si="1231"/>
        <v>0.98913043478260865</v>
      </c>
      <c r="U3303" s="76">
        <f t="shared" si="1232"/>
        <v>1</v>
      </c>
    </row>
    <row r="3304" spans="1:21" x14ac:dyDescent="0.25">
      <c r="A3304" s="71">
        <v>40</v>
      </c>
      <c r="B3304" s="72">
        <f t="shared" si="1233"/>
        <v>46844</v>
      </c>
      <c r="C3304" s="73">
        <f t="shared" si="1214"/>
        <v>46873</v>
      </c>
      <c r="D3304" s="67">
        <f t="shared" si="1215"/>
        <v>30</v>
      </c>
      <c r="E3304" s="67">
        <f t="shared" si="1216"/>
        <v>4</v>
      </c>
      <c r="F3304" s="74">
        <f t="shared" si="1217"/>
        <v>46859</v>
      </c>
      <c r="G3304" s="67">
        <f t="shared" si="1218"/>
        <v>24339</v>
      </c>
      <c r="H3304" s="75">
        <f t="shared" si="1219"/>
        <v>1</v>
      </c>
      <c r="I3304" s="76">
        <f t="shared" si="1220"/>
        <v>1</v>
      </c>
      <c r="J3304" s="76">
        <f t="shared" si="1221"/>
        <v>1</v>
      </c>
      <c r="K3304" s="67">
        <f t="shared" si="1222"/>
        <v>0</v>
      </c>
      <c r="L3304" s="67">
        <f t="shared" si="1223"/>
        <v>0</v>
      </c>
      <c r="M3304" s="77">
        <f t="shared" si="1224"/>
        <v>0</v>
      </c>
      <c r="N3304" s="76">
        <f t="shared" si="1225"/>
        <v>1</v>
      </c>
      <c r="O3304" s="77">
        <f t="shared" si="1226"/>
        <v>0.91</v>
      </c>
      <c r="P3304" s="76">
        <f t="shared" si="1227"/>
        <v>0</v>
      </c>
      <c r="Q3304" s="76">
        <f t="shared" si="1228"/>
        <v>0</v>
      </c>
      <c r="R3304" s="76">
        <f t="shared" si="1229"/>
        <v>1</v>
      </c>
      <c r="S3304" s="76">
        <f t="shared" si="1230"/>
        <v>0.98913043478260865</v>
      </c>
      <c r="T3304" s="76">
        <f t="shared" si="1231"/>
        <v>0.98913043478260865</v>
      </c>
      <c r="U3304" s="76">
        <f t="shared" si="1232"/>
        <v>1</v>
      </c>
    </row>
    <row r="3305" spans="1:21" x14ac:dyDescent="0.25">
      <c r="A3305" s="71">
        <v>41</v>
      </c>
      <c r="B3305" s="72">
        <f t="shared" si="1233"/>
        <v>46874</v>
      </c>
      <c r="C3305" s="73">
        <f t="shared" si="1214"/>
        <v>46904</v>
      </c>
      <c r="D3305" s="67">
        <f t="shared" si="1215"/>
        <v>31</v>
      </c>
      <c r="E3305" s="67">
        <f t="shared" si="1216"/>
        <v>5</v>
      </c>
      <c r="F3305" s="74">
        <f t="shared" si="1217"/>
        <v>46889.5</v>
      </c>
      <c r="G3305" s="67">
        <f t="shared" si="1218"/>
        <v>24340</v>
      </c>
      <c r="H3305" s="75">
        <f t="shared" si="1219"/>
        <v>1</v>
      </c>
      <c r="I3305" s="76">
        <f t="shared" si="1220"/>
        <v>1</v>
      </c>
      <c r="J3305" s="76">
        <f t="shared" si="1221"/>
        <v>1</v>
      </c>
      <c r="K3305" s="67">
        <f t="shared" si="1222"/>
        <v>0</v>
      </c>
      <c r="L3305" s="67">
        <f t="shared" si="1223"/>
        <v>0</v>
      </c>
      <c r="M3305" s="77">
        <f t="shared" si="1224"/>
        <v>0</v>
      </c>
      <c r="N3305" s="76">
        <f t="shared" si="1225"/>
        <v>1</v>
      </c>
      <c r="O3305" s="77">
        <f t="shared" si="1226"/>
        <v>0.91</v>
      </c>
      <c r="P3305" s="76">
        <f t="shared" si="1227"/>
        <v>0</v>
      </c>
      <c r="Q3305" s="76">
        <f t="shared" si="1228"/>
        <v>0</v>
      </c>
      <c r="R3305" s="76">
        <f t="shared" si="1229"/>
        <v>1</v>
      </c>
      <c r="S3305" s="76">
        <f t="shared" si="1230"/>
        <v>0.98913043478260865</v>
      </c>
      <c r="T3305" s="76">
        <f t="shared" si="1231"/>
        <v>0.98913043478260865</v>
      </c>
      <c r="U3305" s="76">
        <f t="shared" si="1232"/>
        <v>1</v>
      </c>
    </row>
    <row r="3306" spans="1:21" x14ac:dyDescent="0.25">
      <c r="A3306" s="71">
        <v>42</v>
      </c>
      <c r="B3306" s="72">
        <f t="shared" si="1233"/>
        <v>46905</v>
      </c>
      <c r="C3306" s="73">
        <f t="shared" si="1214"/>
        <v>46934</v>
      </c>
      <c r="D3306" s="67">
        <f t="shared" si="1215"/>
        <v>30</v>
      </c>
      <c r="E3306" s="67">
        <f t="shared" si="1216"/>
        <v>6</v>
      </c>
      <c r="F3306" s="74">
        <f t="shared" si="1217"/>
        <v>46920</v>
      </c>
      <c r="G3306" s="67">
        <f t="shared" si="1218"/>
        <v>24341</v>
      </c>
      <c r="H3306" s="75">
        <f t="shared" si="1219"/>
        <v>1</v>
      </c>
      <c r="I3306" s="76">
        <f t="shared" si="1220"/>
        <v>1</v>
      </c>
      <c r="J3306" s="76">
        <f t="shared" si="1221"/>
        <v>1</v>
      </c>
      <c r="K3306" s="67">
        <f t="shared" si="1222"/>
        <v>0</v>
      </c>
      <c r="L3306" s="67">
        <f t="shared" si="1223"/>
        <v>0</v>
      </c>
      <c r="M3306" s="77">
        <f t="shared" si="1224"/>
        <v>0</v>
      </c>
      <c r="N3306" s="76">
        <f t="shared" si="1225"/>
        <v>1</v>
      </c>
      <c r="O3306" s="77">
        <f t="shared" si="1226"/>
        <v>0.91</v>
      </c>
      <c r="P3306" s="76">
        <f t="shared" si="1227"/>
        <v>0</v>
      </c>
      <c r="Q3306" s="76">
        <f t="shared" si="1228"/>
        <v>0</v>
      </c>
      <c r="R3306" s="76">
        <f t="shared" si="1229"/>
        <v>1</v>
      </c>
      <c r="S3306" s="76">
        <f t="shared" si="1230"/>
        <v>0.98913043478260865</v>
      </c>
      <c r="T3306" s="76">
        <f t="shared" si="1231"/>
        <v>0.98913043478260865</v>
      </c>
      <c r="U3306" s="76">
        <f t="shared" si="1232"/>
        <v>1</v>
      </c>
    </row>
    <row r="3307" spans="1:21" x14ac:dyDescent="0.25">
      <c r="A3307" s="71">
        <v>43</v>
      </c>
      <c r="B3307" s="72">
        <f t="shared" si="1233"/>
        <v>46935</v>
      </c>
      <c r="C3307" s="73">
        <f t="shared" si="1214"/>
        <v>46965</v>
      </c>
      <c r="D3307" s="67">
        <f t="shared" si="1215"/>
        <v>31</v>
      </c>
      <c r="E3307" s="67">
        <f t="shared" si="1216"/>
        <v>7</v>
      </c>
      <c r="F3307" s="74">
        <f t="shared" si="1217"/>
        <v>46950.5</v>
      </c>
      <c r="G3307" s="67">
        <f t="shared" si="1218"/>
        <v>24342</v>
      </c>
      <c r="H3307" s="75">
        <f t="shared" si="1219"/>
        <v>1</v>
      </c>
      <c r="I3307" s="76">
        <f t="shared" si="1220"/>
        <v>1</v>
      </c>
      <c r="J3307" s="76">
        <f t="shared" si="1221"/>
        <v>1</v>
      </c>
      <c r="K3307" s="67">
        <f t="shared" si="1222"/>
        <v>0</v>
      </c>
      <c r="L3307" s="67">
        <f t="shared" si="1223"/>
        <v>0</v>
      </c>
      <c r="M3307" s="77">
        <f t="shared" si="1224"/>
        <v>0</v>
      </c>
      <c r="N3307" s="76">
        <f t="shared" si="1225"/>
        <v>1</v>
      </c>
      <c r="O3307" s="77">
        <f t="shared" si="1226"/>
        <v>0.91</v>
      </c>
      <c r="P3307" s="76">
        <f t="shared" si="1227"/>
        <v>0</v>
      </c>
      <c r="Q3307" s="76">
        <f t="shared" si="1228"/>
        <v>0</v>
      </c>
      <c r="R3307" s="76">
        <f t="shared" si="1229"/>
        <v>0.91666666666666663</v>
      </c>
      <c r="S3307" s="76">
        <f t="shared" si="1230"/>
        <v>0.98913043478260865</v>
      </c>
      <c r="T3307" s="76">
        <f t="shared" si="1231"/>
        <v>0.98913043478260865</v>
      </c>
      <c r="U3307" s="76">
        <f t="shared" si="1232"/>
        <v>1</v>
      </c>
    </row>
    <row r="3308" spans="1:21" x14ac:dyDescent="0.25">
      <c r="A3308" s="71">
        <v>44</v>
      </c>
      <c r="B3308" s="72">
        <f t="shared" si="1233"/>
        <v>46966</v>
      </c>
      <c r="C3308" s="73">
        <f t="shared" si="1214"/>
        <v>46996</v>
      </c>
      <c r="D3308" s="67">
        <f t="shared" si="1215"/>
        <v>31</v>
      </c>
      <c r="E3308" s="67">
        <f t="shared" si="1216"/>
        <v>8</v>
      </c>
      <c r="F3308" s="74">
        <f t="shared" si="1217"/>
        <v>46981.5</v>
      </c>
      <c r="G3308" s="67">
        <f t="shared" si="1218"/>
        <v>24343</v>
      </c>
      <c r="H3308" s="75">
        <f t="shared" si="1219"/>
        <v>1</v>
      </c>
      <c r="I3308" s="76">
        <f t="shared" si="1220"/>
        <v>1</v>
      </c>
      <c r="J3308" s="76">
        <f t="shared" si="1221"/>
        <v>1</v>
      </c>
      <c r="K3308" s="67">
        <f t="shared" si="1222"/>
        <v>0</v>
      </c>
      <c r="L3308" s="67">
        <f t="shared" si="1223"/>
        <v>0</v>
      </c>
      <c r="M3308" s="77">
        <f t="shared" si="1224"/>
        <v>0</v>
      </c>
      <c r="N3308" s="76">
        <f t="shared" si="1225"/>
        <v>1</v>
      </c>
      <c r="O3308" s="77">
        <f t="shared" si="1226"/>
        <v>0.91</v>
      </c>
      <c r="P3308" s="76">
        <f t="shared" si="1227"/>
        <v>0</v>
      </c>
      <c r="Q3308" s="76">
        <f t="shared" si="1228"/>
        <v>0</v>
      </c>
      <c r="R3308" s="76">
        <f t="shared" si="1229"/>
        <v>0.75</v>
      </c>
      <c r="S3308" s="76">
        <f t="shared" si="1230"/>
        <v>0.98913043478260865</v>
      </c>
      <c r="T3308" s="76">
        <f t="shared" si="1231"/>
        <v>0.98913043478260865</v>
      </c>
      <c r="U3308" s="76">
        <f t="shared" si="1232"/>
        <v>1</v>
      </c>
    </row>
    <row r="3309" spans="1:21" x14ac:dyDescent="0.25">
      <c r="A3309" s="71">
        <v>45</v>
      </c>
      <c r="B3309" s="72">
        <f t="shared" si="1233"/>
        <v>46997</v>
      </c>
      <c r="C3309" s="73">
        <f t="shared" si="1214"/>
        <v>47026</v>
      </c>
      <c r="D3309" s="67">
        <f t="shared" si="1215"/>
        <v>30</v>
      </c>
      <c r="E3309" s="67">
        <f t="shared" si="1216"/>
        <v>9</v>
      </c>
      <c r="F3309" s="74">
        <f t="shared" si="1217"/>
        <v>47012</v>
      </c>
      <c r="G3309" s="67">
        <f t="shared" si="1218"/>
        <v>24344</v>
      </c>
      <c r="H3309" s="75">
        <f t="shared" si="1219"/>
        <v>1</v>
      </c>
      <c r="I3309" s="76">
        <f t="shared" si="1220"/>
        <v>1</v>
      </c>
      <c r="J3309" s="76">
        <f t="shared" si="1221"/>
        <v>1</v>
      </c>
      <c r="K3309" s="67">
        <f t="shared" si="1222"/>
        <v>0</v>
      </c>
      <c r="L3309" s="67">
        <f t="shared" si="1223"/>
        <v>0</v>
      </c>
      <c r="M3309" s="77">
        <f t="shared" si="1224"/>
        <v>0</v>
      </c>
      <c r="N3309" s="76">
        <f t="shared" si="1225"/>
        <v>1</v>
      </c>
      <c r="O3309" s="77">
        <f t="shared" si="1226"/>
        <v>0.91</v>
      </c>
      <c r="P3309" s="76">
        <f t="shared" si="1227"/>
        <v>0</v>
      </c>
      <c r="Q3309" s="76">
        <f t="shared" si="1228"/>
        <v>0</v>
      </c>
      <c r="R3309" s="76">
        <f t="shared" si="1229"/>
        <v>0.58333333333333337</v>
      </c>
      <c r="S3309" s="76">
        <f t="shared" si="1230"/>
        <v>0.98913043478260865</v>
      </c>
      <c r="T3309" s="76">
        <f t="shared" si="1231"/>
        <v>0.98913043478260865</v>
      </c>
      <c r="U3309" s="76">
        <f t="shared" si="1232"/>
        <v>1</v>
      </c>
    </row>
    <row r="3310" spans="1:21" x14ac:dyDescent="0.25">
      <c r="A3310" s="71">
        <v>46</v>
      </c>
      <c r="B3310" s="72">
        <f t="shared" si="1233"/>
        <v>47027</v>
      </c>
      <c r="C3310" s="73">
        <f t="shared" si="1214"/>
        <v>47057</v>
      </c>
      <c r="D3310" s="67">
        <f t="shared" si="1215"/>
        <v>31</v>
      </c>
      <c r="E3310" s="67">
        <f t="shared" si="1216"/>
        <v>10</v>
      </c>
      <c r="F3310" s="74">
        <f t="shared" si="1217"/>
        <v>47042.5</v>
      </c>
      <c r="G3310" s="67">
        <f t="shared" si="1218"/>
        <v>24345</v>
      </c>
      <c r="H3310" s="75">
        <f t="shared" si="1219"/>
        <v>1</v>
      </c>
      <c r="I3310" s="76">
        <f t="shared" si="1220"/>
        <v>1</v>
      </c>
      <c r="J3310" s="76">
        <f t="shared" si="1221"/>
        <v>1</v>
      </c>
      <c r="K3310" s="67">
        <f t="shared" si="1222"/>
        <v>0</v>
      </c>
      <c r="L3310" s="67">
        <f t="shared" si="1223"/>
        <v>0</v>
      </c>
      <c r="M3310" s="77">
        <f t="shared" si="1224"/>
        <v>0</v>
      </c>
      <c r="N3310" s="76">
        <f t="shared" si="1225"/>
        <v>1</v>
      </c>
      <c r="O3310" s="77">
        <f t="shared" si="1226"/>
        <v>0.91</v>
      </c>
      <c r="P3310" s="76">
        <f t="shared" si="1227"/>
        <v>0</v>
      </c>
      <c r="Q3310" s="76">
        <f t="shared" si="1228"/>
        <v>0</v>
      </c>
      <c r="R3310" s="76">
        <f t="shared" si="1229"/>
        <v>0.41666666666666669</v>
      </c>
      <c r="S3310" s="76">
        <f t="shared" si="1230"/>
        <v>0.98913043478260865</v>
      </c>
      <c r="T3310" s="76">
        <f t="shared" si="1231"/>
        <v>0.98913043478260865</v>
      </c>
      <c r="U3310" s="76">
        <f t="shared" si="1232"/>
        <v>1</v>
      </c>
    </row>
    <row r="3311" spans="1:21" x14ac:dyDescent="0.25">
      <c r="A3311" s="71">
        <v>47</v>
      </c>
      <c r="B3311" s="72">
        <f t="shared" si="1233"/>
        <v>47058</v>
      </c>
      <c r="C3311" s="73">
        <f t="shared" si="1214"/>
        <v>47087</v>
      </c>
      <c r="D3311" s="67">
        <f t="shared" si="1215"/>
        <v>30</v>
      </c>
      <c r="E3311" s="67">
        <f t="shared" si="1216"/>
        <v>11</v>
      </c>
      <c r="F3311" s="74">
        <f t="shared" si="1217"/>
        <v>47073</v>
      </c>
      <c r="G3311" s="67">
        <f t="shared" si="1218"/>
        <v>24346</v>
      </c>
      <c r="H3311" s="75">
        <f t="shared" si="1219"/>
        <v>1</v>
      </c>
      <c r="I3311" s="76">
        <f t="shared" si="1220"/>
        <v>1</v>
      </c>
      <c r="J3311" s="76">
        <f t="shared" si="1221"/>
        <v>1</v>
      </c>
      <c r="K3311" s="67">
        <f t="shared" si="1222"/>
        <v>0</v>
      </c>
      <c r="L3311" s="67">
        <f t="shared" si="1223"/>
        <v>0</v>
      </c>
      <c r="M3311" s="77">
        <f t="shared" si="1224"/>
        <v>0</v>
      </c>
      <c r="N3311" s="76">
        <f t="shared" si="1225"/>
        <v>1</v>
      </c>
      <c r="O3311" s="77">
        <f t="shared" si="1226"/>
        <v>0.91</v>
      </c>
      <c r="P3311" s="76">
        <f t="shared" si="1227"/>
        <v>0</v>
      </c>
      <c r="Q3311" s="76">
        <f t="shared" si="1228"/>
        <v>0</v>
      </c>
      <c r="R3311" s="76">
        <f t="shared" si="1229"/>
        <v>0.25</v>
      </c>
      <c r="S3311" s="76">
        <f t="shared" si="1230"/>
        <v>0.98913043478260865</v>
      </c>
      <c r="T3311" s="76">
        <f t="shared" si="1231"/>
        <v>0.98913043478260865</v>
      </c>
      <c r="U3311" s="76">
        <f t="shared" si="1232"/>
        <v>1</v>
      </c>
    </row>
    <row r="3312" spans="1:21" x14ac:dyDescent="0.25">
      <c r="A3312" s="71">
        <v>48</v>
      </c>
      <c r="B3312" s="72">
        <f t="shared" si="1233"/>
        <v>47088</v>
      </c>
      <c r="C3312" s="73">
        <f t="shared" si="1214"/>
        <v>47118</v>
      </c>
      <c r="D3312" s="67">
        <f t="shared" si="1215"/>
        <v>31</v>
      </c>
      <c r="E3312" s="67">
        <f t="shared" si="1216"/>
        <v>12</v>
      </c>
      <c r="F3312" s="74">
        <f t="shared" si="1217"/>
        <v>47103.5</v>
      </c>
      <c r="G3312" s="67">
        <f t="shared" si="1218"/>
        <v>24347</v>
      </c>
      <c r="H3312" s="75">
        <f t="shared" si="1219"/>
        <v>1</v>
      </c>
      <c r="I3312" s="76">
        <f t="shared" si="1220"/>
        <v>1</v>
      </c>
      <c r="J3312" s="76">
        <f t="shared" si="1221"/>
        <v>1</v>
      </c>
      <c r="K3312" s="67">
        <f t="shared" si="1222"/>
        <v>0</v>
      </c>
      <c r="L3312" s="67">
        <f t="shared" si="1223"/>
        <v>0</v>
      </c>
      <c r="M3312" s="77">
        <f t="shared" si="1224"/>
        <v>0</v>
      </c>
      <c r="N3312" s="76">
        <f t="shared" si="1225"/>
        <v>1</v>
      </c>
      <c r="O3312" s="77">
        <f t="shared" si="1226"/>
        <v>0.91</v>
      </c>
      <c r="P3312" s="76">
        <f t="shared" si="1227"/>
        <v>0</v>
      </c>
      <c r="Q3312" s="76">
        <f t="shared" si="1228"/>
        <v>0</v>
      </c>
      <c r="R3312" s="76">
        <f t="shared" si="1229"/>
        <v>8.3333333333333329E-2</v>
      </c>
      <c r="S3312" s="76">
        <f t="shared" si="1230"/>
        <v>0.98913043478260865</v>
      </c>
      <c r="T3312" s="76">
        <f t="shared" si="1231"/>
        <v>0.98913043478260865</v>
      </c>
      <c r="U3312" s="76">
        <f t="shared" si="1232"/>
        <v>1</v>
      </c>
    </row>
    <row r="3313" spans="1:21" x14ac:dyDescent="0.25">
      <c r="A3313" s="81" t="s">
        <v>1187</v>
      </c>
      <c r="B3313" s="53">
        <f>EXP(SUMPRODUCT((rl_key=$A$3262)*(rl_cons="Y")*rl_ln1p))</f>
        <v>1</v>
      </c>
      <c r="C3313" s="53">
        <f>SUMPRODUCT($H$3265:$H$3312,$P$3265:$P$3312,$U$3265:$U$3312)/SUMPRODUCT($H$3265:$H$3312,$P$3265:$P$3312)</f>
        <v>1</v>
      </c>
      <c r="D3313" s="53">
        <f>SUMPRODUCT($H$3265:$H$3312,$Q$3265:$Q$3312,$U$3265:$U$3312)/SUMPRODUCT($H$3265:$H$3312,$Q$3265:$Q$3312)</f>
        <v>1</v>
      </c>
      <c r="E3313" s="53">
        <f>SUMPRODUCT($H$3265:$H$3312,$R$3265:$R$3312,$U$3265:$U$3312)/SUMPRODUCT($H$3265:$H$3312,$R$3265:$R$3312)</f>
        <v>1</v>
      </c>
      <c r="F3313" s="172">
        <f>SUMPRODUCT($H$3265:$H$3312,$Q$3265:$Q$3312,$O$3265:$O$3312)/SUMPRODUCT($H$3265:$H$3312,$Q$3265:$Q$3312)</f>
        <v>0.90999999999999981</v>
      </c>
      <c r="G3313" s="172">
        <f>SUMPRODUCT($H$3265:$H$3312,$R$3265:$R$3312,$O$3265:$O$3312)/SUMPRODUCT($H$3265:$H$3312,$R$3265:$R$3312)</f>
        <v>0.90999999999999981</v>
      </c>
    </row>
    <row r="3316" spans="1:21" x14ac:dyDescent="0.25">
      <c r="A3316" s="81" t="str">
        <f>INDEX(lr_key,61)</f>
        <v>BU-C|PA</v>
      </c>
      <c r="B3316" s="81" t="str">
        <f>INDEX(lr_state,61)</f>
        <v>PA</v>
      </c>
      <c r="C3316" s="55">
        <f>nr_TermMonths</f>
        <v>6</v>
      </c>
      <c r="D3316" s="55">
        <f>IF(COUNTIF(se_state,$B3316)=0,0,MATCH($B3316,se_state,0))</f>
        <v>0</v>
      </c>
      <c r="E3316" s="57">
        <f>IF($D3316=0,0,INDEX(se_sum,$D3316))</f>
        <v>0</v>
      </c>
      <c r="F3316" s="172">
        <f>IF(N(INDEX(lr_mind,61))=0,1,INDEX(lr_mind,61))</f>
        <v>0.92</v>
      </c>
      <c r="G3316" s="172">
        <f>IF(N(INDEX(lr_m0,61))=0,1,INDEX(lr_m0,61))</f>
        <v>0.91</v>
      </c>
      <c r="H3316" s="54">
        <f>IF(N(INDEX(lr_m0asof,61))=0,DATE(nr_PlanYear-1,10,1),INDEX(lr_m0asof,61))</f>
        <v>46295</v>
      </c>
      <c r="I3316" s="172">
        <f>IF(N(INDEX(lr_m1,61))=0,1,INDEX(lr_m1,61))</f>
        <v>0.92500000000000004</v>
      </c>
      <c r="J3316" s="172">
        <f>INDEX(lr_mprior,61)</f>
        <v>0</v>
      </c>
      <c r="K3316" s="172">
        <f>INDEX(lr_m2,61)</f>
        <v>0</v>
      </c>
      <c r="L3316" s="81" t="b">
        <f>NOT(ISBLANK(INDEX(lr_netp,61)))</f>
        <v>0</v>
      </c>
      <c r="M3316" s="52">
        <f>N(INDEX(lr_netp,61))</f>
        <v>0</v>
      </c>
      <c r="N3316" s="52">
        <f>IF(ISBLANK(INDEX(lr_netp1,61)),$M$3316,N(INDEX(lr_netp1,61)))</f>
        <v>0</v>
      </c>
      <c r="O3316" s="55">
        <f>IF(AND(nr_ModAdjMaster="ON",INDEX(lr_modadj,61)="ON"),1,0)</f>
        <v>1</v>
      </c>
    </row>
    <row r="3317" spans="1:21" x14ac:dyDescent="0.25">
      <c r="A3317" s="81">
        <f>EDATE($H$3316,-12)+1</f>
        <v>45931</v>
      </c>
      <c r="B3317" s="81">
        <f>$H$3316+1</f>
        <v>46296</v>
      </c>
      <c r="C3317" s="81">
        <f>DATE(nr_PlanYear,12,31)+1</f>
        <v>46753</v>
      </c>
      <c r="D3317" s="81">
        <f>DATE(nr_PlanYear+1,12,31)+1</f>
        <v>47119</v>
      </c>
      <c r="E3317" s="81">
        <f>IF(N($J$3316)=0,$F$3317-($G$3317-$F$3317)/($C$3317-$B$3317)*($B$3317-$A$3317),$J$3316)</f>
        <v>0.89801969365426693</v>
      </c>
      <c r="F3317" s="81">
        <f>$G$3316</f>
        <v>0.91</v>
      </c>
      <c r="G3317" s="81">
        <f>$I$3316</f>
        <v>0.92500000000000004</v>
      </c>
      <c r="H3317" s="81">
        <f>IF(N($K$3316)=0,$I$3316,$K$3316)</f>
        <v>0.92500000000000004</v>
      </c>
      <c r="I3317" s="81">
        <f>($F$3317-$E$3317)/($B$3317-$A$3317)</f>
        <v>3.2822757111597549E-5</v>
      </c>
      <c r="J3317" s="81">
        <f>($G$3317-$F$3317)/($C$3317-$B$3317)</f>
        <v>3.2822757111597407E-5</v>
      </c>
      <c r="K3317" s="81">
        <f>($H$3317-$G$3317)/($D$3317-$C$3317)</f>
        <v>0</v>
      </c>
    </row>
    <row r="3318" spans="1:21" ht="36" x14ac:dyDescent="0.25">
      <c r="A3318" s="50" t="s">
        <v>211</v>
      </c>
      <c r="B3318" s="50" t="s">
        <v>212</v>
      </c>
      <c r="C3318" s="50" t="s">
        <v>213</v>
      </c>
      <c r="D3318" s="50" t="s">
        <v>214</v>
      </c>
      <c r="E3318" s="50" t="s">
        <v>215</v>
      </c>
      <c r="F3318" s="50" t="s">
        <v>216</v>
      </c>
      <c r="G3318" s="50" t="s">
        <v>217</v>
      </c>
      <c r="H3318" s="50" t="s">
        <v>218</v>
      </c>
      <c r="I3318" s="50" t="s">
        <v>219</v>
      </c>
      <c r="J3318" s="50" t="s">
        <v>220</v>
      </c>
      <c r="K3318" s="50" t="s">
        <v>221</v>
      </c>
      <c r="L3318" s="50" t="s">
        <v>222</v>
      </c>
      <c r="M3318" s="50" t="s">
        <v>223</v>
      </c>
      <c r="N3318" s="50" t="s">
        <v>224</v>
      </c>
      <c r="O3318" s="50" t="s">
        <v>225</v>
      </c>
      <c r="P3318" s="50" t="s">
        <v>226</v>
      </c>
      <c r="Q3318" s="50" t="s">
        <v>227</v>
      </c>
      <c r="R3318" s="50" t="s">
        <v>228</v>
      </c>
      <c r="S3318" s="50" t="s">
        <v>229</v>
      </c>
      <c r="T3318" s="50" t="s">
        <v>230</v>
      </c>
      <c r="U3318" s="50" t="s">
        <v>231</v>
      </c>
    </row>
    <row r="3319" spans="1:21" x14ac:dyDescent="0.25">
      <c r="A3319" s="71">
        <v>1</v>
      </c>
      <c r="B3319" s="72">
        <f>DATE(nr_PlanYear-2,1,1)</f>
        <v>45658</v>
      </c>
      <c r="C3319" s="73">
        <f t="shared" ref="C3319:C3366" si="1234">EOMONTH($B3319,0)</f>
        <v>45688</v>
      </c>
      <c r="D3319" s="67">
        <f t="shared" ref="D3319:D3366" si="1235">$C3319-$B3319+1</f>
        <v>31</v>
      </c>
      <c r="E3319" s="67">
        <f t="shared" ref="E3319:E3366" si="1236">MONTH($B3319)</f>
        <v>1</v>
      </c>
      <c r="F3319" s="74">
        <f t="shared" ref="F3319:F3366" si="1237">($B3319+$C3319+1)/2</f>
        <v>45673.5</v>
      </c>
      <c r="G3319" s="67">
        <f t="shared" ref="G3319:G3366" si="1238">YEAR($B3319)*12+MONTH($B3319)-1</f>
        <v>24300</v>
      </c>
      <c r="H3319" s="75">
        <f t="shared" ref="H3319:H3366" si="1239">IF(OR(nr_SeasonOn="OFF",$D$3316=0,$E$3316=0),1,12*INDEX(se_block,$D$3316,$E3319)/$E$3316)</f>
        <v>1</v>
      </c>
      <c r="I3319" s="76">
        <f t="shared" ref="I3319:I3366" si="1240">EXP(SUMPRODUCT((rl_eff&lt;$B3319)*(rl_key=$A$3316)*rl_ln1p))</f>
        <v>1</v>
      </c>
      <c r="J3319" s="76">
        <f t="shared" ref="J3319:J3366" si="1241">EXP(SUMPRODUCT((rl_eff&lt;=$C3319)*(rl_key=$A$3316)*rl_ln1p))</f>
        <v>1</v>
      </c>
      <c r="K3319" s="67">
        <f t="shared" ref="K3319:K3366" si="1242">COUNTIFS(rl_key,$A$3316,rl_eff,"&gt;="&amp;$B3319,rl_eff,"&lt;="&amp;$C3319)</f>
        <v>0</v>
      </c>
      <c r="L3319" s="67">
        <f t="shared" ref="L3319:L3366" si="1243">SUMIFS(rl_daysafter,rl_key,$A$3316,rl_effmonth,$B3319,rl_first,1)</f>
        <v>0</v>
      </c>
      <c r="M3319" s="77">
        <f t="shared" ref="M3319:M3366" si="1244">IF($K3319=0,0,MIN(1,$L3319/$D3319))</f>
        <v>0</v>
      </c>
      <c r="N3319" s="76">
        <f t="shared" ref="N3319:N3366" si="1245">IF($K3319=0,$J3319,(1-$M3319)*$I3319+$M3319*$J3319)</f>
        <v>1</v>
      </c>
      <c r="O3319" s="77">
        <f t="shared" ref="O3319:O3366" si="1246">IF($F3319&lt;$B$3317,$E$3317+$I$3317*($F3319-$A$3317),IF($F3319&lt;$C$3317,$F$3317+$J$3317*($F3319-$B$3317),$G$3317+$K$3317*($F3319-$C$3317)))</f>
        <v>0.88956783369803061</v>
      </c>
      <c r="P3319" s="76">
        <f t="shared" ref="P3319:P3366" si="1247">MIN(1,MAX(0,(nr_MEndPm1-$G3319+0.5)/$C$3316))-MIN(1,MAX(0,(nr_MStartPm1-1-$G3319+0.5)/$C$3316))</f>
        <v>0</v>
      </c>
      <c r="Q3319" s="76">
        <f t="shared" ref="Q3319:Q3366" si="1248">MIN(1,MAX(0,(nr_MEndP-$G3319+0.5)/$C$3316))-MIN(1,MAX(0,(nr_MStartP-1-$G3319+0.5)/$C$3316))</f>
        <v>0</v>
      </c>
      <c r="R3319" s="76">
        <f t="shared" ref="R3319:R3366" si="1249">MIN(1,MAX(0,(nr_MEndP1-$G3319+0.5)/$C$3316))-MIN(1,MAX(0,(nr_MStartP1-1-$G3319+0.5)/$C$3316))</f>
        <v>0</v>
      </c>
      <c r="S3319" s="76">
        <f t="shared" ref="S3319:S3366" si="1250">$N3319*IF($O$3316=1,$O3319/$F$3316,1)</f>
        <v>0.96692155836742455</v>
      </c>
      <c r="T3319" s="76">
        <f t="shared" ref="T3319:T3366" si="1251">IF($G3319&lt;nr_MStartP,$S3319,$T3307*(1+IF($G3319&lt;nr_MStartP1,$M$3316,$N$3316)))</f>
        <v>0.96692155836742455</v>
      </c>
      <c r="U3319" s="76">
        <f t="shared" ref="U3319:U3366" si="1252">IF($L$3316,$T3319,$N3319)</f>
        <v>1</v>
      </c>
    </row>
    <row r="3320" spans="1:21" x14ac:dyDescent="0.25">
      <c r="A3320" s="71">
        <v>2</v>
      </c>
      <c r="B3320" s="72">
        <f t="shared" ref="B3320:B3366" si="1253">EDATE($B3319,1)</f>
        <v>45689</v>
      </c>
      <c r="C3320" s="73">
        <f t="shared" si="1234"/>
        <v>45716</v>
      </c>
      <c r="D3320" s="67">
        <f t="shared" si="1235"/>
        <v>28</v>
      </c>
      <c r="E3320" s="67">
        <f t="shared" si="1236"/>
        <v>2</v>
      </c>
      <c r="F3320" s="74">
        <f t="shared" si="1237"/>
        <v>45703</v>
      </c>
      <c r="G3320" s="67">
        <f t="shared" si="1238"/>
        <v>24301</v>
      </c>
      <c r="H3320" s="75">
        <f t="shared" si="1239"/>
        <v>1</v>
      </c>
      <c r="I3320" s="76">
        <f t="shared" si="1240"/>
        <v>1</v>
      </c>
      <c r="J3320" s="76">
        <f t="shared" si="1241"/>
        <v>1</v>
      </c>
      <c r="K3320" s="67">
        <f t="shared" si="1242"/>
        <v>0</v>
      </c>
      <c r="L3320" s="67">
        <f t="shared" si="1243"/>
        <v>0</v>
      </c>
      <c r="M3320" s="77">
        <f t="shared" si="1244"/>
        <v>0</v>
      </c>
      <c r="N3320" s="76">
        <f t="shared" si="1245"/>
        <v>1</v>
      </c>
      <c r="O3320" s="77">
        <f t="shared" si="1246"/>
        <v>0.89053610503282266</v>
      </c>
      <c r="P3320" s="76">
        <f t="shared" si="1247"/>
        <v>0</v>
      </c>
      <c r="Q3320" s="76">
        <f t="shared" si="1248"/>
        <v>0</v>
      </c>
      <c r="R3320" s="76">
        <f t="shared" si="1249"/>
        <v>0</v>
      </c>
      <c r="S3320" s="76">
        <f t="shared" si="1250"/>
        <v>0.9679740272095898</v>
      </c>
      <c r="T3320" s="76">
        <f t="shared" si="1251"/>
        <v>0.9679740272095898</v>
      </c>
      <c r="U3320" s="76">
        <f t="shared" si="1252"/>
        <v>1</v>
      </c>
    </row>
    <row r="3321" spans="1:21" x14ac:dyDescent="0.25">
      <c r="A3321" s="71">
        <v>3</v>
      </c>
      <c r="B3321" s="72">
        <f t="shared" si="1253"/>
        <v>45717</v>
      </c>
      <c r="C3321" s="73">
        <f t="shared" si="1234"/>
        <v>45747</v>
      </c>
      <c r="D3321" s="67">
        <f t="shared" si="1235"/>
        <v>31</v>
      </c>
      <c r="E3321" s="67">
        <f t="shared" si="1236"/>
        <v>3</v>
      </c>
      <c r="F3321" s="74">
        <f t="shared" si="1237"/>
        <v>45732.5</v>
      </c>
      <c r="G3321" s="67">
        <f t="shared" si="1238"/>
        <v>24302</v>
      </c>
      <c r="H3321" s="75">
        <f t="shared" si="1239"/>
        <v>1</v>
      </c>
      <c r="I3321" s="76">
        <f t="shared" si="1240"/>
        <v>1</v>
      </c>
      <c r="J3321" s="76">
        <f t="shared" si="1241"/>
        <v>1</v>
      </c>
      <c r="K3321" s="67">
        <f t="shared" si="1242"/>
        <v>0</v>
      </c>
      <c r="L3321" s="67">
        <f t="shared" si="1243"/>
        <v>0</v>
      </c>
      <c r="M3321" s="77">
        <f t="shared" si="1244"/>
        <v>0</v>
      </c>
      <c r="N3321" s="76">
        <f t="shared" si="1245"/>
        <v>1</v>
      </c>
      <c r="O3321" s="77">
        <f t="shared" si="1246"/>
        <v>0.89150437636761481</v>
      </c>
      <c r="P3321" s="76">
        <f t="shared" si="1247"/>
        <v>0</v>
      </c>
      <c r="Q3321" s="76">
        <f t="shared" si="1248"/>
        <v>0</v>
      </c>
      <c r="R3321" s="76">
        <f t="shared" si="1249"/>
        <v>0</v>
      </c>
      <c r="S3321" s="76">
        <f t="shared" si="1250"/>
        <v>0.96902649605175517</v>
      </c>
      <c r="T3321" s="76">
        <f t="shared" si="1251"/>
        <v>0.96902649605175517</v>
      </c>
      <c r="U3321" s="76">
        <f t="shared" si="1252"/>
        <v>1</v>
      </c>
    </row>
    <row r="3322" spans="1:21" x14ac:dyDescent="0.25">
      <c r="A3322" s="71">
        <v>4</v>
      </c>
      <c r="B3322" s="72">
        <f t="shared" si="1253"/>
        <v>45748</v>
      </c>
      <c r="C3322" s="73">
        <f t="shared" si="1234"/>
        <v>45777</v>
      </c>
      <c r="D3322" s="67">
        <f t="shared" si="1235"/>
        <v>30</v>
      </c>
      <c r="E3322" s="67">
        <f t="shared" si="1236"/>
        <v>4</v>
      </c>
      <c r="F3322" s="74">
        <f t="shared" si="1237"/>
        <v>45763</v>
      </c>
      <c r="G3322" s="67">
        <f t="shared" si="1238"/>
        <v>24303</v>
      </c>
      <c r="H3322" s="75">
        <f t="shared" si="1239"/>
        <v>1</v>
      </c>
      <c r="I3322" s="76">
        <f t="shared" si="1240"/>
        <v>1</v>
      </c>
      <c r="J3322" s="76">
        <f t="shared" si="1241"/>
        <v>1</v>
      </c>
      <c r="K3322" s="67">
        <f t="shared" si="1242"/>
        <v>0</v>
      </c>
      <c r="L3322" s="67">
        <f t="shared" si="1243"/>
        <v>0</v>
      </c>
      <c r="M3322" s="77">
        <f t="shared" si="1244"/>
        <v>0</v>
      </c>
      <c r="N3322" s="76">
        <f t="shared" si="1245"/>
        <v>1</v>
      </c>
      <c r="O3322" s="77">
        <f t="shared" si="1246"/>
        <v>0.89250547045951856</v>
      </c>
      <c r="P3322" s="76">
        <f t="shared" si="1247"/>
        <v>0</v>
      </c>
      <c r="Q3322" s="76">
        <f t="shared" si="1248"/>
        <v>0</v>
      </c>
      <c r="R3322" s="76">
        <f t="shared" si="1249"/>
        <v>0</v>
      </c>
      <c r="S3322" s="76">
        <f t="shared" si="1250"/>
        <v>0.97011464180382445</v>
      </c>
      <c r="T3322" s="76">
        <f t="shared" si="1251"/>
        <v>0.97011464180382445</v>
      </c>
      <c r="U3322" s="76">
        <f t="shared" si="1252"/>
        <v>1</v>
      </c>
    </row>
    <row r="3323" spans="1:21" x14ac:dyDescent="0.25">
      <c r="A3323" s="71">
        <v>5</v>
      </c>
      <c r="B3323" s="72">
        <f t="shared" si="1253"/>
        <v>45778</v>
      </c>
      <c r="C3323" s="73">
        <f t="shared" si="1234"/>
        <v>45808</v>
      </c>
      <c r="D3323" s="67">
        <f t="shared" si="1235"/>
        <v>31</v>
      </c>
      <c r="E3323" s="67">
        <f t="shared" si="1236"/>
        <v>5</v>
      </c>
      <c r="F3323" s="74">
        <f t="shared" si="1237"/>
        <v>45793.5</v>
      </c>
      <c r="G3323" s="67">
        <f t="shared" si="1238"/>
        <v>24304</v>
      </c>
      <c r="H3323" s="75">
        <f t="shared" si="1239"/>
        <v>1</v>
      </c>
      <c r="I3323" s="76">
        <f t="shared" si="1240"/>
        <v>1</v>
      </c>
      <c r="J3323" s="76">
        <f t="shared" si="1241"/>
        <v>1</v>
      </c>
      <c r="K3323" s="67">
        <f t="shared" si="1242"/>
        <v>0</v>
      </c>
      <c r="L3323" s="67">
        <f t="shared" si="1243"/>
        <v>0</v>
      </c>
      <c r="M3323" s="77">
        <f t="shared" si="1244"/>
        <v>0</v>
      </c>
      <c r="N3323" s="76">
        <f t="shared" si="1245"/>
        <v>1</v>
      </c>
      <c r="O3323" s="77">
        <f t="shared" si="1246"/>
        <v>0.8935065645514223</v>
      </c>
      <c r="P3323" s="76">
        <f t="shared" si="1247"/>
        <v>0</v>
      </c>
      <c r="Q3323" s="76">
        <f t="shared" si="1248"/>
        <v>0</v>
      </c>
      <c r="R3323" s="76">
        <f t="shared" si="1249"/>
        <v>0</v>
      </c>
      <c r="S3323" s="76">
        <f t="shared" si="1250"/>
        <v>0.97120278755589373</v>
      </c>
      <c r="T3323" s="76">
        <f t="shared" si="1251"/>
        <v>0.97120278755589373</v>
      </c>
      <c r="U3323" s="76">
        <f t="shared" si="1252"/>
        <v>1</v>
      </c>
    </row>
    <row r="3324" spans="1:21" x14ac:dyDescent="0.25">
      <c r="A3324" s="71">
        <v>6</v>
      </c>
      <c r="B3324" s="72">
        <f t="shared" si="1253"/>
        <v>45809</v>
      </c>
      <c r="C3324" s="73">
        <f t="shared" si="1234"/>
        <v>45838</v>
      </c>
      <c r="D3324" s="67">
        <f t="shared" si="1235"/>
        <v>30</v>
      </c>
      <c r="E3324" s="67">
        <f t="shared" si="1236"/>
        <v>6</v>
      </c>
      <c r="F3324" s="74">
        <f t="shared" si="1237"/>
        <v>45824</v>
      </c>
      <c r="G3324" s="67">
        <f t="shared" si="1238"/>
        <v>24305</v>
      </c>
      <c r="H3324" s="75">
        <f t="shared" si="1239"/>
        <v>1</v>
      </c>
      <c r="I3324" s="76">
        <f t="shared" si="1240"/>
        <v>1</v>
      </c>
      <c r="J3324" s="76">
        <f t="shared" si="1241"/>
        <v>1</v>
      </c>
      <c r="K3324" s="67">
        <f t="shared" si="1242"/>
        <v>0</v>
      </c>
      <c r="L3324" s="67">
        <f t="shared" si="1243"/>
        <v>0</v>
      </c>
      <c r="M3324" s="77">
        <f t="shared" si="1244"/>
        <v>0</v>
      </c>
      <c r="N3324" s="76">
        <f t="shared" si="1245"/>
        <v>1</v>
      </c>
      <c r="O3324" s="77">
        <f t="shared" si="1246"/>
        <v>0.89450765864332604</v>
      </c>
      <c r="P3324" s="76">
        <f t="shared" si="1247"/>
        <v>0</v>
      </c>
      <c r="Q3324" s="76">
        <f t="shared" si="1248"/>
        <v>0</v>
      </c>
      <c r="R3324" s="76">
        <f t="shared" si="1249"/>
        <v>0</v>
      </c>
      <c r="S3324" s="76">
        <f t="shared" si="1250"/>
        <v>0.97229093330796301</v>
      </c>
      <c r="T3324" s="76">
        <f t="shared" si="1251"/>
        <v>0.97229093330796301</v>
      </c>
      <c r="U3324" s="76">
        <f t="shared" si="1252"/>
        <v>1</v>
      </c>
    </row>
    <row r="3325" spans="1:21" x14ac:dyDescent="0.25">
      <c r="A3325" s="71">
        <v>7</v>
      </c>
      <c r="B3325" s="72">
        <f t="shared" si="1253"/>
        <v>45839</v>
      </c>
      <c r="C3325" s="73">
        <f t="shared" si="1234"/>
        <v>45869</v>
      </c>
      <c r="D3325" s="67">
        <f t="shared" si="1235"/>
        <v>31</v>
      </c>
      <c r="E3325" s="67">
        <f t="shared" si="1236"/>
        <v>7</v>
      </c>
      <c r="F3325" s="74">
        <f t="shared" si="1237"/>
        <v>45854.5</v>
      </c>
      <c r="G3325" s="67">
        <f t="shared" si="1238"/>
        <v>24306</v>
      </c>
      <c r="H3325" s="75">
        <f t="shared" si="1239"/>
        <v>1</v>
      </c>
      <c r="I3325" s="76">
        <f t="shared" si="1240"/>
        <v>1</v>
      </c>
      <c r="J3325" s="76">
        <f t="shared" si="1241"/>
        <v>1</v>
      </c>
      <c r="K3325" s="67">
        <f t="shared" si="1242"/>
        <v>0</v>
      </c>
      <c r="L3325" s="67">
        <f t="shared" si="1243"/>
        <v>0</v>
      </c>
      <c r="M3325" s="77">
        <f t="shared" si="1244"/>
        <v>0</v>
      </c>
      <c r="N3325" s="76">
        <f t="shared" si="1245"/>
        <v>1</v>
      </c>
      <c r="O3325" s="77">
        <f t="shared" si="1246"/>
        <v>0.89550875273522967</v>
      </c>
      <c r="P3325" s="76">
        <f t="shared" si="1247"/>
        <v>8.333333333333337E-2</v>
      </c>
      <c r="Q3325" s="76">
        <f t="shared" si="1248"/>
        <v>0</v>
      </c>
      <c r="R3325" s="76">
        <f t="shared" si="1249"/>
        <v>0</v>
      </c>
      <c r="S3325" s="76">
        <f t="shared" si="1250"/>
        <v>0.97337907906003218</v>
      </c>
      <c r="T3325" s="76">
        <f t="shared" si="1251"/>
        <v>0.97337907906003218</v>
      </c>
      <c r="U3325" s="76">
        <f t="shared" si="1252"/>
        <v>1</v>
      </c>
    </row>
    <row r="3326" spans="1:21" x14ac:dyDescent="0.25">
      <c r="A3326" s="71">
        <v>8</v>
      </c>
      <c r="B3326" s="72">
        <f t="shared" si="1253"/>
        <v>45870</v>
      </c>
      <c r="C3326" s="73">
        <f t="shared" si="1234"/>
        <v>45900</v>
      </c>
      <c r="D3326" s="67">
        <f t="shared" si="1235"/>
        <v>31</v>
      </c>
      <c r="E3326" s="67">
        <f t="shared" si="1236"/>
        <v>8</v>
      </c>
      <c r="F3326" s="74">
        <f t="shared" si="1237"/>
        <v>45885.5</v>
      </c>
      <c r="G3326" s="67">
        <f t="shared" si="1238"/>
        <v>24307</v>
      </c>
      <c r="H3326" s="75">
        <f t="shared" si="1239"/>
        <v>1</v>
      </c>
      <c r="I3326" s="76">
        <f t="shared" si="1240"/>
        <v>1</v>
      </c>
      <c r="J3326" s="76">
        <f t="shared" si="1241"/>
        <v>1</v>
      </c>
      <c r="K3326" s="67">
        <f t="shared" si="1242"/>
        <v>0</v>
      </c>
      <c r="L3326" s="67">
        <f t="shared" si="1243"/>
        <v>0</v>
      </c>
      <c r="M3326" s="77">
        <f t="shared" si="1244"/>
        <v>0</v>
      </c>
      <c r="N3326" s="76">
        <f t="shared" si="1245"/>
        <v>1</v>
      </c>
      <c r="O3326" s="77">
        <f t="shared" si="1246"/>
        <v>0.89652625820568921</v>
      </c>
      <c r="P3326" s="76">
        <f t="shared" si="1247"/>
        <v>0.25</v>
      </c>
      <c r="Q3326" s="76">
        <f t="shared" si="1248"/>
        <v>0</v>
      </c>
      <c r="R3326" s="76">
        <f t="shared" si="1249"/>
        <v>0</v>
      </c>
      <c r="S3326" s="76">
        <f t="shared" si="1250"/>
        <v>0.97448506326705342</v>
      </c>
      <c r="T3326" s="76">
        <f t="shared" si="1251"/>
        <v>0.97448506326705342</v>
      </c>
      <c r="U3326" s="76">
        <f t="shared" si="1252"/>
        <v>1</v>
      </c>
    </row>
    <row r="3327" spans="1:21" x14ac:dyDescent="0.25">
      <c r="A3327" s="71">
        <v>9</v>
      </c>
      <c r="B3327" s="72">
        <f t="shared" si="1253"/>
        <v>45901</v>
      </c>
      <c r="C3327" s="73">
        <f t="shared" si="1234"/>
        <v>45930</v>
      </c>
      <c r="D3327" s="67">
        <f t="shared" si="1235"/>
        <v>30</v>
      </c>
      <c r="E3327" s="67">
        <f t="shared" si="1236"/>
        <v>9</v>
      </c>
      <c r="F3327" s="74">
        <f t="shared" si="1237"/>
        <v>45916</v>
      </c>
      <c r="G3327" s="67">
        <f t="shared" si="1238"/>
        <v>24308</v>
      </c>
      <c r="H3327" s="75">
        <f t="shared" si="1239"/>
        <v>1</v>
      </c>
      <c r="I3327" s="76">
        <f t="shared" si="1240"/>
        <v>1</v>
      </c>
      <c r="J3327" s="76">
        <f t="shared" si="1241"/>
        <v>1</v>
      </c>
      <c r="K3327" s="67">
        <f t="shared" si="1242"/>
        <v>0</v>
      </c>
      <c r="L3327" s="67">
        <f t="shared" si="1243"/>
        <v>0</v>
      </c>
      <c r="M3327" s="77">
        <f t="shared" si="1244"/>
        <v>0</v>
      </c>
      <c r="N3327" s="76">
        <f t="shared" si="1245"/>
        <v>1</v>
      </c>
      <c r="O3327" s="77">
        <f t="shared" si="1246"/>
        <v>0.89752735229759295</v>
      </c>
      <c r="P3327" s="76">
        <f t="shared" si="1247"/>
        <v>0.41666666666666663</v>
      </c>
      <c r="Q3327" s="76">
        <f t="shared" si="1248"/>
        <v>0</v>
      </c>
      <c r="R3327" s="76">
        <f t="shared" si="1249"/>
        <v>0</v>
      </c>
      <c r="S3327" s="76">
        <f t="shared" si="1250"/>
        <v>0.9755732090191227</v>
      </c>
      <c r="T3327" s="76">
        <f t="shared" si="1251"/>
        <v>0.9755732090191227</v>
      </c>
      <c r="U3327" s="76">
        <f t="shared" si="1252"/>
        <v>1</v>
      </c>
    </row>
    <row r="3328" spans="1:21" x14ac:dyDescent="0.25">
      <c r="A3328" s="71">
        <v>10</v>
      </c>
      <c r="B3328" s="72">
        <f t="shared" si="1253"/>
        <v>45931</v>
      </c>
      <c r="C3328" s="73">
        <f t="shared" si="1234"/>
        <v>45961</v>
      </c>
      <c r="D3328" s="67">
        <f t="shared" si="1235"/>
        <v>31</v>
      </c>
      <c r="E3328" s="67">
        <f t="shared" si="1236"/>
        <v>10</v>
      </c>
      <c r="F3328" s="74">
        <f t="shared" si="1237"/>
        <v>45946.5</v>
      </c>
      <c r="G3328" s="67">
        <f t="shared" si="1238"/>
        <v>24309</v>
      </c>
      <c r="H3328" s="75">
        <f t="shared" si="1239"/>
        <v>1</v>
      </c>
      <c r="I3328" s="76">
        <f t="shared" si="1240"/>
        <v>1</v>
      </c>
      <c r="J3328" s="76">
        <f t="shared" si="1241"/>
        <v>1</v>
      </c>
      <c r="K3328" s="67">
        <f t="shared" si="1242"/>
        <v>0</v>
      </c>
      <c r="L3328" s="67">
        <f t="shared" si="1243"/>
        <v>0</v>
      </c>
      <c r="M3328" s="77">
        <f t="shared" si="1244"/>
        <v>0</v>
      </c>
      <c r="N3328" s="76">
        <f t="shared" si="1245"/>
        <v>1</v>
      </c>
      <c r="O3328" s="77">
        <f t="shared" si="1246"/>
        <v>0.89852844638949669</v>
      </c>
      <c r="P3328" s="76">
        <f t="shared" si="1247"/>
        <v>0.58333333333333326</v>
      </c>
      <c r="Q3328" s="76">
        <f t="shared" si="1248"/>
        <v>0</v>
      </c>
      <c r="R3328" s="76">
        <f t="shared" si="1249"/>
        <v>0</v>
      </c>
      <c r="S3328" s="76">
        <f t="shared" si="1250"/>
        <v>0.97666135477119198</v>
      </c>
      <c r="T3328" s="76">
        <f t="shared" si="1251"/>
        <v>0.97666135477119198</v>
      </c>
      <c r="U3328" s="76">
        <f t="shared" si="1252"/>
        <v>1</v>
      </c>
    </row>
    <row r="3329" spans="1:21" x14ac:dyDescent="0.25">
      <c r="A3329" s="71">
        <v>11</v>
      </c>
      <c r="B3329" s="72">
        <f t="shared" si="1253"/>
        <v>45962</v>
      </c>
      <c r="C3329" s="73">
        <f t="shared" si="1234"/>
        <v>45991</v>
      </c>
      <c r="D3329" s="67">
        <f t="shared" si="1235"/>
        <v>30</v>
      </c>
      <c r="E3329" s="67">
        <f t="shared" si="1236"/>
        <v>11</v>
      </c>
      <c r="F3329" s="74">
        <f t="shared" si="1237"/>
        <v>45977</v>
      </c>
      <c r="G3329" s="67">
        <f t="shared" si="1238"/>
        <v>24310</v>
      </c>
      <c r="H3329" s="75">
        <f t="shared" si="1239"/>
        <v>1</v>
      </c>
      <c r="I3329" s="76">
        <f t="shared" si="1240"/>
        <v>1</v>
      </c>
      <c r="J3329" s="76">
        <f t="shared" si="1241"/>
        <v>1</v>
      </c>
      <c r="K3329" s="67">
        <f t="shared" si="1242"/>
        <v>0</v>
      </c>
      <c r="L3329" s="67">
        <f t="shared" si="1243"/>
        <v>0</v>
      </c>
      <c r="M3329" s="77">
        <f t="shared" si="1244"/>
        <v>0</v>
      </c>
      <c r="N3329" s="76">
        <f t="shared" si="1245"/>
        <v>1</v>
      </c>
      <c r="O3329" s="77">
        <f t="shared" si="1246"/>
        <v>0.89952954048140044</v>
      </c>
      <c r="P3329" s="76">
        <f t="shared" si="1247"/>
        <v>0.75</v>
      </c>
      <c r="Q3329" s="76">
        <f t="shared" si="1248"/>
        <v>0</v>
      </c>
      <c r="R3329" s="76">
        <f t="shared" si="1249"/>
        <v>0</v>
      </c>
      <c r="S3329" s="76">
        <f t="shared" si="1250"/>
        <v>0.97774950052326126</v>
      </c>
      <c r="T3329" s="76">
        <f t="shared" si="1251"/>
        <v>0.97774950052326126</v>
      </c>
      <c r="U3329" s="76">
        <f t="shared" si="1252"/>
        <v>1</v>
      </c>
    </row>
    <row r="3330" spans="1:21" x14ac:dyDescent="0.25">
      <c r="A3330" s="71">
        <v>12</v>
      </c>
      <c r="B3330" s="72">
        <f t="shared" si="1253"/>
        <v>45992</v>
      </c>
      <c r="C3330" s="73">
        <f t="shared" si="1234"/>
        <v>46022</v>
      </c>
      <c r="D3330" s="67">
        <f t="shared" si="1235"/>
        <v>31</v>
      </c>
      <c r="E3330" s="67">
        <f t="shared" si="1236"/>
        <v>12</v>
      </c>
      <c r="F3330" s="74">
        <f t="shared" si="1237"/>
        <v>46007.5</v>
      </c>
      <c r="G3330" s="67">
        <f t="shared" si="1238"/>
        <v>24311</v>
      </c>
      <c r="H3330" s="75">
        <f t="shared" si="1239"/>
        <v>1</v>
      </c>
      <c r="I3330" s="76">
        <f t="shared" si="1240"/>
        <v>1</v>
      </c>
      <c r="J3330" s="76">
        <f t="shared" si="1241"/>
        <v>1</v>
      </c>
      <c r="K3330" s="67">
        <f t="shared" si="1242"/>
        <v>0</v>
      </c>
      <c r="L3330" s="67">
        <f t="shared" si="1243"/>
        <v>0</v>
      </c>
      <c r="M3330" s="77">
        <f t="shared" si="1244"/>
        <v>0</v>
      </c>
      <c r="N3330" s="76">
        <f t="shared" si="1245"/>
        <v>1</v>
      </c>
      <c r="O3330" s="77">
        <f t="shared" si="1246"/>
        <v>0.90053063457330418</v>
      </c>
      <c r="P3330" s="76">
        <f t="shared" si="1247"/>
        <v>0.91666666666666663</v>
      </c>
      <c r="Q3330" s="76">
        <f t="shared" si="1248"/>
        <v>0</v>
      </c>
      <c r="R3330" s="76">
        <f t="shared" si="1249"/>
        <v>0</v>
      </c>
      <c r="S3330" s="76">
        <f t="shared" si="1250"/>
        <v>0.97883764627533054</v>
      </c>
      <c r="T3330" s="76">
        <f t="shared" si="1251"/>
        <v>0.97883764627533054</v>
      </c>
      <c r="U3330" s="76">
        <f t="shared" si="1252"/>
        <v>1</v>
      </c>
    </row>
    <row r="3331" spans="1:21" x14ac:dyDescent="0.25">
      <c r="A3331" s="71">
        <v>13</v>
      </c>
      <c r="B3331" s="72">
        <f t="shared" si="1253"/>
        <v>46023</v>
      </c>
      <c r="C3331" s="73">
        <f t="shared" si="1234"/>
        <v>46053</v>
      </c>
      <c r="D3331" s="67">
        <f t="shared" si="1235"/>
        <v>31</v>
      </c>
      <c r="E3331" s="67">
        <f t="shared" si="1236"/>
        <v>1</v>
      </c>
      <c r="F3331" s="74">
        <f t="shared" si="1237"/>
        <v>46038.5</v>
      </c>
      <c r="G3331" s="67">
        <f t="shared" si="1238"/>
        <v>24312</v>
      </c>
      <c r="H3331" s="75">
        <f t="shared" si="1239"/>
        <v>1</v>
      </c>
      <c r="I3331" s="76">
        <f t="shared" si="1240"/>
        <v>1</v>
      </c>
      <c r="J3331" s="76">
        <f t="shared" si="1241"/>
        <v>1.02</v>
      </c>
      <c r="K3331" s="67">
        <f t="shared" si="1242"/>
        <v>1</v>
      </c>
      <c r="L3331" s="67">
        <f t="shared" si="1243"/>
        <v>31</v>
      </c>
      <c r="M3331" s="77">
        <f t="shared" si="1244"/>
        <v>1</v>
      </c>
      <c r="N3331" s="76">
        <f t="shared" si="1245"/>
        <v>1.02</v>
      </c>
      <c r="O3331" s="77">
        <f t="shared" si="1246"/>
        <v>0.90154814004376371</v>
      </c>
      <c r="P3331" s="76">
        <f t="shared" si="1247"/>
        <v>1</v>
      </c>
      <c r="Q3331" s="76">
        <f t="shared" si="1248"/>
        <v>0</v>
      </c>
      <c r="R3331" s="76">
        <f t="shared" si="1249"/>
        <v>0</v>
      </c>
      <c r="S3331" s="76">
        <f t="shared" si="1250"/>
        <v>0.99954250309199888</v>
      </c>
      <c r="T3331" s="76">
        <f t="shared" si="1251"/>
        <v>0.99954250309199888</v>
      </c>
      <c r="U3331" s="76">
        <f t="shared" si="1252"/>
        <v>1.02</v>
      </c>
    </row>
    <row r="3332" spans="1:21" x14ac:dyDescent="0.25">
      <c r="A3332" s="71">
        <v>14</v>
      </c>
      <c r="B3332" s="72">
        <f t="shared" si="1253"/>
        <v>46054</v>
      </c>
      <c r="C3332" s="73">
        <f t="shared" si="1234"/>
        <v>46081</v>
      </c>
      <c r="D3332" s="67">
        <f t="shared" si="1235"/>
        <v>28</v>
      </c>
      <c r="E3332" s="67">
        <f t="shared" si="1236"/>
        <v>2</v>
      </c>
      <c r="F3332" s="74">
        <f t="shared" si="1237"/>
        <v>46068</v>
      </c>
      <c r="G3332" s="67">
        <f t="shared" si="1238"/>
        <v>24313</v>
      </c>
      <c r="H3332" s="75">
        <f t="shared" si="1239"/>
        <v>1</v>
      </c>
      <c r="I3332" s="76">
        <f t="shared" si="1240"/>
        <v>1.02</v>
      </c>
      <c r="J3332" s="76">
        <f t="shared" si="1241"/>
        <v>1.02</v>
      </c>
      <c r="K3332" s="67">
        <f t="shared" si="1242"/>
        <v>0</v>
      </c>
      <c r="L3332" s="67">
        <f t="shared" si="1243"/>
        <v>0</v>
      </c>
      <c r="M3332" s="77">
        <f t="shared" si="1244"/>
        <v>0</v>
      </c>
      <c r="N3332" s="76">
        <f t="shared" si="1245"/>
        <v>1.02</v>
      </c>
      <c r="O3332" s="77">
        <f t="shared" si="1246"/>
        <v>0.90251641137855576</v>
      </c>
      <c r="P3332" s="76">
        <f t="shared" si="1247"/>
        <v>1</v>
      </c>
      <c r="Q3332" s="76">
        <f t="shared" si="1248"/>
        <v>0</v>
      </c>
      <c r="R3332" s="76">
        <f t="shared" si="1249"/>
        <v>0</v>
      </c>
      <c r="S3332" s="76">
        <f t="shared" si="1250"/>
        <v>1.0006160213110074</v>
      </c>
      <c r="T3332" s="76">
        <f t="shared" si="1251"/>
        <v>1.0006160213110074</v>
      </c>
      <c r="U3332" s="76">
        <f t="shared" si="1252"/>
        <v>1.02</v>
      </c>
    </row>
    <row r="3333" spans="1:21" x14ac:dyDescent="0.25">
      <c r="A3333" s="71">
        <v>15</v>
      </c>
      <c r="B3333" s="72">
        <f t="shared" si="1253"/>
        <v>46082</v>
      </c>
      <c r="C3333" s="73">
        <f t="shared" si="1234"/>
        <v>46112</v>
      </c>
      <c r="D3333" s="67">
        <f t="shared" si="1235"/>
        <v>31</v>
      </c>
      <c r="E3333" s="67">
        <f t="shared" si="1236"/>
        <v>3</v>
      </c>
      <c r="F3333" s="74">
        <f t="shared" si="1237"/>
        <v>46097.5</v>
      </c>
      <c r="G3333" s="67">
        <f t="shared" si="1238"/>
        <v>24314</v>
      </c>
      <c r="H3333" s="75">
        <f t="shared" si="1239"/>
        <v>1</v>
      </c>
      <c r="I3333" s="76">
        <f t="shared" si="1240"/>
        <v>1.02</v>
      </c>
      <c r="J3333" s="76">
        <f t="shared" si="1241"/>
        <v>1.02</v>
      </c>
      <c r="K3333" s="67">
        <f t="shared" si="1242"/>
        <v>0</v>
      </c>
      <c r="L3333" s="67">
        <f t="shared" si="1243"/>
        <v>0</v>
      </c>
      <c r="M3333" s="77">
        <f t="shared" si="1244"/>
        <v>0</v>
      </c>
      <c r="N3333" s="76">
        <f t="shared" si="1245"/>
        <v>1.02</v>
      </c>
      <c r="O3333" s="77">
        <f t="shared" si="1246"/>
        <v>0.90348468271334792</v>
      </c>
      <c r="P3333" s="76">
        <f t="shared" si="1247"/>
        <v>1</v>
      </c>
      <c r="Q3333" s="76">
        <f t="shared" si="1248"/>
        <v>0</v>
      </c>
      <c r="R3333" s="76">
        <f t="shared" si="1249"/>
        <v>0</v>
      </c>
      <c r="S3333" s="76">
        <f t="shared" si="1250"/>
        <v>1.0016895395300163</v>
      </c>
      <c r="T3333" s="76">
        <f t="shared" si="1251"/>
        <v>1.0016895395300163</v>
      </c>
      <c r="U3333" s="76">
        <f t="shared" si="1252"/>
        <v>1.02</v>
      </c>
    </row>
    <row r="3334" spans="1:21" x14ac:dyDescent="0.25">
      <c r="A3334" s="71">
        <v>16</v>
      </c>
      <c r="B3334" s="72">
        <f t="shared" si="1253"/>
        <v>46113</v>
      </c>
      <c r="C3334" s="73">
        <f t="shared" si="1234"/>
        <v>46142</v>
      </c>
      <c r="D3334" s="67">
        <f t="shared" si="1235"/>
        <v>30</v>
      </c>
      <c r="E3334" s="67">
        <f t="shared" si="1236"/>
        <v>4</v>
      </c>
      <c r="F3334" s="74">
        <f t="shared" si="1237"/>
        <v>46128</v>
      </c>
      <c r="G3334" s="67">
        <f t="shared" si="1238"/>
        <v>24315</v>
      </c>
      <c r="H3334" s="75">
        <f t="shared" si="1239"/>
        <v>1</v>
      </c>
      <c r="I3334" s="76">
        <f t="shared" si="1240"/>
        <v>1.02</v>
      </c>
      <c r="J3334" s="76">
        <f t="shared" si="1241"/>
        <v>1.02</v>
      </c>
      <c r="K3334" s="67">
        <f t="shared" si="1242"/>
        <v>0</v>
      </c>
      <c r="L3334" s="67">
        <f t="shared" si="1243"/>
        <v>0</v>
      </c>
      <c r="M3334" s="77">
        <f t="shared" si="1244"/>
        <v>0</v>
      </c>
      <c r="N3334" s="76">
        <f t="shared" si="1245"/>
        <v>1.02</v>
      </c>
      <c r="O3334" s="77">
        <f t="shared" si="1246"/>
        <v>0.90448577680525166</v>
      </c>
      <c r="P3334" s="76">
        <f t="shared" si="1247"/>
        <v>1</v>
      </c>
      <c r="Q3334" s="76">
        <f t="shared" si="1248"/>
        <v>0</v>
      </c>
      <c r="R3334" s="76">
        <f t="shared" si="1249"/>
        <v>0</v>
      </c>
      <c r="S3334" s="76">
        <f t="shared" si="1250"/>
        <v>1.0027994481971267</v>
      </c>
      <c r="T3334" s="76">
        <f t="shared" si="1251"/>
        <v>1.0027994481971267</v>
      </c>
      <c r="U3334" s="76">
        <f t="shared" si="1252"/>
        <v>1.02</v>
      </c>
    </row>
    <row r="3335" spans="1:21" x14ac:dyDescent="0.25">
      <c r="A3335" s="71">
        <v>17</v>
      </c>
      <c r="B3335" s="72">
        <f t="shared" si="1253"/>
        <v>46143</v>
      </c>
      <c r="C3335" s="73">
        <f t="shared" si="1234"/>
        <v>46173</v>
      </c>
      <c r="D3335" s="67">
        <f t="shared" si="1235"/>
        <v>31</v>
      </c>
      <c r="E3335" s="67">
        <f t="shared" si="1236"/>
        <v>5</v>
      </c>
      <c r="F3335" s="74">
        <f t="shared" si="1237"/>
        <v>46158.5</v>
      </c>
      <c r="G3335" s="67">
        <f t="shared" si="1238"/>
        <v>24316</v>
      </c>
      <c r="H3335" s="75">
        <f t="shared" si="1239"/>
        <v>1</v>
      </c>
      <c r="I3335" s="76">
        <f t="shared" si="1240"/>
        <v>1.02</v>
      </c>
      <c r="J3335" s="76">
        <f t="shared" si="1241"/>
        <v>1.02</v>
      </c>
      <c r="K3335" s="67">
        <f t="shared" si="1242"/>
        <v>0</v>
      </c>
      <c r="L3335" s="67">
        <f t="shared" si="1243"/>
        <v>0</v>
      </c>
      <c r="M3335" s="77">
        <f t="shared" si="1244"/>
        <v>0</v>
      </c>
      <c r="N3335" s="76">
        <f t="shared" si="1245"/>
        <v>1.02</v>
      </c>
      <c r="O3335" s="77">
        <f t="shared" si="1246"/>
        <v>0.9054868708971554</v>
      </c>
      <c r="P3335" s="76">
        <f t="shared" si="1247"/>
        <v>1</v>
      </c>
      <c r="Q3335" s="76">
        <f t="shared" si="1248"/>
        <v>0</v>
      </c>
      <c r="R3335" s="76">
        <f t="shared" si="1249"/>
        <v>0</v>
      </c>
      <c r="S3335" s="76">
        <f t="shared" si="1250"/>
        <v>1.0039093568642374</v>
      </c>
      <c r="T3335" s="76">
        <f t="shared" si="1251"/>
        <v>1.0039093568642374</v>
      </c>
      <c r="U3335" s="76">
        <f t="shared" si="1252"/>
        <v>1.02</v>
      </c>
    </row>
    <row r="3336" spans="1:21" x14ac:dyDescent="0.25">
      <c r="A3336" s="71">
        <v>18</v>
      </c>
      <c r="B3336" s="72">
        <f t="shared" si="1253"/>
        <v>46174</v>
      </c>
      <c r="C3336" s="73">
        <f t="shared" si="1234"/>
        <v>46203</v>
      </c>
      <c r="D3336" s="67">
        <f t="shared" si="1235"/>
        <v>30</v>
      </c>
      <c r="E3336" s="67">
        <f t="shared" si="1236"/>
        <v>6</v>
      </c>
      <c r="F3336" s="74">
        <f t="shared" si="1237"/>
        <v>46189</v>
      </c>
      <c r="G3336" s="67">
        <f t="shared" si="1238"/>
        <v>24317</v>
      </c>
      <c r="H3336" s="75">
        <f t="shared" si="1239"/>
        <v>1</v>
      </c>
      <c r="I3336" s="76">
        <f t="shared" si="1240"/>
        <v>1.02</v>
      </c>
      <c r="J3336" s="76">
        <f t="shared" si="1241"/>
        <v>1.02</v>
      </c>
      <c r="K3336" s="67">
        <f t="shared" si="1242"/>
        <v>0</v>
      </c>
      <c r="L3336" s="67">
        <f t="shared" si="1243"/>
        <v>0</v>
      </c>
      <c r="M3336" s="77">
        <f t="shared" si="1244"/>
        <v>0</v>
      </c>
      <c r="N3336" s="76">
        <f t="shared" si="1245"/>
        <v>1.02</v>
      </c>
      <c r="O3336" s="77">
        <f t="shared" si="1246"/>
        <v>0.90648796498905915</v>
      </c>
      <c r="P3336" s="76">
        <f t="shared" si="1247"/>
        <v>1</v>
      </c>
      <c r="Q3336" s="76">
        <f t="shared" si="1248"/>
        <v>0</v>
      </c>
      <c r="R3336" s="76">
        <f t="shared" si="1249"/>
        <v>0</v>
      </c>
      <c r="S3336" s="76">
        <f t="shared" si="1250"/>
        <v>1.0050192655313481</v>
      </c>
      <c r="T3336" s="76">
        <f t="shared" si="1251"/>
        <v>1.0050192655313481</v>
      </c>
      <c r="U3336" s="76">
        <f t="shared" si="1252"/>
        <v>1.02</v>
      </c>
    </row>
    <row r="3337" spans="1:21" x14ac:dyDescent="0.25">
      <c r="A3337" s="71">
        <v>19</v>
      </c>
      <c r="B3337" s="72">
        <f t="shared" si="1253"/>
        <v>46204</v>
      </c>
      <c r="C3337" s="73">
        <f t="shared" si="1234"/>
        <v>46234</v>
      </c>
      <c r="D3337" s="67">
        <f t="shared" si="1235"/>
        <v>31</v>
      </c>
      <c r="E3337" s="67">
        <f t="shared" si="1236"/>
        <v>7</v>
      </c>
      <c r="F3337" s="74">
        <f t="shared" si="1237"/>
        <v>46219.5</v>
      </c>
      <c r="G3337" s="67">
        <f t="shared" si="1238"/>
        <v>24318</v>
      </c>
      <c r="H3337" s="75">
        <f t="shared" si="1239"/>
        <v>1</v>
      </c>
      <c r="I3337" s="76">
        <f t="shared" si="1240"/>
        <v>1.02</v>
      </c>
      <c r="J3337" s="76">
        <f t="shared" si="1241"/>
        <v>1.02</v>
      </c>
      <c r="K3337" s="67">
        <f t="shared" si="1242"/>
        <v>0</v>
      </c>
      <c r="L3337" s="67">
        <f t="shared" si="1243"/>
        <v>0</v>
      </c>
      <c r="M3337" s="77">
        <f t="shared" si="1244"/>
        <v>0</v>
      </c>
      <c r="N3337" s="76">
        <f t="shared" si="1245"/>
        <v>1.02</v>
      </c>
      <c r="O3337" s="77">
        <f t="shared" si="1246"/>
        <v>0.90748905908096278</v>
      </c>
      <c r="P3337" s="76">
        <f t="shared" si="1247"/>
        <v>0.91666666666666663</v>
      </c>
      <c r="Q3337" s="76">
        <f t="shared" si="1248"/>
        <v>8.333333333333337E-2</v>
      </c>
      <c r="R3337" s="76">
        <f t="shared" si="1249"/>
        <v>0</v>
      </c>
      <c r="S3337" s="76">
        <f t="shared" si="1250"/>
        <v>1.0061291741984588</v>
      </c>
      <c r="T3337" s="76">
        <f t="shared" si="1251"/>
        <v>1.0061291741984588</v>
      </c>
      <c r="U3337" s="76">
        <f t="shared" si="1252"/>
        <v>1.02</v>
      </c>
    </row>
    <row r="3338" spans="1:21" x14ac:dyDescent="0.25">
      <c r="A3338" s="71">
        <v>20</v>
      </c>
      <c r="B3338" s="72">
        <f t="shared" si="1253"/>
        <v>46235</v>
      </c>
      <c r="C3338" s="73">
        <f t="shared" si="1234"/>
        <v>46265</v>
      </c>
      <c r="D3338" s="67">
        <f t="shared" si="1235"/>
        <v>31</v>
      </c>
      <c r="E3338" s="67">
        <f t="shared" si="1236"/>
        <v>8</v>
      </c>
      <c r="F3338" s="74">
        <f t="shared" si="1237"/>
        <v>46250.5</v>
      </c>
      <c r="G3338" s="67">
        <f t="shared" si="1238"/>
        <v>24319</v>
      </c>
      <c r="H3338" s="75">
        <f t="shared" si="1239"/>
        <v>1</v>
      </c>
      <c r="I3338" s="76">
        <f t="shared" si="1240"/>
        <v>1.02</v>
      </c>
      <c r="J3338" s="76">
        <f t="shared" si="1241"/>
        <v>1.02</v>
      </c>
      <c r="K3338" s="67">
        <f t="shared" si="1242"/>
        <v>0</v>
      </c>
      <c r="L3338" s="67">
        <f t="shared" si="1243"/>
        <v>0</v>
      </c>
      <c r="M3338" s="77">
        <f t="shared" si="1244"/>
        <v>0</v>
      </c>
      <c r="N3338" s="76">
        <f t="shared" si="1245"/>
        <v>1.02</v>
      </c>
      <c r="O3338" s="77">
        <f t="shared" si="1246"/>
        <v>0.90850656455142231</v>
      </c>
      <c r="P3338" s="76">
        <f t="shared" si="1247"/>
        <v>0.75</v>
      </c>
      <c r="Q3338" s="76">
        <f t="shared" si="1248"/>
        <v>0.25</v>
      </c>
      <c r="R3338" s="76">
        <f t="shared" si="1249"/>
        <v>0</v>
      </c>
      <c r="S3338" s="76">
        <f t="shared" si="1250"/>
        <v>1.0072572780896203</v>
      </c>
      <c r="T3338" s="76">
        <f t="shared" si="1251"/>
        <v>1.0072572780896203</v>
      </c>
      <c r="U3338" s="76">
        <f t="shared" si="1252"/>
        <v>1.02</v>
      </c>
    </row>
    <row r="3339" spans="1:21" x14ac:dyDescent="0.25">
      <c r="A3339" s="71">
        <v>21</v>
      </c>
      <c r="B3339" s="72">
        <f t="shared" si="1253"/>
        <v>46266</v>
      </c>
      <c r="C3339" s="73">
        <f t="shared" si="1234"/>
        <v>46295</v>
      </c>
      <c r="D3339" s="67">
        <f t="shared" si="1235"/>
        <v>30</v>
      </c>
      <c r="E3339" s="67">
        <f t="shared" si="1236"/>
        <v>9</v>
      </c>
      <c r="F3339" s="74">
        <f t="shared" si="1237"/>
        <v>46281</v>
      </c>
      <c r="G3339" s="67">
        <f t="shared" si="1238"/>
        <v>24320</v>
      </c>
      <c r="H3339" s="75">
        <f t="shared" si="1239"/>
        <v>1</v>
      </c>
      <c r="I3339" s="76">
        <f t="shared" si="1240"/>
        <v>1.02</v>
      </c>
      <c r="J3339" s="76">
        <f t="shared" si="1241"/>
        <v>1.02</v>
      </c>
      <c r="K3339" s="67">
        <f t="shared" si="1242"/>
        <v>0</v>
      </c>
      <c r="L3339" s="67">
        <f t="shared" si="1243"/>
        <v>0</v>
      </c>
      <c r="M3339" s="77">
        <f t="shared" si="1244"/>
        <v>0</v>
      </c>
      <c r="N3339" s="76">
        <f t="shared" si="1245"/>
        <v>1.02</v>
      </c>
      <c r="O3339" s="77">
        <f t="shared" si="1246"/>
        <v>0.90950765864332606</v>
      </c>
      <c r="P3339" s="76">
        <f t="shared" si="1247"/>
        <v>0.58333333333333337</v>
      </c>
      <c r="Q3339" s="76">
        <f t="shared" si="1248"/>
        <v>0.41666666666666663</v>
      </c>
      <c r="R3339" s="76">
        <f t="shared" si="1249"/>
        <v>0</v>
      </c>
      <c r="S3339" s="76">
        <f t="shared" si="1250"/>
        <v>1.008367186756731</v>
      </c>
      <c r="T3339" s="76">
        <f t="shared" si="1251"/>
        <v>1.008367186756731</v>
      </c>
      <c r="U3339" s="76">
        <f t="shared" si="1252"/>
        <v>1.02</v>
      </c>
    </row>
    <row r="3340" spans="1:21" x14ac:dyDescent="0.25">
      <c r="A3340" s="71">
        <v>22</v>
      </c>
      <c r="B3340" s="72">
        <f t="shared" si="1253"/>
        <v>46296</v>
      </c>
      <c r="C3340" s="73">
        <f t="shared" si="1234"/>
        <v>46326</v>
      </c>
      <c r="D3340" s="67">
        <f t="shared" si="1235"/>
        <v>31</v>
      </c>
      <c r="E3340" s="67">
        <f t="shared" si="1236"/>
        <v>10</v>
      </c>
      <c r="F3340" s="74">
        <f t="shared" si="1237"/>
        <v>46311.5</v>
      </c>
      <c r="G3340" s="67">
        <f t="shared" si="1238"/>
        <v>24321</v>
      </c>
      <c r="H3340" s="75">
        <f t="shared" si="1239"/>
        <v>1</v>
      </c>
      <c r="I3340" s="76">
        <f t="shared" si="1240"/>
        <v>1.02</v>
      </c>
      <c r="J3340" s="76">
        <f t="shared" si="1241"/>
        <v>1.02</v>
      </c>
      <c r="K3340" s="67">
        <f t="shared" si="1242"/>
        <v>0</v>
      </c>
      <c r="L3340" s="67">
        <f t="shared" si="1243"/>
        <v>0</v>
      </c>
      <c r="M3340" s="77">
        <f t="shared" si="1244"/>
        <v>0</v>
      </c>
      <c r="N3340" s="76">
        <f t="shared" si="1245"/>
        <v>1.02</v>
      </c>
      <c r="O3340" s="77">
        <f t="shared" si="1246"/>
        <v>0.9105087527352298</v>
      </c>
      <c r="P3340" s="76">
        <f t="shared" si="1247"/>
        <v>0.41666666666666669</v>
      </c>
      <c r="Q3340" s="76">
        <f t="shared" si="1248"/>
        <v>0.58333333333333326</v>
      </c>
      <c r="R3340" s="76">
        <f t="shared" si="1249"/>
        <v>0</v>
      </c>
      <c r="S3340" s="76">
        <f t="shared" si="1250"/>
        <v>1.0094770954238417</v>
      </c>
      <c r="T3340" s="76">
        <f t="shared" si="1251"/>
        <v>1.0094770954238417</v>
      </c>
      <c r="U3340" s="76">
        <f t="shared" si="1252"/>
        <v>1.02</v>
      </c>
    </row>
    <row r="3341" spans="1:21" x14ac:dyDescent="0.25">
      <c r="A3341" s="71">
        <v>23</v>
      </c>
      <c r="B3341" s="72">
        <f t="shared" si="1253"/>
        <v>46327</v>
      </c>
      <c r="C3341" s="73">
        <f t="shared" si="1234"/>
        <v>46356</v>
      </c>
      <c r="D3341" s="67">
        <f t="shared" si="1235"/>
        <v>30</v>
      </c>
      <c r="E3341" s="67">
        <f t="shared" si="1236"/>
        <v>11</v>
      </c>
      <c r="F3341" s="74">
        <f t="shared" si="1237"/>
        <v>46342</v>
      </c>
      <c r="G3341" s="67">
        <f t="shared" si="1238"/>
        <v>24322</v>
      </c>
      <c r="H3341" s="75">
        <f t="shared" si="1239"/>
        <v>1</v>
      </c>
      <c r="I3341" s="76">
        <f t="shared" si="1240"/>
        <v>1.02</v>
      </c>
      <c r="J3341" s="76">
        <f t="shared" si="1241"/>
        <v>1.02</v>
      </c>
      <c r="K3341" s="67">
        <f t="shared" si="1242"/>
        <v>0</v>
      </c>
      <c r="L3341" s="67">
        <f t="shared" si="1243"/>
        <v>0</v>
      </c>
      <c r="M3341" s="77">
        <f t="shared" si="1244"/>
        <v>0</v>
      </c>
      <c r="N3341" s="76">
        <f t="shared" si="1245"/>
        <v>1.02</v>
      </c>
      <c r="O3341" s="77">
        <f t="shared" si="1246"/>
        <v>0.91150984682713354</v>
      </c>
      <c r="P3341" s="76">
        <f t="shared" si="1247"/>
        <v>0.25</v>
      </c>
      <c r="Q3341" s="76">
        <f t="shared" si="1248"/>
        <v>0.75</v>
      </c>
      <c r="R3341" s="76">
        <f t="shared" si="1249"/>
        <v>0</v>
      </c>
      <c r="S3341" s="76">
        <f t="shared" si="1250"/>
        <v>1.0105870040909524</v>
      </c>
      <c r="T3341" s="76">
        <f t="shared" si="1251"/>
        <v>1.0105870040909524</v>
      </c>
      <c r="U3341" s="76">
        <f t="shared" si="1252"/>
        <v>1.02</v>
      </c>
    </row>
    <row r="3342" spans="1:21" x14ac:dyDescent="0.25">
      <c r="A3342" s="71">
        <v>24</v>
      </c>
      <c r="B3342" s="72">
        <f t="shared" si="1253"/>
        <v>46357</v>
      </c>
      <c r="C3342" s="73">
        <f t="shared" si="1234"/>
        <v>46387</v>
      </c>
      <c r="D3342" s="67">
        <f t="shared" si="1235"/>
        <v>31</v>
      </c>
      <c r="E3342" s="67">
        <f t="shared" si="1236"/>
        <v>12</v>
      </c>
      <c r="F3342" s="74">
        <f t="shared" si="1237"/>
        <v>46372.5</v>
      </c>
      <c r="G3342" s="67">
        <f t="shared" si="1238"/>
        <v>24323</v>
      </c>
      <c r="H3342" s="75">
        <f t="shared" si="1239"/>
        <v>1</v>
      </c>
      <c r="I3342" s="76">
        <f t="shared" si="1240"/>
        <v>1.02</v>
      </c>
      <c r="J3342" s="76">
        <f t="shared" si="1241"/>
        <v>1.02</v>
      </c>
      <c r="K3342" s="67">
        <f t="shared" si="1242"/>
        <v>0</v>
      </c>
      <c r="L3342" s="67">
        <f t="shared" si="1243"/>
        <v>0</v>
      </c>
      <c r="M3342" s="77">
        <f t="shared" si="1244"/>
        <v>0</v>
      </c>
      <c r="N3342" s="76">
        <f t="shared" si="1245"/>
        <v>1.02</v>
      </c>
      <c r="O3342" s="77">
        <f t="shared" si="1246"/>
        <v>0.91251094091903728</v>
      </c>
      <c r="P3342" s="76">
        <f t="shared" si="1247"/>
        <v>8.3333333333333329E-2</v>
      </c>
      <c r="Q3342" s="76">
        <f t="shared" si="1248"/>
        <v>0.91666666666666663</v>
      </c>
      <c r="R3342" s="76">
        <f t="shared" si="1249"/>
        <v>0</v>
      </c>
      <c r="S3342" s="76">
        <f t="shared" si="1250"/>
        <v>1.0116969127580631</v>
      </c>
      <c r="T3342" s="76">
        <f t="shared" si="1251"/>
        <v>1.0116969127580631</v>
      </c>
      <c r="U3342" s="76">
        <f t="shared" si="1252"/>
        <v>1.02</v>
      </c>
    </row>
    <row r="3343" spans="1:21" x14ac:dyDescent="0.25">
      <c r="A3343" s="71">
        <v>25</v>
      </c>
      <c r="B3343" s="72">
        <f t="shared" si="1253"/>
        <v>46388</v>
      </c>
      <c r="C3343" s="73">
        <f t="shared" si="1234"/>
        <v>46418</v>
      </c>
      <c r="D3343" s="67">
        <f t="shared" si="1235"/>
        <v>31</v>
      </c>
      <c r="E3343" s="67">
        <f t="shared" si="1236"/>
        <v>1</v>
      </c>
      <c r="F3343" s="74">
        <f t="shared" si="1237"/>
        <v>46403.5</v>
      </c>
      <c r="G3343" s="67">
        <f t="shared" si="1238"/>
        <v>24324</v>
      </c>
      <c r="H3343" s="75">
        <f t="shared" si="1239"/>
        <v>1</v>
      </c>
      <c r="I3343" s="76">
        <f t="shared" si="1240"/>
        <v>1.02</v>
      </c>
      <c r="J3343" s="76">
        <f t="shared" si="1241"/>
        <v>1.02</v>
      </c>
      <c r="K3343" s="67">
        <f t="shared" si="1242"/>
        <v>0</v>
      </c>
      <c r="L3343" s="67">
        <f t="shared" si="1243"/>
        <v>0</v>
      </c>
      <c r="M3343" s="77">
        <f t="shared" si="1244"/>
        <v>0</v>
      </c>
      <c r="N3343" s="76">
        <f t="shared" si="1245"/>
        <v>1.02</v>
      </c>
      <c r="O3343" s="77">
        <f t="shared" si="1246"/>
        <v>0.91352844638949671</v>
      </c>
      <c r="P3343" s="76">
        <f t="shared" si="1247"/>
        <v>0</v>
      </c>
      <c r="Q3343" s="76">
        <f t="shared" si="1248"/>
        <v>1</v>
      </c>
      <c r="R3343" s="76">
        <f t="shared" si="1249"/>
        <v>0</v>
      </c>
      <c r="S3343" s="76">
        <f t="shared" si="1250"/>
        <v>1.0128250166492245</v>
      </c>
      <c r="T3343" s="76">
        <f t="shared" si="1251"/>
        <v>0.99954250309199888</v>
      </c>
      <c r="U3343" s="76">
        <f t="shared" si="1252"/>
        <v>1.02</v>
      </c>
    </row>
    <row r="3344" spans="1:21" x14ac:dyDescent="0.25">
      <c r="A3344" s="71">
        <v>26</v>
      </c>
      <c r="B3344" s="72">
        <f t="shared" si="1253"/>
        <v>46419</v>
      </c>
      <c r="C3344" s="73">
        <f t="shared" si="1234"/>
        <v>46446</v>
      </c>
      <c r="D3344" s="67">
        <f t="shared" si="1235"/>
        <v>28</v>
      </c>
      <c r="E3344" s="67">
        <f t="shared" si="1236"/>
        <v>2</v>
      </c>
      <c r="F3344" s="74">
        <f t="shared" si="1237"/>
        <v>46433</v>
      </c>
      <c r="G3344" s="67">
        <f t="shared" si="1238"/>
        <v>24325</v>
      </c>
      <c r="H3344" s="75">
        <f t="shared" si="1239"/>
        <v>1</v>
      </c>
      <c r="I3344" s="76">
        <f t="shared" si="1240"/>
        <v>1.02</v>
      </c>
      <c r="J3344" s="76">
        <f t="shared" si="1241"/>
        <v>1.02</v>
      </c>
      <c r="K3344" s="67">
        <f t="shared" si="1242"/>
        <v>0</v>
      </c>
      <c r="L3344" s="67">
        <f t="shared" si="1243"/>
        <v>0</v>
      </c>
      <c r="M3344" s="77">
        <f t="shared" si="1244"/>
        <v>0</v>
      </c>
      <c r="N3344" s="76">
        <f t="shared" si="1245"/>
        <v>1.02</v>
      </c>
      <c r="O3344" s="77">
        <f t="shared" si="1246"/>
        <v>0.91449671772428887</v>
      </c>
      <c r="P3344" s="76">
        <f t="shared" si="1247"/>
        <v>0</v>
      </c>
      <c r="Q3344" s="76">
        <f t="shared" si="1248"/>
        <v>1</v>
      </c>
      <c r="R3344" s="76">
        <f t="shared" si="1249"/>
        <v>0</v>
      </c>
      <c r="S3344" s="76">
        <f t="shared" si="1250"/>
        <v>1.0138985348682332</v>
      </c>
      <c r="T3344" s="76">
        <f t="shared" si="1251"/>
        <v>1.0006160213110074</v>
      </c>
      <c r="U3344" s="76">
        <f t="shared" si="1252"/>
        <v>1.02</v>
      </c>
    </row>
    <row r="3345" spans="1:21" x14ac:dyDescent="0.25">
      <c r="A3345" s="71">
        <v>27</v>
      </c>
      <c r="B3345" s="72">
        <f t="shared" si="1253"/>
        <v>46447</v>
      </c>
      <c r="C3345" s="73">
        <f t="shared" si="1234"/>
        <v>46477</v>
      </c>
      <c r="D3345" s="67">
        <f t="shared" si="1235"/>
        <v>31</v>
      </c>
      <c r="E3345" s="67">
        <f t="shared" si="1236"/>
        <v>3</v>
      </c>
      <c r="F3345" s="74">
        <f t="shared" si="1237"/>
        <v>46462.5</v>
      </c>
      <c r="G3345" s="67">
        <f t="shared" si="1238"/>
        <v>24326</v>
      </c>
      <c r="H3345" s="75">
        <f t="shared" si="1239"/>
        <v>1</v>
      </c>
      <c r="I3345" s="76">
        <f t="shared" si="1240"/>
        <v>1.02</v>
      </c>
      <c r="J3345" s="76">
        <f t="shared" si="1241"/>
        <v>1.02</v>
      </c>
      <c r="K3345" s="67">
        <f t="shared" si="1242"/>
        <v>0</v>
      </c>
      <c r="L3345" s="67">
        <f t="shared" si="1243"/>
        <v>0</v>
      </c>
      <c r="M3345" s="77">
        <f t="shared" si="1244"/>
        <v>0</v>
      </c>
      <c r="N3345" s="76">
        <f t="shared" si="1245"/>
        <v>1.02</v>
      </c>
      <c r="O3345" s="77">
        <f t="shared" si="1246"/>
        <v>0.91546498905908102</v>
      </c>
      <c r="P3345" s="76">
        <f t="shared" si="1247"/>
        <v>0</v>
      </c>
      <c r="Q3345" s="76">
        <f t="shared" si="1248"/>
        <v>1</v>
      </c>
      <c r="R3345" s="76">
        <f t="shared" si="1249"/>
        <v>0</v>
      </c>
      <c r="S3345" s="76">
        <f t="shared" si="1250"/>
        <v>1.0149720530872419</v>
      </c>
      <c r="T3345" s="76">
        <f t="shared" si="1251"/>
        <v>1.0016895395300163</v>
      </c>
      <c r="U3345" s="76">
        <f t="shared" si="1252"/>
        <v>1.02</v>
      </c>
    </row>
    <row r="3346" spans="1:21" x14ac:dyDescent="0.25">
      <c r="A3346" s="71">
        <v>28</v>
      </c>
      <c r="B3346" s="72">
        <f t="shared" si="1253"/>
        <v>46478</v>
      </c>
      <c r="C3346" s="73">
        <f t="shared" si="1234"/>
        <v>46507</v>
      </c>
      <c r="D3346" s="67">
        <f t="shared" si="1235"/>
        <v>30</v>
      </c>
      <c r="E3346" s="67">
        <f t="shared" si="1236"/>
        <v>4</v>
      </c>
      <c r="F3346" s="74">
        <f t="shared" si="1237"/>
        <v>46493</v>
      </c>
      <c r="G3346" s="67">
        <f t="shared" si="1238"/>
        <v>24327</v>
      </c>
      <c r="H3346" s="75">
        <f t="shared" si="1239"/>
        <v>1</v>
      </c>
      <c r="I3346" s="76">
        <f t="shared" si="1240"/>
        <v>1.02</v>
      </c>
      <c r="J3346" s="76">
        <f t="shared" si="1241"/>
        <v>1.02</v>
      </c>
      <c r="K3346" s="67">
        <f t="shared" si="1242"/>
        <v>0</v>
      </c>
      <c r="L3346" s="67">
        <f t="shared" si="1243"/>
        <v>0</v>
      </c>
      <c r="M3346" s="77">
        <f t="shared" si="1244"/>
        <v>0</v>
      </c>
      <c r="N3346" s="76">
        <f t="shared" si="1245"/>
        <v>1.02</v>
      </c>
      <c r="O3346" s="77">
        <f t="shared" si="1246"/>
        <v>0.91646608315098477</v>
      </c>
      <c r="P3346" s="76">
        <f t="shared" si="1247"/>
        <v>0</v>
      </c>
      <c r="Q3346" s="76">
        <f t="shared" si="1248"/>
        <v>1</v>
      </c>
      <c r="R3346" s="76">
        <f t="shared" si="1249"/>
        <v>0</v>
      </c>
      <c r="S3346" s="76">
        <f t="shared" si="1250"/>
        <v>1.0160819617543526</v>
      </c>
      <c r="T3346" s="76">
        <f t="shared" si="1251"/>
        <v>1.0027994481971267</v>
      </c>
      <c r="U3346" s="76">
        <f t="shared" si="1252"/>
        <v>1.02</v>
      </c>
    </row>
    <row r="3347" spans="1:21" x14ac:dyDescent="0.25">
      <c r="A3347" s="71">
        <v>29</v>
      </c>
      <c r="B3347" s="72">
        <f t="shared" si="1253"/>
        <v>46508</v>
      </c>
      <c r="C3347" s="73">
        <f t="shared" si="1234"/>
        <v>46538</v>
      </c>
      <c r="D3347" s="67">
        <f t="shared" si="1235"/>
        <v>31</v>
      </c>
      <c r="E3347" s="67">
        <f t="shared" si="1236"/>
        <v>5</v>
      </c>
      <c r="F3347" s="74">
        <f t="shared" si="1237"/>
        <v>46523.5</v>
      </c>
      <c r="G3347" s="67">
        <f t="shared" si="1238"/>
        <v>24328</v>
      </c>
      <c r="H3347" s="75">
        <f t="shared" si="1239"/>
        <v>1</v>
      </c>
      <c r="I3347" s="76">
        <f t="shared" si="1240"/>
        <v>1.02</v>
      </c>
      <c r="J3347" s="76">
        <f t="shared" si="1241"/>
        <v>1.02</v>
      </c>
      <c r="K3347" s="67">
        <f t="shared" si="1242"/>
        <v>0</v>
      </c>
      <c r="L3347" s="67">
        <f t="shared" si="1243"/>
        <v>0</v>
      </c>
      <c r="M3347" s="77">
        <f t="shared" si="1244"/>
        <v>0</v>
      </c>
      <c r="N3347" s="76">
        <f t="shared" si="1245"/>
        <v>1.02</v>
      </c>
      <c r="O3347" s="77">
        <f t="shared" si="1246"/>
        <v>0.9174671772428884</v>
      </c>
      <c r="P3347" s="76">
        <f t="shared" si="1247"/>
        <v>0</v>
      </c>
      <c r="Q3347" s="76">
        <f t="shared" si="1248"/>
        <v>1</v>
      </c>
      <c r="R3347" s="76">
        <f t="shared" si="1249"/>
        <v>0</v>
      </c>
      <c r="S3347" s="76">
        <f t="shared" si="1250"/>
        <v>1.0171918704214631</v>
      </c>
      <c r="T3347" s="76">
        <f t="shared" si="1251"/>
        <v>1.0039093568642374</v>
      </c>
      <c r="U3347" s="76">
        <f t="shared" si="1252"/>
        <v>1.02</v>
      </c>
    </row>
    <row r="3348" spans="1:21" x14ac:dyDescent="0.25">
      <c r="A3348" s="71">
        <v>30</v>
      </c>
      <c r="B3348" s="72">
        <f t="shared" si="1253"/>
        <v>46539</v>
      </c>
      <c r="C3348" s="73">
        <f t="shared" si="1234"/>
        <v>46568</v>
      </c>
      <c r="D3348" s="67">
        <f t="shared" si="1235"/>
        <v>30</v>
      </c>
      <c r="E3348" s="67">
        <f t="shared" si="1236"/>
        <v>6</v>
      </c>
      <c r="F3348" s="74">
        <f t="shared" si="1237"/>
        <v>46554</v>
      </c>
      <c r="G3348" s="67">
        <f t="shared" si="1238"/>
        <v>24329</v>
      </c>
      <c r="H3348" s="75">
        <f t="shared" si="1239"/>
        <v>1</v>
      </c>
      <c r="I3348" s="76">
        <f t="shared" si="1240"/>
        <v>1.02</v>
      </c>
      <c r="J3348" s="76">
        <f t="shared" si="1241"/>
        <v>1.02</v>
      </c>
      <c r="K3348" s="67">
        <f t="shared" si="1242"/>
        <v>0</v>
      </c>
      <c r="L3348" s="67">
        <f t="shared" si="1243"/>
        <v>0</v>
      </c>
      <c r="M3348" s="77">
        <f t="shared" si="1244"/>
        <v>0</v>
      </c>
      <c r="N3348" s="76">
        <f t="shared" si="1245"/>
        <v>1.02</v>
      </c>
      <c r="O3348" s="77">
        <f t="shared" si="1246"/>
        <v>0.91846827133479214</v>
      </c>
      <c r="P3348" s="76">
        <f t="shared" si="1247"/>
        <v>0</v>
      </c>
      <c r="Q3348" s="76">
        <f t="shared" si="1248"/>
        <v>1</v>
      </c>
      <c r="R3348" s="76">
        <f t="shared" si="1249"/>
        <v>0</v>
      </c>
      <c r="S3348" s="76">
        <f t="shared" si="1250"/>
        <v>1.0183017790885738</v>
      </c>
      <c r="T3348" s="76">
        <f t="shared" si="1251"/>
        <v>1.0050192655313481</v>
      </c>
      <c r="U3348" s="76">
        <f t="shared" si="1252"/>
        <v>1.02</v>
      </c>
    </row>
    <row r="3349" spans="1:21" x14ac:dyDescent="0.25">
      <c r="A3349" s="71">
        <v>31</v>
      </c>
      <c r="B3349" s="72">
        <f t="shared" si="1253"/>
        <v>46569</v>
      </c>
      <c r="C3349" s="73">
        <f t="shared" si="1234"/>
        <v>46599</v>
      </c>
      <c r="D3349" s="67">
        <f t="shared" si="1235"/>
        <v>31</v>
      </c>
      <c r="E3349" s="67">
        <f t="shared" si="1236"/>
        <v>7</v>
      </c>
      <c r="F3349" s="74">
        <f t="shared" si="1237"/>
        <v>46584.5</v>
      </c>
      <c r="G3349" s="67">
        <f t="shared" si="1238"/>
        <v>24330</v>
      </c>
      <c r="H3349" s="75">
        <f t="shared" si="1239"/>
        <v>1</v>
      </c>
      <c r="I3349" s="76">
        <f t="shared" si="1240"/>
        <v>1.02</v>
      </c>
      <c r="J3349" s="76">
        <f t="shared" si="1241"/>
        <v>1.02</v>
      </c>
      <c r="K3349" s="67">
        <f t="shared" si="1242"/>
        <v>0</v>
      </c>
      <c r="L3349" s="67">
        <f t="shared" si="1243"/>
        <v>0</v>
      </c>
      <c r="M3349" s="77">
        <f t="shared" si="1244"/>
        <v>0</v>
      </c>
      <c r="N3349" s="76">
        <f t="shared" si="1245"/>
        <v>1.02</v>
      </c>
      <c r="O3349" s="77">
        <f t="shared" si="1246"/>
        <v>0.91946936542669588</v>
      </c>
      <c r="P3349" s="76">
        <f t="shared" si="1247"/>
        <v>0</v>
      </c>
      <c r="Q3349" s="76">
        <f t="shared" si="1248"/>
        <v>0.91666666666666663</v>
      </c>
      <c r="R3349" s="76">
        <f t="shared" si="1249"/>
        <v>8.333333333333337E-2</v>
      </c>
      <c r="S3349" s="76">
        <f t="shared" si="1250"/>
        <v>1.0194116877556845</v>
      </c>
      <c r="T3349" s="76">
        <f t="shared" si="1251"/>
        <v>1.0061291741984588</v>
      </c>
      <c r="U3349" s="76">
        <f t="shared" si="1252"/>
        <v>1.02</v>
      </c>
    </row>
    <row r="3350" spans="1:21" x14ac:dyDescent="0.25">
      <c r="A3350" s="71">
        <v>32</v>
      </c>
      <c r="B3350" s="72">
        <f t="shared" si="1253"/>
        <v>46600</v>
      </c>
      <c r="C3350" s="73">
        <f t="shared" si="1234"/>
        <v>46630</v>
      </c>
      <c r="D3350" s="67">
        <f t="shared" si="1235"/>
        <v>31</v>
      </c>
      <c r="E3350" s="67">
        <f t="shared" si="1236"/>
        <v>8</v>
      </c>
      <c r="F3350" s="74">
        <f t="shared" si="1237"/>
        <v>46615.5</v>
      </c>
      <c r="G3350" s="67">
        <f t="shared" si="1238"/>
        <v>24331</v>
      </c>
      <c r="H3350" s="75">
        <f t="shared" si="1239"/>
        <v>1</v>
      </c>
      <c r="I3350" s="76">
        <f t="shared" si="1240"/>
        <v>1.02</v>
      </c>
      <c r="J3350" s="76">
        <f t="shared" si="1241"/>
        <v>1.02</v>
      </c>
      <c r="K3350" s="67">
        <f t="shared" si="1242"/>
        <v>0</v>
      </c>
      <c r="L3350" s="67">
        <f t="shared" si="1243"/>
        <v>0</v>
      </c>
      <c r="M3350" s="77">
        <f t="shared" si="1244"/>
        <v>0</v>
      </c>
      <c r="N3350" s="76">
        <f t="shared" si="1245"/>
        <v>1.02</v>
      </c>
      <c r="O3350" s="77">
        <f t="shared" si="1246"/>
        <v>0.92048687089715542</v>
      </c>
      <c r="P3350" s="76">
        <f t="shared" si="1247"/>
        <v>0</v>
      </c>
      <c r="Q3350" s="76">
        <f t="shared" si="1248"/>
        <v>0.75</v>
      </c>
      <c r="R3350" s="76">
        <f t="shared" si="1249"/>
        <v>0.25</v>
      </c>
      <c r="S3350" s="76">
        <f t="shared" si="1250"/>
        <v>1.0205397916468464</v>
      </c>
      <c r="T3350" s="76">
        <f t="shared" si="1251"/>
        <v>1.0072572780896203</v>
      </c>
      <c r="U3350" s="76">
        <f t="shared" si="1252"/>
        <v>1.02</v>
      </c>
    </row>
    <row r="3351" spans="1:21" x14ac:dyDescent="0.25">
      <c r="A3351" s="71">
        <v>33</v>
      </c>
      <c r="B3351" s="72">
        <f t="shared" si="1253"/>
        <v>46631</v>
      </c>
      <c r="C3351" s="73">
        <f t="shared" si="1234"/>
        <v>46660</v>
      </c>
      <c r="D3351" s="67">
        <f t="shared" si="1235"/>
        <v>30</v>
      </c>
      <c r="E3351" s="67">
        <f t="shared" si="1236"/>
        <v>9</v>
      </c>
      <c r="F3351" s="74">
        <f t="shared" si="1237"/>
        <v>46646</v>
      </c>
      <c r="G3351" s="67">
        <f t="shared" si="1238"/>
        <v>24332</v>
      </c>
      <c r="H3351" s="75">
        <f t="shared" si="1239"/>
        <v>1</v>
      </c>
      <c r="I3351" s="76">
        <f t="shared" si="1240"/>
        <v>1.02</v>
      </c>
      <c r="J3351" s="76">
        <f t="shared" si="1241"/>
        <v>1.02</v>
      </c>
      <c r="K3351" s="67">
        <f t="shared" si="1242"/>
        <v>0</v>
      </c>
      <c r="L3351" s="67">
        <f t="shared" si="1243"/>
        <v>0</v>
      </c>
      <c r="M3351" s="77">
        <f t="shared" si="1244"/>
        <v>0</v>
      </c>
      <c r="N3351" s="76">
        <f t="shared" si="1245"/>
        <v>1.02</v>
      </c>
      <c r="O3351" s="77">
        <f t="shared" si="1246"/>
        <v>0.92148796498905916</v>
      </c>
      <c r="P3351" s="76">
        <f t="shared" si="1247"/>
        <v>0</v>
      </c>
      <c r="Q3351" s="76">
        <f t="shared" si="1248"/>
        <v>0.58333333333333337</v>
      </c>
      <c r="R3351" s="76">
        <f t="shared" si="1249"/>
        <v>0.41666666666666663</v>
      </c>
      <c r="S3351" s="76">
        <f t="shared" si="1250"/>
        <v>1.0216497003139569</v>
      </c>
      <c r="T3351" s="76">
        <f t="shared" si="1251"/>
        <v>1.008367186756731</v>
      </c>
      <c r="U3351" s="76">
        <f t="shared" si="1252"/>
        <v>1.02</v>
      </c>
    </row>
    <row r="3352" spans="1:21" x14ac:dyDescent="0.25">
      <c r="A3352" s="71">
        <v>34</v>
      </c>
      <c r="B3352" s="72">
        <f t="shared" si="1253"/>
        <v>46661</v>
      </c>
      <c r="C3352" s="73">
        <f t="shared" si="1234"/>
        <v>46691</v>
      </c>
      <c r="D3352" s="67">
        <f t="shared" si="1235"/>
        <v>31</v>
      </c>
      <c r="E3352" s="67">
        <f t="shared" si="1236"/>
        <v>10</v>
      </c>
      <c r="F3352" s="74">
        <f t="shared" si="1237"/>
        <v>46676.5</v>
      </c>
      <c r="G3352" s="67">
        <f t="shared" si="1238"/>
        <v>24333</v>
      </c>
      <c r="H3352" s="75">
        <f t="shared" si="1239"/>
        <v>1</v>
      </c>
      <c r="I3352" s="76">
        <f t="shared" si="1240"/>
        <v>1.02</v>
      </c>
      <c r="J3352" s="76">
        <f t="shared" si="1241"/>
        <v>1.02</v>
      </c>
      <c r="K3352" s="67">
        <f t="shared" si="1242"/>
        <v>0</v>
      </c>
      <c r="L3352" s="67">
        <f t="shared" si="1243"/>
        <v>0</v>
      </c>
      <c r="M3352" s="77">
        <f t="shared" si="1244"/>
        <v>0</v>
      </c>
      <c r="N3352" s="76">
        <f t="shared" si="1245"/>
        <v>1.02</v>
      </c>
      <c r="O3352" s="77">
        <f t="shared" si="1246"/>
        <v>0.92248905908096279</v>
      </c>
      <c r="P3352" s="76">
        <f t="shared" si="1247"/>
        <v>0</v>
      </c>
      <c r="Q3352" s="76">
        <f t="shared" si="1248"/>
        <v>0.41666666666666669</v>
      </c>
      <c r="R3352" s="76">
        <f t="shared" si="1249"/>
        <v>0.58333333333333326</v>
      </c>
      <c r="S3352" s="76">
        <f t="shared" si="1250"/>
        <v>1.0227596089810673</v>
      </c>
      <c r="T3352" s="76">
        <f t="shared" si="1251"/>
        <v>1.0094770954238417</v>
      </c>
      <c r="U3352" s="76">
        <f t="shared" si="1252"/>
        <v>1.02</v>
      </c>
    </row>
    <row r="3353" spans="1:21" x14ac:dyDescent="0.25">
      <c r="A3353" s="71">
        <v>35</v>
      </c>
      <c r="B3353" s="72">
        <f t="shared" si="1253"/>
        <v>46692</v>
      </c>
      <c r="C3353" s="73">
        <f t="shared" si="1234"/>
        <v>46721</v>
      </c>
      <c r="D3353" s="67">
        <f t="shared" si="1235"/>
        <v>30</v>
      </c>
      <c r="E3353" s="67">
        <f t="shared" si="1236"/>
        <v>11</v>
      </c>
      <c r="F3353" s="74">
        <f t="shared" si="1237"/>
        <v>46707</v>
      </c>
      <c r="G3353" s="67">
        <f t="shared" si="1238"/>
        <v>24334</v>
      </c>
      <c r="H3353" s="75">
        <f t="shared" si="1239"/>
        <v>1</v>
      </c>
      <c r="I3353" s="76">
        <f t="shared" si="1240"/>
        <v>1.02</v>
      </c>
      <c r="J3353" s="76">
        <f t="shared" si="1241"/>
        <v>1.02</v>
      </c>
      <c r="K3353" s="67">
        <f t="shared" si="1242"/>
        <v>0</v>
      </c>
      <c r="L3353" s="67">
        <f t="shared" si="1243"/>
        <v>0</v>
      </c>
      <c r="M3353" s="77">
        <f t="shared" si="1244"/>
        <v>0</v>
      </c>
      <c r="N3353" s="76">
        <f t="shared" si="1245"/>
        <v>1.02</v>
      </c>
      <c r="O3353" s="77">
        <f t="shared" si="1246"/>
        <v>0.92349015317286653</v>
      </c>
      <c r="P3353" s="76">
        <f t="shared" si="1247"/>
        <v>0</v>
      </c>
      <c r="Q3353" s="76">
        <f t="shared" si="1248"/>
        <v>0.25</v>
      </c>
      <c r="R3353" s="76">
        <f t="shared" si="1249"/>
        <v>0.75</v>
      </c>
      <c r="S3353" s="76">
        <f t="shared" si="1250"/>
        <v>1.023869517648178</v>
      </c>
      <c r="T3353" s="76">
        <f t="shared" si="1251"/>
        <v>1.0105870040909524</v>
      </c>
      <c r="U3353" s="76">
        <f t="shared" si="1252"/>
        <v>1.02</v>
      </c>
    </row>
    <row r="3354" spans="1:21" x14ac:dyDescent="0.25">
      <c r="A3354" s="71">
        <v>36</v>
      </c>
      <c r="B3354" s="72">
        <f t="shared" si="1253"/>
        <v>46722</v>
      </c>
      <c r="C3354" s="73">
        <f t="shared" si="1234"/>
        <v>46752</v>
      </c>
      <c r="D3354" s="67">
        <f t="shared" si="1235"/>
        <v>31</v>
      </c>
      <c r="E3354" s="67">
        <f t="shared" si="1236"/>
        <v>12</v>
      </c>
      <c r="F3354" s="74">
        <f t="shared" si="1237"/>
        <v>46737.5</v>
      </c>
      <c r="G3354" s="67">
        <f t="shared" si="1238"/>
        <v>24335</v>
      </c>
      <c r="H3354" s="75">
        <f t="shared" si="1239"/>
        <v>1</v>
      </c>
      <c r="I3354" s="76">
        <f t="shared" si="1240"/>
        <v>1.02</v>
      </c>
      <c r="J3354" s="76">
        <f t="shared" si="1241"/>
        <v>1.02</v>
      </c>
      <c r="K3354" s="67">
        <f t="shared" si="1242"/>
        <v>0</v>
      </c>
      <c r="L3354" s="67">
        <f t="shared" si="1243"/>
        <v>0</v>
      </c>
      <c r="M3354" s="77">
        <f t="shared" si="1244"/>
        <v>0</v>
      </c>
      <c r="N3354" s="76">
        <f t="shared" si="1245"/>
        <v>1.02</v>
      </c>
      <c r="O3354" s="77">
        <f t="shared" si="1246"/>
        <v>0.92449124726477028</v>
      </c>
      <c r="P3354" s="76">
        <f t="shared" si="1247"/>
        <v>0</v>
      </c>
      <c r="Q3354" s="76">
        <f t="shared" si="1248"/>
        <v>8.3333333333333329E-2</v>
      </c>
      <c r="R3354" s="76">
        <f t="shared" si="1249"/>
        <v>0.91666666666666663</v>
      </c>
      <c r="S3354" s="76">
        <f t="shared" si="1250"/>
        <v>1.0249794263152887</v>
      </c>
      <c r="T3354" s="76">
        <f t="shared" si="1251"/>
        <v>1.0116969127580631</v>
      </c>
      <c r="U3354" s="76">
        <f t="shared" si="1252"/>
        <v>1.02</v>
      </c>
    </row>
    <row r="3355" spans="1:21" x14ac:dyDescent="0.25">
      <c r="A3355" s="71">
        <v>37</v>
      </c>
      <c r="B3355" s="72">
        <f t="shared" si="1253"/>
        <v>46753</v>
      </c>
      <c r="C3355" s="73">
        <f t="shared" si="1234"/>
        <v>46783</v>
      </c>
      <c r="D3355" s="67">
        <f t="shared" si="1235"/>
        <v>31</v>
      </c>
      <c r="E3355" s="67">
        <f t="shared" si="1236"/>
        <v>1</v>
      </c>
      <c r="F3355" s="74">
        <f t="shared" si="1237"/>
        <v>46768.5</v>
      </c>
      <c r="G3355" s="67">
        <f t="shared" si="1238"/>
        <v>24336</v>
      </c>
      <c r="H3355" s="75">
        <f t="shared" si="1239"/>
        <v>1</v>
      </c>
      <c r="I3355" s="76">
        <f t="shared" si="1240"/>
        <v>1.02</v>
      </c>
      <c r="J3355" s="76">
        <f t="shared" si="1241"/>
        <v>1.02</v>
      </c>
      <c r="K3355" s="67">
        <f t="shared" si="1242"/>
        <v>0</v>
      </c>
      <c r="L3355" s="67">
        <f t="shared" si="1243"/>
        <v>0</v>
      </c>
      <c r="M3355" s="77">
        <f t="shared" si="1244"/>
        <v>0</v>
      </c>
      <c r="N3355" s="76">
        <f t="shared" si="1245"/>
        <v>1.02</v>
      </c>
      <c r="O3355" s="77">
        <f t="shared" si="1246"/>
        <v>0.92500000000000004</v>
      </c>
      <c r="P3355" s="76">
        <f t="shared" si="1247"/>
        <v>0</v>
      </c>
      <c r="Q3355" s="76">
        <f t="shared" si="1248"/>
        <v>0</v>
      </c>
      <c r="R3355" s="76">
        <f t="shared" si="1249"/>
        <v>1</v>
      </c>
      <c r="S3355" s="76">
        <f t="shared" si="1250"/>
        <v>1.0255434782608694</v>
      </c>
      <c r="T3355" s="76">
        <f t="shared" si="1251"/>
        <v>0.99954250309199888</v>
      </c>
      <c r="U3355" s="76">
        <f t="shared" si="1252"/>
        <v>1.02</v>
      </c>
    </row>
    <row r="3356" spans="1:21" x14ac:dyDescent="0.25">
      <c r="A3356" s="71">
        <v>38</v>
      </c>
      <c r="B3356" s="72">
        <f t="shared" si="1253"/>
        <v>46784</v>
      </c>
      <c r="C3356" s="73">
        <f t="shared" si="1234"/>
        <v>46812</v>
      </c>
      <c r="D3356" s="67">
        <f t="shared" si="1235"/>
        <v>29</v>
      </c>
      <c r="E3356" s="67">
        <f t="shared" si="1236"/>
        <v>2</v>
      </c>
      <c r="F3356" s="74">
        <f t="shared" si="1237"/>
        <v>46798.5</v>
      </c>
      <c r="G3356" s="67">
        <f t="shared" si="1238"/>
        <v>24337</v>
      </c>
      <c r="H3356" s="75">
        <f t="shared" si="1239"/>
        <v>1</v>
      </c>
      <c r="I3356" s="76">
        <f t="shared" si="1240"/>
        <v>1.02</v>
      </c>
      <c r="J3356" s="76">
        <f t="shared" si="1241"/>
        <v>1.02</v>
      </c>
      <c r="K3356" s="67">
        <f t="shared" si="1242"/>
        <v>0</v>
      </c>
      <c r="L3356" s="67">
        <f t="shared" si="1243"/>
        <v>0</v>
      </c>
      <c r="M3356" s="77">
        <f t="shared" si="1244"/>
        <v>0</v>
      </c>
      <c r="N3356" s="76">
        <f t="shared" si="1245"/>
        <v>1.02</v>
      </c>
      <c r="O3356" s="77">
        <f t="shared" si="1246"/>
        <v>0.92500000000000004</v>
      </c>
      <c r="P3356" s="76">
        <f t="shared" si="1247"/>
        <v>0</v>
      </c>
      <c r="Q3356" s="76">
        <f t="shared" si="1248"/>
        <v>0</v>
      </c>
      <c r="R3356" s="76">
        <f t="shared" si="1249"/>
        <v>1</v>
      </c>
      <c r="S3356" s="76">
        <f t="shared" si="1250"/>
        <v>1.0255434782608694</v>
      </c>
      <c r="T3356" s="76">
        <f t="shared" si="1251"/>
        <v>1.0006160213110074</v>
      </c>
      <c r="U3356" s="76">
        <f t="shared" si="1252"/>
        <v>1.02</v>
      </c>
    </row>
    <row r="3357" spans="1:21" x14ac:dyDescent="0.25">
      <c r="A3357" s="71">
        <v>39</v>
      </c>
      <c r="B3357" s="72">
        <f t="shared" si="1253"/>
        <v>46813</v>
      </c>
      <c r="C3357" s="73">
        <f t="shared" si="1234"/>
        <v>46843</v>
      </c>
      <c r="D3357" s="67">
        <f t="shared" si="1235"/>
        <v>31</v>
      </c>
      <c r="E3357" s="67">
        <f t="shared" si="1236"/>
        <v>3</v>
      </c>
      <c r="F3357" s="74">
        <f t="shared" si="1237"/>
        <v>46828.5</v>
      </c>
      <c r="G3357" s="67">
        <f t="shared" si="1238"/>
        <v>24338</v>
      </c>
      <c r="H3357" s="75">
        <f t="shared" si="1239"/>
        <v>1</v>
      </c>
      <c r="I3357" s="76">
        <f t="shared" si="1240"/>
        <v>1.02</v>
      </c>
      <c r="J3357" s="76">
        <f t="shared" si="1241"/>
        <v>1.02</v>
      </c>
      <c r="K3357" s="67">
        <f t="shared" si="1242"/>
        <v>0</v>
      </c>
      <c r="L3357" s="67">
        <f t="shared" si="1243"/>
        <v>0</v>
      </c>
      <c r="M3357" s="77">
        <f t="shared" si="1244"/>
        <v>0</v>
      </c>
      <c r="N3357" s="76">
        <f t="shared" si="1245"/>
        <v>1.02</v>
      </c>
      <c r="O3357" s="77">
        <f t="shared" si="1246"/>
        <v>0.92500000000000004</v>
      </c>
      <c r="P3357" s="76">
        <f t="shared" si="1247"/>
        <v>0</v>
      </c>
      <c r="Q3357" s="76">
        <f t="shared" si="1248"/>
        <v>0</v>
      </c>
      <c r="R3357" s="76">
        <f t="shared" si="1249"/>
        <v>1</v>
      </c>
      <c r="S3357" s="76">
        <f t="shared" si="1250"/>
        <v>1.0255434782608694</v>
      </c>
      <c r="T3357" s="76">
        <f t="shared" si="1251"/>
        <v>1.0016895395300163</v>
      </c>
      <c r="U3357" s="76">
        <f t="shared" si="1252"/>
        <v>1.02</v>
      </c>
    </row>
    <row r="3358" spans="1:21" x14ac:dyDescent="0.25">
      <c r="A3358" s="71">
        <v>40</v>
      </c>
      <c r="B3358" s="72">
        <f t="shared" si="1253"/>
        <v>46844</v>
      </c>
      <c r="C3358" s="73">
        <f t="shared" si="1234"/>
        <v>46873</v>
      </c>
      <c r="D3358" s="67">
        <f t="shared" si="1235"/>
        <v>30</v>
      </c>
      <c r="E3358" s="67">
        <f t="shared" si="1236"/>
        <v>4</v>
      </c>
      <c r="F3358" s="74">
        <f t="shared" si="1237"/>
        <v>46859</v>
      </c>
      <c r="G3358" s="67">
        <f t="shared" si="1238"/>
        <v>24339</v>
      </c>
      <c r="H3358" s="75">
        <f t="shared" si="1239"/>
        <v>1</v>
      </c>
      <c r="I3358" s="76">
        <f t="shared" si="1240"/>
        <v>1.02</v>
      </c>
      <c r="J3358" s="76">
        <f t="shared" si="1241"/>
        <v>1.02</v>
      </c>
      <c r="K3358" s="67">
        <f t="shared" si="1242"/>
        <v>0</v>
      </c>
      <c r="L3358" s="67">
        <f t="shared" si="1243"/>
        <v>0</v>
      </c>
      <c r="M3358" s="77">
        <f t="shared" si="1244"/>
        <v>0</v>
      </c>
      <c r="N3358" s="76">
        <f t="shared" si="1245"/>
        <v>1.02</v>
      </c>
      <c r="O3358" s="77">
        <f t="shared" si="1246"/>
        <v>0.92500000000000004</v>
      </c>
      <c r="P3358" s="76">
        <f t="shared" si="1247"/>
        <v>0</v>
      </c>
      <c r="Q3358" s="76">
        <f t="shared" si="1248"/>
        <v>0</v>
      </c>
      <c r="R3358" s="76">
        <f t="shared" si="1249"/>
        <v>1</v>
      </c>
      <c r="S3358" s="76">
        <f t="shared" si="1250"/>
        <v>1.0255434782608694</v>
      </c>
      <c r="T3358" s="76">
        <f t="shared" si="1251"/>
        <v>1.0027994481971267</v>
      </c>
      <c r="U3358" s="76">
        <f t="shared" si="1252"/>
        <v>1.02</v>
      </c>
    </row>
    <row r="3359" spans="1:21" x14ac:dyDescent="0.25">
      <c r="A3359" s="71">
        <v>41</v>
      </c>
      <c r="B3359" s="72">
        <f t="shared" si="1253"/>
        <v>46874</v>
      </c>
      <c r="C3359" s="73">
        <f t="shared" si="1234"/>
        <v>46904</v>
      </c>
      <c r="D3359" s="67">
        <f t="shared" si="1235"/>
        <v>31</v>
      </c>
      <c r="E3359" s="67">
        <f t="shared" si="1236"/>
        <v>5</v>
      </c>
      <c r="F3359" s="74">
        <f t="shared" si="1237"/>
        <v>46889.5</v>
      </c>
      <c r="G3359" s="67">
        <f t="shared" si="1238"/>
        <v>24340</v>
      </c>
      <c r="H3359" s="75">
        <f t="shared" si="1239"/>
        <v>1</v>
      </c>
      <c r="I3359" s="76">
        <f t="shared" si="1240"/>
        <v>1.02</v>
      </c>
      <c r="J3359" s="76">
        <f t="shared" si="1241"/>
        <v>1.02</v>
      </c>
      <c r="K3359" s="67">
        <f t="shared" si="1242"/>
        <v>0</v>
      </c>
      <c r="L3359" s="67">
        <f t="shared" si="1243"/>
        <v>0</v>
      </c>
      <c r="M3359" s="77">
        <f t="shared" si="1244"/>
        <v>0</v>
      </c>
      <c r="N3359" s="76">
        <f t="shared" si="1245"/>
        <v>1.02</v>
      </c>
      <c r="O3359" s="77">
        <f t="shared" si="1246"/>
        <v>0.92500000000000004</v>
      </c>
      <c r="P3359" s="76">
        <f t="shared" si="1247"/>
        <v>0</v>
      </c>
      <c r="Q3359" s="76">
        <f t="shared" si="1248"/>
        <v>0</v>
      </c>
      <c r="R3359" s="76">
        <f t="shared" si="1249"/>
        <v>1</v>
      </c>
      <c r="S3359" s="76">
        <f t="shared" si="1250"/>
        <v>1.0255434782608694</v>
      </c>
      <c r="T3359" s="76">
        <f t="shared" si="1251"/>
        <v>1.0039093568642374</v>
      </c>
      <c r="U3359" s="76">
        <f t="shared" si="1252"/>
        <v>1.02</v>
      </c>
    </row>
    <row r="3360" spans="1:21" x14ac:dyDescent="0.25">
      <c r="A3360" s="71">
        <v>42</v>
      </c>
      <c r="B3360" s="72">
        <f t="shared" si="1253"/>
        <v>46905</v>
      </c>
      <c r="C3360" s="73">
        <f t="shared" si="1234"/>
        <v>46934</v>
      </c>
      <c r="D3360" s="67">
        <f t="shared" si="1235"/>
        <v>30</v>
      </c>
      <c r="E3360" s="67">
        <f t="shared" si="1236"/>
        <v>6</v>
      </c>
      <c r="F3360" s="74">
        <f t="shared" si="1237"/>
        <v>46920</v>
      </c>
      <c r="G3360" s="67">
        <f t="shared" si="1238"/>
        <v>24341</v>
      </c>
      <c r="H3360" s="75">
        <f t="shared" si="1239"/>
        <v>1</v>
      </c>
      <c r="I3360" s="76">
        <f t="shared" si="1240"/>
        <v>1.02</v>
      </c>
      <c r="J3360" s="76">
        <f t="shared" si="1241"/>
        <v>1.02</v>
      </c>
      <c r="K3360" s="67">
        <f t="shared" si="1242"/>
        <v>0</v>
      </c>
      <c r="L3360" s="67">
        <f t="shared" si="1243"/>
        <v>0</v>
      </c>
      <c r="M3360" s="77">
        <f t="shared" si="1244"/>
        <v>0</v>
      </c>
      <c r="N3360" s="76">
        <f t="shared" si="1245"/>
        <v>1.02</v>
      </c>
      <c r="O3360" s="77">
        <f t="shared" si="1246"/>
        <v>0.92500000000000004</v>
      </c>
      <c r="P3360" s="76">
        <f t="shared" si="1247"/>
        <v>0</v>
      </c>
      <c r="Q3360" s="76">
        <f t="shared" si="1248"/>
        <v>0</v>
      </c>
      <c r="R3360" s="76">
        <f t="shared" si="1249"/>
        <v>1</v>
      </c>
      <c r="S3360" s="76">
        <f t="shared" si="1250"/>
        <v>1.0255434782608694</v>
      </c>
      <c r="T3360" s="76">
        <f t="shared" si="1251"/>
        <v>1.0050192655313481</v>
      </c>
      <c r="U3360" s="76">
        <f t="shared" si="1252"/>
        <v>1.02</v>
      </c>
    </row>
    <row r="3361" spans="1:21" x14ac:dyDescent="0.25">
      <c r="A3361" s="71">
        <v>43</v>
      </c>
      <c r="B3361" s="72">
        <f t="shared" si="1253"/>
        <v>46935</v>
      </c>
      <c r="C3361" s="73">
        <f t="shared" si="1234"/>
        <v>46965</v>
      </c>
      <c r="D3361" s="67">
        <f t="shared" si="1235"/>
        <v>31</v>
      </c>
      <c r="E3361" s="67">
        <f t="shared" si="1236"/>
        <v>7</v>
      </c>
      <c r="F3361" s="74">
        <f t="shared" si="1237"/>
        <v>46950.5</v>
      </c>
      <c r="G3361" s="67">
        <f t="shared" si="1238"/>
        <v>24342</v>
      </c>
      <c r="H3361" s="75">
        <f t="shared" si="1239"/>
        <v>1</v>
      </c>
      <c r="I3361" s="76">
        <f t="shared" si="1240"/>
        <v>1.02</v>
      </c>
      <c r="J3361" s="76">
        <f t="shared" si="1241"/>
        <v>1.02</v>
      </c>
      <c r="K3361" s="67">
        <f t="shared" si="1242"/>
        <v>0</v>
      </c>
      <c r="L3361" s="67">
        <f t="shared" si="1243"/>
        <v>0</v>
      </c>
      <c r="M3361" s="77">
        <f t="shared" si="1244"/>
        <v>0</v>
      </c>
      <c r="N3361" s="76">
        <f t="shared" si="1245"/>
        <v>1.02</v>
      </c>
      <c r="O3361" s="77">
        <f t="shared" si="1246"/>
        <v>0.92500000000000004</v>
      </c>
      <c r="P3361" s="76">
        <f t="shared" si="1247"/>
        <v>0</v>
      </c>
      <c r="Q3361" s="76">
        <f t="shared" si="1248"/>
        <v>0</v>
      </c>
      <c r="R3361" s="76">
        <f t="shared" si="1249"/>
        <v>0.91666666666666663</v>
      </c>
      <c r="S3361" s="76">
        <f t="shared" si="1250"/>
        <v>1.0255434782608694</v>
      </c>
      <c r="T3361" s="76">
        <f t="shared" si="1251"/>
        <v>1.0061291741984588</v>
      </c>
      <c r="U3361" s="76">
        <f t="shared" si="1252"/>
        <v>1.02</v>
      </c>
    </row>
    <row r="3362" spans="1:21" x14ac:dyDescent="0.25">
      <c r="A3362" s="71">
        <v>44</v>
      </c>
      <c r="B3362" s="72">
        <f t="shared" si="1253"/>
        <v>46966</v>
      </c>
      <c r="C3362" s="73">
        <f t="shared" si="1234"/>
        <v>46996</v>
      </c>
      <c r="D3362" s="67">
        <f t="shared" si="1235"/>
        <v>31</v>
      </c>
      <c r="E3362" s="67">
        <f t="shared" si="1236"/>
        <v>8</v>
      </c>
      <c r="F3362" s="74">
        <f t="shared" si="1237"/>
        <v>46981.5</v>
      </c>
      <c r="G3362" s="67">
        <f t="shared" si="1238"/>
        <v>24343</v>
      </c>
      <c r="H3362" s="75">
        <f t="shared" si="1239"/>
        <v>1</v>
      </c>
      <c r="I3362" s="76">
        <f t="shared" si="1240"/>
        <v>1.02</v>
      </c>
      <c r="J3362" s="76">
        <f t="shared" si="1241"/>
        <v>1.02</v>
      </c>
      <c r="K3362" s="67">
        <f t="shared" si="1242"/>
        <v>0</v>
      </c>
      <c r="L3362" s="67">
        <f t="shared" si="1243"/>
        <v>0</v>
      </c>
      <c r="M3362" s="77">
        <f t="shared" si="1244"/>
        <v>0</v>
      </c>
      <c r="N3362" s="76">
        <f t="shared" si="1245"/>
        <v>1.02</v>
      </c>
      <c r="O3362" s="77">
        <f t="shared" si="1246"/>
        <v>0.92500000000000004</v>
      </c>
      <c r="P3362" s="76">
        <f t="shared" si="1247"/>
        <v>0</v>
      </c>
      <c r="Q3362" s="76">
        <f t="shared" si="1248"/>
        <v>0</v>
      </c>
      <c r="R3362" s="76">
        <f t="shared" si="1249"/>
        <v>0.75</v>
      </c>
      <c r="S3362" s="76">
        <f t="shared" si="1250"/>
        <v>1.0255434782608694</v>
      </c>
      <c r="T3362" s="76">
        <f t="shared" si="1251"/>
        <v>1.0072572780896203</v>
      </c>
      <c r="U3362" s="76">
        <f t="shared" si="1252"/>
        <v>1.02</v>
      </c>
    </row>
    <row r="3363" spans="1:21" x14ac:dyDescent="0.25">
      <c r="A3363" s="71">
        <v>45</v>
      </c>
      <c r="B3363" s="72">
        <f t="shared" si="1253"/>
        <v>46997</v>
      </c>
      <c r="C3363" s="73">
        <f t="shared" si="1234"/>
        <v>47026</v>
      </c>
      <c r="D3363" s="67">
        <f t="shared" si="1235"/>
        <v>30</v>
      </c>
      <c r="E3363" s="67">
        <f t="shared" si="1236"/>
        <v>9</v>
      </c>
      <c r="F3363" s="74">
        <f t="shared" si="1237"/>
        <v>47012</v>
      </c>
      <c r="G3363" s="67">
        <f t="shared" si="1238"/>
        <v>24344</v>
      </c>
      <c r="H3363" s="75">
        <f t="shared" si="1239"/>
        <v>1</v>
      </c>
      <c r="I3363" s="76">
        <f t="shared" si="1240"/>
        <v>1.02</v>
      </c>
      <c r="J3363" s="76">
        <f t="shared" si="1241"/>
        <v>1.02</v>
      </c>
      <c r="K3363" s="67">
        <f t="shared" si="1242"/>
        <v>0</v>
      </c>
      <c r="L3363" s="67">
        <f t="shared" si="1243"/>
        <v>0</v>
      </c>
      <c r="M3363" s="77">
        <f t="shared" si="1244"/>
        <v>0</v>
      </c>
      <c r="N3363" s="76">
        <f t="shared" si="1245"/>
        <v>1.02</v>
      </c>
      <c r="O3363" s="77">
        <f t="shared" si="1246"/>
        <v>0.92500000000000004</v>
      </c>
      <c r="P3363" s="76">
        <f t="shared" si="1247"/>
        <v>0</v>
      </c>
      <c r="Q3363" s="76">
        <f t="shared" si="1248"/>
        <v>0</v>
      </c>
      <c r="R3363" s="76">
        <f t="shared" si="1249"/>
        <v>0.58333333333333337</v>
      </c>
      <c r="S3363" s="76">
        <f t="shared" si="1250"/>
        <v>1.0255434782608694</v>
      </c>
      <c r="T3363" s="76">
        <f t="shared" si="1251"/>
        <v>1.008367186756731</v>
      </c>
      <c r="U3363" s="76">
        <f t="shared" si="1252"/>
        <v>1.02</v>
      </c>
    </row>
    <row r="3364" spans="1:21" x14ac:dyDescent="0.25">
      <c r="A3364" s="71">
        <v>46</v>
      </c>
      <c r="B3364" s="72">
        <f t="shared" si="1253"/>
        <v>47027</v>
      </c>
      <c r="C3364" s="73">
        <f t="shared" si="1234"/>
        <v>47057</v>
      </c>
      <c r="D3364" s="67">
        <f t="shared" si="1235"/>
        <v>31</v>
      </c>
      <c r="E3364" s="67">
        <f t="shared" si="1236"/>
        <v>10</v>
      </c>
      <c r="F3364" s="74">
        <f t="shared" si="1237"/>
        <v>47042.5</v>
      </c>
      <c r="G3364" s="67">
        <f t="shared" si="1238"/>
        <v>24345</v>
      </c>
      <c r="H3364" s="75">
        <f t="shared" si="1239"/>
        <v>1</v>
      </c>
      <c r="I3364" s="76">
        <f t="shared" si="1240"/>
        <v>1.02</v>
      </c>
      <c r="J3364" s="76">
        <f t="shared" si="1241"/>
        <v>1.02</v>
      </c>
      <c r="K3364" s="67">
        <f t="shared" si="1242"/>
        <v>0</v>
      </c>
      <c r="L3364" s="67">
        <f t="shared" si="1243"/>
        <v>0</v>
      </c>
      <c r="M3364" s="77">
        <f t="shared" si="1244"/>
        <v>0</v>
      </c>
      <c r="N3364" s="76">
        <f t="shared" si="1245"/>
        <v>1.02</v>
      </c>
      <c r="O3364" s="77">
        <f t="shared" si="1246"/>
        <v>0.92500000000000004</v>
      </c>
      <c r="P3364" s="76">
        <f t="shared" si="1247"/>
        <v>0</v>
      </c>
      <c r="Q3364" s="76">
        <f t="shared" si="1248"/>
        <v>0</v>
      </c>
      <c r="R3364" s="76">
        <f t="shared" si="1249"/>
        <v>0.41666666666666669</v>
      </c>
      <c r="S3364" s="76">
        <f t="shared" si="1250"/>
        <v>1.0255434782608694</v>
      </c>
      <c r="T3364" s="76">
        <f t="shared" si="1251"/>
        <v>1.0094770954238417</v>
      </c>
      <c r="U3364" s="76">
        <f t="shared" si="1252"/>
        <v>1.02</v>
      </c>
    </row>
    <row r="3365" spans="1:21" x14ac:dyDescent="0.25">
      <c r="A3365" s="71">
        <v>47</v>
      </c>
      <c r="B3365" s="72">
        <f t="shared" si="1253"/>
        <v>47058</v>
      </c>
      <c r="C3365" s="73">
        <f t="shared" si="1234"/>
        <v>47087</v>
      </c>
      <c r="D3365" s="67">
        <f t="shared" si="1235"/>
        <v>30</v>
      </c>
      <c r="E3365" s="67">
        <f t="shared" si="1236"/>
        <v>11</v>
      </c>
      <c r="F3365" s="74">
        <f t="shared" si="1237"/>
        <v>47073</v>
      </c>
      <c r="G3365" s="67">
        <f t="shared" si="1238"/>
        <v>24346</v>
      </c>
      <c r="H3365" s="75">
        <f t="shared" si="1239"/>
        <v>1</v>
      </c>
      <c r="I3365" s="76">
        <f t="shared" si="1240"/>
        <v>1.02</v>
      </c>
      <c r="J3365" s="76">
        <f t="shared" si="1241"/>
        <v>1.02</v>
      </c>
      <c r="K3365" s="67">
        <f t="shared" si="1242"/>
        <v>0</v>
      </c>
      <c r="L3365" s="67">
        <f t="shared" si="1243"/>
        <v>0</v>
      </c>
      <c r="M3365" s="77">
        <f t="shared" si="1244"/>
        <v>0</v>
      </c>
      <c r="N3365" s="76">
        <f t="shared" si="1245"/>
        <v>1.02</v>
      </c>
      <c r="O3365" s="77">
        <f t="shared" si="1246"/>
        <v>0.92500000000000004</v>
      </c>
      <c r="P3365" s="76">
        <f t="shared" si="1247"/>
        <v>0</v>
      </c>
      <c r="Q3365" s="76">
        <f t="shared" si="1248"/>
        <v>0</v>
      </c>
      <c r="R3365" s="76">
        <f t="shared" si="1249"/>
        <v>0.25</v>
      </c>
      <c r="S3365" s="76">
        <f t="shared" si="1250"/>
        <v>1.0255434782608694</v>
      </c>
      <c r="T3365" s="76">
        <f t="shared" si="1251"/>
        <v>1.0105870040909524</v>
      </c>
      <c r="U3365" s="76">
        <f t="shared" si="1252"/>
        <v>1.02</v>
      </c>
    </row>
    <row r="3366" spans="1:21" x14ac:dyDescent="0.25">
      <c r="A3366" s="71">
        <v>48</v>
      </c>
      <c r="B3366" s="72">
        <f t="shared" si="1253"/>
        <v>47088</v>
      </c>
      <c r="C3366" s="73">
        <f t="shared" si="1234"/>
        <v>47118</v>
      </c>
      <c r="D3366" s="67">
        <f t="shared" si="1235"/>
        <v>31</v>
      </c>
      <c r="E3366" s="67">
        <f t="shared" si="1236"/>
        <v>12</v>
      </c>
      <c r="F3366" s="74">
        <f t="shared" si="1237"/>
        <v>47103.5</v>
      </c>
      <c r="G3366" s="67">
        <f t="shared" si="1238"/>
        <v>24347</v>
      </c>
      <c r="H3366" s="75">
        <f t="shared" si="1239"/>
        <v>1</v>
      </c>
      <c r="I3366" s="76">
        <f t="shared" si="1240"/>
        <v>1.02</v>
      </c>
      <c r="J3366" s="76">
        <f t="shared" si="1241"/>
        <v>1.02</v>
      </c>
      <c r="K3366" s="67">
        <f t="shared" si="1242"/>
        <v>0</v>
      </c>
      <c r="L3366" s="67">
        <f t="shared" si="1243"/>
        <v>0</v>
      </c>
      <c r="M3366" s="77">
        <f t="shared" si="1244"/>
        <v>0</v>
      </c>
      <c r="N3366" s="76">
        <f t="shared" si="1245"/>
        <v>1.02</v>
      </c>
      <c r="O3366" s="77">
        <f t="shared" si="1246"/>
        <v>0.92500000000000004</v>
      </c>
      <c r="P3366" s="76">
        <f t="shared" si="1247"/>
        <v>0</v>
      </c>
      <c r="Q3366" s="76">
        <f t="shared" si="1248"/>
        <v>0</v>
      </c>
      <c r="R3366" s="76">
        <f t="shared" si="1249"/>
        <v>8.3333333333333329E-2</v>
      </c>
      <c r="S3366" s="76">
        <f t="shared" si="1250"/>
        <v>1.0255434782608694</v>
      </c>
      <c r="T3366" s="76">
        <f t="shared" si="1251"/>
        <v>1.0116969127580631</v>
      </c>
      <c r="U3366" s="76">
        <f t="shared" si="1252"/>
        <v>1.02</v>
      </c>
    </row>
    <row r="3367" spans="1:21" x14ac:dyDescent="0.25">
      <c r="A3367" s="81" t="s">
        <v>1187</v>
      </c>
      <c r="B3367" s="53">
        <f>EXP(SUMPRODUCT((rl_key=$A$3316)*(rl_cons="Y")*rl_ln1p))</f>
        <v>1.02</v>
      </c>
      <c r="C3367" s="53">
        <f>SUMPRODUCT($H$3319:$H$3366,$P$3319:$P$3366,$U$3319:$U$3366)/SUMPRODUCT($H$3319:$H$3366,$P$3319:$P$3366)</f>
        <v>1.0150000000000001</v>
      </c>
      <c r="D3367" s="53">
        <f>SUMPRODUCT($H$3319:$H$3366,$Q$3319:$Q$3366,$U$3319:$U$3366)/SUMPRODUCT($H$3319:$H$3366,$Q$3319:$Q$3366)</f>
        <v>1.0200000000000002</v>
      </c>
      <c r="E3367" s="53">
        <f>SUMPRODUCT($H$3319:$H$3366,$R$3319:$R$3366,$U$3319:$U$3366)/SUMPRODUCT($H$3319:$H$3366,$R$3319:$R$3366)</f>
        <v>1.0200000000000002</v>
      </c>
      <c r="F3367" s="172">
        <f>SUMPRODUCT($H$3319:$H$3366,$Q$3319:$Q$3366,$O$3319:$O$3366)/SUMPRODUCT($H$3319:$H$3366,$Q$3319:$Q$3366)</f>
        <v>0.91598878555798668</v>
      </c>
      <c r="G3367" s="172">
        <f>SUMPRODUCT($H$3319:$H$3366,$R$3319:$R$3366,$O$3319:$O$3366)/SUMPRODUCT($H$3319:$H$3366,$R$3319:$R$3366)</f>
        <v>0.92449033552151683</v>
      </c>
    </row>
    <row r="3370" spans="1:21" x14ac:dyDescent="0.25">
      <c r="A3370" s="81" t="str">
        <f>INDEX(lr_key,62)</f>
        <v>BU-C|TN</v>
      </c>
      <c r="B3370" s="81" t="str">
        <f>INDEX(lr_state,62)</f>
        <v>TN</v>
      </c>
      <c r="C3370" s="55">
        <f>nr_TermMonths</f>
        <v>6</v>
      </c>
      <c r="D3370" s="55">
        <f>IF(COUNTIF(se_state,$B3370)=0,0,MATCH($B3370,se_state,0))</f>
        <v>0</v>
      </c>
      <c r="E3370" s="57">
        <f>IF($D3370=0,0,INDEX(se_sum,$D3370))</f>
        <v>0</v>
      </c>
      <c r="F3370" s="172">
        <f>IF(N(INDEX(lr_mind,62))=0,1,INDEX(lr_mind,62))</f>
        <v>0.92</v>
      </c>
      <c r="G3370" s="172">
        <f>IF(N(INDEX(lr_m0,62))=0,1,INDEX(lr_m0,62))</f>
        <v>0.91</v>
      </c>
      <c r="H3370" s="54">
        <f>IF(N(INDEX(lr_m0asof,62))=0,DATE(nr_PlanYear-1,10,1),INDEX(lr_m0asof,62))</f>
        <v>46295</v>
      </c>
      <c r="I3370" s="172">
        <f>IF(N(INDEX(lr_m1,62))=0,1,INDEX(lr_m1,62))</f>
        <v>0.90500000000000003</v>
      </c>
      <c r="J3370" s="172">
        <f>INDEX(lr_mprior,62)</f>
        <v>0</v>
      </c>
      <c r="K3370" s="172">
        <f>INDEX(lr_m2,62)</f>
        <v>0</v>
      </c>
      <c r="L3370" s="81" t="b">
        <f>NOT(ISBLANK(INDEX(lr_netp,62)))</f>
        <v>0</v>
      </c>
      <c r="M3370" s="52">
        <f>N(INDEX(lr_netp,62))</f>
        <v>0</v>
      </c>
      <c r="N3370" s="52">
        <f>IF(ISBLANK(INDEX(lr_netp1,62)),$M$3370,N(INDEX(lr_netp1,62)))</f>
        <v>0</v>
      </c>
      <c r="O3370" s="55">
        <f>IF(AND(nr_ModAdjMaster="ON",INDEX(lr_modadj,62)="ON"),1,0)</f>
        <v>1</v>
      </c>
    </row>
    <row r="3371" spans="1:21" x14ac:dyDescent="0.25">
      <c r="A3371" s="81">
        <f>EDATE($H$3370,-12)+1</f>
        <v>45931</v>
      </c>
      <c r="B3371" s="81">
        <f>$H$3370+1</f>
        <v>46296</v>
      </c>
      <c r="C3371" s="81">
        <f>DATE(nr_PlanYear,12,31)+1</f>
        <v>46753</v>
      </c>
      <c r="D3371" s="81">
        <f>DATE(nr_PlanYear+1,12,31)+1</f>
        <v>47119</v>
      </c>
      <c r="E3371" s="81">
        <f>IF(N($J$3370)=0,$F$3371-($G$3371-$F$3371)/($C$3371-$B$3371)*($B$3371-$A$3371),$J$3370)</f>
        <v>0.9139934354485777</v>
      </c>
      <c r="F3371" s="81">
        <f>$G$3370</f>
        <v>0.91</v>
      </c>
      <c r="G3371" s="81">
        <f>$I$3370</f>
        <v>0.90500000000000003</v>
      </c>
      <c r="H3371" s="81">
        <f>IF(N($K$3370)=0,$I$3370,$K$3370)</f>
        <v>0.90500000000000003</v>
      </c>
      <c r="I3371" s="81">
        <f>($F$3371-$E$3371)/($B$3371-$A$3371)</f>
        <v>-1.0940919037199081E-5</v>
      </c>
      <c r="J3371" s="81">
        <f>($G$3371-$F$3371)/($C$3371-$B$3371)</f>
        <v>-1.0940919037199135E-5</v>
      </c>
      <c r="K3371" s="81">
        <f>($H$3371-$G$3371)/($D$3371-$C$3371)</f>
        <v>0</v>
      </c>
    </row>
    <row r="3372" spans="1:21" ht="36" x14ac:dyDescent="0.25">
      <c r="A3372" s="50" t="s">
        <v>211</v>
      </c>
      <c r="B3372" s="50" t="s">
        <v>212</v>
      </c>
      <c r="C3372" s="50" t="s">
        <v>213</v>
      </c>
      <c r="D3372" s="50" t="s">
        <v>214</v>
      </c>
      <c r="E3372" s="50" t="s">
        <v>215</v>
      </c>
      <c r="F3372" s="50" t="s">
        <v>216</v>
      </c>
      <c r="G3372" s="50" t="s">
        <v>217</v>
      </c>
      <c r="H3372" s="50" t="s">
        <v>218</v>
      </c>
      <c r="I3372" s="50" t="s">
        <v>219</v>
      </c>
      <c r="J3372" s="50" t="s">
        <v>220</v>
      </c>
      <c r="K3372" s="50" t="s">
        <v>221</v>
      </c>
      <c r="L3372" s="50" t="s">
        <v>222</v>
      </c>
      <c r="M3372" s="50" t="s">
        <v>223</v>
      </c>
      <c r="N3372" s="50" t="s">
        <v>224</v>
      </c>
      <c r="O3372" s="50" t="s">
        <v>225</v>
      </c>
      <c r="P3372" s="50" t="s">
        <v>226</v>
      </c>
      <c r="Q3372" s="50" t="s">
        <v>227</v>
      </c>
      <c r="R3372" s="50" t="s">
        <v>228</v>
      </c>
      <c r="S3372" s="50" t="s">
        <v>229</v>
      </c>
      <c r="T3372" s="50" t="s">
        <v>230</v>
      </c>
      <c r="U3372" s="50" t="s">
        <v>231</v>
      </c>
    </row>
    <row r="3373" spans="1:21" x14ac:dyDescent="0.25">
      <c r="A3373" s="71">
        <v>1</v>
      </c>
      <c r="B3373" s="72">
        <f>DATE(nr_PlanYear-2,1,1)</f>
        <v>45658</v>
      </c>
      <c r="C3373" s="73">
        <f t="shared" ref="C3373:C3420" si="1254">EOMONTH($B3373,0)</f>
        <v>45688</v>
      </c>
      <c r="D3373" s="67">
        <f t="shared" ref="D3373:D3420" si="1255">$C3373-$B3373+1</f>
        <v>31</v>
      </c>
      <c r="E3373" s="67">
        <f t="shared" ref="E3373:E3420" si="1256">MONTH($B3373)</f>
        <v>1</v>
      </c>
      <c r="F3373" s="74">
        <f t="shared" ref="F3373:F3420" si="1257">($B3373+$C3373+1)/2</f>
        <v>45673.5</v>
      </c>
      <c r="G3373" s="67">
        <f t="shared" ref="G3373:G3420" si="1258">YEAR($B3373)*12+MONTH($B3373)-1</f>
        <v>24300</v>
      </c>
      <c r="H3373" s="75">
        <f t="shared" ref="H3373:H3420" si="1259">IF(OR(nr_SeasonOn="OFF",$D$3370=0,$E$3370=0),1,12*INDEX(se_block,$D$3370,$E3373)/$E$3370)</f>
        <v>1</v>
      </c>
      <c r="I3373" s="76">
        <f t="shared" ref="I3373:I3420" si="1260">EXP(SUMPRODUCT((rl_eff&lt;$B3373)*(rl_key=$A$3370)*rl_ln1p))</f>
        <v>1</v>
      </c>
      <c r="J3373" s="76">
        <f t="shared" ref="J3373:J3420" si="1261">EXP(SUMPRODUCT((rl_eff&lt;=$C3373)*(rl_key=$A$3370)*rl_ln1p))</f>
        <v>1</v>
      </c>
      <c r="K3373" s="67">
        <f t="shared" ref="K3373:K3420" si="1262">COUNTIFS(rl_key,$A$3370,rl_eff,"&gt;="&amp;$B3373,rl_eff,"&lt;="&amp;$C3373)</f>
        <v>0</v>
      </c>
      <c r="L3373" s="67">
        <f t="shared" ref="L3373:L3420" si="1263">SUMIFS(rl_daysafter,rl_key,$A$3370,rl_effmonth,$B3373,rl_first,1)</f>
        <v>0</v>
      </c>
      <c r="M3373" s="77">
        <f t="shared" ref="M3373:M3420" si="1264">IF($K3373=0,0,MIN(1,$L3373/$D3373))</f>
        <v>0</v>
      </c>
      <c r="N3373" s="76">
        <f t="shared" ref="N3373:N3420" si="1265">IF($K3373=0,$J3373,(1-$M3373)*$I3373+$M3373*$J3373)</f>
        <v>1</v>
      </c>
      <c r="O3373" s="77">
        <f t="shared" ref="O3373:O3420" si="1266">IF($F3373&lt;$B$3371,$E$3371+$I$3371*($F3373-$A$3371),IF($F3373&lt;$C$3371,$F$3371+$J$3371*($F3373-$B$3371),$G$3371+$K$3371*($F3373-$C$3371)))</f>
        <v>0.91681072210065651</v>
      </c>
      <c r="P3373" s="76">
        <f t="shared" ref="P3373:P3420" si="1267">MIN(1,MAX(0,(nr_MEndPm1-$G3373+0.5)/$C$3370))-MIN(1,MAX(0,(nr_MStartPm1-1-$G3373+0.5)/$C$3370))</f>
        <v>0</v>
      </c>
      <c r="Q3373" s="76">
        <f t="shared" ref="Q3373:Q3420" si="1268">MIN(1,MAX(0,(nr_MEndP-$G3373+0.5)/$C$3370))-MIN(1,MAX(0,(nr_MStartP-1-$G3373+0.5)/$C$3370))</f>
        <v>0</v>
      </c>
      <c r="R3373" s="76">
        <f t="shared" ref="R3373:R3420" si="1269">MIN(1,MAX(0,(nr_MEndP1-$G3373+0.5)/$C$3370))-MIN(1,MAX(0,(nr_MStartP1-1-$G3373+0.5)/$C$3370))</f>
        <v>0</v>
      </c>
      <c r="S3373" s="76">
        <f t="shared" ref="S3373:S3420" si="1270">$N3373*IF($O$3370=1,$O3373/$F$3370,1)</f>
        <v>0.99653339358767012</v>
      </c>
      <c r="T3373" s="76">
        <f t="shared" ref="T3373:T3420" si="1271">IF($G3373&lt;nr_MStartP,$S3373,$T3361*(1+IF($G3373&lt;nr_MStartP1,$M$3370,$N$3370)))</f>
        <v>0.99653339358767012</v>
      </c>
      <c r="U3373" s="76">
        <f t="shared" ref="U3373:U3420" si="1272">IF($L$3370,$T3373,$N3373)</f>
        <v>1</v>
      </c>
    </row>
    <row r="3374" spans="1:21" x14ac:dyDescent="0.25">
      <c r="A3374" s="71">
        <v>2</v>
      </c>
      <c r="B3374" s="72">
        <f t="shared" ref="B3374:B3420" si="1273">EDATE($B3373,1)</f>
        <v>45689</v>
      </c>
      <c r="C3374" s="73">
        <f t="shared" si="1254"/>
        <v>45716</v>
      </c>
      <c r="D3374" s="67">
        <f t="shared" si="1255"/>
        <v>28</v>
      </c>
      <c r="E3374" s="67">
        <f t="shared" si="1256"/>
        <v>2</v>
      </c>
      <c r="F3374" s="74">
        <f t="shared" si="1257"/>
        <v>45703</v>
      </c>
      <c r="G3374" s="67">
        <f t="shared" si="1258"/>
        <v>24301</v>
      </c>
      <c r="H3374" s="75">
        <f t="shared" si="1259"/>
        <v>1</v>
      </c>
      <c r="I3374" s="76">
        <f t="shared" si="1260"/>
        <v>1</v>
      </c>
      <c r="J3374" s="76">
        <f t="shared" si="1261"/>
        <v>1</v>
      </c>
      <c r="K3374" s="67">
        <f t="shared" si="1262"/>
        <v>0</v>
      </c>
      <c r="L3374" s="67">
        <f t="shared" si="1263"/>
        <v>0</v>
      </c>
      <c r="M3374" s="77">
        <f t="shared" si="1264"/>
        <v>0</v>
      </c>
      <c r="N3374" s="76">
        <f t="shared" si="1265"/>
        <v>1</v>
      </c>
      <c r="O3374" s="77">
        <f t="shared" si="1266"/>
        <v>0.91648796498905905</v>
      </c>
      <c r="P3374" s="76">
        <f t="shared" si="1267"/>
        <v>0</v>
      </c>
      <c r="Q3374" s="76">
        <f t="shared" si="1268"/>
        <v>0</v>
      </c>
      <c r="R3374" s="76">
        <f t="shared" si="1269"/>
        <v>0</v>
      </c>
      <c r="S3374" s="76">
        <f t="shared" si="1270"/>
        <v>0.99618257064028148</v>
      </c>
      <c r="T3374" s="76">
        <f t="shared" si="1271"/>
        <v>0.99618257064028148</v>
      </c>
      <c r="U3374" s="76">
        <f t="shared" si="1272"/>
        <v>1</v>
      </c>
    </row>
    <row r="3375" spans="1:21" x14ac:dyDescent="0.25">
      <c r="A3375" s="71">
        <v>3</v>
      </c>
      <c r="B3375" s="72">
        <f t="shared" si="1273"/>
        <v>45717</v>
      </c>
      <c r="C3375" s="73">
        <f t="shared" si="1254"/>
        <v>45747</v>
      </c>
      <c r="D3375" s="67">
        <f t="shared" si="1255"/>
        <v>31</v>
      </c>
      <c r="E3375" s="67">
        <f t="shared" si="1256"/>
        <v>3</v>
      </c>
      <c r="F3375" s="74">
        <f t="shared" si="1257"/>
        <v>45732.5</v>
      </c>
      <c r="G3375" s="67">
        <f t="shared" si="1258"/>
        <v>24302</v>
      </c>
      <c r="H3375" s="75">
        <f t="shared" si="1259"/>
        <v>1</v>
      </c>
      <c r="I3375" s="76">
        <f t="shared" si="1260"/>
        <v>1</v>
      </c>
      <c r="J3375" s="76">
        <f t="shared" si="1261"/>
        <v>1</v>
      </c>
      <c r="K3375" s="67">
        <f t="shared" si="1262"/>
        <v>0</v>
      </c>
      <c r="L3375" s="67">
        <f t="shared" si="1263"/>
        <v>0</v>
      </c>
      <c r="M3375" s="77">
        <f t="shared" si="1264"/>
        <v>0</v>
      </c>
      <c r="N3375" s="76">
        <f t="shared" si="1265"/>
        <v>1</v>
      </c>
      <c r="O3375" s="77">
        <f t="shared" si="1266"/>
        <v>0.9161652078774617</v>
      </c>
      <c r="P3375" s="76">
        <f t="shared" si="1267"/>
        <v>0</v>
      </c>
      <c r="Q3375" s="76">
        <f t="shared" si="1268"/>
        <v>0</v>
      </c>
      <c r="R3375" s="76">
        <f t="shared" si="1269"/>
        <v>0</v>
      </c>
      <c r="S3375" s="76">
        <f t="shared" si="1270"/>
        <v>0.99583174769289307</v>
      </c>
      <c r="T3375" s="76">
        <f t="shared" si="1271"/>
        <v>0.99583174769289307</v>
      </c>
      <c r="U3375" s="76">
        <f t="shared" si="1272"/>
        <v>1</v>
      </c>
    </row>
    <row r="3376" spans="1:21" x14ac:dyDescent="0.25">
      <c r="A3376" s="71">
        <v>4</v>
      </c>
      <c r="B3376" s="72">
        <f t="shared" si="1273"/>
        <v>45748</v>
      </c>
      <c r="C3376" s="73">
        <f t="shared" si="1254"/>
        <v>45777</v>
      </c>
      <c r="D3376" s="67">
        <f t="shared" si="1255"/>
        <v>30</v>
      </c>
      <c r="E3376" s="67">
        <f t="shared" si="1256"/>
        <v>4</v>
      </c>
      <c r="F3376" s="74">
        <f t="shared" si="1257"/>
        <v>45763</v>
      </c>
      <c r="G3376" s="67">
        <f t="shared" si="1258"/>
        <v>24303</v>
      </c>
      <c r="H3376" s="75">
        <f t="shared" si="1259"/>
        <v>1</v>
      </c>
      <c r="I3376" s="76">
        <f t="shared" si="1260"/>
        <v>1</v>
      </c>
      <c r="J3376" s="76">
        <f t="shared" si="1261"/>
        <v>1</v>
      </c>
      <c r="K3376" s="67">
        <f t="shared" si="1262"/>
        <v>0</v>
      </c>
      <c r="L3376" s="67">
        <f t="shared" si="1263"/>
        <v>0</v>
      </c>
      <c r="M3376" s="77">
        <f t="shared" si="1264"/>
        <v>0</v>
      </c>
      <c r="N3376" s="76">
        <f t="shared" si="1265"/>
        <v>1</v>
      </c>
      <c r="O3376" s="77">
        <f t="shared" si="1266"/>
        <v>0.91583150984682715</v>
      </c>
      <c r="P3376" s="76">
        <f t="shared" si="1267"/>
        <v>0</v>
      </c>
      <c r="Q3376" s="76">
        <f t="shared" si="1268"/>
        <v>0</v>
      </c>
      <c r="R3376" s="76">
        <f t="shared" si="1269"/>
        <v>0</v>
      </c>
      <c r="S3376" s="76">
        <f t="shared" si="1270"/>
        <v>0.99546903244220342</v>
      </c>
      <c r="T3376" s="76">
        <f t="shared" si="1271"/>
        <v>0.99546903244220342</v>
      </c>
      <c r="U3376" s="76">
        <f t="shared" si="1272"/>
        <v>1</v>
      </c>
    </row>
    <row r="3377" spans="1:21" x14ac:dyDescent="0.25">
      <c r="A3377" s="71">
        <v>5</v>
      </c>
      <c r="B3377" s="72">
        <f t="shared" si="1273"/>
        <v>45778</v>
      </c>
      <c r="C3377" s="73">
        <f t="shared" si="1254"/>
        <v>45808</v>
      </c>
      <c r="D3377" s="67">
        <f t="shared" si="1255"/>
        <v>31</v>
      </c>
      <c r="E3377" s="67">
        <f t="shared" si="1256"/>
        <v>5</v>
      </c>
      <c r="F3377" s="74">
        <f t="shared" si="1257"/>
        <v>45793.5</v>
      </c>
      <c r="G3377" s="67">
        <f t="shared" si="1258"/>
        <v>24304</v>
      </c>
      <c r="H3377" s="75">
        <f t="shared" si="1259"/>
        <v>1</v>
      </c>
      <c r="I3377" s="76">
        <f t="shared" si="1260"/>
        <v>1</v>
      </c>
      <c r="J3377" s="76">
        <f t="shared" si="1261"/>
        <v>1</v>
      </c>
      <c r="K3377" s="67">
        <f t="shared" si="1262"/>
        <v>0</v>
      </c>
      <c r="L3377" s="67">
        <f t="shared" si="1263"/>
        <v>0</v>
      </c>
      <c r="M3377" s="77">
        <f t="shared" si="1264"/>
        <v>0</v>
      </c>
      <c r="N3377" s="76">
        <f t="shared" si="1265"/>
        <v>1</v>
      </c>
      <c r="O3377" s="77">
        <f t="shared" si="1266"/>
        <v>0.91549781181619261</v>
      </c>
      <c r="P3377" s="76">
        <f t="shared" si="1267"/>
        <v>0</v>
      </c>
      <c r="Q3377" s="76">
        <f t="shared" si="1268"/>
        <v>0</v>
      </c>
      <c r="R3377" s="76">
        <f t="shared" si="1269"/>
        <v>0</v>
      </c>
      <c r="S3377" s="76">
        <f t="shared" si="1270"/>
        <v>0.99510631719151366</v>
      </c>
      <c r="T3377" s="76">
        <f t="shared" si="1271"/>
        <v>0.99510631719151366</v>
      </c>
      <c r="U3377" s="76">
        <f t="shared" si="1272"/>
        <v>1</v>
      </c>
    </row>
    <row r="3378" spans="1:21" x14ac:dyDescent="0.25">
      <c r="A3378" s="71">
        <v>6</v>
      </c>
      <c r="B3378" s="72">
        <f t="shared" si="1273"/>
        <v>45809</v>
      </c>
      <c r="C3378" s="73">
        <f t="shared" si="1254"/>
        <v>45838</v>
      </c>
      <c r="D3378" s="67">
        <f t="shared" si="1255"/>
        <v>30</v>
      </c>
      <c r="E3378" s="67">
        <f t="shared" si="1256"/>
        <v>6</v>
      </c>
      <c r="F3378" s="74">
        <f t="shared" si="1257"/>
        <v>45824</v>
      </c>
      <c r="G3378" s="67">
        <f t="shared" si="1258"/>
        <v>24305</v>
      </c>
      <c r="H3378" s="75">
        <f t="shared" si="1259"/>
        <v>1</v>
      </c>
      <c r="I3378" s="76">
        <f t="shared" si="1260"/>
        <v>1</v>
      </c>
      <c r="J3378" s="76">
        <f t="shared" si="1261"/>
        <v>1</v>
      </c>
      <c r="K3378" s="67">
        <f t="shared" si="1262"/>
        <v>0</v>
      </c>
      <c r="L3378" s="67">
        <f t="shared" si="1263"/>
        <v>0</v>
      </c>
      <c r="M3378" s="77">
        <f t="shared" si="1264"/>
        <v>0</v>
      </c>
      <c r="N3378" s="76">
        <f t="shared" si="1265"/>
        <v>1</v>
      </c>
      <c r="O3378" s="77">
        <f t="shared" si="1266"/>
        <v>0.91516411378555795</v>
      </c>
      <c r="P3378" s="76">
        <f t="shared" si="1267"/>
        <v>0</v>
      </c>
      <c r="Q3378" s="76">
        <f t="shared" si="1268"/>
        <v>0</v>
      </c>
      <c r="R3378" s="76">
        <f t="shared" si="1269"/>
        <v>0</v>
      </c>
      <c r="S3378" s="76">
        <f t="shared" si="1270"/>
        <v>0.99474360194082379</v>
      </c>
      <c r="T3378" s="76">
        <f t="shared" si="1271"/>
        <v>0.99474360194082379</v>
      </c>
      <c r="U3378" s="76">
        <f t="shared" si="1272"/>
        <v>1</v>
      </c>
    </row>
    <row r="3379" spans="1:21" x14ac:dyDescent="0.25">
      <c r="A3379" s="71">
        <v>7</v>
      </c>
      <c r="B3379" s="72">
        <f t="shared" si="1273"/>
        <v>45839</v>
      </c>
      <c r="C3379" s="73">
        <f t="shared" si="1254"/>
        <v>45869</v>
      </c>
      <c r="D3379" s="67">
        <f t="shared" si="1255"/>
        <v>31</v>
      </c>
      <c r="E3379" s="67">
        <f t="shared" si="1256"/>
        <v>7</v>
      </c>
      <c r="F3379" s="74">
        <f t="shared" si="1257"/>
        <v>45854.5</v>
      </c>
      <c r="G3379" s="67">
        <f t="shared" si="1258"/>
        <v>24306</v>
      </c>
      <c r="H3379" s="75">
        <f t="shared" si="1259"/>
        <v>1</v>
      </c>
      <c r="I3379" s="76">
        <f t="shared" si="1260"/>
        <v>1</v>
      </c>
      <c r="J3379" s="76">
        <f t="shared" si="1261"/>
        <v>1</v>
      </c>
      <c r="K3379" s="67">
        <f t="shared" si="1262"/>
        <v>0</v>
      </c>
      <c r="L3379" s="67">
        <f t="shared" si="1263"/>
        <v>0</v>
      </c>
      <c r="M3379" s="77">
        <f t="shared" si="1264"/>
        <v>0</v>
      </c>
      <c r="N3379" s="76">
        <f t="shared" si="1265"/>
        <v>1</v>
      </c>
      <c r="O3379" s="77">
        <f t="shared" si="1266"/>
        <v>0.91483041575492341</v>
      </c>
      <c r="P3379" s="76">
        <f t="shared" si="1267"/>
        <v>8.333333333333337E-2</v>
      </c>
      <c r="Q3379" s="76">
        <f t="shared" si="1268"/>
        <v>0</v>
      </c>
      <c r="R3379" s="76">
        <f t="shared" si="1269"/>
        <v>0</v>
      </c>
      <c r="S3379" s="76">
        <f t="shared" si="1270"/>
        <v>0.99438088669013414</v>
      </c>
      <c r="T3379" s="76">
        <f t="shared" si="1271"/>
        <v>0.99438088669013414</v>
      </c>
      <c r="U3379" s="76">
        <f t="shared" si="1272"/>
        <v>1</v>
      </c>
    </row>
    <row r="3380" spans="1:21" x14ac:dyDescent="0.25">
      <c r="A3380" s="71">
        <v>8</v>
      </c>
      <c r="B3380" s="72">
        <f t="shared" si="1273"/>
        <v>45870</v>
      </c>
      <c r="C3380" s="73">
        <f t="shared" si="1254"/>
        <v>45900</v>
      </c>
      <c r="D3380" s="67">
        <f t="shared" si="1255"/>
        <v>31</v>
      </c>
      <c r="E3380" s="67">
        <f t="shared" si="1256"/>
        <v>8</v>
      </c>
      <c r="F3380" s="74">
        <f t="shared" si="1257"/>
        <v>45885.5</v>
      </c>
      <c r="G3380" s="67">
        <f t="shared" si="1258"/>
        <v>24307</v>
      </c>
      <c r="H3380" s="75">
        <f t="shared" si="1259"/>
        <v>1</v>
      </c>
      <c r="I3380" s="76">
        <f t="shared" si="1260"/>
        <v>1</v>
      </c>
      <c r="J3380" s="76">
        <f t="shared" si="1261"/>
        <v>1</v>
      </c>
      <c r="K3380" s="67">
        <f t="shared" si="1262"/>
        <v>0</v>
      </c>
      <c r="L3380" s="67">
        <f t="shared" si="1263"/>
        <v>0</v>
      </c>
      <c r="M3380" s="77">
        <f t="shared" si="1264"/>
        <v>0</v>
      </c>
      <c r="N3380" s="76">
        <f t="shared" si="1265"/>
        <v>1</v>
      </c>
      <c r="O3380" s="77">
        <f t="shared" si="1266"/>
        <v>0.91449124726477027</v>
      </c>
      <c r="P3380" s="76">
        <f t="shared" si="1267"/>
        <v>0.25</v>
      </c>
      <c r="Q3380" s="76">
        <f t="shared" si="1268"/>
        <v>0</v>
      </c>
      <c r="R3380" s="76">
        <f t="shared" si="1269"/>
        <v>0</v>
      </c>
      <c r="S3380" s="76">
        <f t="shared" si="1270"/>
        <v>0.99401222528779376</v>
      </c>
      <c r="T3380" s="76">
        <f t="shared" si="1271"/>
        <v>0.99401222528779376</v>
      </c>
      <c r="U3380" s="76">
        <f t="shared" si="1272"/>
        <v>1</v>
      </c>
    </row>
    <row r="3381" spans="1:21" x14ac:dyDescent="0.25">
      <c r="A3381" s="71">
        <v>9</v>
      </c>
      <c r="B3381" s="72">
        <f t="shared" si="1273"/>
        <v>45901</v>
      </c>
      <c r="C3381" s="73">
        <f t="shared" si="1254"/>
        <v>45930</v>
      </c>
      <c r="D3381" s="67">
        <f t="shared" si="1255"/>
        <v>30</v>
      </c>
      <c r="E3381" s="67">
        <f t="shared" si="1256"/>
        <v>9</v>
      </c>
      <c r="F3381" s="74">
        <f t="shared" si="1257"/>
        <v>45916</v>
      </c>
      <c r="G3381" s="67">
        <f t="shared" si="1258"/>
        <v>24308</v>
      </c>
      <c r="H3381" s="75">
        <f t="shared" si="1259"/>
        <v>1</v>
      </c>
      <c r="I3381" s="76">
        <f t="shared" si="1260"/>
        <v>1</v>
      </c>
      <c r="J3381" s="76">
        <f t="shared" si="1261"/>
        <v>1</v>
      </c>
      <c r="K3381" s="67">
        <f t="shared" si="1262"/>
        <v>0</v>
      </c>
      <c r="L3381" s="67">
        <f t="shared" si="1263"/>
        <v>0</v>
      </c>
      <c r="M3381" s="77">
        <f t="shared" si="1264"/>
        <v>0</v>
      </c>
      <c r="N3381" s="76">
        <f t="shared" si="1265"/>
        <v>1</v>
      </c>
      <c r="O3381" s="77">
        <f t="shared" si="1266"/>
        <v>0.91415754923413572</v>
      </c>
      <c r="P3381" s="76">
        <f t="shared" si="1267"/>
        <v>0.41666666666666663</v>
      </c>
      <c r="Q3381" s="76">
        <f t="shared" si="1268"/>
        <v>0</v>
      </c>
      <c r="R3381" s="76">
        <f t="shared" si="1269"/>
        <v>0</v>
      </c>
      <c r="S3381" s="76">
        <f t="shared" si="1270"/>
        <v>0.993649510037104</v>
      </c>
      <c r="T3381" s="76">
        <f t="shared" si="1271"/>
        <v>0.993649510037104</v>
      </c>
      <c r="U3381" s="76">
        <f t="shared" si="1272"/>
        <v>1</v>
      </c>
    </row>
    <row r="3382" spans="1:21" x14ac:dyDescent="0.25">
      <c r="A3382" s="71">
        <v>10</v>
      </c>
      <c r="B3382" s="72">
        <f t="shared" si="1273"/>
        <v>45931</v>
      </c>
      <c r="C3382" s="73">
        <f t="shared" si="1254"/>
        <v>45961</v>
      </c>
      <c r="D3382" s="67">
        <f t="shared" si="1255"/>
        <v>31</v>
      </c>
      <c r="E3382" s="67">
        <f t="shared" si="1256"/>
        <v>10</v>
      </c>
      <c r="F3382" s="74">
        <f t="shared" si="1257"/>
        <v>45946.5</v>
      </c>
      <c r="G3382" s="67">
        <f t="shared" si="1258"/>
        <v>24309</v>
      </c>
      <c r="H3382" s="75">
        <f t="shared" si="1259"/>
        <v>1</v>
      </c>
      <c r="I3382" s="76">
        <f t="shared" si="1260"/>
        <v>1</v>
      </c>
      <c r="J3382" s="76">
        <f t="shared" si="1261"/>
        <v>1</v>
      </c>
      <c r="K3382" s="67">
        <f t="shared" si="1262"/>
        <v>0</v>
      </c>
      <c r="L3382" s="67">
        <f t="shared" si="1263"/>
        <v>0</v>
      </c>
      <c r="M3382" s="77">
        <f t="shared" si="1264"/>
        <v>0</v>
      </c>
      <c r="N3382" s="76">
        <f t="shared" si="1265"/>
        <v>1</v>
      </c>
      <c r="O3382" s="77">
        <f t="shared" si="1266"/>
        <v>0.91382385120350107</v>
      </c>
      <c r="P3382" s="76">
        <f t="shared" si="1267"/>
        <v>0.58333333333333326</v>
      </c>
      <c r="Q3382" s="76">
        <f t="shared" si="1268"/>
        <v>0</v>
      </c>
      <c r="R3382" s="76">
        <f t="shared" si="1269"/>
        <v>0</v>
      </c>
      <c r="S3382" s="76">
        <f t="shared" si="1270"/>
        <v>0.99328679478641413</v>
      </c>
      <c r="T3382" s="76">
        <f t="shared" si="1271"/>
        <v>0.99328679478641413</v>
      </c>
      <c r="U3382" s="76">
        <f t="shared" si="1272"/>
        <v>1</v>
      </c>
    </row>
    <row r="3383" spans="1:21" x14ac:dyDescent="0.25">
      <c r="A3383" s="71">
        <v>11</v>
      </c>
      <c r="B3383" s="72">
        <f t="shared" si="1273"/>
        <v>45962</v>
      </c>
      <c r="C3383" s="73">
        <f t="shared" si="1254"/>
        <v>45991</v>
      </c>
      <c r="D3383" s="67">
        <f t="shared" si="1255"/>
        <v>30</v>
      </c>
      <c r="E3383" s="67">
        <f t="shared" si="1256"/>
        <v>11</v>
      </c>
      <c r="F3383" s="74">
        <f t="shared" si="1257"/>
        <v>45977</v>
      </c>
      <c r="G3383" s="67">
        <f t="shared" si="1258"/>
        <v>24310</v>
      </c>
      <c r="H3383" s="75">
        <f t="shared" si="1259"/>
        <v>1</v>
      </c>
      <c r="I3383" s="76">
        <f t="shared" si="1260"/>
        <v>1</v>
      </c>
      <c r="J3383" s="76">
        <f t="shared" si="1261"/>
        <v>1</v>
      </c>
      <c r="K3383" s="67">
        <f t="shared" si="1262"/>
        <v>0</v>
      </c>
      <c r="L3383" s="67">
        <f t="shared" si="1263"/>
        <v>0</v>
      </c>
      <c r="M3383" s="77">
        <f t="shared" si="1264"/>
        <v>0</v>
      </c>
      <c r="N3383" s="76">
        <f t="shared" si="1265"/>
        <v>1</v>
      </c>
      <c r="O3383" s="77">
        <f t="shared" si="1266"/>
        <v>0.91349015317286653</v>
      </c>
      <c r="P3383" s="76">
        <f t="shared" si="1267"/>
        <v>0.75</v>
      </c>
      <c r="Q3383" s="76">
        <f t="shared" si="1268"/>
        <v>0</v>
      </c>
      <c r="R3383" s="76">
        <f t="shared" si="1269"/>
        <v>0</v>
      </c>
      <c r="S3383" s="76">
        <f t="shared" si="1270"/>
        <v>0.99292407953572448</v>
      </c>
      <c r="T3383" s="76">
        <f t="shared" si="1271"/>
        <v>0.99292407953572448</v>
      </c>
      <c r="U3383" s="76">
        <f t="shared" si="1272"/>
        <v>1</v>
      </c>
    </row>
    <row r="3384" spans="1:21" x14ac:dyDescent="0.25">
      <c r="A3384" s="71">
        <v>12</v>
      </c>
      <c r="B3384" s="72">
        <f t="shared" si="1273"/>
        <v>45992</v>
      </c>
      <c r="C3384" s="73">
        <f t="shared" si="1254"/>
        <v>46022</v>
      </c>
      <c r="D3384" s="67">
        <f t="shared" si="1255"/>
        <v>31</v>
      </c>
      <c r="E3384" s="67">
        <f t="shared" si="1256"/>
        <v>12</v>
      </c>
      <c r="F3384" s="74">
        <f t="shared" si="1257"/>
        <v>46007.5</v>
      </c>
      <c r="G3384" s="67">
        <f t="shared" si="1258"/>
        <v>24311</v>
      </c>
      <c r="H3384" s="75">
        <f t="shared" si="1259"/>
        <v>1</v>
      </c>
      <c r="I3384" s="76">
        <f t="shared" si="1260"/>
        <v>1</v>
      </c>
      <c r="J3384" s="76">
        <f t="shared" si="1261"/>
        <v>1</v>
      </c>
      <c r="K3384" s="67">
        <f t="shared" si="1262"/>
        <v>0</v>
      </c>
      <c r="L3384" s="67">
        <f t="shared" si="1263"/>
        <v>0</v>
      </c>
      <c r="M3384" s="77">
        <f t="shared" si="1264"/>
        <v>0</v>
      </c>
      <c r="N3384" s="76">
        <f t="shared" si="1265"/>
        <v>1</v>
      </c>
      <c r="O3384" s="77">
        <f t="shared" si="1266"/>
        <v>0.91315645514223198</v>
      </c>
      <c r="P3384" s="76">
        <f t="shared" si="1267"/>
        <v>0.91666666666666663</v>
      </c>
      <c r="Q3384" s="76">
        <f t="shared" si="1268"/>
        <v>0</v>
      </c>
      <c r="R3384" s="76">
        <f t="shared" si="1269"/>
        <v>0</v>
      </c>
      <c r="S3384" s="76">
        <f t="shared" si="1270"/>
        <v>0.99256136428503472</v>
      </c>
      <c r="T3384" s="76">
        <f t="shared" si="1271"/>
        <v>0.99256136428503472</v>
      </c>
      <c r="U3384" s="76">
        <f t="shared" si="1272"/>
        <v>1</v>
      </c>
    </row>
    <row r="3385" spans="1:21" x14ac:dyDescent="0.25">
      <c r="A3385" s="71">
        <v>13</v>
      </c>
      <c r="B3385" s="72">
        <f t="shared" si="1273"/>
        <v>46023</v>
      </c>
      <c r="C3385" s="73">
        <f t="shared" si="1254"/>
        <v>46053</v>
      </c>
      <c r="D3385" s="67">
        <f t="shared" si="1255"/>
        <v>31</v>
      </c>
      <c r="E3385" s="67">
        <f t="shared" si="1256"/>
        <v>1</v>
      </c>
      <c r="F3385" s="74">
        <f t="shared" si="1257"/>
        <v>46038.5</v>
      </c>
      <c r="G3385" s="67">
        <f t="shared" si="1258"/>
        <v>24312</v>
      </c>
      <c r="H3385" s="75">
        <f t="shared" si="1259"/>
        <v>1</v>
      </c>
      <c r="I3385" s="76">
        <f t="shared" si="1260"/>
        <v>1</v>
      </c>
      <c r="J3385" s="76">
        <f t="shared" si="1261"/>
        <v>1</v>
      </c>
      <c r="K3385" s="67">
        <f t="shared" si="1262"/>
        <v>0</v>
      </c>
      <c r="L3385" s="67">
        <f t="shared" si="1263"/>
        <v>0</v>
      </c>
      <c r="M3385" s="77">
        <f t="shared" si="1264"/>
        <v>0</v>
      </c>
      <c r="N3385" s="76">
        <f t="shared" si="1265"/>
        <v>1</v>
      </c>
      <c r="O3385" s="77">
        <f t="shared" si="1266"/>
        <v>0.91281728665207884</v>
      </c>
      <c r="P3385" s="76">
        <f t="shared" si="1267"/>
        <v>1</v>
      </c>
      <c r="Q3385" s="76">
        <f t="shared" si="1268"/>
        <v>0</v>
      </c>
      <c r="R3385" s="76">
        <f t="shared" si="1269"/>
        <v>0</v>
      </c>
      <c r="S3385" s="76">
        <f t="shared" si="1270"/>
        <v>0.99219270288269434</v>
      </c>
      <c r="T3385" s="76">
        <f t="shared" si="1271"/>
        <v>0.99219270288269434</v>
      </c>
      <c r="U3385" s="76">
        <f t="shared" si="1272"/>
        <v>1</v>
      </c>
    </row>
    <row r="3386" spans="1:21" x14ac:dyDescent="0.25">
      <c r="A3386" s="71">
        <v>14</v>
      </c>
      <c r="B3386" s="72">
        <f t="shared" si="1273"/>
        <v>46054</v>
      </c>
      <c r="C3386" s="73">
        <f t="shared" si="1254"/>
        <v>46081</v>
      </c>
      <c r="D3386" s="67">
        <f t="shared" si="1255"/>
        <v>28</v>
      </c>
      <c r="E3386" s="67">
        <f t="shared" si="1256"/>
        <v>2</v>
      </c>
      <c r="F3386" s="74">
        <f t="shared" si="1257"/>
        <v>46068</v>
      </c>
      <c r="G3386" s="67">
        <f t="shared" si="1258"/>
        <v>24313</v>
      </c>
      <c r="H3386" s="75">
        <f t="shared" si="1259"/>
        <v>1</v>
      </c>
      <c r="I3386" s="76">
        <f t="shared" si="1260"/>
        <v>1</v>
      </c>
      <c r="J3386" s="76">
        <f t="shared" si="1261"/>
        <v>1.03</v>
      </c>
      <c r="K3386" s="67">
        <f t="shared" si="1262"/>
        <v>1</v>
      </c>
      <c r="L3386" s="67">
        <f t="shared" si="1263"/>
        <v>28</v>
      </c>
      <c r="M3386" s="77">
        <f t="shared" si="1264"/>
        <v>1</v>
      </c>
      <c r="N3386" s="76">
        <f t="shared" si="1265"/>
        <v>1.03</v>
      </c>
      <c r="O3386" s="77">
        <f t="shared" si="1266"/>
        <v>0.91249452954048138</v>
      </c>
      <c r="P3386" s="76">
        <f t="shared" si="1267"/>
        <v>1</v>
      </c>
      <c r="Q3386" s="76">
        <f t="shared" si="1268"/>
        <v>0</v>
      </c>
      <c r="R3386" s="76">
        <f t="shared" si="1269"/>
        <v>0</v>
      </c>
      <c r="S3386" s="76">
        <f t="shared" si="1270"/>
        <v>1.0215971363333649</v>
      </c>
      <c r="T3386" s="76">
        <f t="shared" si="1271"/>
        <v>1.0215971363333649</v>
      </c>
      <c r="U3386" s="76">
        <f t="shared" si="1272"/>
        <v>1.03</v>
      </c>
    </row>
    <row r="3387" spans="1:21" x14ac:dyDescent="0.25">
      <c r="A3387" s="71">
        <v>15</v>
      </c>
      <c r="B3387" s="72">
        <f t="shared" si="1273"/>
        <v>46082</v>
      </c>
      <c r="C3387" s="73">
        <f t="shared" si="1254"/>
        <v>46112</v>
      </c>
      <c r="D3387" s="67">
        <f t="shared" si="1255"/>
        <v>31</v>
      </c>
      <c r="E3387" s="67">
        <f t="shared" si="1256"/>
        <v>3</v>
      </c>
      <c r="F3387" s="74">
        <f t="shared" si="1257"/>
        <v>46097.5</v>
      </c>
      <c r="G3387" s="67">
        <f t="shared" si="1258"/>
        <v>24314</v>
      </c>
      <c r="H3387" s="75">
        <f t="shared" si="1259"/>
        <v>1</v>
      </c>
      <c r="I3387" s="76">
        <f t="shared" si="1260"/>
        <v>1.03</v>
      </c>
      <c r="J3387" s="76">
        <f t="shared" si="1261"/>
        <v>1.03</v>
      </c>
      <c r="K3387" s="67">
        <f t="shared" si="1262"/>
        <v>0</v>
      </c>
      <c r="L3387" s="67">
        <f t="shared" si="1263"/>
        <v>0</v>
      </c>
      <c r="M3387" s="77">
        <f t="shared" si="1264"/>
        <v>0</v>
      </c>
      <c r="N3387" s="76">
        <f t="shared" si="1265"/>
        <v>1.03</v>
      </c>
      <c r="O3387" s="77">
        <f t="shared" si="1266"/>
        <v>0.91217177242888403</v>
      </c>
      <c r="P3387" s="76">
        <f t="shared" si="1267"/>
        <v>1</v>
      </c>
      <c r="Q3387" s="76">
        <f t="shared" si="1268"/>
        <v>0</v>
      </c>
      <c r="R3387" s="76">
        <f t="shared" si="1269"/>
        <v>0</v>
      </c>
      <c r="S3387" s="76">
        <f t="shared" si="1270"/>
        <v>1.0212357886975549</v>
      </c>
      <c r="T3387" s="76">
        <f t="shared" si="1271"/>
        <v>1.0212357886975549</v>
      </c>
      <c r="U3387" s="76">
        <f t="shared" si="1272"/>
        <v>1.03</v>
      </c>
    </row>
    <row r="3388" spans="1:21" x14ac:dyDescent="0.25">
      <c r="A3388" s="71">
        <v>16</v>
      </c>
      <c r="B3388" s="72">
        <f t="shared" si="1273"/>
        <v>46113</v>
      </c>
      <c r="C3388" s="73">
        <f t="shared" si="1254"/>
        <v>46142</v>
      </c>
      <c r="D3388" s="67">
        <f t="shared" si="1255"/>
        <v>30</v>
      </c>
      <c r="E3388" s="67">
        <f t="shared" si="1256"/>
        <v>4</v>
      </c>
      <c r="F3388" s="74">
        <f t="shared" si="1257"/>
        <v>46128</v>
      </c>
      <c r="G3388" s="67">
        <f t="shared" si="1258"/>
        <v>24315</v>
      </c>
      <c r="H3388" s="75">
        <f t="shared" si="1259"/>
        <v>1</v>
      </c>
      <c r="I3388" s="76">
        <f t="shared" si="1260"/>
        <v>1.03</v>
      </c>
      <c r="J3388" s="76">
        <f t="shared" si="1261"/>
        <v>1.03</v>
      </c>
      <c r="K3388" s="67">
        <f t="shared" si="1262"/>
        <v>0</v>
      </c>
      <c r="L3388" s="67">
        <f t="shared" si="1263"/>
        <v>0</v>
      </c>
      <c r="M3388" s="77">
        <f t="shared" si="1264"/>
        <v>0</v>
      </c>
      <c r="N3388" s="76">
        <f t="shared" si="1265"/>
        <v>1.03</v>
      </c>
      <c r="O3388" s="77">
        <f t="shared" si="1266"/>
        <v>0.91183807439824949</v>
      </c>
      <c r="P3388" s="76">
        <f t="shared" si="1267"/>
        <v>1</v>
      </c>
      <c r="Q3388" s="76">
        <f t="shared" si="1268"/>
        <v>0</v>
      </c>
      <c r="R3388" s="76">
        <f t="shared" si="1269"/>
        <v>0</v>
      </c>
      <c r="S3388" s="76">
        <f t="shared" si="1270"/>
        <v>1.0208621919893446</v>
      </c>
      <c r="T3388" s="76">
        <f t="shared" si="1271"/>
        <v>1.0208621919893446</v>
      </c>
      <c r="U3388" s="76">
        <f t="shared" si="1272"/>
        <v>1.03</v>
      </c>
    </row>
    <row r="3389" spans="1:21" x14ac:dyDescent="0.25">
      <c r="A3389" s="71">
        <v>17</v>
      </c>
      <c r="B3389" s="72">
        <f t="shared" si="1273"/>
        <v>46143</v>
      </c>
      <c r="C3389" s="73">
        <f t="shared" si="1254"/>
        <v>46173</v>
      </c>
      <c r="D3389" s="67">
        <f t="shared" si="1255"/>
        <v>31</v>
      </c>
      <c r="E3389" s="67">
        <f t="shared" si="1256"/>
        <v>5</v>
      </c>
      <c r="F3389" s="74">
        <f t="shared" si="1257"/>
        <v>46158.5</v>
      </c>
      <c r="G3389" s="67">
        <f t="shared" si="1258"/>
        <v>24316</v>
      </c>
      <c r="H3389" s="75">
        <f t="shared" si="1259"/>
        <v>1</v>
      </c>
      <c r="I3389" s="76">
        <f t="shared" si="1260"/>
        <v>1.03</v>
      </c>
      <c r="J3389" s="76">
        <f t="shared" si="1261"/>
        <v>1.03</v>
      </c>
      <c r="K3389" s="67">
        <f t="shared" si="1262"/>
        <v>0</v>
      </c>
      <c r="L3389" s="67">
        <f t="shared" si="1263"/>
        <v>0</v>
      </c>
      <c r="M3389" s="77">
        <f t="shared" si="1264"/>
        <v>0</v>
      </c>
      <c r="N3389" s="76">
        <f t="shared" si="1265"/>
        <v>1.03</v>
      </c>
      <c r="O3389" s="77">
        <f t="shared" si="1266"/>
        <v>0.91150437636761494</v>
      </c>
      <c r="P3389" s="76">
        <f t="shared" si="1267"/>
        <v>1</v>
      </c>
      <c r="Q3389" s="76">
        <f t="shared" si="1268"/>
        <v>0</v>
      </c>
      <c r="R3389" s="76">
        <f t="shared" si="1269"/>
        <v>0</v>
      </c>
      <c r="S3389" s="76">
        <f t="shared" si="1270"/>
        <v>1.0204885952811342</v>
      </c>
      <c r="T3389" s="76">
        <f t="shared" si="1271"/>
        <v>1.0204885952811342</v>
      </c>
      <c r="U3389" s="76">
        <f t="shared" si="1272"/>
        <v>1.03</v>
      </c>
    </row>
    <row r="3390" spans="1:21" x14ac:dyDescent="0.25">
      <c r="A3390" s="71">
        <v>18</v>
      </c>
      <c r="B3390" s="72">
        <f t="shared" si="1273"/>
        <v>46174</v>
      </c>
      <c r="C3390" s="73">
        <f t="shared" si="1254"/>
        <v>46203</v>
      </c>
      <c r="D3390" s="67">
        <f t="shared" si="1255"/>
        <v>30</v>
      </c>
      <c r="E3390" s="67">
        <f t="shared" si="1256"/>
        <v>6</v>
      </c>
      <c r="F3390" s="74">
        <f t="shared" si="1257"/>
        <v>46189</v>
      </c>
      <c r="G3390" s="67">
        <f t="shared" si="1258"/>
        <v>24317</v>
      </c>
      <c r="H3390" s="75">
        <f t="shared" si="1259"/>
        <v>1</v>
      </c>
      <c r="I3390" s="76">
        <f t="shared" si="1260"/>
        <v>1.03</v>
      </c>
      <c r="J3390" s="76">
        <f t="shared" si="1261"/>
        <v>1.03</v>
      </c>
      <c r="K3390" s="67">
        <f t="shared" si="1262"/>
        <v>0</v>
      </c>
      <c r="L3390" s="67">
        <f t="shared" si="1263"/>
        <v>0</v>
      </c>
      <c r="M3390" s="77">
        <f t="shared" si="1264"/>
        <v>0</v>
      </c>
      <c r="N3390" s="76">
        <f t="shared" si="1265"/>
        <v>1.03</v>
      </c>
      <c r="O3390" s="77">
        <f t="shared" si="1266"/>
        <v>0.91117067833698029</v>
      </c>
      <c r="P3390" s="76">
        <f t="shared" si="1267"/>
        <v>1</v>
      </c>
      <c r="Q3390" s="76">
        <f t="shared" si="1268"/>
        <v>0</v>
      </c>
      <c r="R3390" s="76">
        <f t="shared" si="1269"/>
        <v>0</v>
      </c>
      <c r="S3390" s="76">
        <f t="shared" si="1270"/>
        <v>1.0201149985729236</v>
      </c>
      <c r="T3390" s="76">
        <f t="shared" si="1271"/>
        <v>1.0201149985729236</v>
      </c>
      <c r="U3390" s="76">
        <f t="shared" si="1272"/>
        <v>1.03</v>
      </c>
    </row>
    <row r="3391" spans="1:21" x14ac:dyDescent="0.25">
      <c r="A3391" s="71">
        <v>19</v>
      </c>
      <c r="B3391" s="72">
        <f t="shared" si="1273"/>
        <v>46204</v>
      </c>
      <c r="C3391" s="73">
        <f t="shared" si="1254"/>
        <v>46234</v>
      </c>
      <c r="D3391" s="67">
        <f t="shared" si="1255"/>
        <v>31</v>
      </c>
      <c r="E3391" s="67">
        <f t="shared" si="1256"/>
        <v>7</v>
      </c>
      <c r="F3391" s="74">
        <f t="shared" si="1257"/>
        <v>46219.5</v>
      </c>
      <c r="G3391" s="67">
        <f t="shared" si="1258"/>
        <v>24318</v>
      </c>
      <c r="H3391" s="75">
        <f t="shared" si="1259"/>
        <v>1</v>
      </c>
      <c r="I3391" s="76">
        <f t="shared" si="1260"/>
        <v>1.03</v>
      </c>
      <c r="J3391" s="76">
        <f t="shared" si="1261"/>
        <v>1.03</v>
      </c>
      <c r="K3391" s="67">
        <f t="shared" si="1262"/>
        <v>0</v>
      </c>
      <c r="L3391" s="67">
        <f t="shared" si="1263"/>
        <v>0</v>
      </c>
      <c r="M3391" s="77">
        <f t="shared" si="1264"/>
        <v>0</v>
      </c>
      <c r="N3391" s="76">
        <f t="shared" si="1265"/>
        <v>1.03</v>
      </c>
      <c r="O3391" s="77">
        <f t="shared" si="1266"/>
        <v>0.91083698030634574</v>
      </c>
      <c r="P3391" s="76">
        <f t="shared" si="1267"/>
        <v>0.91666666666666663</v>
      </c>
      <c r="Q3391" s="76">
        <f t="shared" si="1268"/>
        <v>8.333333333333337E-2</v>
      </c>
      <c r="R3391" s="76">
        <f t="shared" si="1269"/>
        <v>0</v>
      </c>
      <c r="S3391" s="76">
        <f t="shared" si="1270"/>
        <v>1.0197414018647131</v>
      </c>
      <c r="T3391" s="76">
        <f t="shared" si="1271"/>
        <v>1.0197414018647131</v>
      </c>
      <c r="U3391" s="76">
        <f t="shared" si="1272"/>
        <v>1.03</v>
      </c>
    </row>
    <row r="3392" spans="1:21" x14ac:dyDescent="0.25">
      <c r="A3392" s="71">
        <v>20</v>
      </c>
      <c r="B3392" s="72">
        <f t="shared" si="1273"/>
        <v>46235</v>
      </c>
      <c r="C3392" s="73">
        <f t="shared" si="1254"/>
        <v>46265</v>
      </c>
      <c r="D3392" s="67">
        <f t="shared" si="1255"/>
        <v>31</v>
      </c>
      <c r="E3392" s="67">
        <f t="shared" si="1256"/>
        <v>8</v>
      </c>
      <c r="F3392" s="74">
        <f t="shared" si="1257"/>
        <v>46250.5</v>
      </c>
      <c r="G3392" s="67">
        <f t="shared" si="1258"/>
        <v>24319</v>
      </c>
      <c r="H3392" s="75">
        <f t="shared" si="1259"/>
        <v>1</v>
      </c>
      <c r="I3392" s="76">
        <f t="shared" si="1260"/>
        <v>1.03</v>
      </c>
      <c r="J3392" s="76">
        <f t="shared" si="1261"/>
        <v>1.03</v>
      </c>
      <c r="K3392" s="67">
        <f t="shared" si="1262"/>
        <v>0</v>
      </c>
      <c r="L3392" s="67">
        <f t="shared" si="1263"/>
        <v>0</v>
      </c>
      <c r="M3392" s="77">
        <f t="shared" si="1264"/>
        <v>0</v>
      </c>
      <c r="N3392" s="76">
        <f t="shared" si="1265"/>
        <v>1.03</v>
      </c>
      <c r="O3392" s="77">
        <f t="shared" si="1266"/>
        <v>0.9104978118161926</v>
      </c>
      <c r="P3392" s="76">
        <f t="shared" si="1267"/>
        <v>0.75</v>
      </c>
      <c r="Q3392" s="76">
        <f t="shared" si="1268"/>
        <v>0.25</v>
      </c>
      <c r="R3392" s="76">
        <f t="shared" si="1269"/>
        <v>0</v>
      </c>
      <c r="S3392" s="76">
        <f t="shared" si="1270"/>
        <v>1.0193616806203025</v>
      </c>
      <c r="T3392" s="76">
        <f t="shared" si="1271"/>
        <v>1.0193616806203025</v>
      </c>
      <c r="U3392" s="76">
        <f t="shared" si="1272"/>
        <v>1.03</v>
      </c>
    </row>
    <row r="3393" spans="1:21" x14ac:dyDescent="0.25">
      <c r="A3393" s="71">
        <v>21</v>
      </c>
      <c r="B3393" s="72">
        <f t="shared" si="1273"/>
        <v>46266</v>
      </c>
      <c r="C3393" s="73">
        <f t="shared" si="1254"/>
        <v>46295</v>
      </c>
      <c r="D3393" s="67">
        <f t="shared" si="1255"/>
        <v>30</v>
      </c>
      <c r="E3393" s="67">
        <f t="shared" si="1256"/>
        <v>9</v>
      </c>
      <c r="F3393" s="74">
        <f t="shared" si="1257"/>
        <v>46281</v>
      </c>
      <c r="G3393" s="67">
        <f t="shared" si="1258"/>
        <v>24320</v>
      </c>
      <c r="H3393" s="75">
        <f t="shared" si="1259"/>
        <v>1</v>
      </c>
      <c r="I3393" s="76">
        <f t="shared" si="1260"/>
        <v>1.03</v>
      </c>
      <c r="J3393" s="76">
        <f t="shared" si="1261"/>
        <v>1.03</v>
      </c>
      <c r="K3393" s="67">
        <f t="shared" si="1262"/>
        <v>0</v>
      </c>
      <c r="L3393" s="67">
        <f t="shared" si="1263"/>
        <v>0</v>
      </c>
      <c r="M3393" s="77">
        <f t="shared" si="1264"/>
        <v>0</v>
      </c>
      <c r="N3393" s="76">
        <f t="shared" si="1265"/>
        <v>1.03</v>
      </c>
      <c r="O3393" s="77">
        <f t="shared" si="1266"/>
        <v>0.91016411378555806</v>
      </c>
      <c r="P3393" s="76">
        <f t="shared" si="1267"/>
        <v>0.58333333333333337</v>
      </c>
      <c r="Q3393" s="76">
        <f t="shared" si="1268"/>
        <v>0.41666666666666663</v>
      </c>
      <c r="R3393" s="76">
        <f t="shared" si="1269"/>
        <v>0</v>
      </c>
      <c r="S3393" s="76">
        <f t="shared" si="1270"/>
        <v>1.0189880839120922</v>
      </c>
      <c r="T3393" s="76">
        <f t="shared" si="1271"/>
        <v>1.0189880839120922</v>
      </c>
      <c r="U3393" s="76">
        <f t="shared" si="1272"/>
        <v>1.03</v>
      </c>
    </row>
    <row r="3394" spans="1:21" x14ac:dyDescent="0.25">
      <c r="A3394" s="71">
        <v>22</v>
      </c>
      <c r="B3394" s="72">
        <f t="shared" si="1273"/>
        <v>46296</v>
      </c>
      <c r="C3394" s="73">
        <f t="shared" si="1254"/>
        <v>46326</v>
      </c>
      <c r="D3394" s="67">
        <f t="shared" si="1255"/>
        <v>31</v>
      </c>
      <c r="E3394" s="67">
        <f t="shared" si="1256"/>
        <v>10</v>
      </c>
      <c r="F3394" s="74">
        <f t="shared" si="1257"/>
        <v>46311.5</v>
      </c>
      <c r="G3394" s="67">
        <f t="shared" si="1258"/>
        <v>24321</v>
      </c>
      <c r="H3394" s="75">
        <f t="shared" si="1259"/>
        <v>1</v>
      </c>
      <c r="I3394" s="76">
        <f t="shared" si="1260"/>
        <v>1.03</v>
      </c>
      <c r="J3394" s="76">
        <f t="shared" si="1261"/>
        <v>1.03</v>
      </c>
      <c r="K3394" s="67">
        <f t="shared" si="1262"/>
        <v>0</v>
      </c>
      <c r="L3394" s="67">
        <f t="shared" si="1263"/>
        <v>0</v>
      </c>
      <c r="M3394" s="77">
        <f t="shared" si="1264"/>
        <v>0</v>
      </c>
      <c r="N3394" s="76">
        <f t="shared" si="1265"/>
        <v>1.03</v>
      </c>
      <c r="O3394" s="77">
        <f t="shared" si="1266"/>
        <v>0.90983041575492341</v>
      </c>
      <c r="P3394" s="76">
        <f t="shared" si="1267"/>
        <v>0.41666666666666669</v>
      </c>
      <c r="Q3394" s="76">
        <f t="shared" si="1268"/>
        <v>0.58333333333333326</v>
      </c>
      <c r="R3394" s="76">
        <f t="shared" si="1269"/>
        <v>0</v>
      </c>
      <c r="S3394" s="76">
        <f t="shared" si="1270"/>
        <v>1.0186144872038816</v>
      </c>
      <c r="T3394" s="76">
        <f t="shared" si="1271"/>
        <v>1.0186144872038816</v>
      </c>
      <c r="U3394" s="76">
        <f t="shared" si="1272"/>
        <v>1.03</v>
      </c>
    </row>
    <row r="3395" spans="1:21" x14ac:dyDescent="0.25">
      <c r="A3395" s="71">
        <v>23</v>
      </c>
      <c r="B3395" s="72">
        <f t="shared" si="1273"/>
        <v>46327</v>
      </c>
      <c r="C3395" s="73">
        <f t="shared" si="1254"/>
        <v>46356</v>
      </c>
      <c r="D3395" s="67">
        <f t="shared" si="1255"/>
        <v>30</v>
      </c>
      <c r="E3395" s="67">
        <f t="shared" si="1256"/>
        <v>11</v>
      </c>
      <c r="F3395" s="74">
        <f t="shared" si="1257"/>
        <v>46342</v>
      </c>
      <c r="G3395" s="67">
        <f t="shared" si="1258"/>
        <v>24322</v>
      </c>
      <c r="H3395" s="75">
        <f t="shared" si="1259"/>
        <v>1</v>
      </c>
      <c r="I3395" s="76">
        <f t="shared" si="1260"/>
        <v>1.03</v>
      </c>
      <c r="J3395" s="76">
        <f t="shared" si="1261"/>
        <v>1.03</v>
      </c>
      <c r="K3395" s="67">
        <f t="shared" si="1262"/>
        <v>0</v>
      </c>
      <c r="L3395" s="67">
        <f t="shared" si="1263"/>
        <v>0</v>
      </c>
      <c r="M3395" s="77">
        <f t="shared" si="1264"/>
        <v>0</v>
      </c>
      <c r="N3395" s="76">
        <f t="shared" si="1265"/>
        <v>1.03</v>
      </c>
      <c r="O3395" s="77">
        <f t="shared" si="1266"/>
        <v>0.90949671772428886</v>
      </c>
      <c r="P3395" s="76">
        <f t="shared" si="1267"/>
        <v>0.25</v>
      </c>
      <c r="Q3395" s="76">
        <f t="shared" si="1268"/>
        <v>0.75</v>
      </c>
      <c r="R3395" s="76">
        <f t="shared" si="1269"/>
        <v>0</v>
      </c>
      <c r="S3395" s="76">
        <f t="shared" si="1270"/>
        <v>1.0182408904956712</v>
      </c>
      <c r="T3395" s="76">
        <f t="shared" si="1271"/>
        <v>1.0182408904956712</v>
      </c>
      <c r="U3395" s="76">
        <f t="shared" si="1272"/>
        <v>1.03</v>
      </c>
    </row>
    <row r="3396" spans="1:21" x14ac:dyDescent="0.25">
      <c r="A3396" s="71">
        <v>24</v>
      </c>
      <c r="B3396" s="72">
        <f t="shared" si="1273"/>
        <v>46357</v>
      </c>
      <c r="C3396" s="73">
        <f t="shared" si="1254"/>
        <v>46387</v>
      </c>
      <c r="D3396" s="67">
        <f t="shared" si="1255"/>
        <v>31</v>
      </c>
      <c r="E3396" s="67">
        <f t="shared" si="1256"/>
        <v>12</v>
      </c>
      <c r="F3396" s="74">
        <f t="shared" si="1257"/>
        <v>46372.5</v>
      </c>
      <c r="G3396" s="67">
        <f t="shared" si="1258"/>
        <v>24323</v>
      </c>
      <c r="H3396" s="75">
        <f t="shared" si="1259"/>
        <v>1</v>
      </c>
      <c r="I3396" s="76">
        <f t="shared" si="1260"/>
        <v>1.03</v>
      </c>
      <c r="J3396" s="76">
        <f t="shared" si="1261"/>
        <v>1.03</v>
      </c>
      <c r="K3396" s="67">
        <f t="shared" si="1262"/>
        <v>0</v>
      </c>
      <c r="L3396" s="67">
        <f t="shared" si="1263"/>
        <v>0</v>
      </c>
      <c r="M3396" s="77">
        <f t="shared" si="1264"/>
        <v>0</v>
      </c>
      <c r="N3396" s="76">
        <f t="shared" si="1265"/>
        <v>1.03</v>
      </c>
      <c r="O3396" s="77">
        <f t="shared" si="1266"/>
        <v>0.90916301969365432</v>
      </c>
      <c r="P3396" s="76">
        <f t="shared" si="1267"/>
        <v>8.3333333333333329E-2</v>
      </c>
      <c r="Q3396" s="76">
        <f t="shared" si="1268"/>
        <v>0.91666666666666663</v>
      </c>
      <c r="R3396" s="76">
        <f t="shared" si="1269"/>
        <v>0</v>
      </c>
      <c r="S3396" s="76">
        <f t="shared" si="1270"/>
        <v>1.0178672937874609</v>
      </c>
      <c r="T3396" s="76">
        <f t="shared" si="1271"/>
        <v>1.0178672937874609</v>
      </c>
      <c r="U3396" s="76">
        <f t="shared" si="1272"/>
        <v>1.03</v>
      </c>
    </row>
    <row r="3397" spans="1:21" x14ac:dyDescent="0.25">
      <c r="A3397" s="71">
        <v>25</v>
      </c>
      <c r="B3397" s="72">
        <f t="shared" si="1273"/>
        <v>46388</v>
      </c>
      <c r="C3397" s="73">
        <f t="shared" si="1254"/>
        <v>46418</v>
      </c>
      <c r="D3397" s="67">
        <f t="shared" si="1255"/>
        <v>31</v>
      </c>
      <c r="E3397" s="67">
        <f t="shared" si="1256"/>
        <v>1</v>
      </c>
      <c r="F3397" s="74">
        <f t="shared" si="1257"/>
        <v>46403.5</v>
      </c>
      <c r="G3397" s="67">
        <f t="shared" si="1258"/>
        <v>24324</v>
      </c>
      <c r="H3397" s="75">
        <f t="shared" si="1259"/>
        <v>1</v>
      </c>
      <c r="I3397" s="76">
        <f t="shared" si="1260"/>
        <v>1.03</v>
      </c>
      <c r="J3397" s="76">
        <f t="shared" si="1261"/>
        <v>1.03</v>
      </c>
      <c r="K3397" s="67">
        <f t="shared" si="1262"/>
        <v>0</v>
      </c>
      <c r="L3397" s="67">
        <f t="shared" si="1263"/>
        <v>0</v>
      </c>
      <c r="M3397" s="77">
        <f t="shared" si="1264"/>
        <v>0</v>
      </c>
      <c r="N3397" s="76">
        <f t="shared" si="1265"/>
        <v>1.03</v>
      </c>
      <c r="O3397" s="77">
        <f t="shared" si="1266"/>
        <v>0.90882385120350118</v>
      </c>
      <c r="P3397" s="76">
        <f t="shared" si="1267"/>
        <v>0</v>
      </c>
      <c r="Q3397" s="76">
        <f t="shared" si="1268"/>
        <v>1</v>
      </c>
      <c r="R3397" s="76">
        <f t="shared" si="1269"/>
        <v>0</v>
      </c>
      <c r="S3397" s="76">
        <f t="shared" si="1270"/>
        <v>1.0174875725430503</v>
      </c>
      <c r="T3397" s="76">
        <f t="shared" si="1271"/>
        <v>0.99219270288269434</v>
      </c>
      <c r="U3397" s="76">
        <f t="shared" si="1272"/>
        <v>1.03</v>
      </c>
    </row>
    <row r="3398" spans="1:21" x14ac:dyDescent="0.25">
      <c r="A3398" s="71">
        <v>26</v>
      </c>
      <c r="B3398" s="72">
        <f t="shared" si="1273"/>
        <v>46419</v>
      </c>
      <c r="C3398" s="73">
        <f t="shared" si="1254"/>
        <v>46446</v>
      </c>
      <c r="D3398" s="67">
        <f t="shared" si="1255"/>
        <v>28</v>
      </c>
      <c r="E3398" s="67">
        <f t="shared" si="1256"/>
        <v>2</v>
      </c>
      <c r="F3398" s="74">
        <f t="shared" si="1257"/>
        <v>46433</v>
      </c>
      <c r="G3398" s="67">
        <f t="shared" si="1258"/>
        <v>24325</v>
      </c>
      <c r="H3398" s="75">
        <f t="shared" si="1259"/>
        <v>1</v>
      </c>
      <c r="I3398" s="76">
        <f t="shared" si="1260"/>
        <v>1.03</v>
      </c>
      <c r="J3398" s="76">
        <f t="shared" si="1261"/>
        <v>1.0712000000000002</v>
      </c>
      <c r="K3398" s="67">
        <f t="shared" si="1262"/>
        <v>1</v>
      </c>
      <c r="L3398" s="67">
        <f t="shared" si="1263"/>
        <v>28</v>
      </c>
      <c r="M3398" s="77">
        <f t="shared" si="1264"/>
        <v>1</v>
      </c>
      <c r="N3398" s="76">
        <f t="shared" si="1265"/>
        <v>1.0712000000000002</v>
      </c>
      <c r="O3398" s="77">
        <f t="shared" si="1266"/>
        <v>0.90850109409190372</v>
      </c>
      <c r="P3398" s="76">
        <f t="shared" si="1267"/>
        <v>0</v>
      </c>
      <c r="Q3398" s="76">
        <f t="shared" si="1268"/>
        <v>1</v>
      </c>
      <c r="R3398" s="76">
        <f t="shared" si="1269"/>
        <v>0</v>
      </c>
      <c r="S3398" s="76">
        <f t="shared" si="1270"/>
        <v>1.0578112739035297</v>
      </c>
      <c r="T3398" s="76">
        <f t="shared" si="1271"/>
        <v>1.0215971363333649</v>
      </c>
      <c r="U3398" s="76">
        <f t="shared" si="1272"/>
        <v>1.0712000000000002</v>
      </c>
    </row>
    <row r="3399" spans="1:21" x14ac:dyDescent="0.25">
      <c r="A3399" s="71">
        <v>27</v>
      </c>
      <c r="B3399" s="72">
        <f t="shared" si="1273"/>
        <v>46447</v>
      </c>
      <c r="C3399" s="73">
        <f t="shared" si="1254"/>
        <v>46477</v>
      </c>
      <c r="D3399" s="67">
        <f t="shared" si="1255"/>
        <v>31</v>
      </c>
      <c r="E3399" s="67">
        <f t="shared" si="1256"/>
        <v>3</v>
      </c>
      <c r="F3399" s="74">
        <f t="shared" si="1257"/>
        <v>46462.5</v>
      </c>
      <c r="G3399" s="67">
        <f t="shared" si="1258"/>
        <v>24326</v>
      </c>
      <c r="H3399" s="75">
        <f t="shared" si="1259"/>
        <v>1</v>
      </c>
      <c r="I3399" s="76">
        <f t="shared" si="1260"/>
        <v>1.0712000000000002</v>
      </c>
      <c r="J3399" s="76">
        <f t="shared" si="1261"/>
        <v>1.0712000000000002</v>
      </c>
      <c r="K3399" s="67">
        <f t="shared" si="1262"/>
        <v>0</v>
      </c>
      <c r="L3399" s="67">
        <f t="shared" si="1263"/>
        <v>0</v>
      </c>
      <c r="M3399" s="77">
        <f t="shared" si="1264"/>
        <v>0</v>
      </c>
      <c r="N3399" s="76">
        <f t="shared" si="1265"/>
        <v>1.0712000000000002</v>
      </c>
      <c r="O3399" s="77">
        <f t="shared" si="1266"/>
        <v>0.90817833698030637</v>
      </c>
      <c r="P3399" s="76">
        <f t="shared" si="1267"/>
        <v>0</v>
      </c>
      <c r="Q3399" s="76">
        <f t="shared" si="1268"/>
        <v>1</v>
      </c>
      <c r="R3399" s="76">
        <f t="shared" si="1269"/>
        <v>0</v>
      </c>
      <c r="S3399" s="76">
        <f t="shared" si="1270"/>
        <v>1.0574354723622872</v>
      </c>
      <c r="T3399" s="76">
        <f t="shared" si="1271"/>
        <v>1.0212357886975549</v>
      </c>
      <c r="U3399" s="76">
        <f t="shared" si="1272"/>
        <v>1.0712000000000002</v>
      </c>
    </row>
    <row r="3400" spans="1:21" x14ac:dyDescent="0.25">
      <c r="A3400" s="71">
        <v>28</v>
      </c>
      <c r="B3400" s="72">
        <f t="shared" si="1273"/>
        <v>46478</v>
      </c>
      <c r="C3400" s="73">
        <f t="shared" si="1254"/>
        <v>46507</v>
      </c>
      <c r="D3400" s="67">
        <f t="shared" si="1255"/>
        <v>30</v>
      </c>
      <c r="E3400" s="67">
        <f t="shared" si="1256"/>
        <v>4</v>
      </c>
      <c r="F3400" s="74">
        <f t="shared" si="1257"/>
        <v>46493</v>
      </c>
      <c r="G3400" s="67">
        <f t="shared" si="1258"/>
        <v>24327</v>
      </c>
      <c r="H3400" s="75">
        <f t="shared" si="1259"/>
        <v>1</v>
      </c>
      <c r="I3400" s="76">
        <f t="shared" si="1260"/>
        <v>1.0712000000000002</v>
      </c>
      <c r="J3400" s="76">
        <f t="shared" si="1261"/>
        <v>1.0712000000000002</v>
      </c>
      <c r="K3400" s="67">
        <f t="shared" si="1262"/>
        <v>0</v>
      </c>
      <c r="L3400" s="67">
        <f t="shared" si="1263"/>
        <v>0</v>
      </c>
      <c r="M3400" s="77">
        <f t="shared" si="1264"/>
        <v>0</v>
      </c>
      <c r="N3400" s="76">
        <f t="shared" si="1265"/>
        <v>1.0712000000000002</v>
      </c>
      <c r="O3400" s="77">
        <f t="shared" si="1266"/>
        <v>0.90784463894967182</v>
      </c>
      <c r="P3400" s="76">
        <f t="shared" si="1267"/>
        <v>0</v>
      </c>
      <c r="Q3400" s="76">
        <f t="shared" si="1268"/>
        <v>1</v>
      </c>
      <c r="R3400" s="76">
        <f t="shared" si="1269"/>
        <v>0</v>
      </c>
      <c r="S3400" s="76">
        <f t="shared" si="1270"/>
        <v>1.0570469317857485</v>
      </c>
      <c r="T3400" s="76">
        <f t="shared" si="1271"/>
        <v>1.0208621919893446</v>
      </c>
      <c r="U3400" s="76">
        <f t="shared" si="1272"/>
        <v>1.0712000000000002</v>
      </c>
    </row>
    <row r="3401" spans="1:21" x14ac:dyDescent="0.25">
      <c r="A3401" s="71">
        <v>29</v>
      </c>
      <c r="B3401" s="72">
        <f t="shared" si="1273"/>
        <v>46508</v>
      </c>
      <c r="C3401" s="73">
        <f t="shared" si="1254"/>
        <v>46538</v>
      </c>
      <c r="D3401" s="67">
        <f t="shared" si="1255"/>
        <v>31</v>
      </c>
      <c r="E3401" s="67">
        <f t="shared" si="1256"/>
        <v>5</v>
      </c>
      <c r="F3401" s="74">
        <f t="shared" si="1257"/>
        <v>46523.5</v>
      </c>
      <c r="G3401" s="67">
        <f t="shared" si="1258"/>
        <v>24328</v>
      </c>
      <c r="H3401" s="75">
        <f t="shared" si="1259"/>
        <v>1</v>
      </c>
      <c r="I3401" s="76">
        <f t="shared" si="1260"/>
        <v>1.0712000000000002</v>
      </c>
      <c r="J3401" s="76">
        <f t="shared" si="1261"/>
        <v>1.0712000000000002</v>
      </c>
      <c r="K3401" s="67">
        <f t="shared" si="1262"/>
        <v>0</v>
      </c>
      <c r="L3401" s="67">
        <f t="shared" si="1263"/>
        <v>0</v>
      </c>
      <c r="M3401" s="77">
        <f t="shared" si="1264"/>
        <v>0</v>
      </c>
      <c r="N3401" s="76">
        <f t="shared" si="1265"/>
        <v>1.0712000000000002</v>
      </c>
      <c r="O3401" s="77">
        <f t="shared" si="1266"/>
        <v>0.90751094091903728</v>
      </c>
      <c r="P3401" s="76">
        <f t="shared" si="1267"/>
        <v>0</v>
      </c>
      <c r="Q3401" s="76">
        <f t="shared" si="1268"/>
        <v>1</v>
      </c>
      <c r="R3401" s="76">
        <f t="shared" si="1269"/>
        <v>0</v>
      </c>
      <c r="S3401" s="76">
        <f t="shared" si="1270"/>
        <v>1.0566583912092096</v>
      </c>
      <c r="T3401" s="76">
        <f t="shared" si="1271"/>
        <v>1.0204885952811342</v>
      </c>
      <c r="U3401" s="76">
        <f t="shared" si="1272"/>
        <v>1.0712000000000002</v>
      </c>
    </row>
    <row r="3402" spans="1:21" x14ac:dyDescent="0.25">
      <c r="A3402" s="71">
        <v>30</v>
      </c>
      <c r="B3402" s="72">
        <f t="shared" si="1273"/>
        <v>46539</v>
      </c>
      <c r="C3402" s="73">
        <f t="shared" si="1254"/>
        <v>46568</v>
      </c>
      <c r="D3402" s="67">
        <f t="shared" si="1255"/>
        <v>30</v>
      </c>
      <c r="E3402" s="67">
        <f t="shared" si="1256"/>
        <v>6</v>
      </c>
      <c r="F3402" s="74">
        <f t="shared" si="1257"/>
        <v>46554</v>
      </c>
      <c r="G3402" s="67">
        <f t="shared" si="1258"/>
        <v>24329</v>
      </c>
      <c r="H3402" s="75">
        <f t="shared" si="1259"/>
        <v>1</v>
      </c>
      <c r="I3402" s="76">
        <f t="shared" si="1260"/>
        <v>1.0712000000000002</v>
      </c>
      <c r="J3402" s="76">
        <f t="shared" si="1261"/>
        <v>1.0712000000000002</v>
      </c>
      <c r="K3402" s="67">
        <f t="shared" si="1262"/>
        <v>0</v>
      </c>
      <c r="L3402" s="67">
        <f t="shared" si="1263"/>
        <v>0</v>
      </c>
      <c r="M3402" s="77">
        <f t="shared" si="1264"/>
        <v>0</v>
      </c>
      <c r="N3402" s="76">
        <f t="shared" si="1265"/>
        <v>1.0712000000000002</v>
      </c>
      <c r="O3402" s="77">
        <f t="shared" si="1266"/>
        <v>0.90717724288840262</v>
      </c>
      <c r="P3402" s="76">
        <f t="shared" si="1267"/>
        <v>0</v>
      </c>
      <c r="Q3402" s="76">
        <f t="shared" si="1268"/>
        <v>1</v>
      </c>
      <c r="R3402" s="76">
        <f t="shared" si="1269"/>
        <v>0</v>
      </c>
      <c r="S3402" s="76">
        <f t="shared" si="1270"/>
        <v>1.0562698506326706</v>
      </c>
      <c r="T3402" s="76">
        <f t="shared" si="1271"/>
        <v>1.0201149985729236</v>
      </c>
      <c r="U3402" s="76">
        <f t="shared" si="1272"/>
        <v>1.0712000000000002</v>
      </c>
    </row>
    <row r="3403" spans="1:21" x14ac:dyDescent="0.25">
      <c r="A3403" s="71">
        <v>31</v>
      </c>
      <c r="B3403" s="72">
        <f t="shared" si="1273"/>
        <v>46569</v>
      </c>
      <c r="C3403" s="73">
        <f t="shared" si="1254"/>
        <v>46599</v>
      </c>
      <c r="D3403" s="67">
        <f t="shared" si="1255"/>
        <v>31</v>
      </c>
      <c r="E3403" s="67">
        <f t="shared" si="1256"/>
        <v>7</v>
      </c>
      <c r="F3403" s="74">
        <f t="shared" si="1257"/>
        <v>46584.5</v>
      </c>
      <c r="G3403" s="67">
        <f t="shared" si="1258"/>
        <v>24330</v>
      </c>
      <c r="H3403" s="75">
        <f t="shared" si="1259"/>
        <v>1</v>
      </c>
      <c r="I3403" s="76">
        <f t="shared" si="1260"/>
        <v>1.0712000000000002</v>
      </c>
      <c r="J3403" s="76">
        <f t="shared" si="1261"/>
        <v>1.0712000000000002</v>
      </c>
      <c r="K3403" s="67">
        <f t="shared" si="1262"/>
        <v>0</v>
      </c>
      <c r="L3403" s="67">
        <f t="shared" si="1263"/>
        <v>0</v>
      </c>
      <c r="M3403" s="77">
        <f t="shared" si="1264"/>
        <v>0</v>
      </c>
      <c r="N3403" s="76">
        <f t="shared" si="1265"/>
        <v>1.0712000000000002</v>
      </c>
      <c r="O3403" s="77">
        <f t="shared" si="1266"/>
        <v>0.90684354485776808</v>
      </c>
      <c r="P3403" s="76">
        <f t="shared" si="1267"/>
        <v>0</v>
      </c>
      <c r="Q3403" s="76">
        <f t="shared" si="1268"/>
        <v>0.91666666666666663</v>
      </c>
      <c r="R3403" s="76">
        <f t="shared" si="1269"/>
        <v>8.333333333333337E-2</v>
      </c>
      <c r="S3403" s="76">
        <f t="shared" si="1270"/>
        <v>1.0558813100561319</v>
      </c>
      <c r="T3403" s="76">
        <f t="shared" si="1271"/>
        <v>1.0197414018647131</v>
      </c>
      <c r="U3403" s="76">
        <f t="shared" si="1272"/>
        <v>1.0712000000000002</v>
      </c>
    </row>
    <row r="3404" spans="1:21" x14ac:dyDescent="0.25">
      <c r="A3404" s="71">
        <v>32</v>
      </c>
      <c r="B3404" s="72">
        <f t="shared" si="1273"/>
        <v>46600</v>
      </c>
      <c r="C3404" s="73">
        <f t="shared" si="1254"/>
        <v>46630</v>
      </c>
      <c r="D3404" s="67">
        <f t="shared" si="1255"/>
        <v>31</v>
      </c>
      <c r="E3404" s="67">
        <f t="shared" si="1256"/>
        <v>8</v>
      </c>
      <c r="F3404" s="74">
        <f t="shared" si="1257"/>
        <v>46615.5</v>
      </c>
      <c r="G3404" s="67">
        <f t="shared" si="1258"/>
        <v>24331</v>
      </c>
      <c r="H3404" s="75">
        <f t="shared" si="1259"/>
        <v>1</v>
      </c>
      <c r="I3404" s="76">
        <f t="shared" si="1260"/>
        <v>1.0712000000000002</v>
      </c>
      <c r="J3404" s="76">
        <f t="shared" si="1261"/>
        <v>1.0712000000000002</v>
      </c>
      <c r="K3404" s="67">
        <f t="shared" si="1262"/>
        <v>0</v>
      </c>
      <c r="L3404" s="67">
        <f t="shared" si="1263"/>
        <v>0</v>
      </c>
      <c r="M3404" s="77">
        <f t="shared" si="1264"/>
        <v>0</v>
      </c>
      <c r="N3404" s="76">
        <f t="shared" si="1265"/>
        <v>1.0712000000000002</v>
      </c>
      <c r="O3404" s="77">
        <f t="shared" si="1266"/>
        <v>0.90650437636761494</v>
      </c>
      <c r="P3404" s="76">
        <f t="shared" si="1267"/>
        <v>0</v>
      </c>
      <c r="Q3404" s="76">
        <f t="shared" si="1268"/>
        <v>0.75</v>
      </c>
      <c r="R3404" s="76">
        <f t="shared" si="1269"/>
        <v>0.25</v>
      </c>
      <c r="S3404" s="76">
        <f t="shared" si="1270"/>
        <v>1.0554863999619448</v>
      </c>
      <c r="T3404" s="76">
        <f t="shared" si="1271"/>
        <v>1.0193616806203025</v>
      </c>
      <c r="U3404" s="76">
        <f t="shared" si="1272"/>
        <v>1.0712000000000002</v>
      </c>
    </row>
    <row r="3405" spans="1:21" x14ac:dyDescent="0.25">
      <c r="A3405" s="71">
        <v>33</v>
      </c>
      <c r="B3405" s="72">
        <f t="shared" si="1273"/>
        <v>46631</v>
      </c>
      <c r="C3405" s="73">
        <f t="shared" si="1254"/>
        <v>46660</v>
      </c>
      <c r="D3405" s="67">
        <f t="shared" si="1255"/>
        <v>30</v>
      </c>
      <c r="E3405" s="67">
        <f t="shared" si="1256"/>
        <v>9</v>
      </c>
      <c r="F3405" s="74">
        <f t="shared" si="1257"/>
        <v>46646</v>
      </c>
      <c r="G3405" s="67">
        <f t="shared" si="1258"/>
        <v>24332</v>
      </c>
      <c r="H3405" s="75">
        <f t="shared" si="1259"/>
        <v>1</v>
      </c>
      <c r="I3405" s="76">
        <f t="shared" si="1260"/>
        <v>1.0712000000000002</v>
      </c>
      <c r="J3405" s="76">
        <f t="shared" si="1261"/>
        <v>1.0712000000000002</v>
      </c>
      <c r="K3405" s="67">
        <f t="shared" si="1262"/>
        <v>0</v>
      </c>
      <c r="L3405" s="67">
        <f t="shared" si="1263"/>
        <v>0</v>
      </c>
      <c r="M3405" s="77">
        <f t="shared" si="1264"/>
        <v>0</v>
      </c>
      <c r="N3405" s="76">
        <f t="shared" si="1265"/>
        <v>1.0712000000000002</v>
      </c>
      <c r="O3405" s="77">
        <f t="shared" si="1266"/>
        <v>0.90617067833698028</v>
      </c>
      <c r="P3405" s="76">
        <f t="shared" si="1267"/>
        <v>0</v>
      </c>
      <c r="Q3405" s="76">
        <f t="shared" si="1268"/>
        <v>0.58333333333333337</v>
      </c>
      <c r="R3405" s="76">
        <f t="shared" si="1269"/>
        <v>0.41666666666666663</v>
      </c>
      <c r="S3405" s="76">
        <f t="shared" si="1270"/>
        <v>1.0550978593854059</v>
      </c>
      <c r="T3405" s="76">
        <f t="shared" si="1271"/>
        <v>1.0189880839120922</v>
      </c>
      <c r="U3405" s="76">
        <f t="shared" si="1272"/>
        <v>1.0712000000000002</v>
      </c>
    </row>
    <row r="3406" spans="1:21" x14ac:dyDescent="0.25">
      <c r="A3406" s="71">
        <v>34</v>
      </c>
      <c r="B3406" s="72">
        <f t="shared" si="1273"/>
        <v>46661</v>
      </c>
      <c r="C3406" s="73">
        <f t="shared" si="1254"/>
        <v>46691</v>
      </c>
      <c r="D3406" s="67">
        <f t="shared" si="1255"/>
        <v>31</v>
      </c>
      <c r="E3406" s="67">
        <f t="shared" si="1256"/>
        <v>10</v>
      </c>
      <c r="F3406" s="74">
        <f t="shared" si="1257"/>
        <v>46676.5</v>
      </c>
      <c r="G3406" s="67">
        <f t="shared" si="1258"/>
        <v>24333</v>
      </c>
      <c r="H3406" s="75">
        <f t="shared" si="1259"/>
        <v>1</v>
      </c>
      <c r="I3406" s="76">
        <f t="shared" si="1260"/>
        <v>1.0712000000000002</v>
      </c>
      <c r="J3406" s="76">
        <f t="shared" si="1261"/>
        <v>1.0712000000000002</v>
      </c>
      <c r="K3406" s="67">
        <f t="shared" si="1262"/>
        <v>0</v>
      </c>
      <c r="L3406" s="67">
        <f t="shared" si="1263"/>
        <v>0</v>
      </c>
      <c r="M3406" s="77">
        <f t="shared" si="1264"/>
        <v>0</v>
      </c>
      <c r="N3406" s="76">
        <f t="shared" si="1265"/>
        <v>1.0712000000000002</v>
      </c>
      <c r="O3406" s="77">
        <f t="shared" si="1266"/>
        <v>0.90583698030634574</v>
      </c>
      <c r="P3406" s="76">
        <f t="shared" si="1267"/>
        <v>0</v>
      </c>
      <c r="Q3406" s="76">
        <f t="shared" si="1268"/>
        <v>0.41666666666666669</v>
      </c>
      <c r="R3406" s="76">
        <f t="shared" si="1269"/>
        <v>0.58333333333333326</v>
      </c>
      <c r="S3406" s="76">
        <f t="shared" si="1270"/>
        <v>1.054709318808867</v>
      </c>
      <c r="T3406" s="76">
        <f t="shared" si="1271"/>
        <v>1.0186144872038816</v>
      </c>
      <c r="U3406" s="76">
        <f t="shared" si="1272"/>
        <v>1.0712000000000002</v>
      </c>
    </row>
    <row r="3407" spans="1:21" x14ac:dyDescent="0.25">
      <c r="A3407" s="71">
        <v>35</v>
      </c>
      <c r="B3407" s="72">
        <f t="shared" si="1273"/>
        <v>46692</v>
      </c>
      <c r="C3407" s="73">
        <f t="shared" si="1254"/>
        <v>46721</v>
      </c>
      <c r="D3407" s="67">
        <f t="shared" si="1255"/>
        <v>30</v>
      </c>
      <c r="E3407" s="67">
        <f t="shared" si="1256"/>
        <v>11</v>
      </c>
      <c r="F3407" s="74">
        <f t="shared" si="1257"/>
        <v>46707</v>
      </c>
      <c r="G3407" s="67">
        <f t="shared" si="1258"/>
        <v>24334</v>
      </c>
      <c r="H3407" s="75">
        <f t="shared" si="1259"/>
        <v>1</v>
      </c>
      <c r="I3407" s="76">
        <f t="shared" si="1260"/>
        <v>1.0712000000000002</v>
      </c>
      <c r="J3407" s="76">
        <f t="shared" si="1261"/>
        <v>1.0712000000000002</v>
      </c>
      <c r="K3407" s="67">
        <f t="shared" si="1262"/>
        <v>0</v>
      </c>
      <c r="L3407" s="67">
        <f t="shared" si="1263"/>
        <v>0</v>
      </c>
      <c r="M3407" s="77">
        <f t="shared" si="1264"/>
        <v>0</v>
      </c>
      <c r="N3407" s="76">
        <f t="shared" si="1265"/>
        <v>1.0712000000000002</v>
      </c>
      <c r="O3407" s="77">
        <f t="shared" si="1266"/>
        <v>0.9055032822757112</v>
      </c>
      <c r="P3407" s="76">
        <f t="shared" si="1267"/>
        <v>0</v>
      </c>
      <c r="Q3407" s="76">
        <f t="shared" si="1268"/>
        <v>0.25</v>
      </c>
      <c r="R3407" s="76">
        <f t="shared" si="1269"/>
        <v>0.75</v>
      </c>
      <c r="S3407" s="76">
        <f t="shared" si="1270"/>
        <v>1.0543207782323283</v>
      </c>
      <c r="T3407" s="76">
        <f t="shared" si="1271"/>
        <v>1.0182408904956712</v>
      </c>
      <c r="U3407" s="76">
        <f t="shared" si="1272"/>
        <v>1.0712000000000002</v>
      </c>
    </row>
    <row r="3408" spans="1:21" x14ac:dyDescent="0.25">
      <c r="A3408" s="71">
        <v>36</v>
      </c>
      <c r="B3408" s="72">
        <f t="shared" si="1273"/>
        <v>46722</v>
      </c>
      <c r="C3408" s="73">
        <f t="shared" si="1254"/>
        <v>46752</v>
      </c>
      <c r="D3408" s="67">
        <f t="shared" si="1255"/>
        <v>31</v>
      </c>
      <c r="E3408" s="67">
        <f t="shared" si="1256"/>
        <v>12</v>
      </c>
      <c r="F3408" s="74">
        <f t="shared" si="1257"/>
        <v>46737.5</v>
      </c>
      <c r="G3408" s="67">
        <f t="shared" si="1258"/>
        <v>24335</v>
      </c>
      <c r="H3408" s="75">
        <f t="shared" si="1259"/>
        <v>1</v>
      </c>
      <c r="I3408" s="76">
        <f t="shared" si="1260"/>
        <v>1.0712000000000002</v>
      </c>
      <c r="J3408" s="76">
        <f t="shared" si="1261"/>
        <v>1.0712000000000002</v>
      </c>
      <c r="K3408" s="67">
        <f t="shared" si="1262"/>
        <v>0</v>
      </c>
      <c r="L3408" s="67">
        <f t="shared" si="1263"/>
        <v>0</v>
      </c>
      <c r="M3408" s="77">
        <f t="shared" si="1264"/>
        <v>0</v>
      </c>
      <c r="N3408" s="76">
        <f t="shared" si="1265"/>
        <v>1.0712000000000002</v>
      </c>
      <c r="O3408" s="77">
        <f t="shared" si="1266"/>
        <v>0.90516958424507665</v>
      </c>
      <c r="P3408" s="76">
        <f t="shared" si="1267"/>
        <v>0</v>
      </c>
      <c r="Q3408" s="76">
        <f t="shared" si="1268"/>
        <v>8.3333333333333329E-2</v>
      </c>
      <c r="R3408" s="76">
        <f t="shared" si="1269"/>
        <v>0.91666666666666663</v>
      </c>
      <c r="S3408" s="76">
        <f t="shared" si="1270"/>
        <v>1.0539322376557894</v>
      </c>
      <c r="T3408" s="76">
        <f t="shared" si="1271"/>
        <v>1.0178672937874609</v>
      </c>
      <c r="U3408" s="76">
        <f t="shared" si="1272"/>
        <v>1.0712000000000002</v>
      </c>
    </row>
    <row r="3409" spans="1:21" x14ac:dyDescent="0.25">
      <c r="A3409" s="71">
        <v>37</v>
      </c>
      <c r="B3409" s="72">
        <f t="shared" si="1273"/>
        <v>46753</v>
      </c>
      <c r="C3409" s="73">
        <f t="shared" si="1254"/>
        <v>46783</v>
      </c>
      <c r="D3409" s="67">
        <f t="shared" si="1255"/>
        <v>31</v>
      </c>
      <c r="E3409" s="67">
        <f t="shared" si="1256"/>
        <v>1</v>
      </c>
      <c r="F3409" s="74">
        <f t="shared" si="1257"/>
        <v>46768.5</v>
      </c>
      <c r="G3409" s="67">
        <f t="shared" si="1258"/>
        <v>24336</v>
      </c>
      <c r="H3409" s="75">
        <f t="shared" si="1259"/>
        <v>1</v>
      </c>
      <c r="I3409" s="76">
        <f t="shared" si="1260"/>
        <v>1.0712000000000002</v>
      </c>
      <c r="J3409" s="76">
        <f t="shared" si="1261"/>
        <v>1.0712000000000002</v>
      </c>
      <c r="K3409" s="67">
        <f t="shared" si="1262"/>
        <v>0</v>
      </c>
      <c r="L3409" s="67">
        <f t="shared" si="1263"/>
        <v>0</v>
      </c>
      <c r="M3409" s="77">
        <f t="shared" si="1264"/>
        <v>0</v>
      </c>
      <c r="N3409" s="76">
        <f t="shared" si="1265"/>
        <v>1.0712000000000002</v>
      </c>
      <c r="O3409" s="77">
        <f t="shared" si="1266"/>
        <v>0.90500000000000003</v>
      </c>
      <c r="P3409" s="76">
        <f t="shared" si="1267"/>
        <v>0</v>
      </c>
      <c r="Q3409" s="76">
        <f t="shared" si="1268"/>
        <v>0</v>
      </c>
      <c r="R3409" s="76">
        <f t="shared" si="1269"/>
        <v>1</v>
      </c>
      <c r="S3409" s="76">
        <f t="shared" si="1270"/>
        <v>1.0537347826086958</v>
      </c>
      <c r="T3409" s="76">
        <f t="shared" si="1271"/>
        <v>0.99219270288269434</v>
      </c>
      <c r="U3409" s="76">
        <f t="shared" si="1272"/>
        <v>1.0712000000000002</v>
      </c>
    </row>
    <row r="3410" spans="1:21" x14ac:dyDescent="0.25">
      <c r="A3410" s="71">
        <v>38</v>
      </c>
      <c r="B3410" s="72">
        <f t="shared" si="1273"/>
        <v>46784</v>
      </c>
      <c r="C3410" s="73">
        <f t="shared" si="1254"/>
        <v>46812</v>
      </c>
      <c r="D3410" s="67">
        <f t="shared" si="1255"/>
        <v>29</v>
      </c>
      <c r="E3410" s="67">
        <f t="shared" si="1256"/>
        <v>2</v>
      </c>
      <c r="F3410" s="74">
        <f t="shared" si="1257"/>
        <v>46798.5</v>
      </c>
      <c r="G3410" s="67">
        <f t="shared" si="1258"/>
        <v>24337</v>
      </c>
      <c r="H3410" s="75">
        <f t="shared" si="1259"/>
        <v>1</v>
      </c>
      <c r="I3410" s="76">
        <f t="shared" si="1260"/>
        <v>1.0712000000000002</v>
      </c>
      <c r="J3410" s="76">
        <f t="shared" si="1261"/>
        <v>1.0712000000000002</v>
      </c>
      <c r="K3410" s="67">
        <f t="shared" si="1262"/>
        <v>0</v>
      </c>
      <c r="L3410" s="67">
        <f t="shared" si="1263"/>
        <v>0</v>
      </c>
      <c r="M3410" s="77">
        <f t="shared" si="1264"/>
        <v>0</v>
      </c>
      <c r="N3410" s="76">
        <f t="shared" si="1265"/>
        <v>1.0712000000000002</v>
      </c>
      <c r="O3410" s="77">
        <f t="shared" si="1266"/>
        <v>0.90500000000000003</v>
      </c>
      <c r="P3410" s="76">
        <f t="shared" si="1267"/>
        <v>0</v>
      </c>
      <c r="Q3410" s="76">
        <f t="shared" si="1268"/>
        <v>0</v>
      </c>
      <c r="R3410" s="76">
        <f t="shared" si="1269"/>
        <v>1</v>
      </c>
      <c r="S3410" s="76">
        <f t="shared" si="1270"/>
        <v>1.0537347826086958</v>
      </c>
      <c r="T3410" s="76">
        <f t="shared" si="1271"/>
        <v>1.0215971363333649</v>
      </c>
      <c r="U3410" s="76">
        <f t="shared" si="1272"/>
        <v>1.0712000000000002</v>
      </c>
    </row>
    <row r="3411" spans="1:21" x14ac:dyDescent="0.25">
      <c r="A3411" s="71">
        <v>39</v>
      </c>
      <c r="B3411" s="72">
        <f t="shared" si="1273"/>
        <v>46813</v>
      </c>
      <c r="C3411" s="73">
        <f t="shared" si="1254"/>
        <v>46843</v>
      </c>
      <c r="D3411" s="67">
        <f t="shared" si="1255"/>
        <v>31</v>
      </c>
      <c r="E3411" s="67">
        <f t="shared" si="1256"/>
        <v>3</v>
      </c>
      <c r="F3411" s="74">
        <f t="shared" si="1257"/>
        <v>46828.5</v>
      </c>
      <c r="G3411" s="67">
        <f t="shared" si="1258"/>
        <v>24338</v>
      </c>
      <c r="H3411" s="75">
        <f t="shared" si="1259"/>
        <v>1</v>
      </c>
      <c r="I3411" s="76">
        <f t="shared" si="1260"/>
        <v>1.0712000000000002</v>
      </c>
      <c r="J3411" s="76">
        <f t="shared" si="1261"/>
        <v>1.0712000000000002</v>
      </c>
      <c r="K3411" s="67">
        <f t="shared" si="1262"/>
        <v>0</v>
      </c>
      <c r="L3411" s="67">
        <f t="shared" si="1263"/>
        <v>0</v>
      </c>
      <c r="M3411" s="77">
        <f t="shared" si="1264"/>
        <v>0</v>
      </c>
      <c r="N3411" s="76">
        <f t="shared" si="1265"/>
        <v>1.0712000000000002</v>
      </c>
      <c r="O3411" s="77">
        <f t="shared" si="1266"/>
        <v>0.90500000000000003</v>
      </c>
      <c r="P3411" s="76">
        <f t="shared" si="1267"/>
        <v>0</v>
      </c>
      <c r="Q3411" s="76">
        <f t="shared" si="1268"/>
        <v>0</v>
      </c>
      <c r="R3411" s="76">
        <f t="shared" si="1269"/>
        <v>1</v>
      </c>
      <c r="S3411" s="76">
        <f t="shared" si="1270"/>
        <v>1.0537347826086958</v>
      </c>
      <c r="T3411" s="76">
        <f t="shared" si="1271"/>
        <v>1.0212357886975549</v>
      </c>
      <c r="U3411" s="76">
        <f t="shared" si="1272"/>
        <v>1.0712000000000002</v>
      </c>
    </row>
    <row r="3412" spans="1:21" x14ac:dyDescent="0.25">
      <c r="A3412" s="71">
        <v>40</v>
      </c>
      <c r="B3412" s="72">
        <f t="shared" si="1273"/>
        <v>46844</v>
      </c>
      <c r="C3412" s="73">
        <f t="shared" si="1254"/>
        <v>46873</v>
      </c>
      <c r="D3412" s="67">
        <f t="shared" si="1255"/>
        <v>30</v>
      </c>
      <c r="E3412" s="67">
        <f t="shared" si="1256"/>
        <v>4</v>
      </c>
      <c r="F3412" s="74">
        <f t="shared" si="1257"/>
        <v>46859</v>
      </c>
      <c r="G3412" s="67">
        <f t="shared" si="1258"/>
        <v>24339</v>
      </c>
      <c r="H3412" s="75">
        <f t="shared" si="1259"/>
        <v>1</v>
      </c>
      <c r="I3412" s="76">
        <f t="shared" si="1260"/>
        <v>1.0712000000000002</v>
      </c>
      <c r="J3412" s="76">
        <f t="shared" si="1261"/>
        <v>1.0712000000000002</v>
      </c>
      <c r="K3412" s="67">
        <f t="shared" si="1262"/>
        <v>0</v>
      </c>
      <c r="L3412" s="67">
        <f t="shared" si="1263"/>
        <v>0</v>
      </c>
      <c r="M3412" s="77">
        <f t="shared" si="1264"/>
        <v>0</v>
      </c>
      <c r="N3412" s="76">
        <f t="shared" si="1265"/>
        <v>1.0712000000000002</v>
      </c>
      <c r="O3412" s="77">
        <f t="shared" si="1266"/>
        <v>0.90500000000000003</v>
      </c>
      <c r="P3412" s="76">
        <f t="shared" si="1267"/>
        <v>0</v>
      </c>
      <c r="Q3412" s="76">
        <f t="shared" si="1268"/>
        <v>0</v>
      </c>
      <c r="R3412" s="76">
        <f t="shared" si="1269"/>
        <v>1</v>
      </c>
      <c r="S3412" s="76">
        <f t="shared" si="1270"/>
        <v>1.0537347826086958</v>
      </c>
      <c r="T3412" s="76">
        <f t="shared" si="1271"/>
        <v>1.0208621919893446</v>
      </c>
      <c r="U3412" s="76">
        <f t="shared" si="1272"/>
        <v>1.0712000000000002</v>
      </c>
    </row>
    <row r="3413" spans="1:21" x14ac:dyDescent="0.25">
      <c r="A3413" s="71">
        <v>41</v>
      </c>
      <c r="B3413" s="72">
        <f t="shared" si="1273"/>
        <v>46874</v>
      </c>
      <c r="C3413" s="73">
        <f t="shared" si="1254"/>
        <v>46904</v>
      </c>
      <c r="D3413" s="67">
        <f t="shared" si="1255"/>
        <v>31</v>
      </c>
      <c r="E3413" s="67">
        <f t="shared" si="1256"/>
        <v>5</v>
      </c>
      <c r="F3413" s="74">
        <f t="shared" si="1257"/>
        <v>46889.5</v>
      </c>
      <c r="G3413" s="67">
        <f t="shared" si="1258"/>
        <v>24340</v>
      </c>
      <c r="H3413" s="75">
        <f t="shared" si="1259"/>
        <v>1</v>
      </c>
      <c r="I3413" s="76">
        <f t="shared" si="1260"/>
        <v>1.0712000000000002</v>
      </c>
      <c r="J3413" s="76">
        <f t="shared" si="1261"/>
        <v>1.0712000000000002</v>
      </c>
      <c r="K3413" s="67">
        <f t="shared" si="1262"/>
        <v>0</v>
      </c>
      <c r="L3413" s="67">
        <f t="shared" si="1263"/>
        <v>0</v>
      </c>
      <c r="M3413" s="77">
        <f t="shared" si="1264"/>
        <v>0</v>
      </c>
      <c r="N3413" s="76">
        <f t="shared" si="1265"/>
        <v>1.0712000000000002</v>
      </c>
      <c r="O3413" s="77">
        <f t="shared" si="1266"/>
        <v>0.90500000000000003</v>
      </c>
      <c r="P3413" s="76">
        <f t="shared" si="1267"/>
        <v>0</v>
      </c>
      <c r="Q3413" s="76">
        <f t="shared" si="1268"/>
        <v>0</v>
      </c>
      <c r="R3413" s="76">
        <f t="shared" si="1269"/>
        <v>1</v>
      </c>
      <c r="S3413" s="76">
        <f t="shared" si="1270"/>
        <v>1.0537347826086958</v>
      </c>
      <c r="T3413" s="76">
        <f t="shared" si="1271"/>
        <v>1.0204885952811342</v>
      </c>
      <c r="U3413" s="76">
        <f t="shared" si="1272"/>
        <v>1.0712000000000002</v>
      </c>
    </row>
    <row r="3414" spans="1:21" x14ac:dyDescent="0.25">
      <c r="A3414" s="71">
        <v>42</v>
      </c>
      <c r="B3414" s="72">
        <f t="shared" si="1273"/>
        <v>46905</v>
      </c>
      <c r="C3414" s="73">
        <f t="shared" si="1254"/>
        <v>46934</v>
      </c>
      <c r="D3414" s="67">
        <f t="shared" si="1255"/>
        <v>30</v>
      </c>
      <c r="E3414" s="67">
        <f t="shared" si="1256"/>
        <v>6</v>
      </c>
      <c r="F3414" s="74">
        <f t="shared" si="1257"/>
        <v>46920</v>
      </c>
      <c r="G3414" s="67">
        <f t="shared" si="1258"/>
        <v>24341</v>
      </c>
      <c r="H3414" s="75">
        <f t="shared" si="1259"/>
        <v>1</v>
      </c>
      <c r="I3414" s="76">
        <f t="shared" si="1260"/>
        <v>1.0712000000000002</v>
      </c>
      <c r="J3414" s="76">
        <f t="shared" si="1261"/>
        <v>1.0712000000000002</v>
      </c>
      <c r="K3414" s="67">
        <f t="shared" si="1262"/>
        <v>0</v>
      </c>
      <c r="L3414" s="67">
        <f t="shared" si="1263"/>
        <v>0</v>
      </c>
      <c r="M3414" s="77">
        <f t="shared" si="1264"/>
        <v>0</v>
      </c>
      <c r="N3414" s="76">
        <f t="shared" si="1265"/>
        <v>1.0712000000000002</v>
      </c>
      <c r="O3414" s="77">
        <f t="shared" si="1266"/>
        <v>0.90500000000000003</v>
      </c>
      <c r="P3414" s="76">
        <f t="shared" si="1267"/>
        <v>0</v>
      </c>
      <c r="Q3414" s="76">
        <f t="shared" si="1268"/>
        <v>0</v>
      </c>
      <c r="R3414" s="76">
        <f t="shared" si="1269"/>
        <v>1</v>
      </c>
      <c r="S3414" s="76">
        <f t="shared" si="1270"/>
        <v>1.0537347826086958</v>
      </c>
      <c r="T3414" s="76">
        <f t="shared" si="1271"/>
        <v>1.0201149985729236</v>
      </c>
      <c r="U3414" s="76">
        <f t="shared" si="1272"/>
        <v>1.0712000000000002</v>
      </c>
    </row>
    <row r="3415" spans="1:21" x14ac:dyDescent="0.25">
      <c r="A3415" s="71">
        <v>43</v>
      </c>
      <c r="B3415" s="72">
        <f t="shared" si="1273"/>
        <v>46935</v>
      </c>
      <c r="C3415" s="73">
        <f t="shared" si="1254"/>
        <v>46965</v>
      </c>
      <c r="D3415" s="67">
        <f t="shared" si="1255"/>
        <v>31</v>
      </c>
      <c r="E3415" s="67">
        <f t="shared" si="1256"/>
        <v>7</v>
      </c>
      <c r="F3415" s="74">
        <f t="shared" si="1257"/>
        <v>46950.5</v>
      </c>
      <c r="G3415" s="67">
        <f t="shared" si="1258"/>
        <v>24342</v>
      </c>
      <c r="H3415" s="75">
        <f t="shared" si="1259"/>
        <v>1</v>
      </c>
      <c r="I3415" s="76">
        <f t="shared" si="1260"/>
        <v>1.0712000000000002</v>
      </c>
      <c r="J3415" s="76">
        <f t="shared" si="1261"/>
        <v>1.0712000000000002</v>
      </c>
      <c r="K3415" s="67">
        <f t="shared" si="1262"/>
        <v>0</v>
      </c>
      <c r="L3415" s="67">
        <f t="shared" si="1263"/>
        <v>0</v>
      </c>
      <c r="M3415" s="77">
        <f t="shared" si="1264"/>
        <v>0</v>
      </c>
      <c r="N3415" s="76">
        <f t="shared" si="1265"/>
        <v>1.0712000000000002</v>
      </c>
      <c r="O3415" s="77">
        <f t="shared" si="1266"/>
        <v>0.90500000000000003</v>
      </c>
      <c r="P3415" s="76">
        <f t="shared" si="1267"/>
        <v>0</v>
      </c>
      <c r="Q3415" s="76">
        <f t="shared" si="1268"/>
        <v>0</v>
      </c>
      <c r="R3415" s="76">
        <f t="shared" si="1269"/>
        <v>0.91666666666666663</v>
      </c>
      <c r="S3415" s="76">
        <f t="shared" si="1270"/>
        <v>1.0537347826086958</v>
      </c>
      <c r="T3415" s="76">
        <f t="shared" si="1271"/>
        <v>1.0197414018647131</v>
      </c>
      <c r="U3415" s="76">
        <f t="shared" si="1272"/>
        <v>1.0712000000000002</v>
      </c>
    </row>
    <row r="3416" spans="1:21" x14ac:dyDescent="0.25">
      <c r="A3416" s="71">
        <v>44</v>
      </c>
      <c r="B3416" s="72">
        <f t="shared" si="1273"/>
        <v>46966</v>
      </c>
      <c r="C3416" s="73">
        <f t="shared" si="1254"/>
        <v>46996</v>
      </c>
      <c r="D3416" s="67">
        <f t="shared" si="1255"/>
        <v>31</v>
      </c>
      <c r="E3416" s="67">
        <f t="shared" si="1256"/>
        <v>8</v>
      </c>
      <c r="F3416" s="74">
        <f t="shared" si="1257"/>
        <v>46981.5</v>
      </c>
      <c r="G3416" s="67">
        <f t="shared" si="1258"/>
        <v>24343</v>
      </c>
      <c r="H3416" s="75">
        <f t="shared" si="1259"/>
        <v>1</v>
      </c>
      <c r="I3416" s="76">
        <f t="shared" si="1260"/>
        <v>1.0712000000000002</v>
      </c>
      <c r="J3416" s="76">
        <f t="shared" si="1261"/>
        <v>1.0712000000000002</v>
      </c>
      <c r="K3416" s="67">
        <f t="shared" si="1262"/>
        <v>0</v>
      </c>
      <c r="L3416" s="67">
        <f t="shared" si="1263"/>
        <v>0</v>
      </c>
      <c r="M3416" s="77">
        <f t="shared" si="1264"/>
        <v>0</v>
      </c>
      <c r="N3416" s="76">
        <f t="shared" si="1265"/>
        <v>1.0712000000000002</v>
      </c>
      <c r="O3416" s="77">
        <f t="shared" si="1266"/>
        <v>0.90500000000000003</v>
      </c>
      <c r="P3416" s="76">
        <f t="shared" si="1267"/>
        <v>0</v>
      </c>
      <c r="Q3416" s="76">
        <f t="shared" si="1268"/>
        <v>0</v>
      </c>
      <c r="R3416" s="76">
        <f t="shared" si="1269"/>
        <v>0.75</v>
      </c>
      <c r="S3416" s="76">
        <f t="shared" si="1270"/>
        <v>1.0537347826086958</v>
      </c>
      <c r="T3416" s="76">
        <f t="shared" si="1271"/>
        <v>1.0193616806203025</v>
      </c>
      <c r="U3416" s="76">
        <f t="shared" si="1272"/>
        <v>1.0712000000000002</v>
      </c>
    </row>
    <row r="3417" spans="1:21" x14ac:dyDescent="0.25">
      <c r="A3417" s="71">
        <v>45</v>
      </c>
      <c r="B3417" s="72">
        <f t="shared" si="1273"/>
        <v>46997</v>
      </c>
      <c r="C3417" s="73">
        <f t="shared" si="1254"/>
        <v>47026</v>
      </c>
      <c r="D3417" s="67">
        <f t="shared" si="1255"/>
        <v>30</v>
      </c>
      <c r="E3417" s="67">
        <f t="shared" si="1256"/>
        <v>9</v>
      </c>
      <c r="F3417" s="74">
        <f t="shared" si="1257"/>
        <v>47012</v>
      </c>
      <c r="G3417" s="67">
        <f t="shared" si="1258"/>
        <v>24344</v>
      </c>
      <c r="H3417" s="75">
        <f t="shared" si="1259"/>
        <v>1</v>
      </c>
      <c r="I3417" s="76">
        <f t="shared" si="1260"/>
        <v>1.0712000000000002</v>
      </c>
      <c r="J3417" s="76">
        <f t="shared" si="1261"/>
        <v>1.0712000000000002</v>
      </c>
      <c r="K3417" s="67">
        <f t="shared" si="1262"/>
        <v>0</v>
      </c>
      <c r="L3417" s="67">
        <f t="shared" si="1263"/>
        <v>0</v>
      </c>
      <c r="M3417" s="77">
        <f t="shared" si="1264"/>
        <v>0</v>
      </c>
      <c r="N3417" s="76">
        <f t="shared" si="1265"/>
        <v>1.0712000000000002</v>
      </c>
      <c r="O3417" s="77">
        <f t="shared" si="1266"/>
        <v>0.90500000000000003</v>
      </c>
      <c r="P3417" s="76">
        <f t="shared" si="1267"/>
        <v>0</v>
      </c>
      <c r="Q3417" s="76">
        <f t="shared" si="1268"/>
        <v>0</v>
      </c>
      <c r="R3417" s="76">
        <f t="shared" si="1269"/>
        <v>0.58333333333333337</v>
      </c>
      <c r="S3417" s="76">
        <f t="shared" si="1270"/>
        <v>1.0537347826086958</v>
      </c>
      <c r="T3417" s="76">
        <f t="shared" si="1271"/>
        <v>1.0189880839120922</v>
      </c>
      <c r="U3417" s="76">
        <f t="shared" si="1272"/>
        <v>1.0712000000000002</v>
      </c>
    </row>
    <row r="3418" spans="1:21" x14ac:dyDescent="0.25">
      <c r="A3418" s="71">
        <v>46</v>
      </c>
      <c r="B3418" s="72">
        <f t="shared" si="1273"/>
        <v>47027</v>
      </c>
      <c r="C3418" s="73">
        <f t="shared" si="1254"/>
        <v>47057</v>
      </c>
      <c r="D3418" s="67">
        <f t="shared" si="1255"/>
        <v>31</v>
      </c>
      <c r="E3418" s="67">
        <f t="shared" si="1256"/>
        <v>10</v>
      </c>
      <c r="F3418" s="74">
        <f t="shared" si="1257"/>
        <v>47042.5</v>
      </c>
      <c r="G3418" s="67">
        <f t="shared" si="1258"/>
        <v>24345</v>
      </c>
      <c r="H3418" s="75">
        <f t="shared" si="1259"/>
        <v>1</v>
      </c>
      <c r="I3418" s="76">
        <f t="shared" si="1260"/>
        <v>1.0712000000000002</v>
      </c>
      <c r="J3418" s="76">
        <f t="shared" si="1261"/>
        <v>1.0712000000000002</v>
      </c>
      <c r="K3418" s="67">
        <f t="shared" si="1262"/>
        <v>0</v>
      </c>
      <c r="L3418" s="67">
        <f t="shared" si="1263"/>
        <v>0</v>
      </c>
      <c r="M3418" s="77">
        <f t="shared" si="1264"/>
        <v>0</v>
      </c>
      <c r="N3418" s="76">
        <f t="shared" si="1265"/>
        <v>1.0712000000000002</v>
      </c>
      <c r="O3418" s="77">
        <f t="shared" si="1266"/>
        <v>0.90500000000000003</v>
      </c>
      <c r="P3418" s="76">
        <f t="shared" si="1267"/>
        <v>0</v>
      </c>
      <c r="Q3418" s="76">
        <f t="shared" si="1268"/>
        <v>0</v>
      </c>
      <c r="R3418" s="76">
        <f t="shared" si="1269"/>
        <v>0.41666666666666669</v>
      </c>
      <c r="S3418" s="76">
        <f t="shared" si="1270"/>
        <v>1.0537347826086958</v>
      </c>
      <c r="T3418" s="76">
        <f t="shared" si="1271"/>
        <v>1.0186144872038816</v>
      </c>
      <c r="U3418" s="76">
        <f t="shared" si="1272"/>
        <v>1.0712000000000002</v>
      </c>
    </row>
    <row r="3419" spans="1:21" x14ac:dyDescent="0.25">
      <c r="A3419" s="71">
        <v>47</v>
      </c>
      <c r="B3419" s="72">
        <f t="shared" si="1273"/>
        <v>47058</v>
      </c>
      <c r="C3419" s="73">
        <f t="shared" si="1254"/>
        <v>47087</v>
      </c>
      <c r="D3419" s="67">
        <f t="shared" si="1255"/>
        <v>30</v>
      </c>
      <c r="E3419" s="67">
        <f t="shared" si="1256"/>
        <v>11</v>
      </c>
      <c r="F3419" s="74">
        <f t="shared" si="1257"/>
        <v>47073</v>
      </c>
      <c r="G3419" s="67">
        <f t="shared" si="1258"/>
        <v>24346</v>
      </c>
      <c r="H3419" s="75">
        <f t="shared" si="1259"/>
        <v>1</v>
      </c>
      <c r="I3419" s="76">
        <f t="shared" si="1260"/>
        <v>1.0712000000000002</v>
      </c>
      <c r="J3419" s="76">
        <f t="shared" si="1261"/>
        <v>1.0712000000000002</v>
      </c>
      <c r="K3419" s="67">
        <f t="shared" si="1262"/>
        <v>0</v>
      </c>
      <c r="L3419" s="67">
        <f t="shared" si="1263"/>
        <v>0</v>
      </c>
      <c r="M3419" s="77">
        <f t="shared" si="1264"/>
        <v>0</v>
      </c>
      <c r="N3419" s="76">
        <f t="shared" si="1265"/>
        <v>1.0712000000000002</v>
      </c>
      <c r="O3419" s="77">
        <f t="shared" si="1266"/>
        <v>0.90500000000000003</v>
      </c>
      <c r="P3419" s="76">
        <f t="shared" si="1267"/>
        <v>0</v>
      </c>
      <c r="Q3419" s="76">
        <f t="shared" si="1268"/>
        <v>0</v>
      </c>
      <c r="R3419" s="76">
        <f t="shared" si="1269"/>
        <v>0.25</v>
      </c>
      <c r="S3419" s="76">
        <f t="shared" si="1270"/>
        <v>1.0537347826086958</v>
      </c>
      <c r="T3419" s="76">
        <f t="shared" si="1271"/>
        <v>1.0182408904956712</v>
      </c>
      <c r="U3419" s="76">
        <f t="shared" si="1272"/>
        <v>1.0712000000000002</v>
      </c>
    </row>
    <row r="3420" spans="1:21" x14ac:dyDescent="0.25">
      <c r="A3420" s="71">
        <v>48</v>
      </c>
      <c r="B3420" s="72">
        <f t="shared" si="1273"/>
        <v>47088</v>
      </c>
      <c r="C3420" s="73">
        <f t="shared" si="1254"/>
        <v>47118</v>
      </c>
      <c r="D3420" s="67">
        <f t="shared" si="1255"/>
        <v>31</v>
      </c>
      <c r="E3420" s="67">
        <f t="shared" si="1256"/>
        <v>12</v>
      </c>
      <c r="F3420" s="74">
        <f t="shared" si="1257"/>
        <v>47103.5</v>
      </c>
      <c r="G3420" s="67">
        <f t="shared" si="1258"/>
        <v>24347</v>
      </c>
      <c r="H3420" s="75">
        <f t="shared" si="1259"/>
        <v>1</v>
      </c>
      <c r="I3420" s="76">
        <f t="shared" si="1260"/>
        <v>1.0712000000000002</v>
      </c>
      <c r="J3420" s="76">
        <f t="shared" si="1261"/>
        <v>1.0712000000000002</v>
      </c>
      <c r="K3420" s="67">
        <f t="shared" si="1262"/>
        <v>0</v>
      </c>
      <c r="L3420" s="67">
        <f t="shared" si="1263"/>
        <v>0</v>
      </c>
      <c r="M3420" s="77">
        <f t="shared" si="1264"/>
        <v>0</v>
      </c>
      <c r="N3420" s="76">
        <f t="shared" si="1265"/>
        <v>1.0712000000000002</v>
      </c>
      <c r="O3420" s="77">
        <f t="shared" si="1266"/>
        <v>0.90500000000000003</v>
      </c>
      <c r="P3420" s="76">
        <f t="shared" si="1267"/>
        <v>0</v>
      </c>
      <c r="Q3420" s="76">
        <f t="shared" si="1268"/>
        <v>0</v>
      </c>
      <c r="R3420" s="76">
        <f t="shared" si="1269"/>
        <v>8.3333333333333329E-2</v>
      </c>
      <c r="S3420" s="76">
        <f t="shared" si="1270"/>
        <v>1.0537347826086958</v>
      </c>
      <c r="T3420" s="76">
        <f t="shared" si="1271"/>
        <v>1.0178672937874609</v>
      </c>
      <c r="U3420" s="76">
        <f t="shared" si="1272"/>
        <v>1.0712000000000002</v>
      </c>
    </row>
    <row r="3421" spans="1:21" x14ac:dyDescent="0.25">
      <c r="A3421" s="81" t="s">
        <v>1187</v>
      </c>
      <c r="B3421" s="53">
        <f>EXP(SUMPRODUCT((rl_key=$A$3370)*(rl_cons="Y")*rl_ln1p))</f>
        <v>1.03</v>
      </c>
      <c r="C3421" s="53">
        <f>SUMPRODUCT($H$3373:$H$3420,$P$3373:$P$3420,$U$3373:$U$3420)/SUMPRODUCT($H$3373:$H$3420,$P$3373:$P$3420)</f>
        <v>1.0199999999999998</v>
      </c>
      <c r="D3421" s="53">
        <f>SUMPRODUCT($H$3373:$H$3420,$Q$3373:$Q$3420,$U$3373:$U$3420)/SUMPRODUCT($H$3373:$H$3420,$Q$3373:$Q$3420)</f>
        <v>1.057466666666667</v>
      </c>
      <c r="E3421" s="53">
        <f>SUMPRODUCT($H$3373:$H$3420,$R$3373:$R$3420,$U$3373:$U$3420)/SUMPRODUCT($H$3373:$H$3420,$R$3373:$R$3420)</f>
        <v>1.0712000000000004</v>
      </c>
      <c r="F3421" s="172">
        <f>SUMPRODUCT($H$3373:$H$3420,$Q$3373:$Q$3420,$O$3373:$O$3420)/SUMPRODUCT($H$3373:$H$3420,$Q$3373:$Q$3420)</f>
        <v>0.9080037381473377</v>
      </c>
      <c r="G3421" s="172">
        <f>SUMPRODUCT($H$3373:$H$3420,$R$3373:$R$3420,$O$3373:$O$3420)/SUMPRODUCT($H$3373:$H$3420,$R$3373:$R$3420)</f>
        <v>0.90516988815949428</v>
      </c>
    </row>
    <row r="3424" spans="1:21" x14ac:dyDescent="0.25">
      <c r="A3424" s="81" t="str">
        <f>INDEX(lr_key,63)</f>
        <v>BU-C|TX</v>
      </c>
      <c r="B3424" s="81" t="str">
        <f>INDEX(lr_state,63)</f>
        <v>TX</v>
      </c>
      <c r="C3424" s="55">
        <f>nr_TermMonths</f>
        <v>6</v>
      </c>
      <c r="D3424" s="55">
        <f>IF(COUNTIF(se_state,$B3424)=0,0,MATCH($B3424,se_state,0))</f>
        <v>0</v>
      </c>
      <c r="E3424" s="57">
        <f>IF($D3424=0,0,INDEX(se_sum,$D3424))</f>
        <v>0</v>
      </c>
      <c r="F3424" s="172">
        <f>IF(N(INDEX(lr_mind,63))=0,1,INDEX(lr_mind,63))</f>
        <v>0.92</v>
      </c>
      <c r="G3424" s="172">
        <f>IF(N(INDEX(lr_m0,63))=0,1,INDEX(lr_m0,63))</f>
        <v>0.91</v>
      </c>
      <c r="H3424" s="54">
        <f>IF(N(INDEX(lr_m0asof,63))=0,DATE(nr_PlanYear-1,10,1),INDEX(lr_m0asof,63))</f>
        <v>46295</v>
      </c>
      <c r="I3424" s="172">
        <f>IF(N(INDEX(lr_m1,63))=0,1,INDEX(lr_m1,63))</f>
        <v>0.92</v>
      </c>
      <c r="J3424" s="172">
        <f>INDEX(lr_mprior,63)</f>
        <v>0</v>
      </c>
      <c r="K3424" s="172">
        <f>INDEX(lr_m2,63)</f>
        <v>0</v>
      </c>
      <c r="L3424" s="81" t="b">
        <f>NOT(ISBLANK(INDEX(lr_netp,63)))</f>
        <v>0</v>
      </c>
      <c r="M3424" s="52">
        <f>N(INDEX(lr_netp,63))</f>
        <v>0</v>
      </c>
      <c r="N3424" s="52">
        <f>IF(ISBLANK(INDEX(lr_netp1,63)),$M$3424,N(INDEX(lr_netp1,63)))</f>
        <v>0</v>
      </c>
      <c r="O3424" s="55">
        <f>IF(AND(nr_ModAdjMaster="ON",INDEX(lr_modadj,63)="ON"),1,0)</f>
        <v>1</v>
      </c>
    </row>
    <row r="3425" spans="1:21" x14ac:dyDescent="0.25">
      <c r="A3425" s="81">
        <f>EDATE($H$3424,-12)+1</f>
        <v>45931</v>
      </c>
      <c r="B3425" s="81">
        <f>$H$3424+1</f>
        <v>46296</v>
      </c>
      <c r="C3425" s="81">
        <f>DATE(nr_PlanYear,12,31)+1</f>
        <v>46753</v>
      </c>
      <c r="D3425" s="81">
        <f>DATE(nr_PlanYear+1,12,31)+1</f>
        <v>47119</v>
      </c>
      <c r="E3425" s="81">
        <f>IF(N($J$3424)=0,$F$3425-($G$3425-$F$3425)/($C$3425-$B$3425)*($B$3425-$A$3425),$J$3424)</f>
        <v>0.9020131291028447</v>
      </c>
      <c r="F3425" s="81">
        <f>$G$3424</f>
        <v>0.91</v>
      </c>
      <c r="G3425" s="81">
        <f>$I$3424</f>
        <v>0.92</v>
      </c>
      <c r="H3425" s="81">
        <f>IF(N($K$3424)=0,$I$3424,$K$3424)</f>
        <v>0.92</v>
      </c>
      <c r="I3425" s="81">
        <f>($F$3425-$E$3425)/($B$3425-$A$3425)</f>
        <v>2.1881838074398162E-5</v>
      </c>
      <c r="J3425" s="81">
        <f>($G$3425-$F$3425)/($C$3425-$B$3425)</f>
        <v>2.188183807439827E-5</v>
      </c>
      <c r="K3425" s="81">
        <f>($H$3425-$G$3425)/($D$3425-$C$3425)</f>
        <v>0</v>
      </c>
    </row>
    <row r="3426" spans="1:21" ht="36" x14ac:dyDescent="0.25">
      <c r="A3426" s="50" t="s">
        <v>211</v>
      </c>
      <c r="B3426" s="50" t="s">
        <v>212</v>
      </c>
      <c r="C3426" s="50" t="s">
        <v>213</v>
      </c>
      <c r="D3426" s="50" t="s">
        <v>214</v>
      </c>
      <c r="E3426" s="50" t="s">
        <v>215</v>
      </c>
      <c r="F3426" s="50" t="s">
        <v>216</v>
      </c>
      <c r="G3426" s="50" t="s">
        <v>217</v>
      </c>
      <c r="H3426" s="50" t="s">
        <v>218</v>
      </c>
      <c r="I3426" s="50" t="s">
        <v>219</v>
      </c>
      <c r="J3426" s="50" t="s">
        <v>220</v>
      </c>
      <c r="K3426" s="50" t="s">
        <v>221</v>
      </c>
      <c r="L3426" s="50" t="s">
        <v>222</v>
      </c>
      <c r="M3426" s="50" t="s">
        <v>223</v>
      </c>
      <c r="N3426" s="50" t="s">
        <v>224</v>
      </c>
      <c r="O3426" s="50" t="s">
        <v>225</v>
      </c>
      <c r="P3426" s="50" t="s">
        <v>226</v>
      </c>
      <c r="Q3426" s="50" t="s">
        <v>227</v>
      </c>
      <c r="R3426" s="50" t="s">
        <v>228</v>
      </c>
      <c r="S3426" s="50" t="s">
        <v>229</v>
      </c>
      <c r="T3426" s="50" t="s">
        <v>230</v>
      </c>
      <c r="U3426" s="50" t="s">
        <v>231</v>
      </c>
    </row>
    <row r="3427" spans="1:21" x14ac:dyDescent="0.25">
      <c r="A3427" s="71">
        <v>1</v>
      </c>
      <c r="B3427" s="72">
        <f>DATE(nr_PlanYear-2,1,1)</f>
        <v>45658</v>
      </c>
      <c r="C3427" s="73">
        <f t="shared" ref="C3427:C3474" si="1274">EOMONTH($B3427,0)</f>
        <v>45688</v>
      </c>
      <c r="D3427" s="67">
        <f t="shared" ref="D3427:D3474" si="1275">$C3427-$B3427+1</f>
        <v>31</v>
      </c>
      <c r="E3427" s="67">
        <f t="shared" ref="E3427:E3474" si="1276">MONTH($B3427)</f>
        <v>1</v>
      </c>
      <c r="F3427" s="74">
        <f t="shared" ref="F3427:F3474" si="1277">($B3427+$C3427+1)/2</f>
        <v>45673.5</v>
      </c>
      <c r="G3427" s="67">
        <f t="shared" ref="G3427:G3474" si="1278">YEAR($B3427)*12+MONTH($B3427)-1</f>
        <v>24300</v>
      </c>
      <c r="H3427" s="75">
        <f t="shared" ref="H3427:H3474" si="1279">IF(OR(nr_SeasonOn="OFF",$D$3424=0,$E$3424=0),1,12*INDEX(se_block,$D$3424,$E3427)/$E$3424)</f>
        <v>1</v>
      </c>
      <c r="I3427" s="76">
        <f t="shared" ref="I3427:I3474" si="1280">EXP(SUMPRODUCT((rl_eff&lt;$B3427)*(rl_key=$A$3424)*rl_ln1p))</f>
        <v>1</v>
      </c>
      <c r="J3427" s="76">
        <f t="shared" ref="J3427:J3474" si="1281">EXP(SUMPRODUCT((rl_eff&lt;=$C3427)*(rl_key=$A$3424)*rl_ln1p))</f>
        <v>1</v>
      </c>
      <c r="K3427" s="67">
        <f t="shared" ref="K3427:K3474" si="1282">COUNTIFS(rl_key,$A$3424,rl_eff,"&gt;="&amp;$B3427,rl_eff,"&lt;="&amp;$C3427)</f>
        <v>0</v>
      </c>
      <c r="L3427" s="67">
        <f t="shared" ref="L3427:L3474" si="1283">SUMIFS(rl_daysafter,rl_key,$A$3424,rl_effmonth,$B3427,rl_first,1)</f>
        <v>0</v>
      </c>
      <c r="M3427" s="77">
        <f t="shared" ref="M3427:M3474" si="1284">IF($K3427=0,0,MIN(1,$L3427/$D3427))</f>
        <v>0</v>
      </c>
      <c r="N3427" s="76">
        <f t="shared" ref="N3427:N3474" si="1285">IF($K3427=0,$J3427,(1-$M3427)*$I3427+$M3427*$J3427)</f>
        <v>1</v>
      </c>
      <c r="O3427" s="77">
        <f t="shared" ref="O3427:O3474" si="1286">IF($F3427&lt;$B$3425,$E$3425+$I$3425*($F3427-$A$3425),IF($F3427&lt;$C$3425,$F$3425+$J$3425*($F3427-$B$3425),$G$3425+$K$3425*($F3427-$C$3425)))</f>
        <v>0.89637855579868719</v>
      </c>
      <c r="P3427" s="76">
        <f t="shared" ref="P3427:P3474" si="1287">MIN(1,MAX(0,(nr_MEndPm1-$G3427+0.5)/$C$3424))-MIN(1,MAX(0,(nr_MStartPm1-1-$G3427+0.5)/$C$3424))</f>
        <v>0</v>
      </c>
      <c r="Q3427" s="76">
        <f t="shared" ref="Q3427:Q3474" si="1288">MIN(1,MAX(0,(nr_MEndP-$G3427+0.5)/$C$3424))-MIN(1,MAX(0,(nr_MStartP-1-$G3427+0.5)/$C$3424))</f>
        <v>0</v>
      </c>
      <c r="R3427" s="76">
        <f t="shared" ref="R3427:R3474" si="1289">MIN(1,MAX(0,(nr_MEndP1-$G3427+0.5)/$C$3424))-MIN(1,MAX(0,(nr_MStartP1-1-$G3427+0.5)/$C$3424))</f>
        <v>0</v>
      </c>
      <c r="S3427" s="76">
        <f t="shared" ref="S3427:S3474" si="1290">$N3427*IF($O$3424=1,$O3427/$F$3424,1)</f>
        <v>0.97432451717248603</v>
      </c>
      <c r="T3427" s="76">
        <f t="shared" ref="T3427:T3474" si="1291">IF($G3427&lt;nr_MStartP,$S3427,$T3415*(1+IF($G3427&lt;nr_MStartP1,$M$3424,$N$3424)))</f>
        <v>0.97432451717248603</v>
      </c>
      <c r="U3427" s="76">
        <f t="shared" ref="U3427:U3474" si="1292">IF($L$3424,$T3427,$N3427)</f>
        <v>1</v>
      </c>
    </row>
    <row r="3428" spans="1:21" x14ac:dyDescent="0.25">
      <c r="A3428" s="71">
        <v>2</v>
      </c>
      <c r="B3428" s="72">
        <f t="shared" ref="B3428:B3474" si="1293">EDATE($B3427,1)</f>
        <v>45689</v>
      </c>
      <c r="C3428" s="73">
        <f t="shared" si="1274"/>
        <v>45716</v>
      </c>
      <c r="D3428" s="67">
        <f t="shared" si="1275"/>
        <v>28</v>
      </c>
      <c r="E3428" s="67">
        <f t="shared" si="1276"/>
        <v>2</v>
      </c>
      <c r="F3428" s="74">
        <f t="shared" si="1277"/>
        <v>45703</v>
      </c>
      <c r="G3428" s="67">
        <f t="shared" si="1278"/>
        <v>24301</v>
      </c>
      <c r="H3428" s="75">
        <f t="shared" si="1279"/>
        <v>1</v>
      </c>
      <c r="I3428" s="76">
        <f t="shared" si="1280"/>
        <v>1</v>
      </c>
      <c r="J3428" s="76">
        <f t="shared" si="1281"/>
        <v>1</v>
      </c>
      <c r="K3428" s="67">
        <f t="shared" si="1282"/>
        <v>0</v>
      </c>
      <c r="L3428" s="67">
        <f t="shared" si="1283"/>
        <v>0</v>
      </c>
      <c r="M3428" s="77">
        <f t="shared" si="1284"/>
        <v>0</v>
      </c>
      <c r="N3428" s="76">
        <f t="shared" si="1285"/>
        <v>1</v>
      </c>
      <c r="O3428" s="77">
        <f t="shared" si="1286"/>
        <v>0.89702407002188189</v>
      </c>
      <c r="P3428" s="76">
        <f t="shared" si="1287"/>
        <v>0</v>
      </c>
      <c r="Q3428" s="76">
        <f t="shared" si="1288"/>
        <v>0</v>
      </c>
      <c r="R3428" s="76">
        <f t="shared" si="1289"/>
        <v>0</v>
      </c>
      <c r="S3428" s="76">
        <f t="shared" si="1290"/>
        <v>0.97502616306726286</v>
      </c>
      <c r="T3428" s="76">
        <f t="shared" si="1291"/>
        <v>0.97502616306726286</v>
      </c>
      <c r="U3428" s="76">
        <f t="shared" si="1292"/>
        <v>1</v>
      </c>
    </row>
    <row r="3429" spans="1:21" x14ac:dyDescent="0.25">
      <c r="A3429" s="71">
        <v>3</v>
      </c>
      <c r="B3429" s="72">
        <f t="shared" si="1293"/>
        <v>45717</v>
      </c>
      <c r="C3429" s="73">
        <f t="shared" si="1274"/>
        <v>45747</v>
      </c>
      <c r="D3429" s="67">
        <f t="shared" si="1275"/>
        <v>31</v>
      </c>
      <c r="E3429" s="67">
        <f t="shared" si="1276"/>
        <v>3</v>
      </c>
      <c r="F3429" s="74">
        <f t="shared" si="1277"/>
        <v>45732.5</v>
      </c>
      <c r="G3429" s="67">
        <f t="shared" si="1278"/>
        <v>24302</v>
      </c>
      <c r="H3429" s="75">
        <f t="shared" si="1279"/>
        <v>1</v>
      </c>
      <c r="I3429" s="76">
        <f t="shared" si="1280"/>
        <v>1</v>
      </c>
      <c r="J3429" s="76">
        <f t="shared" si="1281"/>
        <v>1</v>
      </c>
      <c r="K3429" s="67">
        <f t="shared" si="1282"/>
        <v>0</v>
      </c>
      <c r="L3429" s="67">
        <f t="shared" si="1283"/>
        <v>0</v>
      </c>
      <c r="M3429" s="77">
        <f t="shared" si="1284"/>
        <v>0</v>
      </c>
      <c r="N3429" s="76">
        <f t="shared" si="1285"/>
        <v>1</v>
      </c>
      <c r="O3429" s="77">
        <f t="shared" si="1286"/>
        <v>0.8976695842450767</v>
      </c>
      <c r="P3429" s="76">
        <f t="shared" si="1287"/>
        <v>0</v>
      </c>
      <c r="Q3429" s="76">
        <f t="shared" si="1288"/>
        <v>0</v>
      </c>
      <c r="R3429" s="76">
        <f t="shared" si="1289"/>
        <v>0</v>
      </c>
      <c r="S3429" s="76">
        <f t="shared" si="1290"/>
        <v>0.97572780896203981</v>
      </c>
      <c r="T3429" s="76">
        <f t="shared" si="1291"/>
        <v>0.97572780896203981</v>
      </c>
      <c r="U3429" s="76">
        <f t="shared" si="1292"/>
        <v>1</v>
      </c>
    </row>
    <row r="3430" spans="1:21" x14ac:dyDescent="0.25">
      <c r="A3430" s="71">
        <v>4</v>
      </c>
      <c r="B3430" s="72">
        <f t="shared" si="1293"/>
        <v>45748</v>
      </c>
      <c r="C3430" s="73">
        <f t="shared" si="1274"/>
        <v>45777</v>
      </c>
      <c r="D3430" s="67">
        <f t="shared" si="1275"/>
        <v>30</v>
      </c>
      <c r="E3430" s="67">
        <f t="shared" si="1276"/>
        <v>4</v>
      </c>
      <c r="F3430" s="74">
        <f t="shared" si="1277"/>
        <v>45763</v>
      </c>
      <c r="G3430" s="67">
        <f t="shared" si="1278"/>
        <v>24303</v>
      </c>
      <c r="H3430" s="75">
        <f t="shared" si="1279"/>
        <v>1</v>
      </c>
      <c r="I3430" s="76">
        <f t="shared" si="1280"/>
        <v>1</v>
      </c>
      <c r="J3430" s="76">
        <f t="shared" si="1281"/>
        <v>1</v>
      </c>
      <c r="K3430" s="67">
        <f t="shared" si="1282"/>
        <v>0</v>
      </c>
      <c r="L3430" s="67">
        <f t="shared" si="1283"/>
        <v>0</v>
      </c>
      <c r="M3430" s="77">
        <f t="shared" si="1284"/>
        <v>0</v>
      </c>
      <c r="N3430" s="76">
        <f t="shared" si="1285"/>
        <v>1</v>
      </c>
      <c r="O3430" s="77">
        <f t="shared" si="1286"/>
        <v>0.89833698030634579</v>
      </c>
      <c r="P3430" s="76">
        <f t="shared" si="1287"/>
        <v>0</v>
      </c>
      <c r="Q3430" s="76">
        <f t="shared" si="1288"/>
        <v>0</v>
      </c>
      <c r="R3430" s="76">
        <f t="shared" si="1289"/>
        <v>0</v>
      </c>
      <c r="S3430" s="76">
        <f t="shared" si="1290"/>
        <v>0.97645323946341933</v>
      </c>
      <c r="T3430" s="76">
        <f t="shared" si="1291"/>
        <v>0.97645323946341933</v>
      </c>
      <c r="U3430" s="76">
        <f t="shared" si="1292"/>
        <v>1</v>
      </c>
    </row>
    <row r="3431" spans="1:21" x14ac:dyDescent="0.25">
      <c r="A3431" s="71">
        <v>5</v>
      </c>
      <c r="B3431" s="72">
        <f t="shared" si="1293"/>
        <v>45778</v>
      </c>
      <c r="C3431" s="73">
        <f t="shared" si="1274"/>
        <v>45808</v>
      </c>
      <c r="D3431" s="67">
        <f t="shared" si="1275"/>
        <v>31</v>
      </c>
      <c r="E3431" s="67">
        <f t="shared" si="1276"/>
        <v>5</v>
      </c>
      <c r="F3431" s="74">
        <f t="shared" si="1277"/>
        <v>45793.5</v>
      </c>
      <c r="G3431" s="67">
        <f t="shared" si="1278"/>
        <v>24304</v>
      </c>
      <c r="H3431" s="75">
        <f t="shared" si="1279"/>
        <v>1</v>
      </c>
      <c r="I3431" s="76">
        <f t="shared" si="1280"/>
        <v>1</v>
      </c>
      <c r="J3431" s="76">
        <f t="shared" si="1281"/>
        <v>1</v>
      </c>
      <c r="K3431" s="67">
        <f t="shared" si="1282"/>
        <v>0</v>
      </c>
      <c r="L3431" s="67">
        <f t="shared" si="1283"/>
        <v>0</v>
      </c>
      <c r="M3431" s="77">
        <f t="shared" si="1284"/>
        <v>0</v>
      </c>
      <c r="N3431" s="76">
        <f t="shared" si="1285"/>
        <v>1</v>
      </c>
      <c r="O3431" s="77">
        <f t="shared" si="1286"/>
        <v>0.89900437636761499</v>
      </c>
      <c r="P3431" s="76">
        <f t="shared" si="1287"/>
        <v>0</v>
      </c>
      <c r="Q3431" s="76">
        <f t="shared" si="1288"/>
        <v>0</v>
      </c>
      <c r="R3431" s="76">
        <f t="shared" si="1289"/>
        <v>0</v>
      </c>
      <c r="S3431" s="76">
        <f t="shared" si="1290"/>
        <v>0.97717866996479885</v>
      </c>
      <c r="T3431" s="76">
        <f t="shared" si="1291"/>
        <v>0.97717866996479885</v>
      </c>
      <c r="U3431" s="76">
        <f t="shared" si="1292"/>
        <v>1</v>
      </c>
    </row>
    <row r="3432" spans="1:21" x14ac:dyDescent="0.25">
      <c r="A3432" s="71">
        <v>6</v>
      </c>
      <c r="B3432" s="72">
        <f t="shared" si="1293"/>
        <v>45809</v>
      </c>
      <c r="C3432" s="73">
        <f t="shared" si="1274"/>
        <v>45838</v>
      </c>
      <c r="D3432" s="67">
        <f t="shared" si="1275"/>
        <v>30</v>
      </c>
      <c r="E3432" s="67">
        <f t="shared" si="1276"/>
        <v>6</v>
      </c>
      <c r="F3432" s="74">
        <f t="shared" si="1277"/>
        <v>45824</v>
      </c>
      <c r="G3432" s="67">
        <f t="shared" si="1278"/>
        <v>24305</v>
      </c>
      <c r="H3432" s="75">
        <f t="shared" si="1279"/>
        <v>1</v>
      </c>
      <c r="I3432" s="76">
        <f t="shared" si="1280"/>
        <v>1</v>
      </c>
      <c r="J3432" s="76">
        <f t="shared" si="1281"/>
        <v>1</v>
      </c>
      <c r="K3432" s="67">
        <f t="shared" si="1282"/>
        <v>0</v>
      </c>
      <c r="L3432" s="67">
        <f t="shared" si="1283"/>
        <v>0</v>
      </c>
      <c r="M3432" s="77">
        <f t="shared" si="1284"/>
        <v>0</v>
      </c>
      <c r="N3432" s="76">
        <f t="shared" si="1285"/>
        <v>1</v>
      </c>
      <c r="O3432" s="77">
        <f t="shared" si="1286"/>
        <v>0.89967177242888408</v>
      </c>
      <c r="P3432" s="76">
        <f t="shared" si="1287"/>
        <v>0</v>
      </c>
      <c r="Q3432" s="76">
        <f t="shared" si="1288"/>
        <v>0</v>
      </c>
      <c r="R3432" s="76">
        <f t="shared" si="1289"/>
        <v>0</v>
      </c>
      <c r="S3432" s="76">
        <f t="shared" si="1290"/>
        <v>0.97790410046617826</v>
      </c>
      <c r="T3432" s="76">
        <f t="shared" si="1291"/>
        <v>0.97790410046617826</v>
      </c>
      <c r="U3432" s="76">
        <f t="shared" si="1292"/>
        <v>1</v>
      </c>
    </row>
    <row r="3433" spans="1:21" x14ac:dyDescent="0.25">
      <c r="A3433" s="71">
        <v>7</v>
      </c>
      <c r="B3433" s="72">
        <f t="shared" si="1293"/>
        <v>45839</v>
      </c>
      <c r="C3433" s="73">
        <f t="shared" si="1274"/>
        <v>45869</v>
      </c>
      <c r="D3433" s="67">
        <f t="shared" si="1275"/>
        <v>31</v>
      </c>
      <c r="E3433" s="67">
        <f t="shared" si="1276"/>
        <v>7</v>
      </c>
      <c r="F3433" s="74">
        <f t="shared" si="1277"/>
        <v>45854.5</v>
      </c>
      <c r="G3433" s="67">
        <f t="shared" si="1278"/>
        <v>24306</v>
      </c>
      <c r="H3433" s="75">
        <f t="shared" si="1279"/>
        <v>1</v>
      </c>
      <c r="I3433" s="76">
        <f t="shared" si="1280"/>
        <v>1</v>
      </c>
      <c r="J3433" s="76">
        <f t="shared" si="1281"/>
        <v>1</v>
      </c>
      <c r="K3433" s="67">
        <f t="shared" si="1282"/>
        <v>0</v>
      </c>
      <c r="L3433" s="67">
        <f t="shared" si="1283"/>
        <v>0</v>
      </c>
      <c r="M3433" s="77">
        <f t="shared" si="1284"/>
        <v>0</v>
      </c>
      <c r="N3433" s="76">
        <f t="shared" si="1285"/>
        <v>1</v>
      </c>
      <c r="O3433" s="77">
        <f t="shared" si="1286"/>
        <v>0.90033916849015327</v>
      </c>
      <c r="P3433" s="76">
        <f t="shared" si="1287"/>
        <v>8.333333333333337E-2</v>
      </c>
      <c r="Q3433" s="76">
        <f t="shared" si="1288"/>
        <v>0</v>
      </c>
      <c r="R3433" s="76">
        <f t="shared" si="1289"/>
        <v>0</v>
      </c>
      <c r="S3433" s="76">
        <f t="shared" si="1290"/>
        <v>0.97862953096755789</v>
      </c>
      <c r="T3433" s="76">
        <f t="shared" si="1291"/>
        <v>0.97862953096755789</v>
      </c>
      <c r="U3433" s="76">
        <f t="shared" si="1292"/>
        <v>1</v>
      </c>
    </row>
    <row r="3434" spans="1:21" x14ac:dyDescent="0.25">
      <c r="A3434" s="71">
        <v>8</v>
      </c>
      <c r="B3434" s="72">
        <f t="shared" si="1293"/>
        <v>45870</v>
      </c>
      <c r="C3434" s="73">
        <f t="shared" si="1274"/>
        <v>45900</v>
      </c>
      <c r="D3434" s="67">
        <f t="shared" si="1275"/>
        <v>31</v>
      </c>
      <c r="E3434" s="67">
        <f t="shared" si="1276"/>
        <v>8</v>
      </c>
      <c r="F3434" s="74">
        <f t="shared" si="1277"/>
        <v>45885.5</v>
      </c>
      <c r="G3434" s="67">
        <f t="shared" si="1278"/>
        <v>24307</v>
      </c>
      <c r="H3434" s="75">
        <f t="shared" si="1279"/>
        <v>1</v>
      </c>
      <c r="I3434" s="76">
        <f t="shared" si="1280"/>
        <v>1</v>
      </c>
      <c r="J3434" s="76">
        <f t="shared" si="1281"/>
        <v>1</v>
      </c>
      <c r="K3434" s="67">
        <f t="shared" si="1282"/>
        <v>0</v>
      </c>
      <c r="L3434" s="67">
        <f t="shared" si="1283"/>
        <v>0</v>
      </c>
      <c r="M3434" s="77">
        <f t="shared" si="1284"/>
        <v>0</v>
      </c>
      <c r="N3434" s="76">
        <f t="shared" si="1285"/>
        <v>1</v>
      </c>
      <c r="O3434" s="77">
        <f t="shared" si="1286"/>
        <v>0.90101750547045956</v>
      </c>
      <c r="P3434" s="76">
        <f t="shared" si="1287"/>
        <v>0.25</v>
      </c>
      <c r="Q3434" s="76">
        <f t="shared" si="1288"/>
        <v>0</v>
      </c>
      <c r="R3434" s="76">
        <f t="shared" si="1289"/>
        <v>0</v>
      </c>
      <c r="S3434" s="76">
        <f t="shared" si="1290"/>
        <v>0.97936685377223864</v>
      </c>
      <c r="T3434" s="76">
        <f t="shared" si="1291"/>
        <v>0.97936685377223864</v>
      </c>
      <c r="U3434" s="76">
        <f t="shared" si="1292"/>
        <v>1</v>
      </c>
    </row>
    <row r="3435" spans="1:21" x14ac:dyDescent="0.25">
      <c r="A3435" s="71">
        <v>9</v>
      </c>
      <c r="B3435" s="72">
        <f t="shared" si="1293"/>
        <v>45901</v>
      </c>
      <c r="C3435" s="73">
        <f t="shared" si="1274"/>
        <v>45930</v>
      </c>
      <c r="D3435" s="67">
        <f t="shared" si="1275"/>
        <v>30</v>
      </c>
      <c r="E3435" s="67">
        <f t="shared" si="1276"/>
        <v>9</v>
      </c>
      <c r="F3435" s="74">
        <f t="shared" si="1277"/>
        <v>45916</v>
      </c>
      <c r="G3435" s="67">
        <f t="shared" si="1278"/>
        <v>24308</v>
      </c>
      <c r="H3435" s="75">
        <f t="shared" si="1279"/>
        <v>1</v>
      </c>
      <c r="I3435" s="76">
        <f t="shared" si="1280"/>
        <v>1</v>
      </c>
      <c r="J3435" s="76">
        <f t="shared" si="1281"/>
        <v>1</v>
      </c>
      <c r="K3435" s="67">
        <f t="shared" si="1282"/>
        <v>0</v>
      </c>
      <c r="L3435" s="67">
        <f t="shared" si="1283"/>
        <v>0</v>
      </c>
      <c r="M3435" s="77">
        <f t="shared" si="1284"/>
        <v>0</v>
      </c>
      <c r="N3435" s="76">
        <f t="shared" si="1285"/>
        <v>1</v>
      </c>
      <c r="O3435" s="77">
        <f t="shared" si="1286"/>
        <v>0.90168490153172876</v>
      </c>
      <c r="P3435" s="76">
        <f t="shared" si="1287"/>
        <v>0.41666666666666663</v>
      </c>
      <c r="Q3435" s="76">
        <f t="shared" si="1288"/>
        <v>0</v>
      </c>
      <c r="R3435" s="76">
        <f t="shared" si="1289"/>
        <v>0</v>
      </c>
      <c r="S3435" s="76">
        <f t="shared" si="1290"/>
        <v>0.98009228427361816</v>
      </c>
      <c r="T3435" s="76">
        <f t="shared" si="1291"/>
        <v>0.98009228427361816</v>
      </c>
      <c r="U3435" s="76">
        <f t="shared" si="1292"/>
        <v>1</v>
      </c>
    </row>
    <row r="3436" spans="1:21" x14ac:dyDescent="0.25">
      <c r="A3436" s="71">
        <v>10</v>
      </c>
      <c r="B3436" s="72">
        <f t="shared" si="1293"/>
        <v>45931</v>
      </c>
      <c r="C3436" s="73">
        <f t="shared" si="1274"/>
        <v>45961</v>
      </c>
      <c r="D3436" s="67">
        <f t="shared" si="1275"/>
        <v>31</v>
      </c>
      <c r="E3436" s="67">
        <f t="shared" si="1276"/>
        <v>10</v>
      </c>
      <c r="F3436" s="74">
        <f t="shared" si="1277"/>
        <v>45946.5</v>
      </c>
      <c r="G3436" s="67">
        <f t="shared" si="1278"/>
        <v>24309</v>
      </c>
      <c r="H3436" s="75">
        <f t="shared" si="1279"/>
        <v>1</v>
      </c>
      <c r="I3436" s="76">
        <f t="shared" si="1280"/>
        <v>1</v>
      </c>
      <c r="J3436" s="76">
        <f t="shared" si="1281"/>
        <v>1</v>
      </c>
      <c r="K3436" s="67">
        <f t="shared" si="1282"/>
        <v>0</v>
      </c>
      <c r="L3436" s="67">
        <f t="shared" si="1283"/>
        <v>0</v>
      </c>
      <c r="M3436" s="77">
        <f t="shared" si="1284"/>
        <v>0</v>
      </c>
      <c r="N3436" s="76">
        <f t="shared" si="1285"/>
        <v>1</v>
      </c>
      <c r="O3436" s="77">
        <f t="shared" si="1286"/>
        <v>0.90235229759299784</v>
      </c>
      <c r="P3436" s="76">
        <f t="shared" si="1287"/>
        <v>0.58333333333333326</v>
      </c>
      <c r="Q3436" s="76">
        <f t="shared" si="1288"/>
        <v>0</v>
      </c>
      <c r="R3436" s="76">
        <f t="shared" si="1289"/>
        <v>0</v>
      </c>
      <c r="S3436" s="76">
        <f t="shared" si="1290"/>
        <v>0.98081771477499757</v>
      </c>
      <c r="T3436" s="76">
        <f t="shared" si="1291"/>
        <v>0.98081771477499757</v>
      </c>
      <c r="U3436" s="76">
        <f t="shared" si="1292"/>
        <v>1</v>
      </c>
    </row>
    <row r="3437" spans="1:21" x14ac:dyDescent="0.25">
      <c r="A3437" s="71">
        <v>11</v>
      </c>
      <c r="B3437" s="72">
        <f t="shared" si="1293"/>
        <v>45962</v>
      </c>
      <c r="C3437" s="73">
        <f t="shared" si="1274"/>
        <v>45991</v>
      </c>
      <c r="D3437" s="67">
        <f t="shared" si="1275"/>
        <v>30</v>
      </c>
      <c r="E3437" s="67">
        <f t="shared" si="1276"/>
        <v>11</v>
      </c>
      <c r="F3437" s="74">
        <f t="shared" si="1277"/>
        <v>45977</v>
      </c>
      <c r="G3437" s="67">
        <f t="shared" si="1278"/>
        <v>24310</v>
      </c>
      <c r="H3437" s="75">
        <f t="shared" si="1279"/>
        <v>1</v>
      </c>
      <c r="I3437" s="76">
        <f t="shared" si="1280"/>
        <v>1</v>
      </c>
      <c r="J3437" s="76">
        <f t="shared" si="1281"/>
        <v>1</v>
      </c>
      <c r="K3437" s="67">
        <f t="shared" si="1282"/>
        <v>0</v>
      </c>
      <c r="L3437" s="67">
        <f t="shared" si="1283"/>
        <v>0</v>
      </c>
      <c r="M3437" s="77">
        <f t="shared" si="1284"/>
        <v>0</v>
      </c>
      <c r="N3437" s="76">
        <f t="shared" si="1285"/>
        <v>1</v>
      </c>
      <c r="O3437" s="77">
        <f t="shared" si="1286"/>
        <v>0.90301969365426704</v>
      </c>
      <c r="P3437" s="76">
        <f t="shared" si="1287"/>
        <v>0.75</v>
      </c>
      <c r="Q3437" s="76">
        <f t="shared" si="1288"/>
        <v>0</v>
      </c>
      <c r="R3437" s="76">
        <f t="shared" si="1289"/>
        <v>0</v>
      </c>
      <c r="S3437" s="76">
        <f t="shared" si="1290"/>
        <v>0.9815431452763772</v>
      </c>
      <c r="T3437" s="76">
        <f t="shared" si="1291"/>
        <v>0.9815431452763772</v>
      </c>
      <c r="U3437" s="76">
        <f t="shared" si="1292"/>
        <v>1</v>
      </c>
    </row>
    <row r="3438" spans="1:21" x14ac:dyDescent="0.25">
      <c r="A3438" s="71">
        <v>12</v>
      </c>
      <c r="B3438" s="72">
        <f t="shared" si="1293"/>
        <v>45992</v>
      </c>
      <c r="C3438" s="73">
        <f t="shared" si="1274"/>
        <v>46022</v>
      </c>
      <c r="D3438" s="67">
        <f t="shared" si="1275"/>
        <v>31</v>
      </c>
      <c r="E3438" s="67">
        <f t="shared" si="1276"/>
        <v>12</v>
      </c>
      <c r="F3438" s="74">
        <f t="shared" si="1277"/>
        <v>46007.5</v>
      </c>
      <c r="G3438" s="67">
        <f t="shared" si="1278"/>
        <v>24311</v>
      </c>
      <c r="H3438" s="75">
        <f t="shared" si="1279"/>
        <v>1</v>
      </c>
      <c r="I3438" s="76">
        <f t="shared" si="1280"/>
        <v>1</v>
      </c>
      <c r="J3438" s="76">
        <f t="shared" si="1281"/>
        <v>1</v>
      </c>
      <c r="K3438" s="67">
        <f t="shared" si="1282"/>
        <v>0</v>
      </c>
      <c r="L3438" s="67">
        <f t="shared" si="1283"/>
        <v>0</v>
      </c>
      <c r="M3438" s="77">
        <f t="shared" si="1284"/>
        <v>0</v>
      </c>
      <c r="N3438" s="76">
        <f t="shared" si="1285"/>
        <v>1</v>
      </c>
      <c r="O3438" s="77">
        <f t="shared" si="1286"/>
        <v>0.90368708971553613</v>
      </c>
      <c r="P3438" s="76">
        <f t="shared" si="1287"/>
        <v>0.91666666666666663</v>
      </c>
      <c r="Q3438" s="76">
        <f t="shared" si="1288"/>
        <v>0</v>
      </c>
      <c r="R3438" s="76">
        <f t="shared" si="1289"/>
        <v>0</v>
      </c>
      <c r="S3438" s="76">
        <f t="shared" si="1290"/>
        <v>0.98226857577775661</v>
      </c>
      <c r="T3438" s="76">
        <f t="shared" si="1291"/>
        <v>0.98226857577775661</v>
      </c>
      <c r="U3438" s="76">
        <f t="shared" si="1292"/>
        <v>1</v>
      </c>
    </row>
    <row r="3439" spans="1:21" x14ac:dyDescent="0.25">
      <c r="A3439" s="71">
        <v>13</v>
      </c>
      <c r="B3439" s="72">
        <f t="shared" si="1293"/>
        <v>46023</v>
      </c>
      <c r="C3439" s="73">
        <f t="shared" si="1274"/>
        <v>46053</v>
      </c>
      <c r="D3439" s="67">
        <f t="shared" si="1275"/>
        <v>31</v>
      </c>
      <c r="E3439" s="67">
        <f t="shared" si="1276"/>
        <v>1</v>
      </c>
      <c r="F3439" s="74">
        <f t="shared" si="1277"/>
        <v>46038.5</v>
      </c>
      <c r="G3439" s="67">
        <f t="shared" si="1278"/>
        <v>24312</v>
      </c>
      <c r="H3439" s="75">
        <f t="shared" si="1279"/>
        <v>1</v>
      </c>
      <c r="I3439" s="76">
        <f t="shared" si="1280"/>
        <v>1</v>
      </c>
      <c r="J3439" s="76">
        <f t="shared" si="1281"/>
        <v>1</v>
      </c>
      <c r="K3439" s="67">
        <f t="shared" si="1282"/>
        <v>0</v>
      </c>
      <c r="L3439" s="67">
        <f t="shared" si="1283"/>
        <v>0</v>
      </c>
      <c r="M3439" s="77">
        <f t="shared" si="1284"/>
        <v>0</v>
      </c>
      <c r="N3439" s="76">
        <f t="shared" si="1285"/>
        <v>1</v>
      </c>
      <c r="O3439" s="77">
        <f t="shared" si="1286"/>
        <v>0.90436542669584252</v>
      </c>
      <c r="P3439" s="76">
        <f t="shared" si="1287"/>
        <v>1</v>
      </c>
      <c r="Q3439" s="76">
        <f t="shared" si="1288"/>
        <v>0</v>
      </c>
      <c r="R3439" s="76">
        <f t="shared" si="1289"/>
        <v>0</v>
      </c>
      <c r="S3439" s="76">
        <f t="shared" si="1290"/>
        <v>0.98300589858243748</v>
      </c>
      <c r="T3439" s="76">
        <f t="shared" si="1291"/>
        <v>0.98300589858243748</v>
      </c>
      <c r="U3439" s="76">
        <f t="shared" si="1292"/>
        <v>1</v>
      </c>
    </row>
    <row r="3440" spans="1:21" x14ac:dyDescent="0.25">
      <c r="A3440" s="71">
        <v>14</v>
      </c>
      <c r="B3440" s="72">
        <f t="shared" si="1293"/>
        <v>46054</v>
      </c>
      <c r="C3440" s="73">
        <f t="shared" si="1274"/>
        <v>46081</v>
      </c>
      <c r="D3440" s="67">
        <f t="shared" si="1275"/>
        <v>28</v>
      </c>
      <c r="E3440" s="67">
        <f t="shared" si="1276"/>
        <v>2</v>
      </c>
      <c r="F3440" s="74">
        <f t="shared" si="1277"/>
        <v>46068</v>
      </c>
      <c r="G3440" s="67">
        <f t="shared" si="1278"/>
        <v>24313</v>
      </c>
      <c r="H3440" s="75">
        <f t="shared" si="1279"/>
        <v>1</v>
      </c>
      <c r="I3440" s="76">
        <f t="shared" si="1280"/>
        <v>1</v>
      </c>
      <c r="J3440" s="76">
        <f t="shared" si="1281"/>
        <v>1</v>
      </c>
      <c r="K3440" s="67">
        <f t="shared" si="1282"/>
        <v>0</v>
      </c>
      <c r="L3440" s="67">
        <f t="shared" si="1283"/>
        <v>0</v>
      </c>
      <c r="M3440" s="77">
        <f t="shared" si="1284"/>
        <v>0</v>
      </c>
      <c r="N3440" s="76">
        <f t="shared" si="1285"/>
        <v>1</v>
      </c>
      <c r="O3440" s="77">
        <f t="shared" si="1286"/>
        <v>0.90501094091903722</v>
      </c>
      <c r="P3440" s="76">
        <f t="shared" si="1287"/>
        <v>1</v>
      </c>
      <c r="Q3440" s="76">
        <f t="shared" si="1288"/>
        <v>0</v>
      </c>
      <c r="R3440" s="76">
        <f t="shared" si="1289"/>
        <v>0</v>
      </c>
      <c r="S3440" s="76">
        <f t="shared" si="1290"/>
        <v>0.98370754447721431</v>
      </c>
      <c r="T3440" s="76">
        <f t="shared" si="1291"/>
        <v>0.98370754447721431</v>
      </c>
      <c r="U3440" s="76">
        <f t="shared" si="1292"/>
        <v>1</v>
      </c>
    </row>
    <row r="3441" spans="1:21" x14ac:dyDescent="0.25">
      <c r="A3441" s="71">
        <v>15</v>
      </c>
      <c r="B3441" s="72">
        <f t="shared" si="1293"/>
        <v>46082</v>
      </c>
      <c r="C3441" s="73">
        <f t="shared" si="1274"/>
        <v>46112</v>
      </c>
      <c r="D3441" s="67">
        <f t="shared" si="1275"/>
        <v>31</v>
      </c>
      <c r="E3441" s="67">
        <f t="shared" si="1276"/>
        <v>3</v>
      </c>
      <c r="F3441" s="74">
        <f t="shared" si="1277"/>
        <v>46097.5</v>
      </c>
      <c r="G3441" s="67">
        <f t="shared" si="1278"/>
        <v>24314</v>
      </c>
      <c r="H3441" s="75">
        <f t="shared" si="1279"/>
        <v>1</v>
      </c>
      <c r="I3441" s="76">
        <f t="shared" si="1280"/>
        <v>1</v>
      </c>
      <c r="J3441" s="76">
        <f t="shared" si="1281"/>
        <v>1</v>
      </c>
      <c r="K3441" s="67">
        <f t="shared" si="1282"/>
        <v>0</v>
      </c>
      <c r="L3441" s="67">
        <f t="shared" si="1283"/>
        <v>0</v>
      </c>
      <c r="M3441" s="77">
        <f t="shared" si="1284"/>
        <v>0</v>
      </c>
      <c r="N3441" s="76">
        <f t="shared" si="1285"/>
        <v>1</v>
      </c>
      <c r="O3441" s="77">
        <f t="shared" si="1286"/>
        <v>0.90565645514223203</v>
      </c>
      <c r="P3441" s="76">
        <f t="shared" si="1287"/>
        <v>1</v>
      </c>
      <c r="Q3441" s="76">
        <f t="shared" si="1288"/>
        <v>0</v>
      </c>
      <c r="R3441" s="76">
        <f t="shared" si="1289"/>
        <v>0</v>
      </c>
      <c r="S3441" s="76">
        <f t="shared" si="1290"/>
        <v>0.98440919037199126</v>
      </c>
      <c r="T3441" s="76">
        <f t="shared" si="1291"/>
        <v>0.98440919037199126</v>
      </c>
      <c r="U3441" s="76">
        <f t="shared" si="1292"/>
        <v>1</v>
      </c>
    </row>
    <row r="3442" spans="1:21" x14ac:dyDescent="0.25">
      <c r="A3442" s="71">
        <v>16</v>
      </c>
      <c r="B3442" s="72">
        <f t="shared" si="1293"/>
        <v>46113</v>
      </c>
      <c r="C3442" s="73">
        <f t="shared" si="1274"/>
        <v>46142</v>
      </c>
      <c r="D3442" s="67">
        <f t="shared" si="1275"/>
        <v>30</v>
      </c>
      <c r="E3442" s="67">
        <f t="shared" si="1276"/>
        <v>4</v>
      </c>
      <c r="F3442" s="74">
        <f t="shared" si="1277"/>
        <v>46128</v>
      </c>
      <c r="G3442" s="67">
        <f t="shared" si="1278"/>
        <v>24315</v>
      </c>
      <c r="H3442" s="75">
        <f t="shared" si="1279"/>
        <v>1</v>
      </c>
      <c r="I3442" s="76">
        <f t="shared" si="1280"/>
        <v>1</v>
      </c>
      <c r="J3442" s="76">
        <f t="shared" si="1281"/>
        <v>1</v>
      </c>
      <c r="K3442" s="67">
        <f t="shared" si="1282"/>
        <v>0</v>
      </c>
      <c r="L3442" s="67">
        <f t="shared" si="1283"/>
        <v>0</v>
      </c>
      <c r="M3442" s="77">
        <f t="shared" si="1284"/>
        <v>0</v>
      </c>
      <c r="N3442" s="76">
        <f t="shared" si="1285"/>
        <v>1</v>
      </c>
      <c r="O3442" s="77">
        <f t="shared" si="1286"/>
        <v>0.90632385120350112</v>
      </c>
      <c r="P3442" s="76">
        <f t="shared" si="1287"/>
        <v>1</v>
      </c>
      <c r="Q3442" s="76">
        <f t="shared" si="1288"/>
        <v>0</v>
      </c>
      <c r="R3442" s="76">
        <f t="shared" si="1289"/>
        <v>0</v>
      </c>
      <c r="S3442" s="76">
        <f t="shared" si="1290"/>
        <v>0.98513462087337078</v>
      </c>
      <c r="T3442" s="76">
        <f t="shared" si="1291"/>
        <v>0.98513462087337078</v>
      </c>
      <c r="U3442" s="76">
        <f t="shared" si="1292"/>
        <v>1</v>
      </c>
    </row>
    <row r="3443" spans="1:21" x14ac:dyDescent="0.25">
      <c r="A3443" s="71">
        <v>17</v>
      </c>
      <c r="B3443" s="72">
        <f t="shared" si="1293"/>
        <v>46143</v>
      </c>
      <c r="C3443" s="73">
        <f t="shared" si="1274"/>
        <v>46173</v>
      </c>
      <c r="D3443" s="67">
        <f t="shared" si="1275"/>
        <v>31</v>
      </c>
      <c r="E3443" s="67">
        <f t="shared" si="1276"/>
        <v>5</v>
      </c>
      <c r="F3443" s="74">
        <f t="shared" si="1277"/>
        <v>46158.5</v>
      </c>
      <c r="G3443" s="67">
        <f t="shared" si="1278"/>
        <v>24316</v>
      </c>
      <c r="H3443" s="75">
        <f t="shared" si="1279"/>
        <v>1</v>
      </c>
      <c r="I3443" s="76">
        <f t="shared" si="1280"/>
        <v>1</v>
      </c>
      <c r="J3443" s="76">
        <f t="shared" si="1281"/>
        <v>1</v>
      </c>
      <c r="K3443" s="67">
        <f t="shared" si="1282"/>
        <v>0</v>
      </c>
      <c r="L3443" s="67">
        <f t="shared" si="1283"/>
        <v>0</v>
      </c>
      <c r="M3443" s="77">
        <f t="shared" si="1284"/>
        <v>0</v>
      </c>
      <c r="N3443" s="76">
        <f t="shared" si="1285"/>
        <v>1</v>
      </c>
      <c r="O3443" s="77">
        <f t="shared" si="1286"/>
        <v>0.90699124726477032</v>
      </c>
      <c r="P3443" s="76">
        <f t="shared" si="1287"/>
        <v>1</v>
      </c>
      <c r="Q3443" s="76">
        <f t="shared" si="1288"/>
        <v>0</v>
      </c>
      <c r="R3443" s="76">
        <f t="shared" si="1289"/>
        <v>0</v>
      </c>
      <c r="S3443" s="76">
        <f t="shared" si="1290"/>
        <v>0.9858600513747503</v>
      </c>
      <c r="T3443" s="76">
        <f t="shared" si="1291"/>
        <v>0.9858600513747503</v>
      </c>
      <c r="U3443" s="76">
        <f t="shared" si="1292"/>
        <v>1</v>
      </c>
    </row>
    <row r="3444" spans="1:21" x14ac:dyDescent="0.25">
      <c r="A3444" s="71">
        <v>18</v>
      </c>
      <c r="B3444" s="72">
        <f t="shared" si="1293"/>
        <v>46174</v>
      </c>
      <c r="C3444" s="73">
        <f t="shared" si="1274"/>
        <v>46203</v>
      </c>
      <c r="D3444" s="67">
        <f t="shared" si="1275"/>
        <v>30</v>
      </c>
      <c r="E3444" s="67">
        <f t="shared" si="1276"/>
        <v>6</v>
      </c>
      <c r="F3444" s="74">
        <f t="shared" si="1277"/>
        <v>46189</v>
      </c>
      <c r="G3444" s="67">
        <f t="shared" si="1278"/>
        <v>24317</v>
      </c>
      <c r="H3444" s="75">
        <f t="shared" si="1279"/>
        <v>1</v>
      </c>
      <c r="I3444" s="76">
        <f t="shared" si="1280"/>
        <v>1</v>
      </c>
      <c r="J3444" s="76">
        <f t="shared" si="1281"/>
        <v>1</v>
      </c>
      <c r="K3444" s="67">
        <f t="shared" si="1282"/>
        <v>0</v>
      </c>
      <c r="L3444" s="67">
        <f t="shared" si="1283"/>
        <v>0</v>
      </c>
      <c r="M3444" s="77">
        <f t="shared" si="1284"/>
        <v>0</v>
      </c>
      <c r="N3444" s="76">
        <f t="shared" si="1285"/>
        <v>1</v>
      </c>
      <c r="O3444" s="77">
        <f t="shared" si="1286"/>
        <v>0.9076586433260394</v>
      </c>
      <c r="P3444" s="76">
        <f t="shared" si="1287"/>
        <v>1</v>
      </c>
      <c r="Q3444" s="76">
        <f t="shared" si="1288"/>
        <v>0</v>
      </c>
      <c r="R3444" s="76">
        <f t="shared" si="1289"/>
        <v>0</v>
      </c>
      <c r="S3444" s="76">
        <f t="shared" si="1290"/>
        <v>0.98658548187612971</v>
      </c>
      <c r="T3444" s="76">
        <f t="shared" si="1291"/>
        <v>0.98658548187612971</v>
      </c>
      <c r="U3444" s="76">
        <f t="shared" si="1292"/>
        <v>1</v>
      </c>
    </row>
    <row r="3445" spans="1:21" x14ac:dyDescent="0.25">
      <c r="A3445" s="71">
        <v>19</v>
      </c>
      <c r="B3445" s="72">
        <f t="shared" si="1293"/>
        <v>46204</v>
      </c>
      <c r="C3445" s="73">
        <f t="shared" si="1274"/>
        <v>46234</v>
      </c>
      <c r="D3445" s="67">
        <f t="shared" si="1275"/>
        <v>31</v>
      </c>
      <c r="E3445" s="67">
        <f t="shared" si="1276"/>
        <v>7</v>
      </c>
      <c r="F3445" s="74">
        <f t="shared" si="1277"/>
        <v>46219.5</v>
      </c>
      <c r="G3445" s="67">
        <f t="shared" si="1278"/>
        <v>24318</v>
      </c>
      <c r="H3445" s="75">
        <f t="shared" si="1279"/>
        <v>1</v>
      </c>
      <c r="I3445" s="76">
        <f t="shared" si="1280"/>
        <v>1</v>
      </c>
      <c r="J3445" s="76">
        <f t="shared" si="1281"/>
        <v>1</v>
      </c>
      <c r="K3445" s="67">
        <f t="shared" si="1282"/>
        <v>0</v>
      </c>
      <c r="L3445" s="67">
        <f t="shared" si="1283"/>
        <v>0</v>
      </c>
      <c r="M3445" s="77">
        <f t="shared" si="1284"/>
        <v>0</v>
      </c>
      <c r="N3445" s="76">
        <f t="shared" si="1285"/>
        <v>1</v>
      </c>
      <c r="O3445" s="77">
        <f t="shared" si="1286"/>
        <v>0.9083260393873086</v>
      </c>
      <c r="P3445" s="76">
        <f t="shared" si="1287"/>
        <v>0.91666666666666663</v>
      </c>
      <c r="Q3445" s="76">
        <f t="shared" si="1288"/>
        <v>8.333333333333337E-2</v>
      </c>
      <c r="R3445" s="76">
        <f t="shared" si="1289"/>
        <v>0</v>
      </c>
      <c r="S3445" s="76">
        <f t="shared" si="1290"/>
        <v>0.98731091237750934</v>
      </c>
      <c r="T3445" s="76">
        <f t="shared" si="1291"/>
        <v>0.98731091237750934</v>
      </c>
      <c r="U3445" s="76">
        <f t="shared" si="1292"/>
        <v>1</v>
      </c>
    </row>
    <row r="3446" spans="1:21" x14ac:dyDescent="0.25">
      <c r="A3446" s="71">
        <v>20</v>
      </c>
      <c r="B3446" s="72">
        <f t="shared" si="1293"/>
        <v>46235</v>
      </c>
      <c r="C3446" s="73">
        <f t="shared" si="1274"/>
        <v>46265</v>
      </c>
      <c r="D3446" s="67">
        <f t="shared" si="1275"/>
        <v>31</v>
      </c>
      <c r="E3446" s="67">
        <f t="shared" si="1276"/>
        <v>8</v>
      </c>
      <c r="F3446" s="74">
        <f t="shared" si="1277"/>
        <v>46250.5</v>
      </c>
      <c r="G3446" s="67">
        <f t="shared" si="1278"/>
        <v>24319</v>
      </c>
      <c r="H3446" s="75">
        <f t="shared" si="1279"/>
        <v>1</v>
      </c>
      <c r="I3446" s="76">
        <f t="shared" si="1280"/>
        <v>1</v>
      </c>
      <c r="J3446" s="76">
        <f t="shared" si="1281"/>
        <v>1</v>
      </c>
      <c r="K3446" s="67">
        <f t="shared" si="1282"/>
        <v>0</v>
      </c>
      <c r="L3446" s="67">
        <f t="shared" si="1283"/>
        <v>0</v>
      </c>
      <c r="M3446" s="77">
        <f t="shared" si="1284"/>
        <v>0</v>
      </c>
      <c r="N3446" s="76">
        <f t="shared" si="1285"/>
        <v>1</v>
      </c>
      <c r="O3446" s="77">
        <f t="shared" si="1286"/>
        <v>0.90900437636761489</v>
      </c>
      <c r="P3446" s="76">
        <f t="shared" si="1287"/>
        <v>0.75</v>
      </c>
      <c r="Q3446" s="76">
        <f t="shared" si="1288"/>
        <v>0.25</v>
      </c>
      <c r="R3446" s="76">
        <f t="shared" si="1289"/>
        <v>0</v>
      </c>
      <c r="S3446" s="76">
        <f t="shared" si="1290"/>
        <v>0.98804823518219009</v>
      </c>
      <c r="T3446" s="76">
        <f t="shared" si="1291"/>
        <v>0.98804823518219009</v>
      </c>
      <c r="U3446" s="76">
        <f t="shared" si="1292"/>
        <v>1</v>
      </c>
    </row>
    <row r="3447" spans="1:21" x14ac:dyDescent="0.25">
      <c r="A3447" s="71">
        <v>21</v>
      </c>
      <c r="B3447" s="72">
        <f t="shared" si="1293"/>
        <v>46266</v>
      </c>
      <c r="C3447" s="73">
        <f t="shared" si="1274"/>
        <v>46295</v>
      </c>
      <c r="D3447" s="67">
        <f t="shared" si="1275"/>
        <v>30</v>
      </c>
      <c r="E3447" s="67">
        <f t="shared" si="1276"/>
        <v>9</v>
      </c>
      <c r="F3447" s="74">
        <f t="shared" si="1277"/>
        <v>46281</v>
      </c>
      <c r="G3447" s="67">
        <f t="shared" si="1278"/>
        <v>24320</v>
      </c>
      <c r="H3447" s="75">
        <f t="shared" si="1279"/>
        <v>1</v>
      </c>
      <c r="I3447" s="76">
        <f t="shared" si="1280"/>
        <v>1</v>
      </c>
      <c r="J3447" s="76">
        <f t="shared" si="1281"/>
        <v>1</v>
      </c>
      <c r="K3447" s="67">
        <f t="shared" si="1282"/>
        <v>0</v>
      </c>
      <c r="L3447" s="67">
        <f t="shared" si="1283"/>
        <v>0</v>
      </c>
      <c r="M3447" s="77">
        <f t="shared" si="1284"/>
        <v>0</v>
      </c>
      <c r="N3447" s="76">
        <f t="shared" si="1285"/>
        <v>1</v>
      </c>
      <c r="O3447" s="77">
        <f t="shared" si="1286"/>
        <v>0.90967177242888408</v>
      </c>
      <c r="P3447" s="76">
        <f t="shared" si="1287"/>
        <v>0.58333333333333337</v>
      </c>
      <c r="Q3447" s="76">
        <f t="shared" si="1288"/>
        <v>0.41666666666666663</v>
      </c>
      <c r="R3447" s="76">
        <f t="shared" si="1289"/>
        <v>0</v>
      </c>
      <c r="S3447" s="76">
        <f t="shared" si="1290"/>
        <v>0.98877366568356961</v>
      </c>
      <c r="T3447" s="76">
        <f t="shared" si="1291"/>
        <v>0.98877366568356961</v>
      </c>
      <c r="U3447" s="76">
        <f t="shared" si="1292"/>
        <v>1</v>
      </c>
    </row>
    <row r="3448" spans="1:21" x14ac:dyDescent="0.25">
      <c r="A3448" s="71">
        <v>22</v>
      </c>
      <c r="B3448" s="72">
        <f t="shared" si="1293"/>
        <v>46296</v>
      </c>
      <c r="C3448" s="73">
        <f t="shared" si="1274"/>
        <v>46326</v>
      </c>
      <c r="D3448" s="67">
        <f t="shared" si="1275"/>
        <v>31</v>
      </c>
      <c r="E3448" s="67">
        <f t="shared" si="1276"/>
        <v>10</v>
      </c>
      <c r="F3448" s="74">
        <f t="shared" si="1277"/>
        <v>46311.5</v>
      </c>
      <c r="G3448" s="67">
        <f t="shared" si="1278"/>
        <v>24321</v>
      </c>
      <c r="H3448" s="75">
        <f t="shared" si="1279"/>
        <v>1</v>
      </c>
      <c r="I3448" s="76">
        <f t="shared" si="1280"/>
        <v>1</v>
      </c>
      <c r="J3448" s="76">
        <f t="shared" si="1281"/>
        <v>1</v>
      </c>
      <c r="K3448" s="67">
        <f t="shared" si="1282"/>
        <v>0</v>
      </c>
      <c r="L3448" s="67">
        <f t="shared" si="1283"/>
        <v>0</v>
      </c>
      <c r="M3448" s="77">
        <f t="shared" si="1284"/>
        <v>0</v>
      </c>
      <c r="N3448" s="76">
        <f t="shared" si="1285"/>
        <v>1</v>
      </c>
      <c r="O3448" s="77">
        <f t="shared" si="1286"/>
        <v>0.91033916849015317</v>
      </c>
      <c r="P3448" s="76">
        <f t="shared" si="1287"/>
        <v>0.41666666666666669</v>
      </c>
      <c r="Q3448" s="76">
        <f t="shared" si="1288"/>
        <v>0.58333333333333326</v>
      </c>
      <c r="R3448" s="76">
        <f t="shared" si="1289"/>
        <v>0</v>
      </c>
      <c r="S3448" s="76">
        <f t="shared" si="1290"/>
        <v>0.98949909618494902</v>
      </c>
      <c r="T3448" s="76">
        <f t="shared" si="1291"/>
        <v>0.98949909618494902</v>
      </c>
      <c r="U3448" s="76">
        <f t="shared" si="1292"/>
        <v>1</v>
      </c>
    </row>
    <row r="3449" spans="1:21" x14ac:dyDescent="0.25">
      <c r="A3449" s="71">
        <v>23</v>
      </c>
      <c r="B3449" s="72">
        <f t="shared" si="1293"/>
        <v>46327</v>
      </c>
      <c r="C3449" s="73">
        <f t="shared" si="1274"/>
        <v>46356</v>
      </c>
      <c r="D3449" s="67">
        <f t="shared" si="1275"/>
        <v>30</v>
      </c>
      <c r="E3449" s="67">
        <f t="shared" si="1276"/>
        <v>11</v>
      </c>
      <c r="F3449" s="74">
        <f t="shared" si="1277"/>
        <v>46342</v>
      </c>
      <c r="G3449" s="67">
        <f t="shared" si="1278"/>
        <v>24322</v>
      </c>
      <c r="H3449" s="75">
        <f t="shared" si="1279"/>
        <v>1</v>
      </c>
      <c r="I3449" s="76">
        <f t="shared" si="1280"/>
        <v>1</v>
      </c>
      <c r="J3449" s="76">
        <f t="shared" si="1281"/>
        <v>1</v>
      </c>
      <c r="K3449" s="67">
        <f t="shared" si="1282"/>
        <v>0</v>
      </c>
      <c r="L3449" s="67">
        <f t="shared" si="1283"/>
        <v>0</v>
      </c>
      <c r="M3449" s="77">
        <f t="shared" si="1284"/>
        <v>0</v>
      </c>
      <c r="N3449" s="76">
        <f t="shared" si="1285"/>
        <v>1</v>
      </c>
      <c r="O3449" s="77">
        <f t="shared" si="1286"/>
        <v>0.91100656455142237</v>
      </c>
      <c r="P3449" s="76">
        <f t="shared" si="1287"/>
        <v>0.25</v>
      </c>
      <c r="Q3449" s="76">
        <f t="shared" si="1288"/>
        <v>0.75</v>
      </c>
      <c r="R3449" s="76">
        <f t="shared" si="1289"/>
        <v>0</v>
      </c>
      <c r="S3449" s="76">
        <f t="shared" si="1290"/>
        <v>0.99022452668632865</v>
      </c>
      <c r="T3449" s="76">
        <f t="shared" si="1291"/>
        <v>0.99022452668632865</v>
      </c>
      <c r="U3449" s="76">
        <f t="shared" si="1292"/>
        <v>1</v>
      </c>
    </row>
    <row r="3450" spans="1:21" x14ac:dyDescent="0.25">
      <c r="A3450" s="71">
        <v>24</v>
      </c>
      <c r="B3450" s="72">
        <f t="shared" si="1293"/>
        <v>46357</v>
      </c>
      <c r="C3450" s="73">
        <f t="shared" si="1274"/>
        <v>46387</v>
      </c>
      <c r="D3450" s="67">
        <f t="shared" si="1275"/>
        <v>31</v>
      </c>
      <c r="E3450" s="67">
        <f t="shared" si="1276"/>
        <v>12</v>
      </c>
      <c r="F3450" s="74">
        <f t="shared" si="1277"/>
        <v>46372.5</v>
      </c>
      <c r="G3450" s="67">
        <f t="shared" si="1278"/>
        <v>24323</v>
      </c>
      <c r="H3450" s="75">
        <f t="shared" si="1279"/>
        <v>1</v>
      </c>
      <c r="I3450" s="76">
        <f t="shared" si="1280"/>
        <v>1</v>
      </c>
      <c r="J3450" s="76">
        <f t="shared" si="1281"/>
        <v>1</v>
      </c>
      <c r="K3450" s="67">
        <f t="shared" si="1282"/>
        <v>0</v>
      </c>
      <c r="L3450" s="67">
        <f t="shared" si="1283"/>
        <v>0</v>
      </c>
      <c r="M3450" s="77">
        <f t="shared" si="1284"/>
        <v>0</v>
      </c>
      <c r="N3450" s="76">
        <f t="shared" si="1285"/>
        <v>1</v>
      </c>
      <c r="O3450" s="77">
        <f t="shared" si="1286"/>
        <v>0.91167396061269146</v>
      </c>
      <c r="P3450" s="76">
        <f t="shared" si="1287"/>
        <v>8.3333333333333329E-2</v>
      </c>
      <c r="Q3450" s="76">
        <f t="shared" si="1288"/>
        <v>0.91666666666666663</v>
      </c>
      <c r="R3450" s="76">
        <f t="shared" si="1289"/>
        <v>0</v>
      </c>
      <c r="S3450" s="76">
        <f t="shared" si="1290"/>
        <v>0.99094995718770806</v>
      </c>
      <c r="T3450" s="76">
        <f t="shared" si="1291"/>
        <v>0.99094995718770806</v>
      </c>
      <c r="U3450" s="76">
        <f t="shared" si="1292"/>
        <v>1</v>
      </c>
    </row>
    <row r="3451" spans="1:21" x14ac:dyDescent="0.25">
      <c r="A3451" s="71">
        <v>25</v>
      </c>
      <c r="B3451" s="72">
        <f t="shared" si="1293"/>
        <v>46388</v>
      </c>
      <c r="C3451" s="73">
        <f t="shared" si="1274"/>
        <v>46418</v>
      </c>
      <c r="D3451" s="67">
        <f t="shared" si="1275"/>
        <v>31</v>
      </c>
      <c r="E3451" s="67">
        <f t="shared" si="1276"/>
        <v>1</v>
      </c>
      <c r="F3451" s="74">
        <f t="shared" si="1277"/>
        <v>46403.5</v>
      </c>
      <c r="G3451" s="67">
        <f t="shared" si="1278"/>
        <v>24324</v>
      </c>
      <c r="H3451" s="75">
        <f t="shared" si="1279"/>
        <v>1</v>
      </c>
      <c r="I3451" s="76">
        <f t="shared" si="1280"/>
        <v>1</v>
      </c>
      <c r="J3451" s="76">
        <f t="shared" si="1281"/>
        <v>1</v>
      </c>
      <c r="K3451" s="67">
        <f t="shared" si="1282"/>
        <v>0</v>
      </c>
      <c r="L3451" s="67">
        <f t="shared" si="1283"/>
        <v>0</v>
      </c>
      <c r="M3451" s="77">
        <f t="shared" si="1284"/>
        <v>0</v>
      </c>
      <c r="N3451" s="76">
        <f t="shared" si="1285"/>
        <v>1</v>
      </c>
      <c r="O3451" s="77">
        <f t="shared" si="1286"/>
        <v>0.91235229759299785</v>
      </c>
      <c r="P3451" s="76">
        <f t="shared" si="1287"/>
        <v>0</v>
      </c>
      <c r="Q3451" s="76">
        <f t="shared" si="1288"/>
        <v>1</v>
      </c>
      <c r="R3451" s="76">
        <f t="shared" si="1289"/>
        <v>0</v>
      </c>
      <c r="S3451" s="76">
        <f t="shared" si="1290"/>
        <v>0.99168727999238893</v>
      </c>
      <c r="T3451" s="76">
        <f t="shared" si="1291"/>
        <v>0.98300589858243748</v>
      </c>
      <c r="U3451" s="76">
        <f t="shared" si="1292"/>
        <v>1</v>
      </c>
    </row>
    <row r="3452" spans="1:21" x14ac:dyDescent="0.25">
      <c r="A3452" s="71">
        <v>26</v>
      </c>
      <c r="B3452" s="72">
        <f t="shared" si="1293"/>
        <v>46419</v>
      </c>
      <c r="C3452" s="73">
        <f t="shared" si="1274"/>
        <v>46446</v>
      </c>
      <c r="D3452" s="67">
        <f t="shared" si="1275"/>
        <v>28</v>
      </c>
      <c r="E3452" s="67">
        <f t="shared" si="1276"/>
        <v>2</v>
      </c>
      <c r="F3452" s="74">
        <f t="shared" si="1277"/>
        <v>46433</v>
      </c>
      <c r="G3452" s="67">
        <f t="shared" si="1278"/>
        <v>24325</v>
      </c>
      <c r="H3452" s="75">
        <f t="shared" si="1279"/>
        <v>1</v>
      </c>
      <c r="I3452" s="76">
        <f t="shared" si="1280"/>
        <v>1</v>
      </c>
      <c r="J3452" s="76">
        <f t="shared" si="1281"/>
        <v>1</v>
      </c>
      <c r="K3452" s="67">
        <f t="shared" si="1282"/>
        <v>0</v>
      </c>
      <c r="L3452" s="67">
        <f t="shared" si="1283"/>
        <v>0</v>
      </c>
      <c r="M3452" s="77">
        <f t="shared" si="1284"/>
        <v>0</v>
      </c>
      <c r="N3452" s="76">
        <f t="shared" si="1285"/>
        <v>1</v>
      </c>
      <c r="O3452" s="77">
        <f t="shared" si="1286"/>
        <v>0.91299781181619255</v>
      </c>
      <c r="P3452" s="76">
        <f t="shared" si="1287"/>
        <v>0</v>
      </c>
      <c r="Q3452" s="76">
        <f t="shared" si="1288"/>
        <v>1</v>
      </c>
      <c r="R3452" s="76">
        <f t="shared" si="1289"/>
        <v>0</v>
      </c>
      <c r="S3452" s="76">
        <f t="shared" si="1290"/>
        <v>0.99238892588716576</v>
      </c>
      <c r="T3452" s="76">
        <f t="shared" si="1291"/>
        <v>0.98370754447721431</v>
      </c>
      <c r="U3452" s="76">
        <f t="shared" si="1292"/>
        <v>1</v>
      </c>
    </row>
    <row r="3453" spans="1:21" x14ac:dyDescent="0.25">
      <c r="A3453" s="71">
        <v>27</v>
      </c>
      <c r="B3453" s="72">
        <f t="shared" si="1293"/>
        <v>46447</v>
      </c>
      <c r="C3453" s="73">
        <f t="shared" si="1274"/>
        <v>46477</v>
      </c>
      <c r="D3453" s="67">
        <f t="shared" si="1275"/>
        <v>31</v>
      </c>
      <c r="E3453" s="67">
        <f t="shared" si="1276"/>
        <v>3</v>
      </c>
      <c r="F3453" s="74">
        <f t="shared" si="1277"/>
        <v>46462.5</v>
      </c>
      <c r="G3453" s="67">
        <f t="shared" si="1278"/>
        <v>24326</v>
      </c>
      <c r="H3453" s="75">
        <f t="shared" si="1279"/>
        <v>1</v>
      </c>
      <c r="I3453" s="76">
        <f t="shared" si="1280"/>
        <v>1</v>
      </c>
      <c r="J3453" s="76">
        <f t="shared" si="1281"/>
        <v>1</v>
      </c>
      <c r="K3453" s="67">
        <f t="shared" si="1282"/>
        <v>0</v>
      </c>
      <c r="L3453" s="67">
        <f t="shared" si="1283"/>
        <v>0</v>
      </c>
      <c r="M3453" s="77">
        <f t="shared" si="1284"/>
        <v>0</v>
      </c>
      <c r="N3453" s="76">
        <f t="shared" si="1285"/>
        <v>1</v>
      </c>
      <c r="O3453" s="77">
        <f t="shared" si="1286"/>
        <v>0.91364332603938736</v>
      </c>
      <c r="P3453" s="76">
        <f t="shared" si="1287"/>
        <v>0</v>
      </c>
      <c r="Q3453" s="76">
        <f t="shared" si="1288"/>
        <v>1</v>
      </c>
      <c r="R3453" s="76">
        <f t="shared" si="1289"/>
        <v>0</v>
      </c>
      <c r="S3453" s="76">
        <f t="shared" si="1290"/>
        <v>0.99309057178194271</v>
      </c>
      <c r="T3453" s="76">
        <f t="shared" si="1291"/>
        <v>0.98440919037199126</v>
      </c>
      <c r="U3453" s="76">
        <f t="shared" si="1292"/>
        <v>1</v>
      </c>
    </row>
    <row r="3454" spans="1:21" x14ac:dyDescent="0.25">
      <c r="A3454" s="71">
        <v>28</v>
      </c>
      <c r="B3454" s="72">
        <f t="shared" si="1293"/>
        <v>46478</v>
      </c>
      <c r="C3454" s="73">
        <f t="shared" si="1274"/>
        <v>46507</v>
      </c>
      <c r="D3454" s="67">
        <f t="shared" si="1275"/>
        <v>30</v>
      </c>
      <c r="E3454" s="67">
        <f t="shared" si="1276"/>
        <v>4</v>
      </c>
      <c r="F3454" s="74">
        <f t="shared" si="1277"/>
        <v>46493</v>
      </c>
      <c r="G3454" s="67">
        <f t="shared" si="1278"/>
        <v>24327</v>
      </c>
      <c r="H3454" s="75">
        <f t="shared" si="1279"/>
        <v>1</v>
      </c>
      <c r="I3454" s="76">
        <f t="shared" si="1280"/>
        <v>1</v>
      </c>
      <c r="J3454" s="76">
        <f t="shared" si="1281"/>
        <v>1</v>
      </c>
      <c r="K3454" s="67">
        <f t="shared" si="1282"/>
        <v>0</v>
      </c>
      <c r="L3454" s="67">
        <f t="shared" si="1283"/>
        <v>0</v>
      </c>
      <c r="M3454" s="77">
        <f t="shared" si="1284"/>
        <v>0</v>
      </c>
      <c r="N3454" s="76">
        <f t="shared" si="1285"/>
        <v>1</v>
      </c>
      <c r="O3454" s="77">
        <f t="shared" si="1286"/>
        <v>0.91431072210065645</v>
      </c>
      <c r="P3454" s="76">
        <f t="shared" si="1287"/>
        <v>0</v>
      </c>
      <c r="Q3454" s="76">
        <f t="shared" si="1288"/>
        <v>1</v>
      </c>
      <c r="R3454" s="76">
        <f t="shared" si="1289"/>
        <v>0</v>
      </c>
      <c r="S3454" s="76">
        <f t="shared" si="1290"/>
        <v>0.99381600228332223</v>
      </c>
      <c r="T3454" s="76">
        <f t="shared" si="1291"/>
        <v>0.98513462087337078</v>
      </c>
      <c r="U3454" s="76">
        <f t="shared" si="1292"/>
        <v>1</v>
      </c>
    </row>
    <row r="3455" spans="1:21" x14ac:dyDescent="0.25">
      <c r="A3455" s="71">
        <v>29</v>
      </c>
      <c r="B3455" s="72">
        <f t="shared" si="1293"/>
        <v>46508</v>
      </c>
      <c r="C3455" s="73">
        <f t="shared" si="1274"/>
        <v>46538</v>
      </c>
      <c r="D3455" s="67">
        <f t="shared" si="1275"/>
        <v>31</v>
      </c>
      <c r="E3455" s="67">
        <f t="shared" si="1276"/>
        <v>5</v>
      </c>
      <c r="F3455" s="74">
        <f t="shared" si="1277"/>
        <v>46523.5</v>
      </c>
      <c r="G3455" s="67">
        <f t="shared" si="1278"/>
        <v>24328</v>
      </c>
      <c r="H3455" s="75">
        <f t="shared" si="1279"/>
        <v>1</v>
      </c>
      <c r="I3455" s="76">
        <f t="shared" si="1280"/>
        <v>1</v>
      </c>
      <c r="J3455" s="76">
        <f t="shared" si="1281"/>
        <v>1</v>
      </c>
      <c r="K3455" s="67">
        <f t="shared" si="1282"/>
        <v>0</v>
      </c>
      <c r="L3455" s="67">
        <f t="shared" si="1283"/>
        <v>0</v>
      </c>
      <c r="M3455" s="77">
        <f t="shared" si="1284"/>
        <v>0</v>
      </c>
      <c r="N3455" s="76">
        <f t="shared" si="1285"/>
        <v>1</v>
      </c>
      <c r="O3455" s="77">
        <f t="shared" si="1286"/>
        <v>0.91497811816192565</v>
      </c>
      <c r="P3455" s="76">
        <f t="shared" si="1287"/>
        <v>0</v>
      </c>
      <c r="Q3455" s="76">
        <f t="shared" si="1288"/>
        <v>1</v>
      </c>
      <c r="R3455" s="76">
        <f t="shared" si="1289"/>
        <v>0</v>
      </c>
      <c r="S3455" s="76">
        <f t="shared" si="1290"/>
        <v>0.99454143278470175</v>
      </c>
      <c r="T3455" s="76">
        <f t="shared" si="1291"/>
        <v>0.9858600513747503</v>
      </c>
      <c r="U3455" s="76">
        <f t="shared" si="1292"/>
        <v>1</v>
      </c>
    </row>
    <row r="3456" spans="1:21" x14ac:dyDescent="0.25">
      <c r="A3456" s="71">
        <v>30</v>
      </c>
      <c r="B3456" s="72">
        <f t="shared" si="1293"/>
        <v>46539</v>
      </c>
      <c r="C3456" s="73">
        <f t="shared" si="1274"/>
        <v>46568</v>
      </c>
      <c r="D3456" s="67">
        <f t="shared" si="1275"/>
        <v>30</v>
      </c>
      <c r="E3456" s="67">
        <f t="shared" si="1276"/>
        <v>6</v>
      </c>
      <c r="F3456" s="74">
        <f t="shared" si="1277"/>
        <v>46554</v>
      </c>
      <c r="G3456" s="67">
        <f t="shared" si="1278"/>
        <v>24329</v>
      </c>
      <c r="H3456" s="75">
        <f t="shared" si="1279"/>
        <v>1</v>
      </c>
      <c r="I3456" s="76">
        <f t="shared" si="1280"/>
        <v>1</v>
      </c>
      <c r="J3456" s="76">
        <f t="shared" si="1281"/>
        <v>1</v>
      </c>
      <c r="K3456" s="67">
        <f t="shared" si="1282"/>
        <v>0</v>
      </c>
      <c r="L3456" s="67">
        <f t="shared" si="1283"/>
        <v>0</v>
      </c>
      <c r="M3456" s="77">
        <f t="shared" si="1284"/>
        <v>0</v>
      </c>
      <c r="N3456" s="76">
        <f t="shared" si="1285"/>
        <v>1</v>
      </c>
      <c r="O3456" s="77">
        <f t="shared" si="1286"/>
        <v>0.91564551422319473</v>
      </c>
      <c r="P3456" s="76">
        <f t="shared" si="1287"/>
        <v>0</v>
      </c>
      <c r="Q3456" s="76">
        <f t="shared" si="1288"/>
        <v>1</v>
      </c>
      <c r="R3456" s="76">
        <f t="shared" si="1289"/>
        <v>0</v>
      </c>
      <c r="S3456" s="76">
        <f t="shared" si="1290"/>
        <v>0.99526686328608116</v>
      </c>
      <c r="T3456" s="76">
        <f t="shared" si="1291"/>
        <v>0.98658548187612971</v>
      </c>
      <c r="U3456" s="76">
        <f t="shared" si="1292"/>
        <v>1</v>
      </c>
    </row>
    <row r="3457" spans="1:21" x14ac:dyDescent="0.25">
      <c r="A3457" s="71">
        <v>31</v>
      </c>
      <c r="B3457" s="72">
        <f t="shared" si="1293"/>
        <v>46569</v>
      </c>
      <c r="C3457" s="73">
        <f t="shared" si="1274"/>
        <v>46599</v>
      </c>
      <c r="D3457" s="67">
        <f t="shared" si="1275"/>
        <v>31</v>
      </c>
      <c r="E3457" s="67">
        <f t="shared" si="1276"/>
        <v>7</v>
      </c>
      <c r="F3457" s="74">
        <f t="shared" si="1277"/>
        <v>46584.5</v>
      </c>
      <c r="G3457" s="67">
        <f t="shared" si="1278"/>
        <v>24330</v>
      </c>
      <c r="H3457" s="75">
        <f t="shared" si="1279"/>
        <v>1</v>
      </c>
      <c r="I3457" s="76">
        <f t="shared" si="1280"/>
        <v>1</v>
      </c>
      <c r="J3457" s="76">
        <f t="shared" si="1281"/>
        <v>1</v>
      </c>
      <c r="K3457" s="67">
        <f t="shared" si="1282"/>
        <v>0</v>
      </c>
      <c r="L3457" s="67">
        <f t="shared" si="1283"/>
        <v>0</v>
      </c>
      <c r="M3457" s="77">
        <f t="shared" si="1284"/>
        <v>0</v>
      </c>
      <c r="N3457" s="76">
        <f t="shared" si="1285"/>
        <v>1</v>
      </c>
      <c r="O3457" s="77">
        <f t="shared" si="1286"/>
        <v>0.91631291028446393</v>
      </c>
      <c r="P3457" s="76">
        <f t="shared" si="1287"/>
        <v>0</v>
      </c>
      <c r="Q3457" s="76">
        <f t="shared" si="1288"/>
        <v>0.91666666666666663</v>
      </c>
      <c r="R3457" s="76">
        <f t="shared" si="1289"/>
        <v>8.333333333333337E-2</v>
      </c>
      <c r="S3457" s="76">
        <f t="shared" si="1290"/>
        <v>0.99599229378746079</v>
      </c>
      <c r="T3457" s="76">
        <f t="shared" si="1291"/>
        <v>0.98731091237750934</v>
      </c>
      <c r="U3457" s="76">
        <f t="shared" si="1292"/>
        <v>1</v>
      </c>
    </row>
    <row r="3458" spans="1:21" x14ac:dyDescent="0.25">
      <c r="A3458" s="71">
        <v>32</v>
      </c>
      <c r="B3458" s="72">
        <f t="shared" si="1293"/>
        <v>46600</v>
      </c>
      <c r="C3458" s="73">
        <f t="shared" si="1274"/>
        <v>46630</v>
      </c>
      <c r="D3458" s="67">
        <f t="shared" si="1275"/>
        <v>31</v>
      </c>
      <c r="E3458" s="67">
        <f t="shared" si="1276"/>
        <v>8</v>
      </c>
      <c r="F3458" s="74">
        <f t="shared" si="1277"/>
        <v>46615.5</v>
      </c>
      <c r="G3458" s="67">
        <f t="shared" si="1278"/>
        <v>24331</v>
      </c>
      <c r="H3458" s="75">
        <f t="shared" si="1279"/>
        <v>1</v>
      </c>
      <c r="I3458" s="76">
        <f t="shared" si="1280"/>
        <v>1</v>
      </c>
      <c r="J3458" s="76">
        <f t="shared" si="1281"/>
        <v>1</v>
      </c>
      <c r="K3458" s="67">
        <f t="shared" si="1282"/>
        <v>0</v>
      </c>
      <c r="L3458" s="67">
        <f t="shared" si="1283"/>
        <v>0</v>
      </c>
      <c r="M3458" s="77">
        <f t="shared" si="1284"/>
        <v>0</v>
      </c>
      <c r="N3458" s="76">
        <f t="shared" si="1285"/>
        <v>1</v>
      </c>
      <c r="O3458" s="77">
        <f t="shared" si="1286"/>
        <v>0.91699124726477033</v>
      </c>
      <c r="P3458" s="76">
        <f t="shared" si="1287"/>
        <v>0</v>
      </c>
      <c r="Q3458" s="76">
        <f t="shared" si="1288"/>
        <v>0.75</v>
      </c>
      <c r="R3458" s="76">
        <f t="shared" si="1289"/>
        <v>0.25</v>
      </c>
      <c r="S3458" s="76">
        <f t="shared" si="1290"/>
        <v>0.99672961659214165</v>
      </c>
      <c r="T3458" s="76">
        <f t="shared" si="1291"/>
        <v>0.98804823518219009</v>
      </c>
      <c r="U3458" s="76">
        <f t="shared" si="1292"/>
        <v>1</v>
      </c>
    </row>
    <row r="3459" spans="1:21" x14ac:dyDescent="0.25">
      <c r="A3459" s="71">
        <v>33</v>
      </c>
      <c r="B3459" s="72">
        <f t="shared" si="1293"/>
        <v>46631</v>
      </c>
      <c r="C3459" s="73">
        <f t="shared" si="1274"/>
        <v>46660</v>
      </c>
      <c r="D3459" s="67">
        <f t="shared" si="1275"/>
        <v>30</v>
      </c>
      <c r="E3459" s="67">
        <f t="shared" si="1276"/>
        <v>9</v>
      </c>
      <c r="F3459" s="74">
        <f t="shared" si="1277"/>
        <v>46646</v>
      </c>
      <c r="G3459" s="67">
        <f t="shared" si="1278"/>
        <v>24332</v>
      </c>
      <c r="H3459" s="75">
        <f t="shared" si="1279"/>
        <v>1</v>
      </c>
      <c r="I3459" s="76">
        <f t="shared" si="1280"/>
        <v>1</v>
      </c>
      <c r="J3459" s="76">
        <f t="shared" si="1281"/>
        <v>1</v>
      </c>
      <c r="K3459" s="67">
        <f t="shared" si="1282"/>
        <v>0</v>
      </c>
      <c r="L3459" s="67">
        <f t="shared" si="1283"/>
        <v>0</v>
      </c>
      <c r="M3459" s="77">
        <f t="shared" si="1284"/>
        <v>0</v>
      </c>
      <c r="N3459" s="76">
        <f t="shared" si="1285"/>
        <v>1</v>
      </c>
      <c r="O3459" s="77">
        <f t="shared" si="1286"/>
        <v>0.91765864332603941</v>
      </c>
      <c r="P3459" s="76">
        <f t="shared" si="1287"/>
        <v>0</v>
      </c>
      <c r="Q3459" s="76">
        <f t="shared" si="1288"/>
        <v>0.58333333333333337</v>
      </c>
      <c r="R3459" s="76">
        <f t="shared" si="1289"/>
        <v>0.41666666666666663</v>
      </c>
      <c r="S3459" s="76">
        <f t="shared" si="1290"/>
        <v>0.99745504709352106</v>
      </c>
      <c r="T3459" s="76">
        <f t="shared" si="1291"/>
        <v>0.98877366568356961</v>
      </c>
      <c r="U3459" s="76">
        <f t="shared" si="1292"/>
        <v>1</v>
      </c>
    </row>
    <row r="3460" spans="1:21" x14ac:dyDescent="0.25">
      <c r="A3460" s="71">
        <v>34</v>
      </c>
      <c r="B3460" s="72">
        <f t="shared" si="1293"/>
        <v>46661</v>
      </c>
      <c r="C3460" s="73">
        <f t="shared" si="1274"/>
        <v>46691</v>
      </c>
      <c r="D3460" s="67">
        <f t="shared" si="1275"/>
        <v>31</v>
      </c>
      <c r="E3460" s="67">
        <f t="shared" si="1276"/>
        <v>10</v>
      </c>
      <c r="F3460" s="74">
        <f t="shared" si="1277"/>
        <v>46676.5</v>
      </c>
      <c r="G3460" s="67">
        <f t="shared" si="1278"/>
        <v>24333</v>
      </c>
      <c r="H3460" s="75">
        <f t="shared" si="1279"/>
        <v>1</v>
      </c>
      <c r="I3460" s="76">
        <f t="shared" si="1280"/>
        <v>1</v>
      </c>
      <c r="J3460" s="76">
        <f t="shared" si="1281"/>
        <v>1</v>
      </c>
      <c r="K3460" s="67">
        <f t="shared" si="1282"/>
        <v>0</v>
      </c>
      <c r="L3460" s="67">
        <f t="shared" si="1283"/>
        <v>0</v>
      </c>
      <c r="M3460" s="77">
        <f t="shared" si="1284"/>
        <v>0</v>
      </c>
      <c r="N3460" s="76">
        <f t="shared" si="1285"/>
        <v>1</v>
      </c>
      <c r="O3460" s="77">
        <f t="shared" si="1286"/>
        <v>0.91832603938730861</v>
      </c>
      <c r="P3460" s="76">
        <f t="shared" si="1287"/>
        <v>0</v>
      </c>
      <c r="Q3460" s="76">
        <f t="shared" si="1288"/>
        <v>0.41666666666666669</v>
      </c>
      <c r="R3460" s="76">
        <f t="shared" si="1289"/>
        <v>0.58333333333333326</v>
      </c>
      <c r="S3460" s="76">
        <f t="shared" si="1290"/>
        <v>0.99818047759490058</v>
      </c>
      <c r="T3460" s="76">
        <f t="shared" si="1291"/>
        <v>0.98949909618494902</v>
      </c>
      <c r="U3460" s="76">
        <f t="shared" si="1292"/>
        <v>1</v>
      </c>
    </row>
    <row r="3461" spans="1:21" x14ac:dyDescent="0.25">
      <c r="A3461" s="71">
        <v>35</v>
      </c>
      <c r="B3461" s="72">
        <f t="shared" si="1293"/>
        <v>46692</v>
      </c>
      <c r="C3461" s="73">
        <f t="shared" si="1274"/>
        <v>46721</v>
      </c>
      <c r="D3461" s="67">
        <f t="shared" si="1275"/>
        <v>30</v>
      </c>
      <c r="E3461" s="67">
        <f t="shared" si="1276"/>
        <v>11</v>
      </c>
      <c r="F3461" s="74">
        <f t="shared" si="1277"/>
        <v>46707</v>
      </c>
      <c r="G3461" s="67">
        <f t="shared" si="1278"/>
        <v>24334</v>
      </c>
      <c r="H3461" s="75">
        <f t="shared" si="1279"/>
        <v>1</v>
      </c>
      <c r="I3461" s="76">
        <f t="shared" si="1280"/>
        <v>1</v>
      </c>
      <c r="J3461" s="76">
        <f t="shared" si="1281"/>
        <v>1</v>
      </c>
      <c r="K3461" s="67">
        <f t="shared" si="1282"/>
        <v>0</v>
      </c>
      <c r="L3461" s="67">
        <f t="shared" si="1283"/>
        <v>0</v>
      </c>
      <c r="M3461" s="77">
        <f t="shared" si="1284"/>
        <v>0</v>
      </c>
      <c r="N3461" s="76">
        <f t="shared" si="1285"/>
        <v>1</v>
      </c>
      <c r="O3461" s="77">
        <f t="shared" si="1286"/>
        <v>0.9189934354485777</v>
      </c>
      <c r="P3461" s="76">
        <f t="shared" si="1287"/>
        <v>0</v>
      </c>
      <c r="Q3461" s="76">
        <f t="shared" si="1288"/>
        <v>0.25</v>
      </c>
      <c r="R3461" s="76">
        <f t="shared" si="1289"/>
        <v>0.75</v>
      </c>
      <c r="S3461" s="76">
        <f t="shared" si="1290"/>
        <v>0.9989059080962801</v>
      </c>
      <c r="T3461" s="76">
        <f t="shared" si="1291"/>
        <v>0.99022452668632865</v>
      </c>
      <c r="U3461" s="76">
        <f t="shared" si="1292"/>
        <v>1</v>
      </c>
    </row>
    <row r="3462" spans="1:21" x14ac:dyDescent="0.25">
      <c r="A3462" s="71">
        <v>36</v>
      </c>
      <c r="B3462" s="72">
        <f t="shared" si="1293"/>
        <v>46722</v>
      </c>
      <c r="C3462" s="73">
        <f t="shared" si="1274"/>
        <v>46752</v>
      </c>
      <c r="D3462" s="67">
        <f t="shared" si="1275"/>
        <v>31</v>
      </c>
      <c r="E3462" s="67">
        <f t="shared" si="1276"/>
        <v>12</v>
      </c>
      <c r="F3462" s="74">
        <f t="shared" si="1277"/>
        <v>46737.5</v>
      </c>
      <c r="G3462" s="67">
        <f t="shared" si="1278"/>
        <v>24335</v>
      </c>
      <c r="H3462" s="75">
        <f t="shared" si="1279"/>
        <v>1</v>
      </c>
      <c r="I3462" s="76">
        <f t="shared" si="1280"/>
        <v>1</v>
      </c>
      <c r="J3462" s="76">
        <f t="shared" si="1281"/>
        <v>1</v>
      </c>
      <c r="K3462" s="67">
        <f t="shared" si="1282"/>
        <v>0</v>
      </c>
      <c r="L3462" s="67">
        <f t="shared" si="1283"/>
        <v>0</v>
      </c>
      <c r="M3462" s="77">
        <f t="shared" si="1284"/>
        <v>0</v>
      </c>
      <c r="N3462" s="76">
        <f t="shared" si="1285"/>
        <v>1</v>
      </c>
      <c r="O3462" s="77">
        <f t="shared" si="1286"/>
        <v>0.9196608315098469</v>
      </c>
      <c r="P3462" s="76">
        <f t="shared" si="1287"/>
        <v>0</v>
      </c>
      <c r="Q3462" s="76">
        <f t="shared" si="1288"/>
        <v>8.3333333333333329E-2</v>
      </c>
      <c r="R3462" s="76">
        <f t="shared" si="1289"/>
        <v>0.91666666666666663</v>
      </c>
      <c r="S3462" s="76">
        <f t="shared" si="1290"/>
        <v>0.99963133859765962</v>
      </c>
      <c r="T3462" s="76">
        <f t="shared" si="1291"/>
        <v>0.99094995718770806</v>
      </c>
      <c r="U3462" s="76">
        <f t="shared" si="1292"/>
        <v>1</v>
      </c>
    </row>
    <row r="3463" spans="1:21" x14ac:dyDescent="0.25">
      <c r="A3463" s="71">
        <v>37</v>
      </c>
      <c r="B3463" s="72">
        <f t="shared" si="1293"/>
        <v>46753</v>
      </c>
      <c r="C3463" s="73">
        <f t="shared" si="1274"/>
        <v>46783</v>
      </c>
      <c r="D3463" s="67">
        <f t="shared" si="1275"/>
        <v>31</v>
      </c>
      <c r="E3463" s="67">
        <f t="shared" si="1276"/>
        <v>1</v>
      </c>
      <c r="F3463" s="74">
        <f t="shared" si="1277"/>
        <v>46768.5</v>
      </c>
      <c r="G3463" s="67">
        <f t="shared" si="1278"/>
        <v>24336</v>
      </c>
      <c r="H3463" s="75">
        <f t="shared" si="1279"/>
        <v>1</v>
      </c>
      <c r="I3463" s="76">
        <f t="shared" si="1280"/>
        <v>1</v>
      </c>
      <c r="J3463" s="76">
        <f t="shared" si="1281"/>
        <v>1</v>
      </c>
      <c r="K3463" s="67">
        <f t="shared" si="1282"/>
        <v>0</v>
      </c>
      <c r="L3463" s="67">
        <f t="shared" si="1283"/>
        <v>0</v>
      </c>
      <c r="M3463" s="77">
        <f t="shared" si="1284"/>
        <v>0</v>
      </c>
      <c r="N3463" s="76">
        <f t="shared" si="1285"/>
        <v>1</v>
      </c>
      <c r="O3463" s="77">
        <f t="shared" si="1286"/>
        <v>0.92</v>
      </c>
      <c r="P3463" s="76">
        <f t="shared" si="1287"/>
        <v>0</v>
      </c>
      <c r="Q3463" s="76">
        <f t="shared" si="1288"/>
        <v>0</v>
      </c>
      <c r="R3463" s="76">
        <f t="shared" si="1289"/>
        <v>1</v>
      </c>
      <c r="S3463" s="76">
        <f t="shared" si="1290"/>
        <v>1</v>
      </c>
      <c r="T3463" s="76">
        <f t="shared" si="1291"/>
        <v>0.98300589858243748</v>
      </c>
      <c r="U3463" s="76">
        <f t="shared" si="1292"/>
        <v>1</v>
      </c>
    </row>
    <row r="3464" spans="1:21" x14ac:dyDescent="0.25">
      <c r="A3464" s="71">
        <v>38</v>
      </c>
      <c r="B3464" s="72">
        <f t="shared" si="1293"/>
        <v>46784</v>
      </c>
      <c r="C3464" s="73">
        <f t="shared" si="1274"/>
        <v>46812</v>
      </c>
      <c r="D3464" s="67">
        <f t="shared" si="1275"/>
        <v>29</v>
      </c>
      <c r="E3464" s="67">
        <f t="shared" si="1276"/>
        <v>2</v>
      </c>
      <c r="F3464" s="74">
        <f t="shared" si="1277"/>
        <v>46798.5</v>
      </c>
      <c r="G3464" s="67">
        <f t="shared" si="1278"/>
        <v>24337</v>
      </c>
      <c r="H3464" s="75">
        <f t="shared" si="1279"/>
        <v>1</v>
      </c>
      <c r="I3464" s="76">
        <f t="shared" si="1280"/>
        <v>1</v>
      </c>
      <c r="J3464" s="76">
        <f t="shared" si="1281"/>
        <v>1</v>
      </c>
      <c r="K3464" s="67">
        <f t="shared" si="1282"/>
        <v>0</v>
      </c>
      <c r="L3464" s="67">
        <f t="shared" si="1283"/>
        <v>0</v>
      </c>
      <c r="M3464" s="77">
        <f t="shared" si="1284"/>
        <v>0</v>
      </c>
      <c r="N3464" s="76">
        <f t="shared" si="1285"/>
        <v>1</v>
      </c>
      <c r="O3464" s="77">
        <f t="shared" si="1286"/>
        <v>0.92</v>
      </c>
      <c r="P3464" s="76">
        <f t="shared" si="1287"/>
        <v>0</v>
      </c>
      <c r="Q3464" s="76">
        <f t="shared" si="1288"/>
        <v>0</v>
      </c>
      <c r="R3464" s="76">
        <f t="shared" si="1289"/>
        <v>1</v>
      </c>
      <c r="S3464" s="76">
        <f t="shared" si="1290"/>
        <v>1</v>
      </c>
      <c r="T3464" s="76">
        <f t="shared" si="1291"/>
        <v>0.98370754447721431</v>
      </c>
      <c r="U3464" s="76">
        <f t="shared" si="1292"/>
        <v>1</v>
      </c>
    </row>
    <row r="3465" spans="1:21" x14ac:dyDescent="0.25">
      <c r="A3465" s="71">
        <v>39</v>
      </c>
      <c r="B3465" s="72">
        <f t="shared" si="1293"/>
        <v>46813</v>
      </c>
      <c r="C3465" s="73">
        <f t="shared" si="1274"/>
        <v>46843</v>
      </c>
      <c r="D3465" s="67">
        <f t="shared" si="1275"/>
        <v>31</v>
      </c>
      <c r="E3465" s="67">
        <f t="shared" si="1276"/>
        <v>3</v>
      </c>
      <c r="F3465" s="74">
        <f t="shared" si="1277"/>
        <v>46828.5</v>
      </c>
      <c r="G3465" s="67">
        <f t="shared" si="1278"/>
        <v>24338</v>
      </c>
      <c r="H3465" s="75">
        <f t="shared" si="1279"/>
        <v>1</v>
      </c>
      <c r="I3465" s="76">
        <f t="shared" si="1280"/>
        <v>1</v>
      </c>
      <c r="J3465" s="76">
        <f t="shared" si="1281"/>
        <v>1</v>
      </c>
      <c r="K3465" s="67">
        <f t="shared" si="1282"/>
        <v>0</v>
      </c>
      <c r="L3465" s="67">
        <f t="shared" si="1283"/>
        <v>0</v>
      </c>
      <c r="M3465" s="77">
        <f t="shared" si="1284"/>
        <v>0</v>
      </c>
      <c r="N3465" s="76">
        <f t="shared" si="1285"/>
        <v>1</v>
      </c>
      <c r="O3465" s="77">
        <f t="shared" si="1286"/>
        <v>0.92</v>
      </c>
      <c r="P3465" s="76">
        <f t="shared" si="1287"/>
        <v>0</v>
      </c>
      <c r="Q3465" s="76">
        <f t="shared" si="1288"/>
        <v>0</v>
      </c>
      <c r="R3465" s="76">
        <f t="shared" si="1289"/>
        <v>1</v>
      </c>
      <c r="S3465" s="76">
        <f t="shared" si="1290"/>
        <v>1</v>
      </c>
      <c r="T3465" s="76">
        <f t="shared" si="1291"/>
        <v>0.98440919037199126</v>
      </c>
      <c r="U3465" s="76">
        <f t="shared" si="1292"/>
        <v>1</v>
      </c>
    </row>
    <row r="3466" spans="1:21" x14ac:dyDescent="0.25">
      <c r="A3466" s="71">
        <v>40</v>
      </c>
      <c r="B3466" s="72">
        <f t="shared" si="1293"/>
        <v>46844</v>
      </c>
      <c r="C3466" s="73">
        <f t="shared" si="1274"/>
        <v>46873</v>
      </c>
      <c r="D3466" s="67">
        <f t="shared" si="1275"/>
        <v>30</v>
      </c>
      <c r="E3466" s="67">
        <f t="shared" si="1276"/>
        <v>4</v>
      </c>
      <c r="F3466" s="74">
        <f t="shared" si="1277"/>
        <v>46859</v>
      </c>
      <c r="G3466" s="67">
        <f t="shared" si="1278"/>
        <v>24339</v>
      </c>
      <c r="H3466" s="75">
        <f t="shared" si="1279"/>
        <v>1</v>
      </c>
      <c r="I3466" s="76">
        <f t="shared" si="1280"/>
        <v>1</v>
      </c>
      <c r="J3466" s="76">
        <f t="shared" si="1281"/>
        <v>1</v>
      </c>
      <c r="K3466" s="67">
        <f t="shared" si="1282"/>
        <v>0</v>
      </c>
      <c r="L3466" s="67">
        <f t="shared" si="1283"/>
        <v>0</v>
      </c>
      <c r="M3466" s="77">
        <f t="shared" si="1284"/>
        <v>0</v>
      </c>
      <c r="N3466" s="76">
        <f t="shared" si="1285"/>
        <v>1</v>
      </c>
      <c r="O3466" s="77">
        <f t="shared" si="1286"/>
        <v>0.92</v>
      </c>
      <c r="P3466" s="76">
        <f t="shared" si="1287"/>
        <v>0</v>
      </c>
      <c r="Q3466" s="76">
        <f t="shared" si="1288"/>
        <v>0</v>
      </c>
      <c r="R3466" s="76">
        <f t="shared" si="1289"/>
        <v>1</v>
      </c>
      <c r="S3466" s="76">
        <f t="shared" si="1290"/>
        <v>1</v>
      </c>
      <c r="T3466" s="76">
        <f t="shared" si="1291"/>
        <v>0.98513462087337078</v>
      </c>
      <c r="U3466" s="76">
        <f t="shared" si="1292"/>
        <v>1</v>
      </c>
    </row>
    <row r="3467" spans="1:21" x14ac:dyDescent="0.25">
      <c r="A3467" s="71">
        <v>41</v>
      </c>
      <c r="B3467" s="72">
        <f t="shared" si="1293"/>
        <v>46874</v>
      </c>
      <c r="C3467" s="73">
        <f t="shared" si="1274"/>
        <v>46904</v>
      </c>
      <c r="D3467" s="67">
        <f t="shared" si="1275"/>
        <v>31</v>
      </c>
      <c r="E3467" s="67">
        <f t="shared" si="1276"/>
        <v>5</v>
      </c>
      <c r="F3467" s="74">
        <f t="shared" si="1277"/>
        <v>46889.5</v>
      </c>
      <c r="G3467" s="67">
        <f t="shared" si="1278"/>
        <v>24340</v>
      </c>
      <c r="H3467" s="75">
        <f t="shared" si="1279"/>
        <v>1</v>
      </c>
      <c r="I3467" s="76">
        <f t="shared" si="1280"/>
        <v>1</v>
      </c>
      <c r="J3467" s="76">
        <f t="shared" si="1281"/>
        <v>1</v>
      </c>
      <c r="K3467" s="67">
        <f t="shared" si="1282"/>
        <v>0</v>
      </c>
      <c r="L3467" s="67">
        <f t="shared" si="1283"/>
        <v>0</v>
      </c>
      <c r="M3467" s="77">
        <f t="shared" si="1284"/>
        <v>0</v>
      </c>
      <c r="N3467" s="76">
        <f t="shared" si="1285"/>
        <v>1</v>
      </c>
      <c r="O3467" s="77">
        <f t="shared" si="1286"/>
        <v>0.92</v>
      </c>
      <c r="P3467" s="76">
        <f t="shared" si="1287"/>
        <v>0</v>
      </c>
      <c r="Q3467" s="76">
        <f t="shared" si="1288"/>
        <v>0</v>
      </c>
      <c r="R3467" s="76">
        <f t="shared" si="1289"/>
        <v>1</v>
      </c>
      <c r="S3467" s="76">
        <f t="shared" si="1290"/>
        <v>1</v>
      </c>
      <c r="T3467" s="76">
        <f t="shared" si="1291"/>
        <v>0.9858600513747503</v>
      </c>
      <c r="U3467" s="76">
        <f t="shared" si="1292"/>
        <v>1</v>
      </c>
    </row>
    <row r="3468" spans="1:21" x14ac:dyDescent="0.25">
      <c r="A3468" s="71">
        <v>42</v>
      </c>
      <c r="B3468" s="72">
        <f t="shared" si="1293"/>
        <v>46905</v>
      </c>
      <c r="C3468" s="73">
        <f t="shared" si="1274"/>
        <v>46934</v>
      </c>
      <c r="D3468" s="67">
        <f t="shared" si="1275"/>
        <v>30</v>
      </c>
      <c r="E3468" s="67">
        <f t="shared" si="1276"/>
        <v>6</v>
      </c>
      <c r="F3468" s="74">
        <f t="shared" si="1277"/>
        <v>46920</v>
      </c>
      <c r="G3468" s="67">
        <f t="shared" si="1278"/>
        <v>24341</v>
      </c>
      <c r="H3468" s="75">
        <f t="shared" si="1279"/>
        <v>1</v>
      </c>
      <c r="I3468" s="76">
        <f t="shared" si="1280"/>
        <v>1</v>
      </c>
      <c r="J3468" s="76">
        <f t="shared" si="1281"/>
        <v>1</v>
      </c>
      <c r="K3468" s="67">
        <f t="shared" si="1282"/>
        <v>0</v>
      </c>
      <c r="L3468" s="67">
        <f t="shared" si="1283"/>
        <v>0</v>
      </c>
      <c r="M3468" s="77">
        <f t="shared" si="1284"/>
        <v>0</v>
      </c>
      <c r="N3468" s="76">
        <f t="shared" si="1285"/>
        <v>1</v>
      </c>
      <c r="O3468" s="77">
        <f t="shared" si="1286"/>
        <v>0.92</v>
      </c>
      <c r="P3468" s="76">
        <f t="shared" si="1287"/>
        <v>0</v>
      </c>
      <c r="Q3468" s="76">
        <f t="shared" si="1288"/>
        <v>0</v>
      </c>
      <c r="R3468" s="76">
        <f t="shared" si="1289"/>
        <v>1</v>
      </c>
      <c r="S3468" s="76">
        <f t="shared" si="1290"/>
        <v>1</v>
      </c>
      <c r="T3468" s="76">
        <f t="shared" si="1291"/>
        <v>0.98658548187612971</v>
      </c>
      <c r="U3468" s="76">
        <f t="shared" si="1292"/>
        <v>1</v>
      </c>
    </row>
    <row r="3469" spans="1:21" x14ac:dyDescent="0.25">
      <c r="A3469" s="71">
        <v>43</v>
      </c>
      <c r="B3469" s="72">
        <f t="shared" si="1293"/>
        <v>46935</v>
      </c>
      <c r="C3469" s="73">
        <f t="shared" si="1274"/>
        <v>46965</v>
      </c>
      <c r="D3469" s="67">
        <f t="shared" si="1275"/>
        <v>31</v>
      </c>
      <c r="E3469" s="67">
        <f t="shared" si="1276"/>
        <v>7</v>
      </c>
      <c r="F3469" s="74">
        <f t="shared" si="1277"/>
        <v>46950.5</v>
      </c>
      <c r="G3469" s="67">
        <f t="shared" si="1278"/>
        <v>24342</v>
      </c>
      <c r="H3469" s="75">
        <f t="shared" si="1279"/>
        <v>1</v>
      </c>
      <c r="I3469" s="76">
        <f t="shared" si="1280"/>
        <v>1</v>
      </c>
      <c r="J3469" s="76">
        <f t="shared" si="1281"/>
        <v>1</v>
      </c>
      <c r="K3469" s="67">
        <f t="shared" si="1282"/>
        <v>0</v>
      </c>
      <c r="L3469" s="67">
        <f t="shared" si="1283"/>
        <v>0</v>
      </c>
      <c r="M3469" s="77">
        <f t="shared" si="1284"/>
        <v>0</v>
      </c>
      <c r="N3469" s="76">
        <f t="shared" si="1285"/>
        <v>1</v>
      </c>
      <c r="O3469" s="77">
        <f t="shared" si="1286"/>
        <v>0.92</v>
      </c>
      <c r="P3469" s="76">
        <f t="shared" si="1287"/>
        <v>0</v>
      </c>
      <c r="Q3469" s="76">
        <f t="shared" si="1288"/>
        <v>0</v>
      </c>
      <c r="R3469" s="76">
        <f t="shared" si="1289"/>
        <v>0.91666666666666663</v>
      </c>
      <c r="S3469" s="76">
        <f t="shared" si="1290"/>
        <v>1</v>
      </c>
      <c r="T3469" s="76">
        <f t="shared" si="1291"/>
        <v>0.98731091237750934</v>
      </c>
      <c r="U3469" s="76">
        <f t="shared" si="1292"/>
        <v>1</v>
      </c>
    </row>
    <row r="3470" spans="1:21" x14ac:dyDescent="0.25">
      <c r="A3470" s="71">
        <v>44</v>
      </c>
      <c r="B3470" s="72">
        <f t="shared" si="1293"/>
        <v>46966</v>
      </c>
      <c r="C3470" s="73">
        <f t="shared" si="1274"/>
        <v>46996</v>
      </c>
      <c r="D3470" s="67">
        <f t="shared" si="1275"/>
        <v>31</v>
      </c>
      <c r="E3470" s="67">
        <f t="shared" si="1276"/>
        <v>8</v>
      </c>
      <c r="F3470" s="74">
        <f t="shared" si="1277"/>
        <v>46981.5</v>
      </c>
      <c r="G3470" s="67">
        <f t="shared" si="1278"/>
        <v>24343</v>
      </c>
      <c r="H3470" s="75">
        <f t="shared" si="1279"/>
        <v>1</v>
      </c>
      <c r="I3470" s="76">
        <f t="shared" si="1280"/>
        <v>1</v>
      </c>
      <c r="J3470" s="76">
        <f t="shared" si="1281"/>
        <v>1</v>
      </c>
      <c r="K3470" s="67">
        <f t="shared" si="1282"/>
        <v>0</v>
      </c>
      <c r="L3470" s="67">
        <f t="shared" si="1283"/>
        <v>0</v>
      </c>
      <c r="M3470" s="77">
        <f t="shared" si="1284"/>
        <v>0</v>
      </c>
      <c r="N3470" s="76">
        <f t="shared" si="1285"/>
        <v>1</v>
      </c>
      <c r="O3470" s="77">
        <f t="shared" si="1286"/>
        <v>0.92</v>
      </c>
      <c r="P3470" s="76">
        <f t="shared" si="1287"/>
        <v>0</v>
      </c>
      <c r="Q3470" s="76">
        <f t="shared" si="1288"/>
        <v>0</v>
      </c>
      <c r="R3470" s="76">
        <f t="shared" si="1289"/>
        <v>0.75</v>
      </c>
      <c r="S3470" s="76">
        <f t="shared" si="1290"/>
        <v>1</v>
      </c>
      <c r="T3470" s="76">
        <f t="shared" si="1291"/>
        <v>0.98804823518219009</v>
      </c>
      <c r="U3470" s="76">
        <f t="shared" si="1292"/>
        <v>1</v>
      </c>
    </row>
    <row r="3471" spans="1:21" x14ac:dyDescent="0.25">
      <c r="A3471" s="71">
        <v>45</v>
      </c>
      <c r="B3471" s="72">
        <f t="shared" si="1293"/>
        <v>46997</v>
      </c>
      <c r="C3471" s="73">
        <f t="shared" si="1274"/>
        <v>47026</v>
      </c>
      <c r="D3471" s="67">
        <f t="shared" si="1275"/>
        <v>30</v>
      </c>
      <c r="E3471" s="67">
        <f t="shared" si="1276"/>
        <v>9</v>
      </c>
      <c r="F3471" s="74">
        <f t="shared" si="1277"/>
        <v>47012</v>
      </c>
      <c r="G3471" s="67">
        <f t="shared" si="1278"/>
        <v>24344</v>
      </c>
      <c r="H3471" s="75">
        <f t="shared" si="1279"/>
        <v>1</v>
      </c>
      <c r="I3471" s="76">
        <f t="shared" si="1280"/>
        <v>1</v>
      </c>
      <c r="J3471" s="76">
        <f t="shared" si="1281"/>
        <v>1</v>
      </c>
      <c r="K3471" s="67">
        <f t="shared" si="1282"/>
        <v>0</v>
      </c>
      <c r="L3471" s="67">
        <f t="shared" si="1283"/>
        <v>0</v>
      </c>
      <c r="M3471" s="77">
        <f t="shared" si="1284"/>
        <v>0</v>
      </c>
      <c r="N3471" s="76">
        <f t="shared" si="1285"/>
        <v>1</v>
      </c>
      <c r="O3471" s="77">
        <f t="shared" si="1286"/>
        <v>0.92</v>
      </c>
      <c r="P3471" s="76">
        <f t="shared" si="1287"/>
        <v>0</v>
      </c>
      <c r="Q3471" s="76">
        <f t="shared" si="1288"/>
        <v>0</v>
      </c>
      <c r="R3471" s="76">
        <f t="shared" si="1289"/>
        <v>0.58333333333333337</v>
      </c>
      <c r="S3471" s="76">
        <f t="shared" si="1290"/>
        <v>1</v>
      </c>
      <c r="T3471" s="76">
        <f t="shared" si="1291"/>
        <v>0.98877366568356961</v>
      </c>
      <c r="U3471" s="76">
        <f t="shared" si="1292"/>
        <v>1</v>
      </c>
    </row>
    <row r="3472" spans="1:21" x14ac:dyDescent="0.25">
      <c r="A3472" s="71">
        <v>46</v>
      </c>
      <c r="B3472" s="72">
        <f t="shared" si="1293"/>
        <v>47027</v>
      </c>
      <c r="C3472" s="73">
        <f t="shared" si="1274"/>
        <v>47057</v>
      </c>
      <c r="D3472" s="67">
        <f t="shared" si="1275"/>
        <v>31</v>
      </c>
      <c r="E3472" s="67">
        <f t="shared" si="1276"/>
        <v>10</v>
      </c>
      <c r="F3472" s="74">
        <f t="shared" si="1277"/>
        <v>47042.5</v>
      </c>
      <c r="G3472" s="67">
        <f t="shared" si="1278"/>
        <v>24345</v>
      </c>
      <c r="H3472" s="75">
        <f t="shared" si="1279"/>
        <v>1</v>
      </c>
      <c r="I3472" s="76">
        <f t="shared" si="1280"/>
        <v>1</v>
      </c>
      <c r="J3472" s="76">
        <f t="shared" si="1281"/>
        <v>1</v>
      </c>
      <c r="K3472" s="67">
        <f t="shared" si="1282"/>
        <v>0</v>
      </c>
      <c r="L3472" s="67">
        <f t="shared" si="1283"/>
        <v>0</v>
      </c>
      <c r="M3472" s="77">
        <f t="shared" si="1284"/>
        <v>0</v>
      </c>
      <c r="N3472" s="76">
        <f t="shared" si="1285"/>
        <v>1</v>
      </c>
      <c r="O3472" s="77">
        <f t="shared" si="1286"/>
        <v>0.92</v>
      </c>
      <c r="P3472" s="76">
        <f t="shared" si="1287"/>
        <v>0</v>
      </c>
      <c r="Q3472" s="76">
        <f t="shared" si="1288"/>
        <v>0</v>
      </c>
      <c r="R3472" s="76">
        <f t="shared" si="1289"/>
        <v>0.41666666666666669</v>
      </c>
      <c r="S3472" s="76">
        <f t="shared" si="1290"/>
        <v>1</v>
      </c>
      <c r="T3472" s="76">
        <f t="shared" si="1291"/>
        <v>0.98949909618494902</v>
      </c>
      <c r="U3472" s="76">
        <f t="shared" si="1292"/>
        <v>1</v>
      </c>
    </row>
    <row r="3473" spans="1:21" x14ac:dyDescent="0.25">
      <c r="A3473" s="71">
        <v>47</v>
      </c>
      <c r="B3473" s="72">
        <f t="shared" si="1293"/>
        <v>47058</v>
      </c>
      <c r="C3473" s="73">
        <f t="shared" si="1274"/>
        <v>47087</v>
      </c>
      <c r="D3473" s="67">
        <f t="shared" si="1275"/>
        <v>30</v>
      </c>
      <c r="E3473" s="67">
        <f t="shared" si="1276"/>
        <v>11</v>
      </c>
      <c r="F3473" s="74">
        <f t="shared" si="1277"/>
        <v>47073</v>
      </c>
      <c r="G3473" s="67">
        <f t="shared" si="1278"/>
        <v>24346</v>
      </c>
      <c r="H3473" s="75">
        <f t="shared" si="1279"/>
        <v>1</v>
      </c>
      <c r="I3473" s="76">
        <f t="shared" si="1280"/>
        <v>1</v>
      </c>
      <c r="J3473" s="76">
        <f t="shared" si="1281"/>
        <v>1</v>
      </c>
      <c r="K3473" s="67">
        <f t="shared" si="1282"/>
        <v>0</v>
      </c>
      <c r="L3473" s="67">
        <f t="shared" si="1283"/>
        <v>0</v>
      </c>
      <c r="M3473" s="77">
        <f t="shared" si="1284"/>
        <v>0</v>
      </c>
      <c r="N3473" s="76">
        <f t="shared" si="1285"/>
        <v>1</v>
      </c>
      <c r="O3473" s="77">
        <f t="shared" si="1286"/>
        <v>0.92</v>
      </c>
      <c r="P3473" s="76">
        <f t="shared" si="1287"/>
        <v>0</v>
      </c>
      <c r="Q3473" s="76">
        <f t="shared" si="1288"/>
        <v>0</v>
      </c>
      <c r="R3473" s="76">
        <f t="shared" si="1289"/>
        <v>0.25</v>
      </c>
      <c r="S3473" s="76">
        <f t="shared" si="1290"/>
        <v>1</v>
      </c>
      <c r="T3473" s="76">
        <f t="shared" si="1291"/>
        <v>0.99022452668632865</v>
      </c>
      <c r="U3473" s="76">
        <f t="shared" si="1292"/>
        <v>1</v>
      </c>
    </row>
    <row r="3474" spans="1:21" x14ac:dyDescent="0.25">
      <c r="A3474" s="71">
        <v>48</v>
      </c>
      <c r="B3474" s="72">
        <f t="shared" si="1293"/>
        <v>47088</v>
      </c>
      <c r="C3474" s="73">
        <f t="shared" si="1274"/>
        <v>47118</v>
      </c>
      <c r="D3474" s="67">
        <f t="shared" si="1275"/>
        <v>31</v>
      </c>
      <c r="E3474" s="67">
        <f t="shared" si="1276"/>
        <v>12</v>
      </c>
      <c r="F3474" s="74">
        <f t="shared" si="1277"/>
        <v>47103.5</v>
      </c>
      <c r="G3474" s="67">
        <f t="shared" si="1278"/>
        <v>24347</v>
      </c>
      <c r="H3474" s="75">
        <f t="shared" si="1279"/>
        <v>1</v>
      </c>
      <c r="I3474" s="76">
        <f t="shared" si="1280"/>
        <v>1</v>
      </c>
      <c r="J3474" s="76">
        <f t="shared" si="1281"/>
        <v>1</v>
      </c>
      <c r="K3474" s="67">
        <f t="shared" si="1282"/>
        <v>0</v>
      </c>
      <c r="L3474" s="67">
        <f t="shared" si="1283"/>
        <v>0</v>
      </c>
      <c r="M3474" s="77">
        <f t="shared" si="1284"/>
        <v>0</v>
      </c>
      <c r="N3474" s="76">
        <f t="shared" si="1285"/>
        <v>1</v>
      </c>
      <c r="O3474" s="77">
        <f t="shared" si="1286"/>
        <v>0.92</v>
      </c>
      <c r="P3474" s="76">
        <f t="shared" si="1287"/>
        <v>0</v>
      </c>
      <c r="Q3474" s="76">
        <f t="shared" si="1288"/>
        <v>0</v>
      </c>
      <c r="R3474" s="76">
        <f t="shared" si="1289"/>
        <v>8.3333333333333329E-2</v>
      </c>
      <c r="S3474" s="76">
        <f t="shared" si="1290"/>
        <v>1</v>
      </c>
      <c r="T3474" s="76">
        <f t="shared" si="1291"/>
        <v>0.99094995718770806</v>
      </c>
      <c r="U3474" s="76">
        <f t="shared" si="1292"/>
        <v>1</v>
      </c>
    </row>
    <row r="3475" spans="1:21" x14ac:dyDescent="0.25">
      <c r="A3475" s="81" t="s">
        <v>1187</v>
      </c>
      <c r="B3475" s="53">
        <f>EXP(SUMPRODUCT((rl_key=$A$3424)*(rl_cons="Y")*rl_ln1p))</f>
        <v>1</v>
      </c>
      <c r="C3475" s="53">
        <f>SUMPRODUCT($H$3427:$H$3474,$P$3427:$P$3474,$U$3427:$U$3474)/SUMPRODUCT($H$3427:$H$3474,$P$3427:$P$3474)</f>
        <v>1</v>
      </c>
      <c r="D3475" s="53">
        <f>SUMPRODUCT($H$3427:$H$3474,$Q$3427:$Q$3474,$U$3427:$U$3474)/SUMPRODUCT($H$3427:$H$3474,$Q$3427:$Q$3474)</f>
        <v>1</v>
      </c>
      <c r="E3475" s="53">
        <f>SUMPRODUCT($H$3427:$H$3474,$R$3427:$R$3474,$U$3427:$U$3474)/SUMPRODUCT($H$3427:$H$3474,$R$3427:$R$3474)</f>
        <v>1</v>
      </c>
      <c r="F3475" s="172">
        <f>SUMPRODUCT($H$3427:$H$3474,$Q$3427:$Q$3474,$O$3427:$O$3474)/SUMPRODUCT($H$3427:$H$3474,$Q$3427:$Q$3474)</f>
        <v>0.91399252370532447</v>
      </c>
      <c r="G3475" s="172">
        <f>SUMPRODUCT($H$3427:$H$3474,$R$3427:$R$3474,$O$3427:$O$3474)/SUMPRODUCT($H$3427:$H$3474,$R$3427:$R$3474)</f>
        <v>0.91966022368101141</v>
      </c>
    </row>
    <row r="3478" spans="1:21" x14ac:dyDescent="0.25">
      <c r="A3478" s="81" t="str">
        <f>INDEX(lr_key,64)</f>
        <v/>
      </c>
      <c r="B3478" s="81">
        <f>INDEX(lr_state,64)</f>
        <v>0</v>
      </c>
      <c r="C3478" s="55">
        <f>nr_TermMonths</f>
        <v>6</v>
      </c>
      <c r="D3478" s="55">
        <f>IF(COUNTIF(se_state,$B3478)=0,0,MATCH($B3478,se_state,0))</f>
        <v>0</v>
      </c>
      <c r="E3478" s="57">
        <f>IF($D3478=0,0,INDEX(se_sum,$D3478))</f>
        <v>0</v>
      </c>
      <c r="F3478" s="172">
        <f>IF(N(INDEX(lr_mind,64))=0,1,INDEX(lr_mind,64))</f>
        <v>1</v>
      </c>
      <c r="G3478" s="172">
        <f>IF(N(INDEX(lr_m0,64))=0,1,INDEX(lr_m0,64))</f>
        <v>1</v>
      </c>
      <c r="H3478" s="54">
        <f>IF(N(INDEX(lr_m0asof,64))=0,DATE(nr_PlanYear-1,10,1),INDEX(lr_m0asof,64))</f>
        <v>46296</v>
      </c>
      <c r="I3478" s="172">
        <f>IF(N(INDEX(lr_m1,64))=0,1,INDEX(lr_m1,64))</f>
        <v>1</v>
      </c>
      <c r="J3478" s="172">
        <f>INDEX(lr_mprior,64)</f>
        <v>0</v>
      </c>
      <c r="K3478" s="172">
        <f>INDEX(lr_m2,64)</f>
        <v>0</v>
      </c>
      <c r="L3478" s="81" t="b">
        <f>NOT(ISBLANK(INDEX(lr_netp,64)))</f>
        <v>0</v>
      </c>
      <c r="M3478" s="52">
        <f>N(INDEX(lr_netp,64))</f>
        <v>0</v>
      </c>
      <c r="N3478" s="52">
        <f>IF(ISBLANK(INDEX(lr_netp1,64)),$M$3478,N(INDEX(lr_netp1,64)))</f>
        <v>0</v>
      </c>
      <c r="O3478" s="55">
        <f>IF(AND(nr_ModAdjMaster="ON",INDEX(lr_modadj,64)="ON"),1,0)</f>
        <v>0</v>
      </c>
    </row>
    <row r="3479" spans="1:21" x14ac:dyDescent="0.25">
      <c r="A3479" s="81">
        <f>EDATE($H$3478,-12)+1</f>
        <v>45932</v>
      </c>
      <c r="B3479" s="81">
        <f>$H$3478+1</f>
        <v>46297</v>
      </c>
      <c r="C3479" s="81">
        <f>DATE(nr_PlanYear,12,31)+1</f>
        <v>46753</v>
      </c>
      <c r="D3479" s="81">
        <f>DATE(nr_PlanYear+1,12,31)+1</f>
        <v>47119</v>
      </c>
      <c r="E3479" s="81">
        <f>IF(N($J$3478)=0,$F$3479-($G$3479-$F$3479)/($C$3479-$B$3479)*($B$3479-$A$3479),$J$3478)</f>
        <v>1</v>
      </c>
      <c r="F3479" s="81">
        <f>$G$3478</f>
        <v>1</v>
      </c>
      <c r="G3479" s="81">
        <f>$I$3478</f>
        <v>1</v>
      </c>
      <c r="H3479" s="81">
        <f>IF(N($K$3478)=0,$I$3478,$K$3478)</f>
        <v>1</v>
      </c>
      <c r="I3479" s="81">
        <f>($F$3479-$E$3479)/($B$3479-$A$3479)</f>
        <v>0</v>
      </c>
      <c r="J3479" s="81">
        <f>($G$3479-$F$3479)/($C$3479-$B$3479)</f>
        <v>0</v>
      </c>
      <c r="K3479" s="81">
        <f>($H$3479-$G$3479)/($D$3479-$C$3479)</f>
        <v>0</v>
      </c>
    </row>
    <row r="3480" spans="1:21" ht="36" x14ac:dyDescent="0.25">
      <c r="A3480" s="50" t="s">
        <v>211</v>
      </c>
      <c r="B3480" s="50" t="s">
        <v>212</v>
      </c>
      <c r="C3480" s="50" t="s">
        <v>213</v>
      </c>
      <c r="D3480" s="50" t="s">
        <v>214</v>
      </c>
      <c r="E3480" s="50" t="s">
        <v>215</v>
      </c>
      <c r="F3480" s="50" t="s">
        <v>216</v>
      </c>
      <c r="G3480" s="50" t="s">
        <v>217</v>
      </c>
      <c r="H3480" s="50" t="s">
        <v>218</v>
      </c>
      <c r="I3480" s="50" t="s">
        <v>219</v>
      </c>
      <c r="J3480" s="50" t="s">
        <v>220</v>
      </c>
      <c r="K3480" s="50" t="s">
        <v>221</v>
      </c>
      <c r="L3480" s="50" t="s">
        <v>222</v>
      </c>
      <c r="M3480" s="50" t="s">
        <v>223</v>
      </c>
      <c r="N3480" s="50" t="s">
        <v>224</v>
      </c>
      <c r="O3480" s="50" t="s">
        <v>225</v>
      </c>
      <c r="P3480" s="50" t="s">
        <v>226</v>
      </c>
      <c r="Q3480" s="50" t="s">
        <v>227</v>
      </c>
      <c r="R3480" s="50" t="s">
        <v>228</v>
      </c>
      <c r="S3480" s="50" t="s">
        <v>229</v>
      </c>
      <c r="T3480" s="50" t="s">
        <v>230</v>
      </c>
      <c r="U3480" s="50" t="s">
        <v>231</v>
      </c>
    </row>
    <row r="3481" spans="1:21" x14ac:dyDescent="0.25">
      <c r="A3481" s="71">
        <v>1</v>
      </c>
      <c r="B3481" s="72">
        <f>DATE(nr_PlanYear-2,1,1)</f>
        <v>45658</v>
      </c>
      <c r="C3481" s="73">
        <f t="shared" ref="C3481:C3528" si="1294">EOMONTH($B3481,0)</f>
        <v>45688</v>
      </c>
      <c r="D3481" s="67">
        <f t="shared" ref="D3481:D3528" si="1295">$C3481-$B3481+1</f>
        <v>31</v>
      </c>
      <c r="E3481" s="67">
        <f t="shared" ref="E3481:E3528" si="1296">MONTH($B3481)</f>
        <v>1</v>
      </c>
      <c r="F3481" s="74">
        <f t="shared" ref="F3481:F3528" si="1297">($B3481+$C3481+1)/2</f>
        <v>45673.5</v>
      </c>
      <c r="G3481" s="67">
        <f t="shared" ref="G3481:G3528" si="1298">YEAR($B3481)*12+MONTH($B3481)-1</f>
        <v>24300</v>
      </c>
      <c r="H3481" s="75">
        <f t="shared" ref="H3481:H3528" si="1299">IF(OR(nr_SeasonOn="OFF",$D$3478=0,$E$3478=0),1,12*INDEX(se_block,$D$3478,$E3481)/$E$3478)</f>
        <v>1</v>
      </c>
      <c r="I3481" s="76">
        <f t="shared" ref="I3481:I3528" si="1300">EXP(SUMPRODUCT((rl_eff&lt;$B3481)*(rl_key=$A$3478)*rl_ln1p))</f>
        <v>1</v>
      </c>
      <c r="J3481" s="76">
        <f t="shared" ref="J3481:J3528" si="1301">EXP(SUMPRODUCT((rl_eff&lt;=$C3481)*(rl_key=$A$3478)*rl_ln1p))</f>
        <v>1</v>
      </c>
      <c r="K3481" s="67">
        <f t="shared" ref="K3481:K3528" si="1302">COUNTIFS(rl_key,$A$3478,rl_eff,"&gt;="&amp;$B3481,rl_eff,"&lt;="&amp;$C3481)</f>
        <v>0</v>
      </c>
      <c r="L3481" s="67">
        <f t="shared" ref="L3481:L3528" si="1303">SUMIFS(rl_daysafter,rl_key,$A$3478,rl_effmonth,$B3481,rl_first,1)</f>
        <v>0</v>
      </c>
      <c r="M3481" s="77">
        <f t="shared" ref="M3481:M3528" si="1304">IF($K3481=0,0,MIN(1,$L3481/$D3481))</f>
        <v>0</v>
      </c>
      <c r="N3481" s="76">
        <f t="shared" ref="N3481:N3528" si="1305">IF($K3481=0,$J3481,(1-$M3481)*$I3481+$M3481*$J3481)</f>
        <v>1</v>
      </c>
      <c r="O3481" s="77">
        <f t="shared" ref="O3481:O3528" si="1306">IF($F3481&lt;$B$3479,$E$3479+$I$3479*($F3481-$A$3479),IF($F3481&lt;$C$3479,$F$3479+$J$3479*($F3481-$B$3479),$G$3479+$K$3479*($F3481-$C$3479)))</f>
        <v>1</v>
      </c>
      <c r="P3481" s="76">
        <f t="shared" ref="P3481:P3528" si="1307">MIN(1,MAX(0,(nr_MEndPm1-$G3481+0.5)/$C$3478))-MIN(1,MAX(0,(nr_MStartPm1-1-$G3481+0.5)/$C$3478))</f>
        <v>0</v>
      </c>
      <c r="Q3481" s="76">
        <f t="shared" ref="Q3481:Q3528" si="1308">MIN(1,MAX(0,(nr_MEndP-$G3481+0.5)/$C$3478))-MIN(1,MAX(0,(nr_MStartP-1-$G3481+0.5)/$C$3478))</f>
        <v>0</v>
      </c>
      <c r="R3481" s="76">
        <f t="shared" ref="R3481:R3528" si="1309">MIN(1,MAX(0,(nr_MEndP1-$G3481+0.5)/$C$3478))-MIN(1,MAX(0,(nr_MStartP1-1-$G3481+0.5)/$C$3478))</f>
        <v>0</v>
      </c>
      <c r="S3481" s="76">
        <f t="shared" ref="S3481:S3528" si="1310">$N3481*IF($O$3478=1,$O3481/$F$3478,1)</f>
        <v>1</v>
      </c>
      <c r="T3481" s="76">
        <f t="shared" ref="T3481:T3528" si="1311">IF($G3481&lt;nr_MStartP,$S3481,$T3469*(1+IF($G3481&lt;nr_MStartP1,$M$3478,$N$3478)))</f>
        <v>1</v>
      </c>
      <c r="U3481" s="76">
        <f t="shared" ref="U3481:U3528" si="1312">IF($L$3478,$T3481,$N3481)</f>
        <v>1</v>
      </c>
    </row>
    <row r="3482" spans="1:21" x14ac:dyDescent="0.25">
      <c r="A3482" s="71">
        <v>2</v>
      </c>
      <c r="B3482" s="72">
        <f t="shared" ref="B3482:B3528" si="1313">EDATE($B3481,1)</f>
        <v>45689</v>
      </c>
      <c r="C3482" s="73">
        <f t="shared" si="1294"/>
        <v>45716</v>
      </c>
      <c r="D3482" s="67">
        <f t="shared" si="1295"/>
        <v>28</v>
      </c>
      <c r="E3482" s="67">
        <f t="shared" si="1296"/>
        <v>2</v>
      </c>
      <c r="F3482" s="74">
        <f t="shared" si="1297"/>
        <v>45703</v>
      </c>
      <c r="G3482" s="67">
        <f t="shared" si="1298"/>
        <v>24301</v>
      </c>
      <c r="H3482" s="75">
        <f t="shared" si="1299"/>
        <v>1</v>
      </c>
      <c r="I3482" s="76">
        <f t="shared" si="1300"/>
        <v>1</v>
      </c>
      <c r="J3482" s="76">
        <f t="shared" si="1301"/>
        <v>1</v>
      </c>
      <c r="K3482" s="67">
        <f t="shared" si="1302"/>
        <v>0</v>
      </c>
      <c r="L3482" s="67">
        <f t="shared" si="1303"/>
        <v>0</v>
      </c>
      <c r="M3482" s="77">
        <f t="shared" si="1304"/>
        <v>0</v>
      </c>
      <c r="N3482" s="76">
        <f t="shared" si="1305"/>
        <v>1</v>
      </c>
      <c r="O3482" s="77">
        <f t="shared" si="1306"/>
        <v>1</v>
      </c>
      <c r="P3482" s="76">
        <f t="shared" si="1307"/>
        <v>0</v>
      </c>
      <c r="Q3482" s="76">
        <f t="shared" si="1308"/>
        <v>0</v>
      </c>
      <c r="R3482" s="76">
        <f t="shared" si="1309"/>
        <v>0</v>
      </c>
      <c r="S3482" s="76">
        <f t="shared" si="1310"/>
        <v>1</v>
      </c>
      <c r="T3482" s="76">
        <f t="shared" si="1311"/>
        <v>1</v>
      </c>
      <c r="U3482" s="76">
        <f t="shared" si="1312"/>
        <v>1</v>
      </c>
    </row>
    <row r="3483" spans="1:21" x14ac:dyDescent="0.25">
      <c r="A3483" s="71">
        <v>3</v>
      </c>
      <c r="B3483" s="72">
        <f t="shared" si="1313"/>
        <v>45717</v>
      </c>
      <c r="C3483" s="73">
        <f t="shared" si="1294"/>
        <v>45747</v>
      </c>
      <c r="D3483" s="67">
        <f t="shared" si="1295"/>
        <v>31</v>
      </c>
      <c r="E3483" s="67">
        <f t="shared" si="1296"/>
        <v>3</v>
      </c>
      <c r="F3483" s="74">
        <f t="shared" si="1297"/>
        <v>45732.5</v>
      </c>
      <c r="G3483" s="67">
        <f t="shared" si="1298"/>
        <v>24302</v>
      </c>
      <c r="H3483" s="75">
        <f t="shared" si="1299"/>
        <v>1</v>
      </c>
      <c r="I3483" s="76">
        <f t="shared" si="1300"/>
        <v>1</v>
      </c>
      <c r="J3483" s="76">
        <f t="shared" si="1301"/>
        <v>1</v>
      </c>
      <c r="K3483" s="67">
        <f t="shared" si="1302"/>
        <v>0</v>
      </c>
      <c r="L3483" s="67">
        <f t="shared" si="1303"/>
        <v>0</v>
      </c>
      <c r="M3483" s="77">
        <f t="shared" si="1304"/>
        <v>0</v>
      </c>
      <c r="N3483" s="76">
        <f t="shared" si="1305"/>
        <v>1</v>
      </c>
      <c r="O3483" s="77">
        <f t="shared" si="1306"/>
        <v>1</v>
      </c>
      <c r="P3483" s="76">
        <f t="shared" si="1307"/>
        <v>0</v>
      </c>
      <c r="Q3483" s="76">
        <f t="shared" si="1308"/>
        <v>0</v>
      </c>
      <c r="R3483" s="76">
        <f t="shared" si="1309"/>
        <v>0</v>
      </c>
      <c r="S3483" s="76">
        <f t="shared" si="1310"/>
        <v>1</v>
      </c>
      <c r="T3483" s="76">
        <f t="shared" si="1311"/>
        <v>1</v>
      </c>
      <c r="U3483" s="76">
        <f t="shared" si="1312"/>
        <v>1</v>
      </c>
    </row>
    <row r="3484" spans="1:21" x14ac:dyDescent="0.25">
      <c r="A3484" s="71">
        <v>4</v>
      </c>
      <c r="B3484" s="72">
        <f t="shared" si="1313"/>
        <v>45748</v>
      </c>
      <c r="C3484" s="73">
        <f t="shared" si="1294"/>
        <v>45777</v>
      </c>
      <c r="D3484" s="67">
        <f t="shared" si="1295"/>
        <v>30</v>
      </c>
      <c r="E3484" s="67">
        <f t="shared" si="1296"/>
        <v>4</v>
      </c>
      <c r="F3484" s="74">
        <f t="shared" si="1297"/>
        <v>45763</v>
      </c>
      <c r="G3484" s="67">
        <f t="shared" si="1298"/>
        <v>24303</v>
      </c>
      <c r="H3484" s="75">
        <f t="shared" si="1299"/>
        <v>1</v>
      </c>
      <c r="I3484" s="76">
        <f t="shared" si="1300"/>
        <v>1</v>
      </c>
      <c r="J3484" s="76">
        <f t="shared" si="1301"/>
        <v>1</v>
      </c>
      <c r="K3484" s="67">
        <f t="shared" si="1302"/>
        <v>0</v>
      </c>
      <c r="L3484" s="67">
        <f t="shared" si="1303"/>
        <v>0</v>
      </c>
      <c r="M3484" s="77">
        <f t="shared" si="1304"/>
        <v>0</v>
      </c>
      <c r="N3484" s="76">
        <f t="shared" si="1305"/>
        <v>1</v>
      </c>
      <c r="O3484" s="77">
        <f t="shared" si="1306"/>
        <v>1</v>
      </c>
      <c r="P3484" s="76">
        <f t="shared" si="1307"/>
        <v>0</v>
      </c>
      <c r="Q3484" s="76">
        <f t="shared" si="1308"/>
        <v>0</v>
      </c>
      <c r="R3484" s="76">
        <f t="shared" si="1309"/>
        <v>0</v>
      </c>
      <c r="S3484" s="76">
        <f t="shared" si="1310"/>
        <v>1</v>
      </c>
      <c r="T3484" s="76">
        <f t="shared" si="1311"/>
        <v>1</v>
      </c>
      <c r="U3484" s="76">
        <f t="shared" si="1312"/>
        <v>1</v>
      </c>
    </row>
    <row r="3485" spans="1:21" x14ac:dyDescent="0.25">
      <c r="A3485" s="71">
        <v>5</v>
      </c>
      <c r="B3485" s="72">
        <f t="shared" si="1313"/>
        <v>45778</v>
      </c>
      <c r="C3485" s="73">
        <f t="shared" si="1294"/>
        <v>45808</v>
      </c>
      <c r="D3485" s="67">
        <f t="shared" si="1295"/>
        <v>31</v>
      </c>
      <c r="E3485" s="67">
        <f t="shared" si="1296"/>
        <v>5</v>
      </c>
      <c r="F3485" s="74">
        <f t="shared" si="1297"/>
        <v>45793.5</v>
      </c>
      <c r="G3485" s="67">
        <f t="shared" si="1298"/>
        <v>24304</v>
      </c>
      <c r="H3485" s="75">
        <f t="shared" si="1299"/>
        <v>1</v>
      </c>
      <c r="I3485" s="76">
        <f t="shared" si="1300"/>
        <v>1</v>
      </c>
      <c r="J3485" s="76">
        <f t="shared" si="1301"/>
        <v>1</v>
      </c>
      <c r="K3485" s="67">
        <f t="shared" si="1302"/>
        <v>0</v>
      </c>
      <c r="L3485" s="67">
        <f t="shared" si="1303"/>
        <v>0</v>
      </c>
      <c r="M3485" s="77">
        <f t="shared" si="1304"/>
        <v>0</v>
      </c>
      <c r="N3485" s="76">
        <f t="shared" si="1305"/>
        <v>1</v>
      </c>
      <c r="O3485" s="77">
        <f t="shared" si="1306"/>
        <v>1</v>
      </c>
      <c r="P3485" s="76">
        <f t="shared" si="1307"/>
        <v>0</v>
      </c>
      <c r="Q3485" s="76">
        <f t="shared" si="1308"/>
        <v>0</v>
      </c>
      <c r="R3485" s="76">
        <f t="shared" si="1309"/>
        <v>0</v>
      </c>
      <c r="S3485" s="76">
        <f t="shared" si="1310"/>
        <v>1</v>
      </c>
      <c r="T3485" s="76">
        <f t="shared" si="1311"/>
        <v>1</v>
      </c>
      <c r="U3485" s="76">
        <f t="shared" si="1312"/>
        <v>1</v>
      </c>
    </row>
    <row r="3486" spans="1:21" x14ac:dyDescent="0.25">
      <c r="A3486" s="71">
        <v>6</v>
      </c>
      <c r="B3486" s="72">
        <f t="shared" si="1313"/>
        <v>45809</v>
      </c>
      <c r="C3486" s="73">
        <f t="shared" si="1294"/>
        <v>45838</v>
      </c>
      <c r="D3486" s="67">
        <f t="shared" si="1295"/>
        <v>30</v>
      </c>
      <c r="E3486" s="67">
        <f t="shared" si="1296"/>
        <v>6</v>
      </c>
      <c r="F3486" s="74">
        <f t="shared" si="1297"/>
        <v>45824</v>
      </c>
      <c r="G3486" s="67">
        <f t="shared" si="1298"/>
        <v>24305</v>
      </c>
      <c r="H3486" s="75">
        <f t="shared" si="1299"/>
        <v>1</v>
      </c>
      <c r="I3486" s="76">
        <f t="shared" si="1300"/>
        <v>1</v>
      </c>
      <c r="J3486" s="76">
        <f t="shared" si="1301"/>
        <v>1</v>
      </c>
      <c r="K3486" s="67">
        <f t="shared" si="1302"/>
        <v>0</v>
      </c>
      <c r="L3486" s="67">
        <f t="shared" si="1303"/>
        <v>0</v>
      </c>
      <c r="M3486" s="77">
        <f t="shared" si="1304"/>
        <v>0</v>
      </c>
      <c r="N3486" s="76">
        <f t="shared" si="1305"/>
        <v>1</v>
      </c>
      <c r="O3486" s="77">
        <f t="shared" si="1306"/>
        <v>1</v>
      </c>
      <c r="P3486" s="76">
        <f t="shared" si="1307"/>
        <v>0</v>
      </c>
      <c r="Q3486" s="76">
        <f t="shared" si="1308"/>
        <v>0</v>
      </c>
      <c r="R3486" s="76">
        <f t="shared" si="1309"/>
        <v>0</v>
      </c>
      <c r="S3486" s="76">
        <f t="shared" si="1310"/>
        <v>1</v>
      </c>
      <c r="T3486" s="76">
        <f t="shared" si="1311"/>
        <v>1</v>
      </c>
      <c r="U3486" s="76">
        <f t="shared" si="1312"/>
        <v>1</v>
      </c>
    </row>
    <row r="3487" spans="1:21" x14ac:dyDescent="0.25">
      <c r="A3487" s="71">
        <v>7</v>
      </c>
      <c r="B3487" s="72">
        <f t="shared" si="1313"/>
        <v>45839</v>
      </c>
      <c r="C3487" s="73">
        <f t="shared" si="1294"/>
        <v>45869</v>
      </c>
      <c r="D3487" s="67">
        <f t="shared" si="1295"/>
        <v>31</v>
      </c>
      <c r="E3487" s="67">
        <f t="shared" si="1296"/>
        <v>7</v>
      </c>
      <c r="F3487" s="74">
        <f t="shared" si="1297"/>
        <v>45854.5</v>
      </c>
      <c r="G3487" s="67">
        <f t="shared" si="1298"/>
        <v>24306</v>
      </c>
      <c r="H3487" s="75">
        <f t="shared" si="1299"/>
        <v>1</v>
      </c>
      <c r="I3487" s="76">
        <f t="shared" si="1300"/>
        <v>1</v>
      </c>
      <c r="J3487" s="76">
        <f t="shared" si="1301"/>
        <v>1</v>
      </c>
      <c r="K3487" s="67">
        <f t="shared" si="1302"/>
        <v>0</v>
      </c>
      <c r="L3487" s="67">
        <f t="shared" si="1303"/>
        <v>0</v>
      </c>
      <c r="M3487" s="77">
        <f t="shared" si="1304"/>
        <v>0</v>
      </c>
      <c r="N3487" s="76">
        <f t="shared" si="1305"/>
        <v>1</v>
      </c>
      <c r="O3487" s="77">
        <f t="shared" si="1306"/>
        <v>1</v>
      </c>
      <c r="P3487" s="76">
        <f t="shared" si="1307"/>
        <v>8.333333333333337E-2</v>
      </c>
      <c r="Q3487" s="76">
        <f t="shared" si="1308"/>
        <v>0</v>
      </c>
      <c r="R3487" s="76">
        <f t="shared" si="1309"/>
        <v>0</v>
      </c>
      <c r="S3487" s="76">
        <f t="shared" si="1310"/>
        <v>1</v>
      </c>
      <c r="T3487" s="76">
        <f t="shared" si="1311"/>
        <v>1</v>
      </c>
      <c r="U3487" s="76">
        <f t="shared" si="1312"/>
        <v>1</v>
      </c>
    </row>
    <row r="3488" spans="1:21" x14ac:dyDescent="0.25">
      <c r="A3488" s="71">
        <v>8</v>
      </c>
      <c r="B3488" s="72">
        <f t="shared" si="1313"/>
        <v>45870</v>
      </c>
      <c r="C3488" s="73">
        <f t="shared" si="1294"/>
        <v>45900</v>
      </c>
      <c r="D3488" s="67">
        <f t="shared" si="1295"/>
        <v>31</v>
      </c>
      <c r="E3488" s="67">
        <f t="shared" si="1296"/>
        <v>8</v>
      </c>
      <c r="F3488" s="74">
        <f t="shared" si="1297"/>
        <v>45885.5</v>
      </c>
      <c r="G3488" s="67">
        <f t="shared" si="1298"/>
        <v>24307</v>
      </c>
      <c r="H3488" s="75">
        <f t="shared" si="1299"/>
        <v>1</v>
      </c>
      <c r="I3488" s="76">
        <f t="shared" si="1300"/>
        <v>1</v>
      </c>
      <c r="J3488" s="76">
        <f t="shared" si="1301"/>
        <v>1</v>
      </c>
      <c r="K3488" s="67">
        <f t="shared" si="1302"/>
        <v>0</v>
      </c>
      <c r="L3488" s="67">
        <f t="shared" si="1303"/>
        <v>0</v>
      </c>
      <c r="M3488" s="77">
        <f t="shared" si="1304"/>
        <v>0</v>
      </c>
      <c r="N3488" s="76">
        <f t="shared" si="1305"/>
        <v>1</v>
      </c>
      <c r="O3488" s="77">
        <f t="shared" si="1306"/>
        <v>1</v>
      </c>
      <c r="P3488" s="76">
        <f t="shared" si="1307"/>
        <v>0.25</v>
      </c>
      <c r="Q3488" s="76">
        <f t="shared" si="1308"/>
        <v>0</v>
      </c>
      <c r="R3488" s="76">
        <f t="shared" si="1309"/>
        <v>0</v>
      </c>
      <c r="S3488" s="76">
        <f t="shared" si="1310"/>
        <v>1</v>
      </c>
      <c r="T3488" s="76">
        <f t="shared" si="1311"/>
        <v>1</v>
      </c>
      <c r="U3488" s="76">
        <f t="shared" si="1312"/>
        <v>1</v>
      </c>
    </row>
    <row r="3489" spans="1:21" x14ac:dyDescent="0.25">
      <c r="A3489" s="71">
        <v>9</v>
      </c>
      <c r="B3489" s="72">
        <f t="shared" si="1313"/>
        <v>45901</v>
      </c>
      <c r="C3489" s="73">
        <f t="shared" si="1294"/>
        <v>45930</v>
      </c>
      <c r="D3489" s="67">
        <f t="shared" si="1295"/>
        <v>30</v>
      </c>
      <c r="E3489" s="67">
        <f t="shared" si="1296"/>
        <v>9</v>
      </c>
      <c r="F3489" s="74">
        <f t="shared" si="1297"/>
        <v>45916</v>
      </c>
      <c r="G3489" s="67">
        <f t="shared" si="1298"/>
        <v>24308</v>
      </c>
      <c r="H3489" s="75">
        <f t="shared" si="1299"/>
        <v>1</v>
      </c>
      <c r="I3489" s="76">
        <f t="shared" si="1300"/>
        <v>1</v>
      </c>
      <c r="J3489" s="76">
        <f t="shared" si="1301"/>
        <v>1</v>
      </c>
      <c r="K3489" s="67">
        <f t="shared" si="1302"/>
        <v>0</v>
      </c>
      <c r="L3489" s="67">
        <f t="shared" si="1303"/>
        <v>0</v>
      </c>
      <c r="M3489" s="77">
        <f t="shared" si="1304"/>
        <v>0</v>
      </c>
      <c r="N3489" s="76">
        <f t="shared" si="1305"/>
        <v>1</v>
      </c>
      <c r="O3489" s="77">
        <f t="shared" si="1306"/>
        <v>1</v>
      </c>
      <c r="P3489" s="76">
        <f t="shared" si="1307"/>
        <v>0.41666666666666663</v>
      </c>
      <c r="Q3489" s="76">
        <f t="shared" si="1308"/>
        <v>0</v>
      </c>
      <c r="R3489" s="76">
        <f t="shared" si="1309"/>
        <v>0</v>
      </c>
      <c r="S3489" s="76">
        <f t="shared" si="1310"/>
        <v>1</v>
      </c>
      <c r="T3489" s="76">
        <f t="shared" si="1311"/>
        <v>1</v>
      </c>
      <c r="U3489" s="76">
        <f t="shared" si="1312"/>
        <v>1</v>
      </c>
    </row>
    <row r="3490" spans="1:21" x14ac:dyDescent="0.25">
      <c r="A3490" s="71">
        <v>10</v>
      </c>
      <c r="B3490" s="72">
        <f t="shared" si="1313"/>
        <v>45931</v>
      </c>
      <c r="C3490" s="73">
        <f t="shared" si="1294"/>
        <v>45961</v>
      </c>
      <c r="D3490" s="67">
        <f t="shared" si="1295"/>
        <v>31</v>
      </c>
      <c r="E3490" s="67">
        <f t="shared" si="1296"/>
        <v>10</v>
      </c>
      <c r="F3490" s="74">
        <f t="shared" si="1297"/>
        <v>45946.5</v>
      </c>
      <c r="G3490" s="67">
        <f t="shared" si="1298"/>
        <v>24309</v>
      </c>
      <c r="H3490" s="75">
        <f t="shared" si="1299"/>
        <v>1</v>
      </c>
      <c r="I3490" s="76">
        <f t="shared" si="1300"/>
        <v>1</v>
      </c>
      <c r="J3490" s="76">
        <f t="shared" si="1301"/>
        <v>1</v>
      </c>
      <c r="K3490" s="67">
        <f t="shared" si="1302"/>
        <v>0</v>
      </c>
      <c r="L3490" s="67">
        <f t="shared" si="1303"/>
        <v>0</v>
      </c>
      <c r="M3490" s="77">
        <f t="shared" si="1304"/>
        <v>0</v>
      </c>
      <c r="N3490" s="76">
        <f t="shared" si="1305"/>
        <v>1</v>
      </c>
      <c r="O3490" s="77">
        <f t="shared" si="1306"/>
        <v>1</v>
      </c>
      <c r="P3490" s="76">
        <f t="shared" si="1307"/>
        <v>0.58333333333333326</v>
      </c>
      <c r="Q3490" s="76">
        <f t="shared" si="1308"/>
        <v>0</v>
      </c>
      <c r="R3490" s="76">
        <f t="shared" si="1309"/>
        <v>0</v>
      </c>
      <c r="S3490" s="76">
        <f t="shared" si="1310"/>
        <v>1</v>
      </c>
      <c r="T3490" s="76">
        <f t="shared" si="1311"/>
        <v>1</v>
      </c>
      <c r="U3490" s="76">
        <f t="shared" si="1312"/>
        <v>1</v>
      </c>
    </row>
    <row r="3491" spans="1:21" x14ac:dyDescent="0.25">
      <c r="A3491" s="71">
        <v>11</v>
      </c>
      <c r="B3491" s="72">
        <f t="shared" si="1313"/>
        <v>45962</v>
      </c>
      <c r="C3491" s="73">
        <f t="shared" si="1294"/>
        <v>45991</v>
      </c>
      <c r="D3491" s="67">
        <f t="shared" si="1295"/>
        <v>30</v>
      </c>
      <c r="E3491" s="67">
        <f t="shared" si="1296"/>
        <v>11</v>
      </c>
      <c r="F3491" s="74">
        <f t="shared" si="1297"/>
        <v>45977</v>
      </c>
      <c r="G3491" s="67">
        <f t="shared" si="1298"/>
        <v>24310</v>
      </c>
      <c r="H3491" s="75">
        <f t="shared" si="1299"/>
        <v>1</v>
      </c>
      <c r="I3491" s="76">
        <f t="shared" si="1300"/>
        <v>1</v>
      </c>
      <c r="J3491" s="76">
        <f t="shared" si="1301"/>
        <v>1</v>
      </c>
      <c r="K3491" s="67">
        <f t="shared" si="1302"/>
        <v>0</v>
      </c>
      <c r="L3491" s="67">
        <f t="shared" si="1303"/>
        <v>0</v>
      </c>
      <c r="M3491" s="77">
        <f t="shared" si="1304"/>
        <v>0</v>
      </c>
      <c r="N3491" s="76">
        <f t="shared" si="1305"/>
        <v>1</v>
      </c>
      <c r="O3491" s="77">
        <f t="shared" si="1306"/>
        <v>1</v>
      </c>
      <c r="P3491" s="76">
        <f t="shared" si="1307"/>
        <v>0.75</v>
      </c>
      <c r="Q3491" s="76">
        <f t="shared" si="1308"/>
        <v>0</v>
      </c>
      <c r="R3491" s="76">
        <f t="shared" si="1309"/>
        <v>0</v>
      </c>
      <c r="S3491" s="76">
        <f t="shared" si="1310"/>
        <v>1</v>
      </c>
      <c r="T3491" s="76">
        <f t="shared" si="1311"/>
        <v>1</v>
      </c>
      <c r="U3491" s="76">
        <f t="shared" si="1312"/>
        <v>1</v>
      </c>
    </row>
    <row r="3492" spans="1:21" x14ac:dyDescent="0.25">
      <c r="A3492" s="71">
        <v>12</v>
      </c>
      <c r="B3492" s="72">
        <f t="shared" si="1313"/>
        <v>45992</v>
      </c>
      <c r="C3492" s="73">
        <f t="shared" si="1294"/>
        <v>46022</v>
      </c>
      <c r="D3492" s="67">
        <f t="shared" si="1295"/>
        <v>31</v>
      </c>
      <c r="E3492" s="67">
        <f t="shared" si="1296"/>
        <v>12</v>
      </c>
      <c r="F3492" s="74">
        <f t="shared" si="1297"/>
        <v>46007.5</v>
      </c>
      <c r="G3492" s="67">
        <f t="shared" si="1298"/>
        <v>24311</v>
      </c>
      <c r="H3492" s="75">
        <f t="shared" si="1299"/>
        <v>1</v>
      </c>
      <c r="I3492" s="76">
        <f t="shared" si="1300"/>
        <v>1</v>
      </c>
      <c r="J3492" s="76">
        <f t="shared" si="1301"/>
        <v>1</v>
      </c>
      <c r="K3492" s="67">
        <f t="shared" si="1302"/>
        <v>0</v>
      </c>
      <c r="L3492" s="67">
        <f t="shared" si="1303"/>
        <v>0</v>
      </c>
      <c r="M3492" s="77">
        <f t="shared" si="1304"/>
        <v>0</v>
      </c>
      <c r="N3492" s="76">
        <f t="shared" si="1305"/>
        <v>1</v>
      </c>
      <c r="O3492" s="77">
        <f t="shared" si="1306"/>
        <v>1</v>
      </c>
      <c r="P3492" s="76">
        <f t="shared" si="1307"/>
        <v>0.91666666666666663</v>
      </c>
      <c r="Q3492" s="76">
        <f t="shared" si="1308"/>
        <v>0</v>
      </c>
      <c r="R3492" s="76">
        <f t="shared" si="1309"/>
        <v>0</v>
      </c>
      <c r="S3492" s="76">
        <f t="shared" si="1310"/>
        <v>1</v>
      </c>
      <c r="T3492" s="76">
        <f t="shared" si="1311"/>
        <v>1</v>
      </c>
      <c r="U3492" s="76">
        <f t="shared" si="1312"/>
        <v>1</v>
      </c>
    </row>
    <row r="3493" spans="1:21" x14ac:dyDescent="0.25">
      <c r="A3493" s="71">
        <v>13</v>
      </c>
      <c r="B3493" s="72">
        <f t="shared" si="1313"/>
        <v>46023</v>
      </c>
      <c r="C3493" s="73">
        <f t="shared" si="1294"/>
        <v>46053</v>
      </c>
      <c r="D3493" s="67">
        <f t="shared" si="1295"/>
        <v>31</v>
      </c>
      <c r="E3493" s="67">
        <f t="shared" si="1296"/>
        <v>1</v>
      </c>
      <c r="F3493" s="74">
        <f t="shared" si="1297"/>
        <v>46038.5</v>
      </c>
      <c r="G3493" s="67">
        <f t="shared" si="1298"/>
        <v>24312</v>
      </c>
      <c r="H3493" s="75">
        <f t="shared" si="1299"/>
        <v>1</v>
      </c>
      <c r="I3493" s="76">
        <f t="shared" si="1300"/>
        <v>1</v>
      </c>
      <c r="J3493" s="76">
        <f t="shared" si="1301"/>
        <v>1</v>
      </c>
      <c r="K3493" s="67">
        <f t="shared" si="1302"/>
        <v>0</v>
      </c>
      <c r="L3493" s="67">
        <f t="shared" si="1303"/>
        <v>0</v>
      </c>
      <c r="M3493" s="77">
        <f t="shared" si="1304"/>
        <v>0</v>
      </c>
      <c r="N3493" s="76">
        <f t="shared" si="1305"/>
        <v>1</v>
      </c>
      <c r="O3493" s="77">
        <f t="shared" si="1306"/>
        <v>1</v>
      </c>
      <c r="P3493" s="76">
        <f t="shared" si="1307"/>
        <v>1</v>
      </c>
      <c r="Q3493" s="76">
        <f t="shared" si="1308"/>
        <v>0</v>
      </c>
      <c r="R3493" s="76">
        <f t="shared" si="1309"/>
        <v>0</v>
      </c>
      <c r="S3493" s="76">
        <f t="shared" si="1310"/>
        <v>1</v>
      </c>
      <c r="T3493" s="76">
        <f t="shared" si="1311"/>
        <v>1</v>
      </c>
      <c r="U3493" s="76">
        <f t="shared" si="1312"/>
        <v>1</v>
      </c>
    </row>
    <row r="3494" spans="1:21" x14ac:dyDescent="0.25">
      <c r="A3494" s="71">
        <v>14</v>
      </c>
      <c r="B3494" s="72">
        <f t="shared" si="1313"/>
        <v>46054</v>
      </c>
      <c r="C3494" s="73">
        <f t="shared" si="1294"/>
        <v>46081</v>
      </c>
      <c r="D3494" s="67">
        <f t="shared" si="1295"/>
        <v>28</v>
      </c>
      <c r="E3494" s="67">
        <f t="shared" si="1296"/>
        <v>2</v>
      </c>
      <c r="F3494" s="74">
        <f t="shared" si="1297"/>
        <v>46068</v>
      </c>
      <c r="G3494" s="67">
        <f t="shared" si="1298"/>
        <v>24313</v>
      </c>
      <c r="H3494" s="75">
        <f t="shared" si="1299"/>
        <v>1</v>
      </c>
      <c r="I3494" s="76">
        <f t="shared" si="1300"/>
        <v>1</v>
      </c>
      <c r="J3494" s="76">
        <f t="shared" si="1301"/>
        <v>1</v>
      </c>
      <c r="K3494" s="67">
        <f t="shared" si="1302"/>
        <v>0</v>
      </c>
      <c r="L3494" s="67">
        <f t="shared" si="1303"/>
        <v>0</v>
      </c>
      <c r="M3494" s="77">
        <f t="shared" si="1304"/>
        <v>0</v>
      </c>
      <c r="N3494" s="76">
        <f t="shared" si="1305"/>
        <v>1</v>
      </c>
      <c r="O3494" s="77">
        <f t="shared" si="1306"/>
        <v>1</v>
      </c>
      <c r="P3494" s="76">
        <f t="shared" si="1307"/>
        <v>1</v>
      </c>
      <c r="Q3494" s="76">
        <f t="shared" si="1308"/>
        <v>0</v>
      </c>
      <c r="R3494" s="76">
        <f t="shared" si="1309"/>
        <v>0</v>
      </c>
      <c r="S3494" s="76">
        <f t="shared" si="1310"/>
        <v>1</v>
      </c>
      <c r="T3494" s="76">
        <f t="shared" si="1311"/>
        <v>1</v>
      </c>
      <c r="U3494" s="76">
        <f t="shared" si="1312"/>
        <v>1</v>
      </c>
    </row>
    <row r="3495" spans="1:21" x14ac:dyDescent="0.25">
      <c r="A3495" s="71">
        <v>15</v>
      </c>
      <c r="B3495" s="72">
        <f t="shared" si="1313"/>
        <v>46082</v>
      </c>
      <c r="C3495" s="73">
        <f t="shared" si="1294"/>
        <v>46112</v>
      </c>
      <c r="D3495" s="67">
        <f t="shared" si="1295"/>
        <v>31</v>
      </c>
      <c r="E3495" s="67">
        <f t="shared" si="1296"/>
        <v>3</v>
      </c>
      <c r="F3495" s="74">
        <f t="shared" si="1297"/>
        <v>46097.5</v>
      </c>
      <c r="G3495" s="67">
        <f t="shared" si="1298"/>
        <v>24314</v>
      </c>
      <c r="H3495" s="75">
        <f t="shared" si="1299"/>
        <v>1</v>
      </c>
      <c r="I3495" s="76">
        <f t="shared" si="1300"/>
        <v>1</v>
      </c>
      <c r="J3495" s="76">
        <f t="shared" si="1301"/>
        <v>1</v>
      </c>
      <c r="K3495" s="67">
        <f t="shared" si="1302"/>
        <v>0</v>
      </c>
      <c r="L3495" s="67">
        <f t="shared" si="1303"/>
        <v>0</v>
      </c>
      <c r="M3495" s="77">
        <f t="shared" si="1304"/>
        <v>0</v>
      </c>
      <c r="N3495" s="76">
        <f t="shared" si="1305"/>
        <v>1</v>
      </c>
      <c r="O3495" s="77">
        <f t="shared" si="1306"/>
        <v>1</v>
      </c>
      <c r="P3495" s="76">
        <f t="shared" si="1307"/>
        <v>1</v>
      </c>
      <c r="Q3495" s="76">
        <f t="shared" si="1308"/>
        <v>0</v>
      </c>
      <c r="R3495" s="76">
        <f t="shared" si="1309"/>
        <v>0</v>
      </c>
      <c r="S3495" s="76">
        <f t="shared" si="1310"/>
        <v>1</v>
      </c>
      <c r="T3495" s="76">
        <f t="shared" si="1311"/>
        <v>1</v>
      </c>
      <c r="U3495" s="76">
        <f t="shared" si="1312"/>
        <v>1</v>
      </c>
    </row>
    <row r="3496" spans="1:21" x14ac:dyDescent="0.25">
      <c r="A3496" s="71">
        <v>16</v>
      </c>
      <c r="B3496" s="72">
        <f t="shared" si="1313"/>
        <v>46113</v>
      </c>
      <c r="C3496" s="73">
        <f t="shared" si="1294"/>
        <v>46142</v>
      </c>
      <c r="D3496" s="67">
        <f t="shared" si="1295"/>
        <v>30</v>
      </c>
      <c r="E3496" s="67">
        <f t="shared" si="1296"/>
        <v>4</v>
      </c>
      <c r="F3496" s="74">
        <f t="shared" si="1297"/>
        <v>46128</v>
      </c>
      <c r="G3496" s="67">
        <f t="shared" si="1298"/>
        <v>24315</v>
      </c>
      <c r="H3496" s="75">
        <f t="shared" si="1299"/>
        <v>1</v>
      </c>
      <c r="I3496" s="76">
        <f t="shared" si="1300"/>
        <v>1</v>
      </c>
      <c r="J3496" s="76">
        <f t="shared" si="1301"/>
        <v>1</v>
      </c>
      <c r="K3496" s="67">
        <f t="shared" si="1302"/>
        <v>0</v>
      </c>
      <c r="L3496" s="67">
        <f t="shared" si="1303"/>
        <v>0</v>
      </c>
      <c r="M3496" s="77">
        <f t="shared" si="1304"/>
        <v>0</v>
      </c>
      <c r="N3496" s="76">
        <f t="shared" si="1305"/>
        <v>1</v>
      </c>
      <c r="O3496" s="77">
        <f t="shared" si="1306"/>
        <v>1</v>
      </c>
      <c r="P3496" s="76">
        <f t="shared" si="1307"/>
        <v>1</v>
      </c>
      <c r="Q3496" s="76">
        <f t="shared" si="1308"/>
        <v>0</v>
      </c>
      <c r="R3496" s="76">
        <f t="shared" si="1309"/>
        <v>0</v>
      </c>
      <c r="S3496" s="76">
        <f t="shared" si="1310"/>
        <v>1</v>
      </c>
      <c r="T3496" s="76">
        <f t="shared" si="1311"/>
        <v>1</v>
      </c>
      <c r="U3496" s="76">
        <f t="shared" si="1312"/>
        <v>1</v>
      </c>
    </row>
    <row r="3497" spans="1:21" x14ac:dyDescent="0.25">
      <c r="A3497" s="71">
        <v>17</v>
      </c>
      <c r="B3497" s="72">
        <f t="shared" si="1313"/>
        <v>46143</v>
      </c>
      <c r="C3497" s="73">
        <f t="shared" si="1294"/>
        <v>46173</v>
      </c>
      <c r="D3497" s="67">
        <f t="shared" si="1295"/>
        <v>31</v>
      </c>
      <c r="E3497" s="67">
        <f t="shared" si="1296"/>
        <v>5</v>
      </c>
      <c r="F3497" s="74">
        <f t="shared" si="1297"/>
        <v>46158.5</v>
      </c>
      <c r="G3497" s="67">
        <f t="shared" si="1298"/>
        <v>24316</v>
      </c>
      <c r="H3497" s="75">
        <f t="shared" si="1299"/>
        <v>1</v>
      </c>
      <c r="I3497" s="76">
        <f t="shared" si="1300"/>
        <v>1</v>
      </c>
      <c r="J3497" s="76">
        <f t="shared" si="1301"/>
        <v>1</v>
      </c>
      <c r="K3497" s="67">
        <f t="shared" si="1302"/>
        <v>0</v>
      </c>
      <c r="L3497" s="67">
        <f t="shared" si="1303"/>
        <v>0</v>
      </c>
      <c r="M3497" s="77">
        <f t="shared" si="1304"/>
        <v>0</v>
      </c>
      <c r="N3497" s="76">
        <f t="shared" si="1305"/>
        <v>1</v>
      </c>
      <c r="O3497" s="77">
        <f t="shared" si="1306"/>
        <v>1</v>
      </c>
      <c r="P3497" s="76">
        <f t="shared" si="1307"/>
        <v>1</v>
      </c>
      <c r="Q3497" s="76">
        <f t="shared" si="1308"/>
        <v>0</v>
      </c>
      <c r="R3497" s="76">
        <f t="shared" si="1309"/>
        <v>0</v>
      </c>
      <c r="S3497" s="76">
        <f t="shared" si="1310"/>
        <v>1</v>
      </c>
      <c r="T3497" s="76">
        <f t="shared" si="1311"/>
        <v>1</v>
      </c>
      <c r="U3497" s="76">
        <f t="shared" si="1312"/>
        <v>1</v>
      </c>
    </row>
    <row r="3498" spans="1:21" x14ac:dyDescent="0.25">
      <c r="A3498" s="71">
        <v>18</v>
      </c>
      <c r="B3498" s="72">
        <f t="shared" si="1313"/>
        <v>46174</v>
      </c>
      <c r="C3498" s="73">
        <f t="shared" si="1294"/>
        <v>46203</v>
      </c>
      <c r="D3498" s="67">
        <f t="shared" si="1295"/>
        <v>30</v>
      </c>
      <c r="E3498" s="67">
        <f t="shared" si="1296"/>
        <v>6</v>
      </c>
      <c r="F3498" s="74">
        <f t="shared" si="1297"/>
        <v>46189</v>
      </c>
      <c r="G3498" s="67">
        <f t="shared" si="1298"/>
        <v>24317</v>
      </c>
      <c r="H3498" s="75">
        <f t="shared" si="1299"/>
        <v>1</v>
      </c>
      <c r="I3498" s="76">
        <f t="shared" si="1300"/>
        <v>1</v>
      </c>
      <c r="J3498" s="76">
        <f t="shared" si="1301"/>
        <v>1</v>
      </c>
      <c r="K3498" s="67">
        <f t="shared" si="1302"/>
        <v>0</v>
      </c>
      <c r="L3498" s="67">
        <f t="shared" si="1303"/>
        <v>0</v>
      </c>
      <c r="M3498" s="77">
        <f t="shared" si="1304"/>
        <v>0</v>
      </c>
      <c r="N3498" s="76">
        <f t="shared" si="1305"/>
        <v>1</v>
      </c>
      <c r="O3498" s="77">
        <f t="shared" si="1306"/>
        <v>1</v>
      </c>
      <c r="P3498" s="76">
        <f t="shared" si="1307"/>
        <v>1</v>
      </c>
      <c r="Q3498" s="76">
        <f t="shared" si="1308"/>
        <v>0</v>
      </c>
      <c r="R3498" s="76">
        <f t="shared" si="1309"/>
        <v>0</v>
      </c>
      <c r="S3498" s="76">
        <f t="shared" si="1310"/>
        <v>1</v>
      </c>
      <c r="T3498" s="76">
        <f t="shared" si="1311"/>
        <v>1</v>
      </c>
      <c r="U3498" s="76">
        <f t="shared" si="1312"/>
        <v>1</v>
      </c>
    </row>
    <row r="3499" spans="1:21" x14ac:dyDescent="0.25">
      <c r="A3499" s="71">
        <v>19</v>
      </c>
      <c r="B3499" s="72">
        <f t="shared" si="1313"/>
        <v>46204</v>
      </c>
      <c r="C3499" s="73">
        <f t="shared" si="1294"/>
        <v>46234</v>
      </c>
      <c r="D3499" s="67">
        <f t="shared" si="1295"/>
        <v>31</v>
      </c>
      <c r="E3499" s="67">
        <f t="shared" si="1296"/>
        <v>7</v>
      </c>
      <c r="F3499" s="74">
        <f t="shared" si="1297"/>
        <v>46219.5</v>
      </c>
      <c r="G3499" s="67">
        <f t="shared" si="1298"/>
        <v>24318</v>
      </c>
      <c r="H3499" s="75">
        <f t="shared" si="1299"/>
        <v>1</v>
      </c>
      <c r="I3499" s="76">
        <f t="shared" si="1300"/>
        <v>1</v>
      </c>
      <c r="J3499" s="76">
        <f t="shared" si="1301"/>
        <v>1</v>
      </c>
      <c r="K3499" s="67">
        <f t="shared" si="1302"/>
        <v>0</v>
      </c>
      <c r="L3499" s="67">
        <f t="shared" si="1303"/>
        <v>0</v>
      </c>
      <c r="M3499" s="77">
        <f t="shared" si="1304"/>
        <v>0</v>
      </c>
      <c r="N3499" s="76">
        <f t="shared" si="1305"/>
        <v>1</v>
      </c>
      <c r="O3499" s="77">
        <f t="shared" si="1306"/>
        <v>1</v>
      </c>
      <c r="P3499" s="76">
        <f t="shared" si="1307"/>
        <v>0.91666666666666663</v>
      </c>
      <c r="Q3499" s="76">
        <f t="shared" si="1308"/>
        <v>8.333333333333337E-2</v>
      </c>
      <c r="R3499" s="76">
        <f t="shared" si="1309"/>
        <v>0</v>
      </c>
      <c r="S3499" s="76">
        <f t="shared" si="1310"/>
        <v>1</v>
      </c>
      <c r="T3499" s="76">
        <f t="shared" si="1311"/>
        <v>1</v>
      </c>
      <c r="U3499" s="76">
        <f t="shared" si="1312"/>
        <v>1</v>
      </c>
    </row>
    <row r="3500" spans="1:21" x14ac:dyDescent="0.25">
      <c r="A3500" s="71">
        <v>20</v>
      </c>
      <c r="B3500" s="72">
        <f t="shared" si="1313"/>
        <v>46235</v>
      </c>
      <c r="C3500" s="73">
        <f t="shared" si="1294"/>
        <v>46265</v>
      </c>
      <c r="D3500" s="67">
        <f t="shared" si="1295"/>
        <v>31</v>
      </c>
      <c r="E3500" s="67">
        <f t="shared" si="1296"/>
        <v>8</v>
      </c>
      <c r="F3500" s="74">
        <f t="shared" si="1297"/>
        <v>46250.5</v>
      </c>
      <c r="G3500" s="67">
        <f t="shared" si="1298"/>
        <v>24319</v>
      </c>
      <c r="H3500" s="75">
        <f t="shared" si="1299"/>
        <v>1</v>
      </c>
      <c r="I3500" s="76">
        <f t="shared" si="1300"/>
        <v>1</v>
      </c>
      <c r="J3500" s="76">
        <f t="shared" si="1301"/>
        <v>1</v>
      </c>
      <c r="K3500" s="67">
        <f t="shared" si="1302"/>
        <v>0</v>
      </c>
      <c r="L3500" s="67">
        <f t="shared" si="1303"/>
        <v>0</v>
      </c>
      <c r="M3500" s="77">
        <f t="shared" si="1304"/>
        <v>0</v>
      </c>
      <c r="N3500" s="76">
        <f t="shared" si="1305"/>
        <v>1</v>
      </c>
      <c r="O3500" s="77">
        <f t="shared" si="1306"/>
        <v>1</v>
      </c>
      <c r="P3500" s="76">
        <f t="shared" si="1307"/>
        <v>0.75</v>
      </c>
      <c r="Q3500" s="76">
        <f t="shared" si="1308"/>
        <v>0.25</v>
      </c>
      <c r="R3500" s="76">
        <f t="shared" si="1309"/>
        <v>0</v>
      </c>
      <c r="S3500" s="76">
        <f t="shared" si="1310"/>
        <v>1</v>
      </c>
      <c r="T3500" s="76">
        <f t="shared" si="1311"/>
        <v>1</v>
      </c>
      <c r="U3500" s="76">
        <f t="shared" si="1312"/>
        <v>1</v>
      </c>
    </row>
    <row r="3501" spans="1:21" x14ac:dyDescent="0.25">
      <c r="A3501" s="71">
        <v>21</v>
      </c>
      <c r="B3501" s="72">
        <f t="shared" si="1313"/>
        <v>46266</v>
      </c>
      <c r="C3501" s="73">
        <f t="shared" si="1294"/>
        <v>46295</v>
      </c>
      <c r="D3501" s="67">
        <f t="shared" si="1295"/>
        <v>30</v>
      </c>
      <c r="E3501" s="67">
        <f t="shared" si="1296"/>
        <v>9</v>
      </c>
      <c r="F3501" s="74">
        <f t="shared" si="1297"/>
        <v>46281</v>
      </c>
      <c r="G3501" s="67">
        <f t="shared" si="1298"/>
        <v>24320</v>
      </c>
      <c r="H3501" s="75">
        <f t="shared" si="1299"/>
        <v>1</v>
      </c>
      <c r="I3501" s="76">
        <f t="shared" si="1300"/>
        <v>1</v>
      </c>
      <c r="J3501" s="76">
        <f t="shared" si="1301"/>
        <v>1</v>
      </c>
      <c r="K3501" s="67">
        <f t="shared" si="1302"/>
        <v>0</v>
      </c>
      <c r="L3501" s="67">
        <f t="shared" si="1303"/>
        <v>0</v>
      </c>
      <c r="M3501" s="77">
        <f t="shared" si="1304"/>
        <v>0</v>
      </c>
      <c r="N3501" s="76">
        <f t="shared" si="1305"/>
        <v>1</v>
      </c>
      <c r="O3501" s="77">
        <f t="shared" si="1306"/>
        <v>1</v>
      </c>
      <c r="P3501" s="76">
        <f t="shared" si="1307"/>
        <v>0.58333333333333337</v>
      </c>
      <c r="Q3501" s="76">
        <f t="shared" si="1308"/>
        <v>0.41666666666666663</v>
      </c>
      <c r="R3501" s="76">
        <f t="shared" si="1309"/>
        <v>0</v>
      </c>
      <c r="S3501" s="76">
        <f t="shared" si="1310"/>
        <v>1</v>
      </c>
      <c r="T3501" s="76">
        <f t="shared" si="1311"/>
        <v>1</v>
      </c>
      <c r="U3501" s="76">
        <f t="shared" si="1312"/>
        <v>1</v>
      </c>
    </row>
    <row r="3502" spans="1:21" x14ac:dyDescent="0.25">
      <c r="A3502" s="71">
        <v>22</v>
      </c>
      <c r="B3502" s="72">
        <f t="shared" si="1313"/>
        <v>46296</v>
      </c>
      <c r="C3502" s="73">
        <f t="shared" si="1294"/>
        <v>46326</v>
      </c>
      <c r="D3502" s="67">
        <f t="shared" si="1295"/>
        <v>31</v>
      </c>
      <c r="E3502" s="67">
        <f t="shared" si="1296"/>
        <v>10</v>
      </c>
      <c r="F3502" s="74">
        <f t="shared" si="1297"/>
        <v>46311.5</v>
      </c>
      <c r="G3502" s="67">
        <f t="shared" si="1298"/>
        <v>24321</v>
      </c>
      <c r="H3502" s="75">
        <f t="shared" si="1299"/>
        <v>1</v>
      </c>
      <c r="I3502" s="76">
        <f t="shared" si="1300"/>
        <v>1</v>
      </c>
      <c r="J3502" s="76">
        <f t="shared" si="1301"/>
        <v>1</v>
      </c>
      <c r="K3502" s="67">
        <f t="shared" si="1302"/>
        <v>0</v>
      </c>
      <c r="L3502" s="67">
        <f t="shared" si="1303"/>
        <v>0</v>
      </c>
      <c r="M3502" s="77">
        <f t="shared" si="1304"/>
        <v>0</v>
      </c>
      <c r="N3502" s="76">
        <f t="shared" si="1305"/>
        <v>1</v>
      </c>
      <c r="O3502" s="77">
        <f t="shared" si="1306"/>
        <v>1</v>
      </c>
      <c r="P3502" s="76">
        <f t="shared" si="1307"/>
        <v>0.41666666666666669</v>
      </c>
      <c r="Q3502" s="76">
        <f t="shared" si="1308"/>
        <v>0.58333333333333326</v>
      </c>
      <c r="R3502" s="76">
        <f t="shared" si="1309"/>
        <v>0</v>
      </c>
      <c r="S3502" s="76">
        <f t="shared" si="1310"/>
        <v>1</v>
      </c>
      <c r="T3502" s="76">
        <f t="shared" si="1311"/>
        <v>1</v>
      </c>
      <c r="U3502" s="76">
        <f t="shared" si="1312"/>
        <v>1</v>
      </c>
    </row>
    <row r="3503" spans="1:21" x14ac:dyDescent="0.25">
      <c r="A3503" s="71">
        <v>23</v>
      </c>
      <c r="B3503" s="72">
        <f t="shared" si="1313"/>
        <v>46327</v>
      </c>
      <c r="C3503" s="73">
        <f t="shared" si="1294"/>
        <v>46356</v>
      </c>
      <c r="D3503" s="67">
        <f t="shared" si="1295"/>
        <v>30</v>
      </c>
      <c r="E3503" s="67">
        <f t="shared" si="1296"/>
        <v>11</v>
      </c>
      <c r="F3503" s="74">
        <f t="shared" si="1297"/>
        <v>46342</v>
      </c>
      <c r="G3503" s="67">
        <f t="shared" si="1298"/>
        <v>24322</v>
      </c>
      <c r="H3503" s="75">
        <f t="shared" si="1299"/>
        <v>1</v>
      </c>
      <c r="I3503" s="76">
        <f t="shared" si="1300"/>
        <v>1</v>
      </c>
      <c r="J3503" s="76">
        <f t="shared" si="1301"/>
        <v>1</v>
      </c>
      <c r="K3503" s="67">
        <f t="shared" si="1302"/>
        <v>0</v>
      </c>
      <c r="L3503" s="67">
        <f t="shared" si="1303"/>
        <v>0</v>
      </c>
      <c r="M3503" s="77">
        <f t="shared" si="1304"/>
        <v>0</v>
      </c>
      <c r="N3503" s="76">
        <f t="shared" si="1305"/>
        <v>1</v>
      </c>
      <c r="O3503" s="77">
        <f t="shared" si="1306"/>
        <v>1</v>
      </c>
      <c r="P3503" s="76">
        <f t="shared" si="1307"/>
        <v>0.25</v>
      </c>
      <c r="Q3503" s="76">
        <f t="shared" si="1308"/>
        <v>0.75</v>
      </c>
      <c r="R3503" s="76">
        <f t="shared" si="1309"/>
        <v>0</v>
      </c>
      <c r="S3503" s="76">
        <f t="shared" si="1310"/>
        <v>1</v>
      </c>
      <c r="T3503" s="76">
        <f t="shared" si="1311"/>
        <v>1</v>
      </c>
      <c r="U3503" s="76">
        <f t="shared" si="1312"/>
        <v>1</v>
      </c>
    </row>
    <row r="3504" spans="1:21" x14ac:dyDescent="0.25">
      <c r="A3504" s="71">
        <v>24</v>
      </c>
      <c r="B3504" s="72">
        <f t="shared" si="1313"/>
        <v>46357</v>
      </c>
      <c r="C3504" s="73">
        <f t="shared" si="1294"/>
        <v>46387</v>
      </c>
      <c r="D3504" s="67">
        <f t="shared" si="1295"/>
        <v>31</v>
      </c>
      <c r="E3504" s="67">
        <f t="shared" si="1296"/>
        <v>12</v>
      </c>
      <c r="F3504" s="74">
        <f t="shared" si="1297"/>
        <v>46372.5</v>
      </c>
      <c r="G3504" s="67">
        <f t="shared" si="1298"/>
        <v>24323</v>
      </c>
      <c r="H3504" s="75">
        <f t="shared" si="1299"/>
        <v>1</v>
      </c>
      <c r="I3504" s="76">
        <f t="shared" si="1300"/>
        <v>1</v>
      </c>
      <c r="J3504" s="76">
        <f t="shared" si="1301"/>
        <v>1</v>
      </c>
      <c r="K3504" s="67">
        <f t="shared" si="1302"/>
        <v>0</v>
      </c>
      <c r="L3504" s="67">
        <f t="shared" si="1303"/>
        <v>0</v>
      </c>
      <c r="M3504" s="77">
        <f t="shared" si="1304"/>
        <v>0</v>
      </c>
      <c r="N3504" s="76">
        <f t="shared" si="1305"/>
        <v>1</v>
      </c>
      <c r="O3504" s="77">
        <f t="shared" si="1306"/>
        <v>1</v>
      </c>
      <c r="P3504" s="76">
        <f t="shared" si="1307"/>
        <v>8.3333333333333329E-2</v>
      </c>
      <c r="Q3504" s="76">
        <f t="shared" si="1308"/>
        <v>0.91666666666666663</v>
      </c>
      <c r="R3504" s="76">
        <f t="shared" si="1309"/>
        <v>0</v>
      </c>
      <c r="S3504" s="76">
        <f t="shared" si="1310"/>
        <v>1</v>
      </c>
      <c r="T3504" s="76">
        <f t="shared" si="1311"/>
        <v>1</v>
      </c>
      <c r="U3504" s="76">
        <f t="shared" si="1312"/>
        <v>1</v>
      </c>
    </row>
    <row r="3505" spans="1:21" x14ac:dyDescent="0.25">
      <c r="A3505" s="71">
        <v>25</v>
      </c>
      <c r="B3505" s="72">
        <f t="shared" si="1313"/>
        <v>46388</v>
      </c>
      <c r="C3505" s="73">
        <f t="shared" si="1294"/>
        <v>46418</v>
      </c>
      <c r="D3505" s="67">
        <f t="shared" si="1295"/>
        <v>31</v>
      </c>
      <c r="E3505" s="67">
        <f t="shared" si="1296"/>
        <v>1</v>
      </c>
      <c r="F3505" s="74">
        <f t="shared" si="1297"/>
        <v>46403.5</v>
      </c>
      <c r="G3505" s="67">
        <f t="shared" si="1298"/>
        <v>24324</v>
      </c>
      <c r="H3505" s="75">
        <f t="shared" si="1299"/>
        <v>1</v>
      </c>
      <c r="I3505" s="76">
        <f t="shared" si="1300"/>
        <v>1</v>
      </c>
      <c r="J3505" s="76">
        <f t="shared" si="1301"/>
        <v>1</v>
      </c>
      <c r="K3505" s="67">
        <f t="shared" si="1302"/>
        <v>0</v>
      </c>
      <c r="L3505" s="67">
        <f t="shared" si="1303"/>
        <v>0</v>
      </c>
      <c r="M3505" s="77">
        <f t="shared" si="1304"/>
        <v>0</v>
      </c>
      <c r="N3505" s="76">
        <f t="shared" si="1305"/>
        <v>1</v>
      </c>
      <c r="O3505" s="77">
        <f t="shared" si="1306"/>
        <v>1</v>
      </c>
      <c r="P3505" s="76">
        <f t="shared" si="1307"/>
        <v>0</v>
      </c>
      <c r="Q3505" s="76">
        <f t="shared" si="1308"/>
        <v>1</v>
      </c>
      <c r="R3505" s="76">
        <f t="shared" si="1309"/>
        <v>0</v>
      </c>
      <c r="S3505" s="76">
        <f t="shared" si="1310"/>
        <v>1</v>
      </c>
      <c r="T3505" s="76">
        <f t="shared" si="1311"/>
        <v>1</v>
      </c>
      <c r="U3505" s="76">
        <f t="shared" si="1312"/>
        <v>1</v>
      </c>
    </row>
    <row r="3506" spans="1:21" x14ac:dyDescent="0.25">
      <c r="A3506" s="71">
        <v>26</v>
      </c>
      <c r="B3506" s="72">
        <f t="shared" si="1313"/>
        <v>46419</v>
      </c>
      <c r="C3506" s="73">
        <f t="shared" si="1294"/>
        <v>46446</v>
      </c>
      <c r="D3506" s="67">
        <f t="shared" si="1295"/>
        <v>28</v>
      </c>
      <c r="E3506" s="67">
        <f t="shared" si="1296"/>
        <v>2</v>
      </c>
      <c r="F3506" s="74">
        <f t="shared" si="1297"/>
        <v>46433</v>
      </c>
      <c r="G3506" s="67">
        <f t="shared" si="1298"/>
        <v>24325</v>
      </c>
      <c r="H3506" s="75">
        <f t="shared" si="1299"/>
        <v>1</v>
      </c>
      <c r="I3506" s="76">
        <f t="shared" si="1300"/>
        <v>1</v>
      </c>
      <c r="J3506" s="76">
        <f t="shared" si="1301"/>
        <v>1</v>
      </c>
      <c r="K3506" s="67">
        <f t="shared" si="1302"/>
        <v>0</v>
      </c>
      <c r="L3506" s="67">
        <f t="shared" si="1303"/>
        <v>0</v>
      </c>
      <c r="M3506" s="77">
        <f t="shared" si="1304"/>
        <v>0</v>
      </c>
      <c r="N3506" s="76">
        <f t="shared" si="1305"/>
        <v>1</v>
      </c>
      <c r="O3506" s="77">
        <f t="shared" si="1306"/>
        <v>1</v>
      </c>
      <c r="P3506" s="76">
        <f t="shared" si="1307"/>
        <v>0</v>
      </c>
      <c r="Q3506" s="76">
        <f t="shared" si="1308"/>
        <v>1</v>
      </c>
      <c r="R3506" s="76">
        <f t="shared" si="1309"/>
        <v>0</v>
      </c>
      <c r="S3506" s="76">
        <f t="shared" si="1310"/>
        <v>1</v>
      </c>
      <c r="T3506" s="76">
        <f t="shared" si="1311"/>
        <v>1</v>
      </c>
      <c r="U3506" s="76">
        <f t="shared" si="1312"/>
        <v>1</v>
      </c>
    </row>
    <row r="3507" spans="1:21" x14ac:dyDescent="0.25">
      <c r="A3507" s="71">
        <v>27</v>
      </c>
      <c r="B3507" s="72">
        <f t="shared" si="1313"/>
        <v>46447</v>
      </c>
      <c r="C3507" s="73">
        <f t="shared" si="1294"/>
        <v>46477</v>
      </c>
      <c r="D3507" s="67">
        <f t="shared" si="1295"/>
        <v>31</v>
      </c>
      <c r="E3507" s="67">
        <f t="shared" si="1296"/>
        <v>3</v>
      </c>
      <c r="F3507" s="74">
        <f t="shared" si="1297"/>
        <v>46462.5</v>
      </c>
      <c r="G3507" s="67">
        <f t="shared" si="1298"/>
        <v>24326</v>
      </c>
      <c r="H3507" s="75">
        <f t="shared" si="1299"/>
        <v>1</v>
      </c>
      <c r="I3507" s="76">
        <f t="shared" si="1300"/>
        <v>1</v>
      </c>
      <c r="J3507" s="76">
        <f t="shared" si="1301"/>
        <v>1</v>
      </c>
      <c r="K3507" s="67">
        <f t="shared" si="1302"/>
        <v>0</v>
      </c>
      <c r="L3507" s="67">
        <f t="shared" si="1303"/>
        <v>0</v>
      </c>
      <c r="M3507" s="77">
        <f t="shared" si="1304"/>
        <v>0</v>
      </c>
      <c r="N3507" s="76">
        <f t="shared" si="1305"/>
        <v>1</v>
      </c>
      <c r="O3507" s="77">
        <f t="shared" si="1306"/>
        <v>1</v>
      </c>
      <c r="P3507" s="76">
        <f t="shared" si="1307"/>
        <v>0</v>
      </c>
      <c r="Q3507" s="76">
        <f t="shared" si="1308"/>
        <v>1</v>
      </c>
      <c r="R3507" s="76">
        <f t="shared" si="1309"/>
        <v>0</v>
      </c>
      <c r="S3507" s="76">
        <f t="shared" si="1310"/>
        <v>1</v>
      </c>
      <c r="T3507" s="76">
        <f t="shared" si="1311"/>
        <v>1</v>
      </c>
      <c r="U3507" s="76">
        <f t="shared" si="1312"/>
        <v>1</v>
      </c>
    </row>
    <row r="3508" spans="1:21" x14ac:dyDescent="0.25">
      <c r="A3508" s="71">
        <v>28</v>
      </c>
      <c r="B3508" s="72">
        <f t="shared" si="1313"/>
        <v>46478</v>
      </c>
      <c r="C3508" s="73">
        <f t="shared" si="1294"/>
        <v>46507</v>
      </c>
      <c r="D3508" s="67">
        <f t="shared" si="1295"/>
        <v>30</v>
      </c>
      <c r="E3508" s="67">
        <f t="shared" si="1296"/>
        <v>4</v>
      </c>
      <c r="F3508" s="74">
        <f t="shared" si="1297"/>
        <v>46493</v>
      </c>
      <c r="G3508" s="67">
        <f t="shared" si="1298"/>
        <v>24327</v>
      </c>
      <c r="H3508" s="75">
        <f t="shared" si="1299"/>
        <v>1</v>
      </c>
      <c r="I3508" s="76">
        <f t="shared" si="1300"/>
        <v>1</v>
      </c>
      <c r="J3508" s="76">
        <f t="shared" si="1301"/>
        <v>1</v>
      </c>
      <c r="K3508" s="67">
        <f t="shared" si="1302"/>
        <v>0</v>
      </c>
      <c r="L3508" s="67">
        <f t="shared" si="1303"/>
        <v>0</v>
      </c>
      <c r="M3508" s="77">
        <f t="shared" si="1304"/>
        <v>0</v>
      </c>
      <c r="N3508" s="76">
        <f t="shared" si="1305"/>
        <v>1</v>
      </c>
      <c r="O3508" s="77">
        <f t="shared" si="1306"/>
        <v>1</v>
      </c>
      <c r="P3508" s="76">
        <f t="shared" si="1307"/>
        <v>0</v>
      </c>
      <c r="Q3508" s="76">
        <f t="shared" si="1308"/>
        <v>1</v>
      </c>
      <c r="R3508" s="76">
        <f t="shared" si="1309"/>
        <v>0</v>
      </c>
      <c r="S3508" s="76">
        <f t="shared" si="1310"/>
        <v>1</v>
      </c>
      <c r="T3508" s="76">
        <f t="shared" si="1311"/>
        <v>1</v>
      </c>
      <c r="U3508" s="76">
        <f t="shared" si="1312"/>
        <v>1</v>
      </c>
    </row>
    <row r="3509" spans="1:21" x14ac:dyDescent="0.25">
      <c r="A3509" s="71">
        <v>29</v>
      </c>
      <c r="B3509" s="72">
        <f t="shared" si="1313"/>
        <v>46508</v>
      </c>
      <c r="C3509" s="73">
        <f t="shared" si="1294"/>
        <v>46538</v>
      </c>
      <c r="D3509" s="67">
        <f t="shared" si="1295"/>
        <v>31</v>
      </c>
      <c r="E3509" s="67">
        <f t="shared" si="1296"/>
        <v>5</v>
      </c>
      <c r="F3509" s="74">
        <f t="shared" si="1297"/>
        <v>46523.5</v>
      </c>
      <c r="G3509" s="67">
        <f t="shared" si="1298"/>
        <v>24328</v>
      </c>
      <c r="H3509" s="75">
        <f t="shared" si="1299"/>
        <v>1</v>
      </c>
      <c r="I3509" s="76">
        <f t="shared" si="1300"/>
        <v>1</v>
      </c>
      <c r="J3509" s="76">
        <f t="shared" si="1301"/>
        <v>1</v>
      </c>
      <c r="K3509" s="67">
        <f t="shared" si="1302"/>
        <v>0</v>
      </c>
      <c r="L3509" s="67">
        <f t="shared" si="1303"/>
        <v>0</v>
      </c>
      <c r="M3509" s="77">
        <f t="shared" si="1304"/>
        <v>0</v>
      </c>
      <c r="N3509" s="76">
        <f t="shared" si="1305"/>
        <v>1</v>
      </c>
      <c r="O3509" s="77">
        <f t="shared" si="1306"/>
        <v>1</v>
      </c>
      <c r="P3509" s="76">
        <f t="shared" si="1307"/>
        <v>0</v>
      </c>
      <c r="Q3509" s="76">
        <f t="shared" si="1308"/>
        <v>1</v>
      </c>
      <c r="R3509" s="76">
        <f t="shared" si="1309"/>
        <v>0</v>
      </c>
      <c r="S3509" s="76">
        <f t="shared" si="1310"/>
        <v>1</v>
      </c>
      <c r="T3509" s="76">
        <f t="shared" si="1311"/>
        <v>1</v>
      </c>
      <c r="U3509" s="76">
        <f t="shared" si="1312"/>
        <v>1</v>
      </c>
    </row>
    <row r="3510" spans="1:21" x14ac:dyDescent="0.25">
      <c r="A3510" s="71">
        <v>30</v>
      </c>
      <c r="B3510" s="72">
        <f t="shared" si="1313"/>
        <v>46539</v>
      </c>
      <c r="C3510" s="73">
        <f t="shared" si="1294"/>
        <v>46568</v>
      </c>
      <c r="D3510" s="67">
        <f t="shared" si="1295"/>
        <v>30</v>
      </c>
      <c r="E3510" s="67">
        <f t="shared" si="1296"/>
        <v>6</v>
      </c>
      <c r="F3510" s="74">
        <f t="shared" si="1297"/>
        <v>46554</v>
      </c>
      <c r="G3510" s="67">
        <f t="shared" si="1298"/>
        <v>24329</v>
      </c>
      <c r="H3510" s="75">
        <f t="shared" si="1299"/>
        <v>1</v>
      </c>
      <c r="I3510" s="76">
        <f t="shared" si="1300"/>
        <v>1</v>
      </c>
      <c r="J3510" s="76">
        <f t="shared" si="1301"/>
        <v>1</v>
      </c>
      <c r="K3510" s="67">
        <f t="shared" si="1302"/>
        <v>0</v>
      </c>
      <c r="L3510" s="67">
        <f t="shared" si="1303"/>
        <v>0</v>
      </c>
      <c r="M3510" s="77">
        <f t="shared" si="1304"/>
        <v>0</v>
      </c>
      <c r="N3510" s="76">
        <f t="shared" si="1305"/>
        <v>1</v>
      </c>
      <c r="O3510" s="77">
        <f t="shared" si="1306"/>
        <v>1</v>
      </c>
      <c r="P3510" s="76">
        <f t="shared" si="1307"/>
        <v>0</v>
      </c>
      <c r="Q3510" s="76">
        <f t="shared" si="1308"/>
        <v>1</v>
      </c>
      <c r="R3510" s="76">
        <f t="shared" si="1309"/>
        <v>0</v>
      </c>
      <c r="S3510" s="76">
        <f t="shared" si="1310"/>
        <v>1</v>
      </c>
      <c r="T3510" s="76">
        <f t="shared" si="1311"/>
        <v>1</v>
      </c>
      <c r="U3510" s="76">
        <f t="shared" si="1312"/>
        <v>1</v>
      </c>
    </row>
    <row r="3511" spans="1:21" x14ac:dyDescent="0.25">
      <c r="A3511" s="71">
        <v>31</v>
      </c>
      <c r="B3511" s="72">
        <f t="shared" si="1313"/>
        <v>46569</v>
      </c>
      <c r="C3511" s="73">
        <f t="shared" si="1294"/>
        <v>46599</v>
      </c>
      <c r="D3511" s="67">
        <f t="shared" si="1295"/>
        <v>31</v>
      </c>
      <c r="E3511" s="67">
        <f t="shared" si="1296"/>
        <v>7</v>
      </c>
      <c r="F3511" s="74">
        <f t="shared" si="1297"/>
        <v>46584.5</v>
      </c>
      <c r="G3511" s="67">
        <f t="shared" si="1298"/>
        <v>24330</v>
      </c>
      <c r="H3511" s="75">
        <f t="shared" si="1299"/>
        <v>1</v>
      </c>
      <c r="I3511" s="76">
        <f t="shared" si="1300"/>
        <v>1</v>
      </c>
      <c r="J3511" s="76">
        <f t="shared" si="1301"/>
        <v>1</v>
      </c>
      <c r="K3511" s="67">
        <f t="shared" si="1302"/>
        <v>0</v>
      </c>
      <c r="L3511" s="67">
        <f t="shared" si="1303"/>
        <v>0</v>
      </c>
      <c r="M3511" s="77">
        <f t="shared" si="1304"/>
        <v>0</v>
      </c>
      <c r="N3511" s="76">
        <f t="shared" si="1305"/>
        <v>1</v>
      </c>
      <c r="O3511" s="77">
        <f t="shared" si="1306"/>
        <v>1</v>
      </c>
      <c r="P3511" s="76">
        <f t="shared" si="1307"/>
        <v>0</v>
      </c>
      <c r="Q3511" s="76">
        <f t="shared" si="1308"/>
        <v>0.91666666666666663</v>
      </c>
      <c r="R3511" s="76">
        <f t="shared" si="1309"/>
        <v>8.333333333333337E-2</v>
      </c>
      <c r="S3511" s="76">
        <f t="shared" si="1310"/>
        <v>1</v>
      </c>
      <c r="T3511" s="76">
        <f t="shared" si="1311"/>
        <v>1</v>
      </c>
      <c r="U3511" s="76">
        <f t="shared" si="1312"/>
        <v>1</v>
      </c>
    </row>
    <row r="3512" spans="1:21" x14ac:dyDescent="0.25">
      <c r="A3512" s="71">
        <v>32</v>
      </c>
      <c r="B3512" s="72">
        <f t="shared" si="1313"/>
        <v>46600</v>
      </c>
      <c r="C3512" s="73">
        <f t="shared" si="1294"/>
        <v>46630</v>
      </c>
      <c r="D3512" s="67">
        <f t="shared" si="1295"/>
        <v>31</v>
      </c>
      <c r="E3512" s="67">
        <f t="shared" si="1296"/>
        <v>8</v>
      </c>
      <c r="F3512" s="74">
        <f t="shared" si="1297"/>
        <v>46615.5</v>
      </c>
      <c r="G3512" s="67">
        <f t="shared" si="1298"/>
        <v>24331</v>
      </c>
      <c r="H3512" s="75">
        <f t="shared" si="1299"/>
        <v>1</v>
      </c>
      <c r="I3512" s="76">
        <f t="shared" si="1300"/>
        <v>1</v>
      </c>
      <c r="J3512" s="76">
        <f t="shared" si="1301"/>
        <v>1</v>
      </c>
      <c r="K3512" s="67">
        <f t="shared" si="1302"/>
        <v>0</v>
      </c>
      <c r="L3512" s="67">
        <f t="shared" si="1303"/>
        <v>0</v>
      </c>
      <c r="M3512" s="77">
        <f t="shared" si="1304"/>
        <v>0</v>
      </c>
      <c r="N3512" s="76">
        <f t="shared" si="1305"/>
        <v>1</v>
      </c>
      <c r="O3512" s="77">
        <f t="shared" si="1306"/>
        <v>1</v>
      </c>
      <c r="P3512" s="76">
        <f t="shared" si="1307"/>
        <v>0</v>
      </c>
      <c r="Q3512" s="76">
        <f t="shared" si="1308"/>
        <v>0.75</v>
      </c>
      <c r="R3512" s="76">
        <f t="shared" si="1309"/>
        <v>0.25</v>
      </c>
      <c r="S3512" s="76">
        <f t="shared" si="1310"/>
        <v>1</v>
      </c>
      <c r="T3512" s="76">
        <f t="shared" si="1311"/>
        <v>1</v>
      </c>
      <c r="U3512" s="76">
        <f t="shared" si="1312"/>
        <v>1</v>
      </c>
    </row>
    <row r="3513" spans="1:21" x14ac:dyDescent="0.25">
      <c r="A3513" s="71">
        <v>33</v>
      </c>
      <c r="B3513" s="72">
        <f t="shared" si="1313"/>
        <v>46631</v>
      </c>
      <c r="C3513" s="73">
        <f t="shared" si="1294"/>
        <v>46660</v>
      </c>
      <c r="D3513" s="67">
        <f t="shared" si="1295"/>
        <v>30</v>
      </c>
      <c r="E3513" s="67">
        <f t="shared" si="1296"/>
        <v>9</v>
      </c>
      <c r="F3513" s="74">
        <f t="shared" si="1297"/>
        <v>46646</v>
      </c>
      <c r="G3513" s="67">
        <f t="shared" si="1298"/>
        <v>24332</v>
      </c>
      <c r="H3513" s="75">
        <f t="shared" si="1299"/>
        <v>1</v>
      </c>
      <c r="I3513" s="76">
        <f t="shared" si="1300"/>
        <v>1</v>
      </c>
      <c r="J3513" s="76">
        <f t="shared" si="1301"/>
        <v>1</v>
      </c>
      <c r="K3513" s="67">
        <f t="shared" si="1302"/>
        <v>0</v>
      </c>
      <c r="L3513" s="67">
        <f t="shared" si="1303"/>
        <v>0</v>
      </c>
      <c r="M3513" s="77">
        <f t="shared" si="1304"/>
        <v>0</v>
      </c>
      <c r="N3513" s="76">
        <f t="shared" si="1305"/>
        <v>1</v>
      </c>
      <c r="O3513" s="77">
        <f t="shared" si="1306"/>
        <v>1</v>
      </c>
      <c r="P3513" s="76">
        <f t="shared" si="1307"/>
        <v>0</v>
      </c>
      <c r="Q3513" s="76">
        <f t="shared" si="1308"/>
        <v>0.58333333333333337</v>
      </c>
      <c r="R3513" s="76">
        <f t="shared" si="1309"/>
        <v>0.41666666666666663</v>
      </c>
      <c r="S3513" s="76">
        <f t="shared" si="1310"/>
        <v>1</v>
      </c>
      <c r="T3513" s="76">
        <f t="shared" si="1311"/>
        <v>1</v>
      </c>
      <c r="U3513" s="76">
        <f t="shared" si="1312"/>
        <v>1</v>
      </c>
    </row>
    <row r="3514" spans="1:21" x14ac:dyDescent="0.25">
      <c r="A3514" s="71">
        <v>34</v>
      </c>
      <c r="B3514" s="72">
        <f t="shared" si="1313"/>
        <v>46661</v>
      </c>
      <c r="C3514" s="73">
        <f t="shared" si="1294"/>
        <v>46691</v>
      </c>
      <c r="D3514" s="67">
        <f t="shared" si="1295"/>
        <v>31</v>
      </c>
      <c r="E3514" s="67">
        <f t="shared" si="1296"/>
        <v>10</v>
      </c>
      <c r="F3514" s="74">
        <f t="shared" si="1297"/>
        <v>46676.5</v>
      </c>
      <c r="G3514" s="67">
        <f t="shared" si="1298"/>
        <v>24333</v>
      </c>
      <c r="H3514" s="75">
        <f t="shared" si="1299"/>
        <v>1</v>
      </c>
      <c r="I3514" s="76">
        <f t="shared" si="1300"/>
        <v>1</v>
      </c>
      <c r="J3514" s="76">
        <f t="shared" si="1301"/>
        <v>1</v>
      </c>
      <c r="K3514" s="67">
        <f t="shared" si="1302"/>
        <v>0</v>
      </c>
      <c r="L3514" s="67">
        <f t="shared" si="1303"/>
        <v>0</v>
      </c>
      <c r="M3514" s="77">
        <f t="shared" si="1304"/>
        <v>0</v>
      </c>
      <c r="N3514" s="76">
        <f t="shared" si="1305"/>
        <v>1</v>
      </c>
      <c r="O3514" s="77">
        <f t="shared" si="1306"/>
        <v>1</v>
      </c>
      <c r="P3514" s="76">
        <f t="shared" si="1307"/>
        <v>0</v>
      </c>
      <c r="Q3514" s="76">
        <f t="shared" si="1308"/>
        <v>0.41666666666666669</v>
      </c>
      <c r="R3514" s="76">
        <f t="shared" si="1309"/>
        <v>0.58333333333333326</v>
      </c>
      <c r="S3514" s="76">
        <f t="shared" si="1310"/>
        <v>1</v>
      </c>
      <c r="T3514" s="76">
        <f t="shared" si="1311"/>
        <v>1</v>
      </c>
      <c r="U3514" s="76">
        <f t="shared" si="1312"/>
        <v>1</v>
      </c>
    </row>
    <row r="3515" spans="1:21" x14ac:dyDescent="0.25">
      <c r="A3515" s="71">
        <v>35</v>
      </c>
      <c r="B3515" s="72">
        <f t="shared" si="1313"/>
        <v>46692</v>
      </c>
      <c r="C3515" s="73">
        <f t="shared" si="1294"/>
        <v>46721</v>
      </c>
      <c r="D3515" s="67">
        <f t="shared" si="1295"/>
        <v>30</v>
      </c>
      <c r="E3515" s="67">
        <f t="shared" si="1296"/>
        <v>11</v>
      </c>
      <c r="F3515" s="74">
        <f t="shared" si="1297"/>
        <v>46707</v>
      </c>
      <c r="G3515" s="67">
        <f t="shared" si="1298"/>
        <v>24334</v>
      </c>
      <c r="H3515" s="75">
        <f t="shared" si="1299"/>
        <v>1</v>
      </c>
      <c r="I3515" s="76">
        <f t="shared" si="1300"/>
        <v>1</v>
      </c>
      <c r="J3515" s="76">
        <f t="shared" si="1301"/>
        <v>1</v>
      </c>
      <c r="K3515" s="67">
        <f t="shared" si="1302"/>
        <v>0</v>
      </c>
      <c r="L3515" s="67">
        <f t="shared" si="1303"/>
        <v>0</v>
      </c>
      <c r="M3515" s="77">
        <f t="shared" si="1304"/>
        <v>0</v>
      </c>
      <c r="N3515" s="76">
        <f t="shared" si="1305"/>
        <v>1</v>
      </c>
      <c r="O3515" s="77">
        <f t="shared" si="1306"/>
        <v>1</v>
      </c>
      <c r="P3515" s="76">
        <f t="shared" si="1307"/>
        <v>0</v>
      </c>
      <c r="Q3515" s="76">
        <f t="shared" si="1308"/>
        <v>0.25</v>
      </c>
      <c r="R3515" s="76">
        <f t="shared" si="1309"/>
        <v>0.75</v>
      </c>
      <c r="S3515" s="76">
        <f t="shared" si="1310"/>
        <v>1</v>
      </c>
      <c r="T3515" s="76">
        <f t="shared" si="1311"/>
        <v>1</v>
      </c>
      <c r="U3515" s="76">
        <f t="shared" si="1312"/>
        <v>1</v>
      </c>
    </row>
    <row r="3516" spans="1:21" x14ac:dyDescent="0.25">
      <c r="A3516" s="71">
        <v>36</v>
      </c>
      <c r="B3516" s="72">
        <f t="shared" si="1313"/>
        <v>46722</v>
      </c>
      <c r="C3516" s="73">
        <f t="shared" si="1294"/>
        <v>46752</v>
      </c>
      <c r="D3516" s="67">
        <f t="shared" si="1295"/>
        <v>31</v>
      </c>
      <c r="E3516" s="67">
        <f t="shared" si="1296"/>
        <v>12</v>
      </c>
      <c r="F3516" s="74">
        <f t="shared" si="1297"/>
        <v>46737.5</v>
      </c>
      <c r="G3516" s="67">
        <f t="shared" si="1298"/>
        <v>24335</v>
      </c>
      <c r="H3516" s="75">
        <f t="shared" si="1299"/>
        <v>1</v>
      </c>
      <c r="I3516" s="76">
        <f t="shared" si="1300"/>
        <v>1</v>
      </c>
      <c r="J3516" s="76">
        <f t="shared" si="1301"/>
        <v>1</v>
      </c>
      <c r="K3516" s="67">
        <f t="shared" si="1302"/>
        <v>0</v>
      </c>
      <c r="L3516" s="67">
        <f t="shared" si="1303"/>
        <v>0</v>
      </c>
      <c r="M3516" s="77">
        <f t="shared" si="1304"/>
        <v>0</v>
      </c>
      <c r="N3516" s="76">
        <f t="shared" si="1305"/>
        <v>1</v>
      </c>
      <c r="O3516" s="77">
        <f t="shared" si="1306"/>
        <v>1</v>
      </c>
      <c r="P3516" s="76">
        <f t="shared" si="1307"/>
        <v>0</v>
      </c>
      <c r="Q3516" s="76">
        <f t="shared" si="1308"/>
        <v>8.3333333333333329E-2</v>
      </c>
      <c r="R3516" s="76">
        <f t="shared" si="1309"/>
        <v>0.91666666666666663</v>
      </c>
      <c r="S3516" s="76">
        <f t="shared" si="1310"/>
        <v>1</v>
      </c>
      <c r="T3516" s="76">
        <f t="shared" si="1311"/>
        <v>1</v>
      </c>
      <c r="U3516" s="76">
        <f t="shared" si="1312"/>
        <v>1</v>
      </c>
    </row>
    <row r="3517" spans="1:21" x14ac:dyDescent="0.25">
      <c r="A3517" s="71">
        <v>37</v>
      </c>
      <c r="B3517" s="72">
        <f t="shared" si="1313"/>
        <v>46753</v>
      </c>
      <c r="C3517" s="73">
        <f t="shared" si="1294"/>
        <v>46783</v>
      </c>
      <c r="D3517" s="67">
        <f t="shared" si="1295"/>
        <v>31</v>
      </c>
      <c r="E3517" s="67">
        <f t="shared" si="1296"/>
        <v>1</v>
      </c>
      <c r="F3517" s="74">
        <f t="shared" si="1297"/>
        <v>46768.5</v>
      </c>
      <c r="G3517" s="67">
        <f t="shared" si="1298"/>
        <v>24336</v>
      </c>
      <c r="H3517" s="75">
        <f t="shared" si="1299"/>
        <v>1</v>
      </c>
      <c r="I3517" s="76">
        <f t="shared" si="1300"/>
        <v>1</v>
      </c>
      <c r="J3517" s="76">
        <f t="shared" si="1301"/>
        <v>1</v>
      </c>
      <c r="K3517" s="67">
        <f t="shared" si="1302"/>
        <v>0</v>
      </c>
      <c r="L3517" s="67">
        <f t="shared" si="1303"/>
        <v>0</v>
      </c>
      <c r="M3517" s="77">
        <f t="shared" si="1304"/>
        <v>0</v>
      </c>
      <c r="N3517" s="76">
        <f t="shared" si="1305"/>
        <v>1</v>
      </c>
      <c r="O3517" s="77">
        <f t="shared" si="1306"/>
        <v>1</v>
      </c>
      <c r="P3517" s="76">
        <f t="shared" si="1307"/>
        <v>0</v>
      </c>
      <c r="Q3517" s="76">
        <f t="shared" si="1308"/>
        <v>0</v>
      </c>
      <c r="R3517" s="76">
        <f t="shared" si="1309"/>
        <v>1</v>
      </c>
      <c r="S3517" s="76">
        <f t="shared" si="1310"/>
        <v>1</v>
      </c>
      <c r="T3517" s="76">
        <f t="shared" si="1311"/>
        <v>1</v>
      </c>
      <c r="U3517" s="76">
        <f t="shared" si="1312"/>
        <v>1</v>
      </c>
    </row>
    <row r="3518" spans="1:21" x14ac:dyDescent="0.25">
      <c r="A3518" s="71">
        <v>38</v>
      </c>
      <c r="B3518" s="72">
        <f t="shared" si="1313"/>
        <v>46784</v>
      </c>
      <c r="C3518" s="73">
        <f t="shared" si="1294"/>
        <v>46812</v>
      </c>
      <c r="D3518" s="67">
        <f t="shared" si="1295"/>
        <v>29</v>
      </c>
      <c r="E3518" s="67">
        <f t="shared" si="1296"/>
        <v>2</v>
      </c>
      <c r="F3518" s="74">
        <f t="shared" si="1297"/>
        <v>46798.5</v>
      </c>
      <c r="G3518" s="67">
        <f t="shared" si="1298"/>
        <v>24337</v>
      </c>
      <c r="H3518" s="75">
        <f t="shared" si="1299"/>
        <v>1</v>
      </c>
      <c r="I3518" s="76">
        <f t="shared" si="1300"/>
        <v>1</v>
      </c>
      <c r="J3518" s="76">
        <f t="shared" si="1301"/>
        <v>1</v>
      </c>
      <c r="K3518" s="67">
        <f t="shared" si="1302"/>
        <v>0</v>
      </c>
      <c r="L3518" s="67">
        <f t="shared" si="1303"/>
        <v>0</v>
      </c>
      <c r="M3518" s="77">
        <f t="shared" si="1304"/>
        <v>0</v>
      </c>
      <c r="N3518" s="76">
        <f t="shared" si="1305"/>
        <v>1</v>
      </c>
      <c r="O3518" s="77">
        <f t="shared" si="1306"/>
        <v>1</v>
      </c>
      <c r="P3518" s="76">
        <f t="shared" si="1307"/>
        <v>0</v>
      </c>
      <c r="Q3518" s="76">
        <f t="shared" si="1308"/>
        <v>0</v>
      </c>
      <c r="R3518" s="76">
        <f t="shared" si="1309"/>
        <v>1</v>
      </c>
      <c r="S3518" s="76">
        <f t="shared" si="1310"/>
        <v>1</v>
      </c>
      <c r="T3518" s="76">
        <f t="shared" si="1311"/>
        <v>1</v>
      </c>
      <c r="U3518" s="76">
        <f t="shared" si="1312"/>
        <v>1</v>
      </c>
    </row>
    <row r="3519" spans="1:21" x14ac:dyDescent="0.25">
      <c r="A3519" s="71">
        <v>39</v>
      </c>
      <c r="B3519" s="72">
        <f t="shared" si="1313"/>
        <v>46813</v>
      </c>
      <c r="C3519" s="73">
        <f t="shared" si="1294"/>
        <v>46843</v>
      </c>
      <c r="D3519" s="67">
        <f t="shared" si="1295"/>
        <v>31</v>
      </c>
      <c r="E3519" s="67">
        <f t="shared" si="1296"/>
        <v>3</v>
      </c>
      <c r="F3519" s="74">
        <f t="shared" si="1297"/>
        <v>46828.5</v>
      </c>
      <c r="G3519" s="67">
        <f t="shared" si="1298"/>
        <v>24338</v>
      </c>
      <c r="H3519" s="75">
        <f t="shared" si="1299"/>
        <v>1</v>
      </c>
      <c r="I3519" s="76">
        <f t="shared" si="1300"/>
        <v>1</v>
      </c>
      <c r="J3519" s="76">
        <f t="shared" si="1301"/>
        <v>1</v>
      </c>
      <c r="K3519" s="67">
        <f t="shared" si="1302"/>
        <v>0</v>
      </c>
      <c r="L3519" s="67">
        <f t="shared" si="1303"/>
        <v>0</v>
      </c>
      <c r="M3519" s="77">
        <f t="shared" si="1304"/>
        <v>0</v>
      </c>
      <c r="N3519" s="76">
        <f t="shared" si="1305"/>
        <v>1</v>
      </c>
      <c r="O3519" s="77">
        <f t="shared" si="1306"/>
        <v>1</v>
      </c>
      <c r="P3519" s="76">
        <f t="shared" si="1307"/>
        <v>0</v>
      </c>
      <c r="Q3519" s="76">
        <f t="shared" si="1308"/>
        <v>0</v>
      </c>
      <c r="R3519" s="76">
        <f t="shared" si="1309"/>
        <v>1</v>
      </c>
      <c r="S3519" s="76">
        <f t="shared" si="1310"/>
        <v>1</v>
      </c>
      <c r="T3519" s="76">
        <f t="shared" si="1311"/>
        <v>1</v>
      </c>
      <c r="U3519" s="76">
        <f t="shared" si="1312"/>
        <v>1</v>
      </c>
    </row>
    <row r="3520" spans="1:21" x14ac:dyDescent="0.25">
      <c r="A3520" s="71">
        <v>40</v>
      </c>
      <c r="B3520" s="72">
        <f t="shared" si="1313"/>
        <v>46844</v>
      </c>
      <c r="C3520" s="73">
        <f t="shared" si="1294"/>
        <v>46873</v>
      </c>
      <c r="D3520" s="67">
        <f t="shared" si="1295"/>
        <v>30</v>
      </c>
      <c r="E3520" s="67">
        <f t="shared" si="1296"/>
        <v>4</v>
      </c>
      <c r="F3520" s="74">
        <f t="shared" si="1297"/>
        <v>46859</v>
      </c>
      <c r="G3520" s="67">
        <f t="shared" si="1298"/>
        <v>24339</v>
      </c>
      <c r="H3520" s="75">
        <f t="shared" si="1299"/>
        <v>1</v>
      </c>
      <c r="I3520" s="76">
        <f t="shared" si="1300"/>
        <v>1</v>
      </c>
      <c r="J3520" s="76">
        <f t="shared" si="1301"/>
        <v>1</v>
      </c>
      <c r="K3520" s="67">
        <f t="shared" si="1302"/>
        <v>0</v>
      </c>
      <c r="L3520" s="67">
        <f t="shared" si="1303"/>
        <v>0</v>
      </c>
      <c r="M3520" s="77">
        <f t="shared" si="1304"/>
        <v>0</v>
      </c>
      <c r="N3520" s="76">
        <f t="shared" si="1305"/>
        <v>1</v>
      </c>
      <c r="O3520" s="77">
        <f t="shared" si="1306"/>
        <v>1</v>
      </c>
      <c r="P3520" s="76">
        <f t="shared" si="1307"/>
        <v>0</v>
      </c>
      <c r="Q3520" s="76">
        <f t="shared" si="1308"/>
        <v>0</v>
      </c>
      <c r="R3520" s="76">
        <f t="shared" si="1309"/>
        <v>1</v>
      </c>
      <c r="S3520" s="76">
        <f t="shared" si="1310"/>
        <v>1</v>
      </c>
      <c r="T3520" s="76">
        <f t="shared" si="1311"/>
        <v>1</v>
      </c>
      <c r="U3520" s="76">
        <f t="shared" si="1312"/>
        <v>1</v>
      </c>
    </row>
    <row r="3521" spans="1:21" x14ac:dyDescent="0.25">
      <c r="A3521" s="71">
        <v>41</v>
      </c>
      <c r="B3521" s="72">
        <f t="shared" si="1313"/>
        <v>46874</v>
      </c>
      <c r="C3521" s="73">
        <f t="shared" si="1294"/>
        <v>46904</v>
      </c>
      <c r="D3521" s="67">
        <f t="shared" si="1295"/>
        <v>31</v>
      </c>
      <c r="E3521" s="67">
        <f t="shared" si="1296"/>
        <v>5</v>
      </c>
      <c r="F3521" s="74">
        <f t="shared" si="1297"/>
        <v>46889.5</v>
      </c>
      <c r="G3521" s="67">
        <f t="shared" si="1298"/>
        <v>24340</v>
      </c>
      <c r="H3521" s="75">
        <f t="shared" si="1299"/>
        <v>1</v>
      </c>
      <c r="I3521" s="76">
        <f t="shared" si="1300"/>
        <v>1</v>
      </c>
      <c r="J3521" s="76">
        <f t="shared" si="1301"/>
        <v>1</v>
      </c>
      <c r="K3521" s="67">
        <f t="shared" si="1302"/>
        <v>0</v>
      </c>
      <c r="L3521" s="67">
        <f t="shared" si="1303"/>
        <v>0</v>
      </c>
      <c r="M3521" s="77">
        <f t="shared" si="1304"/>
        <v>0</v>
      </c>
      <c r="N3521" s="76">
        <f t="shared" si="1305"/>
        <v>1</v>
      </c>
      <c r="O3521" s="77">
        <f t="shared" si="1306"/>
        <v>1</v>
      </c>
      <c r="P3521" s="76">
        <f t="shared" si="1307"/>
        <v>0</v>
      </c>
      <c r="Q3521" s="76">
        <f t="shared" si="1308"/>
        <v>0</v>
      </c>
      <c r="R3521" s="76">
        <f t="shared" si="1309"/>
        <v>1</v>
      </c>
      <c r="S3521" s="76">
        <f t="shared" si="1310"/>
        <v>1</v>
      </c>
      <c r="T3521" s="76">
        <f t="shared" si="1311"/>
        <v>1</v>
      </c>
      <c r="U3521" s="76">
        <f t="shared" si="1312"/>
        <v>1</v>
      </c>
    </row>
    <row r="3522" spans="1:21" x14ac:dyDescent="0.25">
      <c r="A3522" s="71">
        <v>42</v>
      </c>
      <c r="B3522" s="72">
        <f t="shared" si="1313"/>
        <v>46905</v>
      </c>
      <c r="C3522" s="73">
        <f t="shared" si="1294"/>
        <v>46934</v>
      </c>
      <c r="D3522" s="67">
        <f t="shared" si="1295"/>
        <v>30</v>
      </c>
      <c r="E3522" s="67">
        <f t="shared" si="1296"/>
        <v>6</v>
      </c>
      <c r="F3522" s="74">
        <f t="shared" si="1297"/>
        <v>46920</v>
      </c>
      <c r="G3522" s="67">
        <f t="shared" si="1298"/>
        <v>24341</v>
      </c>
      <c r="H3522" s="75">
        <f t="shared" si="1299"/>
        <v>1</v>
      </c>
      <c r="I3522" s="76">
        <f t="shared" si="1300"/>
        <v>1</v>
      </c>
      <c r="J3522" s="76">
        <f t="shared" si="1301"/>
        <v>1</v>
      </c>
      <c r="K3522" s="67">
        <f t="shared" si="1302"/>
        <v>0</v>
      </c>
      <c r="L3522" s="67">
        <f t="shared" si="1303"/>
        <v>0</v>
      </c>
      <c r="M3522" s="77">
        <f t="shared" si="1304"/>
        <v>0</v>
      </c>
      <c r="N3522" s="76">
        <f t="shared" si="1305"/>
        <v>1</v>
      </c>
      <c r="O3522" s="77">
        <f t="shared" si="1306"/>
        <v>1</v>
      </c>
      <c r="P3522" s="76">
        <f t="shared" si="1307"/>
        <v>0</v>
      </c>
      <c r="Q3522" s="76">
        <f t="shared" si="1308"/>
        <v>0</v>
      </c>
      <c r="R3522" s="76">
        <f t="shared" si="1309"/>
        <v>1</v>
      </c>
      <c r="S3522" s="76">
        <f t="shared" si="1310"/>
        <v>1</v>
      </c>
      <c r="T3522" s="76">
        <f t="shared" si="1311"/>
        <v>1</v>
      </c>
      <c r="U3522" s="76">
        <f t="shared" si="1312"/>
        <v>1</v>
      </c>
    </row>
    <row r="3523" spans="1:21" x14ac:dyDescent="0.25">
      <c r="A3523" s="71">
        <v>43</v>
      </c>
      <c r="B3523" s="72">
        <f t="shared" si="1313"/>
        <v>46935</v>
      </c>
      <c r="C3523" s="73">
        <f t="shared" si="1294"/>
        <v>46965</v>
      </c>
      <c r="D3523" s="67">
        <f t="shared" si="1295"/>
        <v>31</v>
      </c>
      <c r="E3523" s="67">
        <f t="shared" si="1296"/>
        <v>7</v>
      </c>
      <c r="F3523" s="74">
        <f t="shared" si="1297"/>
        <v>46950.5</v>
      </c>
      <c r="G3523" s="67">
        <f t="shared" si="1298"/>
        <v>24342</v>
      </c>
      <c r="H3523" s="75">
        <f t="shared" si="1299"/>
        <v>1</v>
      </c>
      <c r="I3523" s="76">
        <f t="shared" si="1300"/>
        <v>1</v>
      </c>
      <c r="J3523" s="76">
        <f t="shared" si="1301"/>
        <v>1</v>
      </c>
      <c r="K3523" s="67">
        <f t="shared" si="1302"/>
        <v>0</v>
      </c>
      <c r="L3523" s="67">
        <f t="shared" si="1303"/>
        <v>0</v>
      </c>
      <c r="M3523" s="77">
        <f t="shared" si="1304"/>
        <v>0</v>
      </c>
      <c r="N3523" s="76">
        <f t="shared" si="1305"/>
        <v>1</v>
      </c>
      <c r="O3523" s="77">
        <f t="shared" si="1306"/>
        <v>1</v>
      </c>
      <c r="P3523" s="76">
        <f t="shared" si="1307"/>
        <v>0</v>
      </c>
      <c r="Q3523" s="76">
        <f t="shared" si="1308"/>
        <v>0</v>
      </c>
      <c r="R3523" s="76">
        <f t="shared" si="1309"/>
        <v>0.91666666666666663</v>
      </c>
      <c r="S3523" s="76">
        <f t="shared" si="1310"/>
        <v>1</v>
      </c>
      <c r="T3523" s="76">
        <f t="shared" si="1311"/>
        <v>1</v>
      </c>
      <c r="U3523" s="76">
        <f t="shared" si="1312"/>
        <v>1</v>
      </c>
    </row>
    <row r="3524" spans="1:21" x14ac:dyDescent="0.25">
      <c r="A3524" s="71">
        <v>44</v>
      </c>
      <c r="B3524" s="72">
        <f t="shared" si="1313"/>
        <v>46966</v>
      </c>
      <c r="C3524" s="73">
        <f t="shared" si="1294"/>
        <v>46996</v>
      </c>
      <c r="D3524" s="67">
        <f t="shared" si="1295"/>
        <v>31</v>
      </c>
      <c r="E3524" s="67">
        <f t="shared" si="1296"/>
        <v>8</v>
      </c>
      <c r="F3524" s="74">
        <f t="shared" si="1297"/>
        <v>46981.5</v>
      </c>
      <c r="G3524" s="67">
        <f t="shared" si="1298"/>
        <v>24343</v>
      </c>
      <c r="H3524" s="75">
        <f t="shared" si="1299"/>
        <v>1</v>
      </c>
      <c r="I3524" s="76">
        <f t="shared" si="1300"/>
        <v>1</v>
      </c>
      <c r="J3524" s="76">
        <f t="shared" si="1301"/>
        <v>1</v>
      </c>
      <c r="K3524" s="67">
        <f t="shared" si="1302"/>
        <v>0</v>
      </c>
      <c r="L3524" s="67">
        <f t="shared" si="1303"/>
        <v>0</v>
      </c>
      <c r="M3524" s="77">
        <f t="shared" si="1304"/>
        <v>0</v>
      </c>
      <c r="N3524" s="76">
        <f t="shared" si="1305"/>
        <v>1</v>
      </c>
      <c r="O3524" s="77">
        <f t="shared" si="1306"/>
        <v>1</v>
      </c>
      <c r="P3524" s="76">
        <f t="shared" si="1307"/>
        <v>0</v>
      </c>
      <c r="Q3524" s="76">
        <f t="shared" si="1308"/>
        <v>0</v>
      </c>
      <c r="R3524" s="76">
        <f t="shared" si="1309"/>
        <v>0.75</v>
      </c>
      <c r="S3524" s="76">
        <f t="shared" si="1310"/>
        <v>1</v>
      </c>
      <c r="T3524" s="76">
        <f t="shared" si="1311"/>
        <v>1</v>
      </c>
      <c r="U3524" s="76">
        <f t="shared" si="1312"/>
        <v>1</v>
      </c>
    </row>
    <row r="3525" spans="1:21" x14ac:dyDescent="0.25">
      <c r="A3525" s="71">
        <v>45</v>
      </c>
      <c r="B3525" s="72">
        <f t="shared" si="1313"/>
        <v>46997</v>
      </c>
      <c r="C3525" s="73">
        <f t="shared" si="1294"/>
        <v>47026</v>
      </c>
      <c r="D3525" s="67">
        <f t="shared" si="1295"/>
        <v>30</v>
      </c>
      <c r="E3525" s="67">
        <f t="shared" si="1296"/>
        <v>9</v>
      </c>
      <c r="F3525" s="74">
        <f t="shared" si="1297"/>
        <v>47012</v>
      </c>
      <c r="G3525" s="67">
        <f t="shared" si="1298"/>
        <v>24344</v>
      </c>
      <c r="H3525" s="75">
        <f t="shared" si="1299"/>
        <v>1</v>
      </c>
      <c r="I3525" s="76">
        <f t="shared" si="1300"/>
        <v>1</v>
      </c>
      <c r="J3525" s="76">
        <f t="shared" si="1301"/>
        <v>1</v>
      </c>
      <c r="K3525" s="67">
        <f t="shared" si="1302"/>
        <v>0</v>
      </c>
      <c r="L3525" s="67">
        <f t="shared" si="1303"/>
        <v>0</v>
      </c>
      <c r="M3525" s="77">
        <f t="shared" si="1304"/>
        <v>0</v>
      </c>
      <c r="N3525" s="76">
        <f t="shared" si="1305"/>
        <v>1</v>
      </c>
      <c r="O3525" s="77">
        <f t="shared" si="1306"/>
        <v>1</v>
      </c>
      <c r="P3525" s="76">
        <f t="shared" si="1307"/>
        <v>0</v>
      </c>
      <c r="Q3525" s="76">
        <f t="shared" si="1308"/>
        <v>0</v>
      </c>
      <c r="R3525" s="76">
        <f t="shared" si="1309"/>
        <v>0.58333333333333337</v>
      </c>
      <c r="S3525" s="76">
        <f t="shared" si="1310"/>
        <v>1</v>
      </c>
      <c r="T3525" s="76">
        <f t="shared" si="1311"/>
        <v>1</v>
      </c>
      <c r="U3525" s="76">
        <f t="shared" si="1312"/>
        <v>1</v>
      </c>
    </row>
    <row r="3526" spans="1:21" x14ac:dyDescent="0.25">
      <c r="A3526" s="71">
        <v>46</v>
      </c>
      <c r="B3526" s="72">
        <f t="shared" si="1313"/>
        <v>47027</v>
      </c>
      <c r="C3526" s="73">
        <f t="shared" si="1294"/>
        <v>47057</v>
      </c>
      <c r="D3526" s="67">
        <f t="shared" si="1295"/>
        <v>31</v>
      </c>
      <c r="E3526" s="67">
        <f t="shared" si="1296"/>
        <v>10</v>
      </c>
      <c r="F3526" s="74">
        <f t="shared" si="1297"/>
        <v>47042.5</v>
      </c>
      <c r="G3526" s="67">
        <f t="shared" si="1298"/>
        <v>24345</v>
      </c>
      <c r="H3526" s="75">
        <f t="shared" si="1299"/>
        <v>1</v>
      </c>
      <c r="I3526" s="76">
        <f t="shared" si="1300"/>
        <v>1</v>
      </c>
      <c r="J3526" s="76">
        <f t="shared" si="1301"/>
        <v>1</v>
      </c>
      <c r="K3526" s="67">
        <f t="shared" si="1302"/>
        <v>0</v>
      </c>
      <c r="L3526" s="67">
        <f t="shared" si="1303"/>
        <v>0</v>
      </c>
      <c r="M3526" s="77">
        <f t="shared" si="1304"/>
        <v>0</v>
      </c>
      <c r="N3526" s="76">
        <f t="shared" si="1305"/>
        <v>1</v>
      </c>
      <c r="O3526" s="77">
        <f t="shared" si="1306"/>
        <v>1</v>
      </c>
      <c r="P3526" s="76">
        <f t="shared" si="1307"/>
        <v>0</v>
      </c>
      <c r="Q3526" s="76">
        <f t="shared" si="1308"/>
        <v>0</v>
      </c>
      <c r="R3526" s="76">
        <f t="shared" si="1309"/>
        <v>0.41666666666666669</v>
      </c>
      <c r="S3526" s="76">
        <f t="shared" si="1310"/>
        <v>1</v>
      </c>
      <c r="T3526" s="76">
        <f t="shared" si="1311"/>
        <v>1</v>
      </c>
      <c r="U3526" s="76">
        <f t="shared" si="1312"/>
        <v>1</v>
      </c>
    </row>
    <row r="3527" spans="1:21" x14ac:dyDescent="0.25">
      <c r="A3527" s="71">
        <v>47</v>
      </c>
      <c r="B3527" s="72">
        <f t="shared" si="1313"/>
        <v>47058</v>
      </c>
      <c r="C3527" s="73">
        <f t="shared" si="1294"/>
        <v>47087</v>
      </c>
      <c r="D3527" s="67">
        <f t="shared" si="1295"/>
        <v>30</v>
      </c>
      <c r="E3527" s="67">
        <f t="shared" si="1296"/>
        <v>11</v>
      </c>
      <c r="F3527" s="74">
        <f t="shared" si="1297"/>
        <v>47073</v>
      </c>
      <c r="G3527" s="67">
        <f t="shared" si="1298"/>
        <v>24346</v>
      </c>
      <c r="H3527" s="75">
        <f t="shared" si="1299"/>
        <v>1</v>
      </c>
      <c r="I3527" s="76">
        <f t="shared" si="1300"/>
        <v>1</v>
      </c>
      <c r="J3527" s="76">
        <f t="shared" si="1301"/>
        <v>1</v>
      </c>
      <c r="K3527" s="67">
        <f t="shared" si="1302"/>
        <v>0</v>
      </c>
      <c r="L3527" s="67">
        <f t="shared" si="1303"/>
        <v>0</v>
      </c>
      <c r="M3527" s="77">
        <f t="shared" si="1304"/>
        <v>0</v>
      </c>
      <c r="N3527" s="76">
        <f t="shared" si="1305"/>
        <v>1</v>
      </c>
      <c r="O3527" s="77">
        <f t="shared" si="1306"/>
        <v>1</v>
      </c>
      <c r="P3527" s="76">
        <f t="shared" si="1307"/>
        <v>0</v>
      </c>
      <c r="Q3527" s="76">
        <f t="shared" si="1308"/>
        <v>0</v>
      </c>
      <c r="R3527" s="76">
        <f t="shared" si="1309"/>
        <v>0.25</v>
      </c>
      <c r="S3527" s="76">
        <f t="shared" si="1310"/>
        <v>1</v>
      </c>
      <c r="T3527" s="76">
        <f t="shared" si="1311"/>
        <v>1</v>
      </c>
      <c r="U3527" s="76">
        <f t="shared" si="1312"/>
        <v>1</v>
      </c>
    </row>
    <row r="3528" spans="1:21" x14ac:dyDescent="0.25">
      <c r="A3528" s="71">
        <v>48</v>
      </c>
      <c r="B3528" s="72">
        <f t="shared" si="1313"/>
        <v>47088</v>
      </c>
      <c r="C3528" s="73">
        <f t="shared" si="1294"/>
        <v>47118</v>
      </c>
      <c r="D3528" s="67">
        <f t="shared" si="1295"/>
        <v>31</v>
      </c>
      <c r="E3528" s="67">
        <f t="shared" si="1296"/>
        <v>12</v>
      </c>
      <c r="F3528" s="74">
        <f t="shared" si="1297"/>
        <v>47103.5</v>
      </c>
      <c r="G3528" s="67">
        <f t="shared" si="1298"/>
        <v>24347</v>
      </c>
      <c r="H3528" s="75">
        <f t="shared" si="1299"/>
        <v>1</v>
      </c>
      <c r="I3528" s="76">
        <f t="shared" si="1300"/>
        <v>1</v>
      </c>
      <c r="J3528" s="76">
        <f t="shared" si="1301"/>
        <v>1</v>
      </c>
      <c r="K3528" s="67">
        <f t="shared" si="1302"/>
        <v>0</v>
      </c>
      <c r="L3528" s="67">
        <f t="shared" si="1303"/>
        <v>0</v>
      </c>
      <c r="M3528" s="77">
        <f t="shared" si="1304"/>
        <v>0</v>
      </c>
      <c r="N3528" s="76">
        <f t="shared" si="1305"/>
        <v>1</v>
      </c>
      <c r="O3528" s="77">
        <f t="shared" si="1306"/>
        <v>1</v>
      </c>
      <c r="P3528" s="76">
        <f t="shared" si="1307"/>
        <v>0</v>
      </c>
      <c r="Q3528" s="76">
        <f t="shared" si="1308"/>
        <v>0</v>
      </c>
      <c r="R3528" s="76">
        <f t="shared" si="1309"/>
        <v>8.3333333333333329E-2</v>
      </c>
      <c r="S3528" s="76">
        <f t="shared" si="1310"/>
        <v>1</v>
      </c>
      <c r="T3528" s="76">
        <f t="shared" si="1311"/>
        <v>1</v>
      </c>
      <c r="U3528" s="76">
        <f t="shared" si="1312"/>
        <v>1</v>
      </c>
    </row>
    <row r="3529" spans="1:21" x14ac:dyDescent="0.25">
      <c r="A3529" s="81" t="s">
        <v>1187</v>
      </c>
      <c r="B3529" s="53">
        <f>EXP(SUMPRODUCT((rl_key=$A$3478)*(rl_cons="Y")*rl_ln1p))</f>
        <v>1</v>
      </c>
      <c r="C3529" s="53">
        <f>SUMPRODUCT($H$3481:$H$3528,$P$3481:$P$3528,$U$3481:$U$3528)/SUMPRODUCT($H$3481:$H$3528,$P$3481:$P$3528)</f>
        <v>1</v>
      </c>
      <c r="D3529" s="53">
        <f>SUMPRODUCT($H$3481:$H$3528,$Q$3481:$Q$3528,$U$3481:$U$3528)/SUMPRODUCT($H$3481:$H$3528,$Q$3481:$Q$3528)</f>
        <v>1</v>
      </c>
      <c r="E3529" s="53">
        <f>SUMPRODUCT($H$3481:$H$3528,$R$3481:$R$3528,$U$3481:$U$3528)/SUMPRODUCT($H$3481:$H$3528,$R$3481:$R$3528)</f>
        <v>1</v>
      </c>
      <c r="F3529" s="172">
        <f>SUMPRODUCT($H$3481:$H$3528,$Q$3481:$Q$3528,$O$3481:$O$3528)/SUMPRODUCT($H$3481:$H$3528,$Q$3481:$Q$3528)</f>
        <v>1</v>
      </c>
      <c r="G3529" s="172">
        <f>SUMPRODUCT($H$3481:$H$3528,$R$3481:$R$3528,$O$3481:$O$3528)/SUMPRODUCT($H$3481:$H$3528,$R$3481:$R$3528)</f>
        <v>1</v>
      </c>
    </row>
    <row r="3532" spans="1:21" x14ac:dyDescent="0.25">
      <c r="A3532" s="81" t="str">
        <f>INDEX(lr_key,65)</f>
        <v/>
      </c>
      <c r="B3532" s="81">
        <f>INDEX(lr_state,65)</f>
        <v>0</v>
      </c>
      <c r="C3532" s="55">
        <f>nr_TermMonths</f>
        <v>6</v>
      </c>
      <c r="D3532" s="55">
        <f>IF(COUNTIF(se_state,$B3532)=0,0,MATCH($B3532,se_state,0))</f>
        <v>0</v>
      </c>
      <c r="E3532" s="57">
        <f>IF($D3532=0,0,INDEX(se_sum,$D3532))</f>
        <v>0</v>
      </c>
      <c r="F3532" s="172">
        <f>IF(N(INDEX(lr_mind,65))=0,1,INDEX(lr_mind,65))</f>
        <v>1</v>
      </c>
      <c r="G3532" s="172">
        <f>IF(N(INDEX(lr_m0,65))=0,1,INDEX(lr_m0,65))</f>
        <v>1</v>
      </c>
      <c r="H3532" s="54">
        <f>IF(N(INDEX(lr_m0asof,65))=0,DATE(nr_PlanYear-1,10,1),INDEX(lr_m0asof,65))</f>
        <v>46296</v>
      </c>
      <c r="I3532" s="172">
        <f>IF(N(INDEX(lr_m1,65))=0,1,INDEX(lr_m1,65))</f>
        <v>1</v>
      </c>
      <c r="J3532" s="172">
        <f>INDEX(lr_mprior,65)</f>
        <v>0</v>
      </c>
      <c r="K3532" s="172">
        <f>INDEX(lr_m2,65)</f>
        <v>0</v>
      </c>
      <c r="L3532" s="81" t="b">
        <f>NOT(ISBLANK(INDEX(lr_netp,65)))</f>
        <v>0</v>
      </c>
      <c r="M3532" s="52">
        <f>N(INDEX(lr_netp,65))</f>
        <v>0</v>
      </c>
      <c r="N3532" s="52">
        <f>IF(ISBLANK(INDEX(lr_netp1,65)),$M$3532,N(INDEX(lr_netp1,65)))</f>
        <v>0</v>
      </c>
      <c r="O3532" s="55">
        <f>IF(AND(nr_ModAdjMaster="ON",INDEX(lr_modadj,65)="ON"),1,0)</f>
        <v>0</v>
      </c>
    </row>
    <row r="3533" spans="1:21" x14ac:dyDescent="0.25">
      <c r="A3533" s="81">
        <f>EDATE($H$3532,-12)+1</f>
        <v>45932</v>
      </c>
      <c r="B3533" s="81">
        <f>$H$3532+1</f>
        <v>46297</v>
      </c>
      <c r="C3533" s="81">
        <f>DATE(nr_PlanYear,12,31)+1</f>
        <v>46753</v>
      </c>
      <c r="D3533" s="81">
        <f>DATE(nr_PlanYear+1,12,31)+1</f>
        <v>47119</v>
      </c>
      <c r="E3533" s="81">
        <f>IF(N($J$3532)=0,$F$3533-($G$3533-$F$3533)/($C$3533-$B$3533)*($B$3533-$A$3533),$J$3532)</f>
        <v>1</v>
      </c>
      <c r="F3533" s="81">
        <f>$G$3532</f>
        <v>1</v>
      </c>
      <c r="G3533" s="81">
        <f>$I$3532</f>
        <v>1</v>
      </c>
      <c r="H3533" s="81">
        <f>IF(N($K$3532)=0,$I$3532,$K$3532)</f>
        <v>1</v>
      </c>
      <c r="I3533" s="81">
        <f>($F$3533-$E$3533)/($B$3533-$A$3533)</f>
        <v>0</v>
      </c>
      <c r="J3533" s="81">
        <f>($G$3533-$F$3533)/($C$3533-$B$3533)</f>
        <v>0</v>
      </c>
      <c r="K3533" s="81">
        <f>($H$3533-$G$3533)/($D$3533-$C$3533)</f>
        <v>0</v>
      </c>
    </row>
    <row r="3534" spans="1:21" ht="36" x14ac:dyDescent="0.25">
      <c r="A3534" s="50" t="s">
        <v>211</v>
      </c>
      <c r="B3534" s="50" t="s">
        <v>212</v>
      </c>
      <c r="C3534" s="50" t="s">
        <v>213</v>
      </c>
      <c r="D3534" s="50" t="s">
        <v>214</v>
      </c>
      <c r="E3534" s="50" t="s">
        <v>215</v>
      </c>
      <c r="F3534" s="50" t="s">
        <v>216</v>
      </c>
      <c r="G3534" s="50" t="s">
        <v>217</v>
      </c>
      <c r="H3534" s="50" t="s">
        <v>218</v>
      </c>
      <c r="I3534" s="50" t="s">
        <v>219</v>
      </c>
      <c r="J3534" s="50" t="s">
        <v>220</v>
      </c>
      <c r="K3534" s="50" t="s">
        <v>221</v>
      </c>
      <c r="L3534" s="50" t="s">
        <v>222</v>
      </c>
      <c r="M3534" s="50" t="s">
        <v>223</v>
      </c>
      <c r="N3534" s="50" t="s">
        <v>224</v>
      </c>
      <c r="O3534" s="50" t="s">
        <v>225</v>
      </c>
      <c r="P3534" s="50" t="s">
        <v>226</v>
      </c>
      <c r="Q3534" s="50" t="s">
        <v>227</v>
      </c>
      <c r="R3534" s="50" t="s">
        <v>228</v>
      </c>
      <c r="S3534" s="50" t="s">
        <v>229</v>
      </c>
      <c r="T3534" s="50" t="s">
        <v>230</v>
      </c>
      <c r="U3534" s="50" t="s">
        <v>231</v>
      </c>
    </row>
    <row r="3535" spans="1:21" x14ac:dyDescent="0.25">
      <c r="A3535" s="71">
        <v>1</v>
      </c>
      <c r="B3535" s="72">
        <f>DATE(nr_PlanYear-2,1,1)</f>
        <v>45658</v>
      </c>
      <c r="C3535" s="73">
        <f t="shared" ref="C3535:C3582" si="1314">EOMONTH($B3535,0)</f>
        <v>45688</v>
      </c>
      <c r="D3535" s="67">
        <f t="shared" ref="D3535:D3582" si="1315">$C3535-$B3535+1</f>
        <v>31</v>
      </c>
      <c r="E3535" s="67">
        <f t="shared" ref="E3535:E3582" si="1316">MONTH($B3535)</f>
        <v>1</v>
      </c>
      <c r="F3535" s="74">
        <f t="shared" ref="F3535:F3582" si="1317">($B3535+$C3535+1)/2</f>
        <v>45673.5</v>
      </c>
      <c r="G3535" s="67">
        <f t="shared" ref="G3535:G3582" si="1318">YEAR($B3535)*12+MONTH($B3535)-1</f>
        <v>24300</v>
      </c>
      <c r="H3535" s="75">
        <f t="shared" ref="H3535:H3582" si="1319">IF(OR(nr_SeasonOn="OFF",$D$3532=0,$E$3532=0),1,12*INDEX(se_block,$D$3532,$E3535)/$E$3532)</f>
        <v>1</v>
      </c>
      <c r="I3535" s="76">
        <f t="shared" ref="I3535:I3582" si="1320">EXP(SUMPRODUCT((rl_eff&lt;$B3535)*(rl_key=$A$3532)*rl_ln1p))</f>
        <v>1</v>
      </c>
      <c r="J3535" s="76">
        <f t="shared" ref="J3535:J3582" si="1321">EXP(SUMPRODUCT((rl_eff&lt;=$C3535)*(rl_key=$A$3532)*rl_ln1p))</f>
        <v>1</v>
      </c>
      <c r="K3535" s="67">
        <f t="shared" ref="K3535:K3582" si="1322">COUNTIFS(rl_key,$A$3532,rl_eff,"&gt;="&amp;$B3535,rl_eff,"&lt;="&amp;$C3535)</f>
        <v>0</v>
      </c>
      <c r="L3535" s="67">
        <f t="shared" ref="L3535:L3582" si="1323">SUMIFS(rl_daysafter,rl_key,$A$3532,rl_effmonth,$B3535,rl_first,1)</f>
        <v>0</v>
      </c>
      <c r="M3535" s="77">
        <f t="shared" ref="M3535:M3582" si="1324">IF($K3535=0,0,MIN(1,$L3535/$D3535))</f>
        <v>0</v>
      </c>
      <c r="N3535" s="76">
        <f t="shared" ref="N3535:N3582" si="1325">IF($K3535=0,$J3535,(1-$M3535)*$I3535+$M3535*$J3535)</f>
        <v>1</v>
      </c>
      <c r="O3535" s="77">
        <f t="shared" ref="O3535:O3582" si="1326">IF($F3535&lt;$B$3533,$E$3533+$I$3533*($F3535-$A$3533),IF($F3535&lt;$C$3533,$F$3533+$J$3533*($F3535-$B$3533),$G$3533+$K$3533*($F3535-$C$3533)))</f>
        <v>1</v>
      </c>
      <c r="P3535" s="76">
        <f t="shared" ref="P3535:P3582" si="1327">MIN(1,MAX(0,(nr_MEndPm1-$G3535+0.5)/$C$3532))-MIN(1,MAX(0,(nr_MStartPm1-1-$G3535+0.5)/$C$3532))</f>
        <v>0</v>
      </c>
      <c r="Q3535" s="76">
        <f t="shared" ref="Q3535:Q3582" si="1328">MIN(1,MAX(0,(nr_MEndP-$G3535+0.5)/$C$3532))-MIN(1,MAX(0,(nr_MStartP-1-$G3535+0.5)/$C$3532))</f>
        <v>0</v>
      </c>
      <c r="R3535" s="76">
        <f t="shared" ref="R3535:R3582" si="1329">MIN(1,MAX(0,(nr_MEndP1-$G3535+0.5)/$C$3532))-MIN(1,MAX(0,(nr_MStartP1-1-$G3535+0.5)/$C$3532))</f>
        <v>0</v>
      </c>
      <c r="S3535" s="76">
        <f t="shared" ref="S3535:S3582" si="1330">$N3535*IF($O$3532=1,$O3535/$F$3532,1)</f>
        <v>1</v>
      </c>
      <c r="T3535" s="76">
        <f t="shared" ref="T3535:T3582" si="1331">IF($G3535&lt;nr_MStartP,$S3535,$T3523*(1+IF($G3535&lt;nr_MStartP1,$M$3532,$N$3532)))</f>
        <v>1</v>
      </c>
      <c r="U3535" s="76">
        <f t="shared" ref="U3535:U3582" si="1332">IF($L$3532,$T3535,$N3535)</f>
        <v>1</v>
      </c>
    </row>
    <row r="3536" spans="1:21" x14ac:dyDescent="0.25">
      <c r="A3536" s="71">
        <v>2</v>
      </c>
      <c r="B3536" s="72">
        <f t="shared" ref="B3536:B3582" si="1333">EDATE($B3535,1)</f>
        <v>45689</v>
      </c>
      <c r="C3536" s="73">
        <f t="shared" si="1314"/>
        <v>45716</v>
      </c>
      <c r="D3536" s="67">
        <f t="shared" si="1315"/>
        <v>28</v>
      </c>
      <c r="E3536" s="67">
        <f t="shared" si="1316"/>
        <v>2</v>
      </c>
      <c r="F3536" s="74">
        <f t="shared" si="1317"/>
        <v>45703</v>
      </c>
      <c r="G3536" s="67">
        <f t="shared" si="1318"/>
        <v>24301</v>
      </c>
      <c r="H3536" s="75">
        <f t="shared" si="1319"/>
        <v>1</v>
      </c>
      <c r="I3536" s="76">
        <f t="shared" si="1320"/>
        <v>1</v>
      </c>
      <c r="J3536" s="76">
        <f t="shared" si="1321"/>
        <v>1</v>
      </c>
      <c r="K3536" s="67">
        <f t="shared" si="1322"/>
        <v>0</v>
      </c>
      <c r="L3536" s="67">
        <f t="shared" si="1323"/>
        <v>0</v>
      </c>
      <c r="M3536" s="77">
        <f t="shared" si="1324"/>
        <v>0</v>
      </c>
      <c r="N3536" s="76">
        <f t="shared" si="1325"/>
        <v>1</v>
      </c>
      <c r="O3536" s="77">
        <f t="shared" si="1326"/>
        <v>1</v>
      </c>
      <c r="P3536" s="76">
        <f t="shared" si="1327"/>
        <v>0</v>
      </c>
      <c r="Q3536" s="76">
        <f t="shared" si="1328"/>
        <v>0</v>
      </c>
      <c r="R3536" s="76">
        <f t="shared" si="1329"/>
        <v>0</v>
      </c>
      <c r="S3536" s="76">
        <f t="shared" si="1330"/>
        <v>1</v>
      </c>
      <c r="T3536" s="76">
        <f t="shared" si="1331"/>
        <v>1</v>
      </c>
      <c r="U3536" s="76">
        <f t="shared" si="1332"/>
        <v>1</v>
      </c>
    </row>
    <row r="3537" spans="1:21" x14ac:dyDescent="0.25">
      <c r="A3537" s="71">
        <v>3</v>
      </c>
      <c r="B3537" s="72">
        <f t="shared" si="1333"/>
        <v>45717</v>
      </c>
      <c r="C3537" s="73">
        <f t="shared" si="1314"/>
        <v>45747</v>
      </c>
      <c r="D3537" s="67">
        <f t="shared" si="1315"/>
        <v>31</v>
      </c>
      <c r="E3537" s="67">
        <f t="shared" si="1316"/>
        <v>3</v>
      </c>
      <c r="F3537" s="74">
        <f t="shared" si="1317"/>
        <v>45732.5</v>
      </c>
      <c r="G3537" s="67">
        <f t="shared" si="1318"/>
        <v>24302</v>
      </c>
      <c r="H3537" s="75">
        <f t="shared" si="1319"/>
        <v>1</v>
      </c>
      <c r="I3537" s="76">
        <f t="shared" si="1320"/>
        <v>1</v>
      </c>
      <c r="J3537" s="76">
        <f t="shared" si="1321"/>
        <v>1</v>
      </c>
      <c r="K3537" s="67">
        <f t="shared" si="1322"/>
        <v>0</v>
      </c>
      <c r="L3537" s="67">
        <f t="shared" si="1323"/>
        <v>0</v>
      </c>
      <c r="M3537" s="77">
        <f t="shared" si="1324"/>
        <v>0</v>
      </c>
      <c r="N3537" s="76">
        <f t="shared" si="1325"/>
        <v>1</v>
      </c>
      <c r="O3537" s="77">
        <f t="shared" si="1326"/>
        <v>1</v>
      </c>
      <c r="P3537" s="76">
        <f t="shared" si="1327"/>
        <v>0</v>
      </c>
      <c r="Q3537" s="76">
        <f t="shared" si="1328"/>
        <v>0</v>
      </c>
      <c r="R3537" s="76">
        <f t="shared" si="1329"/>
        <v>0</v>
      </c>
      <c r="S3537" s="76">
        <f t="shared" si="1330"/>
        <v>1</v>
      </c>
      <c r="T3537" s="76">
        <f t="shared" si="1331"/>
        <v>1</v>
      </c>
      <c r="U3537" s="76">
        <f t="shared" si="1332"/>
        <v>1</v>
      </c>
    </row>
    <row r="3538" spans="1:21" x14ac:dyDescent="0.25">
      <c r="A3538" s="71">
        <v>4</v>
      </c>
      <c r="B3538" s="72">
        <f t="shared" si="1333"/>
        <v>45748</v>
      </c>
      <c r="C3538" s="73">
        <f t="shared" si="1314"/>
        <v>45777</v>
      </c>
      <c r="D3538" s="67">
        <f t="shared" si="1315"/>
        <v>30</v>
      </c>
      <c r="E3538" s="67">
        <f t="shared" si="1316"/>
        <v>4</v>
      </c>
      <c r="F3538" s="74">
        <f t="shared" si="1317"/>
        <v>45763</v>
      </c>
      <c r="G3538" s="67">
        <f t="shared" si="1318"/>
        <v>24303</v>
      </c>
      <c r="H3538" s="75">
        <f t="shared" si="1319"/>
        <v>1</v>
      </c>
      <c r="I3538" s="76">
        <f t="shared" si="1320"/>
        <v>1</v>
      </c>
      <c r="J3538" s="76">
        <f t="shared" si="1321"/>
        <v>1</v>
      </c>
      <c r="K3538" s="67">
        <f t="shared" si="1322"/>
        <v>0</v>
      </c>
      <c r="L3538" s="67">
        <f t="shared" si="1323"/>
        <v>0</v>
      </c>
      <c r="M3538" s="77">
        <f t="shared" si="1324"/>
        <v>0</v>
      </c>
      <c r="N3538" s="76">
        <f t="shared" si="1325"/>
        <v>1</v>
      </c>
      <c r="O3538" s="77">
        <f t="shared" si="1326"/>
        <v>1</v>
      </c>
      <c r="P3538" s="76">
        <f t="shared" si="1327"/>
        <v>0</v>
      </c>
      <c r="Q3538" s="76">
        <f t="shared" si="1328"/>
        <v>0</v>
      </c>
      <c r="R3538" s="76">
        <f t="shared" si="1329"/>
        <v>0</v>
      </c>
      <c r="S3538" s="76">
        <f t="shared" si="1330"/>
        <v>1</v>
      </c>
      <c r="T3538" s="76">
        <f t="shared" si="1331"/>
        <v>1</v>
      </c>
      <c r="U3538" s="76">
        <f t="shared" si="1332"/>
        <v>1</v>
      </c>
    </row>
    <row r="3539" spans="1:21" x14ac:dyDescent="0.25">
      <c r="A3539" s="71">
        <v>5</v>
      </c>
      <c r="B3539" s="72">
        <f t="shared" si="1333"/>
        <v>45778</v>
      </c>
      <c r="C3539" s="73">
        <f t="shared" si="1314"/>
        <v>45808</v>
      </c>
      <c r="D3539" s="67">
        <f t="shared" si="1315"/>
        <v>31</v>
      </c>
      <c r="E3539" s="67">
        <f t="shared" si="1316"/>
        <v>5</v>
      </c>
      <c r="F3539" s="74">
        <f t="shared" si="1317"/>
        <v>45793.5</v>
      </c>
      <c r="G3539" s="67">
        <f t="shared" si="1318"/>
        <v>24304</v>
      </c>
      <c r="H3539" s="75">
        <f t="shared" si="1319"/>
        <v>1</v>
      </c>
      <c r="I3539" s="76">
        <f t="shared" si="1320"/>
        <v>1</v>
      </c>
      <c r="J3539" s="76">
        <f t="shared" si="1321"/>
        <v>1</v>
      </c>
      <c r="K3539" s="67">
        <f t="shared" si="1322"/>
        <v>0</v>
      </c>
      <c r="L3539" s="67">
        <f t="shared" si="1323"/>
        <v>0</v>
      </c>
      <c r="M3539" s="77">
        <f t="shared" si="1324"/>
        <v>0</v>
      </c>
      <c r="N3539" s="76">
        <f t="shared" si="1325"/>
        <v>1</v>
      </c>
      <c r="O3539" s="77">
        <f t="shared" si="1326"/>
        <v>1</v>
      </c>
      <c r="P3539" s="76">
        <f t="shared" si="1327"/>
        <v>0</v>
      </c>
      <c r="Q3539" s="76">
        <f t="shared" si="1328"/>
        <v>0</v>
      </c>
      <c r="R3539" s="76">
        <f t="shared" si="1329"/>
        <v>0</v>
      </c>
      <c r="S3539" s="76">
        <f t="shared" si="1330"/>
        <v>1</v>
      </c>
      <c r="T3539" s="76">
        <f t="shared" si="1331"/>
        <v>1</v>
      </c>
      <c r="U3539" s="76">
        <f t="shared" si="1332"/>
        <v>1</v>
      </c>
    </row>
    <row r="3540" spans="1:21" x14ac:dyDescent="0.25">
      <c r="A3540" s="71">
        <v>6</v>
      </c>
      <c r="B3540" s="72">
        <f t="shared" si="1333"/>
        <v>45809</v>
      </c>
      <c r="C3540" s="73">
        <f t="shared" si="1314"/>
        <v>45838</v>
      </c>
      <c r="D3540" s="67">
        <f t="shared" si="1315"/>
        <v>30</v>
      </c>
      <c r="E3540" s="67">
        <f t="shared" si="1316"/>
        <v>6</v>
      </c>
      <c r="F3540" s="74">
        <f t="shared" si="1317"/>
        <v>45824</v>
      </c>
      <c r="G3540" s="67">
        <f t="shared" si="1318"/>
        <v>24305</v>
      </c>
      <c r="H3540" s="75">
        <f t="shared" si="1319"/>
        <v>1</v>
      </c>
      <c r="I3540" s="76">
        <f t="shared" si="1320"/>
        <v>1</v>
      </c>
      <c r="J3540" s="76">
        <f t="shared" si="1321"/>
        <v>1</v>
      </c>
      <c r="K3540" s="67">
        <f t="shared" si="1322"/>
        <v>0</v>
      </c>
      <c r="L3540" s="67">
        <f t="shared" si="1323"/>
        <v>0</v>
      </c>
      <c r="M3540" s="77">
        <f t="shared" si="1324"/>
        <v>0</v>
      </c>
      <c r="N3540" s="76">
        <f t="shared" si="1325"/>
        <v>1</v>
      </c>
      <c r="O3540" s="77">
        <f t="shared" si="1326"/>
        <v>1</v>
      </c>
      <c r="P3540" s="76">
        <f t="shared" si="1327"/>
        <v>0</v>
      </c>
      <c r="Q3540" s="76">
        <f t="shared" si="1328"/>
        <v>0</v>
      </c>
      <c r="R3540" s="76">
        <f t="shared" si="1329"/>
        <v>0</v>
      </c>
      <c r="S3540" s="76">
        <f t="shared" si="1330"/>
        <v>1</v>
      </c>
      <c r="T3540" s="76">
        <f t="shared" si="1331"/>
        <v>1</v>
      </c>
      <c r="U3540" s="76">
        <f t="shared" si="1332"/>
        <v>1</v>
      </c>
    </row>
    <row r="3541" spans="1:21" x14ac:dyDescent="0.25">
      <c r="A3541" s="71">
        <v>7</v>
      </c>
      <c r="B3541" s="72">
        <f t="shared" si="1333"/>
        <v>45839</v>
      </c>
      <c r="C3541" s="73">
        <f t="shared" si="1314"/>
        <v>45869</v>
      </c>
      <c r="D3541" s="67">
        <f t="shared" si="1315"/>
        <v>31</v>
      </c>
      <c r="E3541" s="67">
        <f t="shared" si="1316"/>
        <v>7</v>
      </c>
      <c r="F3541" s="74">
        <f t="shared" si="1317"/>
        <v>45854.5</v>
      </c>
      <c r="G3541" s="67">
        <f t="shared" si="1318"/>
        <v>24306</v>
      </c>
      <c r="H3541" s="75">
        <f t="shared" si="1319"/>
        <v>1</v>
      </c>
      <c r="I3541" s="76">
        <f t="shared" si="1320"/>
        <v>1</v>
      </c>
      <c r="J3541" s="76">
        <f t="shared" si="1321"/>
        <v>1</v>
      </c>
      <c r="K3541" s="67">
        <f t="shared" si="1322"/>
        <v>0</v>
      </c>
      <c r="L3541" s="67">
        <f t="shared" si="1323"/>
        <v>0</v>
      </c>
      <c r="M3541" s="77">
        <f t="shared" si="1324"/>
        <v>0</v>
      </c>
      <c r="N3541" s="76">
        <f t="shared" si="1325"/>
        <v>1</v>
      </c>
      <c r="O3541" s="77">
        <f t="shared" si="1326"/>
        <v>1</v>
      </c>
      <c r="P3541" s="76">
        <f t="shared" si="1327"/>
        <v>8.333333333333337E-2</v>
      </c>
      <c r="Q3541" s="76">
        <f t="shared" si="1328"/>
        <v>0</v>
      </c>
      <c r="R3541" s="76">
        <f t="shared" si="1329"/>
        <v>0</v>
      </c>
      <c r="S3541" s="76">
        <f t="shared" si="1330"/>
        <v>1</v>
      </c>
      <c r="T3541" s="76">
        <f t="shared" si="1331"/>
        <v>1</v>
      </c>
      <c r="U3541" s="76">
        <f t="shared" si="1332"/>
        <v>1</v>
      </c>
    </row>
    <row r="3542" spans="1:21" x14ac:dyDescent="0.25">
      <c r="A3542" s="71">
        <v>8</v>
      </c>
      <c r="B3542" s="72">
        <f t="shared" si="1333"/>
        <v>45870</v>
      </c>
      <c r="C3542" s="73">
        <f t="shared" si="1314"/>
        <v>45900</v>
      </c>
      <c r="D3542" s="67">
        <f t="shared" si="1315"/>
        <v>31</v>
      </c>
      <c r="E3542" s="67">
        <f t="shared" si="1316"/>
        <v>8</v>
      </c>
      <c r="F3542" s="74">
        <f t="shared" si="1317"/>
        <v>45885.5</v>
      </c>
      <c r="G3542" s="67">
        <f t="shared" si="1318"/>
        <v>24307</v>
      </c>
      <c r="H3542" s="75">
        <f t="shared" si="1319"/>
        <v>1</v>
      </c>
      <c r="I3542" s="76">
        <f t="shared" si="1320"/>
        <v>1</v>
      </c>
      <c r="J3542" s="76">
        <f t="shared" si="1321"/>
        <v>1</v>
      </c>
      <c r="K3542" s="67">
        <f t="shared" si="1322"/>
        <v>0</v>
      </c>
      <c r="L3542" s="67">
        <f t="shared" si="1323"/>
        <v>0</v>
      </c>
      <c r="M3542" s="77">
        <f t="shared" si="1324"/>
        <v>0</v>
      </c>
      <c r="N3542" s="76">
        <f t="shared" si="1325"/>
        <v>1</v>
      </c>
      <c r="O3542" s="77">
        <f t="shared" si="1326"/>
        <v>1</v>
      </c>
      <c r="P3542" s="76">
        <f t="shared" si="1327"/>
        <v>0.25</v>
      </c>
      <c r="Q3542" s="76">
        <f t="shared" si="1328"/>
        <v>0</v>
      </c>
      <c r="R3542" s="76">
        <f t="shared" si="1329"/>
        <v>0</v>
      </c>
      <c r="S3542" s="76">
        <f t="shared" si="1330"/>
        <v>1</v>
      </c>
      <c r="T3542" s="76">
        <f t="shared" si="1331"/>
        <v>1</v>
      </c>
      <c r="U3542" s="76">
        <f t="shared" si="1332"/>
        <v>1</v>
      </c>
    </row>
    <row r="3543" spans="1:21" x14ac:dyDescent="0.25">
      <c r="A3543" s="71">
        <v>9</v>
      </c>
      <c r="B3543" s="72">
        <f t="shared" si="1333"/>
        <v>45901</v>
      </c>
      <c r="C3543" s="73">
        <f t="shared" si="1314"/>
        <v>45930</v>
      </c>
      <c r="D3543" s="67">
        <f t="shared" si="1315"/>
        <v>30</v>
      </c>
      <c r="E3543" s="67">
        <f t="shared" si="1316"/>
        <v>9</v>
      </c>
      <c r="F3543" s="74">
        <f t="shared" si="1317"/>
        <v>45916</v>
      </c>
      <c r="G3543" s="67">
        <f t="shared" si="1318"/>
        <v>24308</v>
      </c>
      <c r="H3543" s="75">
        <f t="shared" si="1319"/>
        <v>1</v>
      </c>
      <c r="I3543" s="76">
        <f t="shared" si="1320"/>
        <v>1</v>
      </c>
      <c r="J3543" s="76">
        <f t="shared" si="1321"/>
        <v>1</v>
      </c>
      <c r="K3543" s="67">
        <f t="shared" si="1322"/>
        <v>0</v>
      </c>
      <c r="L3543" s="67">
        <f t="shared" si="1323"/>
        <v>0</v>
      </c>
      <c r="M3543" s="77">
        <f t="shared" si="1324"/>
        <v>0</v>
      </c>
      <c r="N3543" s="76">
        <f t="shared" si="1325"/>
        <v>1</v>
      </c>
      <c r="O3543" s="77">
        <f t="shared" si="1326"/>
        <v>1</v>
      </c>
      <c r="P3543" s="76">
        <f t="shared" si="1327"/>
        <v>0.41666666666666663</v>
      </c>
      <c r="Q3543" s="76">
        <f t="shared" si="1328"/>
        <v>0</v>
      </c>
      <c r="R3543" s="76">
        <f t="shared" si="1329"/>
        <v>0</v>
      </c>
      <c r="S3543" s="76">
        <f t="shared" si="1330"/>
        <v>1</v>
      </c>
      <c r="T3543" s="76">
        <f t="shared" si="1331"/>
        <v>1</v>
      </c>
      <c r="U3543" s="76">
        <f t="shared" si="1332"/>
        <v>1</v>
      </c>
    </row>
    <row r="3544" spans="1:21" x14ac:dyDescent="0.25">
      <c r="A3544" s="71">
        <v>10</v>
      </c>
      <c r="B3544" s="72">
        <f t="shared" si="1333"/>
        <v>45931</v>
      </c>
      <c r="C3544" s="73">
        <f t="shared" si="1314"/>
        <v>45961</v>
      </c>
      <c r="D3544" s="67">
        <f t="shared" si="1315"/>
        <v>31</v>
      </c>
      <c r="E3544" s="67">
        <f t="shared" si="1316"/>
        <v>10</v>
      </c>
      <c r="F3544" s="74">
        <f t="shared" si="1317"/>
        <v>45946.5</v>
      </c>
      <c r="G3544" s="67">
        <f t="shared" si="1318"/>
        <v>24309</v>
      </c>
      <c r="H3544" s="75">
        <f t="shared" si="1319"/>
        <v>1</v>
      </c>
      <c r="I3544" s="76">
        <f t="shared" si="1320"/>
        <v>1</v>
      </c>
      <c r="J3544" s="76">
        <f t="shared" si="1321"/>
        <v>1</v>
      </c>
      <c r="K3544" s="67">
        <f t="shared" si="1322"/>
        <v>0</v>
      </c>
      <c r="L3544" s="67">
        <f t="shared" si="1323"/>
        <v>0</v>
      </c>
      <c r="M3544" s="77">
        <f t="shared" si="1324"/>
        <v>0</v>
      </c>
      <c r="N3544" s="76">
        <f t="shared" si="1325"/>
        <v>1</v>
      </c>
      <c r="O3544" s="77">
        <f t="shared" si="1326"/>
        <v>1</v>
      </c>
      <c r="P3544" s="76">
        <f t="shared" si="1327"/>
        <v>0.58333333333333326</v>
      </c>
      <c r="Q3544" s="76">
        <f t="shared" si="1328"/>
        <v>0</v>
      </c>
      <c r="R3544" s="76">
        <f t="shared" si="1329"/>
        <v>0</v>
      </c>
      <c r="S3544" s="76">
        <f t="shared" si="1330"/>
        <v>1</v>
      </c>
      <c r="T3544" s="76">
        <f t="shared" si="1331"/>
        <v>1</v>
      </c>
      <c r="U3544" s="76">
        <f t="shared" si="1332"/>
        <v>1</v>
      </c>
    </row>
    <row r="3545" spans="1:21" x14ac:dyDescent="0.25">
      <c r="A3545" s="71">
        <v>11</v>
      </c>
      <c r="B3545" s="72">
        <f t="shared" si="1333"/>
        <v>45962</v>
      </c>
      <c r="C3545" s="73">
        <f t="shared" si="1314"/>
        <v>45991</v>
      </c>
      <c r="D3545" s="67">
        <f t="shared" si="1315"/>
        <v>30</v>
      </c>
      <c r="E3545" s="67">
        <f t="shared" si="1316"/>
        <v>11</v>
      </c>
      <c r="F3545" s="74">
        <f t="shared" si="1317"/>
        <v>45977</v>
      </c>
      <c r="G3545" s="67">
        <f t="shared" si="1318"/>
        <v>24310</v>
      </c>
      <c r="H3545" s="75">
        <f t="shared" si="1319"/>
        <v>1</v>
      </c>
      <c r="I3545" s="76">
        <f t="shared" si="1320"/>
        <v>1</v>
      </c>
      <c r="J3545" s="76">
        <f t="shared" si="1321"/>
        <v>1</v>
      </c>
      <c r="K3545" s="67">
        <f t="shared" si="1322"/>
        <v>0</v>
      </c>
      <c r="L3545" s="67">
        <f t="shared" si="1323"/>
        <v>0</v>
      </c>
      <c r="M3545" s="77">
        <f t="shared" si="1324"/>
        <v>0</v>
      </c>
      <c r="N3545" s="76">
        <f t="shared" si="1325"/>
        <v>1</v>
      </c>
      <c r="O3545" s="77">
        <f t="shared" si="1326"/>
        <v>1</v>
      </c>
      <c r="P3545" s="76">
        <f t="shared" si="1327"/>
        <v>0.75</v>
      </c>
      <c r="Q3545" s="76">
        <f t="shared" si="1328"/>
        <v>0</v>
      </c>
      <c r="R3545" s="76">
        <f t="shared" si="1329"/>
        <v>0</v>
      </c>
      <c r="S3545" s="76">
        <f t="shared" si="1330"/>
        <v>1</v>
      </c>
      <c r="T3545" s="76">
        <f t="shared" si="1331"/>
        <v>1</v>
      </c>
      <c r="U3545" s="76">
        <f t="shared" si="1332"/>
        <v>1</v>
      </c>
    </row>
    <row r="3546" spans="1:21" x14ac:dyDescent="0.25">
      <c r="A3546" s="71">
        <v>12</v>
      </c>
      <c r="B3546" s="72">
        <f t="shared" si="1333"/>
        <v>45992</v>
      </c>
      <c r="C3546" s="73">
        <f t="shared" si="1314"/>
        <v>46022</v>
      </c>
      <c r="D3546" s="67">
        <f t="shared" si="1315"/>
        <v>31</v>
      </c>
      <c r="E3546" s="67">
        <f t="shared" si="1316"/>
        <v>12</v>
      </c>
      <c r="F3546" s="74">
        <f t="shared" si="1317"/>
        <v>46007.5</v>
      </c>
      <c r="G3546" s="67">
        <f t="shared" si="1318"/>
        <v>24311</v>
      </c>
      <c r="H3546" s="75">
        <f t="shared" si="1319"/>
        <v>1</v>
      </c>
      <c r="I3546" s="76">
        <f t="shared" si="1320"/>
        <v>1</v>
      </c>
      <c r="J3546" s="76">
        <f t="shared" si="1321"/>
        <v>1</v>
      </c>
      <c r="K3546" s="67">
        <f t="shared" si="1322"/>
        <v>0</v>
      </c>
      <c r="L3546" s="67">
        <f t="shared" si="1323"/>
        <v>0</v>
      </c>
      <c r="M3546" s="77">
        <f t="shared" si="1324"/>
        <v>0</v>
      </c>
      <c r="N3546" s="76">
        <f t="shared" si="1325"/>
        <v>1</v>
      </c>
      <c r="O3546" s="77">
        <f t="shared" si="1326"/>
        <v>1</v>
      </c>
      <c r="P3546" s="76">
        <f t="shared" si="1327"/>
        <v>0.91666666666666663</v>
      </c>
      <c r="Q3546" s="76">
        <f t="shared" si="1328"/>
        <v>0</v>
      </c>
      <c r="R3546" s="76">
        <f t="shared" si="1329"/>
        <v>0</v>
      </c>
      <c r="S3546" s="76">
        <f t="shared" si="1330"/>
        <v>1</v>
      </c>
      <c r="T3546" s="76">
        <f t="shared" si="1331"/>
        <v>1</v>
      </c>
      <c r="U3546" s="76">
        <f t="shared" si="1332"/>
        <v>1</v>
      </c>
    </row>
    <row r="3547" spans="1:21" x14ac:dyDescent="0.25">
      <c r="A3547" s="71">
        <v>13</v>
      </c>
      <c r="B3547" s="72">
        <f t="shared" si="1333"/>
        <v>46023</v>
      </c>
      <c r="C3547" s="73">
        <f t="shared" si="1314"/>
        <v>46053</v>
      </c>
      <c r="D3547" s="67">
        <f t="shared" si="1315"/>
        <v>31</v>
      </c>
      <c r="E3547" s="67">
        <f t="shared" si="1316"/>
        <v>1</v>
      </c>
      <c r="F3547" s="74">
        <f t="shared" si="1317"/>
        <v>46038.5</v>
      </c>
      <c r="G3547" s="67">
        <f t="shared" si="1318"/>
        <v>24312</v>
      </c>
      <c r="H3547" s="75">
        <f t="shared" si="1319"/>
        <v>1</v>
      </c>
      <c r="I3547" s="76">
        <f t="shared" si="1320"/>
        <v>1</v>
      </c>
      <c r="J3547" s="76">
        <f t="shared" si="1321"/>
        <v>1</v>
      </c>
      <c r="K3547" s="67">
        <f t="shared" si="1322"/>
        <v>0</v>
      </c>
      <c r="L3547" s="67">
        <f t="shared" si="1323"/>
        <v>0</v>
      </c>
      <c r="M3547" s="77">
        <f t="shared" si="1324"/>
        <v>0</v>
      </c>
      <c r="N3547" s="76">
        <f t="shared" si="1325"/>
        <v>1</v>
      </c>
      <c r="O3547" s="77">
        <f t="shared" si="1326"/>
        <v>1</v>
      </c>
      <c r="P3547" s="76">
        <f t="shared" si="1327"/>
        <v>1</v>
      </c>
      <c r="Q3547" s="76">
        <f t="shared" si="1328"/>
        <v>0</v>
      </c>
      <c r="R3547" s="76">
        <f t="shared" si="1329"/>
        <v>0</v>
      </c>
      <c r="S3547" s="76">
        <f t="shared" si="1330"/>
        <v>1</v>
      </c>
      <c r="T3547" s="76">
        <f t="shared" si="1331"/>
        <v>1</v>
      </c>
      <c r="U3547" s="76">
        <f t="shared" si="1332"/>
        <v>1</v>
      </c>
    </row>
    <row r="3548" spans="1:21" x14ac:dyDescent="0.25">
      <c r="A3548" s="71">
        <v>14</v>
      </c>
      <c r="B3548" s="72">
        <f t="shared" si="1333"/>
        <v>46054</v>
      </c>
      <c r="C3548" s="73">
        <f t="shared" si="1314"/>
        <v>46081</v>
      </c>
      <c r="D3548" s="67">
        <f t="shared" si="1315"/>
        <v>28</v>
      </c>
      <c r="E3548" s="67">
        <f t="shared" si="1316"/>
        <v>2</v>
      </c>
      <c r="F3548" s="74">
        <f t="shared" si="1317"/>
        <v>46068</v>
      </c>
      <c r="G3548" s="67">
        <f t="shared" si="1318"/>
        <v>24313</v>
      </c>
      <c r="H3548" s="75">
        <f t="shared" si="1319"/>
        <v>1</v>
      </c>
      <c r="I3548" s="76">
        <f t="shared" si="1320"/>
        <v>1</v>
      </c>
      <c r="J3548" s="76">
        <f t="shared" si="1321"/>
        <v>1</v>
      </c>
      <c r="K3548" s="67">
        <f t="shared" si="1322"/>
        <v>0</v>
      </c>
      <c r="L3548" s="67">
        <f t="shared" si="1323"/>
        <v>0</v>
      </c>
      <c r="M3548" s="77">
        <f t="shared" si="1324"/>
        <v>0</v>
      </c>
      <c r="N3548" s="76">
        <f t="shared" si="1325"/>
        <v>1</v>
      </c>
      <c r="O3548" s="77">
        <f t="shared" si="1326"/>
        <v>1</v>
      </c>
      <c r="P3548" s="76">
        <f t="shared" si="1327"/>
        <v>1</v>
      </c>
      <c r="Q3548" s="76">
        <f t="shared" si="1328"/>
        <v>0</v>
      </c>
      <c r="R3548" s="76">
        <f t="shared" si="1329"/>
        <v>0</v>
      </c>
      <c r="S3548" s="76">
        <f t="shared" si="1330"/>
        <v>1</v>
      </c>
      <c r="T3548" s="76">
        <f t="shared" si="1331"/>
        <v>1</v>
      </c>
      <c r="U3548" s="76">
        <f t="shared" si="1332"/>
        <v>1</v>
      </c>
    </row>
    <row r="3549" spans="1:21" x14ac:dyDescent="0.25">
      <c r="A3549" s="71">
        <v>15</v>
      </c>
      <c r="B3549" s="72">
        <f t="shared" si="1333"/>
        <v>46082</v>
      </c>
      <c r="C3549" s="73">
        <f t="shared" si="1314"/>
        <v>46112</v>
      </c>
      <c r="D3549" s="67">
        <f t="shared" si="1315"/>
        <v>31</v>
      </c>
      <c r="E3549" s="67">
        <f t="shared" si="1316"/>
        <v>3</v>
      </c>
      <c r="F3549" s="74">
        <f t="shared" si="1317"/>
        <v>46097.5</v>
      </c>
      <c r="G3549" s="67">
        <f t="shared" si="1318"/>
        <v>24314</v>
      </c>
      <c r="H3549" s="75">
        <f t="shared" si="1319"/>
        <v>1</v>
      </c>
      <c r="I3549" s="76">
        <f t="shared" si="1320"/>
        <v>1</v>
      </c>
      <c r="J3549" s="76">
        <f t="shared" si="1321"/>
        <v>1</v>
      </c>
      <c r="K3549" s="67">
        <f t="shared" si="1322"/>
        <v>0</v>
      </c>
      <c r="L3549" s="67">
        <f t="shared" si="1323"/>
        <v>0</v>
      </c>
      <c r="M3549" s="77">
        <f t="shared" si="1324"/>
        <v>0</v>
      </c>
      <c r="N3549" s="76">
        <f t="shared" si="1325"/>
        <v>1</v>
      </c>
      <c r="O3549" s="77">
        <f t="shared" si="1326"/>
        <v>1</v>
      </c>
      <c r="P3549" s="76">
        <f t="shared" si="1327"/>
        <v>1</v>
      </c>
      <c r="Q3549" s="76">
        <f t="shared" si="1328"/>
        <v>0</v>
      </c>
      <c r="R3549" s="76">
        <f t="shared" si="1329"/>
        <v>0</v>
      </c>
      <c r="S3549" s="76">
        <f t="shared" si="1330"/>
        <v>1</v>
      </c>
      <c r="T3549" s="76">
        <f t="shared" si="1331"/>
        <v>1</v>
      </c>
      <c r="U3549" s="76">
        <f t="shared" si="1332"/>
        <v>1</v>
      </c>
    </row>
    <row r="3550" spans="1:21" x14ac:dyDescent="0.25">
      <c r="A3550" s="71">
        <v>16</v>
      </c>
      <c r="B3550" s="72">
        <f t="shared" si="1333"/>
        <v>46113</v>
      </c>
      <c r="C3550" s="73">
        <f t="shared" si="1314"/>
        <v>46142</v>
      </c>
      <c r="D3550" s="67">
        <f t="shared" si="1315"/>
        <v>30</v>
      </c>
      <c r="E3550" s="67">
        <f t="shared" si="1316"/>
        <v>4</v>
      </c>
      <c r="F3550" s="74">
        <f t="shared" si="1317"/>
        <v>46128</v>
      </c>
      <c r="G3550" s="67">
        <f t="shared" si="1318"/>
        <v>24315</v>
      </c>
      <c r="H3550" s="75">
        <f t="shared" si="1319"/>
        <v>1</v>
      </c>
      <c r="I3550" s="76">
        <f t="shared" si="1320"/>
        <v>1</v>
      </c>
      <c r="J3550" s="76">
        <f t="shared" si="1321"/>
        <v>1</v>
      </c>
      <c r="K3550" s="67">
        <f t="shared" si="1322"/>
        <v>0</v>
      </c>
      <c r="L3550" s="67">
        <f t="shared" si="1323"/>
        <v>0</v>
      </c>
      <c r="M3550" s="77">
        <f t="shared" si="1324"/>
        <v>0</v>
      </c>
      <c r="N3550" s="76">
        <f t="shared" si="1325"/>
        <v>1</v>
      </c>
      <c r="O3550" s="77">
        <f t="shared" si="1326"/>
        <v>1</v>
      </c>
      <c r="P3550" s="76">
        <f t="shared" si="1327"/>
        <v>1</v>
      </c>
      <c r="Q3550" s="76">
        <f t="shared" si="1328"/>
        <v>0</v>
      </c>
      <c r="R3550" s="76">
        <f t="shared" si="1329"/>
        <v>0</v>
      </c>
      <c r="S3550" s="76">
        <f t="shared" si="1330"/>
        <v>1</v>
      </c>
      <c r="T3550" s="76">
        <f t="shared" si="1331"/>
        <v>1</v>
      </c>
      <c r="U3550" s="76">
        <f t="shared" si="1332"/>
        <v>1</v>
      </c>
    </row>
    <row r="3551" spans="1:21" x14ac:dyDescent="0.25">
      <c r="A3551" s="71">
        <v>17</v>
      </c>
      <c r="B3551" s="72">
        <f t="shared" si="1333"/>
        <v>46143</v>
      </c>
      <c r="C3551" s="73">
        <f t="shared" si="1314"/>
        <v>46173</v>
      </c>
      <c r="D3551" s="67">
        <f t="shared" si="1315"/>
        <v>31</v>
      </c>
      <c r="E3551" s="67">
        <f t="shared" si="1316"/>
        <v>5</v>
      </c>
      <c r="F3551" s="74">
        <f t="shared" si="1317"/>
        <v>46158.5</v>
      </c>
      <c r="G3551" s="67">
        <f t="shared" si="1318"/>
        <v>24316</v>
      </c>
      <c r="H3551" s="75">
        <f t="shared" si="1319"/>
        <v>1</v>
      </c>
      <c r="I3551" s="76">
        <f t="shared" si="1320"/>
        <v>1</v>
      </c>
      <c r="J3551" s="76">
        <f t="shared" si="1321"/>
        <v>1</v>
      </c>
      <c r="K3551" s="67">
        <f t="shared" si="1322"/>
        <v>0</v>
      </c>
      <c r="L3551" s="67">
        <f t="shared" si="1323"/>
        <v>0</v>
      </c>
      <c r="M3551" s="77">
        <f t="shared" si="1324"/>
        <v>0</v>
      </c>
      <c r="N3551" s="76">
        <f t="shared" si="1325"/>
        <v>1</v>
      </c>
      <c r="O3551" s="77">
        <f t="shared" si="1326"/>
        <v>1</v>
      </c>
      <c r="P3551" s="76">
        <f t="shared" si="1327"/>
        <v>1</v>
      </c>
      <c r="Q3551" s="76">
        <f t="shared" si="1328"/>
        <v>0</v>
      </c>
      <c r="R3551" s="76">
        <f t="shared" si="1329"/>
        <v>0</v>
      </c>
      <c r="S3551" s="76">
        <f t="shared" si="1330"/>
        <v>1</v>
      </c>
      <c r="T3551" s="76">
        <f t="shared" si="1331"/>
        <v>1</v>
      </c>
      <c r="U3551" s="76">
        <f t="shared" si="1332"/>
        <v>1</v>
      </c>
    </row>
    <row r="3552" spans="1:21" x14ac:dyDescent="0.25">
      <c r="A3552" s="71">
        <v>18</v>
      </c>
      <c r="B3552" s="72">
        <f t="shared" si="1333"/>
        <v>46174</v>
      </c>
      <c r="C3552" s="73">
        <f t="shared" si="1314"/>
        <v>46203</v>
      </c>
      <c r="D3552" s="67">
        <f t="shared" si="1315"/>
        <v>30</v>
      </c>
      <c r="E3552" s="67">
        <f t="shared" si="1316"/>
        <v>6</v>
      </c>
      <c r="F3552" s="74">
        <f t="shared" si="1317"/>
        <v>46189</v>
      </c>
      <c r="G3552" s="67">
        <f t="shared" si="1318"/>
        <v>24317</v>
      </c>
      <c r="H3552" s="75">
        <f t="shared" si="1319"/>
        <v>1</v>
      </c>
      <c r="I3552" s="76">
        <f t="shared" si="1320"/>
        <v>1</v>
      </c>
      <c r="J3552" s="76">
        <f t="shared" si="1321"/>
        <v>1</v>
      </c>
      <c r="K3552" s="67">
        <f t="shared" si="1322"/>
        <v>0</v>
      </c>
      <c r="L3552" s="67">
        <f t="shared" si="1323"/>
        <v>0</v>
      </c>
      <c r="M3552" s="77">
        <f t="shared" si="1324"/>
        <v>0</v>
      </c>
      <c r="N3552" s="76">
        <f t="shared" si="1325"/>
        <v>1</v>
      </c>
      <c r="O3552" s="77">
        <f t="shared" si="1326"/>
        <v>1</v>
      </c>
      <c r="P3552" s="76">
        <f t="shared" si="1327"/>
        <v>1</v>
      </c>
      <c r="Q3552" s="76">
        <f t="shared" si="1328"/>
        <v>0</v>
      </c>
      <c r="R3552" s="76">
        <f t="shared" si="1329"/>
        <v>0</v>
      </c>
      <c r="S3552" s="76">
        <f t="shared" si="1330"/>
        <v>1</v>
      </c>
      <c r="T3552" s="76">
        <f t="shared" si="1331"/>
        <v>1</v>
      </c>
      <c r="U3552" s="76">
        <f t="shared" si="1332"/>
        <v>1</v>
      </c>
    </row>
    <row r="3553" spans="1:21" x14ac:dyDescent="0.25">
      <c r="A3553" s="71">
        <v>19</v>
      </c>
      <c r="B3553" s="72">
        <f t="shared" si="1333"/>
        <v>46204</v>
      </c>
      <c r="C3553" s="73">
        <f t="shared" si="1314"/>
        <v>46234</v>
      </c>
      <c r="D3553" s="67">
        <f t="shared" si="1315"/>
        <v>31</v>
      </c>
      <c r="E3553" s="67">
        <f t="shared" si="1316"/>
        <v>7</v>
      </c>
      <c r="F3553" s="74">
        <f t="shared" si="1317"/>
        <v>46219.5</v>
      </c>
      <c r="G3553" s="67">
        <f t="shared" si="1318"/>
        <v>24318</v>
      </c>
      <c r="H3553" s="75">
        <f t="shared" si="1319"/>
        <v>1</v>
      </c>
      <c r="I3553" s="76">
        <f t="shared" si="1320"/>
        <v>1</v>
      </c>
      <c r="J3553" s="76">
        <f t="shared" si="1321"/>
        <v>1</v>
      </c>
      <c r="K3553" s="67">
        <f t="shared" si="1322"/>
        <v>0</v>
      </c>
      <c r="L3553" s="67">
        <f t="shared" si="1323"/>
        <v>0</v>
      </c>
      <c r="M3553" s="77">
        <f t="shared" si="1324"/>
        <v>0</v>
      </c>
      <c r="N3553" s="76">
        <f t="shared" si="1325"/>
        <v>1</v>
      </c>
      <c r="O3553" s="77">
        <f t="shared" si="1326"/>
        <v>1</v>
      </c>
      <c r="P3553" s="76">
        <f t="shared" si="1327"/>
        <v>0.91666666666666663</v>
      </c>
      <c r="Q3553" s="76">
        <f t="shared" si="1328"/>
        <v>8.333333333333337E-2</v>
      </c>
      <c r="R3553" s="76">
        <f t="shared" si="1329"/>
        <v>0</v>
      </c>
      <c r="S3553" s="76">
        <f t="shared" si="1330"/>
        <v>1</v>
      </c>
      <c r="T3553" s="76">
        <f t="shared" si="1331"/>
        <v>1</v>
      </c>
      <c r="U3553" s="76">
        <f t="shared" si="1332"/>
        <v>1</v>
      </c>
    </row>
    <row r="3554" spans="1:21" x14ac:dyDescent="0.25">
      <c r="A3554" s="71">
        <v>20</v>
      </c>
      <c r="B3554" s="72">
        <f t="shared" si="1333"/>
        <v>46235</v>
      </c>
      <c r="C3554" s="73">
        <f t="shared" si="1314"/>
        <v>46265</v>
      </c>
      <c r="D3554" s="67">
        <f t="shared" si="1315"/>
        <v>31</v>
      </c>
      <c r="E3554" s="67">
        <f t="shared" si="1316"/>
        <v>8</v>
      </c>
      <c r="F3554" s="74">
        <f t="shared" si="1317"/>
        <v>46250.5</v>
      </c>
      <c r="G3554" s="67">
        <f t="shared" si="1318"/>
        <v>24319</v>
      </c>
      <c r="H3554" s="75">
        <f t="shared" si="1319"/>
        <v>1</v>
      </c>
      <c r="I3554" s="76">
        <f t="shared" si="1320"/>
        <v>1</v>
      </c>
      <c r="J3554" s="76">
        <f t="shared" si="1321"/>
        <v>1</v>
      </c>
      <c r="K3554" s="67">
        <f t="shared" si="1322"/>
        <v>0</v>
      </c>
      <c r="L3554" s="67">
        <f t="shared" si="1323"/>
        <v>0</v>
      </c>
      <c r="M3554" s="77">
        <f t="shared" si="1324"/>
        <v>0</v>
      </c>
      <c r="N3554" s="76">
        <f t="shared" si="1325"/>
        <v>1</v>
      </c>
      <c r="O3554" s="77">
        <f t="shared" si="1326"/>
        <v>1</v>
      </c>
      <c r="P3554" s="76">
        <f t="shared" si="1327"/>
        <v>0.75</v>
      </c>
      <c r="Q3554" s="76">
        <f t="shared" si="1328"/>
        <v>0.25</v>
      </c>
      <c r="R3554" s="76">
        <f t="shared" si="1329"/>
        <v>0</v>
      </c>
      <c r="S3554" s="76">
        <f t="shared" si="1330"/>
        <v>1</v>
      </c>
      <c r="T3554" s="76">
        <f t="shared" si="1331"/>
        <v>1</v>
      </c>
      <c r="U3554" s="76">
        <f t="shared" si="1332"/>
        <v>1</v>
      </c>
    </row>
    <row r="3555" spans="1:21" x14ac:dyDescent="0.25">
      <c r="A3555" s="71">
        <v>21</v>
      </c>
      <c r="B3555" s="72">
        <f t="shared" si="1333"/>
        <v>46266</v>
      </c>
      <c r="C3555" s="73">
        <f t="shared" si="1314"/>
        <v>46295</v>
      </c>
      <c r="D3555" s="67">
        <f t="shared" si="1315"/>
        <v>30</v>
      </c>
      <c r="E3555" s="67">
        <f t="shared" si="1316"/>
        <v>9</v>
      </c>
      <c r="F3555" s="74">
        <f t="shared" si="1317"/>
        <v>46281</v>
      </c>
      <c r="G3555" s="67">
        <f t="shared" si="1318"/>
        <v>24320</v>
      </c>
      <c r="H3555" s="75">
        <f t="shared" si="1319"/>
        <v>1</v>
      </c>
      <c r="I3555" s="76">
        <f t="shared" si="1320"/>
        <v>1</v>
      </c>
      <c r="J3555" s="76">
        <f t="shared" si="1321"/>
        <v>1</v>
      </c>
      <c r="K3555" s="67">
        <f t="shared" si="1322"/>
        <v>0</v>
      </c>
      <c r="L3555" s="67">
        <f t="shared" si="1323"/>
        <v>0</v>
      </c>
      <c r="M3555" s="77">
        <f t="shared" si="1324"/>
        <v>0</v>
      </c>
      <c r="N3555" s="76">
        <f t="shared" si="1325"/>
        <v>1</v>
      </c>
      <c r="O3555" s="77">
        <f t="shared" si="1326"/>
        <v>1</v>
      </c>
      <c r="P3555" s="76">
        <f t="shared" si="1327"/>
        <v>0.58333333333333337</v>
      </c>
      <c r="Q3555" s="76">
        <f t="shared" si="1328"/>
        <v>0.41666666666666663</v>
      </c>
      <c r="R3555" s="76">
        <f t="shared" si="1329"/>
        <v>0</v>
      </c>
      <c r="S3555" s="76">
        <f t="shared" si="1330"/>
        <v>1</v>
      </c>
      <c r="T3555" s="76">
        <f t="shared" si="1331"/>
        <v>1</v>
      </c>
      <c r="U3555" s="76">
        <f t="shared" si="1332"/>
        <v>1</v>
      </c>
    </row>
    <row r="3556" spans="1:21" x14ac:dyDescent="0.25">
      <c r="A3556" s="71">
        <v>22</v>
      </c>
      <c r="B3556" s="72">
        <f t="shared" si="1333"/>
        <v>46296</v>
      </c>
      <c r="C3556" s="73">
        <f t="shared" si="1314"/>
        <v>46326</v>
      </c>
      <c r="D3556" s="67">
        <f t="shared" si="1315"/>
        <v>31</v>
      </c>
      <c r="E3556" s="67">
        <f t="shared" si="1316"/>
        <v>10</v>
      </c>
      <c r="F3556" s="74">
        <f t="shared" si="1317"/>
        <v>46311.5</v>
      </c>
      <c r="G3556" s="67">
        <f t="shared" si="1318"/>
        <v>24321</v>
      </c>
      <c r="H3556" s="75">
        <f t="shared" si="1319"/>
        <v>1</v>
      </c>
      <c r="I3556" s="76">
        <f t="shared" si="1320"/>
        <v>1</v>
      </c>
      <c r="J3556" s="76">
        <f t="shared" si="1321"/>
        <v>1</v>
      </c>
      <c r="K3556" s="67">
        <f t="shared" si="1322"/>
        <v>0</v>
      </c>
      <c r="L3556" s="67">
        <f t="shared" si="1323"/>
        <v>0</v>
      </c>
      <c r="M3556" s="77">
        <f t="shared" si="1324"/>
        <v>0</v>
      </c>
      <c r="N3556" s="76">
        <f t="shared" si="1325"/>
        <v>1</v>
      </c>
      <c r="O3556" s="77">
        <f t="shared" si="1326"/>
        <v>1</v>
      </c>
      <c r="P3556" s="76">
        <f t="shared" si="1327"/>
        <v>0.41666666666666669</v>
      </c>
      <c r="Q3556" s="76">
        <f t="shared" si="1328"/>
        <v>0.58333333333333326</v>
      </c>
      <c r="R3556" s="76">
        <f t="shared" si="1329"/>
        <v>0</v>
      </c>
      <c r="S3556" s="76">
        <f t="shared" si="1330"/>
        <v>1</v>
      </c>
      <c r="T3556" s="76">
        <f t="shared" si="1331"/>
        <v>1</v>
      </c>
      <c r="U3556" s="76">
        <f t="shared" si="1332"/>
        <v>1</v>
      </c>
    </row>
    <row r="3557" spans="1:21" x14ac:dyDescent="0.25">
      <c r="A3557" s="71">
        <v>23</v>
      </c>
      <c r="B3557" s="72">
        <f t="shared" si="1333"/>
        <v>46327</v>
      </c>
      <c r="C3557" s="73">
        <f t="shared" si="1314"/>
        <v>46356</v>
      </c>
      <c r="D3557" s="67">
        <f t="shared" si="1315"/>
        <v>30</v>
      </c>
      <c r="E3557" s="67">
        <f t="shared" si="1316"/>
        <v>11</v>
      </c>
      <c r="F3557" s="74">
        <f t="shared" si="1317"/>
        <v>46342</v>
      </c>
      <c r="G3557" s="67">
        <f t="shared" si="1318"/>
        <v>24322</v>
      </c>
      <c r="H3557" s="75">
        <f t="shared" si="1319"/>
        <v>1</v>
      </c>
      <c r="I3557" s="76">
        <f t="shared" si="1320"/>
        <v>1</v>
      </c>
      <c r="J3557" s="76">
        <f t="shared" si="1321"/>
        <v>1</v>
      </c>
      <c r="K3557" s="67">
        <f t="shared" si="1322"/>
        <v>0</v>
      </c>
      <c r="L3557" s="67">
        <f t="shared" si="1323"/>
        <v>0</v>
      </c>
      <c r="M3557" s="77">
        <f t="shared" si="1324"/>
        <v>0</v>
      </c>
      <c r="N3557" s="76">
        <f t="shared" si="1325"/>
        <v>1</v>
      </c>
      <c r="O3557" s="77">
        <f t="shared" si="1326"/>
        <v>1</v>
      </c>
      <c r="P3557" s="76">
        <f t="shared" si="1327"/>
        <v>0.25</v>
      </c>
      <c r="Q3557" s="76">
        <f t="shared" si="1328"/>
        <v>0.75</v>
      </c>
      <c r="R3557" s="76">
        <f t="shared" si="1329"/>
        <v>0</v>
      </c>
      <c r="S3557" s="76">
        <f t="shared" si="1330"/>
        <v>1</v>
      </c>
      <c r="T3557" s="76">
        <f t="shared" si="1331"/>
        <v>1</v>
      </c>
      <c r="U3557" s="76">
        <f t="shared" si="1332"/>
        <v>1</v>
      </c>
    </row>
    <row r="3558" spans="1:21" x14ac:dyDescent="0.25">
      <c r="A3558" s="71">
        <v>24</v>
      </c>
      <c r="B3558" s="72">
        <f t="shared" si="1333"/>
        <v>46357</v>
      </c>
      <c r="C3558" s="73">
        <f t="shared" si="1314"/>
        <v>46387</v>
      </c>
      <c r="D3558" s="67">
        <f t="shared" si="1315"/>
        <v>31</v>
      </c>
      <c r="E3558" s="67">
        <f t="shared" si="1316"/>
        <v>12</v>
      </c>
      <c r="F3558" s="74">
        <f t="shared" si="1317"/>
        <v>46372.5</v>
      </c>
      <c r="G3558" s="67">
        <f t="shared" si="1318"/>
        <v>24323</v>
      </c>
      <c r="H3558" s="75">
        <f t="shared" si="1319"/>
        <v>1</v>
      </c>
      <c r="I3558" s="76">
        <f t="shared" si="1320"/>
        <v>1</v>
      </c>
      <c r="J3558" s="76">
        <f t="shared" si="1321"/>
        <v>1</v>
      </c>
      <c r="K3558" s="67">
        <f t="shared" si="1322"/>
        <v>0</v>
      </c>
      <c r="L3558" s="67">
        <f t="shared" si="1323"/>
        <v>0</v>
      </c>
      <c r="M3558" s="77">
        <f t="shared" si="1324"/>
        <v>0</v>
      </c>
      <c r="N3558" s="76">
        <f t="shared" si="1325"/>
        <v>1</v>
      </c>
      <c r="O3558" s="77">
        <f t="shared" si="1326"/>
        <v>1</v>
      </c>
      <c r="P3558" s="76">
        <f t="shared" si="1327"/>
        <v>8.3333333333333329E-2</v>
      </c>
      <c r="Q3558" s="76">
        <f t="shared" si="1328"/>
        <v>0.91666666666666663</v>
      </c>
      <c r="R3558" s="76">
        <f t="shared" si="1329"/>
        <v>0</v>
      </c>
      <c r="S3558" s="76">
        <f t="shared" si="1330"/>
        <v>1</v>
      </c>
      <c r="T3558" s="76">
        <f t="shared" si="1331"/>
        <v>1</v>
      </c>
      <c r="U3558" s="76">
        <f t="shared" si="1332"/>
        <v>1</v>
      </c>
    </row>
    <row r="3559" spans="1:21" x14ac:dyDescent="0.25">
      <c r="A3559" s="71">
        <v>25</v>
      </c>
      <c r="B3559" s="72">
        <f t="shared" si="1333"/>
        <v>46388</v>
      </c>
      <c r="C3559" s="73">
        <f t="shared" si="1314"/>
        <v>46418</v>
      </c>
      <c r="D3559" s="67">
        <f t="shared" si="1315"/>
        <v>31</v>
      </c>
      <c r="E3559" s="67">
        <f t="shared" si="1316"/>
        <v>1</v>
      </c>
      <c r="F3559" s="74">
        <f t="shared" si="1317"/>
        <v>46403.5</v>
      </c>
      <c r="G3559" s="67">
        <f t="shared" si="1318"/>
        <v>24324</v>
      </c>
      <c r="H3559" s="75">
        <f t="shared" si="1319"/>
        <v>1</v>
      </c>
      <c r="I3559" s="76">
        <f t="shared" si="1320"/>
        <v>1</v>
      </c>
      <c r="J3559" s="76">
        <f t="shared" si="1321"/>
        <v>1</v>
      </c>
      <c r="K3559" s="67">
        <f t="shared" si="1322"/>
        <v>0</v>
      </c>
      <c r="L3559" s="67">
        <f t="shared" si="1323"/>
        <v>0</v>
      </c>
      <c r="M3559" s="77">
        <f t="shared" si="1324"/>
        <v>0</v>
      </c>
      <c r="N3559" s="76">
        <f t="shared" si="1325"/>
        <v>1</v>
      </c>
      <c r="O3559" s="77">
        <f t="shared" si="1326"/>
        <v>1</v>
      </c>
      <c r="P3559" s="76">
        <f t="shared" si="1327"/>
        <v>0</v>
      </c>
      <c r="Q3559" s="76">
        <f t="shared" si="1328"/>
        <v>1</v>
      </c>
      <c r="R3559" s="76">
        <f t="shared" si="1329"/>
        <v>0</v>
      </c>
      <c r="S3559" s="76">
        <f t="shared" si="1330"/>
        <v>1</v>
      </c>
      <c r="T3559" s="76">
        <f t="shared" si="1331"/>
        <v>1</v>
      </c>
      <c r="U3559" s="76">
        <f t="shared" si="1332"/>
        <v>1</v>
      </c>
    </row>
    <row r="3560" spans="1:21" x14ac:dyDescent="0.25">
      <c r="A3560" s="71">
        <v>26</v>
      </c>
      <c r="B3560" s="72">
        <f t="shared" si="1333"/>
        <v>46419</v>
      </c>
      <c r="C3560" s="73">
        <f t="shared" si="1314"/>
        <v>46446</v>
      </c>
      <c r="D3560" s="67">
        <f t="shared" si="1315"/>
        <v>28</v>
      </c>
      <c r="E3560" s="67">
        <f t="shared" si="1316"/>
        <v>2</v>
      </c>
      <c r="F3560" s="74">
        <f t="shared" si="1317"/>
        <v>46433</v>
      </c>
      <c r="G3560" s="67">
        <f t="shared" si="1318"/>
        <v>24325</v>
      </c>
      <c r="H3560" s="75">
        <f t="shared" si="1319"/>
        <v>1</v>
      </c>
      <c r="I3560" s="76">
        <f t="shared" si="1320"/>
        <v>1</v>
      </c>
      <c r="J3560" s="76">
        <f t="shared" si="1321"/>
        <v>1</v>
      </c>
      <c r="K3560" s="67">
        <f t="shared" si="1322"/>
        <v>0</v>
      </c>
      <c r="L3560" s="67">
        <f t="shared" si="1323"/>
        <v>0</v>
      </c>
      <c r="M3560" s="77">
        <f t="shared" si="1324"/>
        <v>0</v>
      </c>
      <c r="N3560" s="76">
        <f t="shared" si="1325"/>
        <v>1</v>
      </c>
      <c r="O3560" s="77">
        <f t="shared" si="1326"/>
        <v>1</v>
      </c>
      <c r="P3560" s="76">
        <f t="shared" si="1327"/>
        <v>0</v>
      </c>
      <c r="Q3560" s="76">
        <f t="shared" si="1328"/>
        <v>1</v>
      </c>
      <c r="R3560" s="76">
        <f t="shared" si="1329"/>
        <v>0</v>
      </c>
      <c r="S3560" s="76">
        <f t="shared" si="1330"/>
        <v>1</v>
      </c>
      <c r="T3560" s="76">
        <f t="shared" si="1331"/>
        <v>1</v>
      </c>
      <c r="U3560" s="76">
        <f t="shared" si="1332"/>
        <v>1</v>
      </c>
    </row>
    <row r="3561" spans="1:21" x14ac:dyDescent="0.25">
      <c r="A3561" s="71">
        <v>27</v>
      </c>
      <c r="B3561" s="72">
        <f t="shared" si="1333"/>
        <v>46447</v>
      </c>
      <c r="C3561" s="73">
        <f t="shared" si="1314"/>
        <v>46477</v>
      </c>
      <c r="D3561" s="67">
        <f t="shared" si="1315"/>
        <v>31</v>
      </c>
      <c r="E3561" s="67">
        <f t="shared" si="1316"/>
        <v>3</v>
      </c>
      <c r="F3561" s="74">
        <f t="shared" si="1317"/>
        <v>46462.5</v>
      </c>
      <c r="G3561" s="67">
        <f t="shared" si="1318"/>
        <v>24326</v>
      </c>
      <c r="H3561" s="75">
        <f t="shared" si="1319"/>
        <v>1</v>
      </c>
      <c r="I3561" s="76">
        <f t="shared" si="1320"/>
        <v>1</v>
      </c>
      <c r="J3561" s="76">
        <f t="shared" si="1321"/>
        <v>1</v>
      </c>
      <c r="K3561" s="67">
        <f t="shared" si="1322"/>
        <v>0</v>
      </c>
      <c r="L3561" s="67">
        <f t="shared" si="1323"/>
        <v>0</v>
      </c>
      <c r="M3561" s="77">
        <f t="shared" si="1324"/>
        <v>0</v>
      </c>
      <c r="N3561" s="76">
        <f t="shared" si="1325"/>
        <v>1</v>
      </c>
      <c r="O3561" s="77">
        <f t="shared" si="1326"/>
        <v>1</v>
      </c>
      <c r="P3561" s="76">
        <f t="shared" si="1327"/>
        <v>0</v>
      </c>
      <c r="Q3561" s="76">
        <f t="shared" si="1328"/>
        <v>1</v>
      </c>
      <c r="R3561" s="76">
        <f t="shared" si="1329"/>
        <v>0</v>
      </c>
      <c r="S3561" s="76">
        <f t="shared" si="1330"/>
        <v>1</v>
      </c>
      <c r="T3561" s="76">
        <f t="shared" si="1331"/>
        <v>1</v>
      </c>
      <c r="U3561" s="76">
        <f t="shared" si="1332"/>
        <v>1</v>
      </c>
    </row>
    <row r="3562" spans="1:21" x14ac:dyDescent="0.25">
      <c r="A3562" s="71">
        <v>28</v>
      </c>
      <c r="B3562" s="72">
        <f t="shared" si="1333"/>
        <v>46478</v>
      </c>
      <c r="C3562" s="73">
        <f t="shared" si="1314"/>
        <v>46507</v>
      </c>
      <c r="D3562" s="67">
        <f t="shared" si="1315"/>
        <v>30</v>
      </c>
      <c r="E3562" s="67">
        <f t="shared" si="1316"/>
        <v>4</v>
      </c>
      <c r="F3562" s="74">
        <f t="shared" si="1317"/>
        <v>46493</v>
      </c>
      <c r="G3562" s="67">
        <f t="shared" si="1318"/>
        <v>24327</v>
      </c>
      <c r="H3562" s="75">
        <f t="shared" si="1319"/>
        <v>1</v>
      </c>
      <c r="I3562" s="76">
        <f t="shared" si="1320"/>
        <v>1</v>
      </c>
      <c r="J3562" s="76">
        <f t="shared" si="1321"/>
        <v>1</v>
      </c>
      <c r="K3562" s="67">
        <f t="shared" si="1322"/>
        <v>0</v>
      </c>
      <c r="L3562" s="67">
        <f t="shared" si="1323"/>
        <v>0</v>
      </c>
      <c r="M3562" s="77">
        <f t="shared" si="1324"/>
        <v>0</v>
      </c>
      <c r="N3562" s="76">
        <f t="shared" si="1325"/>
        <v>1</v>
      </c>
      <c r="O3562" s="77">
        <f t="shared" si="1326"/>
        <v>1</v>
      </c>
      <c r="P3562" s="76">
        <f t="shared" si="1327"/>
        <v>0</v>
      </c>
      <c r="Q3562" s="76">
        <f t="shared" si="1328"/>
        <v>1</v>
      </c>
      <c r="R3562" s="76">
        <f t="shared" si="1329"/>
        <v>0</v>
      </c>
      <c r="S3562" s="76">
        <f t="shared" si="1330"/>
        <v>1</v>
      </c>
      <c r="T3562" s="76">
        <f t="shared" si="1331"/>
        <v>1</v>
      </c>
      <c r="U3562" s="76">
        <f t="shared" si="1332"/>
        <v>1</v>
      </c>
    </row>
    <row r="3563" spans="1:21" x14ac:dyDescent="0.25">
      <c r="A3563" s="71">
        <v>29</v>
      </c>
      <c r="B3563" s="72">
        <f t="shared" si="1333"/>
        <v>46508</v>
      </c>
      <c r="C3563" s="73">
        <f t="shared" si="1314"/>
        <v>46538</v>
      </c>
      <c r="D3563" s="67">
        <f t="shared" si="1315"/>
        <v>31</v>
      </c>
      <c r="E3563" s="67">
        <f t="shared" si="1316"/>
        <v>5</v>
      </c>
      <c r="F3563" s="74">
        <f t="shared" si="1317"/>
        <v>46523.5</v>
      </c>
      <c r="G3563" s="67">
        <f t="shared" si="1318"/>
        <v>24328</v>
      </c>
      <c r="H3563" s="75">
        <f t="shared" si="1319"/>
        <v>1</v>
      </c>
      <c r="I3563" s="76">
        <f t="shared" si="1320"/>
        <v>1</v>
      </c>
      <c r="J3563" s="76">
        <f t="shared" si="1321"/>
        <v>1</v>
      </c>
      <c r="K3563" s="67">
        <f t="shared" si="1322"/>
        <v>0</v>
      </c>
      <c r="L3563" s="67">
        <f t="shared" si="1323"/>
        <v>0</v>
      </c>
      <c r="M3563" s="77">
        <f t="shared" si="1324"/>
        <v>0</v>
      </c>
      <c r="N3563" s="76">
        <f t="shared" si="1325"/>
        <v>1</v>
      </c>
      <c r="O3563" s="77">
        <f t="shared" si="1326"/>
        <v>1</v>
      </c>
      <c r="P3563" s="76">
        <f t="shared" si="1327"/>
        <v>0</v>
      </c>
      <c r="Q3563" s="76">
        <f t="shared" si="1328"/>
        <v>1</v>
      </c>
      <c r="R3563" s="76">
        <f t="shared" si="1329"/>
        <v>0</v>
      </c>
      <c r="S3563" s="76">
        <f t="shared" si="1330"/>
        <v>1</v>
      </c>
      <c r="T3563" s="76">
        <f t="shared" si="1331"/>
        <v>1</v>
      </c>
      <c r="U3563" s="76">
        <f t="shared" si="1332"/>
        <v>1</v>
      </c>
    </row>
    <row r="3564" spans="1:21" x14ac:dyDescent="0.25">
      <c r="A3564" s="71">
        <v>30</v>
      </c>
      <c r="B3564" s="72">
        <f t="shared" si="1333"/>
        <v>46539</v>
      </c>
      <c r="C3564" s="73">
        <f t="shared" si="1314"/>
        <v>46568</v>
      </c>
      <c r="D3564" s="67">
        <f t="shared" si="1315"/>
        <v>30</v>
      </c>
      <c r="E3564" s="67">
        <f t="shared" si="1316"/>
        <v>6</v>
      </c>
      <c r="F3564" s="74">
        <f t="shared" si="1317"/>
        <v>46554</v>
      </c>
      <c r="G3564" s="67">
        <f t="shared" si="1318"/>
        <v>24329</v>
      </c>
      <c r="H3564" s="75">
        <f t="shared" si="1319"/>
        <v>1</v>
      </c>
      <c r="I3564" s="76">
        <f t="shared" si="1320"/>
        <v>1</v>
      </c>
      <c r="J3564" s="76">
        <f t="shared" si="1321"/>
        <v>1</v>
      </c>
      <c r="K3564" s="67">
        <f t="shared" si="1322"/>
        <v>0</v>
      </c>
      <c r="L3564" s="67">
        <f t="shared" si="1323"/>
        <v>0</v>
      </c>
      <c r="M3564" s="77">
        <f t="shared" si="1324"/>
        <v>0</v>
      </c>
      <c r="N3564" s="76">
        <f t="shared" si="1325"/>
        <v>1</v>
      </c>
      <c r="O3564" s="77">
        <f t="shared" si="1326"/>
        <v>1</v>
      </c>
      <c r="P3564" s="76">
        <f t="shared" si="1327"/>
        <v>0</v>
      </c>
      <c r="Q3564" s="76">
        <f t="shared" si="1328"/>
        <v>1</v>
      </c>
      <c r="R3564" s="76">
        <f t="shared" si="1329"/>
        <v>0</v>
      </c>
      <c r="S3564" s="76">
        <f t="shared" si="1330"/>
        <v>1</v>
      </c>
      <c r="T3564" s="76">
        <f t="shared" si="1331"/>
        <v>1</v>
      </c>
      <c r="U3564" s="76">
        <f t="shared" si="1332"/>
        <v>1</v>
      </c>
    </row>
    <row r="3565" spans="1:21" x14ac:dyDescent="0.25">
      <c r="A3565" s="71">
        <v>31</v>
      </c>
      <c r="B3565" s="72">
        <f t="shared" si="1333"/>
        <v>46569</v>
      </c>
      <c r="C3565" s="73">
        <f t="shared" si="1314"/>
        <v>46599</v>
      </c>
      <c r="D3565" s="67">
        <f t="shared" si="1315"/>
        <v>31</v>
      </c>
      <c r="E3565" s="67">
        <f t="shared" si="1316"/>
        <v>7</v>
      </c>
      <c r="F3565" s="74">
        <f t="shared" si="1317"/>
        <v>46584.5</v>
      </c>
      <c r="G3565" s="67">
        <f t="shared" si="1318"/>
        <v>24330</v>
      </c>
      <c r="H3565" s="75">
        <f t="shared" si="1319"/>
        <v>1</v>
      </c>
      <c r="I3565" s="76">
        <f t="shared" si="1320"/>
        <v>1</v>
      </c>
      <c r="J3565" s="76">
        <f t="shared" si="1321"/>
        <v>1</v>
      </c>
      <c r="K3565" s="67">
        <f t="shared" si="1322"/>
        <v>0</v>
      </c>
      <c r="L3565" s="67">
        <f t="shared" si="1323"/>
        <v>0</v>
      </c>
      <c r="M3565" s="77">
        <f t="shared" si="1324"/>
        <v>0</v>
      </c>
      <c r="N3565" s="76">
        <f t="shared" si="1325"/>
        <v>1</v>
      </c>
      <c r="O3565" s="77">
        <f t="shared" si="1326"/>
        <v>1</v>
      </c>
      <c r="P3565" s="76">
        <f t="shared" si="1327"/>
        <v>0</v>
      </c>
      <c r="Q3565" s="76">
        <f t="shared" si="1328"/>
        <v>0.91666666666666663</v>
      </c>
      <c r="R3565" s="76">
        <f t="shared" si="1329"/>
        <v>8.333333333333337E-2</v>
      </c>
      <c r="S3565" s="76">
        <f t="shared" si="1330"/>
        <v>1</v>
      </c>
      <c r="T3565" s="76">
        <f t="shared" si="1331"/>
        <v>1</v>
      </c>
      <c r="U3565" s="76">
        <f t="shared" si="1332"/>
        <v>1</v>
      </c>
    </row>
    <row r="3566" spans="1:21" x14ac:dyDescent="0.25">
      <c r="A3566" s="71">
        <v>32</v>
      </c>
      <c r="B3566" s="72">
        <f t="shared" si="1333"/>
        <v>46600</v>
      </c>
      <c r="C3566" s="73">
        <f t="shared" si="1314"/>
        <v>46630</v>
      </c>
      <c r="D3566" s="67">
        <f t="shared" si="1315"/>
        <v>31</v>
      </c>
      <c r="E3566" s="67">
        <f t="shared" si="1316"/>
        <v>8</v>
      </c>
      <c r="F3566" s="74">
        <f t="shared" si="1317"/>
        <v>46615.5</v>
      </c>
      <c r="G3566" s="67">
        <f t="shared" si="1318"/>
        <v>24331</v>
      </c>
      <c r="H3566" s="75">
        <f t="shared" si="1319"/>
        <v>1</v>
      </c>
      <c r="I3566" s="76">
        <f t="shared" si="1320"/>
        <v>1</v>
      </c>
      <c r="J3566" s="76">
        <f t="shared" si="1321"/>
        <v>1</v>
      </c>
      <c r="K3566" s="67">
        <f t="shared" si="1322"/>
        <v>0</v>
      </c>
      <c r="L3566" s="67">
        <f t="shared" si="1323"/>
        <v>0</v>
      </c>
      <c r="M3566" s="77">
        <f t="shared" si="1324"/>
        <v>0</v>
      </c>
      <c r="N3566" s="76">
        <f t="shared" si="1325"/>
        <v>1</v>
      </c>
      <c r="O3566" s="77">
        <f t="shared" si="1326"/>
        <v>1</v>
      </c>
      <c r="P3566" s="76">
        <f t="shared" si="1327"/>
        <v>0</v>
      </c>
      <c r="Q3566" s="76">
        <f t="shared" si="1328"/>
        <v>0.75</v>
      </c>
      <c r="R3566" s="76">
        <f t="shared" si="1329"/>
        <v>0.25</v>
      </c>
      <c r="S3566" s="76">
        <f t="shared" si="1330"/>
        <v>1</v>
      </c>
      <c r="T3566" s="76">
        <f t="shared" si="1331"/>
        <v>1</v>
      </c>
      <c r="U3566" s="76">
        <f t="shared" si="1332"/>
        <v>1</v>
      </c>
    </row>
    <row r="3567" spans="1:21" x14ac:dyDescent="0.25">
      <c r="A3567" s="71">
        <v>33</v>
      </c>
      <c r="B3567" s="72">
        <f t="shared" si="1333"/>
        <v>46631</v>
      </c>
      <c r="C3567" s="73">
        <f t="shared" si="1314"/>
        <v>46660</v>
      </c>
      <c r="D3567" s="67">
        <f t="shared" si="1315"/>
        <v>30</v>
      </c>
      <c r="E3567" s="67">
        <f t="shared" si="1316"/>
        <v>9</v>
      </c>
      <c r="F3567" s="74">
        <f t="shared" si="1317"/>
        <v>46646</v>
      </c>
      <c r="G3567" s="67">
        <f t="shared" si="1318"/>
        <v>24332</v>
      </c>
      <c r="H3567" s="75">
        <f t="shared" si="1319"/>
        <v>1</v>
      </c>
      <c r="I3567" s="76">
        <f t="shared" si="1320"/>
        <v>1</v>
      </c>
      <c r="J3567" s="76">
        <f t="shared" si="1321"/>
        <v>1</v>
      </c>
      <c r="K3567" s="67">
        <f t="shared" si="1322"/>
        <v>0</v>
      </c>
      <c r="L3567" s="67">
        <f t="shared" si="1323"/>
        <v>0</v>
      </c>
      <c r="M3567" s="77">
        <f t="shared" si="1324"/>
        <v>0</v>
      </c>
      <c r="N3567" s="76">
        <f t="shared" si="1325"/>
        <v>1</v>
      </c>
      <c r="O3567" s="77">
        <f t="shared" si="1326"/>
        <v>1</v>
      </c>
      <c r="P3567" s="76">
        <f t="shared" si="1327"/>
        <v>0</v>
      </c>
      <c r="Q3567" s="76">
        <f t="shared" si="1328"/>
        <v>0.58333333333333337</v>
      </c>
      <c r="R3567" s="76">
        <f t="shared" si="1329"/>
        <v>0.41666666666666663</v>
      </c>
      <c r="S3567" s="76">
        <f t="shared" si="1330"/>
        <v>1</v>
      </c>
      <c r="T3567" s="76">
        <f t="shared" si="1331"/>
        <v>1</v>
      </c>
      <c r="U3567" s="76">
        <f t="shared" si="1332"/>
        <v>1</v>
      </c>
    </row>
    <row r="3568" spans="1:21" x14ac:dyDescent="0.25">
      <c r="A3568" s="71">
        <v>34</v>
      </c>
      <c r="B3568" s="72">
        <f t="shared" si="1333"/>
        <v>46661</v>
      </c>
      <c r="C3568" s="73">
        <f t="shared" si="1314"/>
        <v>46691</v>
      </c>
      <c r="D3568" s="67">
        <f t="shared" si="1315"/>
        <v>31</v>
      </c>
      <c r="E3568" s="67">
        <f t="shared" si="1316"/>
        <v>10</v>
      </c>
      <c r="F3568" s="74">
        <f t="shared" si="1317"/>
        <v>46676.5</v>
      </c>
      <c r="G3568" s="67">
        <f t="shared" si="1318"/>
        <v>24333</v>
      </c>
      <c r="H3568" s="75">
        <f t="shared" si="1319"/>
        <v>1</v>
      </c>
      <c r="I3568" s="76">
        <f t="shared" si="1320"/>
        <v>1</v>
      </c>
      <c r="J3568" s="76">
        <f t="shared" si="1321"/>
        <v>1</v>
      </c>
      <c r="K3568" s="67">
        <f t="shared" si="1322"/>
        <v>0</v>
      </c>
      <c r="L3568" s="67">
        <f t="shared" si="1323"/>
        <v>0</v>
      </c>
      <c r="M3568" s="77">
        <f t="shared" si="1324"/>
        <v>0</v>
      </c>
      <c r="N3568" s="76">
        <f t="shared" si="1325"/>
        <v>1</v>
      </c>
      <c r="O3568" s="77">
        <f t="shared" si="1326"/>
        <v>1</v>
      </c>
      <c r="P3568" s="76">
        <f t="shared" si="1327"/>
        <v>0</v>
      </c>
      <c r="Q3568" s="76">
        <f t="shared" si="1328"/>
        <v>0.41666666666666669</v>
      </c>
      <c r="R3568" s="76">
        <f t="shared" si="1329"/>
        <v>0.58333333333333326</v>
      </c>
      <c r="S3568" s="76">
        <f t="shared" si="1330"/>
        <v>1</v>
      </c>
      <c r="T3568" s="76">
        <f t="shared" si="1331"/>
        <v>1</v>
      </c>
      <c r="U3568" s="76">
        <f t="shared" si="1332"/>
        <v>1</v>
      </c>
    </row>
    <row r="3569" spans="1:21" x14ac:dyDescent="0.25">
      <c r="A3569" s="71">
        <v>35</v>
      </c>
      <c r="B3569" s="72">
        <f t="shared" si="1333"/>
        <v>46692</v>
      </c>
      <c r="C3569" s="73">
        <f t="shared" si="1314"/>
        <v>46721</v>
      </c>
      <c r="D3569" s="67">
        <f t="shared" si="1315"/>
        <v>30</v>
      </c>
      <c r="E3569" s="67">
        <f t="shared" si="1316"/>
        <v>11</v>
      </c>
      <c r="F3569" s="74">
        <f t="shared" si="1317"/>
        <v>46707</v>
      </c>
      <c r="G3569" s="67">
        <f t="shared" si="1318"/>
        <v>24334</v>
      </c>
      <c r="H3569" s="75">
        <f t="shared" si="1319"/>
        <v>1</v>
      </c>
      <c r="I3569" s="76">
        <f t="shared" si="1320"/>
        <v>1</v>
      </c>
      <c r="J3569" s="76">
        <f t="shared" si="1321"/>
        <v>1</v>
      </c>
      <c r="K3569" s="67">
        <f t="shared" si="1322"/>
        <v>0</v>
      </c>
      <c r="L3569" s="67">
        <f t="shared" si="1323"/>
        <v>0</v>
      </c>
      <c r="M3569" s="77">
        <f t="shared" si="1324"/>
        <v>0</v>
      </c>
      <c r="N3569" s="76">
        <f t="shared" si="1325"/>
        <v>1</v>
      </c>
      <c r="O3569" s="77">
        <f t="shared" si="1326"/>
        <v>1</v>
      </c>
      <c r="P3569" s="76">
        <f t="shared" si="1327"/>
        <v>0</v>
      </c>
      <c r="Q3569" s="76">
        <f t="shared" si="1328"/>
        <v>0.25</v>
      </c>
      <c r="R3569" s="76">
        <f t="shared" si="1329"/>
        <v>0.75</v>
      </c>
      <c r="S3569" s="76">
        <f t="shared" si="1330"/>
        <v>1</v>
      </c>
      <c r="T3569" s="76">
        <f t="shared" si="1331"/>
        <v>1</v>
      </c>
      <c r="U3569" s="76">
        <f t="shared" si="1332"/>
        <v>1</v>
      </c>
    </row>
    <row r="3570" spans="1:21" x14ac:dyDescent="0.25">
      <c r="A3570" s="71">
        <v>36</v>
      </c>
      <c r="B3570" s="72">
        <f t="shared" si="1333"/>
        <v>46722</v>
      </c>
      <c r="C3570" s="73">
        <f t="shared" si="1314"/>
        <v>46752</v>
      </c>
      <c r="D3570" s="67">
        <f t="shared" si="1315"/>
        <v>31</v>
      </c>
      <c r="E3570" s="67">
        <f t="shared" si="1316"/>
        <v>12</v>
      </c>
      <c r="F3570" s="74">
        <f t="shared" si="1317"/>
        <v>46737.5</v>
      </c>
      <c r="G3570" s="67">
        <f t="shared" si="1318"/>
        <v>24335</v>
      </c>
      <c r="H3570" s="75">
        <f t="shared" si="1319"/>
        <v>1</v>
      </c>
      <c r="I3570" s="76">
        <f t="shared" si="1320"/>
        <v>1</v>
      </c>
      <c r="J3570" s="76">
        <f t="shared" si="1321"/>
        <v>1</v>
      </c>
      <c r="K3570" s="67">
        <f t="shared" si="1322"/>
        <v>0</v>
      </c>
      <c r="L3570" s="67">
        <f t="shared" si="1323"/>
        <v>0</v>
      </c>
      <c r="M3570" s="77">
        <f t="shared" si="1324"/>
        <v>0</v>
      </c>
      <c r="N3570" s="76">
        <f t="shared" si="1325"/>
        <v>1</v>
      </c>
      <c r="O3570" s="77">
        <f t="shared" si="1326"/>
        <v>1</v>
      </c>
      <c r="P3570" s="76">
        <f t="shared" si="1327"/>
        <v>0</v>
      </c>
      <c r="Q3570" s="76">
        <f t="shared" si="1328"/>
        <v>8.3333333333333329E-2</v>
      </c>
      <c r="R3570" s="76">
        <f t="shared" si="1329"/>
        <v>0.91666666666666663</v>
      </c>
      <c r="S3570" s="76">
        <f t="shared" si="1330"/>
        <v>1</v>
      </c>
      <c r="T3570" s="76">
        <f t="shared" si="1331"/>
        <v>1</v>
      </c>
      <c r="U3570" s="76">
        <f t="shared" si="1332"/>
        <v>1</v>
      </c>
    </row>
    <row r="3571" spans="1:21" x14ac:dyDescent="0.25">
      <c r="A3571" s="71">
        <v>37</v>
      </c>
      <c r="B3571" s="72">
        <f t="shared" si="1333"/>
        <v>46753</v>
      </c>
      <c r="C3571" s="73">
        <f t="shared" si="1314"/>
        <v>46783</v>
      </c>
      <c r="D3571" s="67">
        <f t="shared" si="1315"/>
        <v>31</v>
      </c>
      <c r="E3571" s="67">
        <f t="shared" si="1316"/>
        <v>1</v>
      </c>
      <c r="F3571" s="74">
        <f t="shared" si="1317"/>
        <v>46768.5</v>
      </c>
      <c r="G3571" s="67">
        <f t="shared" si="1318"/>
        <v>24336</v>
      </c>
      <c r="H3571" s="75">
        <f t="shared" si="1319"/>
        <v>1</v>
      </c>
      <c r="I3571" s="76">
        <f t="shared" si="1320"/>
        <v>1</v>
      </c>
      <c r="J3571" s="76">
        <f t="shared" si="1321"/>
        <v>1</v>
      </c>
      <c r="K3571" s="67">
        <f t="shared" si="1322"/>
        <v>0</v>
      </c>
      <c r="L3571" s="67">
        <f t="shared" si="1323"/>
        <v>0</v>
      </c>
      <c r="M3571" s="77">
        <f t="shared" si="1324"/>
        <v>0</v>
      </c>
      <c r="N3571" s="76">
        <f t="shared" si="1325"/>
        <v>1</v>
      </c>
      <c r="O3571" s="77">
        <f t="shared" si="1326"/>
        <v>1</v>
      </c>
      <c r="P3571" s="76">
        <f t="shared" si="1327"/>
        <v>0</v>
      </c>
      <c r="Q3571" s="76">
        <f t="shared" si="1328"/>
        <v>0</v>
      </c>
      <c r="R3571" s="76">
        <f t="shared" si="1329"/>
        <v>1</v>
      </c>
      <c r="S3571" s="76">
        <f t="shared" si="1330"/>
        <v>1</v>
      </c>
      <c r="T3571" s="76">
        <f t="shared" si="1331"/>
        <v>1</v>
      </c>
      <c r="U3571" s="76">
        <f t="shared" si="1332"/>
        <v>1</v>
      </c>
    </row>
    <row r="3572" spans="1:21" x14ac:dyDescent="0.25">
      <c r="A3572" s="71">
        <v>38</v>
      </c>
      <c r="B3572" s="72">
        <f t="shared" si="1333"/>
        <v>46784</v>
      </c>
      <c r="C3572" s="73">
        <f t="shared" si="1314"/>
        <v>46812</v>
      </c>
      <c r="D3572" s="67">
        <f t="shared" si="1315"/>
        <v>29</v>
      </c>
      <c r="E3572" s="67">
        <f t="shared" si="1316"/>
        <v>2</v>
      </c>
      <c r="F3572" s="74">
        <f t="shared" si="1317"/>
        <v>46798.5</v>
      </c>
      <c r="G3572" s="67">
        <f t="shared" si="1318"/>
        <v>24337</v>
      </c>
      <c r="H3572" s="75">
        <f t="shared" si="1319"/>
        <v>1</v>
      </c>
      <c r="I3572" s="76">
        <f t="shared" si="1320"/>
        <v>1</v>
      </c>
      <c r="J3572" s="76">
        <f t="shared" si="1321"/>
        <v>1</v>
      </c>
      <c r="K3572" s="67">
        <f t="shared" si="1322"/>
        <v>0</v>
      </c>
      <c r="L3572" s="67">
        <f t="shared" si="1323"/>
        <v>0</v>
      </c>
      <c r="M3572" s="77">
        <f t="shared" si="1324"/>
        <v>0</v>
      </c>
      <c r="N3572" s="76">
        <f t="shared" si="1325"/>
        <v>1</v>
      </c>
      <c r="O3572" s="77">
        <f t="shared" si="1326"/>
        <v>1</v>
      </c>
      <c r="P3572" s="76">
        <f t="shared" si="1327"/>
        <v>0</v>
      </c>
      <c r="Q3572" s="76">
        <f t="shared" si="1328"/>
        <v>0</v>
      </c>
      <c r="R3572" s="76">
        <f t="shared" si="1329"/>
        <v>1</v>
      </c>
      <c r="S3572" s="76">
        <f t="shared" si="1330"/>
        <v>1</v>
      </c>
      <c r="T3572" s="76">
        <f t="shared" si="1331"/>
        <v>1</v>
      </c>
      <c r="U3572" s="76">
        <f t="shared" si="1332"/>
        <v>1</v>
      </c>
    </row>
    <row r="3573" spans="1:21" x14ac:dyDescent="0.25">
      <c r="A3573" s="71">
        <v>39</v>
      </c>
      <c r="B3573" s="72">
        <f t="shared" si="1333"/>
        <v>46813</v>
      </c>
      <c r="C3573" s="73">
        <f t="shared" si="1314"/>
        <v>46843</v>
      </c>
      <c r="D3573" s="67">
        <f t="shared" si="1315"/>
        <v>31</v>
      </c>
      <c r="E3573" s="67">
        <f t="shared" si="1316"/>
        <v>3</v>
      </c>
      <c r="F3573" s="74">
        <f t="shared" si="1317"/>
        <v>46828.5</v>
      </c>
      <c r="G3573" s="67">
        <f t="shared" si="1318"/>
        <v>24338</v>
      </c>
      <c r="H3573" s="75">
        <f t="shared" si="1319"/>
        <v>1</v>
      </c>
      <c r="I3573" s="76">
        <f t="shared" si="1320"/>
        <v>1</v>
      </c>
      <c r="J3573" s="76">
        <f t="shared" si="1321"/>
        <v>1</v>
      </c>
      <c r="K3573" s="67">
        <f t="shared" si="1322"/>
        <v>0</v>
      </c>
      <c r="L3573" s="67">
        <f t="shared" si="1323"/>
        <v>0</v>
      </c>
      <c r="M3573" s="77">
        <f t="shared" si="1324"/>
        <v>0</v>
      </c>
      <c r="N3573" s="76">
        <f t="shared" si="1325"/>
        <v>1</v>
      </c>
      <c r="O3573" s="77">
        <f t="shared" si="1326"/>
        <v>1</v>
      </c>
      <c r="P3573" s="76">
        <f t="shared" si="1327"/>
        <v>0</v>
      </c>
      <c r="Q3573" s="76">
        <f t="shared" si="1328"/>
        <v>0</v>
      </c>
      <c r="R3573" s="76">
        <f t="shared" si="1329"/>
        <v>1</v>
      </c>
      <c r="S3573" s="76">
        <f t="shared" si="1330"/>
        <v>1</v>
      </c>
      <c r="T3573" s="76">
        <f t="shared" si="1331"/>
        <v>1</v>
      </c>
      <c r="U3573" s="76">
        <f t="shared" si="1332"/>
        <v>1</v>
      </c>
    </row>
    <row r="3574" spans="1:21" x14ac:dyDescent="0.25">
      <c r="A3574" s="71">
        <v>40</v>
      </c>
      <c r="B3574" s="72">
        <f t="shared" si="1333"/>
        <v>46844</v>
      </c>
      <c r="C3574" s="73">
        <f t="shared" si="1314"/>
        <v>46873</v>
      </c>
      <c r="D3574" s="67">
        <f t="shared" si="1315"/>
        <v>30</v>
      </c>
      <c r="E3574" s="67">
        <f t="shared" si="1316"/>
        <v>4</v>
      </c>
      <c r="F3574" s="74">
        <f t="shared" si="1317"/>
        <v>46859</v>
      </c>
      <c r="G3574" s="67">
        <f t="shared" si="1318"/>
        <v>24339</v>
      </c>
      <c r="H3574" s="75">
        <f t="shared" si="1319"/>
        <v>1</v>
      </c>
      <c r="I3574" s="76">
        <f t="shared" si="1320"/>
        <v>1</v>
      </c>
      <c r="J3574" s="76">
        <f t="shared" si="1321"/>
        <v>1</v>
      </c>
      <c r="K3574" s="67">
        <f t="shared" si="1322"/>
        <v>0</v>
      </c>
      <c r="L3574" s="67">
        <f t="shared" si="1323"/>
        <v>0</v>
      </c>
      <c r="M3574" s="77">
        <f t="shared" si="1324"/>
        <v>0</v>
      </c>
      <c r="N3574" s="76">
        <f t="shared" si="1325"/>
        <v>1</v>
      </c>
      <c r="O3574" s="77">
        <f t="shared" si="1326"/>
        <v>1</v>
      </c>
      <c r="P3574" s="76">
        <f t="shared" si="1327"/>
        <v>0</v>
      </c>
      <c r="Q3574" s="76">
        <f t="shared" si="1328"/>
        <v>0</v>
      </c>
      <c r="R3574" s="76">
        <f t="shared" si="1329"/>
        <v>1</v>
      </c>
      <c r="S3574" s="76">
        <f t="shared" si="1330"/>
        <v>1</v>
      </c>
      <c r="T3574" s="76">
        <f t="shared" si="1331"/>
        <v>1</v>
      </c>
      <c r="U3574" s="76">
        <f t="shared" si="1332"/>
        <v>1</v>
      </c>
    </row>
    <row r="3575" spans="1:21" x14ac:dyDescent="0.25">
      <c r="A3575" s="71">
        <v>41</v>
      </c>
      <c r="B3575" s="72">
        <f t="shared" si="1333"/>
        <v>46874</v>
      </c>
      <c r="C3575" s="73">
        <f t="shared" si="1314"/>
        <v>46904</v>
      </c>
      <c r="D3575" s="67">
        <f t="shared" si="1315"/>
        <v>31</v>
      </c>
      <c r="E3575" s="67">
        <f t="shared" si="1316"/>
        <v>5</v>
      </c>
      <c r="F3575" s="74">
        <f t="shared" si="1317"/>
        <v>46889.5</v>
      </c>
      <c r="G3575" s="67">
        <f t="shared" si="1318"/>
        <v>24340</v>
      </c>
      <c r="H3575" s="75">
        <f t="shared" si="1319"/>
        <v>1</v>
      </c>
      <c r="I3575" s="76">
        <f t="shared" si="1320"/>
        <v>1</v>
      </c>
      <c r="J3575" s="76">
        <f t="shared" si="1321"/>
        <v>1</v>
      </c>
      <c r="K3575" s="67">
        <f t="shared" si="1322"/>
        <v>0</v>
      </c>
      <c r="L3575" s="67">
        <f t="shared" si="1323"/>
        <v>0</v>
      </c>
      <c r="M3575" s="77">
        <f t="shared" si="1324"/>
        <v>0</v>
      </c>
      <c r="N3575" s="76">
        <f t="shared" si="1325"/>
        <v>1</v>
      </c>
      <c r="O3575" s="77">
        <f t="shared" si="1326"/>
        <v>1</v>
      </c>
      <c r="P3575" s="76">
        <f t="shared" si="1327"/>
        <v>0</v>
      </c>
      <c r="Q3575" s="76">
        <f t="shared" si="1328"/>
        <v>0</v>
      </c>
      <c r="R3575" s="76">
        <f t="shared" si="1329"/>
        <v>1</v>
      </c>
      <c r="S3575" s="76">
        <f t="shared" si="1330"/>
        <v>1</v>
      </c>
      <c r="T3575" s="76">
        <f t="shared" si="1331"/>
        <v>1</v>
      </c>
      <c r="U3575" s="76">
        <f t="shared" si="1332"/>
        <v>1</v>
      </c>
    </row>
    <row r="3576" spans="1:21" x14ac:dyDescent="0.25">
      <c r="A3576" s="71">
        <v>42</v>
      </c>
      <c r="B3576" s="72">
        <f t="shared" si="1333"/>
        <v>46905</v>
      </c>
      <c r="C3576" s="73">
        <f t="shared" si="1314"/>
        <v>46934</v>
      </c>
      <c r="D3576" s="67">
        <f t="shared" si="1315"/>
        <v>30</v>
      </c>
      <c r="E3576" s="67">
        <f t="shared" si="1316"/>
        <v>6</v>
      </c>
      <c r="F3576" s="74">
        <f t="shared" si="1317"/>
        <v>46920</v>
      </c>
      <c r="G3576" s="67">
        <f t="shared" si="1318"/>
        <v>24341</v>
      </c>
      <c r="H3576" s="75">
        <f t="shared" si="1319"/>
        <v>1</v>
      </c>
      <c r="I3576" s="76">
        <f t="shared" si="1320"/>
        <v>1</v>
      </c>
      <c r="J3576" s="76">
        <f t="shared" si="1321"/>
        <v>1</v>
      </c>
      <c r="K3576" s="67">
        <f t="shared" si="1322"/>
        <v>0</v>
      </c>
      <c r="L3576" s="67">
        <f t="shared" si="1323"/>
        <v>0</v>
      </c>
      <c r="M3576" s="77">
        <f t="shared" si="1324"/>
        <v>0</v>
      </c>
      <c r="N3576" s="76">
        <f t="shared" si="1325"/>
        <v>1</v>
      </c>
      <c r="O3576" s="77">
        <f t="shared" si="1326"/>
        <v>1</v>
      </c>
      <c r="P3576" s="76">
        <f t="shared" si="1327"/>
        <v>0</v>
      </c>
      <c r="Q3576" s="76">
        <f t="shared" si="1328"/>
        <v>0</v>
      </c>
      <c r="R3576" s="76">
        <f t="shared" si="1329"/>
        <v>1</v>
      </c>
      <c r="S3576" s="76">
        <f t="shared" si="1330"/>
        <v>1</v>
      </c>
      <c r="T3576" s="76">
        <f t="shared" si="1331"/>
        <v>1</v>
      </c>
      <c r="U3576" s="76">
        <f t="shared" si="1332"/>
        <v>1</v>
      </c>
    </row>
    <row r="3577" spans="1:21" x14ac:dyDescent="0.25">
      <c r="A3577" s="71">
        <v>43</v>
      </c>
      <c r="B3577" s="72">
        <f t="shared" si="1333"/>
        <v>46935</v>
      </c>
      <c r="C3577" s="73">
        <f t="shared" si="1314"/>
        <v>46965</v>
      </c>
      <c r="D3577" s="67">
        <f t="shared" si="1315"/>
        <v>31</v>
      </c>
      <c r="E3577" s="67">
        <f t="shared" si="1316"/>
        <v>7</v>
      </c>
      <c r="F3577" s="74">
        <f t="shared" si="1317"/>
        <v>46950.5</v>
      </c>
      <c r="G3577" s="67">
        <f t="shared" si="1318"/>
        <v>24342</v>
      </c>
      <c r="H3577" s="75">
        <f t="shared" si="1319"/>
        <v>1</v>
      </c>
      <c r="I3577" s="76">
        <f t="shared" si="1320"/>
        <v>1</v>
      </c>
      <c r="J3577" s="76">
        <f t="shared" si="1321"/>
        <v>1</v>
      </c>
      <c r="K3577" s="67">
        <f t="shared" si="1322"/>
        <v>0</v>
      </c>
      <c r="L3577" s="67">
        <f t="shared" si="1323"/>
        <v>0</v>
      </c>
      <c r="M3577" s="77">
        <f t="shared" si="1324"/>
        <v>0</v>
      </c>
      <c r="N3577" s="76">
        <f t="shared" si="1325"/>
        <v>1</v>
      </c>
      <c r="O3577" s="77">
        <f t="shared" si="1326"/>
        <v>1</v>
      </c>
      <c r="P3577" s="76">
        <f t="shared" si="1327"/>
        <v>0</v>
      </c>
      <c r="Q3577" s="76">
        <f t="shared" si="1328"/>
        <v>0</v>
      </c>
      <c r="R3577" s="76">
        <f t="shared" si="1329"/>
        <v>0.91666666666666663</v>
      </c>
      <c r="S3577" s="76">
        <f t="shared" si="1330"/>
        <v>1</v>
      </c>
      <c r="T3577" s="76">
        <f t="shared" si="1331"/>
        <v>1</v>
      </c>
      <c r="U3577" s="76">
        <f t="shared" si="1332"/>
        <v>1</v>
      </c>
    </row>
    <row r="3578" spans="1:21" x14ac:dyDescent="0.25">
      <c r="A3578" s="71">
        <v>44</v>
      </c>
      <c r="B3578" s="72">
        <f t="shared" si="1333"/>
        <v>46966</v>
      </c>
      <c r="C3578" s="73">
        <f t="shared" si="1314"/>
        <v>46996</v>
      </c>
      <c r="D3578" s="67">
        <f t="shared" si="1315"/>
        <v>31</v>
      </c>
      <c r="E3578" s="67">
        <f t="shared" si="1316"/>
        <v>8</v>
      </c>
      <c r="F3578" s="74">
        <f t="shared" si="1317"/>
        <v>46981.5</v>
      </c>
      <c r="G3578" s="67">
        <f t="shared" si="1318"/>
        <v>24343</v>
      </c>
      <c r="H3578" s="75">
        <f t="shared" si="1319"/>
        <v>1</v>
      </c>
      <c r="I3578" s="76">
        <f t="shared" si="1320"/>
        <v>1</v>
      </c>
      <c r="J3578" s="76">
        <f t="shared" si="1321"/>
        <v>1</v>
      </c>
      <c r="K3578" s="67">
        <f t="shared" si="1322"/>
        <v>0</v>
      </c>
      <c r="L3578" s="67">
        <f t="shared" si="1323"/>
        <v>0</v>
      </c>
      <c r="M3578" s="77">
        <f t="shared" si="1324"/>
        <v>0</v>
      </c>
      <c r="N3578" s="76">
        <f t="shared" si="1325"/>
        <v>1</v>
      </c>
      <c r="O3578" s="77">
        <f t="shared" si="1326"/>
        <v>1</v>
      </c>
      <c r="P3578" s="76">
        <f t="shared" si="1327"/>
        <v>0</v>
      </c>
      <c r="Q3578" s="76">
        <f t="shared" si="1328"/>
        <v>0</v>
      </c>
      <c r="R3578" s="76">
        <f t="shared" si="1329"/>
        <v>0.75</v>
      </c>
      <c r="S3578" s="76">
        <f t="shared" si="1330"/>
        <v>1</v>
      </c>
      <c r="T3578" s="76">
        <f t="shared" si="1331"/>
        <v>1</v>
      </c>
      <c r="U3578" s="76">
        <f t="shared" si="1332"/>
        <v>1</v>
      </c>
    </row>
    <row r="3579" spans="1:21" x14ac:dyDescent="0.25">
      <c r="A3579" s="71">
        <v>45</v>
      </c>
      <c r="B3579" s="72">
        <f t="shared" si="1333"/>
        <v>46997</v>
      </c>
      <c r="C3579" s="73">
        <f t="shared" si="1314"/>
        <v>47026</v>
      </c>
      <c r="D3579" s="67">
        <f t="shared" si="1315"/>
        <v>30</v>
      </c>
      <c r="E3579" s="67">
        <f t="shared" si="1316"/>
        <v>9</v>
      </c>
      <c r="F3579" s="74">
        <f t="shared" si="1317"/>
        <v>47012</v>
      </c>
      <c r="G3579" s="67">
        <f t="shared" si="1318"/>
        <v>24344</v>
      </c>
      <c r="H3579" s="75">
        <f t="shared" si="1319"/>
        <v>1</v>
      </c>
      <c r="I3579" s="76">
        <f t="shared" si="1320"/>
        <v>1</v>
      </c>
      <c r="J3579" s="76">
        <f t="shared" si="1321"/>
        <v>1</v>
      </c>
      <c r="K3579" s="67">
        <f t="shared" si="1322"/>
        <v>0</v>
      </c>
      <c r="L3579" s="67">
        <f t="shared" si="1323"/>
        <v>0</v>
      </c>
      <c r="M3579" s="77">
        <f t="shared" si="1324"/>
        <v>0</v>
      </c>
      <c r="N3579" s="76">
        <f t="shared" si="1325"/>
        <v>1</v>
      </c>
      <c r="O3579" s="77">
        <f t="shared" si="1326"/>
        <v>1</v>
      </c>
      <c r="P3579" s="76">
        <f t="shared" si="1327"/>
        <v>0</v>
      </c>
      <c r="Q3579" s="76">
        <f t="shared" si="1328"/>
        <v>0</v>
      </c>
      <c r="R3579" s="76">
        <f t="shared" si="1329"/>
        <v>0.58333333333333337</v>
      </c>
      <c r="S3579" s="76">
        <f t="shared" si="1330"/>
        <v>1</v>
      </c>
      <c r="T3579" s="76">
        <f t="shared" si="1331"/>
        <v>1</v>
      </c>
      <c r="U3579" s="76">
        <f t="shared" si="1332"/>
        <v>1</v>
      </c>
    </row>
    <row r="3580" spans="1:21" x14ac:dyDescent="0.25">
      <c r="A3580" s="71">
        <v>46</v>
      </c>
      <c r="B3580" s="72">
        <f t="shared" si="1333"/>
        <v>47027</v>
      </c>
      <c r="C3580" s="73">
        <f t="shared" si="1314"/>
        <v>47057</v>
      </c>
      <c r="D3580" s="67">
        <f t="shared" si="1315"/>
        <v>31</v>
      </c>
      <c r="E3580" s="67">
        <f t="shared" si="1316"/>
        <v>10</v>
      </c>
      <c r="F3580" s="74">
        <f t="shared" si="1317"/>
        <v>47042.5</v>
      </c>
      <c r="G3580" s="67">
        <f t="shared" si="1318"/>
        <v>24345</v>
      </c>
      <c r="H3580" s="75">
        <f t="shared" si="1319"/>
        <v>1</v>
      </c>
      <c r="I3580" s="76">
        <f t="shared" si="1320"/>
        <v>1</v>
      </c>
      <c r="J3580" s="76">
        <f t="shared" si="1321"/>
        <v>1</v>
      </c>
      <c r="K3580" s="67">
        <f t="shared" si="1322"/>
        <v>0</v>
      </c>
      <c r="L3580" s="67">
        <f t="shared" si="1323"/>
        <v>0</v>
      </c>
      <c r="M3580" s="77">
        <f t="shared" si="1324"/>
        <v>0</v>
      </c>
      <c r="N3580" s="76">
        <f t="shared" si="1325"/>
        <v>1</v>
      </c>
      <c r="O3580" s="77">
        <f t="shared" si="1326"/>
        <v>1</v>
      </c>
      <c r="P3580" s="76">
        <f t="shared" si="1327"/>
        <v>0</v>
      </c>
      <c r="Q3580" s="76">
        <f t="shared" si="1328"/>
        <v>0</v>
      </c>
      <c r="R3580" s="76">
        <f t="shared" si="1329"/>
        <v>0.41666666666666669</v>
      </c>
      <c r="S3580" s="76">
        <f t="shared" si="1330"/>
        <v>1</v>
      </c>
      <c r="T3580" s="76">
        <f t="shared" si="1331"/>
        <v>1</v>
      </c>
      <c r="U3580" s="76">
        <f t="shared" si="1332"/>
        <v>1</v>
      </c>
    </row>
    <row r="3581" spans="1:21" x14ac:dyDescent="0.25">
      <c r="A3581" s="71">
        <v>47</v>
      </c>
      <c r="B3581" s="72">
        <f t="shared" si="1333"/>
        <v>47058</v>
      </c>
      <c r="C3581" s="73">
        <f t="shared" si="1314"/>
        <v>47087</v>
      </c>
      <c r="D3581" s="67">
        <f t="shared" si="1315"/>
        <v>30</v>
      </c>
      <c r="E3581" s="67">
        <f t="shared" si="1316"/>
        <v>11</v>
      </c>
      <c r="F3581" s="74">
        <f t="shared" si="1317"/>
        <v>47073</v>
      </c>
      <c r="G3581" s="67">
        <f t="shared" si="1318"/>
        <v>24346</v>
      </c>
      <c r="H3581" s="75">
        <f t="shared" si="1319"/>
        <v>1</v>
      </c>
      <c r="I3581" s="76">
        <f t="shared" si="1320"/>
        <v>1</v>
      </c>
      <c r="J3581" s="76">
        <f t="shared" si="1321"/>
        <v>1</v>
      </c>
      <c r="K3581" s="67">
        <f t="shared" si="1322"/>
        <v>0</v>
      </c>
      <c r="L3581" s="67">
        <f t="shared" si="1323"/>
        <v>0</v>
      </c>
      <c r="M3581" s="77">
        <f t="shared" si="1324"/>
        <v>0</v>
      </c>
      <c r="N3581" s="76">
        <f t="shared" si="1325"/>
        <v>1</v>
      </c>
      <c r="O3581" s="77">
        <f t="shared" si="1326"/>
        <v>1</v>
      </c>
      <c r="P3581" s="76">
        <f t="shared" si="1327"/>
        <v>0</v>
      </c>
      <c r="Q3581" s="76">
        <f t="shared" si="1328"/>
        <v>0</v>
      </c>
      <c r="R3581" s="76">
        <f t="shared" si="1329"/>
        <v>0.25</v>
      </c>
      <c r="S3581" s="76">
        <f t="shared" si="1330"/>
        <v>1</v>
      </c>
      <c r="T3581" s="76">
        <f t="shared" si="1331"/>
        <v>1</v>
      </c>
      <c r="U3581" s="76">
        <f t="shared" si="1332"/>
        <v>1</v>
      </c>
    </row>
    <row r="3582" spans="1:21" x14ac:dyDescent="0.25">
      <c r="A3582" s="71">
        <v>48</v>
      </c>
      <c r="B3582" s="72">
        <f t="shared" si="1333"/>
        <v>47088</v>
      </c>
      <c r="C3582" s="73">
        <f t="shared" si="1314"/>
        <v>47118</v>
      </c>
      <c r="D3582" s="67">
        <f t="shared" si="1315"/>
        <v>31</v>
      </c>
      <c r="E3582" s="67">
        <f t="shared" si="1316"/>
        <v>12</v>
      </c>
      <c r="F3582" s="74">
        <f t="shared" si="1317"/>
        <v>47103.5</v>
      </c>
      <c r="G3582" s="67">
        <f t="shared" si="1318"/>
        <v>24347</v>
      </c>
      <c r="H3582" s="75">
        <f t="shared" si="1319"/>
        <v>1</v>
      </c>
      <c r="I3582" s="76">
        <f t="shared" si="1320"/>
        <v>1</v>
      </c>
      <c r="J3582" s="76">
        <f t="shared" si="1321"/>
        <v>1</v>
      </c>
      <c r="K3582" s="67">
        <f t="shared" si="1322"/>
        <v>0</v>
      </c>
      <c r="L3582" s="67">
        <f t="shared" si="1323"/>
        <v>0</v>
      </c>
      <c r="M3582" s="77">
        <f t="shared" si="1324"/>
        <v>0</v>
      </c>
      <c r="N3582" s="76">
        <f t="shared" si="1325"/>
        <v>1</v>
      </c>
      <c r="O3582" s="77">
        <f t="shared" si="1326"/>
        <v>1</v>
      </c>
      <c r="P3582" s="76">
        <f t="shared" si="1327"/>
        <v>0</v>
      </c>
      <c r="Q3582" s="76">
        <f t="shared" si="1328"/>
        <v>0</v>
      </c>
      <c r="R3582" s="76">
        <f t="shared" si="1329"/>
        <v>8.3333333333333329E-2</v>
      </c>
      <c r="S3582" s="76">
        <f t="shared" si="1330"/>
        <v>1</v>
      </c>
      <c r="T3582" s="76">
        <f t="shared" si="1331"/>
        <v>1</v>
      </c>
      <c r="U3582" s="76">
        <f t="shared" si="1332"/>
        <v>1</v>
      </c>
    </row>
    <row r="3583" spans="1:21" x14ac:dyDescent="0.25">
      <c r="A3583" s="81" t="s">
        <v>1187</v>
      </c>
      <c r="B3583" s="53">
        <f>EXP(SUMPRODUCT((rl_key=$A$3532)*(rl_cons="Y")*rl_ln1p))</f>
        <v>1</v>
      </c>
      <c r="C3583" s="53">
        <f>SUMPRODUCT($H$3535:$H$3582,$P$3535:$P$3582,$U$3535:$U$3582)/SUMPRODUCT($H$3535:$H$3582,$P$3535:$P$3582)</f>
        <v>1</v>
      </c>
      <c r="D3583" s="53">
        <f>SUMPRODUCT($H$3535:$H$3582,$Q$3535:$Q$3582,$U$3535:$U$3582)/SUMPRODUCT($H$3535:$H$3582,$Q$3535:$Q$3582)</f>
        <v>1</v>
      </c>
      <c r="E3583" s="53">
        <f>SUMPRODUCT($H$3535:$H$3582,$R$3535:$R$3582,$U$3535:$U$3582)/SUMPRODUCT($H$3535:$H$3582,$R$3535:$R$3582)</f>
        <v>1</v>
      </c>
      <c r="F3583" s="172">
        <f>SUMPRODUCT($H$3535:$H$3582,$Q$3535:$Q$3582,$O$3535:$O$3582)/SUMPRODUCT($H$3535:$H$3582,$Q$3535:$Q$3582)</f>
        <v>1</v>
      </c>
      <c r="G3583" s="172">
        <f>SUMPRODUCT($H$3535:$H$3582,$R$3535:$R$3582,$O$3535:$O$3582)/SUMPRODUCT($H$3535:$H$3582,$R$3535:$R$3582)</f>
        <v>1</v>
      </c>
    </row>
    <row r="3586" spans="1:21" x14ac:dyDescent="0.25">
      <c r="A3586" s="81" t="str">
        <f>INDEX(lr_key,66)</f>
        <v/>
      </c>
      <c r="B3586" s="81">
        <f>INDEX(lr_state,66)</f>
        <v>0</v>
      </c>
      <c r="C3586" s="55">
        <f>nr_TermMonths</f>
        <v>6</v>
      </c>
      <c r="D3586" s="55">
        <f>IF(COUNTIF(se_state,$B3586)=0,0,MATCH($B3586,se_state,0))</f>
        <v>0</v>
      </c>
      <c r="E3586" s="57">
        <f>IF($D3586=0,0,INDEX(se_sum,$D3586))</f>
        <v>0</v>
      </c>
      <c r="F3586" s="172">
        <f>IF(N(INDEX(lr_mind,66))=0,1,INDEX(lr_mind,66))</f>
        <v>1</v>
      </c>
      <c r="G3586" s="172">
        <f>IF(N(INDEX(lr_m0,66))=0,1,INDEX(lr_m0,66))</f>
        <v>1</v>
      </c>
      <c r="H3586" s="54">
        <f>IF(N(INDEX(lr_m0asof,66))=0,DATE(nr_PlanYear-1,10,1),INDEX(lr_m0asof,66))</f>
        <v>46296</v>
      </c>
      <c r="I3586" s="172">
        <f>IF(N(INDEX(lr_m1,66))=0,1,INDEX(lr_m1,66))</f>
        <v>1</v>
      </c>
      <c r="J3586" s="172">
        <f>INDEX(lr_mprior,66)</f>
        <v>0</v>
      </c>
      <c r="K3586" s="172">
        <f>INDEX(lr_m2,66)</f>
        <v>0</v>
      </c>
      <c r="L3586" s="81" t="b">
        <f>NOT(ISBLANK(INDEX(lr_netp,66)))</f>
        <v>0</v>
      </c>
      <c r="M3586" s="52">
        <f>N(INDEX(lr_netp,66))</f>
        <v>0</v>
      </c>
      <c r="N3586" s="52">
        <f>IF(ISBLANK(INDEX(lr_netp1,66)),$M$3586,N(INDEX(lr_netp1,66)))</f>
        <v>0</v>
      </c>
      <c r="O3586" s="55">
        <f>IF(AND(nr_ModAdjMaster="ON",INDEX(lr_modadj,66)="ON"),1,0)</f>
        <v>0</v>
      </c>
    </row>
    <row r="3587" spans="1:21" x14ac:dyDescent="0.25">
      <c r="A3587" s="81">
        <f>EDATE($H$3586,-12)+1</f>
        <v>45932</v>
      </c>
      <c r="B3587" s="81">
        <f>$H$3586+1</f>
        <v>46297</v>
      </c>
      <c r="C3587" s="81">
        <f>DATE(nr_PlanYear,12,31)+1</f>
        <v>46753</v>
      </c>
      <c r="D3587" s="81">
        <f>DATE(nr_PlanYear+1,12,31)+1</f>
        <v>47119</v>
      </c>
      <c r="E3587" s="81">
        <f>IF(N($J$3586)=0,$F$3587-($G$3587-$F$3587)/($C$3587-$B$3587)*($B$3587-$A$3587),$J$3586)</f>
        <v>1</v>
      </c>
      <c r="F3587" s="81">
        <f>$G$3586</f>
        <v>1</v>
      </c>
      <c r="G3587" s="81">
        <f>$I$3586</f>
        <v>1</v>
      </c>
      <c r="H3587" s="81">
        <f>IF(N($K$3586)=0,$I$3586,$K$3586)</f>
        <v>1</v>
      </c>
      <c r="I3587" s="81">
        <f>($F$3587-$E$3587)/($B$3587-$A$3587)</f>
        <v>0</v>
      </c>
      <c r="J3587" s="81">
        <f>($G$3587-$F$3587)/($C$3587-$B$3587)</f>
        <v>0</v>
      </c>
      <c r="K3587" s="81">
        <f>($H$3587-$G$3587)/($D$3587-$C$3587)</f>
        <v>0</v>
      </c>
    </row>
    <row r="3588" spans="1:21" ht="36" x14ac:dyDescent="0.25">
      <c r="A3588" s="50" t="s">
        <v>211</v>
      </c>
      <c r="B3588" s="50" t="s">
        <v>212</v>
      </c>
      <c r="C3588" s="50" t="s">
        <v>213</v>
      </c>
      <c r="D3588" s="50" t="s">
        <v>214</v>
      </c>
      <c r="E3588" s="50" t="s">
        <v>215</v>
      </c>
      <c r="F3588" s="50" t="s">
        <v>216</v>
      </c>
      <c r="G3588" s="50" t="s">
        <v>217</v>
      </c>
      <c r="H3588" s="50" t="s">
        <v>218</v>
      </c>
      <c r="I3588" s="50" t="s">
        <v>219</v>
      </c>
      <c r="J3588" s="50" t="s">
        <v>220</v>
      </c>
      <c r="K3588" s="50" t="s">
        <v>221</v>
      </c>
      <c r="L3588" s="50" t="s">
        <v>222</v>
      </c>
      <c r="M3588" s="50" t="s">
        <v>223</v>
      </c>
      <c r="N3588" s="50" t="s">
        <v>224</v>
      </c>
      <c r="O3588" s="50" t="s">
        <v>225</v>
      </c>
      <c r="P3588" s="50" t="s">
        <v>226</v>
      </c>
      <c r="Q3588" s="50" t="s">
        <v>227</v>
      </c>
      <c r="R3588" s="50" t="s">
        <v>228</v>
      </c>
      <c r="S3588" s="50" t="s">
        <v>229</v>
      </c>
      <c r="T3588" s="50" t="s">
        <v>230</v>
      </c>
      <c r="U3588" s="50" t="s">
        <v>231</v>
      </c>
    </row>
    <row r="3589" spans="1:21" x14ac:dyDescent="0.25">
      <c r="A3589" s="71">
        <v>1</v>
      </c>
      <c r="B3589" s="72">
        <f>DATE(nr_PlanYear-2,1,1)</f>
        <v>45658</v>
      </c>
      <c r="C3589" s="73">
        <f t="shared" ref="C3589:C3636" si="1334">EOMONTH($B3589,0)</f>
        <v>45688</v>
      </c>
      <c r="D3589" s="67">
        <f t="shared" ref="D3589:D3636" si="1335">$C3589-$B3589+1</f>
        <v>31</v>
      </c>
      <c r="E3589" s="67">
        <f t="shared" ref="E3589:E3636" si="1336">MONTH($B3589)</f>
        <v>1</v>
      </c>
      <c r="F3589" s="74">
        <f t="shared" ref="F3589:F3636" si="1337">($B3589+$C3589+1)/2</f>
        <v>45673.5</v>
      </c>
      <c r="G3589" s="67">
        <f t="shared" ref="G3589:G3636" si="1338">YEAR($B3589)*12+MONTH($B3589)-1</f>
        <v>24300</v>
      </c>
      <c r="H3589" s="75">
        <f t="shared" ref="H3589:H3636" si="1339">IF(OR(nr_SeasonOn="OFF",$D$3586=0,$E$3586=0),1,12*INDEX(se_block,$D$3586,$E3589)/$E$3586)</f>
        <v>1</v>
      </c>
      <c r="I3589" s="76">
        <f t="shared" ref="I3589:I3636" si="1340">EXP(SUMPRODUCT((rl_eff&lt;$B3589)*(rl_key=$A$3586)*rl_ln1p))</f>
        <v>1</v>
      </c>
      <c r="J3589" s="76">
        <f t="shared" ref="J3589:J3636" si="1341">EXP(SUMPRODUCT((rl_eff&lt;=$C3589)*(rl_key=$A$3586)*rl_ln1p))</f>
        <v>1</v>
      </c>
      <c r="K3589" s="67">
        <f t="shared" ref="K3589:K3636" si="1342">COUNTIFS(rl_key,$A$3586,rl_eff,"&gt;="&amp;$B3589,rl_eff,"&lt;="&amp;$C3589)</f>
        <v>0</v>
      </c>
      <c r="L3589" s="67">
        <f t="shared" ref="L3589:L3636" si="1343">SUMIFS(rl_daysafter,rl_key,$A$3586,rl_effmonth,$B3589,rl_first,1)</f>
        <v>0</v>
      </c>
      <c r="M3589" s="77">
        <f t="shared" ref="M3589:M3636" si="1344">IF($K3589=0,0,MIN(1,$L3589/$D3589))</f>
        <v>0</v>
      </c>
      <c r="N3589" s="76">
        <f t="shared" ref="N3589:N3636" si="1345">IF($K3589=0,$J3589,(1-$M3589)*$I3589+$M3589*$J3589)</f>
        <v>1</v>
      </c>
      <c r="O3589" s="77">
        <f t="shared" ref="O3589:O3636" si="1346">IF($F3589&lt;$B$3587,$E$3587+$I$3587*($F3589-$A$3587),IF($F3589&lt;$C$3587,$F$3587+$J$3587*($F3589-$B$3587),$G$3587+$K$3587*($F3589-$C$3587)))</f>
        <v>1</v>
      </c>
      <c r="P3589" s="76">
        <f t="shared" ref="P3589:P3636" si="1347">MIN(1,MAX(0,(nr_MEndPm1-$G3589+0.5)/$C$3586))-MIN(1,MAX(0,(nr_MStartPm1-1-$G3589+0.5)/$C$3586))</f>
        <v>0</v>
      </c>
      <c r="Q3589" s="76">
        <f t="shared" ref="Q3589:Q3636" si="1348">MIN(1,MAX(0,(nr_MEndP-$G3589+0.5)/$C$3586))-MIN(1,MAX(0,(nr_MStartP-1-$G3589+0.5)/$C$3586))</f>
        <v>0</v>
      </c>
      <c r="R3589" s="76">
        <f t="shared" ref="R3589:R3636" si="1349">MIN(1,MAX(0,(nr_MEndP1-$G3589+0.5)/$C$3586))-MIN(1,MAX(0,(nr_MStartP1-1-$G3589+0.5)/$C$3586))</f>
        <v>0</v>
      </c>
      <c r="S3589" s="76">
        <f t="shared" ref="S3589:S3636" si="1350">$N3589*IF($O$3586=1,$O3589/$F$3586,1)</f>
        <v>1</v>
      </c>
      <c r="T3589" s="76">
        <f t="shared" ref="T3589:T3636" si="1351">IF($G3589&lt;nr_MStartP,$S3589,$T3577*(1+IF($G3589&lt;nr_MStartP1,$M$3586,$N$3586)))</f>
        <v>1</v>
      </c>
      <c r="U3589" s="76">
        <f t="shared" ref="U3589:U3636" si="1352">IF($L$3586,$T3589,$N3589)</f>
        <v>1</v>
      </c>
    </row>
    <row r="3590" spans="1:21" x14ac:dyDescent="0.25">
      <c r="A3590" s="71">
        <v>2</v>
      </c>
      <c r="B3590" s="72">
        <f t="shared" ref="B3590:B3636" si="1353">EDATE($B3589,1)</f>
        <v>45689</v>
      </c>
      <c r="C3590" s="73">
        <f t="shared" si="1334"/>
        <v>45716</v>
      </c>
      <c r="D3590" s="67">
        <f t="shared" si="1335"/>
        <v>28</v>
      </c>
      <c r="E3590" s="67">
        <f t="shared" si="1336"/>
        <v>2</v>
      </c>
      <c r="F3590" s="74">
        <f t="shared" si="1337"/>
        <v>45703</v>
      </c>
      <c r="G3590" s="67">
        <f t="shared" si="1338"/>
        <v>24301</v>
      </c>
      <c r="H3590" s="75">
        <f t="shared" si="1339"/>
        <v>1</v>
      </c>
      <c r="I3590" s="76">
        <f t="shared" si="1340"/>
        <v>1</v>
      </c>
      <c r="J3590" s="76">
        <f t="shared" si="1341"/>
        <v>1</v>
      </c>
      <c r="K3590" s="67">
        <f t="shared" si="1342"/>
        <v>0</v>
      </c>
      <c r="L3590" s="67">
        <f t="shared" si="1343"/>
        <v>0</v>
      </c>
      <c r="M3590" s="77">
        <f t="shared" si="1344"/>
        <v>0</v>
      </c>
      <c r="N3590" s="76">
        <f t="shared" si="1345"/>
        <v>1</v>
      </c>
      <c r="O3590" s="77">
        <f t="shared" si="1346"/>
        <v>1</v>
      </c>
      <c r="P3590" s="76">
        <f t="shared" si="1347"/>
        <v>0</v>
      </c>
      <c r="Q3590" s="76">
        <f t="shared" si="1348"/>
        <v>0</v>
      </c>
      <c r="R3590" s="76">
        <f t="shared" si="1349"/>
        <v>0</v>
      </c>
      <c r="S3590" s="76">
        <f t="shared" si="1350"/>
        <v>1</v>
      </c>
      <c r="T3590" s="76">
        <f t="shared" si="1351"/>
        <v>1</v>
      </c>
      <c r="U3590" s="76">
        <f t="shared" si="1352"/>
        <v>1</v>
      </c>
    </row>
    <row r="3591" spans="1:21" x14ac:dyDescent="0.25">
      <c r="A3591" s="71">
        <v>3</v>
      </c>
      <c r="B3591" s="72">
        <f t="shared" si="1353"/>
        <v>45717</v>
      </c>
      <c r="C3591" s="73">
        <f t="shared" si="1334"/>
        <v>45747</v>
      </c>
      <c r="D3591" s="67">
        <f t="shared" si="1335"/>
        <v>31</v>
      </c>
      <c r="E3591" s="67">
        <f t="shared" si="1336"/>
        <v>3</v>
      </c>
      <c r="F3591" s="74">
        <f t="shared" si="1337"/>
        <v>45732.5</v>
      </c>
      <c r="G3591" s="67">
        <f t="shared" si="1338"/>
        <v>24302</v>
      </c>
      <c r="H3591" s="75">
        <f t="shared" si="1339"/>
        <v>1</v>
      </c>
      <c r="I3591" s="76">
        <f t="shared" si="1340"/>
        <v>1</v>
      </c>
      <c r="J3591" s="76">
        <f t="shared" si="1341"/>
        <v>1</v>
      </c>
      <c r="K3591" s="67">
        <f t="shared" si="1342"/>
        <v>0</v>
      </c>
      <c r="L3591" s="67">
        <f t="shared" si="1343"/>
        <v>0</v>
      </c>
      <c r="M3591" s="77">
        <f t="shared" si="1344"/>
        <v>0</v>
      </c>
      <c r="N3591" s="76">
        <f t="shared" si="1345"/>
        <v>1</v>
      </c>
      <c r="O3591" s="77">
        <f t="shared" si="1346"/>
        <v>1</v>
      </c>
      <c r="P3591" s="76">
        <f t="shared" si="1347"/>
        <v>0</v>
      </c>
      <c r="Q3591" s="76">
        <f t="shared" si="1348"/>
        <v>0</v>
      </c>
      <c r="R3591" s="76">
        <f t="shared" si="1349"/>
        <v>0</v>
      </c>
      <c r="S3591" s="76">
        <f t="shared" si="1350"/>
        <v>1</v>
      </c>
      <c r="T3591" s="76">
        <f t="shared" si="1351"/>
        <v>1</v>
      </c>
      <c r="U3591" s="76">
        <f t="shared" si="1352"/>
        <v>1</v>
      </c>
    </row>
    <row r="3592" spans="1:21" x14ac:dyDescent="0.25">
      <c r="A3592" s="71">
        <v>4</v>
      </c>
      <c r="B3592" s="72">
        <f t="shared" si="1353"/>
        <v>45748</v>
      </c>
      <c r="C3592" s="73">
        <f t="shared" si="1334"/>
        <v>45777</v>
      </c>
      <c r="D3592" s="67">
        <f t="shared" si="1335"/>
        <v>30</v>
      </c>
      <c r="E3592" s="67">
        <f t="shared" si="1336"/>
        <v>4</v>
      </c>
      <c r="F3592" s="74">
        <f t="shared" si="1337"/>
        <v>45763</v>
      </c>
      <c r="G3592" s="67">
        <f t="shared" si="1338"/>
        <v>24303</v>
      </c>
      <c r="H3592" s="75">
        <f t="shared" si="1339"/>
        <v>1</v>
      </c>
      <c r="I3592" s="76">
        <f t="shared" si="1340"/>
        <v>1</v>
      </c>
      <c r="J3592" s="76">
        <f t="shared" si="1341"/>
        <v>1</v>
      </c>
      <c r="K3592" s="67">
        <f t="shared" si="1342"/>
        <v>0</v>
      </c>
      <c r="L3592" s="67">
        <f t="shared" si="1343"/>
        <v>0</v>
      </c>
      <c r="M3592" s="77">
        <f t="shared" si="1344"/>
        <v>0</v>
      </c>
      <c r="N3592" s="76">
        <f t="shared" si="1345"/>
        <v>1</v>
      </c>
      <c r="O3592" s="77">
        <f t="shared" si="1346"/>
        <v>1</v>
      </c>
      <c r="P3592" s="76">
        <f t="shared" si="1347"/>
        <v>0</v>
      </c>
      <c r="Q3592" s="76">
        <f t="shared" si="1348"/>
        <v>0</v>
      </c>
      <c r="R3592" s="76">
        <f t="shared" si="1349"/>
        <v>0</v>
      </c>
      <c r="S3592" s="76">
        <f t="shared" si="1350"/>
        <v>1</v>
      </c>
      <c r="T3592" s="76">
        <f t="shared" si="1351"/>
        <v>1</v>
      </c>
      <c r="U3592" s="76">
        <f t="shared" si="1352"/>
        <v>1</v>
      </c>
    </row>
    <row r="3593" spans="1:21" x14ac:dyDescent="0.25">
      <c r="A3593" s="71">
        <v>5</v>
      </c>
      <c r="B3593" s="72">
        <f t="shared" si="1353"/>
        <v>45778</v>
      </c>
      <c r="C3593" s="73">
        <f t="shared" si="1334"/>
        <v>45808</v>
      </c>
      <c r="D3593" s="67">
        <f t="shared" si="1335"/>
        <v>31</v>
      </c>
      <c r="E3593" s="67">
        <f t="shared" si="1336"/>
        <v>5</v>
      </c>
      <c r="F3593" s="74">
        <f t="shared" si="1337"/>
        <v>45793.5</v>
      </c>
      <c r="G3593" s="67">
        <f t="shared" si="1338"/>
        <v>24304</v>
      </c>
      <c r="H3593" s="75">
        <f t="shared" si="1339"/>
        <v>1</v>
      </c>
      <c r="I3593" s="76">
        <f t="shared" si="1340"/>
        <v>1</v>
      </c>
      <c r="J3593" s="76">
        <f t="shared" si="1341"/>
        <v>1</v>
      </c>
      <c r="K3593" s="67">
        <f t="shared" si="1342"/>
        <v>0</v>
      </c>
      <c r="L3593" s="67">
        <f t="shared" si="1343"/>
        <v>0</v>
      </c>
      <c r="M3593" s="77">
        <f t="shared" si="1344"/>
        <v>0</v>
      </c>
      <c r="N3593" s="76">
        <f t="shared" si="1345"/>
        <v>1</v>
      </c>
      <c r="O3593" s="77">
        <f t="shared" si="1346"/>
        <v>1</v>
      </c>
      <c r="P3593" s="76">
        <f t="shared" si="1347"/>
        <v>0</v>
      </c>
      <c r="Q3593" s="76">
        <f t="shared" si="1348"/>
        <v>0</v>
      </c>
      <c r="R3593" s="76">
        <f t="shared" si="1349"/>
        <v>0</v>
      </c>
      <c r="S3593" s="76">
        <f t="shared" si="1350"/>
        <v>1</v>
      </c>
      <c r="T3593" s="76">
        <f t="shared" si="1351"/>
        <v>1</v>
      </c>
      <c r="U3593" s="76">
        <f t="shared" si="1352"/>
        <v>1</v>
      </c>
    </row>
    <row r="3594" spans="1:21" x14ac:dyDescent="0.25">
      <c r="A3594" s="71">
        <v>6</v>
      </c>
      <c r="B3594" s="72">
        <f t="shared" si="1353"/>
        <v>45809</v>
      </c>
      <c r="C3594" s="73">
        <f t="shared" si="1334"/>
        <v>45838</v>
      </c>
      <c r="D3594" s="67">
        <f t="shared" si="1335"/>
        <v>30</v>
      </c>
      <c r="E3594" s="67">
        <f t="shared" si="1336"/>
        <v>6</v>
      </c>
      <c r="F3594" s="74">
        <f t="shared" si="1337"/>
        <v>45824</v>
      </c>
      <c r="G3594" s="67">
        <f t="shared" si="1338"/>
        <v>24305</v>
      </c>
      <c r="H3594" s="75">
        <f t="shared" si="1339"/>
        <v>1</v>
      </c>
      <c r="I3594" s="76">
        <f t="shared" si="1340"/>
        <v>1</v>
      </c>
      <c r="J3594" s="76">
        <f t="shared" si="1341"/>
        <v>1</v>
      </c>
      <c r="K3594" s="67">
        <f t="shared" si="1342"/>
        <v>0</v>
      </c>
      <c r="L3594" s="67">
        <f t="shared" si="1343"/>
        <v>0</v>
      </c>
      <c r="M3594" s="77">
        <f t="shared" si="1344"/>
        <v>0</v>
      </c>
      <c r="N3594" s="76">
        <f t="shared" si="1345"/>
        <v>1</v>
      </c>
      <c r="O3594" s="77">
        <f t="shared" si="1346"/>
        <v>1</v>
      </c>
      <c r="P3594" s="76">
        <f t="shared" si="1347"/>
        <v>0</v>
      </c>
      <c r="Q3594" s="76">
        <f t="shared" si="1348"/>
        <v>0</v>
      </c>
      <c r="R3594" s="76">
        <f t="shared" si="1349"/>
        <v>0</v>
      </c>
      <c r="S3594" s="76">
        <f t="shared" si="1350"/>
        <v>1</v>
      </c>
      <c r="T3594" s="76">
        <f t="shared" si="1351"/>
        <v>1</v>
      </c>
      <c r="U3594" s="76">
        <f t="shared" si="1352"/>
        <v>1</v>
      </c>
    </row>
    <row r="3595" spans="1:21" x14ac:dyDescent="0.25">
      <c r="A3595" s="71">
        <v>7</v>
      </c>
      <c r="B3595" s="72">
        <f t="shared" si="1353"/>
        <v>45839</v>
      </c>
      <c r="C3595" s="73">
        <f t="shared" si="1334"/>
        <v>45869</v>
      </c>
      <c r="D3595" s="67">
        <f t="shared" si="1335"/>
        <v>31</v>
      </c>
      <c r="E3595" s="67">
        <f t="shared" si="1336"/>
        <v>7</v>
      </c>
      <c r="F3595" s="74">
        <f t="shared" si="1337"/>
        <v>45854.5</v>
      </c>
      <c r="G3595" s="67">
        <f t="shared" si="1338"/>
        <v>24306</v>
      </c>
      <c r="H3595" s="75">
        <f t="shared" si="1339"/>
        <v>1</v>
      </c>
      <c r="I3595" s="76">
        <f t="shared" si="1340"/>
        <v>1</v>
      </c>
      <c r="J3595" s="76">
        <f t="shared" si="1341"/>
        <v>1</v>
      </c>
      <c r="K3595" s="67">
        <f t="shared" si="1342"/>
        <v>0</v>
      </c>
      <c r="L3595" s="67">
        <f t="shared" si="1343"/>
        <v>0</v>
      </c>
      <c r="M3595" s="77">
        <f t="shared" si="1344"/>
        <v>0</v>
      </c>
      <c r="N3595" s="76">
        <f t="shared" si="1345"/>
        <v>1</v>
      </c>
      <c r="O3595" s="77">
        <f t="shared" si="1346"/>
        <v>1</v>
      </c>
      <c r="P3595" s="76">
        <f t="shared" si="1347"/>
        <v>8.333333333333337E-2</v>
      </c>
      <c r="Q3595" s="76">
        <f t="shared" si="1348"/>
        <v>0</v>
      </c>
      <c r="R3595" s="76">
        <f t="shared" si="1349"/>
        <v>0</v>
      </c>
      <c r="S3595" s="76">
        <f t="shared" si="1350"/>
        <v>1</v>
      </c>
      <c r="T3595" s="76">
        <f t="shared" si="1351"/>
        <v>1</v>
      </c>
      <c r="U3595" s="76">
        <f t="shared" si="1352"/>
        <v>1</v>
      </c>
    </row>
    <row r="3596" spans="1:21" x14ac:dyDescent="0.25">
      <c r="A3596" s="71">
        <v>8</v>
      </c>
      <c r="B3596" s="72">
        <f t="shared" si="1353"/>
        <v>45870</v>
      </c>
      <c r="C3596" s="73">
        <f t="shared" si="1334"/>
        <v>45900</v>
      </c>
      <c r="D3596" s="67">
        <f t="shared" si="1335"/>
        <v>31</v>
      </c>
      <c r="E3596" s="67">
        <f t="shared" si="1336"/>
        <v>8</v>
      </c>
      <c r="F3596" s="74">
        <f t="shared" si="1337"/>
        <v>45885.5</v>
      </c>
      <c r="G3596" s="67">
        <f t="shared" si="1338"/>
        <v>24307</v>
      </c>
      <c r="H3596" s="75">
        <f t="shared" si="1339"/>
        <v>1</v>
      </c>
      <c r="I3596" s="76">
        <f t="shared" si="1340"/>
        <v>1</v>
      </c>
      <c r="J3596" s="76">
        <f t="shared" si="1341"/>
        <v>1</v>
      </c>
      <c r="K3596" s="67">
        <f t="shared" si="1342"/>
        <v>0</v>
      </c>
      <c r="L3596" s="67">
        <f t="shared" si="1343"/>
        <v>0</v>
      </c>
      <c r="M3596" s="77">
        <f t="shared" si="1344"/>
        <v>0</v>
      </c>
      <c r="N3596" s="76">
        <f t="shared" si="1345"/>
        <v>1</v>
      </c>
      <c r="O3596" s="77">
        <f t="shared" si="1346"/>
        <v>1</v>
      </c>
      <c r="P3596" s="76">
        <f t="shared" si="1347"/>
        <v>0.25</v>
      </c>
      <c r="Q3596" s="76">
        <f t="shared" si="1348"/>
        <v>0</v>
      </c>
      <c r="R3596" s="76">
        <f t="shared" si="1349"/>
        <v>0</v>
      </c>
      <c r="S3596" s="76">
        <f t="shared" si="1350"/>
        <v>1</v>
      </c>
      <c r="T3596" s="76">
        <f t="shared" si="1351"/>
        <v>1</v>
      </c>
      <c r="U3596" s="76">
        <f t="shared" si="1352"/>
        <v>1</v>
      </c>
    </row>
    <row r="3597" spans="1:21" x14ac:dyDescent="0.25">
      <c r="A3597" s="71">
        <v>9</v>
      </c>
      <c r="B3597" s="72">
        <f t="shared" si="1353"/>
        <v>45901</v>
      </c>
      <c r="C3597" s="73">
        <f t="shared" si="1334"/>
        <v>45930</v>
      </c>
      <c r="D3597" s="67">
        <f t="shared" si="1335"/>
        <v>30</v>
      </c>
      <c r="E3597" s="67">
        <f t="shared" si="1336"/>
        <v>9</v>
      </c>
      <c r="F3597" s="74">
        <f t="shared" si="1337"/>
        <v>45916</v>
      </c>
      <c r="G3597" s="67">
        <f t="shared" si="1338"/>
        <v>24308</v>
      </c>
      <c r="H3597" s="75">
        <f t="shared" si="1339"/>
        <v>1</v>
      </c>
      <c r="I3597" s="76">
        <f t="shared" si="1340"/>
        <v>1</v>
      </c>
      <c r="J3597" s="76">
        <f t="shared" si="1341"/>
        <v>1</v>
      </c>
      <c r="K3597" s="67">
        <f t="shared" si="1342"/>
        <v>0</v>
      </c>
      <c r="L3597" s="67">
        <f t="shared" si="1343"/>
        <v>0</v>
      </c>
      <c r="M3597" s="77">
        <f t="shared" si="1344"/>
        <v>0</v>
      </c>
      <c r="N3597" s="76">
        <f t="shared" si="1345"/>
        <v>1</v>
      </c>
      <c r="O3597" s="77">
        <f t="shared" si="1346"/>
        <v>1</v>
      </c>
      <c r="P3597" s="76">
        <f t="shared" si="1347"/>
        <v>0.41666666666666663</v>
      </c>
      <c r="Q3597" s="76">
        <f t="shared" si="1348"/>
        <v>0</v>
      </c>
      <c r="R3597" s="76">
        <f t="shared" si="1349"/>
        <v>0</v>
      </c>
      <c r="S3597" s="76">
        <f t="shared" si="1350"/>
        <v>1</v>
      </c>
      <c r="T3597" s="76">
        <f t="shared" si="1351"/>
        <v>1</v>
      </c>
      <c r="U3597" s="76">
        <f t="shared" si="1352"/>
        <v>1</v>
      </c>
    </row>
    <row r="3598" spans="1:21" x14ac:dyDescent="0.25">
      <c r="A3598" s="71">
        <v>10</v>
      </c>
      <c r="B3598" s="72">
        <f t="shared" si="1353"/>
        <v>45931</v>
      </c>
      <c r="C3598" s="73">
        <f t="shared" si="1334"/>
        <v>45961</v>
      </c>
      <c r="D3598" s="67">
        <f t="shared" si="1335"/>
        <v>31</v>
      </c>
      <c r="E3598" s="67">
        <f t="shared" si="1336"/>
        <v>10</v>
      </c>
      <c r="F3598" s="74">
        <f t="shared" si="1337"/>
        <v>45946.5</v>
      </c>
      <c r="G3598" s="67">
        <f t="shared" si="1338"/>
        <v>24309</v>
      </c>
      <c r="H3598" s="75">
        <f t="shared" si="1339"/>
        <v>1</v>
      </c>
      <c r="I3598" s="76">
        <f t="shared" si="1340"/>
        <v>1</v>
      </c>
      <c r="J3598" s="76">
        <f t="shared" si="1341"/>
        <v>1</v>
      </c>
      <c r="K3598" s="67">
        <f t="shared" si="1342"/>
        <v>0</v>
      </c>
      <c r="L3598" s="67">
        <f t="shared" si="1343"/>
        <v>0</v>
      </c>
      <c r="M3598" s="77">
        <f t="shared" si="1344"/>
        <v>0</v>
      </c>
      <c r="N3598" s="76">
        <f t="shared" si="1345"/>
        <v>1</v>
      </c>
      <c r="O3598" s="77">
        <f t="shared" si="1346"/>
        <v>1</v>
      </c>
      <c r="P3598" s="76">
        <f t="shared" si="1347"/>
        <v>0.58333333333333326</v>
      </c>
      <c r="Q3598" s="76">
        <f t="shared" si="1348"/>
        <v>0</v>
      </c>
      <c r="R3598" s="76">
        <f t="shared" si="1349"/>
        <v>0</v>
      </c>
      <c r="S3598" s="76">
        <f t="shared" si="1350"/>
        <v>1</v>
      </c>
      <c r="T3598" s="76">
        <f t="shared" si="1351"/>
        <v>1</v>
      </c>
      <c r="U3598" s="76">
        <f t="shared" si="1352"/>
        <v>1</v>
      </c>
    </row>
    <row r="3599" spans="1:21" x14ac:dyDescent="0.25">
      <c r="A3599" s="71">
        <v>11</v>
      </c>
      <c r="B3599" s="72">
        <f t="shared" si="1353"/>
        <v>45962</v>
      </c>
      <c r="C3599" s="73">
        <f t="shared" si="1334"/>
        <v>45991</v>
      </c>
      <c r="D3599" s="67">
        <f t="shared" si="1335"/>
        <v>30</v>
      </c>
      <c r="E3599" s="67">
        <f t="shared" si="1336"/>
        <v>11</v>
      </c>
      <c r="F3599" s="74">
        <f t="shared" si="1337"/>
        <v>45977</v>
      </c>
      <c r="G3599" s="67">
        <f t="shared" si="1338"/>
        <v>24310</v>
      </c>
      <c r="H3599" s="75">
        <f t="shared" si="1339"/>
        <v>1</v>
      </c>
      <c r="I3599" s="76">
        <f t="shared" si="1340"/>
        <v>1</v>
      </c>
      <c r="J3599" s="76">
        <f t="shared" si="1341"/>
        <v>1</v>
      </c>
      <c r="K3599" s="67">
        <f t="shared" si="1342"/>
        <v>0</v>
      </c>
      <c r="L3599" s="67">
        <f t="shared" si="1343"/>
        <v>0</v>
      </c>
      <c r="M3599" s="77">
        <f t="shared" si="1344"/>
        <v>0</v>
      </c>
      <c r="N3599" s="76">
        <f t="shared" si="1345"/>
        <v>1</v>
      </c>
      <c r="O3599" s="77">
        <f t="shared" si="1346"/>
        <v>1</v>
      </c>
      <c r="P3599" s="76">
        <f t="shared" si="1347"/>
        <v>0.75</v>
      </c>
      <c r="Q3599" s="76">
        <f t="shared" si="1348"/>
        <v>0</v>
      </c>
      <c r="R3599" s="76">
        <f t="shared" si="1349"/>
        <v>0</v>
      </c>
      <c r="S3599" s="76">
        <f t="shared" si="1350"/>
        <v>1</v>
      </c>
      <c r="T3599" s="76">
        <f t="shared" si="1351"/>
        <v>1</v>
      </c>
      <c r="U3599" s="76">
        <f t="shared" si="1352"/>
        <v>1</v>
      </c>
    </row>
    <row r="3600" spans="1:21" x14ac:dyDescent="0.25">
      <c r="A3600" s="71">
        <v>12</v>
      </c>
      <c r="B3600" s="72">
        <f t="shared" si="1353"/>
        <v>45992</v>
      </c>
      <c r="C3600" s="73">
        <f t="shared" si="1334"/>
        <v>46022</v>
      </c>
      <c r="D3600" s="67">
        <f t="shared" si="1335"/>
        <v>31</v>
      </c>
      <c r="E3600" s="67">
        <f t="shared" si="1336"/>
        <v>12</v>
      </c>
      <c r="F3600" s="74">
        <f t="shared" si="1337"/>
        <v>46007.5</v>
      </c>
      <c r="G3600" s="67">
        <f t="shared" si="1338"/>
        <v>24311</v>
      </c>
      <c r="H3600" s="75">
        <f t="shared" si="1339"/>
        <v>1</v>
      </c>
      <c r="I3600" s="76">
        <f t="shared" si="1340"/>
        <v>1</v>
      </c>
      <c r="J3600" s="76">
        <f t="shared" si="1341"/>
        <v>1</v>
      </c>
      <c r="K3600" s="67">
        <f t="shared" si="1342"/>
        <v>0</v>
      </c>
      <c r="L3600" s="67">
        <f t="shared" si="1343"/>
        <v>0</v>
      </c>
      <c r="M3600" s="77">
        <f t="shared" si="1344"/>
        <v>0</v>
      </c>
      <c r="N3600" s="76">
        <f t="shared" si="1345"/>
        <v>1</v>
      </c>
      <c r="O3600" s="77">
        <f t="shared" si="1346"/>
        <v>1</v>
      </c>
      <c r="P3600" s="76">
        <f t="shared" si="1347"/>
        <v>0.91666666666666663</v>
      </c>
      <c r="Q3600" s="76">
        <f t="shared" si="1348"/>
        <v>0</v>
      </c>
      <c r="R3600" s="76">
        <f t="shared" si="1349"/>
        <v>0</v>
      </c>
      <c r="S3600" s="76">
        <f t="shared" si="1350"/>
        <v>1</v>
      </c>
      <c r="T3600" s="76">
        <f t="shared" si="1351"/>
        <v>1</v>
      </c>
      <c r="U3600" s="76">
        <f t="shared" si="1352"/>
        <v>1</v>
      </c>
    </row>
    <row r="3601" spans="1:21" x14ac:dyDescent="0.25">
      <c r="A3601" s="71">
        <v>13</v>
      </c>
      <c r="B3601" s="72">
        <f t="shared" si="1353"/>
        <v>46023</v>
      </c>
      <c r="C3601" s="73">
        <f t="shared" si="1334"/>
        <v>46053</v>
      </c>
      <c r="D3601" s="67">
        <f t="shared" si="1335"/>
        <v>31</v>
      </c>
      <c r="E3601" s="67">
        <f t="shared" si="1336"/>
        <v>1</v>
      </c>
      <c r="F3601" s="74">
        <f t="shared" si="1337"/>
        <v>46038.5</v>
      </c>
      <c r="G3601" s="67">
        <f t="shared" si="1338"/>
        <v>24312</v>
      </c>
      <c r="H3601" s="75">
        <f t="shared" si="1339"/>
        <v>1</v>
      </c>
      <c r="I3601" s="76">
        <f t="shared" si="1340"/>
        <v>1</v>
      </c>
      <c r="J3601" s="76">
        <f t="shared" si="1341"/>
        <v>1</v>
      </c>
      <c r="K3601" s="67">
        <f t="shared" si="1342"/>
        <v>0</v>
      </c>
      <c r="L3601" s="67">
        <f t="shared" si="1343"/>
        <v>0</v>
      </c>
      <c r="M3601" s="77">
        <f t="shared" si="1344"/>
        <v>0</v>
      </c>
      <c r="N3601" s="76">
        <f t="shared" si="1345"/>
        <v>1</v>
      </c>
      <c r="O3601" s="77">
        <f t="shared" si="1346"/>
        <v>1</v>
      </c>
      <c r="P3601" s="76">
        <f t="shared" si="1347"/>
        <v>1</v>
      </c>
      <c r="Q3601" s="76">
        <f t="shared" si="1348"/>
        <v>0</v>
      </c>
      <c r="R3601" s="76">
        <f t="shared" si="1349"/>
        <v>0</v>
      </c>
      <c r="S3601" s="76">
        <f t="shared" si="1350"/>
        <v>1</v>
      </c>
      <c r="T3601" s="76">
        <f t="shared" si="1351"/>
        <v>1</v>
      </c>
      <c r="U3601" s="76">
        <f t="shared" si="1352"/>
        <v>1</v>
      </c>
    </row>
    <row r="3602" spans="1:21" x14ac:dyDescent="0.25">
      <c r="A3602" s="71">
        <v>14</v>
      </c>
      <c r="B3602" s="72">
        <f t="shared" si="1353"/>
        <v>46054</v>
      </c>
      <c r="C3602" s="73">
        <f t="shared" si="1334"/>
        <v>46081</v>
      </c>
      <c r="D3602" s="67">
        <f t="shared" si="1335"/>
        <v>28</v>
      </c>
      <c r="E3602" s="67">
        <f t="shared" si="1336"/>
        <v>2</v>
      </c>
      <c r="F3602" s="74">
        <f t="shared" si="1337"/>
        <v>46068</v>
      </c>
      <c r="G3602" s="67">
        <f t="shared" si="1338"/>
        <v>24313</v>
      </c>
      <c r="H3602" s="75">
        <f t="shared" si="1339"/>
        <v>1</v>
      </c>
      <c r="I3602" s="76">
        <f t="shared" si="1340"/>
        <v>1</v>
      </c>
      <c r="J3602" s="76">
        <f t="shared" si="1341"/>
        <v>1</v>
      </c>
      <c r="K3602" s="67">
        <f t="shared" si="1342"/>
        <v>0</v>
      </c>
      <c r="L3602" s="67">
        <f t="shared" si="1343"/>
        <v>0</v>
      </c>
      <c r="M3602" s="77">
        <f t="shared" si="1344"/>
        <v>0</v>
      </c>
      <c r="N3602" s="76">
        <f t="shared" si="1345"/>
        <v>1</v>
      </c>
      <c r="O3602" s="77">
        <f t="shared" si="1346"/>
        <v>1</v>
      </c>
      <c r="P3602" s="76">
        <f t="shared" si="1347"/>
        <v>1</v>
      </c>
      <c r="Q3602" s="76">
        <f t="shared" si="1348"/>
        <v>0</v>
      </c>
      <c r="R3602" s="76">
        <f t="shared" si="1349"/>
        <v>0</v>
      </c>
      <c r="S3602" s="76">
        <f t="shared" si="1350"/>
        <v>1</v>
      </c>
      <c r="T3602" s="76">
        <f t="shared" si="1351"/>
        <v>1</v>
      </c>
      <c r="U3602" s="76">
        <f t="shared" si="1352"/>
        <v>1</v>
      </c>
    </row>
    <row r="3603" spans="1:21" x14ac:dyDescent="0.25">
      <c r="A3603" s="71">
        <v>15</v>
      </c>
      <c r="B3603" s="72">
        <f t="shared" si="1353"/>
        <v>46082</v>
      </c>
      <c r="C3603" s="73">
        <f t="shared" si="1334"/>
        <v>46112</v>
      </c>
      <c r="D3603" s="67">
        <f t="shared" si="1335"/>
        <v>31</v>
      </c>
      <c r="E3603" s="67">
        <f t="shared" si="1336"/>
        <v>3</v>
      </c>
      <c r="F3603" s="74">
        <f t="shared" si="1337"/>
        <v>46097.5</v>
      </c>
      <c r="G3603" s="67">
        <f t="shared" si="1338"/>
        <v>24314</v>
      </c>
      <c r="H3603" s="75">
        <f t="shared" si="1339"/>
        <v>1</v>
      </c>
      <c r="I3603" s="76">
        <f t="shared" si="1340"/>
        <v>1</v>
      </c>
      <c r="J3603" s="76">
        <f t="shared" si="1341"/>
        <v>1</v>
      </c>
      <c r="K3603" s="67">
        <f t="shared" si="1342"/>
        <v>0</v>
      </c>
      <c r="L3603" s="67">
        <f t="shared" si="1343"/>
        <v>0</v>
      </c>
      <c r="M3603" s="77">
        <f t="shared" si="1344"/>
        <v>0</v>
      </c>
      <c r="N3603" s="76">
        <f t="shared" si="1345"/>
        <v>1</v>
      </c>
      <c r="O3603" s="77">
        <f t="shared" si="1346"/>
        <v>1</v>
      </c>
      <c r="P3603" s="76">
        <f t="shared" si="1347"/>
        <v>1</v>
      </c>
      <c r="Q3603" s="76">
        <f t="shared" si="1348"/>
        <v>0</v>
      </c>
      <c r="R3603" s="76">
        <f t="shared" si="1349"/>
        <v>0</v>
      </c>
      <c r="S3603" s="76">
        <f t="shared" si="1350"/>
        <v>1</v>
      </c>
      <c r="T3603" s="76">
        <f t="shared" si="1351"/>
        <v>1</v>
      </c>
      <c r="U3603" s="76">
        <f t="shared" si="1352"/>
        <v>1</v>
      </c>
    </row>
    <row r="3604" spans="1:21" x14ac:dyDescent="0.25">
      <c r="A3604" s="71">
        <v>16</v>
      </c>
      <c r="B3604" s="72">
        <f t="shared" si="1353"/>
        <v>46113</v>
      </c>
      <c r="C3604" s="73">
        <f t="shared" si="1334"/>
        <v>46142</v>
      </c>
      <c r="D3604" s="67">
        <f t="shared" si="1335"/>
        <v>30</v>
      </c>
      <c r="E3604" s="67">
        <f t="shared" si="1336"/>
        <v>4</v>
      </c>
      <c r="F3604" s="74">
        <f t="shared" si="1337"/>
        <v>46128</v>
      </c>
      <c r="G3604" s="67">
        <f t="shared" si="1338"/>
        <v>24315</v>
      </c>
      <c r="H3604" s="75">
        <f t="shared" si="1339"/>
        <v>1</v>
      </c>
      <c r="I3604" s="76">
        <f t="shared" si="1340"/>
        <v>1</v>
      </c>
      <c r="J3604" s="76">
        <f t="shared" si="1341"/>
        <v>1</v>
      </c>
      <c r="K3604" s="67">
        <f t="shared" si="1342"/>
        <v>0</v>
      </c>
      <c r="L3604" s="67">
        <f t="shared" si="1343"/>
        <v>0</v>
      </c>
      <c r="M3604" s="77">
        <f t="shared" si="1344"/>
        <v>0</v>
      </c>
      <c r="N3604" s="76">
        <f t="shared" si="1345"/>
        <v>1</v>
      </c>
      <c r="O3604" s="77">
        <f t="shared" si="1346"/>
        <v>1</v>
      </c>
      <c r="P3604" s="76">
        <f t="shared" si="1347"/>
        <v>1</v>
      </c>
      <c r="Q3604" s="76">
        <f t="shared" si="1348"/>
        <v>0</v>
      </c>
      <c r="R3604" s="76">
        <f t="shared" si="1349"/>
        <v>0</v>
      </c>
      <c r="S3604" s="76">
        <f t="shared" si="1350"/>
        <v>1</v>
      </c>
      <c r="T3604" s="76">
        <f t="shared" si="1351"/>
        <v>1</v>
      </c>
      <c r="U3604" s="76">
        <f t="shared" si="1352"/>
        <v>1</v>
      </c>
    </row>
    <row r="3605" spans="1:21" x14ac:dyDescent="0.25">
      <c r="A3605" s="71">
        <v>17</v>
      </c>
      <c r="B3605" s="72">
        <f t="shared" si="1353"/>
        <v>46143</v>
      </c>
      <c r="C3605" s="73">
        <f t="shared" si="1334"/>
        <v>46173</v>
      </c>
      <c r="D3605" s="67">
        <f t="shared" si="1335"/>
        <v>31</v>
      </c>
      <c r="E3605" s="67">
        <f t="shared" si="1336"/>
        <v>5</v>
      </c>
      <c r="F3605" s="74">
        <f t="shared" si="1337"/>
        <v>46158.5</v>
      </c>
      <c r="G3605" s="67">
        <f t="shared" si="1338"/>
        <v>24316</v>
      </c>
      <c r="H3605" s="75">
        <f t="shared" si="1339"/>
        <v>1</v>
      </c>
      <c r="I3605" s="76">
        <f t="shared" si="1340"/>
        <v>1</v>
      </c>
      <c r="J3605" s="76">
        <f t="shared" si="1341"/>
        <v>1</v>
      </c>
      <c r="K3605" s="67">
        <f t="shared" si="1342"/>
        <v>0</v>
      </c>
      <c r="L3605" s="67">
        <f t="shared" si="1343"/>
        <v>0</v>
      </c>
      <c r="M3605" s="77">
        <f t="shared" si="1344"/>
        <v>0</v>
      </c>
      <c r="N3605" s="76">
        <f t="shared" si="1345"/>
        <v>1</v>
      </c>
      <c r="O3605" s="77">
        <f t="shared" si="1346"/>
        <v>1</v>
      </c>
      <c r="P3605" s="76">
        <f t="shared" si="1347"/>
        <v>1</v>
      </c>
      <c r="Q3605" s="76">
        <f t="shared" si="1348"/>
        <v>0</v>
      </c>
      <c r="R3605" s="76">
        <f t="shared" si="1349"/>
        <v>0</v>
      </c>
      <c r="S3605" s="76">
        <f t="shared" si="1350"/>
        <v>1</v>
      </c>
      <c r="T3605" s="76">
        <f t="shared" si="1351"/>
        <v>1</v>
      </c>
      <c r="U3605" s="76">
        <f t="shared" si="1352"/>
        <v>1</v>
      </c>
    </row>
    <row r="3606" spans="1:21" x14ac:dyDescent="0.25">
      <c r="A3606" s="71">
        <v>18</v>
      </c>
      <c r="B3606" s="72">
        <f t="shared" si="1353"/>
        <v>46174</v>
      </c>
      <c r="C3606" s="73">
        <f t="shared" si="1334"/>
        <v>46203</v>
      </c>
      <c r="D3606" s="67">
        <f t="shared" si="1335"/>
        <v>30</v>
      </c>
      <c r="E3606" s="67">
        <f t="shared" si="1336"/>
        <v>6</v>
      </c>
      <c r="F3606" s="74">
        <f t="shared" si="1337"/>
        <v>46189</v>
      </c>
      <c r="G3606" s="67">
        <f t="shared" si="1338"/>
        <v>24317</v>
      </c>
      <c r="H3606" s="75">
        <f t="shared" si="1339"/>
        <v>1</v>
      </c>
      <c r="I3606" s="76">
        <f t="shared" si="1340"/>
        <v>1</v>
      </c>
      <c r="J3606" s="76">
        <f t="shared" si="1341"/>
        <v>1</v>
      </c>
      <c r="K3606" s="67">
        <f t="shared" si="1342"/>
        <v>0</v>
      </c>
      <c r="L3606" s="67">
        <f t="shared" si="1343"/>
        <v>0</v>
      </c>
      <c r="M3606" s="77">
        <f t="shared" si="1344"/>
        <v>0</v>
      </c>
      <c r="N3606" s="76">
        <f t="shared" si="1345"/>
        <v>1</v>
      </c>
      <c r="O3606" s="77">
        <f t="shared" si="1346"/>
        <v>1</v>
      </c>
      <c r="P3606" s="76">
        <f t="shared" si="1347"/>
        <v>1</v>
      </c>
      <c r="Q3606" s="76">
        <f t="shared" si="1348"/>
        <v>0</v>
      </c>
      <c r="R3606" s="76">
        <f t="shared" si="1349"/>
        <v>0</v>
      </c>
      <c r="S3606" s="76">
        <f t="shared" si="1350"/>
        <v>1</v>
      </c>
      <c r="T3606" s="76">
        <f t="shared" si="1351"/>
        <v>1</v>
      </c>
      <c r="U3606" s="76">
        <f t="shared" si="1352"/>
        <v>1</v>
      </c>
    </row>
    <row r="3607" spans="1:21" x14ac:dyDescent="0.25">
      <c r="A3607" s="71">
        <v>19</v>
      </c>
      <c r="B3607" s="72">
        <f t="shared" si="1353"/>
        <v>46204</v>
      </c>
      <c r="C3607" s="73">
        <f t="shared" si="1334"/>
        <v>46234</v>
      </c>
      <c r="D3607" s="67">
        <f t="shared" si="1335"/>
        <v>31</v>
      </c>
      <c r="E3607" s="67">
        <f t="shared" si="1336"/>
        <v>7</v>
      </c>
      <c r="F3607" s="74">
        <f t="shared" si="1337"/>
        <v>46219.5</v>
      </c>
      <c r="G3607" s="67">
        <f t="shared" si="1338"/>
        <v>24318</v>
      </c>
      <c r="H3607" s="75">
        <f t="shared" si="1339"/>
        <v>1</v>
      </c>
      <c r="I3607" s="76">
        <f t="shared" si="1340"/>
        <v>1</v>
      </c>
      <c r="J3607" s="76">
        <f t="shared" si="1341"/>
        <v>1</v>
      </c>
      <c r="K3607" s="67">
        <f t="shared" si="1342"/>
        <v>0</v>
      </c>
      <c r="L3607" s="67">
        <f t="shared" si="1343"/>
        <v>0</v>
      </c>
      <c r="M3607" s="77">
        <f t="shared" si="1344"/>
        <v>0</v>
      </c>
      <c r="N3607" s="76">
        <f t="shared" si="1345"/>
        <v>1</v>
      </c>
      <c r="O3607" s="77">
        <f t="shared" si="1346"/>
        <v>1</v>
      </c>
      <c r="P3607" s="76">
        <f t="shared" si="1347"/>
        <v>0.91666666666666663</v>
      </c>
      <c r="Q3607" s="76">
        <f t="shared" si="1348"/>
        <v>8.333333333333337E-2</v>
      </c>
      <c r="R3607" s="76">
        <f t="shared" si="1349"/>
        <v>0</v>
      </c>
      <c r="S3607" s="76">
        <f t="shared" si="1350"/>
        <v>1</v>
      </c>
      <c r="T3607" s="76">
        <f t="shared" si="1351"/>
        <v>1</v>
      </c>
      <c r="U3607" s="76">
        <f t="shared" si="1352"/>
        <v>1</v>
      </c>
    </row>
    <row r="3608" spans="1:21" x14ac:dyDescent="0.25">
      <c r="A3608" s="71">
        <v>20</v>
      </c>
      <c r="B3608" s="72">
        <f t="shared" si="1353"/>
        <v>46235</v>
      </c>
      <c r="C3608" s="73">
        <f t="shared" si="1334"/>
        <v>46265</v>
      </c>
      <c r="D3608" s="67">
        <f t="shared" si="1335"/>
        <v>31</v>
      </c>
      <c r="E3608" s="67">
        <f t="shared" si="1336"/>
        <v>8</v>
      </c>
      <c r="F3608" s="74">
        <f t="shared" si="1337"/>
        <v>46250.5</v>
      </c>
      <c r="G3608" s="67">
        <f t="shared" si="1338"/>
        <v>24319</v>
      </c>
      <c r="H3608" s="75">
        <f t="shared" si="1339"/>
        <v>1</v>
      </c>
      <c r="I3608" s="76">
        <f t="shared" si="1340"/>
        <v>1</v>
      </c>
      <c r="J3608" s="76">
        <f t="shared" si="1341"/>
        <v>1</v>
      </c>
      <c r="K3608" s="67">
        <f t="shared" si="1342"/>
        <v>0</v>
      </c>
      <c r="L3608" s="67">
        <f t="shared" si="1343"/>
        <v>0</v>
      </c>
      <c r="M3608" s="77">
        <f t="shared" si="1344"/>
        <v>0</v>
      </c>
      <c r="N3608" s="76">
        <f t="shared" si="1345"/>
        <v>1</v>
      </c>
      <c r="O3608" s="77">
        <f t="shared" si="1346"/>
        <v>1</v>
      </c>
      <c r="P3608" s="76">
        <f t="shared" si="1347"/>
        <v>0.75</v>
      </c>
      <c r="Q3608" s="76">
        <f t="shared" si="1348"/>
        <v>0.25</v>
      </c>
      <c r="R3608" s="76">
        <f t="shared" si="1349"/>
        <v>0</v>
      </c>
      <c r="S3608" s="76">
        <f t="shared" si="1350"/>
        <v>1</v>
      </c>
      <c r="T3608" s="76">
        <f t="shared" si="1351"/>
        <v>1</v>
      </c>
      <c r="U3608" s="76">
        <f t="shared" si="1352"/>
        <v>1</v>
      </c>
    </row>
    <row r="3609" spans="1:21" x14ac:dyDescent="0.25">
      <c r="A3609" s="71">
        <v>21</v>
      </c>
      <c r="B3609" s="72">
        <f t="shared" si="1353"/>
        <v>46266</v>
      </c>
      <c r="C3609" s="73">
        <f t="shared" si="1334"/>
        <v>46295</v>
      </c>
      <c r="D3609" s="67">
        <f t="shared" si="1335"/>
        <v>30</v>
      </c>
      <c r="E3609" s="67">
        <f t="shared" si="1336"/>
        <v>9</v>
      </c>
      <c r="F3609" s="74">
        <f t="shared" si="1337"/>
        <v>46281</v>
      </c>
      <c r="G3609" s="67">
        <f t="shared" si="1338"/>
        <v>24320</v>
      </c>
      <c r="H3609" s="75">
        <f t="shared" si="1339"/>
        <v>1</v>
      </c>
      <c r="I3609" s="76">
        <f t="shared" si="1340"/>
        <v>1</v>
      </c>
      <c r="J3609" s="76">
        <f t="shared" si="1341"/>
        <v>1</v>
      </c>
      <c r="K3609" s="67">
        <f t="shared" si="1342"/>
        <v>0</v>
      </c>
      <c r="L3609" s="67">
        <f t="shared" si="1343"/>
        <v>0</v>
      </c>
      <c r="M3609" s="77">
        <f t="shared" si="1344"/>
        <v>0</v>
      </c>
      <c r="N3609" s="76">
        <f t="shared" si="1345"/>
        <v>1</v>
      </c>
      <c r="O3609" s="77">
        <f t="shared" si="1346"/>
        <v>1</v>
      </c>
      <c r="P3609" s="76">
        <f t="shared" si="1347"/>
        <v>0.58333333333333337</v>
      </c>
      <c r="Q3609" s="76">
        <f t="shared" si="1348"/>
        <v>0.41666666666666663</v>
      </c>
      <c r="R3609" s="76">
        <f t="shared" si="1349"/>
        <v>0</v>
      </c>
      <c r="S3609" s="76">
        <f t="shared" si="1350"/>
        <v>1</v>
      </c>
      <c r="T3609" s="76">
        <f t="shared" si="1351"/>
        <v>1</v>
      </c>
      <c r="U3609" s="76">
        <f t="shared" si="1352"/>
        <v>1</v>
      </c>
    </row>
    <row r="3610" spans="1:21" x14ac:dyDescent="0.25">
      <c r="A3610" s="71">
        <v>22</v>
      </c>
      <c r="B3610" s="72">
        <f t="shared" si="1353"/>
        <v>46296</v>
      </c>
      <c r="C3610" s="73">
        <f t="shared" si="1334"/>
        <v>46326</v>
      </c>
      <c r="D3610" s="67">
        <f t="shared" si="1335"/>
        <v>31</v>
      </c>
      <c r="E3610" s="67">
        <f t="shared" si="1336"/>
        <v>10</v>
      </c>
      <c r="F3610" s="74">
        <f t="shared" si="1337"/>
        <v>46311.5</v>
      </c>
      <c r="G3610" s="67">
        <f t="shared" si="1338"/>
        <v>24321</v>
      </c>
      <c r="H3610" s="75">
        <f t="shared" si="1339"/>
        <v>1</v>
      </c>
      <c r="I3610" s="76">
        <f t="shared" si="1340"/>
        <v>1</v>
      </c>
      <c r="J3610" s="76">
        <f t="shared" si="1341"/>
        <v>1</v>
      </c>
      <c r="K3610" s="67">
        <f t="shared" si="1342"/>
        <v>0</v>
      </c>
      <c r="L3610" s="67">
        <f t="shared" si="1343"/>
        <v>0</v>
      </c>
      <c r="M3610" s="77">
        <f t="shared" si="1344"/>
        <v>0</v>
      </c>
      <c r="N3610" s="76">
        <f t="shared" si="1345"/>
        <v>1</v>
      </c>
      <c r="O3610" s="77">
        <f t="shared" si="1346"/>
        <v>1</v>
      </c>
      <c r="P3610" s="76">
        <f t="shared" si="1347"/>
        <v>0.41666666666666669</v>
      </c>
      <c r="Q3610" s="76">
        <f t="shared" si="1348"/>
        <v>0.58333333333333326</v>
      </c>
      <c r="R3610" s="76">
        <f t="shared" si="1349"/>
        <v>0</v>
      </c>
      <c r="S3610" s="76">
        <f t="shared" si="1350"/>
        <v>1</v>
      </c>
      <c r="T3610" s="76">
        <f t="shared" si="1351"/>
        <v>1</v>
      </c>
      <c r="U3610" s="76">
        <f t="shared" si="1352"/>
        <v>1</v>
      </c>
    </row>
    <row r="3611" spans="1:21" x14ac:dyDescent="0.25">
      <c r="A3611" s="71">
        <v>23</v>
      </c>
      <c r="B3611" s="72">
        <f t="shared" si="1353"/>
        <v>46327</v>
      </c>
      <c r="C3611" s="73">
        <f t="shared" si="1334"/>
        <v>46356</v>
      </c>
      <c r="D3611" s="67">
        <f t="shared" si="1335"/>
        <v>30</v>
      </c>
      <c r="E3611" s="67">
        <f t="shared" si="1336"/>
        <v>11</v>
      </c>
      <c r="F3611" s="74">
        <f t="shared" si="1337"/>
        <v>46342</v>
      </c>
      <c r="G3611" s="67">
        <f t="shared" si="1338"/>
        <v>24322</v>
      </c>
      <c r="H3611" s="75">
        <f t="shared" si="1339"/>
        <v>1</v>
      </c>
      <c r="I3611" s="76">
        <f t="shared" si="1340"/>
        <v>1</v>
      </c>
      <c r="J3611" s="76">
        <f t="shared" si="1341"/>
        <v>1</v>
      </c>
      <c r="K3611" s="67">
        <f t="shared" si="1342"/>
        <v>0</v>
      </c>
      <c r="L3611" s="67">
        <f t="shared" si="1343"/>
        <v>0</v>
      </c>
      <c r="M3611" s="77">
        <f t="shared" si="1344"/>
        <v>0</v>
      </c>
      <c r="N3611" s="76">
        <f t="shared" si="1345"/>
        <v>1</v>
      </c>
      <c r="O3611" s="77">
        <f t="shared" si="1346"/>
        <v>1</v>
      </c>
      <c r="P3611" s="76">
        <f t="shared" si="1347"/>
        <v>0.25</v>
      </c>
      <c r="Q3611" s="76">
        <f t="shared" si="1348"/>
        <v>0.75</v>
      </c>
      <c r="R3611" s="76">
        <f t="shared" si="1349"/>
        <v>0</v>
      </c>
      <c r="S3611" s="76">
        <f t="shared" si="1350"/>
        <v>1</v>
      </c>
      <c r="T3611" s="76">
        <f t="shared" si="1351"/>
        <v>1</v>
      </c>
      <c r="U3611" s="76">
        <f t="shared" si="1352"/>
        <v>1</v>
      </c>
    </row>
    <row r="3612" spans="1:21" x14ac:dyDescent="0.25">
      <c r="A3612" s="71">
        <v>24</v>
      </c>
      <c r="B3612" s="72">
        <f t="shared" si="1353"/>
        <v>46357</v>
      </c>
      <c r="C3612" s="73">
        <f t="shared" si="1334"/>
        <v>46387</v>
      </c>
      <c r="D3612" s="67">
        <f t="shared" si="1335"/>
        <v>31</v>
      </c>
      <c r="E3612" s="67">
        <f t="shared" si="1336"/>
        <v>12</v>
      </c>
      <c r="F3612" s="74">
        <f t="shared" si="1337"/>
        <v>46372.5</v>
      </c>
      <c r="G3612" s="67">
        <f t="shared" si="1338"/>
        <v>24323</v>
      </c>
      <c r="H3612" s="75">
        <f t="shared" si="1339"/>
        <v>1</v>
      </c>
      <c r="I3612" s="76">
        <f t="shared" si="1340"/>
        <v>1</v>
      </c>
      <c r="J3612" s="76">
        <f t="shared" si="1341"/>
        <v>1</v>
      </c>
      <c r="K3612" s="67">
        <f t="shared" si="1342"/>
        <v>0</v>
      </c>
      <c r="L3612" s="67">
        <f t="shared" si="1343"/>
        <v>0</v>
      </c>
      <c r="M3612" s="77">
        <f t="shared" si="1344"/>
        <v>0</v>
      </c>
      <c r="N3612" s="76">
        <f t="shared" si="1345"/>
        <v>1</v>
      </c>
      <c r="O3612" s="77">
        <f t="shared" si="1346"/>
        <v>1</v>
      </c>
      <c r="P3612" s="76">
        <f t="shared" si="1347"/>
        <v>8.3333333333333329E-2</v>
      </c>
      <c r="Q3612" s="76">
        <f t="shared" si="1348"/>
        <v>0.91666666666666663</v>
      </c>
      <c r="R3612" s="76">
        <f t="shared" si="1349"/>
        <v>0</v>
      </c>
      <c r="S3612" s="76">
        <f t="shared" si="1350"/>
        <v>1</v>
      </c>
      <c r="T3612" s="76">
        <f t="shared" si="1351"/>
        <v>1</v>
      </c>
      <c r="U3612" s="76">
        <f t="shared" si="1352"/>
        <v>1</v>
      </c>
    </row>
    <row r="3613" spans="1:21" x14ac:dyDescent="0.25">
      <c r="A3613" s="71">
        <v>25</v>
      </c>
      <c r="B3613" s="72">
        <f t="shared" si="1353"/>
        <v>46388</v>
      </c>
      <c r="C3613" s="73">
        <f t="shared" si="1334"/>
        <v>46418</v>
      </c>
      <c r="D3613" s="67">
        <f t="shared" si="1335"/>
        <v>31</v>
      </c>
      <c r="E3613" s="67">
        <f t="shared" si="1336"/>
        <v>1</v>
      </c>
      <c r="F3613" s="74">
        <f t="shared" si="1337"/>
        <v>46403.5</v>
      </c>
      <c r="G3613" s="67">
        <f t="shared" si="1338"/>
        <v>24324</v>
      </c>
      <c r="H3613" s="75">
        <f t="shared" si="1339"/>
        <v>1</v>
      </c>
      <c r="I3613" s="76">
        <f t="shared" si="1340"/>
        <v>1</v>
      </c>
      <c r="J3613" s="76">
        <f t="shared" si="1341"/>
        <v>1</v>
      </c>
      <c r="K3613" s="67">
        <f t="shared" si="1342"/>
        <v>0</v>
      </c>
      <c r="L3613" s="67">
        <f t="shared" si="1343"/>
        <v>0</v>
      </c>
      <c r="M3613" s="77">
        <f t="shared" si="1344"/>
        <v>0</v>
      </c>
      <c r="N3613" s="76">
        <f t="shared" si="1345"/>
        <v>1</v>
      </c>
      <c r="O3613" s="77">
        <f t="shared" si="1346"/>
        <v>1</v>
      </c>
      <c r="P3613" s="76">
        <f t="shared" si="1347"/>
        <v>0</v>
      </c>
      <c r="Q3613" s="76">
        <f t="shared" si="1348"/>
        <v>1</v>
      </c>
      <c r="R3613" s="76">
        <f t="shared" si="1349"/>
        <v>0</v>
      </c>
      <c r="S3613" s="76">
        <f t="shared" si="1350"/>
        <v>1</v>
      </c>
      <c r="T3613" s="76">
        <f t="shared" si="1351"/>
        <v>1</v>
      </c>
      <c r="U3613" s="76">
        <f t="shared" si="1352"/>
        <v>1</v>
      </c>
    </row>
    <row r="3614" spans="1:21" x14ac:dyDescent="0.25">
      <c r="A3614" s="71">
        <v>26</v>
      </c>
      <c r="B3614" s="72">
        <f t="shared" si="1353"/>
        <v>46419</v>
      </c>
      <c r="C3614" s="73">
        <f t="shared" si="1334"/>
        <v>46446</v>
      </c>
      <c r="D3614" s="67">
        <f t="shared" si="1335"/>
        <v>28</v>
      </c>
      <c r="E3614" s="67">
        <f t="shared" si="1336"/>
        <v>2</v>
      </c>
      <c r="F3614" s="74">
        <f t="shared" si="1337"/>
        <v>46433</v>
      </c>
      <c r="G3614" s="67">
        <f t="shared" si="1338"/>
        <v>24325</v>
      </c>
      <c r="H3614" s="75">
        <f t="shared" si="1339"/>
        <v>1</v>
      </c>
      <c r="I3614" s="76">
        <f t="shared" si="1340"/>
        <v>1</v>
      </c>
      <c r="J3614" s="76">
        <f t="shared" si="1341"/>
        <v>1</v>
      </c>
      <c r="K3614" s="67">
        <f t="shared" si="1342"/>
        <v>0</v>
      </c>
      <c r="L3614" s="67">
        <f t="shared" si="1343"/>
        <v>0</v>
      </c>
      <c r="M3614" s="77">
        <f t="shared" si="1344"/>
        <v>0</v>
      </c>
      <c r="N3614" s="76">
        <f t="shared" si="1345"/>
        <v>1</v>
      </c>
      <c r="O3614" s="77">
        <f t="shared" si="1346"/>
        <v>1</v>
      </c>
      <c r="P3614" s="76">
        <f t="shared" si="1347"/>
        <v>0</v>
      </c>
      <c r="Q3614" s="76">
        <f t="shared" si="1348"/>
        <v>1</v>
      </c>
      <c r="R3614" s="76">
        <f t="shared" si="1349"/>
        <v>0</v>
      </c>
      <c r="S3614" s="76">
        <f t="shared" si="1350"/>
        <v>1</v>
      </c>
      <c r="T3614" s="76">
        <f t="shared" si="1351"/>
        <v>1</v>
      </c>
      <c r="U3614" s="76">
        <f t="shared" si="1352"/>
        <v>1</v>
      </c>
    </row>
    <row r="3615" spans="1:21" x14ac:dyDescent="0.25">
      <c r="A3615" s="71">
        <v>27</v>
      </c>
      <c r="B3615" s="72">
        <f t="shared" si="1353"/>
        <v>46447</v>
      </c>
      <c r="C3615" s="73">
        <f t="shared" si="1334"/>
        <v>46477</v>
      </c>
      <c r="D3615" s="67">
        <f t="shared" si="1335"/>
        <v>31</v>
      </c>
      <c r="E3615" s="67">
        <f t="shared" si="1336"/>
        <v>3</v>
      </c>
      <c r="F3615" s="74">
        <f t="shared" si="1337"/>
        <v>46462.5</v>
      </c>
      <c r="G3615" s="67">
        <f t="shared" si="1338"/>
        <v>24326</v>
      </c>
      <c r="H3615" s="75">
        <f t="shared" si="1339"/>
        <v>1</v>
      </c>
      <c r="I3615" s="76">
        <f t="shared" si="1340"/>
        <v>1</v>
      </c>
      <c r="J3615" s="76">
        <f t="shared" si="1341"/>
        <v>1</v>
      </c>
      <c r="K3615" s="67">
        <f t="shared" si="1342"/>
        <v>0</v>
      </c>
      <c r="L3615" s="67">
        <f t="shared" si="1343"/>
        <v>0</v>
      </c>
      <c r="M3615" s="77">
        <f t="shared" si="1344"/>
        <v>0</v>
      </c>
      <c r="N3615" s="76">
        <f t="shared" si="1345"/>
        <v>1</v>
      </c>
      <c r="O3615" s="77">
        <f t="shared" si="1346"/>
        <v>1</v>
      </c>
      <c r="P3615" s="76">
        <f t="shared" si="1347"/>
        <v>0</v>
      </c>
      <c r="Q3615" s="76">
        <f t="shared" si="1348"/>
        <v>1</v>
      </c>
      <c r="R3615" s="76">
        <f t="shared" si="1349"/>
        <v>0</v>
      </c>
      <c r="S3615" s="76">
        <f t="shared" si="1350"/>
        <v>1</v>
      </c>
      <c r="T3615" s="76">
        <f t="shared" si="1351"/>
        <v>1</v>
      </c>
      <c r="U3615" s="76">
        <f t="shared" si="1352"/>
        <v>1</v>
      </c>
    </row>
    <row r="3616" spans="1:21" x14ac:dyDescent="0.25">
      <c r="A3616" s="71">
        <v>28</v>
      </c>
      <c r="B3616" s="72">
        <f t="shared" si="1353"/>
        <v>46478</v>
      </c>
      <c r="C3616" s="73">
        <f t="shared" si="1334"/>
        <v>46507</v>
      </c>
      <c r="D3616" s="67">
        <f t="shared" si="1335"/>
        <v>30</v>
      </c>
      <c r="E3616" s="67">
        <f t="shared" si="1336"/>
        <v>4</v>
      </c>
      <c r="F3616" s="74">
        <f t="shared" si="1337"/>
        <v>46493</v>
      </c>
      <c r="G3616" s="67">
        <f t="shared" si="1338"/>
        <v>24327</v>
      </c>
      <c r="H3616" s="75">
        <f t="shared" si="1339"/>
        <v>1</v>
      </c>
      <c r="I3616" s="76">
        <f t="shared" si="1340"/>
        <v>1</v>
      </c>
      <c r="J3616" s="76">
        <f t="shared" si="1341"/>
        <v>1</v>
      </c>
      <c r="K3616" s="67">
        <f t="shared" si="1342"/>
        <v>0</v>
      </c>
      <c r="L3616" s="67">
        <f t="shared" si="1343"/>
        <v>0</v>
      </c>
      <c r="M3616" s="77">
        <f t="shared" si="1344"/>
        <v>0</v>
      </c>
      <c r="N3616" s="76">
        <f t="shared" si="1345"/>
        <v>1</v>
      </c>
      <c r="O3616" s="77">
        <f t="shared" si="1346"/>
        <v>1</v>
      </c>
      <c r="P3616" s="76">
        <f t="shared" si="1347"/>
        <v>0</v>
      </c>
      <c r="Q3616" s="76">
        <f t="shared" si="1348"/>
        <v>1</v>
      </c>
      <c r="R3616" s="76">
        <f t="shared" si="1349"/>
        <v>0</v>
      </c>
      <c r="S3616" s="76">
        <f t="shared" si="1350"/>
        <v>1</v>
      </c>
      <c r="T3616" s="76">
        <f t="shared" si="1351"/>
        <v>1</v>
      </c>
      <c r="U3616" s="76">
        <f t="shared" si="1352"/>
        <v>1</v>
      </c>
    </row>
    <row r="3617" spans="1:21" x14ac:dyDescent="0.25">
      <c r="A3617" s="71">
        <v>29</v>
      </c>
      <c r="B3617" s="72">
        <f t="shared" si="1353"/>
        <v>46508</v>
      </c>
      <c r="C3617" s="73">
        <f t="shared" si="1334"/>
        <v>46538</v>
      </c>
      <c r="D3617" s="67">
        <f t="shared" si="1335"/>
        <v>31</v>
      </c>
      <c r="E3617" s="67">
        <f t="shared" si="1336"/>
        <v>5</v>
      </c>
      <c r="F3617" s="74">
        <f t="shared" si="1337"/>
        <v>46523.5</v>
      </c>
      <c r="G3617" s="67">
        <f t="shared" si="1338"/>
        <v>24328</v>
      </c>
      <c r="H3617" s="75">
        <f t="shared" si="1339"/>
        <v>1</v>
      </c>
      <c r="I3617" s="76">
        <f t="shared" si="1340"/>
        <v>1</v>
      </c>
      <c r="J3617" s="76">
        <f t="shared" si="1341"/>
        <v>1</v>
      </c>
      <c r="K3617" s="67">
        <f t="shared" si="1342"/>
        <v>0</v>
      </c>
      <c r="L3617" s="67">
        <f t="shared" si="1343"/>
        <v>0</v>
      </c>
      <c r="M3617" s="77">
        <f t="shared" si="1344"/>
        <v>0</v>
      </c>
      <c r="N3617" s="76">
        <f t="shared" si="1345"/>
        <v>1</v>
      </c>
      <c r="O3617" s="77">
        <f t="shared" si="1346"/>
        <v>1</v>
      </c>
      <c r="P3617" s="76">
        <f t="shared" si="1347"/>
        <v>0</v>
      </c>
      <c r="Q3617" s="76">
        <f t="shared" si="1348"/>
        <v>1</v>
      </c>
      <c r="R3617" s="76">
        <f t="shared" si="1349"/>
        <v>0</v>
      </c>
      <c r="S3617" s="76">
        <f t="shared" si="1350"/>
        <v>1</v>
      </c>
      <c r="T3617" s="76">
        <f t="shared" si="1351"/>
        <v>1</v>
      </c>
      <c r="U3617" s="76">
        <f t="shared" si="1352"/>
        <v>1</v>
      </c>
    </row>
    <row r="3618" spans="1:21" x14ac:dyDescent="0.25">
      <c r="A3618" s="71">
        <v>30</v>
      </c>
      <c r="B3618" s="72">
        <f t="shared" si="1353"/>
        <v>46539</v>
      </c>
      <c r="C3618" s="73">
        <f t="shared" si="1334"/>
        <v>46568</v>
      </c>
      <c r="D3618" s="67">
        <f t="shared" si="1335"/>
        <v>30</v>
      </c>
      <c r="E3618" s="67">
        <f t="shared" si="1336"/>
        <v>6</v>
      </c>
      <c r="F3618" s="74">
        <f t="shared" si="1337"/>
        <v>46554</v>
      </c>
      <c r="G3618" s="67">
        <f t="shared" si="1338"/>
        <v>24329</v>
      </c>
      <c r="H3618" s="75">
        <f t="shared" si="1339"/>
        <v>1</v>
      </c>
      <c r="I3618" s="76">
        <f t="shared" si="1340"/>
        <v>1</v>
      </c>
      <c r="J3618" s="76">
        <f t="shared" si="1341"/>
        <v>1</v>
      </c>
      <c r="K3618" s="67">
        <f t="shared" si="1342"/>
        <v>0</v>
      </c>
      <c r="L3618" s="67">
        <f t="shared" si="1343"/>
        <v>0</v>
      </c>
      <c r="M3618" s="77">
        <f t="shared" si="1344"/>
        <v>0</v>
      </c>
      <c r="N3618" s="76">
        <f t="shared" si="1345"/>
        <v>1</v>
      </c>
      <c r="O3618" s="77">
        <f t="shared" si="1346"/>
        <v>1</v>
      </c>
      <c r="P3618" s="76">
        <f t="shared" si="1347"/>
        <v>0</v>
      </c>
      <c r="Q3618" s="76">
        <f t="shared" si="1348"/>
        <v>1</v>
      </c>
      <c r="R3618" s="76">
        <f t="shared" si="1349"/>
        <v>0</v>
      </c>
      <c r="S3618" s="76">
        <f t="shared" si="1350"/>
        <v>1</v>
      </c>
      <c r="T3618" s="76">
        <f t="shared" si="1351"/>
        <v>1</v>
      </c>
      <c r="U3618" s="76">
        <f t="shared" si="1352"/>
        <v>1</v>
      </c>
    </row>
    <row r="3619" spans="1:21" x14ac:dyDescent="0.25">
      <c r="A3619" s="71">
        <v>31</v>
      </c>
      <c r="B3619" s="72">
        <f t="shared" si="1353"/>
        <v>46569</v>
      </c>
      <c r="C3619" s="73">
        <f t="shared" si="1334"/>
        <v>46599</v>
      </c>
      <c r="D3619" s="67">
        <f t="shared" si="1335"/>
        <v>31</v>
      </c>
      <c r="E3619" s="67">
        <f t="shared" si="1336"/>
        <v>7</v>
      </c>
      <c r="F3619" s="74">
        <f t="shared" si="1337"/>
        <v>46584.5</v>
      </c>
      <c r="G3619" s="67">
        <f t="shared" si="1338"/>
        <v>24330</v>
      </c>
      <c r="H3619" s="75">
        <f t="shared" si="1339"/>
        <v>1</v>
      </c>
      <c r="I3619" s="76">
        <f t="shared" si="1340"/>
        <v>1</v>
      </c>
      <c r="J3619" s="76">
        <f t="shared" si="1341"/>
        <v>1</v>
      </c>
      <c r="K3619" s="67">
        <f t="shared" si="1342"/>
        <v>0</v>
      </c>
      <c r="L3619" s="67">
        <f t="shared" si="1343"/>
        <v>0</v>
      </c>
      <c r="M3619" s="77">
        <f t="shared" si="1344"/>
        <v>0</v>
      </c>
      <c r="N3619" s="76">
        <f t="shared" si="1345"/>
        <v>1</v>
      </c>
      <c r="O3619" s="77">
        <f t="shared" si="1346"/>
        <v>1</v>
      </c>
      <c r="P3619" s="76">
        <f t="shared" si="1347"/>
        <v>0</v>
      </c>
      <c r="Q3619" s="76">
        <f t="shared" si="1348"/>
        <v>0.91666666666666663</v>
      </c>
      <c r="R3619" s="76">
        <f t="shared" si="1349"/>
        <v>8.333333333333337E-2</v>
      </c>
      <c r="S3619" s="76">
        <f t="shared" si="1350"/>
        <v>1</v>
      </c>
      <c r="T3619" s="76">
        <f t="shared" si="1351"/>
        <v>1</v>
      </c>
      <c r="U3619" s="76">
        <f t="shared" si="1352"/>
        <v>1</v>
      </c>
    </row>
    <row r="3620" spans="1:21" x14ac:dyDescent="0.25">
      <c r="A3620" s="71">
        <v>32</v>
      </c>
      <c r="B3620" s="72">
        <f t="shared" si="1353"/>
        <v>46600</v>
      </c>
      <c r="C3620" s="73">
        <f t="shared" si="1334"/>
        <v>46630</v>
      </c>
      <c r="D3620" s="67">
        <f t="shared" si="1335"/>
        <v>31</v>
      </c>
      <c r="E3620" s="67">
        <f t="shared" si="1336"/>
        <v>8</v>
      </c>
      <c r="F3620" s="74">
        <f t="shared" si="1337"/>
        <v>46615.5</v>
      </c>
      <c r="G3620" s="67">
        <f t="shared" si="1338"/>
        <v>24331</v>
      </c>
      <c r="H3620" s="75">
        <f t="shared" si="1339"/>
        <v>1</v>
      </c>
      <c r="I3620" s="76">
        <f t="shared" si="1340"/>
        <v>1</v>
      </c>
      <c r="J3620" s="76">
        <f t="shared" si="1341"/>
        <v>1</v>
      </c>
      <c r="K3620" s="67">
        <f t="shared" si="1342"/>
        <v>0</v>
      </c>
      <c r="L3620" s="67">
        <f t="shared" si="1343"/>
        <v>0</v>
      </c>
      <c r="M3620" s="77">
        <f t="shared" si="1344"/>
        <v>0</v>
      </c>
      <c r="N3620" s="76">
        <f t="shared" si="1345"/>
        <v>1</v>
      </c>
      <c r="O3620" s="77">
        <f t="shared" si="1346"/>
        <v>1</v>
      </c>
      <c r="P3620" s="76">
        <f t="shared" si="1347"/>
        <v>0</v>
      </c>
      <c r="Q3620" s="76">
        <f t="shared" si="1348"/>
        <v>0.75</v>
      </c>
      <c r="R3620" s="76">
        <f t="shared" si="1349"/>
        <v>0.25</v>
      </c>
      <c r="S3620" s="76">
        <f t="shared" si="1350"/>
        <v>1</v>
      </c>
      <c r="T3620" s="76">
        <f t="shared" si="1351"/>
        <v>1</v>
      </c>
      <c r="U3620" s="76">
        <f t="shared" si="1352"/>
        <v>1</v>
      </c>
    </row>
    <row r="3621" spans="1:21" x14ac:dyDescent="0.25">
      <c r="A3621" s="71">
        <v>33</v>
      </c>
      <c r="B3621" s="72">
        <f t="shared" si="1353"/>
        <v>46631</v>
      </c>
      <c r="C3621" s="73">
        <f t="shared" si="1334"/>
        <v>46660</v>
      </c>
      <c r="D3621" s="67">
        <f t="shared" si="1335"/>
        <v>30</v>
      </c>
      <c r="E3621" s="67">
        <f t="shared" si="1336"/>
        <v>9</v>
      </c>
      <c r="F3621" s="74">
        <f t="shared" si="1337"/>
        <v>46646</v>
      </c>
      <c r="G3621" s="67">
        <f t="shared" si="1338"/>
        <v>24332</v>
      </c>
      <c r="H3621" s="75">
        <f t="shared" si="1339"/>
        <v>1</v>
      </c>
      <c r="I3621" s="76">
        <f t="shared" si="1340"/>
        <v>1</v>
      </c>
      <c r="J3621" s="76">
        <f t="shared" si="1341"/>
        <v>1</v>
      </c>
      <c r="K3621" s="67">
        <f t="shared" si="1342"/>
        <v>0</v>
      </c>
      <c r="L3621" s="67">
        <f t="shared" si="1343"/>
        <v>0</v>
      </c>
      <c r="M3621" s="77">
        <f t="shared" si="1344"/>
        <v>0</v>
      </c>
      <c r="N3621" s="76">
        <f t="shared" si="1345"/>
        <v>1</v>
      </c>
      <c r="O3621" s="77">
        <f t="shared" si="1346"/>
        <v>1</v>
      </c>
      <c r="P3621" s="76">
        <f t="shared" si="1347"/>
        <v>0</v>
      </c>
      <c r="Q3621" s="76">
        <f t="shared" si="1348"/>
        <v>0.58333333333333337</v>
      </c>
      <c r="R3621" s="76">
        <f t="shared" si="1349"/>
        <v>0.41666666666666663</v>
      </c>
      <c r="S3621" s="76">
        <f t="shared" si="1350"/>
        <v>1</v>
      </c>
      <c r="T3621" s="76">
        <f t="shared" si="1351"/>
        <v>1</v>
      </c>
      <c r="U3621" s="76">
        <f t="shared" si="1352"/>
        <v>1</v>
      </c>
    </row>
    <row r="3622" spans="1:21" x14ac:dyDescent="0.25">
      <c r="A3622" s="71">
        <v>34</v>
      </c>
      <c r="B3622" s="72">
        <f t="shared" si="1353"/>
        <v>46661</v>
      </c>
      <c r="C3622" s="73">
        <f t="shared" si="1334"/>
        <v>46691</v>
      </c>
      <c r="D3622" s="67">
        <f t="shared" si="1335"/>
        <v>31</v>
      </c>
      <c r="E3622" s="67">
        <f t="shared" si="1336"/>
        <v>10</v>
      </c>
      <c r="F3622" s="74">
        <f t="shared" si="1337"/>
        <v>46676.5</v>
      </c>
      <c r="G3622" s="67">
        <f t="shared" si="1338"/>
        <v>24333</v>
      </c>
      <c r="H3622" s="75">
        <f t="shared" si="1339"/>
        <v>1</v>
      </c>
      <c r="I3622" s="76">
        <f t="shared" si="1340"/>
        <v>1</v>
      </c>
      <c r="J3622" s="76">
        <f t="shared" si="1341"/>
        <v>1</v>
      </c>
      <c r="K3622" s="67">
        <f t="shared" si="1342"/>
        <v>0</v>
      </c>
      <c r="L3622" s="67">
        <f t="shared" si="1343"/>
        <v>0</v>
      </c>
      <c r="M3622" s="77">
        <f t="shared" si="1344"/>
        <v>0</v>
      </c>
      <c r="N3622" s="76">
        <f t="shared" si="1345"/>
        <v>1</v>
      </c>
      <c r="O3622" s="77">
        <f t="shared" si="1346"/>
        <v>1</v>
      </c>
      <c r="P3622" s="76">
        <f t="shared" si="1347"/>
        <v>0</v>
      </c>
      <c r="Q3622" s="76">
        <f t="shared" si="1348"/>
        <v>0.41666666666666669</v>
      </c>
      <c r="R3622" s="76">
        <f t="shared" si="1349"/>
        <v>0.58333333333333326</v>
      </c>
      <c r="S3622" s="76">
        <f t="shared" si="1350"/>
        <v>1</v>
      </c>
      <c r="T3622" s="76">
        <f t="shared" si="1351"/>
        <v>1</v>
      </c>
      <c r="U3622" s="76">
        <f t="shared" si="1352"/>
        <v>1</v>
      </c>
    </row>
    <row r="3623" spans="1:21" x14ac:dyDescent="0.25">
      <c r="A3623" s="71">
        <v>35</v>
      </c>
      <c r="B3623" s="72">
        <f t="shared" si="1353"/>
        <v>46692</v>
      </c>
      <c r="C3623" s="73">
        <f t="shared" si="1334"/>
        <v>46721</v>
      </c>
      <c r="D3623" s="67">
        <f t="shared" si="1335"/>
        <v>30</v>
      </c>
      <c r="E3623" s="67">
        <f t="shared" si="1336"/>
        <v>11</v>
      </c>
      <c r="F3623" s="74">
        <f t="shared" si="1337"/>
        <v>46707</v>
      </c>
      <c r="G3623" s="67">
        <f t="shared" si="1338"/>
        <v>24334</v>
      </c>
      <c r="H3623" s="75">
        <f t="shared" si="1339"/>
        <v>1</v>
      </c>
      <c r="I3623" s="76">
        <f t="shared" si="1340"/>
        <v>1</v>
      </c>
      <c r="J3623" s="76">
        <f t="shared" si="1341"/>
        <v>1</v>
      </c>
      <c r="K3623" s="67">
        <f t="shared" si="1342"/>
        <v>0</v>
      </c>
      <c r="L3623" s="67">
        <f t="shared" si="1343"/>
        <v>0</v>
      </c>
      <c r="M3623" s="77">
        <f t="shared" si="1344"/>
        <v>0</v>
      </c>
      <c r="N3623" s="76">
        <f t="shared" si="1345"/>
        <v>1</v>
      </c>
      <c r="O3623" s="77">
        <f t="shared" si="1346"/>
        <v>1</v>
      </c>
      <c r="P3623" s="76">
        <f t="shared" si="1347"/>
        <v>0</v>
      </c>
      <c r="Q3623" s="76">
        <f t="shared" si="1348"/>
        <v>0.25</v>
      </c>
      <c r="R3623" s="76">
        <f t="shared" si="1349"/>
        <v>0.75</v>
      </c>
      <c r="S3623" s="76">
        <f t="shared" si="1350"/>
        <v>1</v>
      </c>
      <c r="T3623" s="76">
        <f t="shared" si="1351"/>
        <v>1</v>
      </c>
      <c r="U3623" s="76">
        <f t="shared" si="1352"/>
        <v>1</v>
      </c>
    </row>
    <row r="3624" spans="1:21" x14ac:dyDescent="0.25">
      <c r="A3624" s="71">
        <v>36</v>
      </c>
      <c r="B3624" s="72">
        <f t="shared" si="1353"/>
        <v>46722</v>
      </c>
      <c r="C3624" s="73">
        <f t="shared" si="1334"/>
        <v>46752</v>
      </c>
      <c r="D3624" s="67">
        <f t="shared" si="1335"/>
        <v>31</v>
      </c>
      <c r="E3624" s="67">
        <f t="shared" si="1336"/>
        <v>12</v>
      </c>
      <c r="F3624" s="74">
        <f t="shared" si="1337"/>
        <v>46737.5</v>
      </c>
      <c r="G3624" s="67">
        <f t="shared" si="1338"/>
        <v>24335</v>
      </c>
      <c r="H3624" s="75">
        <f t="shared" si="1339"/>
        <v>1</v>
      </c>
      <c r="I3624" s="76">
        <f t="shared" si="1340"/>
        <v>1</v>
      </c>
      <c r="J3624" s="76">
        <f t="shared" si="1341"/>
        <v>1</v>
      </c>
      <c r="K3624" s="67">
        <f t="shared" si="1342"/>
        <v>0</v>
      </c>
      <c r="L3624" s="67">
        <f t="shared" si="1343"/>
        <v>0</v>
      </c>
      <c r="M3624" s="77">
        <f t="shared" si="1344"/>
        <v>0</v>
      </c>
      <c r="N3624" s="76">
        <f t="shared" si="1345"/>
        <v>1</v>
      </c>
      <c r="O3624" s="77">
        <f t="shared" si="1346"/>
        <v>1</v>
      </c>
      <c r="P3624" s="76">
        <f t="shared" si="1347"/>
        <v>0</v>
      </c>
      <c r="Q3624" s="76">
        <f t="shared" si="1348"/>
        <v>8.3333333333333329E-2</v>
      </c>
      <c r="R3624" s="76">
        <f t="shared" si="1349"/>
        <v>0.91666666666666663</v>
      </c>
      <c r="S3624" s="76">
        <f t="shared" si="1350"/>
        <v>1</v>
      </c>
      <c r="T3624" s="76">
        <f t="shared" si="1351"/>
        <v>1</v>
      </c>
      <c r="U3624" s="76">
        <f t="shared" si="1352"/>
        <v>1</v>
      </c>
    </row>
    <row r="3625" spans="1:21" x14ac:dyDescent="0.25">
      <c r="A3625" s="71">
        <v>37</v>
      </c>
      <c r="B3625" s="72">
        <f t="shared" si="1353"/>
        <v>46753</v>
      </c>
      <c r="C3625" s="73">
        <f t="shared" si="1334"/>
        <v>46783</v>
      </c>
      <c r="D3625" s="67">
        <f t="shared" si="1335"/>
        <v>31</v>
      </c>
      <c r="E3625" s="67">
        <f t="shared" si="1336"/>
        <v>1</v>
      </c>
      <c r="F3625" s="74">
        <f t="shared" si="1337"/>
        <v>46768.5</v>
      </c>
      <c r="G3625" s="67">
        <f t="shared" si="1338"/>
        <v>24336</v>
      </c>
      <c r="H3625" s="75">
        <f t="shared" si="1339"/>
        <v>1</v>
      </c>
      <c r="I3625" s="76">
        <f t="shared" si="1340"/>
        <v>1</v>
      </c>
      <c r="J3625" s="76">
        <f t="shared" si="1341"/>
        <v>1</v>
      </c>
      <c r="K3625" s="67">
        <f t="shared" si="1342"/>
        <v>0</v>
      </c>
      <c r="L3625" s="67">
        <f t="shared" si="1343"/>
        <v>0</v>
      </c>
      <c r="M3625" s="77">
        <f t="shared" si="1344"/>
        <v>0</v>
      </c>
      <c r="N3625" s="76">
        <f t="shared" si="1345"/>
        <v>1</v>
      </c>
      <c r="O3625" s="77">
        <f t="shared" si="1346"/>
        <v>1</v>
      </c>
      <c r="P3625" s="76">
        <f t="shared" si="1347"/>
        <v>0</v>
      </c>
      <c r="Q3625" s="76">
        <f t="shared" si="1348"/>
        <v>0</v>
      </c>
      <c r="R3625" s="76">
        <f t="shared" si="1349"/>
        <v>1</v>
      </c>
      <c r="S3625" s="76">
        <f t="shared" si="1350"/>
        <v>1</v>
      </c>
      <c r="T3625" s="76">
        <f t="shared" si="1351"/>
        <v>1</v>
      </c>
      <c r="U3625" s="76">
        <f t="shared" si="1352"/>
        <v>1</v>
      </c>
    </row>
    <row r="3626" spans="1:21" x14ac:dyDescent="0.25">
      <c r="A3626" s="71">
        <v>38</v>
      </c>
      <c r="B3626" s="72">
        <f t="shared" si="1353"/>
        <v>46784</v>
      </c>
      <c r="C3626" s="73">
        <f t="shared" si="1334"/>
        <v>46812</v>
      </c>
      <c r="D3626" s="67">
        <f t="shared" si="1335"/>
        <v>29</v>
      </c>
      <c r="E3626" s="67">
        <f t="shared" si="1336"/>
        <v>2</v>
      </c>
      <c r="F3626" s="74">
        <f t="shared" si="1337"/>
        <v>46798.5</v>
      </c>
      <c r="G3626" s="67">
        <f t="shared" si="1338"/>
        <v>24337</v>
      </c>
      <c r="H3626" s="75">
        <f t="shared" si="1339"/>
        <v>1</v>
      </c>
      <c r="I3626" s="76">
        <f t="shared" si="1340"/>
        <v>1</v>
      </c>
      <c r="J3626" s="76">
        <f t="shared" si="1341"/>
        <v>1</v>
      </c>
      <c r="K3626" s="67">
        <f t="shared" si="1342"/>
        <v>0</v>
      </c>
      <c r="L3626" s="67">
        <f t="shared" si="1343"/>
        <v>0</v>
      </c>
      <c r="M3626" s="77">
        <f t="shared" si="1344"/>
        <v>0</v>
      </c>
      <c r="N3626" s="76">
        <f t="shared" si="1345"/>
        <v>1</v>
      </c>
      <c r="O3626" s="77">
        <f t="shared" si="1346"/>
        <v>1</v>
      </c>
      <c r="P3626" s="76">
        <f t="shared" si="1347"/>
        <v>0</v>
      </c>
      <c r="Q3626" s="76">
        <f t="shared" si="1348"/>
        <v>0</v>
      </c>
      <c r="R3626" s="76">
        <f t="shared" si="1349"/>
        <v>1</v>
      </c>
      <c r="S3626" s="76">
        <f t="shared" si="1350"/>
        <v>1</v>
      </c>
      <c r="T3626" s="76">
        <f t="shared" si="1351"/>
        <v>1</v>
      </c>
      <c r="U3626" s="76">
        <f t="shared" si="1352"/>
        <v>1</v>
      </c>
    </row>
    <row r="3627" spans="1:21" x14ac:dyDescent="0.25">
      <c r="A3627" s="71">
        <v>39</v>
      </c>
      <c r="B3627" s="72">
        <f t="shared" si="1353"/>
        <v>46813</v>
      </c>
      <c r="C3627" s="73">
        <f t="shared" si="1334"/>
        <v>46843</v>
      </c>
      <c r="D3627" s="67">
        <f t="shared" si="1335"/>
        <v>31</v>
      </c>
      <c r="E3627" s="67">
        <f t="shared" si="1336"/>
        <v>3</v>
      </c>
      <c r="F3627" s="74">
        <f t="shared" si="1337"/>
        <v>46828.5</v>
      </c>
      <c r="G3627" s="67">
        <f t="shared" si="1338"/>
        <v>24338</v>
      </c>
      <c r="H3627" s="75">
        <f t="shared" si="1339"/>
        <v>1</v>
      </c>
      <c r="I3627" s="76">
        <f t="shared" si="1340"/>
        <v>1</v>
      </c>
      <c r="J3627" s="76">
        <f t="shared" si="1341"/>
        <v>1</v>
      </c>
      <c r="K3627" s="67">
        <f t="shared" si="1342"/>
        <v>0</v>
      </c>
      <c r="L3627" s="67">
        <f t="shared" si="1343"/>
        <v>0</v>
      </c>
      <c r="M3627" s="77">
        <f t="shared" si="1344"/>
        <v>0</v>
      </c>
      <c r="N3627" s="76">
        <f t="shared" si="1345"/>
        <v>1</v>
      </c>
      <c r="O3627" s="77">
        <f t="shared" si="1346"/>
        <v>1</v>
      </c>
      <c r="P3627" s="76">
        <f t="shared" si="1347"/>
        <v>0</v>
      </c>
      <c r="Q3627" s="76">
        <f t="shared" si="1348"/>
        <v>0</v>
      </c>
      <c r="R3627" s="76">
        <f t="shared" si="1349"/>
        <v>1</v>
      </c>
      <c r="S3627" s="76">
        <f t="shared" si="1350"/>
        <v>1</v>
      </c>
      <c r="T3627" s="76">
        <f t="shared" si="1351"/>
        <v>1</v>
      </c>
      <c r="U3627" s="76">
        <f t="shared" si="1352"/>
        <v>1</v>
      </c>
    </row>
    <row r="3628" spans="1:21" x14ac:dyDescent="0.25">
      <c r="A3628" s="71">
        <v>40</v>
      </c>
      <c r="B3628" s="72">
        <f t="shared" si="1353"/>
        <v>46844</v>
      </c>
      <c r="C3628" s="73">
        <f t="shared" si="1334"/>
        <v>46873</v>
      </c>
      <c r="D3628" s="67">
        <f t="shared" si="1335"/>
        <v>30</v>
      </c>
      <c r="E3628" s="67">
        <f t="shared" si="1336"/>
        <v>4</v>
      </c>
      <c r="F3628" s="74">
        <f t="shared" si="1337"/>
        <v>46859</v>
      </c>
      <c r="G3628" s="67">
        <f t="shared" si="1338"/>
        <v>24339</v>
      </c>
      <c r="H3628" s="75">
        <f t="shared" si="1339"/>
        <v>1</v>
      </c>
      <c r="I3628" s="76">
        <f t="shared" si="1340"/>
        <v>1</v>
      </c>
      <c r="J3628" s="76">
        <f t="shared" si="1341"/>
        <v>1</v>
      </c>
      <c r="K3628" s="67">
        <f t="shared" si="1342"/>
        <v>0</v>
      </c>
      <c r="L3628" s="67">
        <f t="shared" si="1343"/>
        <v>0</v>
      </c>
      <c r="M3628" s="77">
        <f t="shared" si="1344"/>
        <v>0</v>
      </c>
      <c r="N3628" s="76">
        <f t="shared" si="1345"/>
        <v>1</v>
      </c>
      <c r="O3628" s="77">
        <f t="shared" si="1346"/>
        <v>1</v>
      </c>
      <c r="P3628" s="76">
        <f t="shared" si="1347"/>
        <v>0</v>
      </c>
      <c r="Q3628" s="76">
        <f t="shared" si="1348"/>
        <v>0</v>
      </c>
      <c r="R3628" s="76">
        <f t="shared" si="1349"/>
        <v>1</v>
      </c>
      <c r="S3628" s="76">
        <f t="shared" si="1350"/>
        <v>1</v>
      </c>
      <c r="T3628" s="76">
        <f t="shared" si="1351"/>
        <v>1</v>
      </c>
      <c r="U3628" s="76">
        <f t="shared" si="1352"/>
        <v>1</v>
      </c>
    </row>
    <row r="3629" spans="1:21" x14ac:dyDescent="0.25">
      <c r="A3629" s="71">
        <v>41</v>
      </c>
      <c r="B3629" s="72">
        <f t="shared" si="1353"/>
        <v>46874</v>
      </c>
      <c r="C3629" s="73">
        <f t="shared" si="1334"/>
        <v>46904</v>
      </c>
      <c r="D3629" s="67">
        <f t="shared" si="1335"/>
        <v>31</v>
      </c>
      <c r="E3629" s="67">
        <f t="shared" si="1336"/>
        <v>5</v>
      </c>
      <c r="F3629" s="74">
        <f t="shared" si="1337"/>
        <v>46889.5</v>
      </c>
      <c r="G3629" s="67">
        <f t="shared" si="1338"/>
        <v>24340</v>
      </c>
      <c r="H3629" s="75">
        <f t="shared" si="1339"/>
        <v>1</v>
      </c>
      <c r="I3629" s="76">
        <f t="shared" si="1340"/>
        <v>1</v>
      </c>
      <c r="J3629" s="76">
        <f t="shared" si="1341"/>
        <v>1</v>
      </c>
      <c r="K3629" s="67">
        <f t="shared" si="1342"/>
        <v>0</v>
      </c>
      <c r="L3629" s="67">
        <f t="shared" si="1343"/>
        <v>0</v>
      </c>
      <c r="M3629" s="77">
        <f t="shared" si="1344"/>
        <v>0</v>
      </c>
      <c r="N3629" s="76">
        <f t="shared" si="1345"/>
        <v>1</v>
      </c>
      <c r="O3629" s="77">
        <f t="shared" si="1346"/>
        <v>1</v>
      </c>
      <c r="P3629" s="76">
        <f t="shared" si="1347"/>
        <v>0</v>
      </c>
      <c r="Q3629" s="76">
        <f t="shared" si="1348"/>
        <v>0</v>
      </c>
      <c r="R3629" s="76">
        <f t="shared" si="1349"/>
        <v>1</v>
      </c>
      <c r="S3629" s="76">
        <f t="shared" si="1350"/>
        <v>1</v>
      </c>
      <c r="T3629" s="76">
        <f t="shared" si="1351"/>
        <v>1</v>
      </c>
      <c r="U3629" s="76">
        <f t="shared" si="1352"/>
        <v>1</v>
      </c>
    </row>
    <row r="3630" spans="1:21" x14ac:dyDescent="0.25">
      <c r="A3630" s="71">
        <v>42</v>
      </c>
      <c r="B3630" s="72">
        <f t="shared" si="1353"/>
        <v>46905</v>
      </c>
      <c r="C3630" s="73">
        <f t="shared" si="1334"/>
        <v>46934</v>
      </c>
      <c r="D3630" s="67">
        <f t="shared" si="1335"/>
        <v>30</v>
      </c>
      <c r="E3630" s="67">
        <f t="shared" si="1336"/>
        <v>6</v>
      </c>
      <c r="F3630" s="74">
        <f t="shared" si="1337"/>
        <v>46920</v>
      </c>
      <c r="G3630" s="67">
        <f t="shared" si="1338"/>
        <v>24341</v>
      </c>
      <c r="H3630" s="75">
        <f t="shared" si="1339"/>
        <v>1</v>
      </c>
      <c r="I3630" s="76">
        <f t="shared" si="1340"/>
        <v>1</v>
      </c>
      <c r="J3630" s="76">
        <f t="shared" si="1341"/>
        <v>1</v>
      </c>
      <c r="K3630" s="67">
        <f t="shared" si="1342"/>
        <v>0</v>
      </c>
      <c r="L3630" s="67">
        <f t="shared" si="1343"/>
        <v>0</v>
      </c>
      <c r="M3630" s="77">
        <f t="shared" si="1344"/>
        <v>0</v>
      </c>
      <c r="N3630" s="76">
        <f t="shared" si="1345"/>
        <v>1</v>
      </c>
      <c r="O3630" s="77">
        <f t="shared" si="1346"/>
        <v>1</v>
      </c>
      <c r="P3630" s="76">
        <f t="shared" si="1347"/>
        <v>0</v>
      </c>
      <c r="Q3630" s="76">
        <f t="shared" si="1348"/>
        <v>0</v>
      </c>
      <c r="R3630" s="76">
        <f t="shared" si="1349"/>
        <v>1</v>
      </c>
      <c r="S3630" s="76">
        <f t="shared" si="1350"/>
        <v>1</v>
      </c>
      <c r="T3630" s="76">
        <f t="shared" si="1351"/>
        <v>1</v>
      </c>
      <c r="U3630" s="76">
        <f t="shared" si="1352"/>
        <v>1</v>
      </c>
    </row>
    <row r="3631" spans="1:21" x14ac:dyDescent="0.25">
      <c r="A3631" s="71">
        <v>43</v>
      </c>
      <c r="B3631" s="72">
        <f t="shared" si="1353"/>
        <v>46935</v>
      </c>
      <c r="C3631" s="73">
        <f t="shared" si="1334"/>
        <v>46965</v>
      </c>
      <c r="D3631" s="67">
        <f t="shared" si="1335"/>
        <v>31</v>
      </c>
      <c r="E3631" s="67">
        <f t="shared" si="1336"/>
        <v>7</v>
      </c>
      <c r="F3631" s="74">
        <f t="shared" si="1337"/>
        <v>46950.5</v>
      </c>
      <c r="G3631" s="67">
        <f t="shared" si="1338"/>
        <v>24342</v>
      </c>
      <c r="H3631" s="75">
        <f t="shared" si="1339"/>
        <v>1</v>
      </c>
      <c r="I3631" s="76">
        <f t="shared" si="1340"/>
        <v>1</v>
      </c>
      <c r="J3631" s="76">
        <f t="shared" si="1341"/>
        <v>1</v>
      </c>
      <c r="K3631" s="67">
        <f t="shared" si="1342"/>
        <v>0</v>
      </c>
      <c r="L3631" s="67">
        <f t="shared" si="1343"/>
        <v>0</v>
      </c>
      <c r="M3631" s="77">
        <f t="shared" si="1344"/>
        <v>0</v>
      </c>
      <c r="N3631" s="76">
        <f t="shared" si="1345"/>
        <v>1</v>
      </c>
      <c r="O3631" s="77">
        <f t="shared" si="1346"/>
        <v>1</v>
      </c>
      <c r="P3631" s="76">
        <f t="shared" si="1347"/>
        <v>0</v>
      </c>
      <c r="Q3631" s="76">
        <f t="shared" si="1348"/>
        <v>0</v>
      </c>
      <c r="R3631" s="76">
        <f t="shared" si="1349"/>
        <v>0.91666666666666663</v>
      </c>
      <c r="S3631" s="76">
        <f t="shared" si="1350"/>
        <v>1</v>
      </c>
      <c r="T3631" s="76">
        <f t="shared" si="1351"/>
        <v>1</v>
      </c>
      <c r="U3631" s="76">
        <f t="shared" si="1352"/>
        <v>1</v>
      </c>
    </row>
    <row r="3632" spans="1:21" x14ac:dyDescent="0.25">
      <c r="A3632" s="71">
        <v>44</v>
      </c>
      <c r="B3632" s="72">
        <f t="shared" si="1353"/>
        <v>46966</v>
      </c>
      <c r="C3632" s="73">
        <f t="shared" si="1334"/>
        <v>46996</v>
      </c>
      <c r="D3632" s="67">
        <f t="shared" si="1335"/>
        <v>31</v>
      </c>
      <c r="E3632" s="67">
        <f t="shared" si="1336"/>
        <v>8</v>
      </c>
      <c r="F3632" s="74">
        <f t="shared" si="1337"/>
        <v>46981.5</v>
      </c>
      <c r="G3632" s="67">
        <f t="shared" si="1338"/>
        <v>24343</v>
      </c>
      <c r="H3632" s="75">
        <f t="shared" si="1339"/>
        <v>1</v>
      </c>
      <c r="I3632" s="76">
        <f t="shared" si="1340"/>
        <v>1</v>
      </c>
      <c r="J3632" s="76">
        <f t="shared" si="1341"/>
        <v>1</v>
      </c>
      <c r="K3632" s="67">
        <f t="shared" si="1342"/>
        <v>0</v>
      </c>
      <c r="L3632" s="67">
        <f t="shared" si="1343"/>
        <v>0</v>
      </c>
      <c r="M3632" s="77">
        <f t="shared" si="1344"/>
        <v>0</v>
      </c>
      <c r="N3632" s="76">
        <f t="shared" si="1345"/>
        <v>1</v>
      </c>
      <c r="O3632" s="77">
        <f t="shared" si="1346"/>
        <v>1</v>
      </c>
      <c r="P3632" s="76">
        <f t="shared" si="1347"/>
        <v>0</v>
      </c>
      <c r="Q3632" s="76">
        <f t="shared" si="1348"/>
        <v>0</v>
      </c>
      <c r="R3632" s="76">
        <f t="shared" si="1349"/>
        <v>0.75</v>
      </c>
      <c r="S3632" s="76">
        <f t="shared" si="1350"/>
        <v>1</v>
      </c>
      <c r="T3632" s="76">
        <f t="shared" si="1351"/>
        <v>1</v>
      </c>
      <c r="U3632" s="76">
        <f t="shared" si="1352"/>
        <v>1</v>
      </c>
    </row>
    <row r="3633" spans="1:21" x14ac:dyDescent="0.25">
      <c r="A3633" s="71">
        <v>45</v>
      </c>
      <c r="B3633" s="72">
        <f t="shared" si="1353"/>
        <v>46997</v>
      </c>
      <c r="C3633" s="73">
        <f t="shared" si="1334"/>
        <v>47026</v>
      </c>
      <c r="D3633" s="67">
        <f t="shared" si="1335"/>
        <v>30</v>
      </c>
      <c r="E3633" s="67">
        <f t="shared" si="1336"/>
        <v>9</v>
      </c>
      <c r="F3633" s="74">
        <f t="shared" si="1337"/>
        <v>47012</v>
      </c>
      <c r="G3633" s="67">
        <f t="shared" si="1338"/>
        <v>24344</v>
      </c>
      <c r="H3633" s="75">
        <f t="shared" si="1339"/>
        <v>1</v>
      </c>
      <c r="I3633" s="76">
        <f t="shared" si="1340"/>
        <v>1</v>
      </c>
      <c r="J3633" s="76">
        <f t="shared" si="1341"/>
        <v>1</v>
      </c>
      <c r="K3633" s="67">
        <f t="shared" si="1342"/>
        <v>0</v>
      </c>
      <c r="L3633" s="67">
        <f t="shared" si="1343"/>
        <v>0</v>
      </c>
      <c r="M3633" s="77">
        <f t="shared" si="1344"/>
        <v>0</v>
      </c>
      <c r="N3633" s="76">
        <f t="shared" si="1345"/>
        <v>1</v>
      </c>
      <c r="O3633" s="77">
        <f t="shared" si="1346"/>
        <v>1</v>
      </c>
      <c r="P3633" s="76">
        <f t="shared" si="1347"/>
        <v>0</v>
      </c>
      <c r="Q3633" s="76">
        <f t="shared" si="1348"/>
        <v>0</v>
      </c>
      <c r="R3633" s="76">
        <f t="shared" si="1349"/>
        <v>0.58333333333333337</v>
      </c>
      <c r="S3633" s="76">
        <f t="shared" si="1350"/>
        <v>1</v>
      </c>
      <c r="T3633" s="76">
        <f t="shared" si="1351"/>
        <v>1</v>
      </c>
      <c r="U3633" s="76">
        <f t="shared" si="1352"/>
        <v>1</v>
      </c>
    </row>
    <row r="3634" spans="1:21" x14ac:dyDescent="0.25">
      <c r="A3634" s="71">
        <v>46</v>
      </c>
      <c r="B3634" s="72">
        <f t="shared" si="1353"/>
        <v>47027</v>
      </c>
      <c r="C3634" s="73">
        <f t="shared" si="1334"/>
        <v>47057</v>
      </c>
      <c r="D3634" s="67">
        <f t="shared" si="1335"/>
        <v>31</v>
      </c>
      <c r="E3634" s="67">
        <f t="shared" si="1336"/>
        <v>10</v>
      </c>
      <c r="F3634" s="74">
        <f t="shared" si="1337"/>
        <v>47042.5</v>
      </c>
      <c r="G3634" s="67">
        <f t="shared" si="1338"/>
        <v>24345</v>
      </c>
      <c r="H3634" s="75">
        <f t="shared" si="1339"/>
        <v>1</v>
      </c>
      <c r="I3634" s="76">
        <f t="shared" si="1340"/>
        <v>1</v>
      </c>
      <c r="J3634" s="76">
        <f t="shared" si="1341"/>
        <v>1</v>
      </c>
      <c r="K3634" s="67">
        <f t="shared" si="1342"/>
        <v>0</v>
      </c>
      <c r="L3634" s="67">
        <f t="shared" si="1343"/>
        <v>0</v>
      </c>
      <c r="M3634" s="77">
        <f t="shared" si="1344"/>
        <v>0</v>
      </c>
      <c r="N3634" s="76">
        <f t="shared" si="1345"/>
        <v>1</v>
      </c>
      <c r="O3634" s="77">
        <f t="shared" si="1346"/>
        <v>1</v>
      </c>
      <c r="P3634" s="76">
        <f t="shared" si="1347"/>
        <v>0</v>
      </c>
      <c r="Q3634" s="76">
        <f t="shared" si="1348"/>
        <v>0</v>
      </c>
      <c r="R3634" s="76">
        <f t="shared" si="1349"/>
        <v>0.41666666666666669</v>
      </c>
      <c r="S3634" s="76">
        <f t="shared" si="1350"/>
        <v>1</v>
      </c>
      <c r="T3634" s="76">
        <f t="shared" si="1351"/>
        <v>1</v>
      </c>
      <c r="U3634" s="76">
        <f t="shared" si="1352"/>
        <v>1</v>
      </c>
    </row>
    <row r="3635" spans="1:21" x14ac:dyDescent="0.25">
      <c r="A3635" s="71">
        <v>47</v>
      </c>
      <c r="B3635" s="72">
        <f t="shared" si="1353"/>
        <v>47058</v>
      </c>
      <c r="C3635" s="73">
        <f t="shared" si="1334"/>
        <v>47087</v>
      </c>
      <c r="D3635" s="67">
        <f t="shared" si="1335"/>
        <v>30</v>
      </c>
      <c r="E3635" s="67">
        <f t="shared" si="1336"/>
        <v>11</v>
      </c>
      <c r="F3635" s="74">
        <f t="shared" si="1337"/>
        <v>47073</v>
      </c>
      <c r="G3635" s="67">
        <f t="shared" si="1338"/>
        <v>24346</v>
      </c>
      <c r="H3635" s="75">
        <f t="shared" si="1339"/>
        <v>1</v>
      </c>
      <c r="I3635" s="76">
        <f t="shared" si="1340"/>
        <v>1</v>
      </c>
      <c r="J3635" s="76">
        <f t="shared" si="1341"/>
        <v>1</v>
      </c>
      <c r="K3635" s="67">
        <f t="shared" si="1342"/>
        <v>0</v>
      </c>
      <c r="L3635" s="67">
        <f t="shared" si="1343"/>
        <v>0</v>
      </c>
      <c r="M3635" s="77">
        <f t="shared" si="1344"/>
        <v>0</v>
      </c>
      <c r="N3635" s="76">
        <f t="shared" si="1345"/>
        <v>1</v>
      </c>
      <c r="O3635" s="77">
        <f t="shared" si="1346"/>
        <v>1</v>
      </c>
      <c r="P3635" s="76">
        <f t="shared" si="1347"/>
        <v>0</v>
      </c>
      <c r="Q3635" s="76">
        <f t="shared" si="1348"/>
        <v>0</v>
      </c>
      <c r="R3635" s="76">
        <f t="shared" si="1349"/>
        <v>0.25</v>
      </c>
      <c r="S3635" s="76">
        <f t="shared" si="1350"/>
        <v>1</v>
      </c>
      <c r="T3635" s="76">
        <f t="shared" si="1351"/>
        <v>1</v>
      </c>
      <c r="U3635" s="76">
        <f t="shared" si="1352"/>
        <v>1</v>
      </c>
    </row>
    <row r="3636" spans="1:21" x14ac:dyDescent="0.25">
      <c r="A3636" s="71">
        <v>48</v>
      </c>
      <c r="B3636" s="72">
        <f t="shared" si="1353"/>
        <v>47088</v>
      </c>
      <c r="C3636" s="73">
        <f t="shared" si="1334"/>
        <v>47118</v>
      </c>
      <c r="D3636" s="67">
        <f t="shared" si="1335"/>
        <v>31</v>
      </c>
      <c r="E3636" s="67">
        <f t="shared" si="1336"/>
        <v>12</v>
      </c>
      <c r="F3636" s="74">
        <f t="shared" si="1337"/>
        <v>47103.5</v>
      </c>
      <c r="G3636" s="67">
        <f t="shared" si="1338"/>
        <v>24347</v>
      </c>
      <c r="H3636" s="75">
        <f t="shared" si="1339"/>
        <v>1</v>
      </c>
      <c r="I3636" s="76">
        <f t="shared" si="1340"/>
        <v>1</v>
      </c>
      <c r="J3636" s="76">
        <f t="shared" si="1341"/>
        <v>1</v>
      </c>
      <c r="K3636" s="67">
        <f t="shared" si="1342"/>
        <v>0</v>
      </c>
      <c r="L3636" s="67">
        <f t="shared" si="1343"/>
        <v>0</v>
      </c>
      <c r="M3636" s="77">
        <f t="shared" si="1344"/>
        <v>0</v>
      </c>
      <c r="N3636" s="76">
        <f t="shared" si="1345"/>
        <v>1</v>
      </c>
      <c r="O3636" s="77">
        <f t="shared" si="1346"/>
        <v>1</v>
      </c>
      <c r="P3636" s="76">
        <f t="shared" si="1347"/>
        <v>0</v>
      </c>
      <c r="Q3636" s="76">
        <f t="shared" si="1348"/>
        <v>0</v>
      </c>
      <c r="R3636" s="76">
        <f t="shared" si="1349"/>
        <v>8.3333333333333329E-2</v>
      </c>
      <c r="S3636" s="76">
        <f t="shared" si="1350"/>
        <v>1</v>
      </c>
      <c r="T3636" s="76">
        <f t="shared" si="1351"/>
        <v>1</v>
      </c>
      <c r="U3636" s="76">
        <f t="shared" si="1352"/>
        <v>1</v>
      </c>
    </row>
    <row r="3637" spans="1:21" x14ac:dyDescent="0.25">
      <c r="A3637" s="81" t="s">
        <v>1187</v>
      </c>
      <c r="B3637" s="53">
        <f>EXP(SUMPRODUCT((rl_key=$A$3586)*(rl_cons="Y")*rl_ln1p))</f>
        <v>1</v>
      </c>
      <c r="C3637" s="53">
        <f>SUMPRODUCT($H$3589:$H$3636,$P$3589:$P$3636,$U$3589:$U$3636)/SUMPRODUCT($H$3589:$H$3636,$P$3589:$P$3636)</f>
        <v>1</v>
      </c>
      <c r="D3637" s="53">
        <f>SUMPRODUCT($H$3589:$H$3636,$Q$3589:$Q$3636,$U$3589:$U$3636)/SUMPRODUCT($H$3589:$H$3636,$Q$3589:$Q$3636)</f>
        <v>1</v>
      </c>
      <c r="E3637" s="53">
        <f>SUMPRODUCT($H$3589:$H$3636,$R$3589:$R$3636,$U$3589:$U$3636)/SUMPRODUCT($H$3589:$H$3636,$R$3589:$R$3636)</f>
        <v>1</v>
      </c>
      <c r="F3637" s="172">
        <f>SUMPRODUCT($H$3589:$H$3636,$Q$3589:$Q$3636,$O$3589:$O$3636)/SUMPRODUCT($H$3589:$H$3636,$Q$3589:$Q$3636)</f>
        <v>1</v>
      </c>
      <c r="G3637" s="172">
        <f>SUMPRODUCT($H$3589:$H$3636,$R$3589:$R$3636,$O$3589:$O$3636)/SUMPRODUCT($H$3589:$H$3636,$R$3589:$R$3636)</f>
        <v>1</v>
      </c>
    </row>
    <row r="3640" spans="1:21" x14ac:dyDescent="0.25">
      <c r="A3640" s="81" t="str">
        <f>INDEX(lr_key,67)</f>
        <v/>
      </c>
      <c r="B3640" s="81">
        <f>INDEX(lr_state,67)</f>
        <v>0</v>
      </c>
      <c r="C3640" s="55">
        <f>nr_TermMonths</f>
        <v>6</v>
      </c>
      <c r="D3640" s="55">
        <f>IF(COUNTIF(se_state,$B3640)=0,0,MATCH($B3640,se_state,0))</f>
        <v>0</v>
      </c>
      <c r="E3640" s="57">
        <f>IF($D3640=0,0,INDEX(se_sum,$D3640))</f>
        <v>0</v>
      </c>
      <c r="F3640" s="172">
        <f>IF(N(INDEX(lr_mind,67))=0,1,INDEX(lr_mind,67))</f>
        <v>1</v>
      </c>
      <c r="G3640" s="172">
        <f>IF(N(INDEX(lr_m0,67))=0,1,INDEX(lr_m0,67))</f>
        <v>1</v>
      </c>
      <c r="H3640" s="54">
        <f>IF(N(INDEX(lr_m0asof,67))=0,DATE(nr_PlanYear-1,10,1),INDEX(lr_m0asof,67))</f>
        <v>46296</v>
      </c>
      <c r="I3640" s="172">
        <f>IF(N(INDEX(lr_m1,67))=0,1,INDEX(lr_m1,67))</f>
        <v>1</v>
      </c>
      <c r="J3640" s="172">
        <f>INDEX(lr_mprior,67)</f>
        <v>0</v>
      </c>
      <c r="K3640" s="172">
        <f>INDEX(lr_m2,67)</f>
        <v>0</v>
      </c>
      <c r="L3640" s="81" t="b">
        <f>NOT(ISBLANK(INDEX(lr_netp,67)))</f>
        <v>0</v>
      </c>
      <c r="M3640" s="52">
        <f>N(INDEX(lr_netp,67))</f>
        <v>0</v>
      </c>
      <c r="N3640" s="52">
        <f>IF(ISBLANK(INDEX(lr_netp1,67)),$M$3640,N(INDEX(lr_netp1,67)))</f>
        <v>0</v>
      </c>
      <c r="O3640" s="55">
        <f>IF(AND(nr_ModAdjMaster="ON",INDEX(lr_modadj,67)="ON"),1,0)</f>
        <v>0</v>
      </c>
    </row>
    <row r="3641" spans="1:21" x14ac:dyDescent="0.25">
      <c r="A3641" s="81">
        <f>EDATE($H$3640,-12)+1</f>
        <v>45932</v>
      </c>
      <c r="B3641" s="81">
        <f>$H$3640+1</f>
        <v>46297</v>
      </c>
      <c r="C3641" s="81">
        <f>DATE(nr_PlanYear,12,31)+1</f>
        <v>46753</v>
      </c>
      <c r="D3641" s="81">
        <f>DATE(nr_PlanYear+1,12,31)+1</f>
        <v>47119</v>
      </c>
      <c r="E3641" s="81">
        <f>IF(N($J$3640)=0,$F$3641-($G$3641-$F$3641)/($C$3641-$B$3641)*($B$3641-$A$3641),$J$3640)</f>
        <v>1</v>
      </c>
      <c r="F3641" s="81">
        <f>$G$3640</f>
        <v>1</v>
      </c>
      <c r="G3641" s="81">
        <f>$I$3640</f>
        <v>1</v>
      </c>
      <c r="H3641" s="81">
        <f>IF(N($K$3640)=0,$I$3640,$K$3640)</f>
        <v>1</v>
      </c>
      <c r="I3641" s="81">
        <f>($F$3641-$E$3641)/($B$3641-$A$3641)</f>
        <v>0</v>
      </c>
      <c r="J3641" s="81">
        <f>($G$3641-$F$3641)/($C$3641-$B$3641)</f>
        <v>0</v>
      </c>
      <c r="K3641" s="81">
        <f>($H$3641-$G$3641)/($D$3641-$C$3641)</f>
        <v>0</v>
      </c>
    </row>
    <row r="3642" spans="1:21" ht="36" x14ac:dyDescent="0.25">
      <c r="A3642" s="50" t="s">
        <v>211</v>
      </c>
      <c r="B3642" s="50" t="s">
        <v>212</v>
      </c>
      <c r="C3642" s="50" t="s">
        <v>213</v>
      </c>
      <c r="D3642" s="50" t="s">
        <v>214</v>
      </c>
      <c r="E3642" s="50" t="s">
        <v>215</v>
      </c>
      <c r="F3642" s="50" t="s">
        <v>216</v>
      </c>
      <c r="G3642" s="50" t="s">
        <v>217</v>
      </c>
      <c r="H3642" s="50" t="s">
        <v>218</v>
      </c>
      <c r="I3642" s="50" t="s">
        <v>219</v>
      </c>
      <c r="J3642" s="50" t="s">
        <v>220</v>
      </c>
      <c r="K3642" s="50" t="s">
        <v>221</v>
      </c>
      <c r="L3642" s="50" t="s">
        <v>222</v>
      </c>
      <c r="M3642" s="50" t="s">
        <v>223</v>
      </c>
      <c r="N3642" s="50" t="s">
        <v>224</v>
      </c>
      <c r="O3642" s="50" t="s">
        <v>225</v>
      </c>
      <c r="P3642" s="50" t="s">
        <v>226</v>
      </c>
      <c r="Q3642" s="50" t="s">
        <v>227</v>
      </c>
      <c r="R3642" s="50" t="s">
        <v>228</v>
      </c>
      <c r="S3642" s="50" t="s">
        <v>229</v>
      </c>
      <c r="T3642" s="50" t="s">
        <v>230</v>
      </c>
      <c r="U3642" s="50" t="s">
        <v>231</v>
      </c>
    </row>
    <row r="3643" spans="1:21" x14ac:dyDescent="0.25">
      <c r="A3643" s="71">
        <v>1</v>
      </c>
      <c r="B3643" s="72">
        <f>DATE(nr_PlanYear-2,1,1)</f>
        <v>45658</v>
      </c>
      <c r="C3643" s="73">
        <f t="shared" ref="C3643:C3690" si="1354">EOMONTH($B3643,0)</f>
        <v>45688</v>
      </c>
      <c r="D3643" s="67">
        <f t="shared" ref="D3643:D3690" si="1355">$C3643-$B3643+1</f>
        <v>31</v>
      </c>
      <c r="E3643" s="67">
        <f t="shared" ref="E3643:E3690" si="1356">MONTH($B3643)</f>
        <v>1</v>
      </c>
      <c r="F3643" s="74">
        <f t="shared" ref="F3643:F3690" si="1357">($B3643+$C3643+1)/2</f>
        <v>45673.5</v>
      </c>
      <c r="G3643" s="67">
        <f t="shared" ref="G3643:G3690" si="1358">YEAR($B3643)*12+MONTH($B3643)-1</f>
        <v>24300</v>
      </c>
      <c r="H3643" s="75">
        <f t="shared" ref="H3643:H3690" si="1359">IF(OR(nr_SeasonOn="OFF",$D$3640=0,$E$3640=0),1,12*INDEX(se_block,$D$3640,$E3643)/$E$3640)</f>
        <v>1</v>
      </c>
      <c r="I3643" s="76">
        <f t="shared" ref="I3643:I3690" si="1360">EXP(SUMPRODUCT((rl_eff&lt;$B3643)*(rl_key=$A$3640)*rl_ln1p))</f>
        <v>1</v>
      </c>
      <c r="J3643" s="76">
        <f t="shared" ref="J3643:J3690" si="1361">EXP(SUMPRODUCT((rl_eff&lt;=$C3643)*(rl_key=$A$3640)*rl_ln1p))</f>
        <v>1</v>
      </c>
      <c r="K3643" s="67">
        <f t="shared" ref="K3643:K3690" si="1362">COUNTIFS(rl_key,$A$3640,rl_eff,"&gt;="&amp;$B3643,rl_eff,"&lt;="&amp;$C3643)</f>
        <v>0</v>
      </c>
      <c r="L3643" s="67">
        <f t="shared" ref="L3643:L3690" si="1363">SUMIFS(rl_daysafter,rl_key,$A$3640,rl_effmonth,$B3643,rl_first,1)</f>
        <v>0</v>
      </c>
      <c r="M3643" s="77">
        <f t="shared" ref="M3643:M3690" si="1364">IF($K3643=0,0,MIN(1,$L3643/$D3643))</f>
        <v>0</v>
      </c>
      <c r="N3643" s="76">
        <f t="shared" ref="N3643:N3690" si="1365">IF($K3643=0,$J3643,(1-$M3643)*$I3643+$M3643*$J3643)</f>
        <v>1</v>
      </c>
      <c r="O3643" s="77">
        <f t="shared" ref="O3643:O3690" si="1366">IF($F3643&lt;$B$3641,$E$3641+$I$3641*($F3643-$A$3641),IF($F3643&lt;$C$3641,$F$3641+$J$3641*($F3643-$B$3641),$G$3641+$K$3641*($F3643-$C$3641)))</f>
        <v>1</v>
      </c>
      <c r="P3643" s="76">
        <f t="shared" ref="P3643:P3690" si="1367">MIN(1,MAX(0,(nr_MEndPm1-$G3643+0.5)/$C$3640))-MIN(1,MAX(0,(nr_MStartPm1-1-$G3643+0.5)/$C$3640))</f>
        <v>0</v>
      </c>
      <c r="Q3643" s="76">
        <f t="shared" ref="Q3643:Q3690" si="1368">MIN(1,MAX(0,(nr_MEndP-$G3643+0.5)/$C$3640))-MIN(1,MAX(0,(nr_MStartP-1-$G3643+0.5)/$C$3640))</f>
        <v>0</v>
      </c>
      <c r="R3643" s="76">
        <f t="shared" ref="R3643:R3690" si="1369">MIN(1,MAX(0,(nr_MEndP1-$G3643+0.5)/$C$3640))-MIN(1,MAX(0,(nr_MStartP1-1-$G3643+0.5)/$C$3640))</f>
        <v>0</v>
      </c>
      <c r="S3643" s="76">
        <f t="shared" ref="S3643:S3690" si="1370">$N3643*IF($O$3640=1,$O3643/$F$3640,1)</f>
        <v>1</v>
      </c>
      <c r="T3643" s="76">
        <f t="shared" ref="T3643:T3690" si="1371">IF($G3643&lt;nr_MStartP,$S3643,$T3631*(1+IF($G3643&lt;nr_MStartP1,$M$3640,$N$3640)))</f>
        <v>1</v>
      </c>
      <c r="U3643" s="76">
        <f t="shared" ref="U3643:U3690" si="1372">IF($L$3640,$T3643,$N3643)</f>
        <v>1</v>
      </c>
    </row>
    <row r="3644" spans="1:21" x14ac:dyDescent="0.25">
      <c r="A3644" s="71">
        <v>2</v>
      </c>
      <c r="B3644" s="72">
        <f t="shared" ref="B3644:B3690" si="1373">EDATE($B3643,1)</f>
        <v>45689</v>
      </c>
      <c r="C3644" s="73">
        <f t="shared" si="1354"/>
        <v>45716</v>
      </c>
      <c r="D3644" s="67">
        <f t="shared" si="1355"/>
        <v>28</v>
      </c>
      <c r="E3644" s="67">
        <f t="shared" si="1356"/>
        <v>2</v>
      </c>
      <c r="F3644" s="74">
        <f t="shared" si="1357"/>
        <v>45703</v>
      </c>
      <c r="G3644" s="67">
        <f t="shared" si="1358"/>
        <v>24301</v>
      </c>
      <c r="H3644" s="75">
        <f t="shared" si="1359"/>
        <v>1</v>
      </c>
      <c r="I3644" s="76">
        <f t="shared" si="1360"/>
        <v>1</v>
      </c>
      <c r="J3644" s="76">
        <f t="shared" si="1361"/>
        <v>1</v>
      </c>
      <c r="K3644" s="67">
        <f t="shared" si="1362"/>
        <v>0</v>
      </c>
      <c r="L3644" s="67">
        <f t="shared" si="1363"/>
        <v>0</v>
      </c>
      <c r="M3644" s="77">
        <f t="shared" si="1364"/>
        <v>0</v>
      </c>
      <c r="N3644" s="76">
        <f t="shared" si="1365"/>
        <v>1</v>
      </c>
      <c r="O3644" s="77">
        <f t="shared" si="1366"/>
        <v>1</v>
      </c>
      <c r="P3644" s="76">
        <f t="shared" si="1367"/>
        <v>0</v>
      </c>
      <c r="Q3644" s="76">
        <f t="shared" si="1368"/>
        <v>0</v>
      </c>
      <c r="R3644" s="76">
        <f t="shared" si="1369"/>
        <v>0</v>
      </c>
      <c r="S3644" s="76">
        <f t="shared" si="1370"/>
        <v>1</v>
      </c>
      <c r="T3644" s="76">
        <f t="shared" si="1371"/>
        <v>1</v>
      </c>
      <c r="U3644" s="76">
        <f t="shared" si="1372"/>
        <v>1</v>
      </c>
    </row>
    <row r="3645" spans="1:21" x14ac:dyDescent="0.25">
      <c r="A3645" s="71">
        <v>3</v>
      </c>
      <c r="B3645" s="72">
        <f t="shared" si="1373"/>
        <v>45717</v>
      </c>
      <c r="C3645" s="73">
        <f t="shared" si="1354"/>
        <v>45747</v>
      </c>
      <c r="D3645" s="67">
        <f t="shared" si="1355"/>
        <v>31</v>
      </c>
      <c r="E3645" s="67">
        <f t="shared" si="1356"/>
        <v>3</v>
      </c>
      <c r="F3645" s="74">
        <f t="shared" si="1357"/>
        <v>45732.5</v>
      </c>
      <c r="G3645" s="67">
        <f t="shared" si="1358"/>
        <v>24302</v>
      </c>
      <c r="H3645" s="75">
        <f t="shared" si="1359"/>
        <v>1</v>
      </c>
      <c r="I3645" s="76">
        <f t="shared" si="1360"/>
        <v>1</v>
      </c>
      <c r="J3645" s="76">
        <f t="shared" si="1361"/>
        <v>1</v>
      </c>
      <c r="K3645" s="67">
        <f t="shared" si="1362"/>
        <v>0</v>
      </c>
      <c r="L3645" s="67">
        <f t="shared" si="1363"/>
        <v>0</v>
      </c>
      <c r="M3645" s="77">
        <f t="shared" si="1364"/>
        <v>0</v>
      </c>
      <c r="N3645" s="76">
        <f t="shared" si="1365"/>
        <v>1</v>
      </c>
      <c r="O3645" s="77">
        <f t="shared" si="1366"/>
        <v>1</v>
      </c>
      <c r="P3645" s="76">
        <f t="shared" si="1367"/>
        <v>0</v>
      </c>
      <c r="Q3645" s="76">
        <f t="shared" si="1368"/>
        <v>0</v>
      </c>
      <c r="R3645" s="76">
        <f t="shared" si="1369"/>
        <v>0</v>
      </c>
      <c r="S3645" s="76">
        <f t="shared" si="1370"/>
        <v>1</v>
      </c>
      <c r="T3645" s="76">
        <f t="shared" si="1371"/>
        <v>1</v>
      </c>
      <c r="U3645" s="76">
        <f t="shared" si="1372"/>
        <v>1</v>
      </c>
    </row>
    <row r="3646" spans="1:21" x14ac:dyDescent="0.25">
      <c r="A3646" s="71">
        <v>4</v>
      </c>
      <c r="B3646" s="72">
        <f t="shared" si="1373"/>
        <v>45748</v>
      </c>
      <c r="C3646" s="73">
        <f t="shared" si="1354"/>
        <v>45777</v>
      </c>
      <c r="D3646" s="67">
        <f t="shared" si="1355"/>
        <v>30</v>
      </c>
      <c r="E3646" s="67">
        <f t="shared" si="1356"/>
        <v>4</v>
      </c>
      <c r="F3646" s="74">
        <f t="shared" si="1357"/>
        <v>45763</v>
      </c>
      <c r="G3646" s="67">
        <f t="shared" si="1358"/>
        <v>24303</v>
      </c>
      <c r="H3646" s="75">
        <f t="shared" si="1359"/>
        <v>1</v>
      </c>
      <c r="I3646" s="76">
        <f t="shared" si="1360"/>
        <v>1</v>
      </c>
      <c r="J3646" s="76">
        <f t="shared" si="1361"/>
        <v>1</v>
      </c>
      <c r="K3646" s="67">
        <f t="shared" si="1362"/>
        <v>0</v>
      </c>
      <c r="L3646" s="67">
        <f t="shared" si="1363"/>
        <v>0</v>
      </c>
      <c r="M3646" s="77">
        <f t="shared" si="1364"/>
        <v>0</v>
      </c>
      <c r="N3646" s="76">
        <f t="shared" si="1365"/>
        <v>1</v>
      </c>
      <c r="O3646" s="77">
        <f t="shared" si="1366"/>
        <v>1</v>
      </c>
      <c r="P3646" s="76">
        <f t="shared" si="1367"/>
        <v>0</v>
      </c>
      <c r="Q3646" s="76">
        <f t="shared" si="1368"/>
        <v>0</v>
      </c>
      <c r="R3646" s="76">
        <f t="shared" si="1369"/>
        <v>0</v>
      </c>
      <c r="S3646" s="76">
        <f t="shared" si="1370"/>
        <v>1</v>
      </c>
      <c r="T3646" s="76">
        <f t="shared" si="1371"/>
        <v>1</v>
      </c>
      <c r="U3646" s="76">
        <f t="shared" si="1372"/>
        <v>1</v>
      </c>
    </row>
    <row r="3647" spans="1:21" x14ac:dyDescent="0.25">
      <c r="A3647" s="71">
        <v>5</v>
      </c>
      <c r="B3647" s="72">
        <f t="shared" si="1373"/>
        <v>45778</v>
      </c>
      <c r="C3647" s="73">
        <f t="shared" si="1354"/>
        <v>45808</v>
      </c>
      <c r="D3647" s="67">
        <f t="shared" si="1355"/>
        <v>31</v>
      </c>
      <c r="E3647" s="67">
        <f t="shared" si="1356"/>
        <v>5</v>
      </c>
      <c r="F3647" s="74">
        <f t="shared" si="1357"/>
        <v>45793.5</v>
      </c>
      <c r="G3647" s="67">
        <f t="shared" si="1358"/>
        <v>24304</v>
      </c>
      <c r="H3647" s="75">
        <f t="shared" si="1359"/>
        <v>1</v>
      </c>
      <c r="I3647" s="76">
        <f t="shared" si="1360"/>
        <v>1</v>
      </c>
      <c r="J3647" s="76">
        <f t="shared" si="1361"/>
        <v>1</v>
      </c>
      <c r="K3647" s="67">
        <f t="shared" si="1362"/>
        <v>0</v>
      </c>
      <c r="L3647" s="67">
        <f t="shared" si="1363"/>
        <v>0</v>
      </c>
      <c r="M3647" s="77">
        <f t="shared" si="1364"/>
        <v>0</v>
      </c>
      <c r="N3647" s="76">
        <f t="shared" si="1365"/>
        <v>1</v>
      </c>
      <c r="O3647" s="77">
        <f t="shared" si="1366"/>
        <v>1</v>
      </c>
      <c r="P3647" s="76">
        <f t="shared" si="1367"/>
        <v>0</v>
      </c>
      <c r="Q3647" s="76">
        <f t="shared" si="1368"/>
        <v>0</v>
      </c>
      <c r="R3647" s="76">
        <f t="shared" si="1369"/>
        <v>0</v>
      </c>
      <c r="S3647" s="76">
        <f t="shared" si="1370"/>
        <v>1</v>
      </c>
      <c r="T3647" s="76">
        <f t="shared" si="1371"/>
        <v>1</v>
      </c>
      <c r="U3647" s="76">
        <f t="shared" si="1372"/>
        <v>1</v>
      </c>
    </row>
    <row r="3648" spans="1:21" x14ac:dyDescent="0.25">
      <c r="A3648" s="71">
        <v>6</v>
      </c>
      <c r="B3648" s="72">
        <f t="shared" si="1373"/>
        <v>45809</v>
      </c>
      <c r="C3648" s="73">
        <f t="shared" si="1354"/>
        <v>45838</v>
      </c>
      <c r="D3648" s="67">
        <f t="shared" si="1355"/>
        <v>30</v>
      </c>
      <c r="E3648" s="67">
        <f t="shared" si="1356"/>
        <v>6</v>
      </c>
      <c r="F3648" s="74">
        <f t="shared" si="1357"/>
        <v>45824</v>
      </c>
      <c r="G3648" s="67">
        <f t="shared" si="1358"/>
        <v>24305</v>
      </c>
      <c r="H3648" s="75">
        <f t="shared" si="1359"/>
        <v>1</v>
      </c>
      <c r="I3648" s="76">
        <f t="shared" si="1360"/>
        <v>1</v>
      </c>
      <c r="J3648" s="76">
        <f t="shared" si="1361"/>
        <v>1</v>
      </c>
      <c r="K3648" s="67">
        <f t="shared" si="1362"/>
        <v>0</v>
      </c>
      <c r="L3648" s="67">
        <f t="shared" si="1363"/>
        <v>0</v>
      </c>
      <c r="M3648" s="77">
        <f t="shared" si="1364"/>
        <v>0</v>
      </c>
      <c r="N3648" s="76">
        <f t="shared" si="1365"/>
        <v>1</v>
      </c>
      <c r="O3648" s="77">
        <f t="shared" si="1366"/>
        <v>1</v>
      </c>
      <c r="P3648" s="76">
        <f t="shared" si="1367"/>
        <v>0</v>
      </c>
      <c r="Q3648" s="76">
        <f t="shared" si="1368"/>
        <v>0</v>
      </c>
      <c r="R3648" s="76">
        <f t="shared" si="1369"/>
        <v>0</v>
      </c>
      <c r="S3648" s="76">
        <f t="shared" si="1370"/>
        <v>1</v>
      </c>
      <c r="T3648" s="76">
        <f t="shared" si="1371"/>
        <v>1</v>
      </c>
      <c r="U3648" s="76">
        <f t="shared" si="1372"/>
        <v>1</v>
      </c>
    </row>
    <row r="3649" spans="1:21" x14ac:dyDescent="0.25">
      <c r="A3649" s="71">
        <v>7</v>
      </c>
      <c r="B3649" s="72">
        <f t="shared" si="1373"/>
        <v>45839</v>
      </c>
      <c r="C3649" s="73">
        <f t="shared" si="1354"/>
        <v>45869</v>
      </c>
      <c r="D3649" s="67">
        <f t="shared" si="1355"/>
        <v>31</v>
      </c>
      <c r="E3649" s="67">
        <f t="shared" si="1356"/>
        <v>7</v>
      </c>
      <c r="F3649" s="74">
        <f t="shared" si="1357"/>
        <v>45854.5</v>
      </c>
      <c r="G3649" s="67">
        <f t="shared" si="1358"/>
        <v>24306</v>
      </c>
      <c r="H3649" s="75">
        <f t="shared" si="1359"/>
        <v>1</v>
      </c>
      <c r="I3649" s="76">
        <f t="shared" si="1360"/>
        <v>1</v>
      </c>
      <c r="J3649" s="76">
        <f t="shared" si="1361"/>
        <v>1</v>
      </c>
      <c r="K3649" s="67">
        <f t="shared" si="1362"/>
        <v>0</v>
      </c>
      <c r="L3649" s="67">
        <f t="shared" si="1363"/>
        <v>0</v>
      </c>
      <c r="M3649" s="77">
        <f t="shared" si="1364"/>
        <v>0</v>
      </c>
      <c r="N3649" s="76">
        <f t="shared" si="1365"/>
        <v>1</v>
      </c>
      <c r="O3649" s="77">
        <f t="shared" si="1366"/>
        <v>1</v>
      </c>
      <c r="P3649" s="76">
        <f t="shared" si="1367"/>
        <v>8.333333333333337E-2</v>
      </c>
      <c r="Q3649" s="76">
        <f t="shared" si="1368"/>
        <v>0</v>
      </c>
      <c r="R3649" s="76">
        <f t="shared" si="1369"/>
        <v>0</v>
      </c>
      <c r="S3649" s="76">
        <f t="shared" si="1370"/>
        <v>1</v>
      </c>
      <c r="T3649" s="76">
        <f t="shared" si="1371"/>
        <v>1</v>
      </c>
      <c r="U3649" s="76">
        <f t="shared" si="1372"/>
        <v>1</v>
      </c>
    </row>
    <row r="3650" spans="1:21" x14ac:dyDescent="0.25">
      <c r="A3650" s="71">
        <v>8</v>
      </c>
      <c r="B3650" s="72">
        <f t="shared" si="1373"/>
        <v>45870</v>
      </c>
      <c r="C3650" s="73">
        <f t="shared" si="1354"/>
        <v>45900</v>
      </c>
      <c r="D3650" s="67">
        <f t="shared" si="1355"/>
        <v>31</v>
      </c>
      <c r="E3650" s="67">
        <f t="shared" si="1356"/>
        <v>8</v>
      </c>
      <c r="F3650" s="74">
        <f t="shared" si="1357"/>
        <v>45885.5</v>
      </c>
      <c r="G3650" s="67">
        <f t="shared" si="1358"/>
        <v>24307</v>
      </c>
      <c r="H3650" s="75">
        <f t="shared" si="1359"/>
        <v>1</v>
      </c>
      <c r="I3650" s="76">
        <f t="shared" si="1360"/>
        <v>1</v>
      </c>
      <c r="J3650" s="76">
        <f t="shared" si="1361"/>
        <v>1</v>
      </c>
      <c r="K3650" s="67">
        <f t="shared" si="1362"/>
        <v>0</v>
      </c>
      <c r="L3650" s="67">
        <f t="shared" si="1363"/>
        <v>0</v>
      </c>
      <c r="M3650" s="77">
        <f t="shared" si="1364"/>
        <v>0</v>
      </c>
      <c r="N3650" s="76">
        <f t="shared" si="1365"/>
        <v>1</v>
      </c>
      <c r="O3650" s="77">
        <f t="shared" si="1366"/>
        <v>1</v>
      </c>
      <c r="P3650" s="76">
        <f t="shared" si="1367"/>
        <v>0.25</v>
      </c>
      <c r="Q3650" s="76">
        <f t="shared" si="1368"/>
        <v>0</v>
      </c>
      <c r="R3650" s="76">
        <f t="shared" si="1369"/>
        <v>0</v>
      </c>
      <c r="S3650" s="76">
        <f t="shared" si="1370"/>
        <v>1</v>
      </c>
      <c r="T3650" s="76">
        <f t="shared" si="1371"/>
        <v>1</v>
      </c>
      <c r="U3650" s="76">
        <f t="shared" si="1372"/>
        <v>1</v>
      </c>
    </row>
    <row r="3651" spans="1:21" x14ac:dyDescent="0.25">
      <c r="A3651" s="71">
        <v>9</v>
      </c>
      <c r="B3651" s="72">
        <f t="shared" si="1373"/>
        <v>45901</v>
      </c>
      <c r="C3651" s="73">
        <f t="shared" si="1354"/>
        <v>45930</v>
      </c>
      <c r="D3651" s="67">
        <f t="shared" si="1355"/>
        <v>30</v>
      </c>
      <c r="E3651" s="67">
        <f t="shared" si="1356"/>
        <v>9</v>
      </c>
      <c r="F3651" s="74">
        <f t="shared" si="1357"/>
        <v>45916</v>
      </c>
      <c r="G3651" s="67">
        <f t="shared" si="1358"/>
        <v>24308</v>
      </c>
      <c r="H3651" s="75">
        <f t="shared" si="1359"/>
        <v>1</v>
      </c>
      <c r="I3651" s="76">
        <f t="shared" si="1360"/>
        <v>1</v>
      </c>
      <c r="J3651" s="76">
        <f t="shared" si="1361"/>
        <v>1</v>
      </c>
      <c r="K3651" s="67">
        <f t="shared" si="1362"/>
        <v>0</v>
      </c>
      <c r="L3651" s="67">
        <f t="shared" si="1363"/>
        <v>0</v>
      </c>
      <c r="M3651" s="77">
        <f t="shared" si="1364"/>
        <v>0</v>
      </c>
      <c r="N3651" s="76">
        <f t="shared" si="1365"/>
        <v>1</v>
      </c>
      <c r="O3651" s="77">
        <f t="shared" si="1366"/>
        <v>1</v>
      </c>
      <c r="P3651" s="76">
        <f t="shared" si="1367"/>
        <v>0.41666666666666663</v>
      </c>
      <c r="Q3651" s="76">
        <f t="shared" si="1368"/>
        <v>0</v>
      </c>
      <c r="R3651" s="76">
        <f t="shared" si="1369"/>
        <v>0</v>
      </c>
      <c r="S3651" s="76">
        <f t="shared" si="1370"/>
        <v>1</v>
      </c>
      <c r="T3651" s="76">
        <f t="shared" si="1371"/>
        <v>1</v>
      </c>
      <c r="U3651" s="76">
        <f t="shared" si="1372"/>
        <v>1</v>
      </c>
    </row>
    <row r="3652" spans="1:21" x14ac:dyDescent="0.25">
      <c r="A3652" s="71">
        <v>10</v>
      </c>
      <c r="B3652" s="72">
        <f t="shared" si="1373"/>
        <v>45931</v>
      </c>
      <c r="C3652" s="73">
        <f t="shared" si="1354"/>
        <v>45961</v>
      </c>
      <c r="D3652" s="67">
        <f t="shared" si="1355"/>
        <v>31</v>
      </c>
      <c r="E3652" s="67">
        <f t="shared" si="1356"/>
        <v>10</v>
      </c>
      <c r="F3652" s="74">
        <f t="shared" si="1357"/>
        <v>45946.5</v>
      </c>
      <c r="G3652" s="67">
        <f t="shared" si="1358"/>
        <v>24309</v>
      </c>
      <c r="H3652" s="75">
        <f t="shared" si="1359"/>
        <v>1</v>
      </c>
      <c r="I3652" s="76">
        <f t="shared" si="1360"/>
        <v>1</v>
      </c>
      <c r="J3652" s="76">
        <f t="shared" si="1361"/>
        <v>1</v>
      </c>
      <c r="K3652" s="67">
        <f t="shared" si="1362"/>
        <v>0</v>
      </c>
      <c r="L3652" s="67">
        <f t="shared" si="1363"/>
        <v>0</v>
      </c>
      <c r="M3652" s="77">
        <f t="shared" si="1364"/>
        <v>0</v>
      </c>
      <c r="N3652" s="76">
        <f t="shared" si="1365"/>
        <v>1</v>
      </c>
      <c r="O3652" s="77">
        <f t="shared" si="1366"/>
        <v>1</v>
      </c>
      <c r="P3652" s="76">
        <f t="shared" si="1367"/>
        <v>0.58333333333333326</v>
      </c>
      <c r="Q3652" s="76">
        <f t="shared" si="1368"/>
        <v>0</v>
      </c>
      <c r="R3652" s="76">
        <f t="shared" si="1369"/>
        <v>0</v>
      </c>
      <c r="S3652" s="76">
        <f t="shared" si="1370"/>
        <v>1</v>
      </c>
      <c r="T3652" s="76">
        <f t="shared" si="1371"/>
        <v>1</v>
      </c>
      <c r="U3652" s="76">
        <f t="shared" si="1372"/>
        <v>1</v>
      </c>
    </row>
    <row r="3653" spans="1:21" x14ac:dyDescent="0.25">
      <c r="A3653" s="71">
        <v>11</v>
      </c>
      <c r="B3653" s="72">
        <f t="shared" si="1373"/>
        <v>45962</v>
      </c>
      <c r="C3653" s="73">
        <f t="shared" si="1354"/>
        <v>45991</v>
      </c>
      <c r="D3653" s="67">
        <f t="shared" si="1355"/>
        <v>30</v>
      </c>
      <c r="E3653" s="67">
        <f t="shared" si="1356"/>
        <v>11</v>
      </c>
      <c r="F3653" s="74">
        <f t="shared" si="1357"/>
        <v>45977</v>
      </c>
      <c r="G3653" s="67">
        <f t="shared" si="1358"/>
        <v>24310</v>
      </c>
      <c r="H3653" s="75">
        <f t="shared" si="1359"/>
        <v>1</v>
      </c>
      <c r="I3653" s="76">
        <f t="shared" si="1360"/>
        <v>1</v>
      </c>
      <c r="J3653" s="76">
        <f t="shared" si="1361"/>
        <v>1</v>
      </c>
      <c r="K3653" s="67">
        <f t="shared" si="1362"/>
        <v>0</v>
      </c>
      <c r="L3653" s="67">
        <f t="shared" si="1363"/>
        <v>0</v>
      </c>
      <c r="M3653" s="77">
        <f t="shared" si="1364"/>
        <v>0</v>
      </c>
      <c r="N3653" s="76">
        <f t="shared" si="1365"/>
        <v>1</v>
      </c>
      <c r="O3653" s="77">
        <f t="shared" si="1366"/>
        <v>1</v>
      </c>
      <c r="P3653" s="76">
        <f t="shared" si="1367"/>
        <v>0.75</v>
      </c>
      <c r="Q3653" s="76">
        <f t="shared" si="1368"/>
        <v>0</v>
      </c>
      <c r="R3653" s="76">
        <f t="shared" si="1369"/>
        <v>0</v>
      </c>
      <c r="S3653" s="76">
        <f t="shared" si="1370"/>
        <v>1</v>
      </c>
      <c r="T3653" s="76">
        <f t="shared" si="1371"/>
        <v>1</v>
      </c>
      <c r="U3653" s="76">
        <f t="shared" si="1372"/>
        <v>1</v>
      </c>
    </row>
    <row r="3654" spans="1:21" x14ac:dyDescent="0.25">
      <c r="A3654" s="71">
        <v>12</v>
      </c>
      <c r="B3654" s="72">
        <f t="shared" si="1373"/>
        <v>45992</v>
      </c>
      <c r="C3654" s="73">
        <f t="shared" si="1354"/>
        <v>46022</v>
      </c>
      <c r="D3654" s="67">
        <f t="shared" si="1355"/>
        <v>31</v>
      </c>
      <c r="E3654" s="67">
        <f t="shared" si="1356"/>
        <v>12</v>
      </c>
      <c r="F3654" s="74">
        <f t="shared" si="1357"/>
        <v>46007.5</v>
      </c>
      <c r="G3654" s="67">
        <f t="shared" si="1358"/>
        <v>24311</v>
      </c>
      <c r="H3654" s="75">
        <f t="shared" si="1359"/>
        <v>1</v>
      </c>
      <c r="I3654" s="76">
        <f t="shared" si="1360"/>
        <v>1</v>
      </c>
      <c r="J3654" s="76">
        <f t="shared" si="1361"/>
        <v>1</v>
      </c>
      <c r="K3654" s="67">
        <f t="shared" si="1362"/>
        <v>0</v>
      </c>
      <c r="L3654" s="67">
        <f t="shared" si="1363"/>
        <v>0</v>
      </c>
      <c r="M3654" s="77">
        <f t="shared" si="1364"/>
        <v>0</v>
      </c>
      <c r="N3654" s="76">
        <f t="shared" si="1365"/>
        <v>1</v>
      </c>
      <c r="O3654" s="77">
        <f t="shared" si="1366"/>
        <v>1</v>
      </c>
      <c r="P3654" s="76">
        <f t="shared" si="1367"/>
        <v>0.91666666666666663</v>
      </c>
      <c r="Q3654" s="76">
        <f t="shared" si="1368"/>
        <v>0</v>
      </c>
      <c r="R3654" s="76">
        <f t="shared" si="1369"/>
        <v>0</v>
      </c>
      <c r="S3654" s="76">
        <f t="shared" si="1370"/>
        <v>1</v>
      </c>
      <c r="T3654" s="76">
        <f t="shared" si="1371"/>
        <v>1</v>
      </c>
      <c r="U3654" s="76">
        <f t="shared" si="1372"/>
        <v>1</v>
      </c>
    </row>
    <row r="3655" spans="1:21" x14ac:dyDescent="0.25">
      <c r="A3655" s="71">
        <v>13</v>
      </c>
      <c r="B3655" s="72">
        <f t="shared" si="1373"/>
        <v>46023</v>
      </c>
      <c r="C3655" s="73">
        <f t="shared" si="1354"/>
        <v>46053</v>
      </c>
      <c r="D3655" s="67">
        <f t="shared" si="1355"/>
        <v>31</v>
      </c>
      <c r="E3655" s="67">
        <f t="shared" si="1356"/>
        <v>1</v>
      </c>
      <c r="F3655" s="74">
        <f t="shared" si="1357"/>
        <v>46038.5</v>
      </c>
      <c r="G3655" s="67">
        <f t="shared" si="1358"/>
        <v>24312</v>
      </c>
      <c r="H3655" s="75">
        <f t="shared" si="1359"/>
        <v>1</v>
      </c>
      <c r="I3655" s="76">
        <f t="shared" si="1360"/>
        <v>1</v>
      </c>
      <c r="J3655" s="76">
        <f t="shared" si="1361"/>
        <v>1</v>
      </c>
      <c r="K3655" s="67">
        <f t="shared" si="1362"/>
        <v>0</v>
      </c>
      <c r="L3655" s="67">
        <f t="shared" si="1363"/>
        <v>0</v>
      </c>
      <c r="M3655" s="77">
        <f t="shared" si="1364"/>
        <v>0</v>
      </c>
      <c r="N3655" s="76">
        <f t="shared" si="1365"/>
        <v>1</v>
      </c>
      <c r="O3655" s="77">
        <f t="shared" si="1366"/>
        <v>1</v>
      </c>
      <c r="P3655" s="76">
        <f t="shared" si="1367"/>
        <v>1</v>
      </c>
      <c r="Q3655" s="76">
        <f t="shared" si="1368"/>
        <v>0</v>
      </c>
      <c r="R3655" s="76">
        <f t="shared" si="1369"/>
        <v>0</v>
      </c>
      <c r="S3655" s="76">
        <f t="shared" si="1370"/>
        <v>1</v>
      </c>
      <c r="T3655" s="76">
        <f t="shared" si="1371"/>
        <v>1</v>
      </c>
      <c r="U3655" s="76">
        <f t="shared" si="1372"/>
        <v>1</v>
      </c>
    </row>
    <row r="3656" spans="1:21" x14ac:dyDescent="0.25">
      <c r="A3656" s="71">
        <v>14</v>
      </c>
      <c r="B3656" s="72">
        <f t="shared" si="1373"/>
        <v>46054</v>
      </c>
      <c r="C3656" s="73">
        <f t="shared" si="1354"/>
        <v>46081</v>
      </c>
      <c r="D3656" s="67">
        <f t="shared" si="1355"/>
        <v>28</v>
      </c>
      <c r="E3656" s="67">
        <f t="shared" si="1356"/>
        <v>2</v>
      </c>
      <c r="F3656" s="74">
        <f t="shared" si="1357"/>
        <v>46068</v>
      </c>
      <c r="G3656" s="67">
        <f t="shared" si="1358"/>
        <v>24313</v>
      </c>
      <c r="H3656" s="75">
        <f t="shared" si="1359"/>
        <v>1</v>
      </c>
      <c r="I3656" s="76">
        <f t="shared" si="1360"/>
        <v>1</v>
      </c>
      <c r="J3656" s="76">
        <f t="shared" si="1361"/>
        <v>1</v>
      </c>
      <c r="K3656" s="67">
        <f t="shared" si="1362"/>
        <v>0</v>
      </c>
      <c r="L3656" s="67">
        <f t="shared" si="1363"/>
        <v>0</v>
      </c>
      <c r="M3656" s="77">
        <f t="shared" si="1364"/>
        <v>0</v>
      </c>
      <c r="N3656" s="76">
        <f t="shared" si="1365"/>
        <v>1</v>
      </c>
      <c r="O3656" s="77">
        <f t="shared" si="1366"/>
        <v>1</v>
      </c>
      <c r="P3656" s="76">
        <f t="shared" si="1367"/>
        <v>1</v>
      </c>
      <c r="Q3656" s="76">
        <f t="shared" si="1368"/>
        <v>0</v>
      </c>
      <c r="R3656" s="76">
        <f t="shared" si="1369"/>
        <v>0</v>
      </c>
      <c r="S3656" s="76">
        <f t="shared" si="1370"/>
        <v>1</v>
      </c>
      <c r="T3656" s="76">
        <f t="shared" si="1371"/>
        <v>1</v>
      </c>
      <c r="U3656" s="76">
        <f t="shared" si="1372"/>
        <v>1</v>
      </c>
    </row>
    <row r="3657" spans="1:21" x14ac:dyDescent="0.25">
      <c r="A3657" s="71">
        <v>15</v>
      </c>
      <c r="B3657" s="72">
        <f t="shared" si="1373"/>
        <v>46082</v>
      </c>
      <c r="C3657" s="73">
        <f t="shared" si="1354"/>
        <v>46112</v>
      </c>
      <c r="D3657" s="67">
        <f t="shared" si="1355"/>
        <v>31</v>
      </c>
      <c r="E3657" s="67">
        <f t="shared" si="1356"/>
        <v>3</v>
      </c>
      <c r="F3657" s="74">
        <f t="shared" si="1357"/>
        <v>46097.5</v>
      </c>
      <c r="G3657" s="67">
        <f t="shared" si="1358"/>
        <v>24314</v>
      </c>
      <c r="H3657" s="75">
        <f t="shared" si="1359"/>
        <v>1</v>
      </c>
      <c r="I3657" s="76">
        <f t="shared" si="1360"/>
        <v>1</v>
      </c>
      <c r="J3657" s="76">
        <f t="shared" si="1361"/>
        <v>1</v>
      </c>
      <c r="K3657" s="67">
        <f t="shared" si="1362"/>
        <v>0</v>
      </c>
      <c r="L3657" s="67">
        <f t="shared" si="1363"/>
        <v>0</v>
      </c>
      <c r="M3657" s="77">
        <f t="shared" si="1364"/>
        <v>0</v>
      </c>
      <c r="N3657" s="76">
        <f t="shared" si="1365"/>
        <v>1</v>
      </c>
      <c r="O3657" s="77">
        <f t="shared" si="1366"/>
        <v>1</v>
      </c>
      <c r="P3657" s="76">
        <f t="shared" si="1367"/>
        <v>1</v>
      </c>
      <c r="Q3657" s="76">
        <f t="shared" si="1368"/>
        <v>0</v>
      </c>
      <c r="R3657" s="76">
        <f t="shared" si="1369"/>
        <v>0</v>
      </c>
      <c r="S3657" s="76">
        <f t="shared" si="1370"/>
        <v>1</v>
      </c>
      <c r="T3657" s="76">
        <f t="shared" si="1371"/>
        <v>1</v>
      </c>
      <c r="U3657" s="76">
        <f t="shared" si="1372"/>
        <v>1</v>
      </c>
    </row>
    <row r="3658" spans="1:21" x14ac:dyDescent="0.25">
      <c r="A3658" s="71">
        <v>16</v>
      </c>
      <c r="B3658" s="72">
        <f t="shared" si="1373"/>
        <v>46113</v>
      </c>
      <c r="C3658" s="73">
        <f t="shared" si="1354"/>
        <v>46142</v>
      </c>
      <c r="D3658" s="67">
        <f t="shared" si="1355"/>
        <v>30</v>
      </c>
      <c r="E3658" s="67">
        <f t="shared" si="1356"/>
        <v>4</v>
      </c>
      <c r="F3658" s="74">
        <f t="shared" si="1357"/>
        <v>46128</v>
      </c>
      <c r="G3658" s="67">
        <f t="shared" si="1358"/>
        <v>24315</v>
      </c>
      <c r="H3658" s="75">
        <f t="shared" si="1359"/>
        <v>1</v>
      </c>
      <c r="I3658" s="76">
        <f t="shared" si="1360"/>
        <v>1</v>
      </c>
      <c r="J3658" s="76">
        <f t="shared" si="1361"/>
        <v>1</v>
      </c>
      <c r="K3658" s="67">
        <f t="shared" si="1362"/>
        <v>0</v>
      </c>
      <c r="L3658" s="67">
        <f t="shared" si="1363"/>
        <v>0</v>
      </c>
      <c r="M3658" s="77">
        <f t="shared" si="1364"/>
        <v>0</v>
      </c>
      <c r="N3658" s="76">
        <f t="shared" si="1365"/>
        <v>1</v>
      </c>
      <c r="O3658" s="77">
        <f t="shared" si="1366"/>
        <v>1</v>
      </c>
      <c r="P3658" s="76">
        <f t="shared" si="1367"/>
        <v>1</v>
      </c>
      <c r="Q3658" s="76">
        <f t="shared" si="1368"/>
        <v>0</v>
      </c>
      <c r="R3658" s="76">
        <f t="shared" si="1369"/>
        <v>0</v>
      </c>
      <c r="S3658" s="76">
        <f t="shared" si="1370"/>
        <v>1</v>
      </c>
      <c r="T3658" s="76">
        <f t="shared" si="1371"/>
        <v>1</v>
      </c>
      <c r="U3658" s="76">
        <f t="shared" si="1372"/>
        <v>1</v>
      </c>
    </row>
    <row r="3659" spans="1:21" x14ac:dyDescent="0.25">
      <c r="A3659" s="71">
        <v>17</v>
      </c>
      <c r="B3659" s="72">
        <f t="shared" si="1373"/>
        <v>46143</v>
      </c>
      <c r="C3659" s="73">
        <f t="shared" si="1354"/>
        <v>46173</v>
      </c>
      <c r="D3659" s="67">
        <f t="shared" si="1355"/>
        <v>31</v>
      </c>
      <c r="E3659" s="67">
        <f t="shared" si="1356"/>
        <v>5</v>
      </c>
      <c r="F3659" s="74">
        <f t="shared" si="1357"/>
        <v>46158.5</v>
      </c>
      <c r="G3659" s="67">
        <f t="shared" si="1358"/>
        <v>24316</v>
      </c>
      <c r="H3659" s="75">
        <f t="shared" si="1359"/>
        <v>1</v>
      </c>
      <c r="I3659" s="76">
        <f t="shared" si="1360"/>
        <v>1</v>
      </c>
      <c r="J3659" s="76">
        <f t="shared" si="1361"/>
        <v>1</v>
      </c>
      <c r="K3659" s="67">
        <f t="shared" si="1362"/>
        <v>0</v>
      </c>
      <c r="L3659" s="67">
        <f t="shared" si="1363"/>
        <v>0</v>
      </c>
      <c r="M3659" s="77">
        <f t="shared" si="1364"/>
        <v>0</v>
      </c>
      <c r="N3659" s="76">
        <f t="shared" si="1365"/>
        <v>1</v>
      </c>
      <c r="O3659" s="77">
        <f t="shared" si="1366"/>
        <v>1</v>
      </c>
      <c r="P3659" s="76">
        <f t="shared" si="1367"/>
        <v>1</v>
      </c>
      <c r="Q3659" s="76">
        <f t="shared" si="1368"/>
        <v>0</v>
      </c>
      <c r="R3659" s="76">
        <f t="shared" si="1369"/>
        <v>0</v>
      </c>
      <c r="S3659" s="76">
        <f t="shared" si="1370"/>
        <v>1</v>
      </c>
      <c r="T3659" s="76">
        <f t="shared" si="1371"/>
        <v>1</v>
      </c>
      <c r="U3659" s="76">
        <f t="shared" si="1372"/>
        <v>1</v>
      </c>
    </row>
    <row r="3660" spans="1:21" x14ac:dyDescent="0.25">
      <c r="A3660" s="71">
        <v>18</v>
      </c>
      <c r="B3660" s="72">
        <f t="shared" si="1373"/>
        <v>46174</v>
      </c>
      <c r="C3660" s="73">
        <f t="shared" si="1354"/>
        <v>46203</v>
      </c>
      <c r="D3660" s="67">
        <f t="shared" si="1355"/>
        <v>30</v>
      </c>
      <c r="E3660" s="67">
        <f t="shared" si="1356"/>
        <v>6</v>
      </c>
      <c r="F3660" s="74">
        <f t="shared" si="1357"/>
        <v>46189</v>
      </c>
      <c r="G3660" s="67">
        <f t="shared" si="1358"/>
        <v>24317</v>
      </c>
      <c r="H3660" s="75">
        <f t="shared" si="1359"/>
        <v>1</v>
      </c>
      <c r="I3660" s="76">
        <f t="shared" si="1360"/>
        <v>1</v>
      </c>
      <c r="J3660" s="76">
        <f t="shared" si="1361"/>
        <v>1</v>
      </c>
      <c r="K3660" s="67">
        <f t="shared" si="1362"/>
        <v>0</v>
      </c>
      <c r="L3660" s="67">
        <f t="shared" si="1363"/>
        <v>0</v>
      </c>
      <c r="M3660" s="77">
        <f t="shared" si="1364"/>
        <v>0</v>
      </c>
      <c r="N3660" s="76">
        <f t="shared" si="1365"/>
        <v>1</v>
      </c>
      <c r="O3660" s="77">
        <f t="shared" si="1366"/>
        <v>1</v>
      </c>
      <c r="P3660" s="76">
        <f t="shared" si="1367"/>
        <v>1</v>
      </c>
      <c r="Q3660" s="76">
        <f t="shared" si="1368"/>
        <v>0</v>
      </c>
      <c r="R3660" s="76">
        <f t="shared" si="1369"/>
        <v>0</v>
      </c>
      <c r="S3660" s="76">
        <f t="shared" si="1370"/>
        <v>1</v>
      </c>
      <c r="T3660" s="76">
        <f t="shared" si="1371"/>
        <v>1</v>
      </c>
      <c r="U3660" s="76">
        <f t="shared" si="1372"/>
        <v>1</v>
      </c>
    </row>
    <row r="3661" spans="1:21" x14ac:dyDescent="0.25">
      <c r="A3661" s="71">
        <v>19</v>
      </c>
      <c r="B3661" s="72">
        <f t="shared" si="1373"/>
        <v>46204</v>
      </c>
      <c r="C3661" s="73">
        <f t="shared" si="1354"/>
        <v>46234</v>
      </c>
      <c r="D3661" s="67">
        <f t="shared" si="1355"/>
        <v>31</v>
      </c>
      <c r="E3661" s="67">
        <f t="shared" si="1356"/>
        <v>7</v>
      </c>
      <c r="F3661" s="74">
        <f t="shared" si="1357"/>
        <v>46219.5</v>
      </c>
      <c r="G3661" s="67">
        <f t="shared" si="1358"/>
        <v>24318</v>
      </c>
      <c r="H3661" s="75">
        <f t="shared" si="1359"/>
        <v>1</v>
      </c>
      <c r="I3661" s="76">
        <f t="shared" si="1360"/>
        <v>1</v>
      </c>
      <c r="J3661" s="76">
        <f t="shared" si="1361"/>
        <v>1</v>
      </c>
      <c r="K3661" s="67">
        <f t="shared" si="1362"/>
        <v>0</v>
      </c>
      <c r="L3661" s="67">
        <f t="shared" si="1363"/>
        <v>0</v>
      </c>
      <c r="M3661" s="77">
        <f t="shared" si="1364"/>
        <v>0</v>
      </c>
      <c r="N3661" s="76">
        <f t="shared" si="1365"/>
        <v>1</v>
      </c>
      <c r="O3661" s="77">
        <f t="shared" si="1366"/>
        <v>1</v>
      </c>
      <c r="P3661" s="76">
        <f t="shared" si="1367"/>
        <v>0.91666666666666663</v>
      </c>
      <c r="Q3661" s="76">
        <f t="shared" si="1368"/>
        <v>8.333333333333337E-2</v>
      </c>
      <c r="R3661" s="76">
        <f t="shared" si="1369"/>
        <v>0</v>
      </c>
      <c r="S3661" s="76">
        <f t="shared" si="1370"/>
        <v>1</v>
      </c>
      <c r="T3661" s="76">
        <f t="shared" si="1371"/>
        <v>1</v>
      </c>
      <c r="U3661" s="76">
        <f t="shared" si="1372"/>
        <v>1</v>
      </c>
    </row>
    <row r="3662" spans="1:21" x14ac:dyDescent="0.25">
      <c r="A3662" s="71">
        <v>20</v>
      </c>
      <c r="B3662" s="72">
        <f t="shared" si="1373"/>
        <v>46235</v>
      </c>
      <c r="C3662" s="73">
        <f t="shared" si="1354"/>
        <v>46265</v>
      </c>
      <c r="D3662" s="67">
        <f t="shared" si="1355"/>
        <v>31</v>
      </c>
      <c r="E3662" s="67">
        <f t="shared" si="1356"/>
        <v>8</v>
      </c>
      <c r="F3662" s="74">
        <f t="shared" si="1357"/>
        <v>46250.5</v>
      </c>
      <c r="G3662" s="67">
        <f t="shared" si="1358"/>
        <v>24319</v>
      </c>
      <c r="H3662" s="75">
        <f t="shared" si="1359"/>
        <v>1</v>
      </c>
      <c r="I3662" s="76">
        <f t="shared" si="1360"/>
        <v>1</v>
      </c>
      <c r="J3662" s="76">
        <f t="shared" si="1361"/>
        <v>1</v>
      </c>
      <c r="K3662" s="67">
        <f t="shared" si="1362"/>
        <v>0</v>
      </c>
      <c r="L3662" s="67">
        <f t="shared" si="1363"/>
        <v>0</v>
      </c>
      <c r="M3662" s="77">
        <f t="shared" si="1364"/>
        <v>0</v>
      </c>
      <c r="N3662" s="76">
        <f t="shared" si="1365"/>
        <v>1</v>
      </c>
      <c r="O3662" s="77">
        <f t="shared" si="1366"/>
        <v>1</v>
      </c>
      <c r="P3662" s="76">
        <f t="shared" si="1367"/>
        <v>0.75</v>
      </c>
      <c r="Q3662" s="76">
        <f t="shared" si="1368"/>
        <v>0.25</v>
      </c>
      <c r="R3662" s="76">
        <f t="shared" si="1369"/>
        <v>0</v>
      </c>
      <c r="S3662" s="76">
        <f t="shared" si="1370"/>
        <v>1</v>
      </c>
      <c r="T3662" s="76">
        <f t="shared" si="1371"/>
        <v>1</v>
      </c>
      <c r="U3662" s="76">
        <f t="shared" si="1372"/>
        <v>1</v>
      </c>
    </row>
    <row r="3663" spans="1:21" x14ac:dyDescent="0.25">
      <c r="A3663" s="71">
        <v>21</v>
      </c>
      <c r="B3663" s="72">
        <f t="shared" si="1373"/>
        <v>46266</v>
      </c>
      <c r="C3663" s="73">
        <f t="shared" si="1354"/>
        <v>46295</v>
      </c>
      <c r="D3663" s="67">
        <f t="shared" si="1355"/>
        <v>30</v>
      </c>
      <c r="E3663" s="67">
        <f t="shared" si="1356"/>
        <v>9</v>
      </c>
      <c r="F3663" s="74">
        <f t="shared" si="1357"/>
        <v>46281</v>
      </c>
      <c r="G3663" s="67">
        <f t="shared" si="1358"/>
        <v>24320</v>
      </c>
      <c r="H3663" s="75">
        <f t="shared" si="1359"/>
        <v>1</v>
      </c>
      <c r="I3663" s="76">
        <f t="shared" si="1360"/>
        <v>1</v>
      </c>
      <c r="J3663" s="76">
        <f t="shared" si="1361"/>
        <v>1</v>
      </c>
      <c r="K3663" s="67">
        <f t="shared" si="1362"/>
        <v>0</v>
      </c>
      <c r="L3663" s="67">
        <f t="shared" si="1363"/>
        <v>0</v>
      </c>
      <c r="M3663" s="77">
        <f t="shared" si="1364"/>
        <v>0</v>
      </c>
      <c r="N3663" s="76">
        <f t="shared" si="1365"/>
        <v>1</v>
      </c>
      <c r="O3663" s="77">
        <f t="shared" si="1366"/>
        <v>1</v>
      </c>
      <c r="P3663" s="76">
        <f t="shared" si="1367"/>
        <v>0.58333333333333337</v>
      </c>
      <c r="Q3663" s="76">
        <f t="shared" si="1368"/>
        <v>0.41666666666666663</v>
      </c>
      <c r="R3663" s="76">
        <f t="shared" si="1369"/>
        <v>0</v>
      </c>
      <c r="S3663" s="76">
        <f t="shared" si="1370"/>
        <v>1</v>
      </c>
      <c r="T3663" s="76">
        <f t="shared" si="1371"/>
        <v>1</v>
      </c>
      <c r="U3663" s="76">
        <f t="shared" si="1372"/>
        <v>1</v>
      </c>
    </row>
    <row r="3664" spans="1:21" x14ac:dyDescent="0.25">
      <c r="A3664" s="71">
        <v>22</v>
      </c>
      <c r="B3664" s="72">
        <f t="shared" si="1373"/>
        <v>46296</v>
      </c>
      <c r="C3664" s="73">
        <f t="shared" si="1354"/>
        <v>46326</v>
      </c>
      <c r="D3664" s="67">
        <f t="shared" si="1355"/>
        <v>31</v>
      </c>
      <c r="E3664" s="67">
        <f t="shared" si="1356"/>
        <v>10</v>
      </c>
      <c r="F3664" s="74">
        <f t="shared" si="1357"/>
        <v>46311.5</v>
      </c>
      <c r="G3664" s="67">
        <f t="shared" si="1358"/>
        <v>24321</v>
      </c>
      <c r="H3664" s="75">
        <f t="shared" si="1359"/>
        <v>1</v>
      </c>
      <c r="I3664" s="76">
        <f t="shared" si="1360"/>
        <v>1</v>
      </c>
      <c r="J3664" s="76">
        <f t="shared" si="1361"/>
        <v>1</v>
      </c>
      <c r="K3664" s="67">
        <f t="shared" si="1362"/>
        <v>0</v>
      </c>
      <c r="L3664" s="67">
        <f t="shared" si="1363"/>
        <v>0</v>
      </c>
      <c r="M3664" s="77">
        <f t="shared" si="1364"/>
        <v>0</v>
      </c>
      <c r="N3664" s="76">
        <f t="shared" si="1365"/>
        <v>1</v>
      </c>
      <c r="O3664" s="77">
        <f t="shared" si="1366"/>
        <v>1</v>
      </c>
      <c r="P3664" s="76">
        <f t="shared" si="1367"/>
        <v>0.41666666666666669</v>
      </c>
      <c r="Q3664" s="76">
        <f t="shared" si="1368"/>
        <v>0.58333333333333326</v>
      </c>
      <c r="R3664" s="76">
        <f t="shared" si="1369"/>
        <v>0</v>
      </c>
      <c r="S3664" s="76">
        <f t="shared" si="1370"/>
        <v>1</v>
      </c>
      <c r="T3664" s="76">
        <f t="shared" si="1371"/>
        <v>1</v>
      </c>
      <c r="U3664" s="76">
        <f t="shared" si="1372"/>
        <v>1</v>
      </c>
    </row>
    <row r="3665" spans="1:21" x14ac:dyDescent="0.25">
      <c r="A3665" s="71">
        <v>23</v>
      </c>
      <c r="B3665" s="72">
        <f t="shared" si="1373"/>
        <v>46327</v>
      </c>
      <c r="C3665" s="73">
        <f t="shared" si="1354"/>
        <v>46356</v>
      </c>
      <c r="D3665" s="67">
        <f t="shared" si="1355"/>
        <v>30</v>
      </c>
      <c r="E3665" s="67">
        <f t="shared" si="1356"/>
        <v>11</v>
      </c>
      <c r="F3665" s="74">
        <f t="shared" si="1357"/>
        <v>46342</v>
      </c>
      <c r="G3665" s="67">
        <f t="shared" si="1358"/>
        <v>24322</v>
      </c>
      <c r="H3665" s="75">
        <f t="shared" si="1359"/>
        <v>1</v>
      </c>
      <c r="I3665" s="76">
        <f t="shared" si="1360"/>
        <v>1</v>
      </c>
      <c r="J3665" s="76">
        <f t="shared" si="1361"/>
        <v>1</v>
      </c>
      <c r="K3665" s="67">
        <f t="shared" si="1362"/>
        <v>0</v>
      </c>
      <c r="L3665" s="67">
        <f t="shared" si="1363"/>
        <v>0</v>
      </c>
      <c r="M3665" s="77">
        <f t="shared" si="1364"/>
        <v>0</v>
      </c>
      <c r="N3665" s="76">
        <f t="shared" si="1365"/>
        <v>1</v>
      </c>
      <c r="O3665" s="77">
        <f t="shared" si="1366"/>
        <v>1</v>
      </c>
      <c r="P3665" s="76">
        <f t="shared" si="1367"/>
        <v>0.25</v>
      </c>
      <c r="Q3665" s="76">
        <f t="shared" si="1368"/>
        <v>0.75</v>
      </c>
      <c r="R3665" s="76">
        <f t="shared" si="1369"/>
        <v>0</v>
      </c>
      <c r="S3665" s="76">
        <f t="shared" si="1370"/>
        <v>1</v>
      </c>
      <c r="T3665" s="76">
        <f t="shared" si="1371"/>
        <v>1</v>
      </c>
      <c r="U3665" s="76">
        <f t="shared" si="1372"/>
        <v>1</v>
      </c>
    </row>
    <row r="3666" spans="1:21" x14ac:dyDescent="0.25">
      <c r="A3666" s="71">
        <v>24</v>
      </c>
      <c r="B3666" s="72">
        <f t="shared" si="1373"/>
        <v>46357</v>
      </c>
      <c r="C3666" s="73">
        <f t="shared" si="1354"/>
        <v>46387</v>
      </c>
      <c r="D3666" s="67">
        <f t="shared" si="1355"/>
        <v>31</v>
      </c>
      <c r="E3666" s="67">
        <f t="shared" si="1356"/>
        <v>12</v>
      </c>
      <c r="F3666" s="74">
        <f t="shared" si="1357"/>
        <v>46372.5</v>
      </c>
      <c r="G3666" s="67">
        <f t="shared" si="1358"/>
        <v>24323</v>
      </c>
      <c r="H3666" s="75">
        <f t="shared" si="1359"/>
        <v>1</v>
      </c>
      <c r="I3666" s="76">
        <f t="shared" si="1360"/>
        <v>1</v>
      </c>
      <c r="J3666" s="76">
        <f t="shared" si="1361"/>
        <v>1</v>
      </c>
      <c r="K3666" s="67">
        <f t="shared" si="1362"/>
        <v>0</v>
      </c>
      <c r="L3666" s="67">
        <f t="shared" si="1363"/>
        <v>0</v>
      </c>
      <c r="M3666" s="77">
        <f t="shared" si="1364"/>
        <v>0</v>
      </c>
      <c r="N3666" s="76">
        <f t="shared" si="1365"/>
        <v>1</v>
      </c>
      <c r="O3666" s="77">
        <f t="shared" si="1366"/>
        <v>1</v>
      </c>
      <c r="P3666" s="76">
        <f t="shared" si="1367"/>
        <v>8.3333333333333329E-2</v>
      </c>
      <c r="Q3666" s="76">
        <f t="shared" si="1368"/>
        <v>0.91666666666666663</v>
      </c>
      <c r="R3666" s="76">
        <f t="shared" si="1369"/>
        <v>0</v>
      </c>
      <c r="S3666" s="76">
        <f t="shared" si="1370"/>
        <v>1</v>
      </c>
      <c r="T3666" s="76">
        <f t="shared" si="1371"/>
        <v>1</v>
      </c>
      <c r="U3666" s="76">
        <f t="shared" si="1372"/>
        <v>1</v>
      </c>
    </row>
    <row r="3667" spans="1:21" x14ac:dyDescent="0.25">
      <c r="A3667" s="71">
        <v>25</v>
      </c>
      <c r="B3667" s="72">
        <f t="shared" si="1373"/>
        <v>46388</v>
      </c>
      <c r="C3667" s="73">
        <f t="shared" si="1354"/>
        <v>46418</v>
      </c>
      <c r="D3667" s="67">
        <f t="shared" si="1355"/>
        <v>31</v>
      </c>
      <c r="E3667" s="67">
        <f t="shared" si="1356"/>
        <v>1</v>
      </c>
      <c r="F3667" s="74">
        <f t="shared" si="1357"/>
        <v>46403.5</v>
      </c>
      <c r="G3667" s="67">
        <f t="shared" si="1358"/>
        <v>24324</v>
      </c>
      <c r="H3667" s="75">
        <f t="shared" si="1359"/>
        <v>1</v>
      </c>
      <c r="I3667" s="76">
        <f t="shared" si="1360"/>
        <v>1</v>
      </c>
      <c r="J3667" s="76">
        <f t="shared" si="1361"/>
        <v>1</v>
      </c>
      <c r="K3667" s="67">
        <f t="shared" si="1362"/>
        <v>0</v>
      </c>
      <c r="L3667" s="67">
        <f t="shared" si="1363"/>
        <v>0</v>
      </c>
      <c r="M3667" s="77">
        <f t="shared" si="1364"/>
        <v>0</v>
      </c>
      <c r="N3667" s="76">
        <f t="shared" si="1365"/>
        <v>1</v>
      </c>
      <c r="O3667" s="77">
        <f t="shared" si="1366"/>
        <v>1</v>
      </c>
      <c r="P3667" s="76">
        <f t="shared" si="1367"/>
        <v>0</v>
      </c>
      <c r="Q3667" s="76">
        <f t="shared" si="1368"/>
        <v>1</v>
      </c>
      <c r="R3667" s="76">
        <f t="shared" si="1369"/>
        <v>0</v>
      </c>
      <c r="S3667" s="76">
        <f t="shared" si="1370"/>
        <v>1</v>
      </c>
      <c r="T3667" s="76">
        <f t="shared" si="1371"/>
        <v>1</v>
      </c>
      <c r="U3667" s="76">
        <f t="shared" si="1372"/>
        <v>1</v>
      </c>
    </row>
    <row r="3668" spans="1:21" x14ac:dyDescent="0.25">
      <c r="A3668" s="71">
        <v>26</v>
      </c>
      <c r="B3668" s="72">
        <f t="shared" si="1373"/>
        <v>46419</v>
      </c>
      <c r="C3668" s="73">
        <f t="shared" si="1354"/>
        <v>46446</v>
      </c>
      <c r="D3668" s="67">
        <f t="shared" si="1355"/>
        <v>28</v>
      </c>
      <c r="E3668" s="67">
        <f t="shared" si="1356"/>
        <v>2</v>
      </c>
      <c r="F3668" s="74">
        <f t="shared" si="1357"/>
        <v>46433</v>
      </c>
      <c r="G3668" s="67">
        <f t="shared" si="1358"/>
        <v>24325</v>
      </c>
      <c r="H3668" s="75">
        <f t="shared" si="1359"/>
        <v>1</v>
      </c>
      <c r="I3668" s="76">
        <f t="shared" si="1360"/>
        <v>1</v>
      </c>
      <c r="J3668" s="76">
        <f t="shared" si="1361"/>
        <v>1</v>
      </c>
      <c r="K3668" s="67">
        <f t="shared" si="1362"/>
        <v>0</v>
      </c>
      <c r="L3668" s="67">
        <f t="shared" si="1363"/>
        <v>0</v>
      </c>
      <c r="M3668" s="77">
        <f t="shared" si="1364"/>
        <v>0</v>
      </c>
      <c r="N3668" s="76">
        <f t="shared" si="1365"/>
        <v>1</v>
      </c>
      <c r="O3668" s="77">
        <f t="shared" si="1366"/>
        <v>1</v>
      </c>
      <c r="P3668" s="76">
        <f t="shared" si="1367"/>
        <v>0</v>
      </c>
      <c r="Q3668" s="76">
        <f t="shared" si="1368"/>
        <v>1</v>
      </c>
      <c r="R3668" s="76">
        <f t="shared" si="1369"/>
        <v>0</v>
      </c>
      <c r="S3668" s="76">
        <f t="shared" si="1370"/>
        <v>1</v>
      </c>
      <c r="T3668" s="76">
        <f t="shared" si="1371"/>
        <v>1</v>
      </c>
      <c r="U3668" s="76">
        <f t="shared" si="1372"/>
        <v>1</v>
      </c>
    </row>
    <row r="3669" spans="1:21" x14ac:dyDescent="0.25">
      <c r="A3669" s="71">
        <v>27</v>
      </c>
      <c r="B3669" s="72">
        <f t="shared" si="1373"/>
        <v>46447</v>
      </c>
      <c r="C3669" s="73">
        <f t="shared" si="1354"/>
        <v>46477</v>
      </c>
      <c r="D3669" s="67">
        <f t="shared" si="1355"/>
        <v>31</v>
      </c>
      <c r="E3669" s="67">
        <f t="shared" si="1356"/>
        <v>3</v>
      </c>
      <c r="F3669" s="74">
        <f t="shared" si="1357"/>
        <v>46462.5</v>
      </c>
      <c r="G3669" s="67">
        <f t="shared" si="1358"/>
        <v>24326</v>
      </c>
      <c r="H3669" s="75">
        <f t="shared" si="1359"/>
        <v>1</v>
      </c>
      <c r="I3669" s="76">
        <f t="shared" si="1360"/>
        <v>1</v>
      </c>
      <c r="J3669" s="76">
        <f t="shared" si="1361"/>
        <v>1</v>
      </c>
      <c r="K3669" s="67">
        <f t="shared" si="1362"/>
        <v>0</v>
      </c>
      <c r="L3669" s="67">
        <f t="shared" si="1363"/>
        <v>0</v>
      </c>
      <c r="M3669" s="77">
        <f t="shared" si="1364"/>
        <v>0</v>
      </c>
      <c r="N3669" s="76">
        <f t="shared" si="1365"/>
        <v>1</v>
      </c>
      <c r="O3669" s="77">
        <f t="shared" si="1366"/>
        <v>1</v>
      </c>
      <c r="P3669" s="76">
        <f t="shared" si="1367"/>
        <v>0</v>
      </c>
      <c r="Q3669" s="76">
        <f t="shared" si="1368"/>
        <v>1</v>
      </c>
      <c r="R3669" s="76">
        <f t="shared" si="1369"/>
        <v>0</v>
      </c>
      <c r="S3669" s="76">
        <f t="shared" si="1370"/>
        <v>1</v>
      </c>
      <c r="T3669" s="76">
        <f t="shared" si="1371"/>
        <v>1</v>
      </c>
      <c r="U3669" s="76">
        <f t="shared" si="1372"/>
        <v>1</v>
      </c>
    </row>
    <row r="3670" spans="1:21" x14ac:dyDescent="0.25">
      <c r="A3670" s="71">
        <v>28</v>
      </c>
      <c r="B3670" s="72">
        <f t="shared" si="1373"/>
        <v>46478</v>
      </c>
      <c r="C3670" s="73">
        <f t="shared" si="1354"/>
        <v>46507</v>
      </c>
      <c r="D3670" s="67">
        <f t="shared" si="1355"/>
        <v>30</v>
      </c>
      <c r="E3670" s="67">
        <f t="shared" si="1356"/>
        <v>4</v>
      </c>
      <c r="F3670" s="74">
        <f t="shared" si="1357"/>
        <v>46493</v>
      </c>
      <c r="G3670" s="67">
        <f t="shared" si="1358"/>
        <v>24327</v>
      </c>
      <c r="H3670" s="75">
        <f t="shared" si="1359"/>
        <v>1</v>
      </c>
      <c r="I3670" s="76">
        <f t="shared" si="1360"/>
        <v>1</v>
      </c>
      <c r="J3670" s="76">
        <f t="shared" si="1361"/>
        <v>1</v>
      </c>
      <c r="K3670" s="67">
        <f t="shared" si="1362"/>
        <v>0</v>
      </c>
      <c r="L3670" s="67">
        <f t="shared" si="1363"/>
        <v>0</v>
      </c>
      <c r="M3670" s="77">
        <f t="shared" si="1364"/>
        <v>0</v>
      </c>
      <c r="N3670" s="76">
        <f t="shared" si="1365"/>
        <v>1</v>
      </c>
      <c r="O3670" s="77">
        <f t="shared" si="1366"/>
        <v>1</v>
      </c>
      <c r="P3670" s="76">
        <f t="shared" si="1367"/>
        <v>0</v>
      </c>
      <c r="Q3670" s="76">
        <f t="shared" si="1368"/>
        <v>1</v>
      </c>
      <c r="R3670" s="76">
        <f t="shared" si="1369"/>
        <v>0</v>
      </c>
      <c r="S3670" s="76">
        <f t="shared" si="1370"/>
        <v>1</v>
      </c>
      <c r="T3670" s="76">
        <f t="shared" si="1371"/>
        <v>1</v>
      </c>
      <c r="U3670" s="76">
        <f t="shared" si="1372"/>
        <v>1</v>
      </c>
    </row>
    <row r="3671" spans="1:21" x14ac:dyDescent="0.25">
      <c r="A3671" s="71">
        <v>29</v>
      </c>
      <c r="B3671" s="72">
        <f t="shared" si="1373"/>
        <v>46508</v>
      </c>
      <c r="C3671" s="73">
        <f t="shared" si="1354"/>
        <v>46538</v>
      </c>
      <c r="D3671" s="67">
        <f t="shared" si="1355"/>
        <v>31</v>
      </c>
      <c r="E3671" s="67">
        <f t="shared" si="1356"/>
        <v>5</v>
      </c>
      <c r="F3671" s="74">
        <f t="shared" si="1357"/>
        <v>46523.5</v>
      </c>
      <c r="G3671" s="67">
        <f t="shared" si="1358"/>
        <v>24328</v>
      </c>
      <c r="H3671" s="75">
        <f t="shared" si="1359"/>
        <v>1</v>
      </c>
      <c r="I3671" s="76">
        <f t="shared" si="1360"/>
        <v>1</v>
      </c>
      <c r="J3671" s="76">
        <f t="shared" si="1361"/>
        <v>1</v>
      </c>
      <c r="K3671" s="67">
        <f t="shared" si="1362"/>
        <v>0</v>
      </c>
      <c r="L3671" s="67">
        <f t="shared" si="1363"/>
        <v>0</v>
      </c>
      <c r="M3671" s="77">
        <f t="shared" si="1364"/>
        <v>0</v>
      </c>
      <c r="N3671" s="76">
        <f t="shared" si="1365"/>
        <v>1</v>
      </c>
      <c r="O3671" s="77">
        <f t="shared" si="1366"/>
        <v>1</v>
      </c>
      <c r="P3671" s="76">
        <f t="shared" si="1367"/>
        <v>0</v>
      </c>
      <c r="Q3671" s="76">
        <f t="shared" si="1368"/>
        <v>1</v>
      </c>
      <c r="R3671" s="76">
        <f t="shared" si="1369"/>
        <v>0</v>
      </c>
      <c r="S3671" s="76">
        <f t="shared" si="1370"/>
        <v>1</v>
      </c>
      <c r="T3671" s="76">
        <f t="shared" si="1371"/>
        <v>1</v>
      </c>
      <c r="U3671" s="76">
        <f t="shared" si="1372"/>
        <v>1</v>
      </c>
    </row>
    <row r="3672" spans="1:21" x14ac:dyDescent="0.25">
      <c r="A3672" s="71">
        <v>30</v>
      </c>
      <c r="B3672" s="72">
        <f t="shared" si="1373"/>
        <v>46539</v>
      </c>
      <c r="C3672" s="73">
        <f t="shared" si="1354"/>
        <v>46568</v>
      </c>
      <c r="D3672" s="67">
        <f t="shared" si="1355"/>
        <v>30</v>
      </c>
      <c r="E3672" s="67">
        <f t="shared" si="1356"/>
        <v>6</v>
      </c>
      <c r="F3672" s="74">
        <f t="shared" si="1357"/>
        <v>46554</v>
      </c>
      <c r="G3672" s="67">
        <f t="shared" si="1358"/>
        <v>24329</v>
      </c>
      <c r="H3672" s="75">
        <f t="shared" si="1359"/>
        <v>1</v>
      </c>
      <c r="I3672" s="76">
        <f t="shared" si="1360"/>
        <v>1</v>
      </c>
      <c r="J3672" s="76">
        <f t="shared" si="1361"/>
        <v>1</v>
      </c>
      <c r="K3672" s="67">
        <f t="shared" si="1362"/>
        <v>0</v>
      </c>
      <c r="L3672" s="67">
        <f t="shared" si="1363"/>
        <v>0</v>
      </c>
      <c r="M3672" s="77">
        <f t="shared" si="1364"/>
        <v>0</v>
      </c>
      <c r="N3672" s="76">
        <f t="shared" si="1365"/>
        <v>1</v>
      </c>
      <c r="O3672" s="77">
        <f t="shared" si="1366"/>
        <v>1</v>
      </c>
      <c r="P3672" s="76">
        <f t="shared" si="1367"/>
        <v>0</v>
      </c>
      <c r="Q3672" s="76">
        <f t="shared" si="1368"/>
        <v>1</v>
      </c>
      <c r="R3672" s="76">
        <f t="shared" si="1369"/>
        <v>0</v>
      </c>
      <c r="S3672" s="76">
        <f t="shared" si="1370"/>
        <v>1</v>
      </c>
      <c r="T3672" s="76">
        <f t="shared" si="1371"/>
        <v>1</v>
      </c>
      <c r="U3672" s="76">
        <f t="shared" si="1372"/>
        <v>1</v>
      </c>
    </row>
    <row r="3673" spans="1:21" x14ac:dyDescent="0.25">
      <c r="A3673" s="71">
        <v>31</v>
      </c>
      <c r="B3673" s="72">
        <f t="shared" si="1373"/>
        <v>46569</v>
      </c>
      <c r="C3673" s="73">
        <f t="shared" si="1354"/>
        <v>46599</v>
      </c>
      <c r="D3673" s="67">
        <f t="shared" si="1355"/>
        <v>31</v>
      </c>
      <c r="E3673" s="67">
        <f t="shared" si="1356"/>
        <v>7</v>
      </c>
      <c r="F3673" s="74">
        <f t="shared" si="1357"/>
        <v>46584.5</v>
      </c>
      <c r="G3673" s="67">
        <f t="shared" si="1358"/>
        <v>24330</v>
      </c>
      <c r="H3673" s="75">
        <f t="shared" si="1359"/>
        <v>1</v>
      </c>
      <c r="I3673" s="76">
        <f t="shared" si="1360"/>
        <v>1</v>
      </c>
      <c r="J3673" s="76">
        <f t="shared" si="1361"/>
        <v>1</v>
      </c>
      <c r="K3673" s="67">
        <f t="shared" si="1362"/>
        <v>0</v>
      </c>
      <c r="L3673" s="67">
        <f t="shared" si="1363"/>
        <v>0</v>
      </c>
      <c r="M3673" s="77">
        <f t="shared" si="1364"/>
        <v>0</v>
      </c>
      <c r="N3673" s="76">
        <f t="shared" si="1365"/>
        <v>1</v>
      </c>
      <c r="O3673" s="77">
        <f t="shared" si="1366"/>
        <v>1</v>
      </c>
      <c r="P3673" s="76">
        <f t="shared" si="1367"/>
        <v>0</v>
      </c>
      <c r="Q3673" s="76">
        <f t="shared" si="1368"/>
        <v>0.91666666666666663</v>
      </c>
      <c r="R3673" s="76">
        <f t="shared" si="1369"/>
        <v>8.333333333333337E-2</v>
      </c>
      <c r="S3673" s="76">
        <f t="shared" si="1370"/>
        <v>1</v>
      </c>
      <c r="T3673" s="76">
        <f t="shared" si="1371"/>
        <v>1</v>
      </c>
      <c r="U3673" s="76">
        <f t="shared" si="1372"/>
        <v>1</v>
      </c>
    </row>
    <row r="3674" spans="1:21" x14ac:dyDescent="0.25">
      <c r="A3674" s="71">
        <v>32</v>
      </c>
      <c r="B3674" s="72">
        <f t="shared" si="1373"/>
        <v>46600</v>
      </c>
      <c r="C3674" s="73">
        <f t="shared" si="1354"/>
        <v>46630</v>
      </c>
      <c r="D3674" s="67">
        <f t="shared" si="1355"/>
        <v>31</v>
      </c>
      <c r="E3674" s="67">
        <f t="shared" si="1356"/>
        <v>8</v>
      </c>
      <c r="F3674" s="74">
        <f t="shared" si="1357"/>
        <v>46615.5</v>
      </c>
      <c r="G3674" s="67">
        <f t="shared" si="1358"/>
        <v>24331</v>
      </c>
      <c r="H3674" s="75">
        <f t="shared" si="1359"/>
        <v>1</v>
      </c>
      <c r="I3674" s="76">
        <f t="shared" si="1360"/>
        <v>1</v>
      </c>
      <c r="J3674" s="76">
        <f t="shared" si="1361"/>
        <v>1</v>
      </c>
      <c r="K3674" s="67">
        <f t="shared" si="1362"/>
        <v>0</v>
      </c>
      <c r="L3674" s="67">
        <f t="shared" si="1363"/>
        <v>0</v>
      </c>
      <c r="M3674" s="77">
        <f t="shared" si="1364"/>
        <v>0</v>
      </c>
      <c r="N3674" s="76">
        <f t="shared" si="1365"/>
        <v>1</v>
      </c>
      <c r="O3674" s="77">
        <f t="shared" si="1366"/>
        <v>1</v>
      </c>
      <c r="P3674" s="76">
        <f t="shared" si="1367"/>
        <v>0</v>
      </c>
      <c r="Q3674" s="76">
        <f t="shared" si="1368"/>
        <v>0.75</v>
      </c>
      <c r="R3674" s="76">
        <f t="shared" si="1369"/>
        <v>0.25</v>
      </c>
      <c r="S3674" s="76">
        <f t="shared" si="1370"/>
        <v>1</v>
      </c>
      <c r="T3674" s="76">
        <f t="shared" si="1371"/>
        <v>1</v>
      </c>
      <c r="U3674" s="76">
        <f t="shared" si="1372"/>
        <v>1</v>
      </c>
    </row>
    <row r="3675" spans="1:21" x14ac:dyDescent="0.25">
      <c r="A3675" s="71">
        <v>33</v>
      </c>
      <c r="B3675" s="72">
        <f t="shared" si="1373"/>
        <v>46631</v>
      </c>
      <c r="C3675" s="73">
        <f t="shared" si="1354"/>
        <v>46660</v>
      </c>
      <c r="D3675" s="67">
        <f t="shared" si="1355"/>
        <v>30</v>
      </c>
      <c r="E3675" s="67">
        <f t="shared" si="1356"/>
        <v>9</v>
      </c>
      <c r="F3675" s="74">
        <f t="shared" si="1357"/>
        <v>46646</v>
      </c>
      <c r="G3675" s="67">
        <f t="shared" si="1358"/>
        <v>24332</v>
      </c>
      <c r="H3675" s="75">
        <f t="shared" si="1359"/>
        <v>1</v>
      </c>
      <c r="I3675" s="76">
        <f t="shared" si="1360"/>
        <v>1</v>
      </c>
      <c r="J3675" s="76">
        <f t="shared" si="1361"/>
        <v>1</v>
      </c>
      <c r="K3675" s="67">
        <f t="shared" si="1362"/>
        <v>0</v>
      </c>
      <c r="L3675" s="67">
        <f t="shared" si="1363"/>
        <v>0</v>
      </c>
      <c r="M3675" s="77">
        <f t="shared" si="1364"/>
        <v>0</v>
      </c>
      <c r="N3675" s="76">
        <f t="shared" si="1365"/>
        <v>1</v>
      </c>
      <c r="O3675" s="77">
        <f t="shared" si="1366"/>
        <v>1</v>
      </c>
      <c r="P3675" s="76">
        <f t="shared" si="1367"/>
        <v>0</v>
      </c>
      <c r="Q3675" s="76">
        <f t="shared" si="1368"/>
        <v>0.58333333333333337</v>
      </c>
      <c r="R3675" s="76">
        <f t="shared" si="1369"/>
        <v>0.41666666666666663</v>
      </c>
      <c r="S3675" s="76">
        <f t="shared" si="1370"/>
        <v>1</v>
      </c>
      <c r="T3675" s="76">
        <f t="shared" si="1371"/>
        <v>1</v>
      </c>
      <c r="U3675" s="76">
        <f t="shared" si="1372"/>
        <v>1</v>
      </c>
    </row>
    <row r="3676" spans="1:21" x14ac:dyDescent="0.25">
      <c r="A3676" s="71">
        <v>34</v>
      </c>
      <c r="B3676" s="72">
        <f t="shared" si="1373"/>
        <v>46661</v>
      </c>
      <c r="C3676" s="73">
        <f t="shared" si="1354"/>
        <v>46691</v>
      </c>
      <c r="D3676" s="67">
        <f t="shared" si="1355"/>
        <v>31</v>
      </c>
      <c r="E3676" s="67">
        <f t="shared" si="1356"/>
        <v>10</v>
      </c>
      <c r="F3676" s="74">
        <f t="shared" si="1357"/>
        <v>46676.5</v>
      </c>
      <c r="G3676" s="67">
        <f t="shared" si="1358"/>
        <v>24333</v>
      </c>
      <c r="H3676" s="75">
        <f t="shared" si="1359"/>
        <v>1</v>
      </c>
      <c r="I3676" s="76">
        <f t="shared" si="1360"/>
        <v>1</v>
      </c>
      <c r="J3676" s="76">
        <f t="shared" si="1361"/>
        <v>1</v>
      </c>
      <c r="K3676" s="67">
        <f t="shared" si="1362"/>
        <v>0</v>
      </c>
      <c r="L3676" s="67">
        <f t="shared" si="1363"/>
        <v>0</v>
      </c>
      <c r="M3676" s="77">
        <f t="shared" si="1364"/>
        <v>0</v>
      </c>
      <c r="N3676" s="76">
        <f t="shared" si="1365"/>
        <v>1</v>
      </c>
      <c r="O3676" s="77">
        <f t="shared" si="1366"/>
        <v>1</v>
      </c>
      <c r="P3676" s="76">
        <f t="shared" si="1367"/>
        <v>0</v>
      </c>
      <c r="Q3676" s="76">
        <f t="shared" si="1368"/>
        <v>0.41666666666666669</v>
      </c>
      <c r="R3676" s="76">
        <f t="shared" si="1369"/>
        <v>0.58333333333333326</v>
      </c>
      <c r="S3676" s="76">
        <f t="shared" si="1370"/>
        <v>1</v>
      </c>
      <c r="T3676" s="76">
        <f t="shared" si="1371"/>
        <v>1</v>
      </c>
      <c r="U3676" s="76">
        <f t="shared" si="1372"/>
        <v>1</v>
      </c>
    </row>
    <row r="3677" spans="1:21" x14ac:dyDescent="0.25">
      <c r="A3677" s="71">
        <v>35</v>
      </c>
      <c r="B3677" s="72">
        <f t="shared" si="1373"/>
        <v>46692</v>
      </c>
      <c r="C3677" s="73">
        <f t="shared" si="1354"/>
        <v>46721</v>
      </c>
      <c r="D3677" s="67">
        <f t="shared" si="1355"/>
        <v>30</v>
      </c>
      <c r="E3677" s="67">
        <f t="shared" si="1356"/>
        <v>11</v>
      </c>
      <c r="F3677" s="74">
        <f t="shared" si="1357"/>
        <v>46707</v>
      </c>
      <c r="G3677" s="67">
        <f t="shared" si="1358"/>
        <v>24334</v>
      </c>
      <c r="H3677" s="75">
        <f t="shared" si="1359"/>
        <v>1</v>
      </c>
      <c r="I3677" s="76">
        <f t="shared" si="1360"/>
        <v>1</v>
      </c>
      <c r="J3677" s="76">
        <f t="shared" si="1361"/>
        <v>1</v>
      </c>
      <c r="K3677" s="67">
        <f t="shared" si="1362"/>
        <v>0</v>
      </c>
      <c r="L3677" s="67">
        <f t="shared" si="1363"/>
        <v>0</v>
      </c>
      <c r="M3677" s="77">
        <f t="shared" si="1364"/>
        <v>0</v>
      </c>
      <c r="N3677" s="76">
        <f t="shared" si="1365"/>
        <v>1</v>
      </c>
      <c r="O3677" s="77">
        <f t="shared" si="1366"/>
        <v>1</v>
      </c>
      <c r="P3677" s="76">
        <f t="shared" si="1367"/>
        <v>0</v>
      </c>
      <c r="Q3677" s="76">
        <f t="shared" si="1368"/>
        <v>0.25</v>
      </c>
      <c r="R3677" s="76">
        <f t="shared" si="1369"/>
        <v>0.75</v>
      </c>
      <c r="S3677" s="76">
        <f t="shared" si="1370"/>
        <v>1</v>
      </c>
      <c r="T3677" s="76">
        <f t="shared" si="1371"/>
        <v>1</v>
      </c>
      <c r="U3677" s="76">
        <f t="shared" si="1372"/>
        <v>1</v>
      </c>
    </row>
    <row r="3678" spans="1:21" x14ac:dyDescent="0.25">
      <c r="A3678" s="71">
        <v>36</v>
      </c>
      <c r="B3678" s="72">
        <f t="shared" si="1373"/>
        <v>46722</v>
      </c>
      <c r="C3678" s="73">
        <f t="shared" si="1354"/>
        <v>46752</v>
      </c>
      <c r="D3678" s="67">
        <f t="shared" si="1355"/>
        <v>31</v>
      </c>
      <c r="E3678" s="67">
        <f t="shared" si="1356"/>
        <v>12</v>
      </c>
      <c r="F3678" s="74">
        <f t="shared" si="1357"/>
        <v>46737.5</v>
      </c>
      <c r="G3678" s="67">
        <f t="shared" si="1358"/>
        <v>24335</v>
      </c>
      <c r="H3678" s="75">
        <f t="shared" si="1359"/>
        <v>1</v>
      </c>
      <c r="I3678" s="76">
        <f t="shared" si="1360"/>
        <v>1</v>
      </c>
      <c r="J3678" s="76">
        <f t="shared" si="1361"/>
        <v>1</v>
      </c>
      <c r="K3678" s="67">
        <f t="shared" si="1362"/>
        <v>0</v>
      </c>
      <c r="L3678" s="67">
        <f t="shared" si="1363"/>
        <v>0</v>
      </c>
      <c r="M3678" s="77">
        <f t="shared" si="1364"/>
        <v>0</v>
      </c>
      <c r="N3678" s="76">
        <f t="shared" si="1365"/>
        <v>1</v>
      </c>
      <c r="O3678" s="77">
        <f t="shared" si="1366"/>
        <v>1</v>
      </c>
      <c r="P3678" s="76">
        <f t="shared" si="1367"/>
        <v>0</v>
      </c>
      <c r="Q3678" s="76">
        <f t="shared" si="1368"/>
        <v>8.3333333333333329E-2</v>
      </c>
      <c r="R3678" s="76">
        <f t="shared" si="1369"/>
        <v>0.91666666666666663</v>
      </c>
      <c r="S3678" s="76">
        <f t="shared" si="1370"/>
        <v>1</v>
      </c>
      <c r="T3678" s="76">
        <f t="shared" si="1371"/>
        <v>1</v>
      </c>
      <c r="U3678" s="76">
        <f t="shared" si="1372"/>
        <v>1</v>
      </c>
    </row>
    <row r="3679" spans="1:21" x14ac:dyDescent="0.25">
      <c r="A3679" s="71">
        <v>37</v>
      </c>
      <c r="B3679" s="72">
        <f t="shared" si="1373"/>
        <v>46753</v>
      </c>
      <c r="C3679" s="73">
        <f t="shared" si="1354"/>
        <v>46783</v>
      </c>
      <c r="D3679" s="67">
        <f t="shared" si="1355"/>
        <v>31</v>
      </c>
      <c r="E3679" s="67">
        <f t="shared" si="1356"/>
        <v>1</v>
      </c>
      <c r="F3679" s="74">
        <f t="shared" si="1357"/>
        <v>46768.5</v>
      </c>
      <c r="G3679" s="67">
        <f t="shared" si="1358"/>
        <v>24336</v>
      </c>
      <c r="H3679" s="75">
        <f t="shared" si="1359"/>
        <v>1</v>
      </c>
      <c r="I3679" s="76">
        <f t="shared" si="1360"/>
        <v>1</v>
      </c>
      <c r="J3679" s="76">
        <f t="shared" si="1361"/>
        <v>1</v>
      </c>
      <c r="K3679" s="67">
        <f t="shared" si="1362"/>
        <v>0</v>
      </c>
      <c r="L3679" s="67">
        <f t="shared" si="1363"/>
        <v>0</v>
      </c>
      <c r="M3679" s="77">
        <f t="shared" si="1364"/>
        <v>0</v>
      </c>
      <c r="N3679" s="76">
        <f t="shared" si="1365"/>
        <v>1</v>
      </c>
      <c r="O3679" s="77">
        <f t="shared" si="1366"/>
        <v>1</v>
      </c>
      <c r="P3679" s="76">
        <f t="shared" si="1367"/>
        <v>0</v>
      </c>
      <c r="Q3679" s="76">
        <f t="shared" si="1368"/>
        <v>0</v>
      </c>
      <c r="R3679" s="76">
        <f t="shared" si="1369"/>
        <v>1</v>
      </c>
      <c r="S3679" s="76">
        <f t="shared" si="1370"/>
        <v>1</v>
      </c>
      <c r="T3679" s="76">
        <f t="shared" si="1371"/>
        <v>1</v>
      </c>
      <c r="U3679" s="76">
        <f t="shared" si="1372"/>
        <v>1</v>
      </c>
    </row>
    <row r="3680" spans="1:21" x14ac:dyDescent="0.25">
      <c r="A3680" s="71">
        <v>38</v>
      </c>
      <c r="B3680" s="72">
        <f t="shared" si="1373"/>
        <v>46784</v>
      </c>
      <c r="C3680" s="73">
        <f t="shared" si="1354"/>
        <v>46812</v>
      </c>
      <c r="D3680" s="67">
        <f t="shared" si="1355"/>
        <v>29</v>
      </c>
      <c r="E3680" s="67">
        <f t="shared" si="1356"/>
        <v>2</v>
      </c>
      <c r="F3680" s="74">
        <f t="shared" si="1357"/>
        <v>46798.5</v>
      </c>
      <c r="G3680" s="67">
        <f t="shared" si="1358"/>
        <v>24337</v>
      </c>
      <c r="H3680" s="75">
        <f t="shared" si="1359"/>
        <v>1</v>
      </c>
      <c r="I3680" s="76">
        <f t="shared" si="1360"/>
        <v>1</v>
      </c>
      <c r="J3680" s="76">
        <f t="shared" si="1361"/>
        <v>1</v>
      </c>
      <c r="K3680" s="67">
        <f t="shared" si="1362"/>
        <v>0</v>
      </c>
      <c r="L3680" s="67">
        <f t="shared" si="1363"/>
        <v>0</v>
      </c>
      <c r="M3680" s="77">
        <f t="shared" si="1364"/>
        <v>0</v>
      </c>
      <c r="N3680" s="76">
        <f t="shared" si="1365"/>
        <v>1</v>
      </c>
      <c r="O3680" s="77">
        <f t="shared" si="1366"/>
        <v>1</v>
      </c>
      <c r="P3680" s="76">
        <f t="shared" si="1367"/>
        <v>0</v>
      </c>
      <c r="Q3680" s="76">
        <f t="shared" si="1368"/>
        <v>0</v>
      </c>
      <c r="R3680" s="76">
        <f t="shared" si="1369"/>
        <v>1</v>
      </c>
      <c r="S3680" s="76">
        <f t="shared" si="1370"/>
        <v>1</v>
      </c>
      <c r="T3680" s="76">
        <f t="shared" si="1371"/>
        <v>1</v>
      </c>
      <c r="U3680" s="76">
        <f t="shared" si="1372"/>
        <v>1</v>
      </c>
    </row>
    <row r="3681" spans="1:21" x14ac:dyDescent="0.25">
      <c r="A3681" s="71">
        <v>39</v>
      </c>
      <c r="B3681" s="72">
        <f t="shared" si="1373"/>
        <v>46813</v>
      </c>
      <c r="C3681" s="73">
        <f t="shared" si="1354"/>
        <v>46843</v>
      </c>
      <c r="D3681" s="67">
        <f t="shared" si="1355"/>
        <v>31</v>
      </c>
      <c r="E3681" s="67">
        <f t="shared" si="1356"/>
        <v>3</v>
      </c>
      <c r="F3681" s="74">
        <f t="shared" si="1357"/>
        <v>46828.5</v>
      </c>
      <c r="G3681" s="67">
        <f t="shared" si="1358"/>
        <v>24338</v>
      </c>
      <c r="H3681" s="75">
        <f t="shared" si="1359"/>
        <v>1</v>
      </c>
      <c r="I3681" s="76">
        <f t="shared" si="1360"/>
        <v>1</v>
      </c>
      <c r="J3681" s="76">
        <f t="shared" si="1361"/>
        <v>1</v>
      </c>
      <c r="K3681" s="67">
        <f t="shared" si="1362"/>
        <v>0</v>
      </c>
      <c r="L3681" s="67">
        <f t="shared" si="1363"/>
        <v>0</v>
      </c>
      <c r="M3681" s="77">
        <f t="shared" si="1364"/>
        <v>0</v>
      </c>
      <c r="N3681" s="76">
        <f t="shared" si="1365"/>
        <v>1</v>
      </c>
      <c r="O3681" s="77">
        <f t="shared" si="1366"/>
        <v>1</v>
      </c>
      <c r="P3681" s="76">
        <f t="shared" si="1367"/>
        <v>0</v>
      </c>
      <c r="Q3681" s="76">
        <f t="shared" si="1368"/>
        <v>0</v>
      </c>
      <c r="R3681" s="76">
        <f t="shared" si="1369"/>
        <v>1</v>
      </c>
      <c r="S3681" s="76">
        <f t="shared" si="1370"/>
        <v>1</v>
      </c>
      <c r="T3681" s="76">
        <f t="shared" si="1371"/>
        <v>1</v>
      </c>
      <c r="U3681" s="76">
        <f t="shared" si="1372"/>
        <v>1</v>
      </c>
    </row>
    <row r="3682" spans="1:21" x14ac:dyDescent="0.25">
      <c r="A3682" s="71">
        <v>40</v>
      </c>
      <c r="B3682" s="72">
        <f t="shared" si="1373"/>
        <v>46844</v>
      </c>
      <c r="C3682" s="73">
        <f t="shared" si="1354"/>
        <v>46873</v>
      </c>
      <c r="D3682" s="67">
        <f t="shared" si="1355"/>
        <v>30</v>
      </c>
      <c r="E3682" s="67">
        <f t="shared" si="1356"/>
        <v>4</v>
      </c>
      <c r="F3682" s="74">
        <f t="shared" si="1357"/>
        <v>46859</v>
      </c>
      <c r="G3682" s="67">
        <f t="shared" si="1358"/>
        <v>24339</v>
      </c>
      <c r="H3682" s="75">
        <f t="shared" si="1359"/>
        <v>1</v>
      </c>
      <c r="I3682" s="76">
        <f t="shared" si="1360"/>
        <v>1</v>
      </c>
      <c r="J3682" s="76">
        <f t="shared" si="1361"/>
        <v>1</v>
      </c>
      <c r="K3682" s="67">
        <f t="shared" si="1362"/>
        <v>0</v>
      </c>
      <c r="L3682" s="67">
        <f t="shared" si="1363"/>
        <v>0</v>
      </c>
      <c r="M3682" s="77">
        <f t="shared" si="1364"/>
        <v>0</v>
      </c>
      <c r="N3682" s="76">
        <f t="shared" si="1365"/>
        <v>1</v>
      </c>
      <c r="O3682" s="77">
        <f t="shared" si="1366"/>
        <v>1</v>
      </c>
      <c r="P3682" s="76">
        <f t="shared" si="1367"/>
        <v>0</v>
      </c>
      <c r="Q3682" s="76">
        <f t="shared" si="1368"/>
        <v>0</v>
      </c>
      <c r="R3682" s="76">
        <f t="shared" si="1369"/>
        <v>1</v>
      </c>
      <c r="S3682" s="76">
        <f t="shared" si="1370"/>
        <v>1</v>
      </c>
      <c r="T3682" s="76">
        <f t="shared" si="1371"/>
        <v>1</v>
      </c>
      <c r="U3682" s="76">
        <f t="shared" si="1372"/>
        <v>1</v>
      </c>
    </row>
    <row r="3683" spans="1:21" x14ac:dyDescent="0.25">
      <c r="A3683" s="71">
        <v>41</v>
      </c>
      <c r="B3683" s="72">
        <f t="shared" si="1373"/>
        <v>46874</v>
      </c>
      <c r="C3683" s="73">
        <f t="shared" si="1354"/>
        <v>46904</v>
      </c>
      <c r="D3683" s="67">
        <f t="shared" si="1355"/>
        <v>31</v>
      </c>
      <c r="E3683" s="67">
        <f t="shared" si="1356"/>
        <v>5</v>
      </c>
      <c r="F3683" s="74">
        <f t="shared" si="1357"/>
        <v>46889.5</v>
      </c>
      <c r="G3683" s="67">
        <f t="shared" si="1358"/>
        <v>24340</v>
      </c>
      <c r="H3683" s="75">
        <f t="shared" si="1359"/>
        <v>1</v>
      </c>
      <c r="I3683" s="76">
        <f t="shared" si="1360"/>
        <v>1</v>
      </c>
      <c r="J3683" s="76">
        <f t="shared" si="1361"/>
        <v>1</v>
      </c>
      <c r="K3683" s="67">
        <f t="shared" si="1362"/>
        <v>0</v>
      </c>
      <c r="L3683" s="67">
        <f t="shared" si="1363"/>
        <v>0</v>
      </c>
      <c r="M3683" s="77">
        <f t="shared" si="1364"/>
        <v>0</v>
      </c>
      <c r="N3683" s="76">
        <f t="shared" si="1365"/>
        <v>1</v>
      </c>
      <c r="O3683" s="77">
        <f t="shared" si="1366"/>
        <v>1</v>
      </c>
      <c r="P3683" s="76">
        <f t="shared" si="1367"/>
        <v>0</v>
      </c>
      <c r="Q3683" s="76">
        <f t="shared" si="1368"/>
        <v>0</v>
      </c>
      <c r="R3683" s="76">
        <f t="shared" si="1369"/>
        <v>1</v>
      </c>
      <c r="S3683" s="76">
        <f t="shared" si="1370"/>
        <v>1</v>
      </c>
      <c r="T3683" s="76">
        <f t="shared" si="1371"/>
        <v>1</v>
      </c>
      <c r="U3683" s="76">
        <f t="shared" si="1372"/>
        <v>1</v>
      </c>
    </row>
    <row r="3684" spans="1:21" x14ac:dyDescent="0.25">
      <c r="A3684" s="71">
        <v>42</v>
      </c>
      <c r="B3684" s="72">
        <f t="shared" si="1373"/>
        <v>46905</v>
      </c>
      <c r="C3684" s="73">
        <f t="shared" si="1354"/>
        <v>46934</v>
      </c>
      <c r="D3684" s="67">
        <f t="shared" si="1355"/>
        <v>30</v>
      </c>
      <c r="E3684" s="67">
        <f t="shared" si="1356"/>
        <v>6</v>
      </c>
      <c r="F3684" s="74">
        <f t="shared" si="1357"/>
        <v>46920</v>
      </c>
      <c r="G3684" s="67">
        <f t="shared" si="1358"/>
        <v>24341</v>
      </c>
      <c r="H3684" s="75">
        <f t="shared" si="1359"/>
        <v>1</v>
      </c>
      <c r="I3684" s="76">
        <f t="shared" si="1360"/>
        <v>1</v>
      </c>
      <c r="J3684" s="76">
        <f t="shared" si="1361"/>
        <v>1</v>
      </c>
      <c r="K3684" s="67">
        <f t="shared" si="1362"/>
        <v>0</v>
      </c>
      <c r="L3684" s="67">
        <f t="shared" si="1363"/>
        <v>0</v>
      </c>
      <c r="M3684" s="77">
        <f t="shared" si="1364"/>
        <v>0</v>
      </c>
      <c r="N3684" s="76">
        <f t="shared" si="1365"/>
        <v>1</v>
      </c>
      <c r="O3684" s="77">
        <f t="shared" si="1366"/>
        <v>1</v>
      </c>
      <c r="P3684" s="76">
        <f t="shared" si="1367"/>
        <v>0</v>
      </c>
      <c r="Q3684" s="76">
        <f t="shared" si="1368"/>
        <v>0</v>
      </c>
      <c r="R3684" s="76">
        <f t="shared" si="1369"/>
        <v>1</v>
      </c>
      <c r="S3684" s="76">
        <f t="shared" si="1370"/>
        <v>1</v>
      </c>
      <c r="T3684" s="76">
        <f t="shared" si="1371"/>
        <v>1</v>
      </c>
      <c r="U3684" s="76">
        <f t="shared" si="1372"/>
        <v>1</v>
      </c>
    </row>
    <row r="3685" spans="1:21" x14ac:dyDescent="0.25">
      <c r="A3685" s="71">
        <v>43</v>
      </c>
      <c r="B3685" s="72">
        <f t="shared" si="1373"/>
        <v>46935</v>
      </c>
      <c r="C3685" s="73">
        <f t="shared" si="1354"/>
        <v>46965</v>
      </c>
      <c r="D3685" s="67">
        <f t="shared" si="1355"/>
        <v>31</v>
      </c>
      <c r="E3685" s="67">
        <f t="shared" si="1356"/>
        <v>7</v>
      </c>
      <c r="F3685" s="74">
        <f t="shared" si="1357"/>
        <v>46950.5</v>
      </c>
      <c r="G3685" s="67">
        <f t="shared" si="1358"/>
        <v>24342</v>
      </c>
      <c r="H3685" s="75">
        <f t="shared" si="1359"/>
        <v>1</v>
      </c>
      <c r="I3685" s="76">
        <f t="shared" si="1360"/>
        <v>1</v>
      </c>
      <c r="J3685" s="76">
        <f t="shared" si="1361"/>
        <v>1</v>
      </c>
      <c r="K3685" s="67">
        <f t="shared" si="1362"/>
        <v>0</v>
      </c>
      <c r="L3685" s="67">
        <f t="shared" si="1363"/>
        <v>0</v>
      </c>
      <c r="M3685" s="77">
        <f t="shared" si="1364"/>
        <v>0</v>
      </c>
      <c r="N3685" s="76">
        <f t="shared" si="1365"/>
        <v>1</v>
      </c>
      <c r="O3685" s="77">
        <f t="shared" si="1366"/>
        <v>1</v>
      </c>
      <c r="P3685" s="76">
        <f t="shared" si="1367"/>
        <v>0</v>
      </c>
      <c r="Q3685" s="76">
        <f t="shared" si="1368"/>
        <v>0</v>
      </c>
      <c r="R3685" s="76">
        <f t="shared" si="1369"/>
        <v>0.91666666666666663</v>
      </c>
      <c r="S3685" s="76">
        <f t="shared" si="1370"/>
        <v>1</v>
      </c>
      <c r="T3685" s="76">
        <f t="shared" si="1371"/>
        <v>1</v>
      </c>
      <c r="U3685" s="76">
        <f t="shared" si="1372"/>
        <v>1</v>
      </c>
    </row>
    <row r="3686" spans="1:21" x14ac:dyDescent="0.25">
      <c r="A3686" s="71">
        <v>44</v>
      </c>
      <c r="B3686" s="72">
        <f t="shared" si="1373"/>
        <v>46966</v>
      </c>
      <c r="C3686" s="73">
        <f t="shared" si="1354"/>
        <v>46996</v>
      </c>
      <c r="D3686" s="67">
        <f t="shared" si="1355"/>
        <v>31</v>
      </c>
      <c r="E3686" s="67">
        <f t="shared" si="1356"/>
        <v>8</v>
      </c>
      <c r="F3686" s="74">
        <f t="shared" si="1357"/>
        <v>46981.5</v>
      </c>
      <c r="G3686" s="67">
        <f t="shared" si="1358"/>
        <v>24343</v>
      </c>
      <c r="H3686" s="75">
        <f t="shared" si="1359"/>
        <v>1</v>
      </c>
      <c r="I3686" s="76">
        <f t="shared" si="1360"/>
        <v>1</v>
      </c>
      <c r="J3686" s="76">
        <f t="shared" si="1361"/>
        <v>1</v>
      </c>
      <c r="K3686" s="67">
        <f t="shared" si="1362"/>
        <v>0</v>
      </c>
      <c r="L3686" s="67">
        <f t="shared" si="1363"/>
        <v>0</v>
      </c>
      <c r="M3686" s="77">
        <f t="shared" si="1364"/>
        <v>0</v>
      </c>
      <c r="N3686" s="76">
        <f t="shared" si="1365"/>
        <v>1</v>
      </c>
      <c r="O3686" s="77">
        <f t="shared" si="1366"/>
        <v>1</v>
      </c>
      <c r="P3686" s="76">
        <f t="shared" si="1367"/>
        <v>0</v>
      </c>
      <c r="Q3686" s="76">
        <f t="shared" si="1368"/>
        <v>0</v>
      </c>
      <c r="R3686" s="76">
        <f t="shared" si="1369"/>
        <v>0.75</v>
      </c>
      <c r="S3686" s="76">
        <f t="shared" si="1370"/>
        <v>1</v>
      </c>
      <c r="T3686" s="76">
        <f t="shared" si="1371"/>
        <v>1</v>
      </c>
      <c r="U3686" s="76">
        <f t="shared" si="1372"/>
        <v>1</v>
      </c>
    </row>
    <row r="3687" spans="1:21" x14ac:dyDescent="0.25">
      <c r="A3687" s="71">
        <v>45</v>
      </c>
      <c r="B3687" s="72">
        <f t="shared" si="1373"/>
        <v>46997</v>
      </c>
      <c r="C3687" s="73">
        <f t="shared" si="1354"/>
        <v>47026</v>
      </c>
      <c r="D3687" s="67">
        <f t="shared" si="1355"/>
        <v>30</v>
      </c>
      <c r="E3687" s="67">
        <f t="shared" si="1356"/>
        <v>9</v>
      </c>
      <c r="F3687" s="74">
        <f t="shared" si="1357"/>
        <v>47012</v>
      </c>
      <c r="G3687" s="67">
        <f t="shared" si="1358"/>
        <v>24344</v>
      </c>
      <c r="H3687" s="75">
        <f t="shared" si="1359"/>
        <v>1</v>
      </c>
      <c r="I3687" s="76">
        <f t="shared" si="1360"/>
        <v>1</v>
      </c>
      <c r="J3687" s="76">
        <f t="shared" si="1361"/>
        <v>1</v>
      </c>
      <c r="K3687" s="67">
        <f t="shared" si="1362"/>
        <v>0</v>
      </c>
      <c r="L3687" s="67">
        <f t="shared" si="1363"/>
        <v>0</v>
      </c>
      <c r="M3687" s="77">
        <f t="shared" si="1364"/>
        <v>0</v>
      </c>
      <c r="N3687" s="76">
        <f t="shared" si="1365"/>
        <v>1</v>
      </c>
      <c r="O3687" s="77">
        <f t="shared" si="1366"/>
        <v>1</v>
      </c>
      <c r="P3687" s="76">
        <f t="shared" si="1367"/>
        <v>0</v>
      </c>
      <c r="Q3687" s="76">
        <f t="shared" si="1368"/>
        <v>0</v>
      </c>
      <c r="R3687" s="76">
        <f t="shared" si="1369"/>
        <v>0.58333333333333337</v>
      </c>
      <c r="S3687" s="76">
        <f t="shared" si="1370"/>
        <v>1</v>
      </c>
      <c r="T3687" s="76">
        <f t="shared" si="1371"/>
        <v>1</v>
      </c>
      <c r="U3687" s="76">
        <f t="shared" si="1372"/>
        <v>1</v>
      </c>
    </row>
    <row r="3688" spans="1:21" x14ac:dyDescent="0.25">
      <c r="A3688" s="71">
        <v>46</v>
      </c>
      <c r="B3688" s="72">
        <f t="shared" si="1373"/>
        <v>47027</v>
      </c>
      <c r="C3688" s="73">
        <f t="shared" si="1354"/>
        <v>47057</v>
      </c>
      <c r="D3688" s="67">
        <f t="shared" si="1355"/>
        <v>31</v>
      </c>
      <c r="E3688" s="67">
        <f t="shared" si="1356"/>
        <v>10</v>
      </c>
      <c r="F3688" s="74">
        <f t="shared" si="1357"/>
        <v>47042.5</v>
      </c>
      <c r="G3688" s="67">
        <f t="shared" si="1358"/>
        <v>24345</v>
      </c>
      <c r="H3688" s="75">
        <f t="shared" si="1359"/>
        <v>1</v>
      </c>
      <c r="I3688" s="76">
        <f t="shared" si="1360"/>
        <v>1</v>
      </c>
      <c r="J3688" s="76">
        <f t="shared" si="1361"/>
        <v>1</v>
      </c>
      <c r="K3688" s="67">
        <f t="shared" si="1362"/>
        <v>0</v>
      </c>
      <c r="L3688" s="67">
        <f t="shared" si="1363"/>
        <v>0</v>
      </c>
      <c r="M3688" s="77">
        <f t="shared" si="1364"/>
        <v>0</v>
      </c>
      <c r="N3688" s="76">
        <f t="shared" si="1365"/>
        <v>1</v>
      </c>
      <c r="O3688" s="77">
        <f t="shared" si="1366"/>
        <v>1</v>
      </c>
      <c r="P3688" s="76">
        <f t="shared" si="1367"/>
        <v>0</v>
      </c>
      <c r="Q3688" s="76">
        <f t="shared" si="1368"/>
        <v>0</v>
      </c>
      <c r="R3688" s="76">
        <f t="shared" si="1369"/>
        <v>0.41666666666666669</v>
      </c>
      <c r="S3688" s="76">
        <f t="shared" si="1370"/>
        <v>1</v>
      </c>
      <c r="T3688" s="76">
        <f t="shared" si="1371"/>
        <v>1</v>
      </c>
      <c r="U3688" s="76">
        <f t="shared" si="1372"/>
        <v>1</v>
      </c>
    </row>
    <row r="3689" spans="1:21" x14ac:dyDescent="0.25">
      <c r="A3689" s="71">
        <v>47</v>
      </c>
      <c r="B3689" s="72">
        <f t="shared" si="1373"/>
        <v>47058</v>
      </c>
      <c r="C3689" s="73">
        <f t="shared" si="1354"/>
        <v>47087</v>
      </c>
      <c r="D3689" s="67">
        <f t="shared" si="1355"/>
        <v>30</v>
      </c>
      <c r="E3689" s="67">
        <f t="shared" si="1356"/>
        <v>11</v>
      </c>
      <c r="F3689" s="74">
        <f t="shared" si="1357"/>
        <v>47073</v>
      </c>
      <c r="G3689" s="67">
        <f t="shared" si="1358"/>
        <v>24346</v>
      </c>
      <c r="H3689" s="75">
        <f t="shared" si="1359"/>
        <v>1</v>
      </c>
      <c r="I3689" s="76">
        <f t="shared" si="1360"/>
        <v>1</v>
      </c>
      <c r="J3689" s="76">
        <f t="shared" si="1361"/>
        <v>1</v>
      </c>
      <c r="K3689" s="67">
        <f t="shared" si="1362"/>
        <v>0</v>
      </c>
      <c r="L3689" s="67">
        <f t="shared" si="1363"/>
        <v>0</v>
      </c>
      <c r="M3689" s="77">
        <f t="shared" si="1364"/>
        <v>0</v>
      </c>
      <c r="N3689" s="76">
        <f t="shared" si="1365"/>
        <v>1</v>
      </c>
      <c r="O3689" s="77">
        <f t="shared" si="1366"/>
        <v>1</v>
      </c>
      <c r="P3689" s="76">
        <f t="shared" si="1367"/>
        <v>0</v>
      </c>
      <c r="Q3689" s="76">
        <f t="shared" si="1368"/>
        <v>0</v>
      </c>
      <c r="R3689" s="76">
        <f t="shared" si="1369"/>
        <v>0.25</v>
      </c>
      <c r="S3689" s="76">
        <f t="shared" si="1370"/>
        <v>1</v>
      </c>
      <c r="T3689" s="76">
        <f t="shared" si="1371"/>
        <v>1</v>
      </c>
      <c r="U3689" s="76">
        <f t="shared" si="1372"/>
        <v>1</v>
      </c>
    </row>
    <row r="3690" spans="1:21" x14ac:dyDescent="0.25">
      <c r="A3690" s="71">
        <v>48</v>
      </c>
      <c r="B3690" s="72">
        <f t="shared" si="1373"/>
        <v>47088</v>
      </c>
      <c r="C3690" s="73">
        <f t="shared" si="1354"/>
        <v>47118</v>
      </c>
      <c r="D3690" s="67">
        <f t="shared" si="1355"/>
        <v>31</v>
      </c>
      <c r="E3690" s="67">
        <f t="shared" si="1356"/>
        <v>12</v>
      </c>
      <c r="F3690" s="74">
        <f t="shared" si="1357"/>
        <v>47103.5</v>
      </c>
      <c r="G3690" s="67">
        <f t="shared" si="1358"/>
        <v>24347</v>
      </c>
      <c r="H3690" s="75">
        <f t="shared" si="1359"/>
        <v>1</v>
      </c>
      <c r="I3690" s="76">
        <f t="shared" si="1360"/>
        <v>1</v>
      </c>
      <c r="J3690" s="76">
        <f t="shared" si="1361"/>
        <v>1</v>
      </c>
      <c r="K3690" s="67">
        <f t="shared" si="1362"/>
        <v>0</v>
      </c>
      <c r="L3690" s="67">
        <f t="shared" si="1363"/>
        <v>0</v>
      </c>
      <c r="M3690" s="77">
        <f t="shared" si="1364"/>
        <v>0</v>
      </c>
      <c r="N3690" s="76">
        <f t="shared" si="1365"/>
        <v>1</v>
      </c>
      <c r="O3690" s="77">
        <f t="shared" si="1366"/>
        <v>1</v>
      </c>
      <c r="P3690" s="76">
        <f t="shared" si="1367"/>
        <v>0</v>
      </c>
      <c r="Q3690" s="76">
        <f t="shared" si="1368"/>
        <v>0</v>
      </c>
      <c r="R3690" s="76">
        <f t="shared" si="1369"/>
        <v>8.3333333333333329E-2</v>
      </c>
      <c r="S3690" s="76">
        <f t="shared" si="1370"/>
        <v>1</v>
      </c>
      <c r="T3690" s="76">
        <f t="shared" si="1371"/>
        <v>1</v>
      </c>
      <c r="U3690" s="76">
        <f t="shared" si="1372"/>
        <v>1</v>
      </c>
    </row>
    <row r="3691" spans="1:21" x14ac:dyDescent="0.25">
      <c r="A3691" s="81" t="s">
        <v>1187</v>
      </c>
      <c r="B3691" s="53">
        <f>EXP(SUMPRODUCT((rl_key=$A$3640)*(rl_cons="Y")*rl_ln1p))</f>
        <v>1</v>
      </c>
      <c r="C3691" s="53">
        <f>SUMPRODUCT($H$3643:$H$3690,$P$3643:$P$3690,$U$3643:$U$3690)/SUMPRODUCT($H$3643:$H$3690,$P$3643:$P$3690)</f>
        <v>1</v>
      </c>
      <c r="D3691" s="53">
        <f>SUMPRODUCT($H$3643:$H$3690,$Q$3643:$Q$3690,$U$3643:$U$3690)/SUMPRODUCT($H$3643:$H$3690,$Q$3643:$Q$3690)</f>
        <v>1</v>
      </c>
      <c r="E3691" s="53">
        <f>SUMPRODUCT($H$3643:$H$3690,$R$3643:$R$3690,$U$3643:$U$3690)/SUMPRODUCT($H$3643:$H$3690,$R$3643:$R$3690)</f>
        <v>1</v>
      </c>
      <c r="F3691" s="172">
        <f>SUMPRODUCT($H$3643:$H$3690,$Q$3643:$Q$3690,$O$3643:$O$3690)/SUMPRODUCT($H$3643:$H$3690,$Q$3643:$Q$3690)</f>
        <v>1</v>
      </c>
      <c r="G3691" s="172">
        <f>SUMPRODUCT($H$3643:$H$3690,$R$3643:$R$3690,$O$3643:$O$3690)/SUMPRODUCT($H$3643:$H$3690,$R$3643:$R$3690)</f>
        <v>1</v>
      </c>
    </row>
    <row r="3694" spans="1:21" x14ac:dyDescent="0.25">
      <c r="A3694" s="81" t="str">
        <f>INDEX(lr_key,68)</f>
        <v/>
      </c>
      <c r="B3694" s="81">
        <f>INDEX(lr_state,68)</f>
        <v>0</v>
      </c>
      <c r="C3694" s="55">
        <f>nr_TermMonths</f>
        <v>6</v>
      </c>
      <c r="D3694" s="55">
        <f>IF(COUNTIF(se_state,$B3694)=0,0,MATCH($B3694,se_state,0))</f>
        <v>0</v>
      </c>
      <c r="E3694" s="57">
        <f>IF($D3694=0,0,INDEX(se_sum,$D3694))</f>
        <v>0</v>
      </c>
      <c r="F3694" s="172">
        <f>IF(N(INDEX(lr_mind,68))=0,1,INDEX(lr_mind,68))</f>
        <v>1</v>
      </c>
      <c r="G3694" s="172">
        <f>IF(N(INDEX(lr_m0,68))=0,1,INDEX(lr_m0,68))</f>
        <v>1</v>
      </c>
      <c r="H3694" s="54">
        <f>IF(N(INDEX(lr_m0asof,68))=0,DATE(nr_PlanYear-1,10,1),INDEX(lr_m0asof,68))</f>
        <v>46296</v>
      </c>
      <c r="I3694" s="172">
        <f>IF(N(INDEX(lr_m1,68))=0,1,INDEX(lr_m1,68))</f>
        <v>1</v>
      </c>
      <c r="J3694" s="172">
        <f>INDEX(lr_mprior,68)</f>
        <v>0</v>
      </c>
      <c r="K3694" s="172">
        <f>INDEX(lr_m2,68)</f>
        <v>0</v>
      </c>
      <c r="L3694" s="81" t="b">
        <f>NOT(ISBLANK(INDEX(lr_netp,68)))</f>
        <v>0</v>
      </c>
      <c r="M3694" s="52">
        <f>N(INDEX(lr_netp,68))</f>
        <v>0</v>
      </c>
      <c r="N3694" s="52">
        <f>IF(ISBLANK(INDEX(lr_netp1,68)),$M$3694,N(INDEX(lr_netp1,68)))</f>
        <v>0</v>
      </c>
      <c r="O3694" s="55">
        <f>IF(AND(nr_ModAdjMaster="ON",INDEX(lr_modadj,68)="ON"),1,0)</f>
        <v>0</v>
      </c>
    </row>
    <row r="3695" spans="1:21" x14ac:dyDescent="0.25">
      <c r="A3695" s="81">
        <f>EDATE($H$3694,-12)+1</f>
        <v>45932</v>
      </c>
      <c r="B3695" s="81">
        <f>$H$3694+1</f>
        <v>46297</v>
      </c>
      <c r="C3695" s="81">
        <f>DATE(nr_PlanYear,12,31)+1</f>
        <v>46753</v>
      </c>
      <c r="D3695" s="81">
        <f>DATE(nr_PlanYear+1,12,31)+1</f>
        <v>47119</v>
      </c>
      <c r="E3695" s="81">
        <f>IF(N($J$3694)=0,$F$3695-($G$3695-$F$3695)/($C$3695-$B$3695)*($B$3695-$A$3695),$J$3694)</f>
        <v>1</v>
      </c>
      <c r="F3695" s="81">
        <f>$G$3694</f>
        <v>1</v>
      </c>
      <c r="G3695" s="81">
        <f>$I$3694</f>
        <v>1</v>
      </c>
      <c r="H3695" s="81">
        <f>IF(N($K$3694)=0,$I$3694,$K$3694)</f>
        <v>1</v>
      </c>
      <c r="I3695" s="81">
        <f>($F$3695-$E$3695)/($B$3695-$A$3695)</f>
        <v>0</v>
      </c>
      <c r="J3695" s="81">
        <f>($G$3695-$F$3695)/($C$3695-$B$3695)</f>
        <v>0</v>
      </c>
      <c r="K3695" s="81">
        <f>($H$3695-$G$3695)/($D$3695-$C$3695)</f>
        <v>0</v>
      </c>
    </row>
    <row r="3696" spans="1:21" ht="36" x14ac:dyDescent="0.25">
      <c r="A3696" s="50" t="s">
        <v>211</v>
      </c>
      <c r="B3696" s="50" t="s">
        <v>212</v>
      </c>
      <c r="C3696" s="50" t="s">
        <v>213</v>
      </c>
      <c r="D3696" s="50" t="s">
        <v>214</v>
      </c>
      <c r="E3696" s="50" t="s">
        <v>215</v>
      </c>
      <c r="F3696" s="50" t="s">
        <v>216</v>
      </c>
      <c r="G3696" s="50" t="s">
        <v>217</v>
      </c>
      <c r="H3696" s="50" t="s">
        <v>218</v>
      </c>
      <c r="I3696" s="50" t="s">
        <v>219</v>
      </c>
      <c r="J3696" s="50" t="s">
        <v>220</v>
      </c>
      <c r="K3696" s="50" t="s">
        <v>221</v>
      </c>
      <c r="L3696" s="50" t="s">
        <v>222</v>
      </c>
      <c r="M3696" s="50" t="s">
        <v>223</v>
      </c>
      <c r="N3696" s="50" t="s">
        <v>224</v>
      </c>
      <c r="O3696" s="50" t="s">
        <v>225</v>
      </c>
      <c r="P3696" s="50" t="s">
        <v>226</v>
      </c>
      <c r="Q3696" s="50" t="s">
        <v>227</v>
      </c>
      <c r="R3696" s="50" t="s">
        <v>228</v>
      </c>
      <c r="S3696" s="50" t="s">
        <v>229</v>
      </c>
      <c r="T3696" s="50" t="s">
        <v>230</v>
      </c>
      <c r="U3696" s="50" t="s">
        <v>231</v>
      </c>
    </row>
    <row r="3697" spans="1:21" x14ac:dyDescent="0.25">
      <c r="A3697" s="71">
        <v>1</v>
      </c>
      <c r="B3697" s="72">
        <f>DATE(nr_PlanYear-2,1,1)</f>
        <v>45658</v>
      </c>
      <c r="C3697" s="73">
        <f t="shared" ref="C3697:C3744" si="1374">EOMONTH($B3697,0)</f>
        <v>45688</v>
      </c>
      <c r="D3697" s="67">
        <f t="shared" ref="D3697:D3744" si="1375">$C3697-$B3697+1</f>
        <v>31</v>
      </c>
      <c r="E3697" s="67">
        <f t="shared" ref="E3697:E3744" si="1376">MONTH($B3697)</f>
        <v>1</v>
      </c>
      <c r="F3697" s="74">
        <f t="shared" ref="F3697:F3744" si="1377">($B3697+$C3697+1)/2</f>
        <v>45673.5</v>
      </c>
      <c r="G3697" s="67">
        <f t="shared" ref="G3697:G3744" si="1378">YEAR($B3697)*12+MONTH($B3697)-1</f>
        <v>24300</v>
      </c>
      <c r="H3697" s="75">
        <f t="shared" ref="H3697:H3744" si="1379">IF(OR(nr_SeasonOn="OFF",$D$3694=0,$E$3694=0),1,12*INDEX(se_block,$D$3694,$E3697)/$E$3694)</f>
        <v>1</v>
      </c>
      <c r="I3697" s="76">
        <f t="shared" ref="I3697:I3744" si="1380">EXP(SUMPRODUCT((rl_eff&lt;$B3697)*(rl_key=$A$3694)*rl_ln1p))</f>
        <v>1</v>
      </c>
      <c r="J3697" s="76">
        <f t="shared" ref="J3697:J3744" si="1381">EXP(SUMPRODUCT((rl_eff&lt;=$C3697)*(rl_key=$A$3694)*rl_ln1p))</f>
        <v>1</v>
      </c>
      <c r="K3697" s="67">
        <f t="shared" ref="K3697:K3744" si="1382">COUNTIFS(rl_key,$A$3694,rl_eff,"&gt;="&amp;$B3697,rl_eff,"&lt;="&amp;$C3697)</f>
        <v>0</v>
      </c>
      <c r="L3697" s="67">
        <f t="shared" ref="L3697:L3744" si="1383">SUMIFS(rl_daysafter,rl_key,$A$3694,rl_effmonth,$B3697,rl_first,1)</f>
        <v>0</v>
      </c>
      <c r="M3697" s="77">
        <f t="shared" ref="M3697:M3744" si="1384">IF($K3697=0,0,MIN(1,$L3697/$D3697))</f>
        <v>0</v>
      </c>
      <c r="N3697" s="76">
        <f t="shared" ref="N3697:N3744" si="1385">IF($K3697=0,$J3697,(1-$M3697)*$I3697+$M3697*$J3697)</f>
        <v>1</v>
      </c>
      <c r="O3697" s="77">
        <f t="shared" ref="O3697:O3744" si="1386">IF($F3697&lt;$B$3695,$E$3695+$I$3695*($F3697-$A$3695),IF($F3697&lt;$C$3695,$F$3695+$J$3695*($F3697-$B$3695),$G$3695+$K$3695*($F3697-$C$3695)))</f>
        <v>1</v>
      </c>
      <c r="P3697" s="76">
        <f t="shared" ref="P3697:P3744" si="1387">MIN(1,MAX(0,(nr_MEndPm1-$G3697+0.5)/$C$3694))-MIN(1,MAX(0,(nr_MStartPm1-1-$G3697+0.5)/$C$3694))</f>
        <v>0</v>
      </c>
      <c r="Q3697" s="76">
        <f t="shared" ref="Q3697:Q3744" si="1388">MIN(1,MAX(0,(nr_MEndP-$G3697+0.5)/$C$3694))-MIN(1,MAX(0,(nr_MStartP-1-$G3697+0.5)/$C$3694))</f>
        <v>0</v>
      </c>
      <c r="R3697" s="76">
        <f t="shared" ref="R3697:R3744" si="1389">MIN(1,MAX(0,(nr_MEndP1-$G3697+0.5)/$C$3694))-MIN(1,MAX(0,(nr_MStartP1-1-$G3697+0.5)/$C$3694))</f>
        <v>0</v>
      </c>
      <c r="S3697" s="76">
        <f t="shared" ref="S3697:S3744" si="1390">$N3697*IF($O$3694=1,$O3697/$F$3694,1)</f>
        <v>1</v>
      </c>
      <c r="T3697" s="76">
        <f t="shared" ref="T3697:T3744" si="1391">IF($G3697&lt;nr_MStartP,$S3697,$T3685*(1+IF($G3697&lt;nr_MStartP1,$M$3694,$N$3694)))</f>
        <v>1</v>
      </c>
      <c r="U3697" s="76">
        <f t="shared" ref="U3697:U3744" si="1392">IF($L$3694,$T3697,$N3697)</f>
        <v>1</v>
      </c>
    </row>
    <row r="3698" spans="1:21" x14ac:dyDescent="0.25">
      <c r="A3698" s="71">
        <v>2</v>
      </c>
      <c r="B3698" s="72">
        <f t="shared" ref="B3698:B3744" si="1393">EDATE($B3697,1)</f>
        <v>45689</v>
      </c>
      <c r="C3698" s="73">
        <f t="shared" si="1374"/>
        <v>45716</v>
      </c>
      <c r="D3698" s="67">
        <f t="shared" si="1375"/>
        <v>28</v>
      </c>
      <c r="E3698" s="67">
        <f t="shared" si="1376"/>
        <v>2</v>
      </c>
      <c r="F3698" s="74">
        <f t="shared" si="1377"/>
        <v>45703</v>
      </c>
      <c r="G3698" s="67">
        <f t="shared" si="1378"/>
        <v>24301</v>
      </c>
      <c r="H3698" s="75">
        <f t="shared" si="1379"/>
        <v>1</v>
      </c>
      <c r="I3698" s="76">
        <f t="shared" si="1380"/>
        <v>1</v>
      </c>
      <c r="J3698" s="76">
        <f t="shared" si="1381"/>
        <v>1</v>
      </c>
      <c r="K3698" s="67">
        <f t="shared" si="1382"/>
        <v>0</v>
      </c>
      <c r="L3698" s="67">
        <f t="shared" si="1383"/>
        <v>0</v>
      </c>
      <c r="M3698" s="77">
        <f t="shared" si="1384"/>
        <v>0</v>
      </c>
      <c r="N3698" s="76">
        <f t="shared" si="1385"/>
        <v>1</v>
      </c>
      <c r="O3698" s="77">
        <f t="shared" si="1386"/>
        <v>1</v>
      </c>
      <c r="P3698" s="76">
        <f t="shared" si="1387"/>
        <v>0</v>
      </c>
      <c r="Q3698" s="76">
        <f t="shared" si="1388"/>
        <v>0</v>
      </c>
      <c r="R3698" s="76">
        <f t="shared" si="1389"/>
        <v>0</v>
      </c>
      <c r="S3698" s="76">
        <f t="shared" si="1390"/>
        <v>1</v>
      </c>
      <c r="T3698" s="76">
        <f t="shared" si="1391"/>
        <v>1</v>
      </c>
      <c r="U3698" s="76">
        <f t="shared" si="1392"/>
        <v>1</v>
      </c>
    </row>
    <row r="3699" spans="1:21" x14ac:dyDescent="0.25">
      <c r="A3699" s="71">
        <v>3</v>
      </c>
      <c r="B3699" s="72">
        <f t="shared" si="1393"/>
        <v>45717</v>
      </c>
      <c r="C3699" s="73">
        <f t="shared" si="1374"/>
        <v>45747</v>
      </c>
      <c r="D3699" s="67">
        <f t="shared" si="1375"/>
        <v>31</v>
      </c>
      <c r="E3699" s="67">
        <f t="shared" si="1376"/>
        <v>3</v>
      </c>
      <c r="F3699" s="74">
        <f t="shared" si="1377"/>
        <v>45732.5</v>
      </c>
      <c r="G3699" s="67">
        <f t="shared" si="1378"/>
        <v>24302</v>
      </c>
      <c r="H3699" s="75">
        <f t="shared" si="1379"/>
        <v>1</v>
      </c>
      <c r="I3699" s="76">
        <f t="shared" si="1380"/>
        <v>1</v>
      </c>
      <c r="J3699" s="76">
        <f t="shared" si="1381"/>
        <v>1</v>
      </c>
      <c r="K3699" s="67">
        <f t="shared" si="1382"/>
        <v>0</v>
      </c>
      <c r="L3699" s="67">
        <f t="shared" si="1383"/>
        <v>0</v>
      </c>
      <c r="M3699" s="77">
        <f t="shared" si="1384"/>
        <v>0</v>
      </c>
      <c r="N3699" s="76">
        <f t="shared" si="1385"/>
        <v>1</v>
      </c>
      <c r="O3699" s="77">
        <f t="shared" si="1386"/>
        <v>1</v>
      </c>
      <c r="P3699" s="76">
        <f t="shared" si="1387"/>
        <v>0</v>
      </c>
      <c r="Q3699" s="76">
        <f t="shared" si="1388"/>
        <v>0</v>
      </c>
      <c r="R3699" s="76">
        <f t="shared" si="1389"/>
        <v>0</v>
      </c>
      <c r="S3699" s="76">
        <f t="shared" si="1390"/>
        <v>1</v>
      </c>
      <c r="T3699" s="76">
        <f t="shared" si="1391"/>
        <v>1</v>
      </c>
      <c r="U3699" s="76">
        <f t="shared" si="1392"/>
        <v>1</v>
      </c>
    </row>
    <row r="3700" spans="1:21" x14ac:dyDescent="0.25">
      <c r="A3700" s="71">
        <v>4</v>
      </c>
      <c r="B3700" s="72">
        <f t="shared" si="1393"/>
        <v>45748</v>
      </c>
      <c r="C3700" s="73">
        <f t="shared" si="1374"/>
        <v>45777</v>
      </c>
      <c r="D3700" s="67">
        <f t="shared" si="1375"/>
        <v>30</v>
      </c>
      <c r="E3700" s="67">
        <f t="shared" si="1376"/>
        <v>4</v>
      </c>
      <c r="F3700" s="74">
        <f t="shared" si="1377"/>
        <v>45763</v>
      </c>
      <c r="G3700" s="67">
        <f t="shared" si="1378"/>
        <v>24303</v>
      </c>
      <c r="H3700" s="75">
        <f t="shared" si="1379"/>
        <v>1</v>
      </c>
      <c r="I3700" s="76">
        <f t="shared" si="1380"/>
        <v>1</v>
      </c>
      <c r="J3700" s="76">
        <f t="shared" si="1381"/>
        <v>1</v>
      </c>
      <c r="K3700" s="67">
        <f t="shared" si="1382"/>
        <v>0</v>
      </c>
      <c r="L3700" s="67">
        <f t="shared" si="1383"/>
        <v>0</v>
      </c>
      <c r="M3700" s="77">
        <f t="shared" si="1384"/>
        <v>0</v>
      </c>
      <c r="N3700" s="76">
        <f t="shared" si="1385"/>
        <v>1</v>
      </c>
      <c r="O3700" s="77">
        <f t="shared" si="1386"/>
        <v>1</v>
      </c>
      <c r="P3700" s="76">
        <f t="shared" si="1387"/>
        <v>0</v>
      </c>
      <c r="Q3700" s="76">
        <f t="shared" si="1388"/>
        <v>0</v>
      </c>
      <c r="R3700" s="76">
        <f t="shared" si="1389"/>
        <v>0</v>
      </c>
      <c r="S3700" s="76">
        <f t="shared" si="1390"/>
        <v>1</v>
      </c>
      <c r="T3700" s="76">
        <f t="shared" si="1391"/>
        <v>1</v>
      </c>
      <c r="U3700" s="76">
        <f t="shared" si="1392"/>
        <v>1</v>
      </c>
    </row>
    <row r="3701" spans="1:21" x14ac:dyDescent="0.25">
      <c r="A3701" s="71">
        <v>5</v>
      </c>
      <c r="B3701" s="72">
        <f t="shared" si="1393"/>
        <v>45778</v>
      </c>
      <c r="C3701" s="73">
        <f t="shared" si="1374"/>
        <v>45808</v>
      </c>
      <c r="D3701" s="67">
        <f t="shared" si="1375"/>
        <v>31</v>
      </c>
      <c r="E3701" s="67">
        <f t="shared" si="1376"/>
        <v>5</v>
      </c>
      <c r="F3701" s="74">
        <f t="shared" si="1377"/>
        <v>45793.5</v>
      </c>
      <c r="G3701" s="67">
        <f t="shared" si="1378"/>
        <v>24304</v>
      </c>
      <c r="H3701" s="75">
        <f t="shared" si="1379"/>
        <v>1</v>
      </c>
      <c r="I3701" s="76">
        <f t="shared" si="1380"/>
        <v>1</v>
      </c>
      <c r="J3701" s="76">
        <f t="shared" si="1381"/>
        <v>1</v>
      </c>
      <c r="K3701" s="67">
        <f t="shared" si="1382"/>
        <v>0</v>
      </c>
      <c r="L3701" s="67">
        <f t="shared" si="1383"/>
        <v>0</v>
      </c>
      <c r="M3701" s="77">
        <f t="shared" si="1384"/>
        <v>0</v>
      </c>
      <c r="N3701" s="76">
        <f t="shared" si="1385"/>
        <v>1</v>
      </c>
      <c r="O3701" s="77">
        <f t="shared" si="1386"/>
        <v>1</v>
      </c>
      <c r="P3701" s="76">
        <f t="shared" si="1387"/>
        <v>0</v>
      </c>
      <c r="Q3701" s="76">
        <f t="shared" si="1388"/>
        <v>0</v>
      </c>
      <c r="R3701" s="76">
        <f t="shared" si="1389"/>
        <v>0</v>
      </c>
      <c r="S3701" s="76">
        <f t="shared" si="1390"/>
        <v>1</v>
      </c>
      <c r="T3701" s="76">
        <f t="shared" si="1391"/>
        <v>1</v>
      </c>
      <c r="U3701" s="76">
        <f t="shared" si="1392"/>
        <v>1</v>
      </c>
    </row>
    <row r="3702" spans="1:21" x14ac:dyDescent="0.25">
      <c r="A3702" s="71">
        <v>6</v>
      </c>
      <c r="B3702" s="72">
        <f t="shared" si="1393"/>
        <v>45809</v>
      </c>
      <c r="C3702" s="73">
        <f t="shared" si="1374"/>
        <v>45838</v>
      </c>
      <c r="D3702" s="67">
        <f t="shared" si="1375"/>
        <v>30</v>
      </c>
      <c r="E3702" s="67">
        <f t="shared" si="1376"/>
        <v>6</v>
      </c>
      <c r="F3702" s="74">
        <f t="shared" si="1377"/>
        <v>45824</v>
      </c>
      <c r="G3702" s="67">
        <f t="shared" si="1378"/>
        <v>24305</v>
      </c>
      <c r="H3702" s="75">
        <f t="shared" si="1379"/>
        <v>1</v>
      </c>
      <c r="I3702" s="76">
        <f t="shared" si="1380"/>
        <v>1</v>
      </c>
      <c r="J3702" s="76">
        <f t="shared" si="1381"/>
        <v>1</v>
      </c>
      <c r="K3702" s="67">
        <f t="shared" si="1382"/>
        <v>0</v>
      </c>
      <c r="L3702" s="67">
        <f t="shared" si="1383"/>
        <v>0</v>
      </c>
      <c r="M3702" s="77">
        <f t="shared" si="1384"/>
        <v>0</v>
      </c>
      <c r="N3702" s="76">
        <f t="shared" si="1385"/>
        <v>1</v>
      </c>
      <c r="O3702" s="77">
        <f t="shared" si="1386"/>
        <v>1</v>
      </c>
      <c r="P3702" s="76">
        <f t="shared" si="1387"/>
        <v>0</v>
      </c>
      <c r="Q3702" s="76">
        <f t="shared" si="1388"/>
        <v>0</v>
      </c>
      <c r="R3702" s="76">
        <f t="shared" si="1389"/>
        <v>0</v>
      </c>
      <c r="S3702" s="76">
        <f t="shared" si="1390"/>
        <v>1</v>
      </c>
      <c r="T3702" s="76">
        <f t="shared" si="1391"/>
        <v>1</v>
      </c>
      <c r="U3702" s="76">
        <f t="shared" si="1392"/>
        <v>1</v>
      </c>
    </row>
    <row r="3703" spans="1:21" x14ac:dyDescent="0.25">
      <c r="A3703" s="71">
        <v>7</v>
      </c>
      <c r="B3703" s="72">
        <f t="shared" si="1393"/>
        <v>45839</v>
      </c>
      <c r="C3703" s="73">
        <f t="shared" si="1374"/>
        <v>45869</v>
      </c>
      <c r="D3703" s="67">
        <f t="shared" si="1375"/>
        <v>31</v>
      </c>
      <c r="E3703" s="67">
        <f t="shared" si="1376"/>
        <v>7</v>
      </c>
      <c r="F3703" s="74">
        <f t="shared" si="1377"/>
        <v>45854.5</v>
      </c>
      <c r="G3703" s="67">
        <f t="shared" si="1378"/>
        <v>24306</v>
      </c>
      <c r="H3703" s="75">
        <f t="shared" si="1379"/>
        <v>1</v>
      </c>
      <c r="I3703" s="76">
        <f t="shared" si="1380"/>
        <v>1</v>
      </c>
      <c r="J3703" s="76">
        <f t="shared" si="1381"/>
        <v>1</v>
      </c>
      <c r="K3703" s="67">
        <f t="shared" si="1382"/>
        <v>0</v>
      </c>
      <c r="L3703" s="67">
        <f t="shared" si="1383"/>
        <v>0</v>
      </c>
      <c r="M3703" s="77">
        <f t="shared" si="1384"/>
        <v>0</v>
      </c>
      <c r="N3703" s="76">
        <f t="shared" si="1385"/>
        <v>1</v>
      </c>
      <c r="O3703" s="77">
        <f t="shared" si="1386"/>
        <v>1</v>
      </c>
      <c r="P3703" s="76">
        <f t="shared" si="1387"/>
        <v>8.333333333333337E-2</v>
      </c>
      <c r="Q3703" s="76">
        <f t="shared" si="1388"/>
        <v>0</v>
      </c>
      <c r="R3703" s="76">
        <f t="shared" si="1389"/>
        <v>0</v>
      </c>
      <c r="S3703" s="76">
        <f t="shared" si="1390"/>
        <v>1</v>
      </c>
      <c r="T3703" s="76">
        <f t="shared" si="1391"/>
        <v>1</v>
      </c>
      <c r="U3703" s="76">
        <f t="shared" si="1392"/>
        <v>1</v>
      </c>
    </row>
    <row r="3704" spans="1:21" x14ac:dyDescent="0.25">
      <c r="A3704" s="71">
        <v>8</v>
      </c>
      <c r="B3704" s="72">
        <f t="shared" si="1393"/>
        <v>45870</v>
      </c>
      <c r="C3704" s="73">
        <f t="shared" si="1374"/>
        <v>45900</v>
      </c>
      <c r="D3704" s="67">
        <f t="shared" si="1375"/>
        <v>31</v>
      </c>
      <c r="E3704" s="67">
        <f t="shared" si="1376"/>
        <v>8</v>
      </c>
      <c r="F3704" s="74">
        <f t="shared" si="1377"/>
        <v>45885.5</v>
      </c>
      <c r="G3704" s="67">
        <f t="shared" si="1378"/>
        <v>24307</v>
      </c>
      <c r="H3704" s="75">
        <f t="shared" si="1379"/>
        <v>1</v>
      </c>
      <c r="I3704" s="76">
        <f t="shared" si="1380"/>
        <v>1</v>
      </c>
      <c r="J3704" s="76">
        <f t="shared" si="1381"/>
        <v>1</v>
      </c>
      <c r="K3704" s="67">
        <f t="shared" si="1382"/>
        <v>0</v>
      </c>
      <c r="L3704" s="67">
        <f t="shared" si="1383"/>
        <v>0</v>
      </c>
      <c r="M3704" s="77">
        <f t="shared" si="1384"/>
        <v>0</v>
      </c>
      <c r="N3704" s="76">
        <f t="shared" si="1385"/>
        <v>1</v>
      </c>
      <c r="O3704" s="77">
        <f t="shared" si="1386"/>
        <v>1</v>
      </c>
      <c r="P3704" s="76">
        <f t="shared" si="1387"/>
        <v>0.25</v>
      </c>
      <c r="Q3704" s="76">
        <f t="shared" si="1388"/>
        <v>0</v>
      </c>
      <c r="R3704" s="76">
        <f t="shared" si="1389"/>
        <v>0</v>
      </c>
      <c r="S3704" s="76">
        <f t="shared" si="1390"/>
        <v>1</v>
      </c>
      <c r="T3704" s="76">
        <f t="shared" si="1391"/>
        <v>1</v>
      </c>
      <c r="U3704" s="76">
        <f t="shared" si="1392"/>
        <v>1</v>
      </c>
    </row>
    <row r="3705" spans="1:21" x14ac:dyDescent="0.25">
      <c r="A3705" s="71">
        <v>9</v>
      </c>
      <c r="B3705" s="72">
        <f t="shared" si="1393"/>
        <v>45901</v>
      </c>
      <c r="C3705" s="73">
        <f t="shared" si="1374"/>
        <v>45930</v>
      </c>
      <c r="D3705" s="67">
        <f t="shared" si="1375"/>
        <v>30</v>
      </c>
      <c r="E3705" s="67">
        <f t="shared" si="1376"/>
        <v>9</v>
      </c>
      <c r="F3705" s="74">
        <f t="shared" si="1377"/>
        <v>45916</v>
      </c>
      <c r="G3705" s="67">
        <f t="shared" si="1378"/>
        <v>24308</v>
      </c>
      <c r="H3705" s="75">
        <f t="shared" si="1379"/>
        <v>1</v>
      </c>
      <c r="I3705" s="76">
        <f t="shared" si="1380"/>
        <v>1</v>
      </c>
      <c r="J3705" s="76">
        <f t="shared" si="1381"/>
        <v>1</v>
      </c>
      <c r="K3705" s="67">
        <f t="shared" si="1382"/>
        <v>0</v>
      </c>
      <c r="L3705" s="67">
        <f t="shared" si="1383"/>
        <v>0</v>
      </c>
      <c r="M3705" s="77">
        <f t="shared" si="1384"/>
        <v>0</v>
      </c>
      <c r="N3705" s="76">
        <f t="shared" si="1385"/>
        <v>1</v>
      </c>
      <c r="O3705" s="77">
        <f t="shared" si="1386"/>
        <v>1</v>
      </c>
      <c r="P3705" s="76">
        <f t="shared" si="1387"/>
        <v>0.41666666666666663</v>
      </c>
      <c r="Q3705" s="76">
        <f t="shared" si="1388"/>
        <v>0</v>
      </c>
      <c r="R3705" s="76">
        <f t="shared" si="1389"/>
        <v>0</v>
      </c>
      <c r="S3705" s="76">
        <f t="shared" si="1390"/>
        <v>1</v>
      </c>
      <c r="T3705" s="76">
        <f t="shared" si="1391"/>
        <v>1</v>
      </c>
      <c r="U3705" s="76">
        <f t="shared" si="1392"/>
        <v>1</v>
      </c>
    </row>
    <row r="3706" spans="1:21" x14ac:dyDescent="0.25">
      <c r="A3706" s="71">
        <v>10</v>
      </c>
      <c r="B3706" s="72">
        <f t="shared" si="1393"/>
        <v>45931</v>
      </c>
      <c r="C3706" s="73">
        <f t="shared" si="1374"/>
        <v>45961</v>
      </c>
      <c r="D3706" s="67">
        <f t="shared" si="1375"/>
        <v>31</v>
      </c>
      <c r="E3706" s="67">
        <f t="shared" si="1376"/>
        <v>10</v>
      </c>
      <c r="F3706" s="74">
        <f t="shared" si="1377"/>
        <v>45946.5</v>
      </c>
      <c r="G3706" s="67">
        <f t="shared" si="1378"/>
        <v>24309</v>
      </c>
      <c r="H3706" s="75">
        <f t="shared" si="1379"/>
        <v>1</v>
      </c>
      <c r="I3706" s="76">
        <f t="shared" si="1380"/>
        <v>1</v>
      </c>
      <c r="J3706" s="76">
        <f t="shared" si="1381"/>
        <v>1</v>
      </c>
      <c r="K3706" s="67">
        <f t="shared" si="1382"/>
        <v>0</v>
      </c>
      <c r="L3706" s="67">
        <f t="shared" si="1383"/>
        <v>0</v>
      </c>
      <c r="M3706" s="77">
        <f t="shared" si="1384"/>
        <v>0</v>
      </c>
      <c r="N3706" s="76">
        <f t="shared" si="1385"/>
        <v>1</v>
      </c>
      <c r="O3706" s="77">
        <f t="shared" si="1386"/>
        <v>1</v>
      </c>
      <c r="P3706" s="76">
        <f t="shared" si="1387"/>
        <v>0.58333333333333326</v>
      </c>
      <c r="Q3706" s="76">
        <f t="shared" si="1388"/>
        <v>0</v>
      </c>
      <c r="R3706" s="76">
        <f t="shared" si="1389"/>
        <v>0</v>
      </c>
      <c r="S3706" s="76">
        <f t="shared" si="1390"/>
        <v>1</v>
      </c>
      <c r="T3706" s="76">
        <f t="shared" si="1391"/>
        <v>1</v>
      </c>
      <c r="U3706" s="76">
        <f t="shared" si="1392"/>
        <v>1</v>
      </c>
    </row>
    <row r="3707" spans="1:21" x14ac:dyDescent="0.25">
      <c r="A3707" s="71">
        <v>11</v>
      </c>
      <c r="B3707" s="72">
        <f t="shared" si="1393"/>
        <v>45962</v>
      </c>
      <c r="C3707" s="73">
        <f t="shared" si="1374"/>
        <v>45991</v>
      </c>
      <c r="D3707" s="67">
        <f t="shared" si="1375"/>
        <v>30</v>
      </c>
      <c r="E3707" s="67">
        <f t="shared" si="1376"/>
        <v>11</v>
      </c>
      <c r="F3707" s="74">
        <f t="shared" si="1377"/>
        <v>45977</v>
      </c>
      <c r="G3707" s="67">
        <f t="shared" si="1378"/>
        <v>24310</v>
      </c>
      <c r="H3707" s="75">
        <f t="shared" si="1379"/>
        <v>1</v>
      </c>
      <c r="I3707" s="76">
        <f t="shared" si="1380"/>
        <v>1</v>
      </c>
      <c r="J3707" s="76">
        <f t="shared" si="1381"/>
        <v>1</v>
      </c>
      <c r="K3707" s="67">
        <f t="shared" si="1382"/>
        <v>0</v>
      </c>
      <c r="L3707" s="67">
        <f t="shared" si="1383"/>
        <v>0</v>
      </c>
      <c r="M3707" s="77">
        <f t="shared" si="1384"/>
        <v>0</v>
      </c>
      <c r="N3707" s="76">
        <f t="shared" si="1385"/>
        <v>1</v>
      </c>
      <c r="O3707" s="77">
        <f t="shared" si="1386"/>
        <v>1</v>
      </c>
      <c r="P3707" s="76">
        <f t="shared" si="1387"/>
        <v>0.75</v>
      </c>
      <c r="Q3707" s="76">
        <f t="shared" si="1388"/>
        <v>0</v>
      </c>
      <c r="R3707" s="76">
        <f t="shared" si="1389"/>
        <v>0</v>
      </c>
      <c r="S3707" s="76">
        <f t="shared" si="1390"/>
        <v>1</v>
      </c>
      <c r="T3707" s="76">
        <f t="shared" si="1391"/>
        <v>1</v>
      </c>
      <c r="U3707" s="76">
        <f t="shared" si="1392"/>
        <v>1</v>
      </c>
    </row>
    <row r="3708" spans="1:21" x14ac:dyDescent="0.25">
      <c r="A3708" s="71">
        <v>12</v>
      </c>
      <c r="B3708" s="72">
        <f t="shared" si="1393"/>
        <v>45992</v>
      </c>
      <c r="C3708" s="73">
        <f t="shared" si="1374"/>
        <v>46022</v>
      </c>
      <c r="D3708" s="67">
        <f t="shared" si="1375"/>
        <v>31</v>
      </c>
      <c r="E3708" s="67">
        <f t="shared" si="1376"/>
        <v>12</v>
      </c>
      <c r="F3708" s="74">
        <f t="shared" si="1377"/>
        <v>46007.5</v>
      </c>
      <c r="G3708" s="67">
        <f t="shared" si="1378"/>
        <v>24311</v>
      </c>
      <c r="H3708" s="75">
        <f t="shared" si="1379"/>
        <v>1</v>
      </c>
      <c r="I3708" s="76">
        <f t="shared" si="1380"/>
        <v>1</v>
      </c>
      <c r="J3708" s="76">
        <f t="shared" si="1381"/>
        <v>1</v>
      </c>
      <c r="K3708" s="67">
        <f t="shared" si="1382"/>
        <v>0</v>
      </c>
      <c r="L3708" s="67">
        <f t="shared" si="1383"/>
        <v>0</v>
      </c>
      <c r="M3708" s="77">
        <f t="shared" si="1384"/>
        <v>0</v>
      </c>
      <c r="N3708" s="76">
        <f t="shared" si="1385"/>
        <v>1</v>
      </c>
      <c r="O3708" s="77">
        <f t="shared" si="1386"/>
        <v>1</v>
      </c>
      <c r="P3708" s="76">
        <f t="shared" si="1387"/>
        <v>0.91666666666666663</v>
      </c>
      <c r="Q3708" s="76">
        <f t="shared" si="1388"/>
        <v>0</v>
      </c>
      <c r="R3708" s="76">
        <f t="shared" si="1389"/>
        <v>0</v>
      </c>
      <c r="S3708" s="76">
        <f t="shared" si="1390"/>
        <v>1</v>
      </c>
      <c r="T3708" s="76">
        <f t="shared" si="1391"/>
        <v>1</v>
      </c>
      <c r="U3708" s="76">
        <f t="shared" si="1392"/>
        <v>1</v>
      </c>
    </row>
    <row r="3709" spans="1:21" x14ac:dyDescent="0.25">
      <c r="A3709" s="71">
        <v>13</v>
      </c>
      <c r="B3709" s="72">
        <f t="shared" si="1393"/>
        <v>46023</v>
      </c>
      <c r="C3709" s="73">
        <f t="shared" si="1374"/>
        <v>46053</v>
      </c>
      <c r="D3709" s="67">
        <f t="shared" si="1375"/>
        <v>31</v>
      </c>
      <c r="E3709" s="67">
        <f t="shared" si="1376"/>
        <v>1</v>
      </c>
      <c r="F3709" s="74">
        <f t="shared" si="1377"/>
        <v>46038.5</v>
      </c>
      <c r="G3709" s="67">
        <f t="shared" si="1378"/>
        <v>24312</v>
      </c>
      <c r="H3709" s="75">
        <f t="shared" si="1379"/>
        <v>1</v>
      </c>
      <c r="I3709" s="76">
        <f t="shared" si="1380"/>
        <v>1</v>
      </c>
      <c r="J3709" s="76">
        <f t="shared" si="1381"/>
        <v>1</v>
      </c>
      <c r="K3709" s="67">
        <f t="shared" si="1382"/>
        <v>0</v>
      </c>
      <c r="L3709" s="67">
        <f t="shared" si="1383"/>
        <v>0</v>
      </c>
      <c r="M3709" s="77">
        <f t="shared" si="1384"/>
        <v>0</v>
      </c>
      <c r="N3709" s="76">
        <f t="shared" si="1385"/>
        <v>1</v>
      </c>
      <c r="O3709" s="77">
        <f t="shared" si="1386"/>
        <v>1</v>
      </c>
      <c r="P3709" s="76">
        <f t="shared" si="1387"/>
        <v>1</v>
      </c>
      <c r="Q3709" s="76">
        <f t="shared" si="1388"/>
        <v>0</v>
      </c>
      <c r="R3709" s="76">
        <f t="shared" si="1389"/>
        <v>0</v>
      </c>
      <c r="S3709" s="76">
        <f t="shared" si="1390"/>
        <v>1</v>
      </c>
      <c r="T3709" s="76">
        <f t="shared" si="1391"/>
        <v>1</v>
      </c>
      <c r="U3709" s="76">
        <f t="shared" si="1392"/>
        <v>1</v>
      </c>
    </row>
    <row r="3710" spans="1:21" x14ac:dyDescent="0.25">
      <c r="A3710" s="71">
        <v>14</v>
      </c>
      <c r="B3710" s="72">
        <f t="shared" si="1393"/>
        <v>46054</v>
      </c>
      <c r="C3710" s="73">
        <f t="shared" si="1374"/>
        <v>46081</v>
      </c>
      <c r="D3710" s="67">
        <f t="shared" si="1375"/>
        <v>28</v>
      </c>
      <c r="E3710" s="67">
        <f t="shared" si="1376"/>
        <v>2</v>
      </c>
      <c r="F3710" s="74">
        <f t="shared" si="1377"/>
        <v>46068</v>
      </c>
      <c r="G3710" s="67">
        <f t="shared" si="1378"/>
        <v>24313</v>
      </c>
      <c r="H3710" s="75">
        <f t="shared" si="1379"/>
        <v>1</v>
      </c>
      <c r="I3710" s="76">
        <f t="shared" si="1380"/>
        <v>1</v>
      </c>
      <c r="J3710" s="76">
        <f t="shared" si="1381"/>
        <v>1</v>
      </c>
      <c r="K3710" s="67">
        <f t="shared" si="1382"/>
        <v>0</v>
      </c>
      <c r="L3710" s="67">
        <f t="shared" si="1383"/>
        <v>0</v>
      </c>
      <c r="M3710" s="77">
        <f t="shared" si="1384"/>
        <v>0</v>
      </c>
      <c r="N3710" s="76">
        <f t="shared" si="1385"/>
        <v>1</v>
      </c>
      <c r="O3710" s="77">
        <f t="shared" si="1386"/>
        <v>1</v>
      </c>
      <c r="P3710" s="76">
        <f t="shared" si="1387"/>
        <v>1</v>
      </c>
      <c r="Q3710" s="76">
        <f t="shared" si="1388"/>
        <v>0</v>
      </c>
      <c r="R3710" s="76">
        <f t="shared" si="1389"/>
        <v>0</v>
      </c>
      <c r="S3710" s="76">
        <f t="shared" si="1390"/>
        <v>1</v>
      </c>
      <c r="T3710" s="76">
        <f t="shared" si="1391"/>
        <v>1</v>
      </c>
      <c r="U3710" s="76">
        <f t="shared" si="1392"/>
        <v>1</v>
      </c>
    </row>
    <row r="3711" spans="1:21" x14ac:dyDescent="0.25">
      <c r="A3711" s="71">
        <v>15</v>
      </c>
      <c r="B3711" s="72">
        <f t="shared" si="1393"/>
        <v>46082</v>
      </c>
      <c r="C3711" s="73">
        <f t="shared" si="1374"/>
        <v>46112</v>
      </c>
      <c r="D3711" s="67">
        <f t="shared" si="1375"/>
        <v>31</v>
      </c>
      <c r="E3711" s="67">
        <f t="shared" si="1376"/>
        <v>3</v>
      </c>
      <c r="F3711" s="74">
        <f t="shared" si="1377"/>
        <v>46097.5</v>
      </c>
      <c r="G3711" s="67">
        <f t="shared" si="1378"/>
        <v>24314</v>
      </c>
      <c r="H3711" s="75">
        <f t="shared" si="1379"/>
        <v>1</v>
      </c>
      <c r="I3711" s="76">
        <f t="shared" si="1380"/>
        <v>1</v>
      </c>
      <c r="J3711" s="76">
        <f t="shared" si="1381"/>
        <v>1</v>
      </c>
      <c r="K3711" s="67">
        <f t="shared" si="1382"/>
        <v>0</v>
      </c>
      <c r="L3711" s="67">
        <f t="shared" si="1383"/>
        <v>0</v>
      </c>
      <c r="M3711" s="77">
        <f t="shared" si="1384"/>
        <v>0</v>
      </c>
      <c r="N3711" s="76">
        <f t="shared" si="1385"/>
        <v>1</v>
      </c>
      <c r="O3711" s="77">
        <f t="shared" si="1386"/>
        <v>1</v>
      </c>
      <c r="P3711" s="76">
        <f t="shared" si="1387"/>
        <v>1</v>
      </c>
      <c r="Q3711" s="76">
        <f t="shared" si="1388"/>
        <v>0</v>
      </c>
      <c r="R3711" s="76">
        <f t="shared" si="1389"/>
        <v>0</v>
      </c>
      <c r="S3711" s="76">
        <f t="shared" si="1390"/>
        <v>1</v>
      </c>
      <c r="T3711" s="76">
        <f t="shared" si="1391"/>
        <v>1</v>
      </c>
      <c r="U3711" s="76">
        <f t="shared" si="1392"/>
        <v>1</v>
      </c>
    </row>
    <row r="3712" spans="1:21" x14ac:dyDescent="0.25">
      <c r="A3712" s="71">
        <v>16</v>
      </c>
      <c r="B3712" s="72">
        <f t="shared" si="1393"/>
        <v>46113</v>
      </c>
      <c r="C3712" s="73">
        <f t="shared" si="1374"/>
        <v>46142</v>
      </c>
      <c r="D3712" s="67">
        <f t="shared" si="1375"/>
        <v>30</v>
      </c>
      <c r="E3712" s="67">
        <f t="shared" si="1376"/>
        <v>4</v>
      </c>
      <c r="F3712" s="74">
        <f t="shared" si="1377"/>
        <v>46128</v>
      </c>
      <c r="G3712" s="67">
        <f t="shared" si="1378"/>
        <v>24315</v>
      </c>
      <c r="H3712" s="75">
        <f t="shared" si="1379"/>
        <v>1</v>
      </c>
      <c r="I3712" s="76">
        <f t="shared" si="1380"/>
        <v>1</v>
      </c>
      <c r="J3712" s="76">
        <f t="shared" si="1381"/>
        <v>1</v>
      </c>
      <c r="K3712" s="67">
        <f t="shared" si="1382"/>
        <v>0</v>
      </c>
      <c r="L3712" s="67">
        <f t="shared" si="1383"/>
        <v>0</v>
      </c>
      <c r="M3712" s="77">
        <f t="shared" si="1384"/>
        <v>0</v>
      </c>
      <c r="N3712" s="76">
        <f t="shared" si="1385"/>
        <v>1</v>
      </c>
      <c r="O3712" s="77">
        <f t="shared" si="1386"/>
        <v>1</v>
      </c>
      <c r="P3712" s="76">
        <f t="shared" si="1387"/>
        <v>1</v>
      </c>
      <c r="Q3712" s="76">
        <f t="shared" si="1388"/>
        <v>0</v>
      </c>
      <c r="R3712" s="76">
        <f t="shared" si="1389"/>
        <v>0</v>
      </c>
      <c r="S3712" s="76">
        <f t="shared" si="1390"/>
        <v>1</v>
      </c>
      <c r="T3712" s="76">
        <f t="shared" si="1391"/>
        <v>1</v>
      </c>
      <c r="U3712" s="76">
        <f t="shared" si="1392"/>
        <v>1</v>
      </c>
    </row>
    <row r="3713" spans="1:21" x14ac:dyDescent="0.25">
      <c r="A3713" s="71">
        <v>17</v>
      </c>
      <c r="B3713" s="72">
        <f t="shared" si="1393"/>
        <v>46143</v>
      </c>
      <c r="C3713" s="73">
        <f t="shared" si="1374"/>
        <v>46173</v>
      </c>
      <c r="D3713" s="67">
        <f t="shared" si="1375"/>
        <v>31</v>
      </c>
      <c r="E3713" s="67">
        <f t="shared" si="1376"/>
        <v>5</v>
      </c>
      <c r="F3713" s="74">
        <f t="shared" si="1377"/>
        <v>46158.5</v>
      </c>
      <c r="G3713" s="67">
        <f t="shared" si="1378"/>
        <v>24316</v>
      </c>
      <c r="H3713" s="75">
        <f t="shared" si="1379"/>
        <v>1</v>
      </c>
      <c r="I3713" s="76">
        <f t="shared" si="1380"/>
        <v>1</v>
      </c>
      <c r="J3713" s="76">
        <f t="shared" si="1381"/>
        <v>1</v>
      </c>
      <c r="K3713" s="67">
        <f t="shared" si="1382"/>
        <v>0</v>
      </c>
      <c r="L3713" s="67">
        <f t="shared" si="1383"/>
        <v>0</v>
      </c>
      <c r="M3713" s="77">
        <f t="shared" si="1384"/>
        <v>0</v>
      </c>
      <c r="N3713" s="76">
        <f t="shared" si="1385"/>
        <v>1</v>
      </c>
      <c r="O3713" s="77">
        <f t="shared" si="1386"/>
        <v>1</v>
      </c>
      <c r="P3713" s="76">
        <f t="shared" si="1387"/>
        <v>1</v>
      </c>
      <c r="Q3713" s="76">
        <f t="shared" si="1388"/>
        <v>0</v>
      </c>
      <c r="R3713" s="76">
        <f t="shared" si="1389"/>
        <v>0</v>
      </c>
      <c r="S3713" s="76">
        <f t="shared" si="1390"/>
        <v>1</v>
      </c>
      <c r="T3713" s="76">
        <f t="shared" si="1391"/>
        <v>1</v>
      </c>
      <c r="U3713" s="76">
        <f t="shared" si="1392"/>
        <v>1</v>
      </c>
    </row>
    <row r="3714" spans="1:21" x14ac:dyDescent="0.25">
      <c r="A3714" s="71">
        <v>18</v>
      </c>
      <c r="B3714" s="72">
        <f t="shared" si="1393"/>
        <v>46174</v>
      </c>
      <c r="C3714" s="73">
        <f t="shared" si="1374"/>
        <v>46203</v>
      </c>
      <c r="D3714" s="67">
        <f t="shared" si="1375"/>
        <v>30</v>
      </c>
      <c r="E3714" s="67">
        <f t="shared" si="1376"/>
        <v>6</v>
      </c>
      <c r="F3714" s="74">
        <f t="shared" si="1377"/>
        <v>46189</v>
      </c>
      <c r="G3714" s="67">
        <f t="shared" si="1378"/>
        <v>24317</v>
      </c>
      <c r="H3714" s="75">
        <f t="shared" si="1379"/>
        <v>1</v>
      </c>
      <c r="I3714" s="76">
        <f t="shared" si="1380"/>
        <v>1</v>
      </c>
      <c r="J3714" s="76">
        <f t="shared" si="1381"/>
        <v>1</v>
      </c>
      <c r="K3714" s="67">
        <f t="shared" si="1382"/>
        <v>0</v>
      </c>
      <c r="L3714" s="67">
        <f t="shared" si="1383"/>
        <v>0</v>
      </c>
      <c r="M3714" s="77">
        <f t="shared" si="1384"/>
        <v>0</v>
      </c>
      <c r="N3714" s="76">
        <f t="shared" si="1385"/>
        <v>1</v>
      </c>
      <c r="O3714" s="77">
        <f t="shared" si="1386"/>
        <v>1</v>
      </c>
      <c r="P3714" s="76">
        <f t="shared" si="1387"/>
        <v>1</v>
      </c>
      <c r="Q3714" s="76">
        <f t="shared" si="1388"/>
        <v>0</v>
      </c>
      <c r="R3714" s="76">
        <f t="shared" si="1389"/>
        <v>0</v>
      </c>
      <c r="S3714" s="76">
        <f t="shared" si="1390"/>
        <v>1</v>
      </c>
      <c r="T3714" s="76">
        <f t="shared" si="1391"/>
        <v>1</v>
      </c>
      <c r="U3714" s="76">
        <f t="shared" si="1392"/>
        <v>1</v>
      </c>
    </row>
    <row r="3715" spans="1:21" x14ac:dyDescent="0.25">
      <c r="A3715" s="71">
        <v>19</v>
      </c>
      <c r="B3715" s="72">
        <f t="shared" si="1393"/>
        <v>46204</v>
      </c>
      <c r="C3715" s="73">
        <f t="shared" si="1374"/>
        <v>46234</v>
      </c>
      <c r="D3715" s="67">
        <f t="shared" si="1375"/>
        <v>31</v>
      </c>
      <c r="E3715" s="67">
        <f t="shared" si="1376"/>
        <v>7</v>
      </c>
      <c r="F3715" s="74">
        <f t="shared" si="1377"/>
        <v>46219.5</v>
      </c>
      <c r="G3715" s="67">
        <f t="shared" si="1378"/>
        <v>24318</v>
      </c>
      <c r="H3715" s="75">
        <f t="shared" si="1379"/>
        <v>1</v>
      </c>
      <c r="I3715" s="76">
        <f t="shared" si="1380"/>
        <v>1</v>
      </c>
      <c r="J3715" s="76">
        <f t="shared" si="1381"/>
        <v>1</v>
      </c>
      <c r="K3715" s="67">
        <f t="shared" si="1382"/>
        <v>0</v>
      </c>
      <c r="L3715" s="67">
        <f t="shared" si="1383"/>
        <v>0</v>
      </c>
      <c r="M3715" s="77">
        <f t="shared" si="1384"/>
        <v>0</v>
      </c>
      <c r="N3715" s="76">
        <f t="shared" si="1385"/>
        <v>1</v>
      </c>
      <c r="O3715" s="77">
        <f t="shared" si="1386"/>
        <v>1</v>
      </c>
      <c r="P3715" s="76">
        <f t="shared" si="1387"/>
        <v>0.91666666666666663</v>
      </c>
      <c r="Q3715" s="76">
        <f t="shared" si="1388"/>
        <v>8.333333333333337E-2</v>
      </c>
      <c r="R3715" s="76">
        <f t="shared" si="1389"/>
        <v>0</v>
      </c>
      <c r="S3715" s="76">
        <f t="shared" si="1390"/>
        <v>1</v>
      </c>
      <c r="T3715" s="76">
        <f t="shared" si="1391"/>
        <v>1</v>
      </c>
      <c r="U3715" s="76">
        <f t="shared" si="1392"/>
        <v>1</v>
      </c>
    </row>
    <row r="3716" spans="1:21" x14ac:dyDescent="0.25">
      <c r="A3716" s="71">
        <v>20</v>
      </c>
      <c r="B3716" s="72">
        <f t="shared" si="1393"/>
        <v>46235</v>
      </c>
      <c r="C3716" s="73">
        <f t="shared" si="1374"/>
        <v>46265</v>
      </c>
      <c r="D3716" s="67">
        <f t="shared" si="1375"/>
        <v>31</v>
      </c>
      <c r="E3716" s="67">
        <f t="shared" si="1376"/>
        <v>8</v>
      </c>
      <c r="F3716" s="74">
        <f t="shared" si="1377"/>
        <v>46250.5</v>
      </c>
      <c r="G3716" s="67">
        <f t="shared" si="1378"/>
        <v>24319</v>
      </c>
      <c r="H3716" s="75">
        <f t="shared" si="1379"/>
        <v>1</v>
      </c>
      <c r="I3716" s="76">
        <f t="shared" si="1380"/>
        <v>1</v>
      </c>
      <c r="J3716" s="76">
        <f t="shared" si="1381"/>
        <v>1</v>
      </c>
      <c r="K3716" s="67">
        <f t="shared" si="1382"/>
        <v>0</v>
      </c>
      <c r="L3716" s="67">
        <f t="shared" si="1383"/>
        <v>0</v>
      </c>
      <c r="M3716" s="77">
        <f t="shared" si="1384"/>
        <v>0</v>
      </c>
      <c r="N3716" s="76">
        <f t="shared" si="1385"/>
        <v>1</v>
      </c>
      <c r="O3716" s="77">
        <f t="shared" si="1386"/>
        <v>1</v>
      </c>
      <c r="P3716" s="76">
        <f t="shared" si="1387"/>
        <v>0.75</v>
      </c>
      <c r="Q3716" s="76">
        <f t="shared" si="1388"/>
        <v>0.25</v>
      </c>
      <c r="R3716" s="76">
        <f t="shared" si="1389"/>
        <v>0</v>
      </c>
      <c r="S3716" s="76">
        <f t="shared" si="1390"/>
        <v>1</v>
      </c>
      <c r="T3716" s="76">
        <f t="shared" si="1391"/>
        <v>1</v>
      </c>
      <c r="U3716" s="76">
        <f t="shared" si="1392"/>
        <v>1</v>
      </c>
    </row>
    <row r="3717" spans="1:21" x14ac:dyDescent="0.25">
      <c r="A3717" s="71">
        <v>21</v>
      </c>
      <c r="B3717" s="72">
        <f t="shared" si="1393"/>
        <v>46266</v>
      </c>
      <c r="C3717" s="73">
        <f t="shared" si="1374"/>
        <v>46295</v>
      </c>
      <c r="D3717" s="67">
        <f t="shared" si="1375"/>
        <v>30</v>
      </c>
      <c r="E3717" s="67">
        <f t="shared" si="1376"/>
        <v>9</v>
      </c>
      <c r="F3717" s="74">
        <f t="shared" si="1377"/>
        <v>46281</v>
      </c>
      <c r="G3717" s="67">
        <f t="shared" si="1378"/>
        <v>24320</v>
      </c>
      <c r="H3717" s="75">
        <f t="shared" si="1379"/>
        <v>1</v>
      </c>
      <c r="I3717" s="76">
        <f t="shared" si="1380"/>
        <v>1</v>
      </c>
      <c r="J3717" s="76">
        <f t="shared" si="1381"/>
        <v>1</v>
      </c>
      <c r="K3717" s="67">
        <f t="shared" si="1382"/>
        <v>0</v>
      </c>
      <c r="L3717" s="67">
        <f t="shared" si="1383"/>
        <v>0</v>
      </c>
      <c r="M3717" s="77">
        <f t="shared" si="1384"/>
        <v>0</v>
      </c>
      <c r="N3717" s="76">
        <f t="shared" si="1385"/>
        <v>1</v>
      </c>
      <c r="O3717" s="77">
        <f t="shared" si="1386"/>
        <v>1</v>
      </c>
      <c r="P3717" s="76">
        <f t="shared" si="1387"/>
        <v>0.58333333333333337</v>
      </c>
      <c r="Q3717" s="76">
        <f t="shared" si="1388"/>
        <v>0.41666666666666663</v>
      </c>
      <c r="R3717" s="76">
        <f t="shared" si="1389"/>
        <v>0</v>
      </c>
      <c r="S3717" s="76">
        <f t="shared" si="1390"/>
        <v>1</v>
      </c>
      <c r="T3717" s="76">
        <f t="shared" si="1391"/>
        <v>1</v>
      </c>
      <c r="U3717" s="76">
        <f t="shared" si="1392"/>
        <v>1</v>
      </c>
    </row>
    <row r="3718" spans="1:21" x14ac:dyDescent="0.25">
      <c r="A3718" s="71">
        <v>22</v>
      </c>
      <c r="B3718" s="72">
        <f t="shared" si="1393"/>
        <v>46296</v>
      </c>
      <c r="C3718" s="73">
        <f t="shared" si="1374"/>
        <v>46326</v>
      </c>
      <c r="D3718" s="67">
        <f t="shared" si="1375"/>
        <v>31</v>
      </c>
      <c r="E3718" s="67">
        <f t="shared" si="1376"/>
        <v>10</v>
      </c>
      <c r="F3718" s="74">
        <f t="shared" si="1377"/>
        <v>46311.5</v>
      </c>
      <c r="G3718" s="67">
        <f t="shared" si="1378"/>
        <v>24321</v>
      </c>
      <c r="H3718" s="75">
        <f t="shared" si="1379"/>
        <v>1</v>
      </c>
      <c r="I3718" s="76">
        <f t="shared" si="1380"/>
        <v>1</v>
      </c>
      <c r="J3718" s="76">
        <f t="shared" si="1381"/>
        <v>1</v>
      </c>
      <c r="K3718" s="67">
        <f t="shared" si="1382"/>
        <v>0</v>
      </c>
      <c r="L3718" s="67">
        <f t="shared" si="1383"/>
        <v>0</v>
      </c>
      <c r="M3718" s="77">
        <f t="shared" si="1384"/>
        <v>0</v>
      </c>
      <c r="N3718" s="76">
        <f t="shared" si="1385"/>
        <v>1</v>
      </c>
      <c r="O3718" s="77">
        <f t="shared" si="1386"/>
        <v>1</v>
      </c>
      <c r="P3718" s="76">
        <f t="shared" si="1387"/>
        <v>0.41666666666666669</v>
      </c>
      <c r="Q3718" s="76">
        <f t="shared" si="1388"/>
        <v>0.58333333333333326</v>
      </c>
      <c r="R3718" s="76">
        <f t="shared" si="1389"/>
        <v>0</v>
      </c>
      <c r="S3718" s="76">
        <f t="shared" si="1390"/>
        <v>1</v>
      </c>
      <c r="T3718" s="76">
        <f t="shared" si="1391"/>
        <v>1</v>
      </c>
      <c r="U3718" s="76">
        <f t="shared" si="1392"/>
        <v>1</v>
      </c>
    </row>
    <row r="3719" spans="1:21" x14ac:dyDescent="0.25">
      <c r="A3719" s="71">
        <v>23</v>
      </c>
      <c r="B3719" s="72">
        <f t="shared" si="1393"/>
        <v>46327</v>
      </c>
      <c r="C3719" s="73">
        <f t="shared" si="1374"/>
        <v>46356</v>
      </c>
      <c r="D3719" s="67">
        <f t="shared" si="1375"/>
        <v>30</v>
      </c>
      <c r="E3719" s="67">
        <f t="shared" si="1376"/>
        <v>11</v>
      </c>
      <c r="F3719" s="74">
        <f t="shared" si="1377"/>
        <v>46342</v>
      </c>
      <c r="G3719" s="67">
        <f t="shared" si="1378"/>
        <v>24322</v>
      </c>
      <c r="H3719" s="75">
        <f t="shared" si="1379"/>
        <v>1</v>
      </c>
      <c r="I3719" s="76">
        <f t="shared" si="1380"/>
        <v>1</v>
      </c>
      <c r="J3719" s="76">
        <f t="shared" si="1381"/>
        <v>1</v>
      </c>
      <c r="K3719" s="67">
        <f t="shared" si="1382"/>
        <v>0</v>
      </c>
      <c r="L3719" s="67">
        <f t="shared" si="1383"/>
        <v>0</v>
      </c>
      <c r="M3719" s="77">
        <f t="shared" si="1384"/>
        <v>0</v>
      </c>
      <c r="N3719" s="76">
        <f t="shared" si="1385"/>
        <v>1</v>
      </c>
      <c r="O3719" s="77">
        <f t="shared" si="1386"/>
        <v>1</v>
      </c>
      <c r="P3719" s="76">
        <f t="shared" si="1387"/>
        <v>0.25</v>
      </c>
      <c r="Q3719" s="76">
        <f t="shared" si="1388"/>
        <v>0.75</v>
      </c>
      <c r="R3719" s="76">
        <f t="shared" si="1389"/>
        <v>0</v>
      </c>
      <c r="S3719" s="76">
        <f t="shared" si="1390"/>
        <v>1</v>
      </c>
      <c r="T3719" s="76">
        <f t="shared" si="1391"/>
        <v>1</v>
      </c>
      <c r="U3719" s="76">
        <f t="shared" si="1392"/>
        <v>1</v>
      </c>
    </row>
    <row r="3720" spans="1:21" x14ac:dyDescent="0.25">
      <c r="A3720" s="71">
        <v>24</v>
      </c>
      <c r="B3720" s="72">
        <f t="shared" si="1393"/>
        <v>46357</v>
      </c>
      <c r="C3720" s="73">
        <f t="shared" si="1374"/>
        <v>46387</v>
      </c>
      <c r="D3720" s="67">
        <f t="shared" si="1375"/>
        <v>31</v>
      </c>
      <c r="E3720" s="67">
        <f t="shared" si="1376"/>
        <v>12</v>
      </c>
      <c r="F3720" s="74">
        <f t="shared" si="1377"/>
        <v>46372.5</v>
      </c>
      <c r="G3720" s="67">
        <f t="shared" si="1378"/>
        <v>24323</v>
      </c>
      <c r="H3720" s="75">
        <f t="shared" si="1379"/>
        <v>1</v>
      </c>
      <c r="I3720" s="76">
        <f t="shared" si="1380"/>
        <v>1</v>
      </c>
      <c r="J3720" s="76">
        <f t="shared" si="1381"/>
        <v>1</v>
      </c>
      <c r="K3720" s="67">
        <f t="shared" si="1382"/>
        <v>0</v>
      </c>
      <c r="L3720" s="67">
        <f t="shared" si="1383"/>
        <v>0</v>
      </c>
      <c r="M3720" s="77">
        <f t="shared" si="1384"/>
        <v>0</v>
      </c>
      <c r="N3720" s="76">
        <f t="shared" si="1385"/>
        <v>1</v>
      </c>
      <c r="O3720" s="77">
        <f t="shared" si="1386"/>
        <v>1</v>
      </c>
      <c r="P3720" s="76">
        <f t="shared" si="1387"/>
        <v>8.3333333333333329E-2</v>
      </c>
      <c r="Q3720" s="76">
        <f t="shared" si="1388"/>
        <v>0.91666666666666663</v>
      </c>
      <c r="R3720" s="76">
        <f t="shared" si="1389"/>
        <v>0</v>
      </c>
      <c r="S3720" s="76">
        <f t="shared" si="1390"/>
        <v>1</v>
      </c>
      <c r="T3720" s="76">
        <f t="shared" si="1391"/>
        <v>1</v>
      </c>
      <c r="U3720" s="76">
        <f t="shared" si="1392"/>
        <v>1</v>
      </c>
    </row>
    <row r="3721" spans="1:21" x14ac:dyDescent="0.25">
      <c r="A3721" s="71">
        <v>25</v>
      </c>
      <c r="B3721" s="72">
        <f t="shared" si="1393"/>
        <v>46388</v>
      </c>
      <c r="C3721" s="73">
        <f t="shared" si="1374"/>
        <v>46418</v>
      </c>
      <c r="D3721" s="67">
        <f t="shared" si="1375"/>
        <v>31</v>
      </c>
      <c r="E3721" s="67">
        <f t="shared" si="1376"/>
        <v>1</v>
      </c>
      <c r="F3721" s="74">
        <f t="shared" si="1377"/>
        <v>46403.5</v>
      </c>
      <c r="G3721" s="67">
        <f t="shared" si="1378"/>
        <v>24324</v>
      </c>
      <c r="H3721" s="75">
        <f t="shared" si="1379"/>
        <v>1</v>
      </c>
      <c r="I3721" s="76">
        <f t="shared" si="1380"/>
        <v>1</v>
      </c>
      <c r="J3721" s="76">
        <f t="shared" si="1381"/>
        <v>1</v>
      </c>
      <c r="K3721" s="67">
        <f t="shared" si="1382"/>
        <v>0</v>
      </c>
      <c r="L3721" s="67">
        <f t="shared" si="1383"/>
        <v>0</v>
      </c>
      <c r="M3721" s="77">
        <f t="shared" si="1384"/>
        <v>0</v>
      </c>
      <c r="N3721" s="76">
        <f t="shared" si="1385"/>
        <v>1</v>
      </c>
      <c r="O3721" s="77">
        <f t="shared" si="1386"/>
        <v>1</v>
      </c>
      <c r="P3721" s="76">
        <f t="shared" si="1387"/>
        <v>0</v>
      </c>
      <c r="Q3721" s="76">
        <f t="shared" si="1388"/>
        <v>1</v>
      </c>
      <c r="R3721" s="76">
        <f t="shared" si="1389"/>
        <v>0</v>
      </c>
      <c r="S3721" s="76">
        <f t="shared" si="1390"/>
        <v>1</v>
      </c>
      <c r="T3721" s="76">
        <f t="shared" si="1391"/>
        <v>1</v>
      </c>
      <c r="U3721" s="76">
        <f t="shared" si="1392"/>
        <v>1</v>
      </c>
    </row>
    <row r="3722" spans="1:21" x14ac:dyDescent="0.25">
      <c r="A3722" s="71">
        <v>26</v>
      </c>
      <c r="B3722" s="72">
        <f t="shared" si="1393"/>
        <v>46419</v>
      </c>
      <c r="C3722" s="73">
        <f t="shared" si="1374"/>
        <v>46446</v>
      </c>
      <c r="D3722" s="67">
        <f t="shared" si="1375"/>
        <v>28</v>
      </c>
      <c r="E3722" s="67">
        <f t="shared" si="1376"/>
        <v>2</v>
      </c>
      <c r="F3722" s="74">
        <f t="shared" si="1377"/>
        <v>46433</v>
      </c>
      <c r="G3722" s="67">
        <f t="shared" si="1378"/>
        <v>24325</v>
      </c>
      <c r="H3722" s="75">
        <f t="shared" si="1379"/>
        <v>1</v>
      </c>
      <c r="I3722" s="76">
        <f t="shared" si="1380"/>
        <v>1</v>
      </c>
      <c r="J3722" s="76">
        <f t="shared" si="1381"/>
        <v>1</v>
      </c>
      <c r="K3722" s="67">
        <f t="shared" si="1382"/>
        <v>0</v>
      </c>
      <c r="L3722" s="67">
        <f t="shared" si="1383"/>
        <v>0</v>
      </c>
      <c r="M3722" s="77">
        <f t="shared" si="1384"/>
        <v>0</v>
      </c>
      <c r="N3722" s="76">
        <f t="shared" si="1385"/>
        <v>1</v>
      </c>
      <c r="O3722" s="77">
        <f t="shared" si="1386"/>
        <v>1</v>
      </c>
      <c r="P3722" s="76">
        <f t="shared" si="1387"/>
        <v>0</v>
      </c>
      <c r="Q3722" s="76">
        <f t="shared" si="1388"/>
        <v>1</v>
      </c>
      <c r="R3722" s="76">
        <f t="shared" si="1389"/>
        <v>0</v>
      </c>
      <c r="S3722" s="76">
        <f t="shared" si="1390"/>
        <v>1</v>
      </c>
      <c r="T3722" s="76">
        <f t="shared" si="1391"/>
        <v>1</v>
      </c>
      <c r="U3722" s="76">
        <f t="shared" si="1392"/>
        <v>1</v>
      </c>
    </row>
    <row r="3723" spans="1:21" x14ac:dyDescent="0.25">
      <c r="A3723" s="71">
        <v>27</v>
      </c>
      <c r="B3723" s="72">
        <f t="shared" si="1393"/>
        <v>46447</v>
      </c>
      <c r="C3723" s="73">
        <f t="shared" si="1374"/>
        <v>46477</v>
      </c>
      <c r="D3723" s="67">
        <f t="shared" si="1375"/>
        <v>31</v>
      </c>
      <c r="E3723" s="67">
        <f t="shared" si="1376"/>
        <v>3</v>
      </c>
      <c r="F3723" s="74">
        <f t="shared" si="1377"/>
        <v>46462.5</v>
      </c>
      <c r="G3723" s="67">
        <f t="shared" si="1378"/>
        <v>24326</v>
      </c>
      <c r="H3723" s="75">
        <f t="shared" si="1379"/>
        <v>1</v>
      </c>
      <c r="I3723" s="76">
        <f t="shared" si="1380"/>
        <v>1</v>
      </c>
      <c r="J3723" s="76">
        <f t="shared" si="1381"/>
        <v>1</v>
      </c>
      <c r="K3723" s="67">
        <f t="shared" si="1382"/>
        <v>0</v>
      </c>
      <c r="L3723" s="67">
        <f t="shared" si="1383"/>
        <v>0</v>
      </c>
      <c r="M3723" s="77">
        <f t="shared" si="1384"/>
        <v>0</v>
      </c>
      <c r="N3723" s="76">
        <f t="shared" si="1385"/>
        <v>1</v>
      </c>
      <c r="O3723" s="77">
        <f t="shared" si="1386"/>
        <v>1</v>
      </c>
      <c r="P3723" s="76">
        <f t="shared" si="1387"/>
        <v>0</v>
      </c>
      <c r="Q3723" s="76">
        <f t="shared" si="1388"/>
        <v>1</v>
      </c>
      <c r="R3723" s="76">
        <f t="shared" si="1389"/>
        <v>0</v>
      </c>
      <c r="S3723" s="76">
        <f t="shared" si="1390"/>
        <v>1</v>
      </c>
      <c r="T3723" s="76">
        <f t="shared" si="1391"/>
        <v>1</v>
      </c>
      <c r="U3723" s="76">
        <f t="shared" si="1392"/>
        <v>1</v>
      </c>
    </row>
    <row r="3724" spans="1:21" x14ac:dyDescent="0.25">
      <c r="A3724" s="71">
        <v>28</v>
      </c>
      <c r="B3724" s="72">
        <f t="shared" si="1393"/>
        <v>46478</v>
      </c>
      <c r="C3724" s="73">
        <f t="shared" si="1374"/>
        <v>46507</v>
      </c>
      <c r="D3724" s="67">
        <f t="shared" si="1375"/>
        <v>30</v>
      </c>
      <c r="E3724" s="67">
        <f t="shared" si="1376"/>
        <v>4</v>
      </c>
      <c r="F3724" s="74">
        <f t="shared" si="1377"/>
        <v>46493</v>
      </c>
      <c r="G3724" s="67">
        <f t="shared" si="1378"/>
        <v>24327</v>
      </c>
      <c r="H3724" s="75">
        <f t="shared" si="1379"/>
        <v>1</v>
      </c>
      <c r="I3724" s="76">
        <f t="shared" si="1380"/>
        <v>1</v>
      </c>
      <c r="J3724" s="76">
        <f t="shared" si="1381"/>
        <v>1</v>
      </c>
      <c r="K3724" s="67">
        <f t="shared" si="1382"/>
        <v>0</v>
      </c>
      <c r="L3724" s="67">
        <f t="shared" si="1383"/>
        <v>0</v>
      </c>
      <c r="M3724" s="77">
        <f t="shared" si="1384"/>
        <v>0</v>
      </c>
      <c r="N3724" s="76">
        <f t="shared" si="1385"/>
        <v>1</v>
      </c>
      <c r="O3724" s="77">
        <f t="shared" si="1386"/>
        <v>1</v>
      </c>
      <c r="P3724" s="76">
        <f t="shared" si="1387"/>
        <v>0</v>
      </c>
      <c r="Q3724" s="76">
        <f t="shared" si="1388"/>
        <v>1</v>
      </c>
      <c r="R3724" s="76">
        <f t="shared" si="1389"/>
        <v>0</v>
      </c>
      <c r="S3724" s="76">
        <f t="shared" si="1390"/>
        <v>1</v>
      </c>
      <c r="T3724" s="76">
        <f t="shared" si="1391"/>
        <v>1</v>
      </c>
      <c r="U3724" s="76">
        <f t="shared" si="1392"/>
        <v>1</v>
      </c>
    </row>
    <row r="3725" spans="1:21" x14ac:dyDescent="0.25">
      <c r="A3725" s="71">
        <v>29</v>
      </c>
      <c r="B3725" s="72">
        <f t="shared" si="1393"/>
        <v>46508</v>
      </c>
      <c r="C3725" s="73">
        <f t="shared" si="1374"/>
        <v>46538</v>
      </c>
      <c r="D3725" s="67">
        <f t="shared" si="1375"/>
        <v>31</v>
      </c>
      <c r="E3725" s="67">
        <f t="shared" si="1376"/>
        <v>5</v>
      </c>
      <c r="F3725" s="74">
        <f t="shared" si="1377"/>
        <v>46523.5</v>
      </c>
      <c r="G3725" s="67">
        <f t="shared" si="1378"/>
        <v>24328</v>
      </c>
      <c r="H3725" s="75">
        <f t="shared" si="1379"/>
        <v>1</v>
      </c>
      <c r="I3725" s="76">
        <f t="shared" si="1380"/>
        <v>1</v>
      </c>
      <c r="J3725" s="76">
        <f t="shared" si="1381"/>
        <v>1</v>
      </c>
      <c r="K3725" s="67">
        <f t="shared" si="1382"/>
        <v>0</v>
      </c>
      <c r="L3725" s="67">
        <f t="shared" si="1383"/>
        <v>0</v>
      </c>
      <c r="M3725" s="77">
        <f t="shared" si="1384"/>
        <v>0</v>
      </c>
      <c r="N3725" s="76">
        <f t="shared" si="1385"/>
        <v>1</v>
      </c>
      <c r="O3725" s="77">
        <f t="shared" si="1386"/>
        <v>1</v>
      </c>
      <c r="P3725" s="76">
        <f t="shared" si="1387"/>
        <v>0</v>
      </c>
      <c r="Q3725" s="76">
        <f t="shared" si="1388"/>
        <v>1</v>
      </c>
      <c r="R3725" s="76">
        <f t="shared" si="1389"/>
        <v>0</v>
      </c>
      <c r="S3725" s="76">
        <f t="shared" si="1390"/>
        <v>1</v>
      </c>
      <c r="T3725" s="76">
        <f t="shared" si="1391"/>
        <v>1</v>
      </c>
      <c r="U3725" s="76">
        <f t="shared" si="1392"/>
        <v>1</v>
      </c>
    </row>
    <row r="3726" spans="1:21" x14ac:dyDescent="0.25">
      <c r="A3726" s="71">
        <v>30</v>
      </c>
      <c r="B3726" s="72">
        <f t="shared" si="1393"/>
        <v>46539</v>
      </c>
      <c r="C3726" s="73">
        <f t="shared" si="1374"/>
        <v>46568</v>
      </c>
      <c r="D3726" s="67">
        <f t="shared" si="1375"/>
        <v>30</v>
      </c>
      <c r="E3726" s="67">
        <f t="shared" si="1376"/>
        <v>6</v>
      </c>
      <c r="F3726" s="74">
        <f t="shared" si="1377"/>
        <v>46554</v>
      </c>
      <c r="G3726" s="67">
        <f t="shared" si="1378"/>
        <v>24329</v>
      </c>
      <c r="H3726" s="75">
        <f t="shared" si="1379"/>
        <v>1</v>
      </c>
      <c r="I3726" s="76">
        <f t="shared" si="1380"/>
        <v>1</v>
      </c>
      <c r="J3726" s="76">
        <f t="shared" si="1381"/>
        <v>1</v>
      </c>
      <c r="K3726" s="67">
        <f t="shared" si="1382"/>
        <v>0</v>
      </c>
      <c r="L3726" s="67">
        <f t="shared" si="1383"/>
        <v>0</v>
      </c>
      <c r="M3726" s="77">
        <f t="shared" si="1384"/>
        <v>0</v>
      </c>
      <c r="N3726" s="76">
        <f t="shared" si="1385"/>
        <v>1</v>
      </c>
      <c r="O3726" s="77">
        <f t="shared" si="1386"/>
        <v>1</v>
      </c>
      <c r="P3726" s="76">
        <f t="shared" si="1387"/>
        <v>0</v>
      </c>
      <c r="Q3726" s="76">
        <f t="shared" si="1388"/>
        <v>1</v>
      </c>
      <c r="R3726" s="76">
        <f t="shared" si="1389"/>
        <v>0</v>
      </c>
      <c r="S3726" s="76">
        <f t="shared" si="1390"/>
        <v>1</v>
      </c>
      <c r="T3726" s="76">
        <f t="shared" si="1391"/>
        <v>1</v>
      </c>
      <c r="U3726" s="76">
        <f t="shared" si="1392"/>
        <v>1</v>
      </c>
    </row>
    <row r="3727" spans="1:21" x14ac:dyDescent="0.25">
      <c r="A3727" s="71">
        <v>31</v>
      </c>
      <c r="B3727" s="72">
        <f t="shared" si="1393"/>
        <v>46569</v>
      </c>
      <c r="C3727" s="73">
        <f t="shared" si="1374"/>
        <v>46599</v>
      </c>
      <c r="D3727" s="67">
        <f t="shared" si="1375"/>
        <v>31</v>
      </c>
      <c r="E3727" s="67">
        <f t="shared" si="1376"/>
        <v>7</v>
      </c>
      <c r="F3727" s="74">
        <f t="shared" si="1377"/>
        <v>46584.5</v>
      </c>
      <c r="G3727" s="67">
        <f t="shared" si="1378"/>
        <v>24330</v>
      </c>
      <c r="H3727" s="75">
        <f t="shared" si="1379"/>
        <v>1</v>
      </c>
      <c r="I3727" s="76">
        <f t="shared" si="1380"/>
        <v>1</v>
      </c>
      <c r="J3727" s="76">
        <f t="shared" si="1381"/>
        <v>1</v>
      </c>
      <c r="K3727" s="67">
        <f t="shared" si="1382"/>
        <v>0</v>
      </c>
      <c r="L3727" s="67">
        <f t="shared" si="1383"/>
        <v>0</v>
      </c>
      <c r="M3727" s="77">
        <f t="shared" si="1384"/>
        <v>0</v>
      </c>
      <c r="N3727" s="76">
        <f t="shared" si="1385"/>
        <v>1</v>
      </c>
      <c r="O3727" s="77">
        <f t="shared" si="1386"/>
        <v>1</v>
      </c>
      <c r="P3727" s="76">
        <f t="shared" si="1387"/>
        <v>0</v>
      </c>
      <c r="Q3727" s="76">
        <f t="shared" si="1388"/>
        <v>0.91666666666666663</v>
      </c>
      <c r="R3727" s="76">
        <f t="shared" si="1389"/>
        <v>8.333333333333337E-2</v>
      </c>
      <c r="S3727" s="76">
        <f t="shared" si="1390"/>
        <v>1</v>
      </c>
      <c r="T3727" s="76">
        <f t="shared" si="1391"/>
        <v>1</v>
      </c>
      <c r="U3727" s="76">
        <f t="shared" si="1392"/>
        <v>1</v>
      </c>
    </row>
    <row r="3728" spans="1:21" x14ac:dyDescent="0.25">
      <c r="A3728" s="71">
        <v>32</v>
      </c>
      <c r="B3728" s="72">
        <f t="shared" si="1393"/>
        <v>46600</v>
      </c>
      <c r="C3728" s="73">
        <f t="shared" si="1374"/>
        <v>46630</v>
      </c>
      <c r="D3728" s="67">
        <f t="shared" si="1375"/>
        <v>31</v>
      </c>
      <c r="E3728" s="67">
        <f t="shared" si="1376"/>
        <v>8</v>
      </c>
      <c r="F3728" s="74">
        <f t="shared" si="1377"/>
        <v>46615.5</v>
      </c>
      <c r="G3728" s="67">
        <f t="shared" si="1378"/>
        <v>24331</v>
      </c>
      <c r="H3728" s="75">
        <f t="shared" si="1379"/>
        <v>1</v>
      </c>
      <c r="I3728" s="76">
        <f t="shared" si="1380"/>
        <v>1</v>
      </c>
      <c r="J3728" s="76">
        <f t="shared" si="1381"/>
        <v>1</v>
      </c>
      <c r="K3728" s="67">
        <f t="shared" si="1382"/>
        <v>0</v>
      </c>
      <c r="L3728" s="67">
        <f t="shared" si="1383"/>
        <v>0</v>
      </c>
      <c r="M3728" s="77">
        <f t="shared" si="1384"/>
        <v>0</v>
      </c>
      <c r="N3728" s="76">
        <f t="shared" si="1385"/>
        <v>1</v>
      </c>
      <c r="O3728" s="77">
        <f t="shared" si="1386"/>
        <v>1</v>
      </c>
      <c r="P3728" s="76">
        <f t="shared" si="1387"/>
        <v>0</v>
      </c>
      <c r="Q3728" s="76">
        <f t="shared" si="1388"/>
        <v>0.75</v>
      </c>
      <c r="R3728" s="76">
        <f t="shared" si="1389"/>
        <v>0.25</v>
      </c>
      <c r="S3728" s="76">
        <f t="shared" si="1390"/>
        <v>1</v>
      </c>
      <c r="T3728" s="76">
        <f t="shared" si="1391"/>
        <v>1</v>
      </c>
      <c r="U3728" s="76">
        <f t="shared" si="1392"/>
        <v>1</v>
      </c>
    </row>
    <row r="3729" spans="1:21" x14ac:dyDescent="0.25">
      <c r="A3729" s="71">
        <v>33</v>
      </c>
      <c r="B3729" s="72">
        <f t="shared" si="1393"/>
        <v>46631</v>
      </c>
      <c r="C3729" s="73">
        <f t="shared" si="1374"/>
        <v>46660</v>
      </c>
      <c r="D3729" s="67">
        <f t="shared" si="1375"/>
        <v>30</v>
      </c>
      <c r="E3729" s="67">
        <f t="shared" si="1376"/>
        <v>9</v>
      </c>
      <c r="F3729" s="74">
        <f t="shared" si="1377"/>
        <v>46646</v>
      </c>
      <c r="G3729" s="67">
        <f t="shared" si="1378"/>
        <v>24332</v>
      </c>
      <c r="H3729" s="75">
        <f t="shared" si="1379"/>
        <v>1</v>
      </c>
      <c r="I3729" s="76">
        <f t="shared" si="1380"/>
        <v>1</v>
      </c>
      <c r="J3729" s="76">
        <f t="shared" si="1381"/>
        <v>1</v>
      </c>
      <c r="K3729" s="67">
        <f t="shared" si="1382"/>
        <v>0</v>
      </c>
      <c r="L3729" s="67">
        <f t="shared" si="1383"/>
        <v>0</v>
      </c>
      <c r="M3729" s="77">
        <f t="shared" si="1384"/>
        <v>0</v>
      </c>
      <c r="N3729" s="76">
        <f t="shared" si="1385"/>
        <v>1</v>
      </c>
      <c r="O3729" s="77">
        <f t="shared" si="1386"/>
        <v>1</v>
      </c>
      <c r="P3729" s="76">
        <f t="shared" si="1387"/>
        <v>0</v>
      </c>
      <c r="Q3729" s="76">
        <f t="shared" si="1388"/>
        <v>0.58333333333333337</v>
      </c>
      <c r="R3729" s="76">
        <f t="shared" si="1389"/>
        <v>0.41666666666666663</v>
      </c>
      <c r="S3729" s="76">
        <f t="shared" si="1390"/>
        <v>1</v>
      </c>
      <c r="T3729" s="76">
        <f t="shared" si="1391"/>
        <v>1</v>
      </c>
      <c r="U3729" s="76">
        <f t="shared" si="1392"/>
        <v>1</v>
      </c>
    </row>
    <row r="3730" spans="1:21" x14ac:dyDescent="0.25">
      <c r="A3730" s="71">
        <v>34</v>
      </c>
      <c r="B3730" s="72">
        <f t="shared" si="1393"/>
        <v>46661</v>
      </c>
      <c r="C3730" s="73">
        <f t="shared" si="1374"/>
        <v>46691</v>
      </c>
      <c r="D3730" s="67">
        <f t="shared" si="1375"/>
        <v>31</v>
      </c>
      <c r="E3730" s="67">
        <f t="shared" si="1376"/>
        <v>10</v>
      </c>
      <c r="F3730" s="74">
        <f t="shared" si="1377"/>
        <v>46676.5</v>
      </c>
      <c r="G3730" s="67">
        <f t="shared" si="1378"/>
        <v>24333</v>
      </c>
      <c r="H3730" s="75">
        <f t="shared" si="1379"/>
        <v>1</v>
      </c>
      <c r="I3730" s="76">
        <f t="shared" si="1380"/>
        <v>1</v>
      </c>
      <c r="J3730" s="76">
        <f t="shared" si="1381"/>
        <v>1</v>
      </c>
      <c r="K3730" s="67">
        <f t="shared" si="1382"/>
        <v>0</v>
      </c>
      <c r="L3730" s="67">
        <f t="shared" si="1383"/>
        <v>0</v>
      </c>
      <c r="M3730" s="77">
        <f t="shared" si="1384"/>
        <v>0</v>
      </c>
      <c r="N3730" s="76">
        <f t="shared" si="1385"/>
        <v>1</v>
      </c>
      <c r="O3730" s="77">
        <f t="shared" si="1386"/>
        <v>1</v>
      </c>
      <c r="P3730" s="76">
        <f t="shared" si="1387"/>
        <v>0</v>
      </c>
      <c r="Q3730" s="76">
        <f t="shared" si="1388"/>
        <v>0.41666666666666669</v>
      </c>
      <c r="R3730" s="76">
        <f t="shared" si="1389"/>
        <v>0.58333333333333326</v>
      </c>
      <c r="S3730" s="76">
        <f t="shared" si="1390"/>
        <v>1</v>
      </c>
      <c r="T3730" s="76">
        <f t="shared" si="1391"/>
        <v>1</v>
      </c>
      <c r="U3730" s="76">
        <f t="shared" si="1392"/>
        <v>1</v>
      </c>
    </row>
    <row r="3731" spans="1:21" x14ac:dyDescent="0.25">
      <c r="A3731" s="71">
        <v>35</v>
      </c>
      <c r="B3731" s="72">
        <f t="shared" si="1393"/>
        <v>46692</v>
      </c>
      <c r="C3731" s="73">
        <f t="shared" si="1374"/>
        <v>46721</v>
      </c>
      <c r="D3731" s="67">
        <f t="shared" si="1375"/>
        <v>30</v>
      </c>
      <c r="E3731" s="67">
        <f t="shared" si="1376"/>
        <v>11</v>
      </c>
      <c r="F3731" s="74">
        <f t="shared" si="1377"/>
        <v>46707</v>
      </c>
      <c r="G3731" s="67">
        <f t="shared" si="1378"/>
        <v>24334</v>
      </c>
      <c r="H3731" s="75">
        <f t="shared" si="1379"/>
        <v>1</v>
      </c>
      <c r="I3731" s="76">
        <f t="shared" si="1380"/>
        <v>1</v>
      </c>
      <c r="J3731" s="76">
        <f t="shared" si="1381"/>
        <v>1</v>
      </c>
      <c r="K3731" s="67">
        <f t="shared" si="1382"/>
        <v>0</v>
      </c>
      <c r="L3731" s="67">
        <f t="shared" si="1383"/>
        <v>0</v>
      </c>
      <c r="M3731" s="77">
        <f t="shared" si="1384"/>
        <v>0</v>
      </c>
      <c r="N3731" s="76">
        <f t="shared" si="1385"/>
        <v>1</v>
      </c>
      <c r="O3731" s="77">
        <f t="shared" si="1386"/>
        <v>1</v>
      </c>
      <c r="P3731" s="76">
        <f t="shared" si="1387"/>
        <v>0</v>
      </c>
      <c r="Q3731" s="76">
        <f t="shared" si="1388"/>
        <v>0.25</v>
      </c>
      <c r="R3731" s="76">
        <f t="shared" si="1389"/>
        <v>0.75</v>
      </c>
      <c r="S3731" s="76">
        <f t="shared" si="1390"/>
        <v>1</v>
      </c>
      <c r="T3731" s="76">
        <f t="shared" si="1391"/>
        <v>1</v>
      </c>
      <c r="U3731" s="76">
        <f t="shared" si="1392"/>
        <v>1</v>
      </c>
    </row>
    <row r="3732" spans="1:21" x14ac:dyDescent="0.25">
      <c r="A3732" s="71">
        <v>36</v>
      </c>
      <c r="B3732" s="72">
        <f t="shared" si="1393"/>
        <v>46722</v>
      </c>
      <c r="C3732" s="73">
        <f t="shared" si="1374"/>
        <v>46752</v>
      </c>
      <c r="D3732" s="67">
        <f t="shared" si="1375"/>
        <v>31</v>
      </c>
      <c r="E3732" s="67">
        <f t="shared" si="1376"/>
        <v>12</v>
      </c>
      <c r="F3732" s="74">
        <f t="shared" si="1377"/>
        <v>46737.5</v>
      </c>
      <c r="G3732" s="67">
        <f t="shared" si="1378"/>
        <v>24335</v>
      </c>
      <c r="H3732" s="75">
        <f t="shared" si="1379"/>
        <v>1</v>
      </c>
      <c r="I3732" s="76">
        <f t="shared" si="1380"/>
        <v>1</v>
      </c>
      <c r="J3732" s="76">
        <f t="shared" si="1381"/>
        <v>1</v>
      </c>
      <c r="K3732" s="67">
        <f t="shared" si="1382"/>
        <v>0</v>
      </c>
      <c r="L3732" s="67">
        <f t="shared" si="1383"/>
        <v>0</v>
      </c>
      <c r="M3732" s="77">
        <f t="shared" si="1384"/>
        <v>0</v>
      </c>
      <c r="N3732" s="76">
        <f t="shared" si="1385"/>
        <v>1</v>
      </c>
      <c r="O3732" s="77">
        <f t="shared" si="1386"/>
        <v>1</v>
      </c>
      <c r="P3732" s="76">
        <f t="shared" si="1387"/>
        <v>0</v>
      </c>
      <c r="Q3732" s="76">
        <f t="shared" si="1388"/>
        <v>8.3333333333333329E-2</v>
      </c>
      <c r="R3732" s="76">
        <f t="shared" si="1389"/>
        <v>0.91666666666666663</v>
      </c>
      <c r="S3732" s="76">
        <f t="shared" si="1390"/>
        <v>1</v>
      </c>
      <c r="T3732" s="76">
        <f t="shared" si="1391"/>
        <v>1</v>
      </c>
      <c r="U3732" s="76">
        <f t="shared" si="1392"/>
        <v>1</v>
      </c>
    </row>
    <row r="3733" spans="1:21" x14ac:dyDescent="0.25">
      <c r="A3733" s="71">
        <v>37</v>
      </c>
      <c r="B3733" s="72">
        <f t="shared" si="1393"/>
        <v>46753</v>
      </c>
      <c r="C3733" s="73">
        <f t="shared" si="1374"/>
        <v>46783</v>
      </c>
      <c r="D3733" s="67">
        <f t="shared" si="1375"/>
        <v>31</v>
      </c>
      <c r="E3733" s="67">
        <f t="shared" si="1376"/>
        <v>1</v>
      </c>
      <c r="F3733" s="74">
        <f t="shared" si="1377"/>
        <v>46768.5</v>
      </c>
      <c r="G3733" s="67">
        <f t="shared" si="1378"/>
        <v>24336</v>
      </c>
      <c r="H3733" s="75">
        <f t="shared" si="1379"/>
        <v>1</v>
      </c>
      <c r="I3733" s="76">
        <f t="shared" si="1380"/>
        <v>1</v>
      </c>
      <c r="J3733" s="76">
        <f t="shared" si="1381"/>
        <v>1</v>
      </c>
      <c r="K3733" s="67">
        <f t="shared" si="1382"/>
        <v>0</v>
      </c>
      <c r="L3733" s="67">
        <f t="shared" si="1383"/>
        <v>0</v>
      </c>
      <c r="M3733" s="77">
        <f t="shared" si="1384"/>
        <v>0</v>
      </c>
      <c r="N3733" s="76">
        <f t="shared" si="1385"/>
        <v>1</v>
      </c>
      <c r="O3733" s="77">
        <f t="shared" si="1386"/>
        <v>1</v>
      </c>
      <c r="P3733" s="76">
        <f t="shared" si="1387"/>
        <v>0</v>
      </c>
      <c r="Q3733" s="76">
        <f t="shared" si="1388"/>
        <v>0</v>
      </c>
      <c r="R3733" s="76">
        <f t="shared" si="1389"/>
        <v>1</v>
      </c>
      <c r="S3733" s="76">
        <f t="shared" si="1390"/>
        <v>1</v>
      </c>
      <c r="T3733" s="76">
        <f t="shared" si="1391"/>
        <v>1</v>
      </c>
      <c r="U3733" s="76">
        <f t="shared" si="1392"/>
        <v>1</v>
      </c>
    </row>
    <row r="3734" spans="1:21" x14ac:dyDescent="0.25">
      <c r="A3734" s="71">
        <v>38</v>
      </c>
      <c r="B3734" s="72">
        <f t="shared" si="1393"/>
        <v>46784</v>
      </c>
      <c r="C3734" s="73">
        <f t="shared" si="1374"/>
        <v>46812</v>
      </c>
      <c r="D3734" s="67">
        <f t="shared" si="1375"/>
        <v>29</v>
      </c>
      <c r="E3734" s="67">
        <f t="shared" si="1376"/>
        <v>2</v>
      </c>
      <c r="F3734" s="74">
        <f t="shared" si="1377"/>
        <v>46798.5</v>
      </c>
      <c r="G3734" s="67">
        <f t="shared" si="1378"/>
        <v>24337</v>
      </c>
      <c r="H3734" s="75">
        <f t="shared" si="1379"/>
        <v>1</v>
      </c>
      <c r="I3734" s="76">
        <f t="shared" si="1380"/>
        <v>1</v>
      </c>
      <c r="J3734" s="76">
        <f t="shared" si="1381"/>
        <v>1</v>
      </c>
      <c r="K3734" s="67">
        <f t="shared" si="1382"/>
        <v>0</v>
      </c>
      <c r="L3734" s="67">
        <f t="shared" si="1383"/>
        <v>0</v>
      </c>
      <c r="M3734" s="77">
        <f t="shared" si="1384"/>
        <v>0</v>
      </c>
      <c r="N3734" s="76">
        <f t="shared" si="1385"/>
        <v>1</v>
      </c>
      <c r="O3734" s="77">
        <f t="shared" si="1386"/>
        <v>1</v>
      </c>
      <c r="P3734" s="76">
        <f t="shared" si="1387"/>
        <v>0</v>
      </c>
      <c r="Q3734" s="76">
        <f t="shared" si="1388"/>
        <v>0</v>
      </c>
      <c r="R3734" s="76">
        <f t="shared" si="1389"/>
        <v>1</v>
      </c>
      <c r="S3734" s="76">
        <f t="shared" si="1390"/>
        <v>1</v>
      </c>
      <c r="T3734" s="76">
        <f t="shared" si="1391"/>
        <v>1</v>
      </c>
      <c r="U3734" s="76">
        <f t="shared" si="1392"/>
        <v>1</v>
      </c>
    </row>
    <row r="3735" spans="1:21" x14ac:dyDescent="0.25">
      <c r="A3735" s="71">
        <v>39</v>
      </c>
      <c r="B3735" s="72">
        <f t="shared" si="1393"/>
        <v>46813</v>
      </c>
      <c r="C3735" s="73">
        <f t="shared" si="1374"/>
        <v>46843</v>
      </c>
      <c r="D3735" s="67">
        <f t="shared" si="1375"/>
        <v>31</v>
      </c>
      <c r="E3735" s="67">
        <f t="shared" si="1376"/>
        <v>3</v>
      </c>
      <c r="F3735" s="74">
        <f t="shared" si="1377"/>
        <v>46828.5</v>
      </c>
      <c r="G3735" s="67">
        <f t="shared" si="1378"/>
        <v>24338</v>
      </c>
      <c r="H3735" s="75">
        <f t="shared" si="1379"/>
        <v>1</v>
      </c>
      <c r="I3735" s="76">
        <f t="shared" si="1380"/>
        <v>1</v>
      </c>
      <c r="J3735" s="76">
        <f t="shared" si="1381"/>
        <v>1</v>
      </c>
      <c r="K3735" s="67">
        <f t="shared" si="1382"/>
        <v>0</v>
      </c>
      <c r="L3735" s="67">
        <f t="shared" si="1383"/>
        <v>0</v>
      </c>
      <c r="M3735" s="77">
        <f t="shared" si="1384"/>
        <v>0</v>
      </c>
      <c r="N3735" s="76">
        <f t="shared" si="1385"/>
        <v>1</v>
      </c>
      <c r="O3735" s="77">
        <f t="shared" si="1386"/>
        <v>1</v>
      </c>
      <c r="P3735" s="76">
        <f t="shared" si="1387"/>
        <v>0</v>
      </c>
      <c r="Q3735" s="76">
        <f t="shared" si="1388"/>
        <v>0</v>
      </c>
      <c r="R3735" s="76">
        <f t="shared" si="1389"/>
        <v>1</v>
      </c>
      <c r="S3735" s="76">
        <f t="shared" si="1390"/>
        <v>1</v>
      </c>
      <c r="T3735" s="76">
        <f t="shared" si="1391"/>
        <v>1</v>
      </c>
      <c r="U3735" s="76">
        <f t="shared" si="1392"/>
        <v>1</v>
      </c>
    </row>
    <row r="3736" spans="1:21" x14ac:dyDescent="0.25">
      <c r="A3736" s="71">
        <v>40</v>
      </c>
      <c r="B3736" s="72">
        <f t="shared" si="1393"/>
        <v>46844</v>
      </c>
      <c r="C3736" s="73">
        <f t="shared" si="1374"/>
        <v>46873</v>
      </c>
      <c r="D3736" s="67">
        <f t="shared" si="1375"/>
        <v>30</v>
      </c>
      <c r="E3736" s="67">
        <f t="shared" si="1376"/>
        <v>4</v>
      </c>
      <c r="F3736" s="74">
        <f t="shared" si="1377"/>
        <v>46859</v>
      </c>
      <c r="G3736" s="67">
        <f t="shared" si="1378"/>
        <v>24339</v>
      </c>
      <c r="H3736" s="75">
        <f t="shared" si="1379"/>
        <v>1</v>
      </c>
      <c r="I3736" s="76">
        <f t="shared" si="1380"/>
        <v>1</v>
      </c>
      <c r="J3736" s="76">
        <f t="shared" si="1381"/>
        <v>1</v>
      </c>
      <c r="K3736" s="67">
        <f t="shared" si="1382"/>
        <v>0</v>
      </c>
      <c r="L3736" s="67">
        <f t="shared" si="1383"/>
        <v>0</v>
      </c>
      <c r="M3736" s="77">
        <f t="shared" si="1384"/>
        <v>0</v>
      </c>
      <c r="N3736" s="76">
        <f t="shared" si="1385"/>
        <v>1</v>
      </c>
      <c r="O3736" s="77">
        <f t="shared" si="1386"/>
        <v>1</v>
      </c>
      <c r="P3736" s="76">
        <f t="shared" si="1387"/>
        <v>0</v>
      </c>
      <c r="Q3736" s="76">
        <f t="shared" si="1388"/>
        <v>0</v>
      </c>
      <c r="R3736" s="76">
        <f t="shared" si="1389"/>
        <v>1</v>
      </c>
      <c r="S3736" s="76">
        <f t="shared" si="1390"/>
        <v>1</v>
      </c>
      <c r="T3736" s="76">
        <f t="shared" si="1391"/>
        <v>1</v>
      </c>
      <c r="U3736" s="76">
        <f t="shared" si="1392"/>
        <v>1</v>
      </c>
    </row>
    <row r="3737" spans="1:21" x14ac:dyDescent="0.25">
      <c r="A3737" s="71">
        <v>41</v>
      </c>
      <c r="B3737" s="72">
        <f t="shared" si="1393"/>
        <v>46874</v>
      </c>
      <c r="C3737" s="73">
        <f t="shared" si="1374"/>
        <v>46904</v>
      </c>
      <c r="D3737" s="67">
        <f t="shared" si="1375"/>
        <v>31</v>
      </c>
      <c r="E3737" s="67">
        <f t="shared" si="1376"/>
        <v>5</v>
      </c>
      <c r="F3737" s="74">
        <f t="shared" si="1377"/>
        <v>46889.5</v>
      </c>
      <c r="G3737" s="67">
        <f t="shared" si="1378"/>
        <v>24340</v>
      </c>
      <c r="H3737" s="75">
        <f t="shared" si="1379"/>
        <v>1</v>
      </c>
      <c r="I3737" s="76">
        <f t="shared" si="1380"/>
        <v>1</v>
      </c>
      <c r="J3737" s="76">
        <f t="shared" si="1381"/>
        <v>1</v>
      </c>
      <c r="K3737" s="67">
        <f t="shared" si="1382"/>
        <v>0</v>
      </c>
      <c r="L3737" s="67">
        <f t="shared" si="1383"/>
        <v>0</v>
      </c>
      <c r="M3737" s="77">
        <f t="shared" si="1384"/>
        <v>0</v>
      </c>
      <c r="N3737" s="76">
        <f t="shared" si="1385"/>
        <v>1</v>
      </c>
      <c r="O3737" s="77">
        <f t="shared" si="1386"/>
        <v>1</v>
      </c>
      <c r="P3737" s="76">
        <f t="shared" si="1387"/>
        <v>0</v>
      </c>
      <c r="Q3737" s="76">
        <f t="shared" si="1388"/>
        <v>0</v>
      </c>
      <c r="R3737" s="76">
        <f t="shared" si="1389"/>
        <v>1</v>
      </c>
      <c r="S3737" s="76">
        <f t="shared" si="1390"/>
        <v>1</v>
      </c>
      <c r="T3737" s="76">
        <f t="shared" si="1391"/>
        <v>1</v>
      </c>
      <c r="U3737" s="76">
        <f t="shared" si="1392"/>
        <v>1</v>
      </c>
    </row>
    <row r="3738" spans="1:21" x14ac:dyDescent="0.25">
      <c r="A3738" s="71">
        <v>42</v>
      </c>
      <c r="B3738" s="72">
        <f t="shared" si="1393"/>
        <v>46905</v>
      </c>
      <c r="C3738" s="73">
        <f t="shared" si="1374"/>
        <v>46934</v>
      </c>
      <c r="D3738" s="67">
        <f t="shared" si="1375"/>
        <v>30</v>
      </c>
      <c r="E3738" s="67">
        <f t="shared" si="1376"/>
        <v>6</v>
      </c>
      <c r="F3738" s="74">
        <f t="shared" si="1377"/>
        <v>46920</v>
      </c>
      <c r="G3738" s="67">
        <f t="shared" si="1378"/>
        <v>24341</v>
      </c>
      <c r="H3738" s="75">
        <f t="shared" si="1379"/>
        <v>1</v>
      </c>
      <c r="I3738" s="76">
        <f t="shared" si="1380"/>
        <v>1</v>
      </c>
      <c r="J3738" s="76">
        <f t="shared" si="1381"/>
        <v>1</v>
      </c>
      <c r="K3738" s="67">
        <f t="shared" si="1382"/>
        <v>0</v>
      </c>
      <c r="L3738" s="67">
        <f t="shared" si="1383"/>
        <v>0</v>
      </c>
      <c r="M3738" s="77">
        <f t="shared" si="1384"/>
        <v>0</v>
      </c>
      <c r="N3738" s="76">
        <f t="shared" si="1385"/>
        <v>1</v>
      </c>
      <c r="O3738" s="77">
        <f t="shared" si="1386"/>
        <v>1</v>
      </c>
      <c r="P3738" s="76">
        <f t="shared" si="1387"/>
        <v>0</v>
      </c>
      <c r="Q3738" s="76">
        <f t="shared" si="1388"/>
        <v>0</v>
      </c>
      <c r="R3738" s="76">
        <f t="shared" si="1389"/>
        <v>1</v>
      </c>
      <c r="S3738" s="76">
        <f t="shared" si="1390"/>
        <v>1</v>
      </c>
      <c r="T3738" s="76">
        <f t="shared" si="1391"/>
        <v>1</v>
      </c>
      <c r="U3738" s="76">
        <f t="shared" si="1392"/>
        <v>1</v>
      </c>
    </row>
    <row r="3739" spans="1:21" x14ac:dyDescent="0.25">
      <c r="A3739" s="71">
        <v>43</v>
      </c>
      <c r="B3739" s="72">
        <f t="shared" si="1393"/>
        <v>46935</v>
      </c>
      <c r="C3739" s="73">
        <f t="shared" si="1374"/>
        <v>46965</v>
      </c>
      <c r="D3739" s="67">
        <f t="shared" si="1375"/>
        <v>31</v>
      </c>
      <c r="E3739" s="67">
        <f t="shared" si="1376"/>
        <v>7</v>
      </c>
      <c r="F3739" s="74">
        <f t="shared" si="1377"/>
        <v>46950.5</v>
      </c>
      <c r="G3739" s="67">
        <f t="shared" si="1378"/>
        <v>24342</v>
      </c>
      <c r="H3739" s="75">
        <f t="shared" si="1379"/>
        <v>1</v>
      </c>
      <c r="I3739" s="76">
        <f t="shared" si="1380"/>
        <v>1</v>
      </c>
      <c r="J3739" s="76">
        <f t="shared" si="1381"/>
        <v>1</v>
      </c>
      <c r="K3739" s="67">
        <f t="shared" si="1382"/>
        <v>0</v>
      </c>
      <c r="L3739" s="67">
        <f t="shared" si="1383"/>
        <v>0</v>
      </c>
      <c r="M3739" s="77">
        <f t="shared" si="1384"/>
        <v>0</v>
      </c>
      <c r="N3739" s="76">
        <f t="shared" si="1385"/>
        <v>1</v>
      </c>
      <c r="O3739" s="77">
        <f t="shared" si="1386"/>
        <v>1</v>
      </c>
      <c r="P3739" s="76">
        <f t="shared" si="1387"/>
        <v>0</v>
      </c>
      <c r="Q3739" s="76">
        <f t="shared" si="1388"/>
        <v>0</v>
      </c>
      <c r="R3739" s="76">
        <f t="shared" si="1389"/>
        <v>0.91666666666666663</v>
      </c>
      <c r="S3739" s="76">
        <f t="shared" si="1390"/>
        <v>1</v>
      </c>
      <c r="T3739" s="76">
        <f t="shared" si="1391"/>
        <v>1</v>
      </c>
      <c r="U3739" s="76">
        <f t="shared" si="1392"/>
        <v>1</v>
      </c>
    </row>
    <row r="3740" spans="1:21" x14ac:dyDescent="0.25">
      <c r="A3740" s="71">
        <v>44</v>
      </c>
      <c r="B3740" s="72">
        <f t="shared" si="1393"/>
        <v>46966</v>
      </c>
      <c r="C3740" s="73">
        <f t="shared" si="1374"/>
        <v>46996</v>
      </c>
      <c r="D3740" s="67">
        <f t="shared" si="1375"/>
        <v>31</v>
      </c>
      <c r="E3740" s="67">
        <f t="shared" si="1376"/>
        <v>8</v>
      </c>
      <c r="F3740" s="74">
        <f t="shared" si="1377"/>
        <v>46981.5</v>
      </c>
      <c r="G3740" s="67">
        <f t="shared" si="1378"/>
        <v>24343</v>
      </c>
      <c r="H3740" s="75">
        <f t="shared" si="1379"/>
        <v>1</v>
      </c>
      <c r="I3740" s="76">
        <f t="shared" si="1380"/>
        <v>1</v>
      </c>
      <c r="J3740" s="76">
        <f t="shared" si="1381"/>
        <v>1</v>
      </c>
      <c r="K3740" s="67">
        <f t="shared" si="1382"/>
        <v>0</v>
      </c>
      <c r="L3740" s="67">
        <f t="shared" si="1383"/>
        <v>0</v>
      </c>
      <c r="M3740" s="77">
        <f t="shared" si="1384"/>
        <v>0</v>
      </c>
      <c r="N3740" s="76">
        <f t="shared" si="1385"/>
        <v>1</v>
      </c>
      <c r="O3740" s="77">
        <f t="shared" si="1386"/>
        <v>1</v>
      </c>
      <c r="P3740" s="76">
        <f t="shared" si="1387"/>
        <v>0</v>
      </c>
      <c r="Q3740" s="76">
        <f t="shared" si="1388"/>
        <v>0</v>
      </c>
      <c r="R3740" s="76">
        <f t="shared" si="1389"/>
        <v>0.75</v>
      </c>
      <c r="S3740" s="76">
        <f t="shared" si="1390"/>
        <v>1</v>
      </c>
      <c r="T3740" s="76">
        <f t="shared" si="1391"/>
        <v>1</v>
      </c>
      <c r="U3740" s="76">
        <f t="shared" si="1392"/>
        <v>1</v>
      </c>
    </row>
    <row r="3741" spans="1:21" x14ac:dyDescent="0.25">
      <c r="A3741" s="71">
        <v>45</v>
      </c>
      <c r="B3741" s="72">
        <f t="shared" si="1393"/>
        <v>46997</v>
      </c>
      <c r="C3741" s="73">
        <f t="shared" si="1374"/>
        <v>47026</v>
      </c>
      <c r="D3741" s="67">
        <f t="shared" si="1375"/>
        <v>30</v>
      </c>
      <c r="E3741" s="67">
        <f t="shared" si="1376"/>
        <v>9</v>
      </c>
      <c r="F3741" s="74">
        <f t="shared" si="1377"/>
        <v>47012</v>
      </c>
      <c r="G3741" s="67">
        <f t="shared" si="1378"/>
        <v>24344</v>
      </c>
      <c r="H3741" s="75">
        <f t="shared" si="1379"/>
        <v>1</v>
      </c>
      <c r="I3741" s="76">
        <f t="shared" si="1380"/>
        <v>1</v>
      </c>
      <c r="J3741" s="76">
        <f t="shared" si="1381"/>
        <v>1</v>
      </c>
      <c r="K3741" s="67">
        <f t="shared" si="1382"/>
        <v>0</v>
      </c>
      <c r="L3741" s="67">
        <f t="shared" si="1383"/>
        <v>0</v>
      </c>
      <c r="M3741" s="77">
        <f t="shared" si="1384"/>
        <v>0</v>
      </c>
      <c r="N3741" s="76">
        <f t="shared" si="1385"/>
        <v>1</v>
      </c>
      <c r="O3741" s="77">
        <f t="shared" si="1386"/>
        <v>1</v>
      </c>
      <c r="P3741" s="76">
        <f t="shared" si="1387"/>
        <v>0</v>
      </c>
      <c r="Q3741" s="76">
        <f t="shared" si="1388"/>
        <v>0</v>
      </c>
      <c r="R3741" s="76">
        <f t="shared" si="1389"/>
        <v>0.58333333333333337</v>
      </c>
      <c r="S3741" s="76">
        <f t="shared" si="1390"/>
        <v>1</v>
      </c>
      <c r="T3741" s="76">
        <f t="shared" si="1391"/>
        <v>1</v>
      </c>
      <c r="U3741" s="76">
        <f t="shared" si="1392"/>
        <v>1</v>
      </c>
    </row>
    <row r="3742" spans="1:21" x14ac:dyDescent="0.25">
      <c r="A3742" s="71">
        <v>46</v>
      </c>
      <c r="B3742" s="72">
        <f t="shared" si="1393"/>
        <v>47027</v>
      </c>
      <c r="C3742" s="73">
        <f t="shared" si="1374"/>
        <v>47057</v>
      </c>
      <c r="D3742" s="67">
        <f t="shared" si="1375"/>
        <v>31</v>
      </c>
      <c r="E3742" s="67">
        <f t="shared" si="1376"/>
        <v>10</v>
      </c>
      <c r="F3742" s="74">
        <f t="shared" si="1377"/>
        <v>47042.5</v>
      </c>
      <c r="G3742" s="67">
        <f t="shared" si="1378"/>
        <v>24345</v>
      </c>
      <c r="H3742" s="75">
        <f t="shared" si="1379"/>
        <v>1</v>
      </c>
      <c r="I3742" s="76">
        <f t="shared" si="1380"/>
        <v>1</v>
      </c>
      <c r="J3742" s="76">
        <f t="shared" si="1381"/>
        <v>1</v>
      </c>
      <c r="K3742" s="67">
        <f t="shared" si="1382"/>
        <v>0</v>
      </c>
      <c r="L3742" s="67">
        <f t="shared" si="1383"/>
        <v>0</v>
      </c>
      <c r="M3742" s="77">
        <f t="shared" si="1384"/>
        <v>0</v>
      </c>
      <c r="N3742" s="76">
        <f t="shared" si="1385"/>
        <v>1</v>
      </c>
      <c r="O3742" s="77">
        <f t="shared" si="1386"/>
        <v>1</v>
      </c>
      <c r="P3742" s="76">
        <f t="shared" si="1387"/>
        <v>0</v>
      </c>
      <c r="Q3742" s="76">
        <f t="shared" si="1388"/>
        <v>0</v>
      </c>
      <c r="R3742" s="76">
        <f t="shared" si="1389"/>
        <v>0.41666666666666669</v>
      </c>
      <c r="S3742" s="76">
        <f t="shared" si="1390"/>
        <v>1</v>
      </c>
      <c r="T3742" s="76">
        <f t="shared" si="1391"/>
        <v>1</v>
      </c>
      <c r="U3742" s="76">
        <f t="shared" si="1392"/>
        <v>1</v>
      </c>
    </row>
    <row r="3743" spans="1:21" x14ac:dyDescent="0.25">
      <c r="A3743" s="71">
        <v>47</v>
      </c>
      <c r="B3743" s="72">
        <f t="shared" si="1393"/>
        <v>47058</v>
      </c>
      <c r="C3743" s="73">
        <f t="shared" si="1374"/>
        <v>47087</v>
      </c>
      <c r="D3743" s="67">
        <f t="shared" si="1375"/>
        <v>30</v>
      </c>
      <c r="E3743" s="67">
        <f t="shared" si="1376"/>
        <v>11</v>
      </c>
      <c r="F3743" s="74">
        <f t="shared" si="1377"/>
        <v>47073</v>
      </c>
      <c r="G3743" s="67">
        <f t="shared" si="1378"/>
        <v>24346</v>
      </c>
      <c r="H3743" s="75">
        <f t="shared" si="1379"/>
        <v>1</v>
      </c>
      <c r="I3743" s="76">
        <f t="shared" si="1380"/>
        <v>1</v>
      </c>
      <c r="J3743" s="76">
        <f t="shared" si="1381"/>
        <v>1</v>
      </c>
      <c r="K3743" s="67">
        <f t="shared" si="1382"/>
        <v>0</v>
      </c>
      <c r="L3743" s="67">
        <f t="shared" si="1383"/>
        <v>0</v>
      </c>
      <c r="M3743" s="77">
        <f t="shared" si="1384"/>
        <v>0</v>
      </c>
      <c r="N3743" s="76">
        <f t="shared" si="1385"/>
        <v>1</v>
      </c>
      <c r="O3743" s="77">
        <f t="shared" si="1386"/>
        <v>1</v>
      </c>
      <c r="P3743" s="76">
        <f t="shared" si="1387"/>
        <v>0</v>
      </c>
      <c r="Q3743" s="76">
        <f t="shared" si="1388"/>
        <v>0</v>
      </c>
      <c r="R3743" s="76">
        <f t="shared" si="1389"/>
        <v>0.25</v>
      </c>
      <c r="S3743" s="76">
        <f t="shared" si="1390"/>
        <v>1</v>
      </c>
      <c r="T3743" s="76">
        <f t="shared" si="1391"/>
        <v>1</v>
      </c>
      <c r="U3743" s="76">
        <f t="shared" si="1392"/>
        <v>1</v>
      </c>
    </row>
    <row r="3744" spans="1:21" x14ac:dyDescent="0.25">
      <c r="A3744" s="71">
        <v>48</v>
      </c>
      <c r="B3744" s="72">
        <f t="shared" si="1393"/>
        <v>47088</v>
      </c>
      <c r="C3744" s="73">
        <f t="shared" si="1374"/>
        <v>47118</v>
      </c>
      <c r="D3744" s="67">
        <f t="shared" si="1375"/>
        <v>31</v>
      </c>
      <c r="E3744" s="67">
        <f t="shared" si="1376"/>
        <v>12</v>
      </c>
      <c r="F3744" s="74">
        <f t="shared" si="1377"/>
        <v>47103.5</v>
      </c>
      <c r="G3744" s="67">
        <f t="shared" si="1378"/>
        <v>24347</v>
      </c>
      <c r="H3744" s="75">
        <f t="shared" si="1379"/>
        <v>1</v>
      </c>
      <c r="I3744" s="76">
        <f t="shared" si="1380"/>
        <v>1</v>
      </c>
      <c r="J3744" s="76">
        <f t="shared" si="1381"/>
        <v>1</v>
      </c>
      <c r="K3744" s="67">
        <f t="shared" si="1382"/>
        <v>0</v>
      </c>
      <c r="L3744" s="67">
        <f t="shared" si="1383"/>
        <v>0</v>
      </c>
      <c r="M3744" s="77">
        <f t="shared" si="1384"/>
        <v>0</v>
      </c>
      <c r="N3744" s="76">
        <f t="shared" si="1385"/>
        <v>1</v>
      </c>
      <c r="O3744" s="77">
        <f t="shared" si="1386"/>
        <v>1</v>
      </c>
      <c r="P3744" s="76">
        <f t="shared" si="1387"/>
        <v>0</v>
      </c>
      <c r="Q3744" s="76">
        <f t="shared" si="1388"/>
        <v>0</v>
      </c>
      <c r="R3744" s="76">
        <f t="shared" si="1389"/>
        <v>8.3333333333333329E-2</v>
      </c>
      <c r="S3744" s="76">
        <f t="shared" si="1390"/>
        <v>1</v>
      </c>
      <c r="T3744" s="76">
        <f t="shared" si="1391"/>
        <v>1</v>
      </c>
      <c r="U3744" s="76">
        <f t="shared" si="1392"/>
        <v>1</v>
      </c>
    </row>
    <row r="3745" spans="1:21" x14ac:dyDescent="0.25">
      <c r="A3745" s="81" t="s">
        <v>1187</v>
      </c>
      <c r="B3745" s="53">
        <f>EXP(SUMPRODUCT((rl_key=$A$3694)*(rl_cons="Y")*rl_ln1p))</f>
        <v>1</v>
      </c>
      <c r="C3745" s="53">
        <f>SUMPRODUCT($H$3697:$H$3744,$P$3697:$P$3744,$U$3697:$U$3744)/SUMPRODUCT($H$3697:$H$3744,$P$3697:$P$3744)</f>
        <v>1</v>
      </c>
      <c r="D3745" s="53">
        <f>SUMPRODUCT($H$3697:$H$3744,$Q$3697:$Q$3744,$U$3697:$U$3744)/SUMPRODUCT($H$3697:$H$3744,$Q$3697:$Q$3744)</f>
        <v>1</v>
      </c>
      <c r="E3745" s="53">
        <f>SUMPRODUCT($H$3697:$H$3744,$R$3697:$R$3744,$U$3697:$U$3744)/SUMPRODUCT($H$3697:$H$3744,$R$3697:$R$3744)</f>
        <v>1</v>
      </c>
      <c r="F3745" s="172">
        <f>SUMPRODUCT($H$3697:$H$3744,$Q$3697:$Q$3744,$O$3697:$O$3744)/SUMPRODUCT($H$3697:$H$3744,$Q$3697:$Q$3744)</f>
        <v>1</v>
      </c>
      <c r="G3745" s="172">
        <f>SUMPRODUCT($H$3697:$H$3744,$R$3697:$R$3744,$O$3697:$O$3744)/SUMPRODUCT($H$3697:$H$3744,$R$3697:$R$3744)</f>
        <v>1</v>
      </c>
    </row>
    <row r="3748" spans="1:21" x14ac:dyDescent="0.25">
      <c r="A3748" s="81" t="str">
        <f>INDEX(lr_key,69)</f>
        <v/>
      </c>
      <c r="B3748" s="81">
        <f>INDEX(lr_state,69)</f>
        <v>0</v>
      </c>
      <c r="C3748" s="55">
        <f>nr_TermMonths</f>
        <v>6</v>
      </c>
      <c r="D3748" s="55">
        <f>IF(COUNTIF(se_state,$B3748)=0,0,MATCH($B3748,se_state,0))</f>
        <v>0</v>
      </c>
      <c r="E3748" s="57">
        <f>IF($D3748=0,0,INDEX(se_sum,$D3748))</f>
        <v>0</v>
      </c>
      <c r="F3748" s="172">
        <f>IF(N(INDEX(lr_mind,69))=0,1,INDEX(lr_mind,69))</f>
        <v>1</v>
      </c>
      <c r="G3748" s="172">
        <f>IF(N(INDEX(lr_m0,69))=0,1,INDEX(lr_m0,69))</f>
        <v>1</v>
      </c>
      <c r="H3748" s="54">
        <f>IF(N(INDEX(lr_m0asof,69))=0,DATE(nr_PlanYear-1,10,1),INDEX(lr_m0asof,69))</f>
        <v>46296</v>
      </c>
      <c r="I3748" s="172">
        <f>IF(N(INDEX(lr_m1,69))=0,1,INDEX(lr_m1,69))</f>
        <v>1</v>
      </c>
      <c r="J3748" s="172">
        <f>INDEX(lr_mprior,69)</f>
        <v>0</v>
      </c>
      <c r="K3748" s="172">
        <f>INDEX(lr_m2,69)</f>
        <v>0</v>
      </c>
      <c r="L3748" s="81" t="b">
        <f>NOT(ISBLANK(INDEX(lr_netp,69)))</f>
        <v>0</v>
      </c>
      <c r="M3748" s="52">
        <f>N(INDEX(lr_netp,69))</f>
        <v>0</v>
      </c>
      <c r="N3748" s="52">
        <f>IF(ISBLANK(INDEX(lr_netp1,69)),$M$3748,N(INDEX(lr_netp1,69)))</f>
        <v>0</v>
      </c>
      <c r="O3748" s="55">
        <f>IF(AND(nr_ModAdjMaster="ON",INDEX(lr_modadj,69)="ON"),1,0)</f>
        <v>0</v>
      </c>
    </row>
    <row r="3749" spans="1:21" x14ac:dyDescent="0.25">
      <c r="A3749" s="81">
        <f>EDATE($H$3748,-12)+1</f>
        <v>45932</v>
      </c>
      <c r="B3749" s="81">
        <f>$H$3748+1</f>
        <v>46297</v>
      </c>
      <c r="C3749" s="81">
        <f>DATE(nr_PlanYear,12,31)+1</f>
        <v>46753</v>
      </c>
      <c r="D3749" s="81">
        <f>DATE(nr_PlanYear+1,12,31)+1</f>
        <v>47119</v>
      </c>
      <c r="E3749" s="81">
        <f>IF(N($J$3748)=0,$F$3749-($G$3749-$F$3749)/($C$3749-$B$3749)*($B$3749-$A$3749),$J$3748)</f>
        <v>1</v>
      </c>
      <c r="F3749" s="81">
        <f>$G$3748</f>
        <v>1</v>
      </c>
      <c r="G3749" s="81">
        <f>$I$3748</f>
        <v>1</v>
      </c>
      <c r="H3749" s="81">
        <f>IF(N($K$3748)=0,$I$3748,$K$3748)</f>
        <v>1</v>
      </c>
      <c r="I3749" s="81">
        <f>($F$3749-$E$3749)/($B$3749-$A$3749)</f>
        <v>0</v>
      </c>
      <c r="J3749" s="81">
        <f>($G$3749-$F$3749)/($C$3749-$B$3749)</f>
        <v>0</v>
      </c>
      <c r="K3749" s="81">
        <f>($H$3749-$G$3749)/($D$3749-$C$3749)</f>
        <v>0</v>
      </c>
    </row>
    <row r="3750" spans="1:21" ht="36" x14ac:dyDescent="0.25">
      <c r="A3750" s="50" t="s">
        <v>211</v>
      </c>
      <c r="B3750" s="50" t="s">
        <v>212</v>
      </c>
      <c r="C3750" s="50" t="s">
        <v>213</v>
      </c>
      <c r="D3750" s="50" t="s">
        <v>214</v>
      </c>
      <c r="E3750" s="50" t="s">
        <v>215</v>
      </c>
      <c r="F3750" s="50" t="s">
        <v>216</v>
      </c>
      <c r="G3750" s="50" t="s">
        <v>217</v>
      </c>
      <c r="H3750" s="50" t="s">
        <v>218</v>
      </c>
      <c r="I3750" s="50" t="s">
        <v>219</v>
      </c>
      <c r="J3750" s="50" t="s">
        <v>220</v>
      </c>
      <c r="K3750" s="50" t="s">
        <v>221</v>
      </c>
      <c r="L3750" s="50" t="s">
        <v>222</v>
      </c>
      <c r="M3750" s="50" t="s">
        <v>223</v>
      </c>
      <c r="N3750" s="50" t="s">
        <v>224</v>
      </c>
      <c r="O3750" s="50" t="s">
        <v>225</v>
      </c>
      <c r="P3750" s="50" t="s">
        <v>226</v>
      </c>
      <c r="Q3750" s="50" t="s">
        <v>227</v>
      </c>
      <c r="R3750" s="50" t="s">
        <v>228</v>
      </c>
      <c r="S3750" s="50" t="s">
        <v>229</v>
      </c>
      <c r="T3750" s="50" t="s">
        <v>230</v>
      </c>
      <c r="U3750" s="50" t="s">
        <v>231</v>
      </c>
    </row>
    <row r="3751" spans="1:21" x14ac:dyDescent="0.25">
      <c r="A3751" s="71">
        <v>1</v>
      </c>
      <c r="B3751" s="72">
        <f>DATE(nr_PlanYear-2,1,1)</f>
        <v>45658</v>
      </c>
      <c r="C3751" s="73">
        <f t="shared" ref="C3751:C3798" si="1394">EOMONTH($B3751,0)</f>
        <v>45688</v>
      </c>
      <c r="D3751" s="67">
        <f t="shared" ref="D3751:D3798" si="1395">$C3751-$B3751+1</f>
        <v>31</v>
      </c>
      <c r="E3751" s="67">
        <f t="shared" ref="E3751:E3798" si="1396">MONTH($B3751)</f>
        <v>1</v>
      </c>
      <c r="F3751" s="74">
        <f t="shared" ref="F3751:F3798" si="1397">($B3751+$C3751+1)/2</f>
        <v>45673.5</v>
      </c>
      <c r="G3751" s="67">
        <f t="shared" ref="G3751:G3798" si="1398">YEAR($B3751)*12+MONTH($B3751)-1</f>
        <v>24300</v>
      </c>
      <c r="H3751" s="75">
        <f t="shared" ref="H3751:H3798" si="1399">IF(OR(nr_SeasonOn="OFF",$D$3748=0,$E$3748=0),1,12*INDEX(se_block,$D$3748,$E3751)/$E$3748)</f>
        <v>1</v>
      </c>
      <c r="I3751" s="76">
        <f t="shared" ref="I3751:I3798" si="1400">EXP(SUMPRODUCT((rl_eff&lt;$B3751)*(rl_key=$A$3748)*rl_ln1p))</f>
        <v>1</v>
      </c>
      <c r="J3751" s="76">
        <f t="shared" ref="J3751:J3798" si="1401">EXP(SUMPRODUCT((rl_eff&lt;=$C3751)*(rl_key=$A$3748)*rl_ln1p))</f>
        <v>1</v>
      </c>
      <c r="K3751" s="67">
        <f t="shared" ref="K3751:K3798" si="1402">COUNTIFS(rl_key,$A$3748,rl_eff,"&gt;="&amp;$B3751,rl_eff,"&lt;="&amp;$C3751)</f>
        <v>0</v>
      </c>
      <c r="L3751" s="67">
        <f t="shared" ref="L3751:L3798" si="1403">SUMIFS(rl_daysafter,rl_key,$A$3748,rl_effmonth,$B3751,rl_first,1)</f>
        <v>0</v>
      </c>
      <c r="M3751" s="77">
        <f t="shared" ref="M3751:M3798" si="1404">IF($K3751=0,0,MIN(1,$L3751/$D3751))</f>
        <v>0</v>
      </c>
      <c r="N3751" s="76">
        <f t="shared" ref="N3751:N3798" si="1405">IF($K3751=0,$J3751,(1-$M3751)*$I3751+$M3751*$J3751)</f>
        <v>1</v>
      </c>
      <c r="O3751" s="77">
        <f t="shared" ref="O3751:O3798" si="1406">IF($F3751&lt;$B$3749,$E$3749+$I$3749*($F3751-$A$3749),IF($F3751&lt;$C$3749,$F$3749+$J$3749*($F3751-$B$3749),$G$3749+$K$3749*($F3751-$C$3749)))</f>
        <v>1</v>
      </c>
      <c r="P3751" s="76">
        <f t="shared" ref="P3751:P3798" si="1407">MIN(1,MAX(0,(nr_MEndPm1-$G3751+0.5)/$C$3748))-MIN(1,MAX(0,(nr_MStartPm1-1-$G3751+0.5)/$C$3748))</f>
        <v>0</v>
      </c>
      <c r="Q3751" s="76">
        <f t="shared" ref="Q3751:Q3798" si="1408">MIN(1,MAX(0,(nr_MEndP-$G3751+0.5)/$C$3748))-MIN(1,MAX(0,(nr_MStartP-1-$G3751+0.5)/$C$3748))</f>
        <v>0</v>
      </c>
      <c r="R3751" s="76">
        <f t="shared" ref="R3751:R3798" si="1409">MIN(1,MAX(0,(nr_MEndP1-$G3751+0.5)/$C$3748))-MIN(1,MAX(0,(nr_MStartP1-1-$G3751+0.5)/$C$3748))</f>
        <v>0</v>
      </c>
      <c r="S3751" s="76">
        <f t="shared" ref="S3751:S3798" si="1410">$N3751*IF($O$3748=1,$O3751/$F$3748,1)</f>
        <v>1</v>
      </c>
      <c r="T3751" s="76">
        <f t="shared" ref="T3751:T3798" si="1411">IF($G3751&lt;nr_MStartP,$S3751,$T3739*(1+IF($G3751&lt;nr_MStartP1,$M$3748,$N$3748)))</f>
        <v>1</v>
      </c>
      <c r="U3751" s="76">
        <f t="shared" ref="U3751:U3798" si="1412">IF($L$3748,$T3751,$N3751)</f>
        <v>1</v>
      </c>
    </row>
    <row r="3752" spans="1:21" x14ac:dyDescent="0.25">
      <c r="A3752" s="71">
        <v>2</v>
      </c>
      <c r="B3752" s="72">
        <f t="shared" ref="B3752:B3798" si="1413">EDATE($B3751,1)</f>
        <v>45689</v>
      </c>
      <c r="C3752" s="73">
        <f t="shared" si="1394"/>
        <v>45716</v>
      </c>
      <c r="D3752" s="67">
        <f t="shared" si="1395"/>
        <v>28</v>
      </c>
      <c r="E3752" s="67">
        <f t="shared" si="1396"/>
        <v>2</v>
      </c>
      <c r="F3752" s="74">
        <f t="shared" si="1397"/>
        <v>45703</v>
      </c>
      <c r="G3752" s="67">
        <f t="shared" si="1398"/>
        <v>24301</v>
      </c>
      <c r="H3752" s="75">
        <f t="shared" si="1399"/>
        <v>1</v>
      </c>
      <c r="I3752" s="76">
        <f t="shared" si="1400"/>
        <v>1</v>
      </c>
      <c r="J3752" s="76">
        <f t="shared" si="1401"/>
        <v>1</v>
      </c>
      <c r="K3752" s="67">
        <f t="shared" si="1402"/>
        <v>0</v>
      </c>
      <c r="L3752" s="67">
        <f t="shared" si="1403"/>
        <v>0</v>
      </c>
      <c r="M3752" s="77">
        <f t="shared" si="1404"/>
        <v>0</v>
      </c>
      <c r="N3752" s="76">
        <f t="shared" si="1405"/>
        <v>1</v>
      </c>
      <c r="O3752" s="77">
        <f t="shared" si="1406"/>
        <v>1</v>
      </c>
      <c r="P3752" s="76">
        <f t="shared" si="1407"/>
        <v>0</v>
      </c>
      <c r="Q3752" s="76">
        <f t="shared" si="1408"/>
        <v>0</v>
      </c>
      <c r="R3752" s="76">
        <f t="shared" si="1409"/>
        <v>0</v>
      </c>
      <c r="S3752" s="76">
        <f t="shared" si="1410"/>
        <v>1</v>
      </c>
      <c r="T3752" s="76">
        <f t="shared" si="1411"/>
        <v>1</v>
      </c>
      <c r="U3752" s="76">
        <f t="shared" si="1412"/>
        <v>1</v>
      </c>
    </row>
    <row r="3753" spans="1:21" x14ac:dyDescent="0.25">
      <c r="A3753" s="71">
        <v>3</v>
      </c>
      <c r="B3753" s="72">
        <f t="shared" si="1413"/>
        <v>45717</v>
      </c>
      <c r="C3753" s="73">
        <f t="shared" si="1394"/>
        <v>45747</v>
      </c>
      <c r="D3753" s="67">
        <f t="shared" si="1395"/>
        <v>31</v>
      </c>
      <c r="E3753" s="67">
        <f t="shared" si="1396"/>
        <v>3</v>
      </c>
      <c r="F3753" s="74">
        <f t="shared" si="1397"/>
        <v>45732.5</v>
      </c>
      <c r="G3753" s="67">
        <f t="shared" si="1398"/>
        <v>24302</v>
      </c>
      <c r="H3753" s="75">
        <f t="shared" si="1399"/>
        <v>1</v>
      </c>
      <c r="I3753" s="76">
        <f t="shared" si="1400"/>
        <v>1</v>
      </c>
      <c r="J3753" s="76">
        <f t="shared" si="1401"/>
        <v>1</v>
      </c>
      <c r="K3753" s="67">
        <f t="shared" si="1402"/>
        <v>0</v>
      </c>
      <c r="L3753" s="67">
        <f t="shared" si="1403"/>
        <v>0</v>
      </c>
      <c r="M3753" s="77">
        <f t="shared" si="1404"/>
        <v>0</v>
      </c>
      <c r="N3753" s="76">
        <f t="shared" si="1405"/>
        <v>1</v>
      </c>
      <c r="O3753" s="77">
        <f t="shared" si="1406"/>
        <v>1</v>
      </c>
      <c r="P3753" s="76">
        <f t="shared" si="1407"/>
        <v>0</v>
      </c>
      <c r="Q3753" s="76">
        <f t="shared" si="1408"/>
        <v>0</v>
      </c>
      <c r="R3753" s="76">
        <f t="shared" si="1409"/>
        <v>0</v>
      </c>
      <c r="S3753" s="76">
        <f t="shared" si="1410"/>
        <v>1</v>
      </c>
      <c r="T3753" s="76">
        <f t="shared" si="1411"/>
        <v>1</v>
      </c>
      <c r="U3753" s="76">
        <f t="shared" si="1412"/>
        <v>1</v>
      </c>
    </row>
    <row r="3754" spans="1:21" x14ac:dyDescent="0.25">
      <c r="A3754" s="71">
        <v>4</v>
      </c>
      <c r="B3754" s="72">
        <f t="shared" si="1413"/>
        <v>45748</v>
      </c>
      <c r="C3754" s="73">
        <f t="shared" si="1394"/>
        <v>45777</v>
      </c>
      <c r="D3754" s="67">
        <f t="shared" si="1395"/>
        <v>30</v>
      </c>
      <c r="E3754" s="67">
        <f t="shared" si="1396"/>
        <v>4</v>
      </c>
      <c r="F3754" s="74">
        <f t="shared" si="1397"/>
        <v>45763</v>
      </c>
      <c r="G3754" s="67">
        <f t="shared" si="1398"/>
        <v>24303</v>
      </c>
      <c r="H3754" s="75">
        <f t="shared" si="1399"/>
        <v>1</v>
      </c>
      <c r="I3754" s="76">
        <f t="shared" si="1400"/>
        <v>1</v>
      </c>
      <c r="J3754" s="76">
        <f t="shared" si="1401"/>
        <v>1</v>
      </c>
      <c r="K3754" s="67">
        <f t="shared" si="1402"/>
        <v>0</v>
      </c>
      <c r="L3754" s="67">
        <f t="shared" si="1403"/>
        <v>0</v>
      </c>
      <c r="M3754" s="77">
        <f t="shared" si="1404"/>
        <v>0</v>
      </c>
      <c r="N3754" s="76">
        <f t="shared" si="1405"/>
        <v>1</v>
      </c>
      <c r="O3754" s="77">
        <f t="shared" si="1406"/>
        <v>1</v>
      </c>
      <c r="P3754" s="76">
        <f t="shared" si="1407"/>
        <v>0</v>
      </c>
      <c r="Q3754" s="76">
        <f t="shared" si="1408"/>
        <v>0</v>
      </c>
      <c r="R3754" s="76">
        <f t="shared" si="1409"/>
        <v>0</v>
      </c>
      <c r="S3754" s="76">
        <f t="shared" si="1410"/>
        <v>1</v>
      </c>
      <c r="T3754" s="76">
        <f t="shared" si="1411"/>
        <v>1</v>
      </c>
      <c r="U3754" s="76">
        <f t="shared" si="1412"/>
        <v>1</v>
      </c>
    </row>
    <row r="3755" spans="1:21" x14ac:dyDescent="0.25">
      <c r="A3755" s="71">
        <v>5</v>
      </c>
      <c r="B3755" s="72">
        <f t="shared" si="1413"/>
        <v>45778</v>
      </c>
      <c r="C3755" s="73">
        <f t="shared" si="1394"/>
        <v>45808</v>
      </c>
      <c r="D3755" s="67">
        <f t="shared" si="1395"/>
        <v>31</v>
      </c>
      <c r="E3755" s="67">
        <f t="shared" si="1396"/>
        <v>5</v>
      </c>
      <c r="F3755" s="74">
        <f t="shared" si="1397"/>
        <v>45793.5</v>
      </c>
      <c r="G3755" s="67">
        <f t="shared" si="1398"/>
        <v>24304</v>
      </c>
      <c r="H3755" s="75">
        <f t="shared" si="1399"/>
        <v>1</v>
      </c>
      <c r="I3755" s="76">
        <f t="shared" si="1400"/>
        <v>1</v>
      </c>
      <c r="J3755" s="76">
        <f t="shared" si="1401"/>
        <v>1</v>
      </c>
      <c r="K3755" s="67">
        <f t="shared" si="1402"/>
        <v>0</v>
      </c>
      <c r="L3755" s="67">
        <f t="shared" si="1403"/>
        <v>0</v>
      </c>
      <c r="M3755" s="77">
        <f t="shared" si="1404"/>
        <v>0</v>
      </c>
      <c r="N3755" s="76">
        <f t="shared" si="1405"/>
        <v>1</v>
      </c>
      <c r="O3755" s="77">
        <f t="shared" si="1406"/>
        <v>1</v>
      </c>
      <c r="P3755" s="76">
        <f t="shared" si="1407"/>
        <v>0</v>
      </c>
      <c r="Q3755" s="76">
        <f t="shared" si="1408"/>
        <v>0</v>
      </c>
      <c r="R3755" s="76">
        <f t="shared" si="1409"/>
        <v>0</v>
      </c>
      <c r="S3755" s="76">
        <f t="shared" si="1410"/>
        <v>1</v>
      </c>
      <c r="T3755" s="76">
        <f t="shared" si="1411"/>
        <v>1</v>
      </c>
      <c r="U3755" s="76">
        <f t="shared" si="1412"/>
        <v>1</v>
      </c>
    </row>
    <row r="3756" spans="1:21" x14ac:dyDescent="0.25">
      <c r="A3756" s="71">
        <v>6</v>
      </c>
      <c r="B3756" s="72">
        <f t="shared" si="1413"/>
        <v>45809</v>
      </c>
      <c r="C3756" s="73">
        <f t="shared" si="1394"/>
        <v>45838</v>
      </c>
      <c r="D3756" s="67">
        <f t="shared" si="1395"/>
        <v>30</v>
      </c>
      <c r="E3756" s="67">
        <f t="shared" si="1396"/>
        <v>6</v>
      </c>
      <c r="F3756" s="74">
        <f t="shared" si="1397"/>
        <v>45824</v>
      </c>
      <c r="G3756" s="67">
        <f t="shared" si="1398"/>
        <v>24305</v>
      </c>
      <c r="H3756" s="75">
        <f t="shared" si="1399"/>
        <v>1</v>
      </c>
      <c r="I3756" s="76">
        <f t="shared" si="1400"/>
        <v>1</v>
      </c>
      <c r="J3756" s="76">
        <f t="shared" si="1401"/>
        <v>1</v>
      </c>
      <c r="K3756" s="67">
        <f t="shared" si="1402"/>
        <v>0</v>
      </c>
      <c r="L3756" s="67">
        <f t="shared" si="1403"/>
        <v>0</v>
      </c>
      <c r="M3756" s="77">
        <f t="shared" si="1404"/>
        <v>0</v>
      </c>
      <c r="N3756" s="76">
        <f t="shared" si="1405"/>
        <v>1</v>
      </c>
      <c r="O3756" s="77">
        <f t="shared" si="1406"/>
        <v>1</v>
      </c>
      <c r="P3756" s="76">
        <f t="shared" si="1407"/>
        <v>0</v>
      </c>
      <c r="Q3756" s="76">
        <f t="shared" si="1408"/>
        <v>0</v>
      </c>
      <c r="R3756" s="76">
        <f t="shared" si="1409"/>
        <v>0</v>
      </c>
      <c r="S3756" s="76">
        <f t="shared" si="1410"/>
        <v>1</v>
      </c>
      <c r="T3756" s="76">
        <f t="shared" si="1411"/>
        <v>1</v>
      </c>
      <c r="U3756" s="76">
        <f t="shared" si="1412"/>
        <v>1</v>
      </c>
    </row>
    <row r="3757" spans="1:21" x14ac:dyDescent="0.25">
      <c r="A3757" s="71">
        <v>7</v>
      </c>
      <c r="B3757" s="72">
        <f t="shared" si="1413"/>
        <v>45839</v>
      </c>
      <c r="C3757" s="73">
        <f t="shared" si="1394"/>
        <v>45869</v>
      </c>
      <c r="D3757" s="67">
        <f t="shared" si="1395"/>
        <v>31</v>
      </c>
      <c r="E3757" s="67">
        <f t="shared" si="1396"/>
        <v>7</v>
      </c>
      <c r="F3757" s="74">
        <f t="shared" si="1397"/>
        <v>45854.5</v>
      </c>
      <c r="G3757" s="67">
        <f t="shared" si="1398"/>
        <v>24306</v>
      </c>
      <c r="H3757" s="75">
        <f t="shared" si="1399"/>
        <v>1</v>
      </c>
      <c r="I3757" s="76">
        <f t="shared" si="1400"/>
        <v>1</v>
      </c>
      <c r="J3757" s="76">
        <f t="shared" si="1401"/>
        <v>1</v>
      </c>
      <c r="K3757" s="67">
        <f t="shared" si="1402"/>
        <v>0</v>
      </c>
      <c r="L3757" s="67">
        <f t="shared" si="1403"/>
        <v>0</v>
      </c>
      <c r="M3757" s="77">
        <f t="shared" si="1404"/>
        <v>0</v>
      </c>
      <c r="N3757" s="76">
        <f t="shared" si="1405"/>
        <v>1</v>
      </c>
      <c r="O3757" s="77">
        <f t="shared" si="1406"/>
        <v>1</v>
      </c>
      <c r="P3757" s="76">
        <f t="shared" si="1407"/>
        <v>8.333333333333337E-2</v>
      </c>
      <c r="Q3757" s="76">
        <f t="shared" si="1408"/>
        <v>0</v>
      </c>
      <c r="R3757" s="76">
        <f t="shared" si="1409"/>
        <v>0</v>
      </c>
      <c r="S3757" s="76">
        <f t="shared" si="1410"/>
        <v>1</v>
      </c>
      <c r="T3757" s="76">
        <f t="shared" si="1411"/>
        <v>1</v>
      </c>
      <c r="U3757" s="76">
        <f t="shared" si="1412"/>
        <v>1</v>
      </c>
    </row>
    <row r="3758" spans="1:21" x14ac:dyDescent="0.25">
      <c r="A3758" s="71">
        <v>8</v>
      </c>
      <c r="B3758" s="72">
        <f t="shared" si="1413"/>
        <v>45870</v>
      </c>
      <c r="C3758" s="73">
        <f t="shared" si="1394"/>
        <v>45900</v>
      </c>
      <c r="D3758" s="67">
        <f t="shared" si="1395"/>
        <v>31</v>
      </c>
      <c r="E3758" s="67">
        <f t="shared" si="1396"/>
        <v>8</v>
      </c>
      <c r="F3758" s="74">
        <f t="shared" si="1397"/>
        <v>45885.5</v>
      </c>
      <c r="G3758" s="67">
        <f t="shared" si="1398"/>
        <v>24307</v>
      </c>
      <c r="H3758" s="75">
        <f t="shared" si="1399"/>
        <v>1</v>
      </c>
      <c r="I3758" s="76">
        <f t="shared" si="1400"/>
        <v>1</v>
      </c>
      <c r="J3758" s="76">
        <f t="shared" si="1401"/>
        <v>1</v>
      </c>
      <c r="K3758" s="67">
        <f t="shared" si="1402"/>
        <v>0</v>
      </c>
      <c r="L3758" s="67">
        <f t="shared" si="1403"/>
        <v>0</v>
      </c>
      <c r="M3758" s="77">
        <f t="shared" si="1404"/>
        <v>0</v>
      </c>
      <c r="N3758" s="76">
        <f t="shared" si="1405"/>
        <v>1</v>
      </c>
      <c r="O3758" s="77">
        <f t="shared" si="1406"/>
        <v>1</v>
      </c>
      <c r="P3758" s="76">
        <f t="shared" si="1407"/>
        <v>0.25</v>
      </c>
      <c r="Q3758" s="76">
        <f t="shared" si="1408"/>
        <v>0</v>
      </c>
      <c r="R3758" s="76">
        <f t="shared" si="1409"/>
        <v>0</v>
      </c>
      <c r="S3758" s="76">
        <f t="shared" si="1410"/>
        <v>1</v>
      </c>
      <c r="T3758" s="76">
        <f t="shared" si="1411"/>
        <v>1</v>
      </c>
      <c r="U3758" s="76">
        <f t="shared" si="1412"/>
        <v>1</v>
      </c>
    </row>
    <row r="3759" spans="1:21" x14ac:dyDescent="0.25">
      <c r="A3759" s="71">
        <v>9</v>
      </c>
      <c r="B3759" s="72">
        <f t="shared" si="1413"/>
        <v>45901</v>
      </c>
      <c r="C3759" s="73">
        <f t="shared" si="1394"/>
        <v>45930</v>
      </c>
      <c r="D3759" s="67">
        <f t="shared" si="1395"/>
        <v>30</v>
      </c>
      <c r="E3759" s="67">
        <f t="shared" si="1396"/>
        <v>9</v>
      </c>
      <c r="F3759" s="74">
        <f t="shared" si="1397"/>
        <v>45916</v>
      </c>
      <c r="G3759" s="67">
        <f t="shared" si="1398"/>
        <v>24308</v>
      </c>
      <c r="H3759" s="75">
        <f t="shared" si="1399"/>
        <v>1</v>
      </c>
      <c r="I3759" s="76">
        <f t="shared" si="1400"/>
        <v>1</v>
      </c>
      <c r="J3759" s="76">
        <f t="shared" si="1401"/>
        <v>1</v>
      </c>
      <c r="K3759" s="67">
        <f t="shared" si="1402"/>
        <v>0</v>
      </c>
      <c r="L3759" s="67">
        <f t="shared" si="1403"/>
        <v>0</v>
      </c>
      <c r="M3759" s="77">
        <f t="shared" si="1404"/>
        <v>0</v>
      </c>
      <c r="N3759" s="76">
        <f t="shared" si="1405"/>
        <v>1</v>
      </c>
      <c r="O3759" s="77">
        <f t="shared" si="1406"/>
        <v>1</v>
      </c>
      <c r="P3759" s="76">
        <f t="shared" si="1407"/>
        <v>0.41666666666666663</v>
      </c>
      <c r="Q3759" s="76">
        <f t="shared" si="1408"/>
        <v>0</v>
      </c>
      <c r="R3759" s="76">
        <f t="shared" si="1409"/>
        <v>0</v>
      </c>
      <c r="S3759" s="76">
        <f t="shared" si="1410"/>
        <v>1</v>
      </c>
      <c r="T3759" s="76">
        <f t="shared" si="1411"/>
        <v>1</v>
      </c>
      <c r="U3759" s="76">
        <f t="shared" si="1412"/>
        <v>1</v>
      </c>
    </row>
    <row r="3760" spans="1:21" x14ac:dyDescent="0.25">
      <c r="A3760" s="71">
        <v>10</v>
      </c>
      <c r="B3760" s="72">
        <f t="shared" si="1413"/>
        <v>45931</v>
      </c>
      <c r="C3760" s="73">
        <f t="shared" si="1394"/>
        <v>45961</v>
      </c>
      <c r="D3760" s="67">
        <f t="shared" si="1395"/>
        <v>31</v>
      </c>
      <c r="E3760" s="67">
        <f t="shared" si="1396"/>
        <v>10</v>
      </c>
      <c r="F3760" s="74">
        <f t="shared" si="1397"/>
        <v>45946.5</v>
      </c>
      <c r="G3760" s="67">
        <f t="shared" si="1398"/>
        <v>24309</v>
      </c>
      <c r="H3760" s="75">
        <f t="shared" si="1399"/>
        <v>1</v>
      </c>
      <c r="I3760" s="76">
        <f t="shared" si="1400"/>
        <v>1</v>
      </c>
      <c r="J3760" s="76">
        <f t="shared" si="1401"/>
        <v>1</v>
      </c>
      <c r="K3760" s="67">
        <f t="shared" si="1402"/>
        <v>0</v>
      </c>
      <c r="L3760" s="67">
        <f t="shared" si="1403"/>
        <v>0</v>
      </c>
      <c r="M3760" s="77">
        <f t="shared" si="1404"/>
        <v>0</v>
      </c>
      <c r="N3760" s="76">
        <f t="shared" si="1405"/>
        <v>1</v>
      </c>
      <c r="O3760" s="77">
        <f t="shared" si="1406"/>
        <v>1</v>
      </c>
      <c r="P3760" s="76">
        <f t="shared" si="1407"/>
        <v>0.58333333333333326</v>
      </c>
      <c r="Q3760" s="76">
        <f t="shared" si="1408"/>
        <v>0</v>
      </c>
      <c r="R3760" s="76">
        <f t="shared" si="1409"/>
        <v>0</v>
      </c>
      <c r="S3760" s="76">
        <f t="shared" si="1410"/>
        <v>1</v>
      </c>
      <c r="T3760" s="76">
        <f t="shared" si="1411"/>
        <v>1</v>
      </c>
      <c r="U3760" s="76">
        <f t="shared" si="1412"/>
        <v>1</v>
      </c>
    </row>
    <row r="3761" spans="1:21" x14ac:dyDescent="0.25">
      <c r="A3761" s="71">
        <v>11</v>
      </c>
      <c r="B3761" s="72">
        <f t="shared" si="1413"/>
        <v>45962</v>
      </c>
      <c r="C3761" s="73">
        <f t="shared" si="1394"/>
        <v>45991</v>
      </c>
      <c r="D3761" s="67">
        <f t="shared" si="1395"/>
        <v>30</v>
      </c>
      <c r="E3761" s="67">
        <f t="shared" si="1396"/>
        <v>11</v>
      </c>
      <c r="F3761" s="74">
        <f t="shared" si="1397"/>
        <v>45977</v>
      </c>
      <c r="G3761" s="67">
        <f t="shared" si="1398"/>
        <v>24310</v>
      </c>
      <c r="H3761" s="75">
        <f t="shared" si="1399"/>
        <v>1</v>
      </c>
      <c r="I3761" s="76">
        <f t="shared" si="1400"/>
        <v>1</v>
      </c>
      <c r="J3761" s="76">
        <f t="shared" si="1401"/>
        <v>1</v>
      </c>
      <c r="K3761" s="67">
        <f t="shared" si="1402"/>
        <v>0</v>
      </c>
      <c r="L3761" s="67">
        <f t="shared" si="1403"/>
        <v>0</v>
      </c>
      <c r="M3761" s="77">
        <f t="shared" si="1404"/>
        <v>0</v>
      </c>
      <c r="N3761" s="76">
        <f t="shared" si="1405"/>
        <v>1</v>
      </c>
      <c r="O3761" s="77">
        <f t="shared" si="1406"/>
        <v>1</v>
      </c>
      <c r="P3761" s="76">
        <f t="shared" si="1407"/>
        <v>0.75</v>
      </c>
      <c r="Q3761" s="76">
        <f t="shared" si="1408"/>
        <v>0</v>
      </c>
      <c r="R3761" s="76">
        <f t="shared" si="1409"/>
        <v>0</v>
      </c>
      <c r="S3761" s="76">
        <f t="shared" si="1410"/>
        <v>1</v>
      </c>
      <c r="T3761" s="76">
        <f t="shared" si="1411"/>
        <v>1</v>
      </c>
      <c r="U3761" s="76">
        <f t="shared" si="1412"/>
        <v>1</v>
      </c>
    </row>
    <row r="3762" spans="1:21" x14ac:dyDescent="0.25">
      <c r="A3762" s="71">
        <v>12</v>
      </c>
      <c r="B3762" s="72">
        <f t="shared" si="1413"/>
        <v>45992</v>
      </c>
      <c r="C3762" s="73">
        <f t="shared" si="1394"/>
        <v>46022</v>
      </c>
      <c r="D3762" s="67">
        <f t="shared" si="1395"/>
        <v>31</v>
      </c>
      <c r="E3762" s="67">
        <f t="shared" si="1396"/>
        <v>12</v>
      </c>
      <c r="F3762" s="74">
        <f t="shared" si="1397"/>
        <v>46007.5</v>
      </c>
      <c r="G3762" s="67">
        <f t="shared" si="1398"/>
        <v>24311</v>
      </c>
      <c r="H3762" s="75">
        <f t="shared" si="1399"/>
        <v>1</v>
      </c>
      <c r="I3762" s="76">
        <f t="shared" si="1400"/>
        <v>1</v>
      </c>
      <c r="J3762" s="76">
        <f t="shared" si="1401"/>
        <v>1</v>
      </c>
      <c r="K3762" s="67">
        <f t="shared" si="1402"/>
        <v>0</v>
      </c>
      <c r="L3762" s="67">
        <f t="shared" si="1403"/>
        <v>0</v>
      </c>
      <c r="M3762" s="77">
        <f t="shared" si="1404"/>
        <v>0</v>
      </c>
      <c r="N3762" s="76">
        <f t="shared" si="1405"/>
        <v>1</v>
      </c>
      <c r="O3762" s="77">
        <f t="shared" si="1406"/>
        <v>1</v>
      </c>
      <c r="P3762" s="76">
        <f t="shared" si="1407"/>
        <v>0.91666666666666663</v>
      </c>
      <c r="Q3762" s="76">
        <f t="shared" si="1408"/>
        <v>0</v>
      </c>
      <c r="R3762" s="76">
        <f t="shared" si="1409"/>
        <v>0</v>
      </c>
      <c r="S3762" s="76">
        <f t="shared" si="1410"/>
        <v>1</v>
      </c>
      <c r="T3762" s="76">
        <f t="shared" si="1411"/>
        <v>1</v>
      </c>
      <c r="U3762" s="76">
        <f t="shared" si="1412"/>
        <v>1</v>
      </c>
    </row>
    <row r="3763" spans="1:21" x14ac:dyDescent="0.25">
      <c r="A3763" s="71">
        <v>13</v>
      </c>
      <c r="B3763" s="72">
        <f t="shared" si="1413"/>
        <v>46023</v>
      </c>
      <c r="C3763" s="73">
        <f t="shared" si="1394"/>
        <v>46053</v>
      </c>
      <c r="D3763" s="67">
        <f t="shared" si="1395"/>
        <v>31</v>
      </c>
      <c r="E3763" s="67">
        <f t="shared" si="1396"/>
        <v>1</v>
      </c>
      <c r="F3763" s="74">
        <f t="shared" si="1397"/>
        <v>46038.5</v>
      </c>
      <c r="G3763" s="67">
        <f t="shared" si="1398"/>
        <v>24312</v>
      </c>
      <c r="H3763" s="75">
        <f t="shared" si="1399"/>
        <v>1</v>
      </c>
      <c r="I3763" s="76">
        <f t="shared" si="1400"/>
        <v>1</v>
      </c>
      <c r="J3763" s="76">
        <f t="shared" si="1401"/>
        <v>1</v>
      </c>
      <c r="K3763" s="67">
        <f t="shared" si="1402"/>
        <v>0</v>
      </c>
      <c r="L3763" s="67">
        <f t="shared" si="1403"/>
        <v>0</v>
      </c>
      <c r="M3763" s="77">
        <f t="shared" si="1404"/>
        <v>0</v>
      </c>
      <c r="N3763" s="76">
        <f t="shared" si="1405"/>
        <v>1</v>
      </c>
      <c r="O3763" s="77">
        <f t="shared" si="1406"/>
        <v>1</v>
      </c>
      <c r="P3763" s="76">
        <f t="shared" si="1407"/>
        <v>1</v>
      </c>
      <c r="Q3763" s="76">
        <f t="shared" si="1408"/>
        <v>0</v>
      </c>
      <c r="R3763" s="76">
        <f t="shared" si="1409"/>
        <v>0</v>
      </c>
      <c r="S3763" s="76">
        <f t="shared" si="1410"/>
        <v>1</v>
      </c>
      <c r="T3763" s="76">
        <f t="shared" si="1411"/>
        <v>1</v>
      </c>
      <c r="U3763" s="76">
        <f t="shared" si="1412"/>
        <v>1</v>
      </c>
    </row>
    <row r="3764" spans="1:21" x14ac:dyDescent="0.25">
      <c r="A3764" s="71">
        <v>14</v>
      </c>
      <c r="B3764" s="72">
        <f t="shared" si="1413"/>
        <v>46054</v>
      </c>
      <c r="C3764" s="73">
        <f t="shared" si="1394"/>
        <v>46081</v>
      </c>
      <c r="D3764" s="67">
        <f t="shared" si="1395"/>
        <v>28</v>
      </c>
      <c r="E3764" s="67">
        <f t="shared" si="1396"/>
        <v>2</v>
      </c>
      <c r="F3764" s="74">
        <f t="shared" si="1397"/>
        <v>46068</v>
      </c>
      <c r="G3764" s="67">
        <f t="shared" si="1398"/>
        <v>24313</v>
      </c>
      <c r="H3764" s="75">
        <f t="shared" si="1399"/>
        <v>1</v>
      </c>
      <c r="I3764" s="76">
        <f t="shared" si="1400"/>
        <v>1</v>
      </c>
      <c r="J3764" s="76">
        <f t="shared" si="1401"/>
        <v>1</v>
      </c>
      <c r="K3764" s="67">
        <f t="shared" si="1402"/>
        <v>0</v>
      </c>
      <c r="L3764" s="67">
        <f t="shared" si="1403"/>
        <v>0</v>
      </c>
      <c r="M3764" s="77">
        <f t="shared" si="1404"/>
        <v>0</v>
      </c>
      <c r="N3764" s="76">
        <f t="shared" si="1405"/>
        <v>1</v>
      </c>
      <c r="O3764" s="77">
        <f t="shared" si="1406"/>
        <v>1</v>
      </c>
      <c r="P3764" s="76">
        <f t="shared" si="1407"/>
        <v>1</v>
      </c>
      <c r="Q3764" s="76">
        <f t="shared" si="1408"/>
        <v>0</v>
      </c>
      <c r="R3764" s="76">
        <f t="shared" si="1409"/>
        <v>0</v>
      </c>
      <c r="S3764" s="76">
        <f t="shared" si="1410"/>
        <v>1</v>
      </c>
      <c r="T3764" s="76">
        <f t="shared" si="1411"/>
        <v>1</v>
      </c>
      <c r="U3764" s="76">
        <f t="shared" si="1412"/>
        <v>1</v>
      </c>
    </row>
    <row r="3765" spans="1:21" x14ac:dyDescent="0.25">
      <c r="A3765" s="71">
        <v>15</v>
      </c>
      <c r="B3765" s="72">
        <f t="shared" si="1413"/>
        <v>46082</v>
      </c>
      <c r="C3765" s="73">
        <f t="shared" si="1394"/>
        <v>46112</v>
      </c>
      <c r="D3765" s="67">
        <f t="shared" si="1395"/>
        <v>31</v>
      </c>
      <c r="E3765" s="67">
        <f t="shared" si="1396"/>
        <v>3</v>
      </c>
      <c r="F3765" s="74">
        <f t="shared" si="1397"/>
        <v>46097.5</v>
      </c>
      <c r="G3765" s="67">
        <f t="shared" si="1398"/>
        <v>24314</v>
      </c>
      <c r="H3765" s="75">
        <f t="shared" si="1399"/>
        <v>1</v>
      </c>
      <c r="I3765" s="76">
        <f t="shared" si="1400"/>
        <v>1</v>
      </c>
      <c r="J3765" s="76">
        <f t="shared" si="1401"/>
        <v>1</v>
      </c>
      <c r="K3765" s="67">
        <f t="shared" si="1402"/>
        <v>0</v>
      </c>
      <c r="L3765" s="67">
        <f t="shared" si="1403"/>
        <v>0</v>
      </c>
      <c r="M3765" s="77">
        <f t="shared" si="1404"/>
        <v>0</v>
      </c>
      <c r="N3765" s="76">
        <f t="shared" si="1405"/>
        <v>1</v>
      </c>
      <c r="O3765" s="77">
        <f t="shared" si="1406"/>
        <v>1</v>
      </c>
      <c r="P3765" s="76">
        <f t="shared" si="1407"/>
        <v>1</v>
      </c>
      <c r="Q3765" s="76">
        <f t="shared" si="1408"/>
        <v>0</v>
      </c>
      <c r="R3765" s="76">
        <f t="shared" si="1409"/>
        <v>0</v>
      </c>
      <c r="S3765" s="76">
        <f t="shared" si="1410"/>
        <v>1</v>
      </c>
      <c r="T3765" s="76">
        <f t="shared" si="1411"/>
        <v>1</v>
      </c>
      <c r="U3765" s="76">
        <f t="shared" si="1412"/>
        <v>1</v>
      </c>
    </row>
    <row r="3766" spans="1:21" x14ac:dyDescent="0.25">
      <c r="A3766" s="71">
        <v>16</v>
      </c>
      <c r="B3766" s="72">
        <f t="shared" si="1413"/>
        <v>46113</v>
      </c>
      <c r="C3766" s="73">
        <f t="shared" si="1394"/>
        <v>46142</v>
      </c>
      <c r="D3766" s="67">
        <f t="shared" si="1395"/>
        <v>30</v>
      </c>
      <c r="E3766" s="67">
        <f t="shared" si="1396"/>
        <v>4</v>
      </c>
      <c r="F3766" s="74">
        <f t="shared" si="1397"/>
        <v>46128</v>
      </c>
      <c r="G3766" s="67">
        <f t="shared" si="1398"/>
        <v>24315</v>
      </c>
      <c r="H3766" s="75">
        <f t="shared" si="1399"/>
        <v>1</v>
      </c>
      <c r="I3766" s="76">
        <f t="shared" si="1400"/>
        <v>1</v>
      </c>
      <c r="J3766" s="76">
        <f t="shared" si="1401"/>
        <v>1</v>
      </c>
      <c r="K3766" s="67">
        <f t="shared" si="1402"/>
        <v>0</v>
      </c>
      <c r="L3766" s="67">
        <f t="shared" si="1403"/>
        <v>0</v>
      </c>
      <c r="M3766" s="77">
        <f t="shared" si="1404"/>
        <v>0</v>
      </c>
      <c r="N3766" s="76">
        <f t="shared" si="1405"/>
        <v>1</v>
      </c>
      <c r="O3766" s="77">
        <f t="shared" si="1406"/>
        <v>1</v>
      </c>
      <c r="P3766" s="76">
        <f t="shared" si="1407"/>
        <v>1</v>
      </c>
      <c r="Q3766" s="76">
        <f t="shared" si="1408"/>
        <v>0</v>
      </c>
      <c r="R3766" s="76">
        <f t="shared" si="1409"/>
        <v>0</v>
      </c>
      <c r="S3766" s="76">
        <f t="shared" si="1410"/>
        <v>1</v>
      </c>
      <c r="T3766" s="76">
        <f t="shared" si="1411"/>
        <v>1</v>
      </c>
      <c r="U3766" s="76">
        <f t="shared" si="1412"/>
        <v>1</v>
      </c>
    </row>
    <row r="3767" spans="1:21" x14ac:dyDescent="0.25">
      <c r="A3767" s="71">
        <v>17</v>
      </c>
      <c r="B3767" s="72">
        <f t="shared" si="1413"/>
        <v>46143</v>
      </c>
      <c r="C3767" s="73">
        <f t="shared" si="1394"/>
        <v>46173</v>
      </c>
      <c r="D3767" s="67">
        <f t="shared" si="1395"/>
        <v>31</v>
      </c>
      <c r="E3767" s="67">
        <f t="shared" si="1396"/>
        <v>5</v>
      </c>
      <c r="F3767" s="74">
        <f t="shared" si="1397"/>
        <v>46158.5</v>
      </c>
      <c r="G3767" s="67">
        <f t="shared" si="1398"/>
        <v>24316</v>
      </c>
      <c r="H3767" s="75">
        <f t="shared" si="1399"/>
        <v>1</v>
      </c>
      <c r="I3767" s="76">
        <f t="shared" si="1400"/>
        <v>1</v>
      </c>
      <c r="J3767" s="76">
        <f t="shared" si="1401"/>
        <v>1</v>
      </c>
      <c r="K3767" s="67">
        <f t="shared" si="1402"/>
        <v>0</v>
      </c>
      <c r="L3767" s="67">
        <f t="shared" si="1403"/>
        <v>0</v>
      </c>
      <c r="M3767" s="77">
        <f t="shared" si="1404"/>
        <v>0</v>
      </c>
      <c r="N3767" s="76">
        <f t="shared" si="1405"/>
        <v>1</v>
      </c>
      <c r="O3767" s="77">
        <f t="shared" si="1406"/>
        <v>1</v>
      </c>
      <c r="P3767" s="76">
        <f t="shared" si="1407"/>
        <v>1</v>
      </c>
      <c r="Q3767" s="76">
        <f t="shared" si="1408"/>
        <v>0</v>
      </c>
      <c r="R3767" s="76">
        <f t="shared" si="1409"/>
        <v>0</v>
      </c>
      <c r="S3767" s="76">
        <f t="shared" si="1410"/>
        <v>1</v>
      </c>
      <c r="T3767" s="76">
        <f t="shared" si="1411"/>
        <v>1</v>
      </c>
      <c r="U3767" s="76">
        <f t="shared" si="1412"/>
        <v>1</v>
      </c>
    </row>
    <row r="3768" spans="1:21" x14ac:dyDescent="0.25">
      <c r="A3768" s="71">
        <v>18</v>
      </c>
      <c r="B3768" s="72">
        <f t="shared" si="1413"/>
        <v>46174</v>
      </c>
      <c r="C3768" s="73">
        <f t="shared" si="1394"/>
        <v>46203</v>
      </c>
      <c r="D3768" s="67">
        <f t="shared" si="1395"/>
        <v>30</v>
      </c>
      <c r="E3768" s="67">
        <f t="shared" si="1396"/>
        <v>6</v>
      </c>
      <c r="F3768" s="74">
        <f t="shared" si="1397"/>
        <v>46189</v>
      </c>
      <c r="G3768" s="67">
        <f t="shared" si="1398"/>
        <v>24317</v>
      </c>
      <c r="H3768" s="75">
        <f t="shared" si="1399"/>
        <v>1</v>
      </c>
      <c r="I3768" s="76">
        <f t="shared" si="1400"/>
        <v>1</v>
      </c>
      <c r="J3768" s="76">
        <f t="shared" si="1401"/>
        <v>1</v>
      </c>
      <c r="K3768" s="67">
        <f t="shared" si="1402"/>
        <v>0</v>
      </c>
      <c r="L3768" s="67">
        <f t="shared" si="1403"/>
        <v>0</v>
      </c>
      <c r="M3768" s="77">
        <f t="shared" si="1404"/>
        <v>0</v>
      </c>
      <c r="N3768" s="76">
        <f t="shared" si="1405"/>
        <v>1</v>
      </c>
      <c r="O3768" s="77">
        <f t="shared" si="1406"/>
        <v>1</v>
      </c>
      <c r="P3768" s="76">
        <f t="shared" si="1407"/>
        <v>1</v>
      </c>
      <c r="Q3768" s="76">
        <f t="shared" si="1408"/>
        <v>0</v>
      </c>
      <c r="R3768" s="76">
        <f t="shared" si="1409"/>
        <v>0</v>
      </c>
      <c r="S3768" s="76">
        <f t="shared" si="1410"/>
        <v>1</v>
      </c>
      <c r="T3768" s="76">
        <f t="shared" si="1411"/>
        <v>1</v>
      </c>
      <c r="U3768" s="76">
        <f t="shared" si="1412"/>
        <v>1</v>
      </c>
    </row>
    <row r="3769" spans="1:21" x14ac:dyDescent="0.25">
      <c r="A3769" s="71">
        <v>19</v>
      </c>
      <c r="B3769" s="72">
        <f t="shared" si="1413"/>
        <v>46204</v>
      </c>
      <c r="C3769" s="73">
        <f t="shared" si="1394"/>
        <v>46234</v>
      </c>
      <c r="D3769" s="67">
        <f t="shared" si="1395"/>
        <v>31</v>
      </c>
      <c r="E3769" s="67">
        <f t="shared" si="1396"/>
        <v>7</v>
      </c>
      <c r="F3769" s="74">
        <f t="shared" si="1397"/>
        <v>46219.5</v>
      </c>
      <c r="G3769" s="67">
        <f t="shared" si="1398"/>
        <v>24318</v>
      </c>
      <c r="H3769" s="75">
        <f t="shared" si="1399"/>
        <v>1</v>
      </c>
      <c r="I3769" s="76">
        <f t="shared" si="1400"/>
        <v>1</v>
      </c>
      <c r="J3769" s="76">
        <f t="shared" si="1401"/>
        <v>1</v>
      </c>
      <c r="K3769" s="67">
        <f t="shared" si="1402"/>
        <v>0</v>
      </c>
      <c r="L3769" s="67">
        <f t="shared" si="1403"/>
        <v>0</v>
      </c>
      <c r="M3769" s="77">
        <f t="shared" si="1404"/>
        <v>0</v>
      </c>
      <c r="N3769" s="76">
        <f t="shared" si="1405"/>
        <v>1</v>
      </c>
      <c r="O3769" s="77">
        <f t="shared" si="1406"/>
        <v>1</v>
      </c>
      <c r="P3769" s="76">
        <f t="shared" si="1407"/>
        <v>0.91666666666666663</v>
      </c>
      <c r="Q3769" s="76">
        <f t="shared" si="1408"/>
        <v>8.333333333333337E-2</v>
      </c>
      <c r="R3769" s="76">
        <f t="shared" si="1409"/>
        <v>0</v>
      </c>
      <c r="S3769" s="76">
        <f t="shared" si="1410"/>
        <v>1</v>
      </c>
      <c r="T3769" s="76">
        <f t="shared" si="1411"/>
        <v>1</v>
      </c>
      <c r="U3769" s="76">
        <f t="shared" si="1412"/>
        <v>1</v>
      </c>
    </row>
    <row r="3770" spans="1:21" x14ac:dyDescent="0.25">
      <c r="A3770" s="71">
        <v>20</v>
      </c>
      <c r="B3770" s="72">
        <f t="shared" si="1413"/>
        <v>46235</v>
      </c>
      <c r="C3770" s="73">
        <f t="shared" si="1394"/>
        <v>46265</v>
      </c>
      <c r="D3770" s="67">
        <f t="shared" si="1395"/>
        <v>31</v>
      </c>
      <c r="E3770" s="67">
        <f t="shared" si="1396"/>
        <v>8</v>
      </c>
      <c r="F3770" s="74">
        <f t="shared" si="1397"/>
        <v>46250.5</v>
      </c>
      <c r="G3770" s="67">
        <f t="shared" si="1398"/>
        <v>24319</v>
      </c>
      <c r="H3770" s="75">
        <f t="shared" si="1399"/>
        <v>1</v>
      </c>
      <c r="I3770" s="76">
        <f t="shared" si="1400"/>
        <v>1</v>
      </c>
      <c r="J3770" s="76">
        <f t="shared" si="1401"/>
        <v>1</v>
      </c>
      <c r="K3770" s="67">
        <f t="shared" si="1402"/>
        <v>0</v>
      </c>
      <c r="L3770" s="67">
        <f t="shared" si="1403"/>
        <v>0</v>
      </c>
      <c r="M3770" s="77">
        <f t="shared" si="1404"/>
        <v>0</v>
      </c>
      <c r="N3770" s="76">
        <f t="shared" si="1405"/>
        <v>1</v>
      </c>
      <c r="O3770" s="77">
        <f t="shared" si="1406"/>
        <v>1</v>
      </c>
      <c r="P3770" s="76">
        <f t="shared" si="1407"/>
        <v>0.75</v>
      </c>
      <c r="Q3770" s="76">
        <f t="shared" si="1408"/>
        <v>0.25</v>
      </c>
      <c r="R3770" s="76">
        <f t="shared" si="1409"/>
        <v>0</v>
      </c>
      <c r="S3770" s="76">
        <f t="shared" si="1410"/>
        <v>1</v>
      </c>
      <c r="T3770" s="76">
        <f t="shared" si="1411"/>
        <v>1</v>
      </c>
      <c r="U3770" s="76">
        <f t="shared" si="1412"/>
        <v>1</v>
      </c>
    </row>
    <row r="3771" spans="1:21" x14ac:dyDescent="0.25">
      <c r="A3771" s="71">
        <v>21</v>
      </c>
      <c r="B3771" s="72">
        <f t="shared" si="1413"/>
        <v>46266</v>
      </c>
      <c r="C3771" s="73">
        <f t="shared" si="1394"/>
        <v>46295</v>
      </c>
      <c r="D3771" s="67">
        <f t="shared" si="1395"/>
        <v>30</v>
      </c>
      <c r="E3771" s="67">
        <f t="shared" si="1396"/>
        <v>9</v>
      </c>
      <c r="F3771" s="74">
        <f t="shared" si="1397"/>
        <v>46281</v>
      </c>
      <c r="G3771" s="67">
        <f t="shared" si="1398"/>
        <v>24320</v>
      </c>
      <c r="H3771" s="75">
        <f t="shared" si="1399"/>
        <v>1</v>
      </c>
      <c r="I3771" s="76">
        <f t="shared" si="1400"/>
        <v>1</v>
      </c>
      <c r="J3771" s="76">
        <f t="shared" si="1401"/>
        <v>1</v>
      </c>
      <c r="K3771" s="67">
        <f t="shared" si="1402"/>
        <v>0</v>
      </c>
      <c r="L3771" s="67">
        <f t="shared" si="1403"/>
        <v>0</v>
      </c>
      <c r="M3771" s="77">
        <f t="shared" si="1404"/>
        <v>0</v>
      </c>
      <c r="N3771" s="76">
        <f t="shared" si="1405"/>
        <v>1</v>
      </c>
      <c r="O3771" s="77">
        <f t="shared" si="1406"/>
        <v>1</v>
      </c>
      <c r="P3771" s="76">
        <f t="shared" si="1407"/>
        <v>0.58333333333333337</v>
      </c>
      <c r="Q3771" s="76">
        <f t="shared" si="1408"/>
        <v>0.41666666666666663</v>
      </c>
      <c r="R3771" s="76">
        <f t="shared" si="1409"/>
        <v>0</v>
      </c>
      <c r="S3771" s="76">
        <f t="shared" si="1410"/>
        <v>1</v>
      </c>
      <c r="T3771" s="76">
        <f t="shared" si="1411"/>
        <v>1</v>
      </c>
      <c r="U3771" s="76">
        <f t="shared" si="1412"/>
        <v>1</v>
      </c>
    </row>
    <row r="3772" spans="1:21" x14ac:dyDescent="0.25">
      <c r="A3772" s="71">
        <v>22</v>
      </c>
      <c r="B3772" s="72">
        <f t="shared" si="1413"/>
        <v>46296</v>
      </c>
      <c r="C3772" s="73">
        <f t="shared" si="1394"/>
        <v>46326</v>
      </c>
      <c r="D3772" s="67">
        <f t="shared" si="1395"/>
        <v>31</v>
      </c>
      <c r="E3772" s="67">
        <f t="shared" si="1396"/>
        <v>10</v>
      </c>
      <c r="F3772" s="74">
        <f t="shared" si="1397"/>
        <v>46311.5</v>
      </c>
      <c r="G3772" s="67">
        <f t="shared" si="1398"/>
        <v>24321</v>
      </c>
      <c r="H3772" s="75">
        <f t="shared" si="1399"/>
        <v>1</v>
      </c>
      <c r="I3772" s="76">
        <f t="shared" si="1400"/>
        <v>1</v>
      </c>
      <c r="J3772" s="76">
        <f t="shared" si="1401"/>
        <v>1</v>
      </c>
      <c r="K3772" s="67">
        <f t="shared" si="1402"/>
        <v>0</v>
      </c>
      <c r="L3772" s="67">
        <f t="shared" si="1403"/>
        <v>0</v>
      </c>
      <c r="M3772" s="77">
        <f t="shared" si="1404"/>
        <v>0</v>
      </c>
      <c r="N3772" s="76">
        <f t="shared" si="1405"/>
        <v>1</v>
      </c>
      <c r="O3772" s="77">
        <f t="shared" si="1406"/>
        <v>1</v>
      </c>
      <c r="P3772" s="76">
        <f t="shared" si="1407"/>
        <v>0.41666666666666669</v>
      </c>
      <c r="Q3772" s="76">
        <f t="shared" si="1408"/>
        <v>0.58333333333333326</v>
      </c>
      <c r="R3772" s="76">
        <f t="shared" si="1409"/>
        <v>0</v>
      </c>
      <c r="S3772" s="76">
        <f t="shared" si="1410"/>
        <v>1</v>
      </c>
      <c r="T3772" s="76">
        <f t="shared" si="1411"/>
        <v>1</v>
      </c>
      <c r="U3772" s="76">
        <f t="shared" si="1412"/>
        <v>1</v>
      </c>
    </row>
    <row r="3773" spans="1:21" x14ac:dyDescent="0.25">
      <c r="A3773" s="71">
        <v>23</v>
      </c>
      <c r="B3773" s="72">
        <f t="shared" si="1413"/>
        <v>46327</v>
      </c>
      <c r="C3773" s="73">
        <f t="shared" si="1394"/>
        <v>46356</v>
      </c>
      <c r="D3773" s="67">
        <f t="shared" si="1395"/>
        <v>30</v>
      </c>
      <c r="E3773" s="67">
        <f t="shared" si="1396"/>
        <v>11</v>
      </c>
      <c r="F3773" s="74">
        <f t="shared" si="1397"/>
        <v>46342</v>
      </c>
      <c r="G3773" s="67">
        <f t="shared" si="1398"/>
        <v>24322</v>
      </c>
      <c r="H3773" s="75">
        <f t="shared" si="1399"/>
        <v>1</v>
      </c>
      <c r="I3773" s="76">
        <f t="shared" si="1400"/>
        <v>1</v>
      </c>
      <c r="J3773" s="76">
        <f t="shared" si="1401"/>
        <v>1</v>
      </c>
      <c r="K3773" s="67">
        <f t="shared" si="1402"/>
        <v>0</v>
      </c>
      <c r="L3773" s="67">
        <f t="shared" si="1403"/>
        <v>0</v>
      </c>
      <c r="M3773" s="77">
        <f t="shared" si="1404"/>
        <v>0</v>
      </c>
      <c r="N3773" s="76">
        <f t="shared" si="1405"/>
        <v>1</v>
      </c>
      <c r="O3773" s="77">
        <f t="shared" si="1406"/>
        <v>1</v>
      </c>
      <c r="P3773" s="76">
        <f t="shared" si="1407"/>
        <v>0.25</v>
      </c>
      <c r="Q3773" s="76">
        <f t="shared" si="1408"/>
        <v>0.75</v>
      </c>
      <c r="R3773" s="76">
        <f t="shared" si="1409"/>
        <v>0</v>
      </c>
      <c r="S3773" s="76">
        <f t="shared" si="1410"/>
        <v>1</v>
      </c>
      <c r="T3773" s="76">
        <f t="shared" si="1411"/>
        <v>1</v>
      </c>
      <c r="U3773" s="76">
        <f t="shared" si="1412"/>
        <v>1</v>
      </c>
    </row>
    <row r="3774" spans="1:21" x14ac:dyDescent="0.25">
      <c r="A3774" s="71">
        <v>24</v>
      </c>
      <c r="B3774" s="72">
        <f t="shared" si="1413"/>
        <v>46357</v>
      </c>
      <c r="C3774" s="73">
        <f t="shared" si="1394"/>
        <v>46387</v>
      </c>
      <c r="D3774" s="67">
        <f t="shared" si="1395"/>
        <v>31</v>
      </c>
      <c r="E3774" s="67">
        <f t="shared" si="1396"/>
        <v>12</v>
      </c>
      <c r="F3774" s="74">
        <f t="shared" si="1397"/>
        <v>46372.5</v>
      </c>
      <c r="G3774" s="67">
        <f t="shared" si="1398"/>
        <v>24323</v>
      </c>
      <c r="H3774" s="75">
        <f t="shared" si="1399"/>
        <v>1</v>
      </c>
      <c r="I3774" s="76">
        <f t="shared" si="1400"/>
        <v>1</v>
      </c>
      <c r="J3774" s="76">
        <f t="shared" si="1401"/>
        <v>1</v>
      </c>
      <c r="K3774" s="67">
        <f t="shared" si="1402"/>
        <v>0</v>
      </c>
      <c r="L3774" s="67">
        <f t="shared" si="1403"/>
        <v>0</v>
      </c>
      <c r="M3774" s="77">
        <f t="shared" si="1404"/>
        <v>0</v>
      </c>
      <c r="N3774" s="76">
        <f t="shared" si="1405"/>
        <v>1</v>
      </c>
      <c r="O3774" s="77">
        <f t="shared" si="1406"/>
        <v>1</v>
      </c>
      <c r="P3774" s="76">
        <f t="shared" si="1407"/>
        <v>8.3333333333333329E-2</v>
      </c>
      <c r="Q3774" s="76">
        <f t="shared" si="1408"/>
        <v>0.91666666666666663</v>
      </c>
      <c r="R3774" s="76">
        <f t="shared" si="1409"/>
        <v>0</v>
      </c>
      <c r="S3774" s="76">
        <f t="shared" si="1410"/>
        <v>1</v>
      </c>
      <c r="T3774" s="76">
        <f t="shared" si="1411"/>
        <v>1</v>
      </c>
      <c r="U3774" s="76">
        <f t="shared" si="1412"/>
        <v>1</v>
      </c>
    </row>
    <row r="3775" spans="1:21" x14ac:dyDescent="0.25">
      <c r="A3775" s="71">
        <v>25</v>
      </c>
      <c r="B3775" s="72">
        <f t="shared" si="1413"/>
        <v>46388</v>
      </c>
      <c r="C3775" s="73">
        <f t="shared" si="1394"/>
        <v>46418</v>
      </c>
      <c r="D3775" s="67">
        <f t="shared" si="1395"/>
        <v>31</v>
      </c>
      <c r="E3775" s="67">
        <f t="shared" si="1396"/>
        <v>1</v>
      </c>
      <c r="F3775" s="74">
        <f t="shared" si="1397"/>
        <v>46403.5</v>
      </c>
      <c r="G3775" s="67">
        <f t="shared" si="1398"/>
        <v>24324</v>
      </c>
      <c r="H3775" s="75">
        <f t="shared" si="1399"/>
        <v>1</v>
      </c>
      <c r="I3775" s="76">
        <f t="shared" si="1400"/>
        <v>1</v>
      </c>
      <c r="J3775" s="76">
        <f t="shared" si="1401"/>
        <v>1</v>
      </c>
      <c r="K3775" s="67">
        <f t="shared" si="1402"/>
        <v>0</v>
      </c>
      <c r="L3775" s="67">
        <f t="shared" si="1403"/>
        <v>0</v>
      </c>
      <c r="M3775" s="77">
        <f t="shared" si="1404"/>
        <v>0</v>
      </c>
      <c r="N3775" s="76">
        <f t="shared" si="1405"/>
        <v>1</v>
      </c>
      <c r="O3775" s="77">
        <f t="shared" si="1406"/>
        <v>1</v>
      </c>
      <c r="P3775" s="76">
        <f t="shared" si="1407"/>
        <v>0</v>
      </c>
      <c r="Q3775" s="76">
        <f t="shared" si="1408"/>
        <v>1</v>
      </c>
      <c r="R3775" s="76">
        <f t="shared" si="1409"/>
        <v>0</v>
      </c>
      <c r="S3775" s="76">
        <f t="shared" si="1410"/>
        <v>1</v>
      </c>
      <c r="T3775" s="76">
        <f t="shared" si="1411"/>
        <v>1</v>
      </c>
      <c r="U3775" s="76">
        <f t="shared" si="1412"/>
        <v>1</v>
      </c>
    </row>
    <row r="3776" spans="1:21" x14ac:dyDescent="0.25">
      <c r="A3776" s="71">
        <v>26</v>
      </c>
      <c r="B3776" s="72">
        <f t="shared" si="1413"/>
        <v>46419</v>
      </c>
      <c r="C3776" s="73">
        <f t="shared" si="1394"/>
        <v>46446</v>
      </c>
      <c r="D3776" s="67">
        <f t="shared" si="1395"/>
        <v>28</v>
      </c>
      <c r="E3776" s="67">
        <f t="shared" si="1396"/>
        <v>2</v>
      </c>
      <c r="F3776" s="74">
        <f t="shared" si="1397"/>
        <v>46433</v>
      </c>
      <c r="G3776" s="67">
        <f t="shared" si="1398"/>
        <v>24325</v>
      </c>
      <c r="H3776" s="75">
        <f t="shared" si="1399"/>
        <v>1</v>
      </c>
      <c r="I3776" s="76">
        <f t="shared" si="1400"/>
        <v>1</v>
      </c>
      <c r="J3776" s="76">
        <f t="shared" si="1401"/>
        <v>1</v>
      </c>
      <c r="K3776" s="67">
        <f t="shared" si="1402"/>
        <v>0</v>
      </c>
      <c r="L3776" s="67">
        <f t="shared" si="1403"/>
        <v>0</v>
      </c>
      <c r="M3776" s="77">
        <f t="shared" si="1404"/>
        <v>0</v>
      </c>
      <c r="N3776" s="76">
        <f t="shared" si="1405"/>
        <v>1</v>
      </c>
      <c r="O3776" s="77">
        <f t="shared" si="1406"/>
        <v>1</v>
      </c>
      <c r="P3776" s="76">
        <f t="shared" si="1407"/>
        <v>0</v>
      </c>
      <c r="Q3776" s="76">
        <f t="shared" si="1408"/>
        <v>1</v>
      </c>
      <c r="R3776" s="76">
        <f t="shared" si="1409"/>
        <v>0</v>
      </c>
      <c r="S3776" s="76">
        <f t="shared" si="1410"/>
        <v>1</v>
      </c>
      <c r="T3776" s="76">
        <f t="shared" si="1411"/>
        <v>1</v>
      </c>
      <c r="U3776" s="76">
        <f t="shared" si="1412"/>
        <v>1</v>
      </c>
    </row>
    <row r="3777" spans="1:21" x14ac:dyDescent="0.25">
      <c r="A3777" s="71">
        <v>27</v>
      </c>
      <c r="B3777" s="72">
        <f t="shared" si="1413"/>
        <v>46447</v>
      </c>
      <c r="C3777" s="73">
        <f t="shared" si="1394"/>
        <v>46477</v>
      </c>
      <c r="D3777" s="67">
        <f t="shared" si="1395"/>
        <v>31</v>
      </c>
      <c r="E3777" s="67">
        <f t="shared" si="1396"/>
        <v>3</v>
      </c>
      <c r="F3777" s="74">
        <f t="shared" si="1397"/>
        <v>46462.5</v>
      </c>
      <c r="G3777" s="67">
        <f t="shared" si="1398"/>
        <v>24326</v>
      </c>
      <c r="H3777" s="75">
        <f t="shared" si="1399"/>
        <v>1</v>
      </c>
      <c r="I3777" s="76">
        <f t="shared" si="1400"/>
        <v>1</v>
      </c>
      <c r="J3777" s="76">
        <f t="shared" si="1401"/>
        <v>1</v>
      </c>
      <c r="K3777" s="67">
        <f t="shared" si="1402"/>
        <v>0</v>
      </c>
      <c r="L3777" s="67">
        <f t="shared" si="1403"/>
        <v>0</v>
      </c>
      <c r="M3777" s="77">
        <f t="shared" si="1404"/>
        <v>0</v>
      </c>
      <c r="N3777" s="76">
        <f t="shared" si="1405"/>
        <v>1</v>
      </c>
      <c r="O3777" s="77">
        <f t="shared" si="1406"/>
        <v>1</v>
      </c>
      <c r="P3777" s="76">
        <f t="shared" si="1407"/>
        <v>0</v>
      </c>
      <c r="Q3777" s="76">
        <f t="shared" si="1408"/>
        <v>1</v>
      </c>
      <c r="R3777" s="76">
        <f t="shared" si="1409"/>
        <v>0</v>
      </c>
      <c r="S3777" s="76">
        <f t="shared" si="1410"/>
        <v>1</v>
      </c>
      <c r="T3777" s="76">
        <f t="shared" si="1411"/>
        <v>1</v>
      </c>
      <c r="U3777" s="76">
        <f t="shared" si="1412"/>
        <v>1</v>
      </c>
    </row>
    <row r="3778" spans="1:21" x14ac:dyDescent="0.25">
      <c r="A3778" s="71">
        <v>28</v>
      </c>
      <c r="B3778" s="72">
        <f t="shared" si="1413"/>
        <v>46478</v>
      </c>
      <c r="C3778" s="73">
        <f t="shared" si="1394"/>
        <v>46507</v>
      </c>
      <c r="D3778" s="67">
        <f t="shared" si="1395"/>
        <v>30</v>
      </c>
      <c r="E3778" s="67">
        <f t="shared" si="1396"/>
        <v>4</v>
      </c>
      <c r="F3778" s="74">
        <f t="shared" si="1397"/>
        <v>46493</v>
      </c>
      <c r="G3778" s="67">
        <f t="shared" si="1398"/>
        <v>24327</v>
      </c>
      <c r="H3778" s="75">
        <f t="shared" si="1399"/>
        <v>1</v>
      </c>
      <c r="I3778" s="76">
        <f t="shared" si="1400"/>
        <v>1</v>
      </c>
      <c r="J3778" s="76">
        <f t="shared" si="1401"/>
        <v>1</v>
      </c>
      <c r="K3778" s="67">
        <f t="shared" si="1402"/>
        <v>0</v>
      </c>
      <c r="L3778" s="67">
        <f t="shared" si="1403"/>
        <v>0</v>
      </c>
      <c r="M3778" s="77">
        <f t="shared" si="1404"/>
        <v>0</v>
      </c>
      <c r="N3778" s="76">
        <f t="shared" si="1405"/>
        <v>1</v>
      </c>
      <c r="O3778" s="77">
        <f t="shared" si="1406"/>
        <v>1</v>
      </c>
      <c r="P3778" s="76">
        <f t="shared" si="1407"/>
        <v>0</v>
      </c>
      <c r="Q3778" s="76">
        <f t="shared" si="1408"/>
        <v>1</v>
      </c>
      <c r="R3778" s="76">
        <f t="shared" si="1409"/>
        <v>0</v>
      </c>
      <c r="S3778" s="76">
        <f t="shared" si="1410"/>
        <v>1</v>
      </c>
      <c r="T3778" s="76">
        <f t="shared" si="1411"/>
        <v>1</v>
      </c>
      <c r="U3778" s="76">
        <f t="shared" si="1412"/>
        <v>1</v>
      </c>
    </row>
    <row r="3779" spans="1:21" x14ac:dyDescent="0.25">
      <c r="A3779" s="71">
        <v>29</v>
      </c>
      <c r="B3779" s="72">
        <f t="shared" si="1413"/>
        <v>46508</v>
      </c>
      <c r="C3779" s="73">
        <f t="shared" si="1394"/>
        <v>46538</v>
      </c>
      <c r="D3779" s="67">
        <f t="shared" si="1395"/>
        <v>31</v>
      </c>
      <c r="E3779" s="67">
        <f t="shared" si="1396"/>
        <v>5</v>
      </c>
      <c r="F3779" s="74">
        <f t="shared" si="1397"/>
        <v>46523.5</v>
      </c>
      <c r="G3779" s="67">
        <f t="shared" si="1398"/>
        <v>24328</v>
      </c>
      <c r="H3779" s="75">
        <f t="shared" si="1399"/>
        <v>1</v>
      </c>
      <c r="I3779" s="76">
        <f t="shared" si="1400"/>
        <v>1</v>
      </c>
      <c r="J3779" s="76">
        <f t="shared" si="1401"/>
        <v>1</v>
      </c>
      <c r="K3779" s="67">
        <f t="shared" si="1402"/>
        <v>0</v>
      </c>
      <c r="L3779" s="67">
        <f t="shared" si="1403"/>
        <v>0</v>
      </c>
      <c r="M3779" s="77">
        <f t="shared" si="1404"/>
        <v>0</v>
      </c>
      <c r="N3779" s="76">
        <f t="shared" si="1405"/>
        <v>1</v>
      </c>
      <c r="O3779" s="77">
        <f t="shared" si="1406"/>
        <v>1</v>
      </c>
      <c r="P3779" s="76">
        <f t="shared" si="1407"/>
        <v>0</v>
      </c>
      <c r="Q3779" s="76">
        <f t="shared" si="1408"/>
        <v>1</v>
      </c>
      <c r="R3779" s="76">
        <f t="shared" si="1409"/>
        <v>0</v>
      </c>
      <c r="S3779" s="76">
        <f t="shared" si="1410"/>
        <v>1</v>
      </c>
      <c r="T3779" s="76">
        <f t="shared" si="1411"/>
        <v>1</v>
      </c>
      <c r="U3779" s="76">
        <f t="shared" si="1412"/>
        <v>1</v>
      </c>
    </row>
    <row r="3780" spans="1:21" x14ac:dyDescent="0.25">
      <c r="A3780" s="71">
        <v>30</v>
      </c>
      <c r="B3780" s="72">
        <f t="shared" si="1413"/>
        <v>46539</v>
      </c>
      <c r="C3780" s="73">
        <f t="shared" si="1394"/>
        <v>46568</v>
      </c>
      <c r="D3780" s="67">
        <f t="shared" si="1395"/>
        <v>30</v>
      </c>
      <c r="E3780" s="67">
        <f t="shared" si="1396"/>
        <v>6</v>
      </c>
      <c r="F3780" s="74">
        <f t="shared" si="1397"/>
        <v>46554</v>
      </c>
      <c r="G3780" s="67">
        <f t="shared" si="1398"/>
        <v>24329</v>
      </c>
      <c r="H3780" s="75">
        <f t="shared" si="1399"/>
        <v>1</v>
      </c>
      <c r="I3780" s="76">
        <f t="shared" si="1400"/>
        <v>1</v>
      </c>
      <c r="J3780" s="76">
        <f t="shared" si="1401"/>
        <v>1</v>
      </c>
      <c r="K3780" s="67">
        <f t="shared" si="1402"/>
        <v>0</v>
      </c>
      <c r="L3780" s="67">
        <f t="shared" si="1403"/>
        <v>0</v>
      </c>
      <c r="M3780" s="77">
        <f t="shared" si="1404"/>
        <v>0</v>
      </c>
      <c r="N3780" s="76">
        <f t="shared" si="1405"/>
        <v>1</v>
      </c>
      <c r="O3780" s="77">
        <f t="shared" si="1406"/>
        <v>1</v>
      </c>
      <c r="P3780" s="76">
        <f t="shared" si="1407"/>
        <v>0</v>
      </c>
      <c r="Q3780" s="76">
        <f t="shared" si="1408"/>
        <v>1</v>
      </c>
      <c r="R3780" s="76">
        <f t="shared" si="1409"/>
        <v>0</v>
      </c>
      <c r="S3780" s="76">
        <f t="shared" si="1410"/>
        <v>1</v>
      </c>
      <c r="T3780" s="76">
        <f t="shared" si="1411"/>
        <v>1</v>
      </c>
      <c r="U3780" s="76">
        <f t="shared" si="1412"/>
        <v>1</v>
      </c>
    </row>
    <row r="3781" spans="1:21" x14ac:dyDescent="0.25">
      <c r="A3781" s="71">
        <v>31</v>
      </c>
      <c r="B3781" s="72">
        <f t="shared" si="1413"/>
        <v>46569</v>
      </c>
      <c r="C3781" s="73">
        <f t="shared" si="1394"/>
        <v>46599</v>
      </c>
      <c r="D3781" s="67">
        <f t="shared" si="1395"/>
        <v>31</v>
      </c>
      <c r="E3781" s="67">
        <f t="shared" si="1396"/>
        <v>7</v>
      </c>
      <c r="F3781" s="74">
        <f t="shared" si="1397"/>
        <v>46584.5</v>
      </c>
      <c r="G3781" s="67">
        <f t="shared" si="1398"/>
        <v>24330</v>
      </c>
      <c r="H3781" s="75">
        <f t="shared" si="1399"/>
        <v>1</v>
      </c>
      <c r="I3781" s="76">
        <f t="shared" si="1400"/>
        <v>1</v>
      </c>
      <c r="J3781" s="76">
        <f t="shared" si="1401"/>
        <v>1</v>
      </c>
      <c r="K3781" s="67">
        <f t="shared" si="1402"/>
        <v>0</v>
      </c>
      <c r="L3781" s="67">
        <f t="shared" si="1403"/>
        <v>0</v>
      </c>
      <c r="M3781" s="77">
        <f t="shared" si="1404"/>
        <v>0</v>
      </c>
      <c r="N3781" s="76">
        <f t="shared" si="1405"/>
        <v>1</v>
      </c>
      <c r="O3781" s="77">
        <f t="shared" si="1406"/>
        <v>1</v>
      </c>
      <c r="P3781" s="76">
        <f t="shared" si="1407"/>
        <v>0</v>
      </c>
      <c r="Q3781" s="76">
        <f t="shared" si="1408"/>
        <v>0.91666666666666663</v>
      </c>
      <c r="R3781" s="76">
        <f t="shared" si="1409"/>
        <v>8.333333333333337E-2</v>
      </c>
      <c r="S3781" s="76">
        <f t="shared" si="1410"/>
        <v>1</v>
      </c>
      <c r="T3781" s="76">
        <f t="shared" si="1411"/>
        <v>1</v>
      </c>
      <c r="U3781" s="76">
        <f t="shared" si="1412"/>
        <v>1</v>
      </c>
    </row>
    <row r="3782" spans="1:21" x14ac:dyDescent="0.25">
      <c r="A3782" s="71">
        <v>32</v>
      </c>
      <c r="B3782" s="72">
        <f t="shared" si="1413"/>
        <v>46600</v>
      </c>
      <c r="C3782" s="73">
        <f t="shared" si="1394"/>
        <v>46630</v>
      </c>
      <c r="D3782" s="67">
        <f t="shared" si="1395"/>
        <v>31</v>
      </c>
      <c r="E3782" s="67">
        <f t="shared" si="1396"/>
        <v>8</v>
      </c>
      <c r="F3782" s="74">
        <f t="shared" si="1397"/>
        <v>46615.5</v>
      </c>
      <c r="G3782" s="67">
        <f t="shared" si="1398"/>
        <v>24331</v>
      </c>
      <c r="H3782" s="75">
        <f t="shared" si="1399"/>
        <v>1</v>
      </c>
      <c r="I3782" s="76">
        <f t="shared" si="1400"/>
        <v>1</v>
      </c>
      <c r="J3782" s="76">
        <f t="shared" si="1401"/>
        <v>1</v>
      </c>
      <c r="K3782" s="67">
        <f t="shared" si="1402"/>
        <v>0</v>
      </c>
      <c r="L3782" s="67">
        <f t="shared" si="1403"/>
        <v>0</v>
      </c>
      <c r="M3782" s="77">
        <f t="shared" si="1404"/>
        <v>0</v>
      </c>
      <c r="N3782" s="76">
        <f t="shared" si="1405"/>
        <v>1</v>
      </c>
      <c r="O3782" s="77">
        <f t="shared" si="1406"/>
        <v>1</v>
      </c>
      <c r="P3782" s="76">
        <f t="shared" si="1407"/>
        <v>0</v>
      </c>
      <c r="Q3782" s="76">
        <f t="shared" si="1408"/>
        <v>0.75</v>
      </c>
      <c r="R3782" s="76">
        <f t="shared" si="1409"/>
        <v>0.25</v>
      </c>
      <c r="S3782" s="76">
        <f t="shared" si="1410"/>
        <v>1</v>
      </c>
      <c r="T3782" s="76">
        <f t="shared" si="1411"/>
        <v>1</v>
      </c>
      <c r="U3782" s="76">
        <f t="shared" si="1412"/>
        <v>1</v>
      </c>
    </row>
    <row r="3783" spans="1:21" x14ac:dyDescent="0.25">
      <c r="A3783" s="71">
        <v>33</v>
      </c>
      <c r="B3783" s="72">
        <f t="shared" si="1413"/>
        <v>46631</v>
      </c>
      <c r="C3783" s="73">
        <f t="shared" si="1394"/>
        <v>46660</v>
      </c>
      <c r="D3783" s="67">
        <f t="shared" si="1395"/>
        <v>30</v>
      </c>
      <c r="E3783" s="67">
        <f t="shared" si="1396"/>
        <v>9</v>
      </c>
      <c r="F3783" s="74">
        <f t="shared" si="1397"/>
        <v>46646</v>
      </c>
      <c r="G3783" s="67">
        <f t="shared" si="1398"/>
        <v>24332</v>
      </c>
      <c r="H3783" s="75">
        <f t="shared" si="1399"/>
        <v>1</v>
      </c>
      <c r="I3783" s="76">
        <f t="shared" si="1400"/>
        <v>1</v>
      </c>
      <c r="J3783" s="76">
        <f t="shared" si="1401"/>
        <v>1</v>
      </c>
      <c r="K3783" s="67">
        <f t="shared" si="1402"/>
        <v>0</v>
      </c>
      <c r="L3783" s="67">
        <f t="shared" si="1403"/>
        <v>0</v>
      </c>
      <c r="M3783" s="77">
        <f t="shared" si="1404"/>
        <v>0</v>
      </c>
      <c r="N3783" s="76">
        <f t="shared" si="1405"/>
        <v>1</v>
      </c>
      <c r="O3783" s="77">
        <f t="shared" si="1406"/>
        <v>1</v>
      </c>
      <c r="P3783" s="76">
        <f t="shared" si="1407"/>
        <v>0</v>
      </c>
      <c r="Q3783" s="76">
        <f t="shared" si="1408"/>
        <v>0.58333333333333337</v>
      </c>
      <c r="R3783" s="76">
        <f t="shared" si="1409"/>
        <v>0.41666666666666663</v>
      </c>
      <c r="S3783" s="76">
        <f t="shared" si="1410"/>
        <v>1</v>
      </c>
      <c r="T3783" s="76">
        <f t="shared" si="1411"/>
        <v>1</v>
      </c>
      <c r="U3783" s="76">
        <f t="shared" si="1412"/>
        <v>1</v>
      </c>
    </row>
    <row r="3784" spans="1:21" x14ac:dyDescent="0.25">
      <c r="A3784" s="71">
        <v>34</v>
      </c>
      <c r="B3784" s="72">
        <f t="shared" si="1413"/>
        <v>46661</v>
      </c>
      <c r="C3784" s="73">
        <f t="shared" si="1394"/>
        <v>46691</v>
      </c>
      <c r="D3784" s="67">
        <f t="shared" si="1395"/>
        <v>31</v>
      </c>
      <c r="E3784" s="67">
        <f t="shared" si="1396"/>
        <v>10</v>
      </c>
      <c r="F3784" s="74">
        <f t="shared" si="1397"/>
        <v>46676.5</v>
      </c>
      <c r="G3784" s="67">
        <f t="shared" si="1398"/>
        <v>24333</v>
      </c>
      <c r="H3784" s="75">
        <f t="shared" si="1399"/>
        <v>1</v>
      </c>
      <c r="I3784" s="76">
        <f t="shared" si="1400"/>
        <v>1</v>
      </c>
      <c r="J3784" s="76">
        <f t="shared" si="1401"/>
        <v>1</v>
      </c>
      <c r="K3784" s="67">
        <f t="shared" si="1402"/>
        <v>0</v>
      </c>
      <c r="L3784" s="67">
        <f t="shared" si="1403"/>
        <v>0</v>
      </c>
      <c r="M3784" s="77">
        <f t="shared" si="1404"/>
        <v>0</v>
      </c>
      <c r="N3784" s="76">
        <f t="shared" si="1405"/>
        <v>1</v>
      </c>
      <c r="O3784" s="77">
        <f t="shared" si="1406"/>
        <v>1</v>
      </c>
      <c r="P3784" s="76">
        <f t="shared" si="1407"/>
        <v>0</v>
      </c>
      <c r="Q3784" s="76">
        <f t="shared" si="1408"/>
        <v>0.41666666666666669</v>
      </c>
      <c r="R3784" s="76">
        <f t="shared" si="1409"/>
        <v>0.58333333333333326</v>
      </c>
      <c r="S3784" s="76">
        <f t="shared" si="1410"/>
        <v>1</v>
      </c>
      <c r="T3784" s="76">
        <f t="shared" si="1411"/>
        <v>1</v>
      </c>
      <c r="U3784" s="76">
        <f t="shared" si="1412"/>
        <v>1</v>
      </c>
    </row>
    <row r="3785" spans="1:21" x14ac:dyDescent="0.25">
      <c r="A3785" s="71">
        <v>35</v>
      </c>
      <c r="B3785" s="72">
        <f t="shared" si="1413"/>
        <v>46692</v>
      </c>
      <c r="C3785" s="73">
        <f t="shared" si="1394"/>
        <v>46721</v>
      </c>
      <c r="D3785" s="67">
        <f t="shared" si="1395"/>
        <v>30</v>
      </c>
      <c r="E3785" s="67">
        <f t="shared" si="1396"/>
        <v>11</v>
      </c>
      <c r="F3785" s="74">
        <f t="shared" si="1397"/>
        <v>46707</v>
      </c>
      <c r="G3785" s="67">
        <f t="shared" si="1398"/>
        <v>24334</v>
      </c>
      <c r="H3785" s="75">
        <f t="shared" si="1399"/>
        <v>1</v>
      </c>
      <c r="I3785" s="76">
        <f t="shared" si="1400"/>
        <v>1</v>
      </c>
      <c r="J3785" s="76">
        <f t="shared" si="1401"/>
        <v>1</v>
      </c>
      <c r="K3785" s="67">
        <f t="shared" si="1402"/>
        <v>0</v>
      </c>
      <c r="L3785" s="67">
        <f t="shared" si="1403"/>
        <v>0</v>
      </c>
      <c r="M3785" s="77">
        <f t="shared" si="1404"/>
        <v>0</v>
      </c>
      <c r="N3785" s="76">
        <f t="shared" si="1405"/>
        <v>1</v>
      </c>
      <c r="O3785" s="77">
        <f t="shared" si="1406"/>
        <v>1</v>
      </c>
      <c r="P3785" s="76">
        <f t="shared" si="1407"/>
        <v>0</v>
      </c>
      <c r="Q3785" s="76">
        <f t="shared" si="1408"/>
        <v>0.25</v>
      </c>
      <c r="R3785" s="76">
        <f t="shared" si="1409"/>
        <v>0.75</v>
      </c>
      <c r="S3785" s="76">
        <f t="shared" si="1410"/>
        <v>1</v>
      </c>
      <c r="T3785" s="76">
        <f t="shared" si="1411"/>
        <v>1</v>
      </c>
      <c r="U3785" s="76">
        <f t="shared" si="1412"/>
        <v>1</v>
      </c>
    </row>
    <row r="3786" spans="1:21" x14ac:dyDescent="0.25">
      <c r="A3786" s="71">
        <v>36</v>
      </c>
      <c r="B3786" s="72">
        <f t="shared" si="1413"/>
        <v>46722</v>
      </c>
      <c r="C3786" s="73">
        <f t="shared" si="1394"/>
        <v>46752</v>
      </c>
      <c r="D3786" s="67">
        <f t="shared" si="1395"/>
        <v>31</v>
      </c>
      <c r="E3786" s="67">
        <f t="shared" si="1396"/>
        <v>12</v>
      </c>
      <c r="F3786" s="74">
        <f t="shared" si="1397"/>
        <v>46737.5</v>
      </c>
      <c r="G3786" s="67">
        <f t="shared" si="1398"/>
        <v>24335</v>
      </c>
      <c r="H3786" s="75">
        <f t="shared" si="1399"/>
        <v>1</v>
      </c>
      <c r="I3786" s="76">
        <f t="shared" si="1400"/>
        <v>1</v>
      </c>
      <c r="J3786" s="76">
        <f t="shared" si="1401"/>
        <v>1</v>
      </c>
      <c r="K3786" s="67">
        <f t="shared" si="1402"/>
        <v>0</v>
      </c>
      <c r="L3786" s="67">
        <f t="shared" si="1403"/>
        <v>0</v>
      </c>
      <c r="M3786" s="77">
        <f t="shared" si="1404"/>
        <v>0</v>
      </c>
      <c r="N3786" s="76">
        <f t="shared" si="1405"/>
        <v>1</v>
      </c>
      <c r="O3786" s="77">
        <f t="shared" si="1406"/>
        <v>1</v>
      </c>
      <c r="P3786" s="76">
        <f t="shared" si="1407"/>
        <v>0</v>
      </c>
      <c r="Q3786" s="76">
        <f t="shared" si="1408"/>
        <v>8.3333333333333329E-2</v>
      </c>
      <c r="R3786" s="76">
        <f t="shared" si="1409"/>
        <v>0.91666666666666663</v>
      </c>
      <c r="S3786" s="76">
        <f t="shared" si="1410"/>
        <v>1</v>
      </c>
      <c r="T3786" s="76">
        <f t="shared" si="1411"/>
        <v>1</v>
      </c>
      <c r="U3786" s="76">
        <f t="shared" si="1412"/>
        <v>1</v>
      </c>
    </row>
    <row r="3787" spans="1:21" x14ac:dyDescent="0.25">
      <c r="A3787" s="71">
        <v>37</v>
      </c>
      <c r="B3787" s="72">
        <f t="shared" si="1413"/>
        <v>46753</v>
      </c>
      <c r="C3787" s="73">
        <f t="shared" si="1394"/>
        <v>46783</v>
      </c>
      <c r="D3787" s="67">
        <f t="shared" si="1395"/>
        <v>31</v>
      </c>
      <c r="E3787" s="67">
        <f t="shared" si="1396"/>
        <v>1</v>
      </c>
      <c r="F3787" s="74">
        <f t="shared" si="1397"/>
        <v>46768.5</v>
      </c>
      <c r="G3787" s="67">
        <f t="shared" si="1398"/>
        <v>24336</v>
      </c>
      <c r="H3787" s="75">
        <f t="shared" si="1399"/>
        <v>1</v>
      </c>
      <c r="I3787" s="76">
        <f t="shared" si="1400"/>
        <v>1</v>
      </c>
      <c r="J3787" s="76">
        <f t="shared" si="1401"/>
        <v>1</v>
      </c>
      <c r="K3787" s="67">
        <f t="shared" si="1402"/>
        <v>0</v>
      </c>
      <c r="L3787" s="67">
        <f t="shared" si="1403"/>
        <v>0</v>
      </c>
      <c r="M3787" s="77">
        <f t="shared" si="1404"/>
        <v>0</v>
      </c>
      <c r="N3787" s="76">
        <f t="shared" si="1405"/>
        <v>1</v>
      </c>
      <c r="O3787" s="77">
        <f t="shared" si="1406"/>
        <v>1</v>
      </c>
      <c r="P3787" s="76">
        <f t="shared" si="1407"/>
        <v>0</v>
      </c>
      <c r="Q3787" s="76">
        <f t="shared" si="1408"/>
        <v>0</v>
      </c>
      <c r="R3787" s="76">
        <f t="shared" si="1409"/>
        <v>1</v>
      </c>
      <c r="S3787" s="76">
        <f t="shared" si="1410"/>
        <v>1</v>
      </c>
      <c r="T3787" s="76">
        <f t="shared" si="1411"/>
        <v>1</v>
      </c>
      <c r="U3787" s="76">
        <f t="shared" si="1412"/>
        <v>1</v>
      </c>
    </row>
    <row r="3788" spans="1:21" x14ac:dyDescent="0.25">
      <c r="A3788" s="71">
        <v>38</v>
      </c>
      <c r="B3788" s="72">
        <f t="shared" si="1413"/>
        <v>46784</v>
      </c>
      <c r="C3788" s="73">
        <f t="shared" si="1394"/>
        <v>46812</v>
      </c>
      <c r="D3788" s="67">
        <f t="shared" si="1395"/>
        <v>29</v>
      </c>
      <c r="E3788" s="67">
        <f t="shared" si="1396"/>
        <v>2</v>
      </c>
      <c r="F3788" s="74">
        <f t="shared" si="1397"/>
        <v>46798.5</v>
      </c>
      <c r="G3788" s="67">
        <f t="shared" si="1398"/>
        <v>24337</v>
      </c>
      <c r="H3788" s="75">
        <f t="shared" si="1399"/>
        <v>1</v>
      </c>
      <c r="I3788" s="76">
        <f t="shared" si="1400"/>
        <v>1</v>
      </c>
      <c r="J3788" s="76">
        <f t="shared" si="1401"/>
        <v>1</v>
      </c>
      <c r="K3788" s="67">
        <f t="shared" si="1402"/>
        <v>0</v>
      </c>
      <c r="L3788" s="67">
        <f t="shared" si="1403"/>
        <v>0</v>
      </c>
      <c r="M3788" s="77">
        <f t="shared" si="1404"/>
        <v>0</v>
      </c>
      <c r="N3788" s="76">
        <f t="shared" si="1405"/>
        <v>1</v>
      </c>
      <c r="O3788" s="77">
        <f t="shared" si="1406"/>
        <v>1</v>
      </c>
      <c r="P3788" s="76">
        <f t="shared" si="1407"/>
        <v>0</v>
      </c>
      <c r="Q3788" s="76">
        <f t="shared" si="1408"/>
        <v>0</v>
      </c>
      <c r="R3788" s="76">
        <f t="shared" si="1409"/>
        <v>1</v>
      </c>
      <c r="S3788" s="76">
        <f t="shared" si="1410"/>
        <v>1</v>
      </c>
      <c r="T3788" s="76">
        <f t="shared" si="1411"/>
        <v>1</v>
      </c>
      <c r="U3788" s="76">
        <f t="shared" si="1412"/>
        <v>1</v>
      </c>
    </row>
    <row r="3789" spans="1:21" x14ac:dyDescent="0.25">
      <c r="A3789" s="71">
        <v>39</v>
      </c>
      <c r="B3789" s="72">
        <f t="shared" si="1413"/>
        <v>46813</v>
      </c>
      <c r="C3789" s="73">
        <f t="shared" si="1394"/>
        <v>46843</v>
      </c>
      <c r="D3789" s="67">
        <f t="shared" si="1395"/>
        <v>31</v>
      </c>
      <c r="E3789" s="67">
        <f t="shared" si="1396"/>
        <v>3</v>
      </c>
      <c r="F3789" s="74">
        <f t="shared" si="1397"/>
        <v>46828.5</v>
      </c>
      <c r="G3789" s="67">
        <f t="shared" si="1398"/>
        <v>24338</v>
      </c>
      <c r="H3789" s="75">
        <f t="shared" si="1399"/>
        <v>1</v>
      </c>
      <c r="I3789" s="76">
        <f t="shared" si="1400"/>
        <v>1</v>
      </c>
      <c r="J3789" s="76">
        <f t="shared" si="1401"/>
        <v>1</v>
      </c>
      <c r="K3789" s="67">
        <f t="shared" si="1402"/>
        <v>0</v>
      </c>
      <c r="L3789" s="67">
        <f t="shared" si="1403"/>
        <v>0</v>
      </c>
      <c r="M3789" s="77">
        <f t="shared" si="1404"/>
        <v>0</v>
      </c>
      <c r="N3789" s="76">
        <f t="shared" si="1405"/>
        <v>1</v>
      </c>
      <c r="O3789" s="77">
        <f t="shared" si="1406"/>
        <v>1</v>
      </c>
      <c r="P3789" s="76">
        <f t="shared" si="1407"/>
        <v>0</v>
      </c>
      <c r="Q3789" s="76">
        <f t="shared" si="1408"/>
        <v>0</v>
      </c>
      <c r="R3789" s="76">
        <f t="shared" si="1409"/>
        <v>1</v>
      </c>
      <c r="S3789" s="76">
        <f t="shared" si="1410"/>
        <v>1</v>
      </c>
      <c r="T3789" s="76">
        <f t="shared" si="1411"/>
        <v>1</v>
      </c>
      <c r="U3789" s="76">
        <f t="shared" si="1412"/>
        <v>1</v>
      </c>
    </row>
    <row r="3790" spans="1:21" x14ac:dyDescent="0.25">
      <c r="A3790" s="71">
        <v>40</v>
      </c>
      <c r="B3790" s="72">
        <f t="shared" si="1413"/>
        <v>46844</v>
      </c>
      <c r="C3790" s="73">
        <f t="shared" si="1394"/>
        <v>46873</v>
      </c>
      <c r="D3790" s="67">
        <f t="shared" si="1395"/>
        <v>30</v>
      </c>
      <c r="E3790" s="67">
        <f t="shared" si="1396"/>
        <v>4</v>
      </c>
      <c r="F3790" s="74">
        <f t="shared" si="1397"/>
        <v>46859</v>
      </c>
      <c r="G3790" s="67">
        <f t="shared" si="1398"/>
        <v>24339</v>
      </c>
      <c r="H3790" s="75">
        <f t="shared" si="1399"/>
        <v>1</v>
      </c>
      <c r="I3790" s="76">
        <f t="shared" si="1400"/>
        <v>1</v>
      </c>
      <c r="J3790" s="76">
        <f t="shared" si="1401"/>
        <v>1</v>
      </c>
      <c r="K3790" s="67">
        <f t="shared" si="1402"/>
        <v>0</v>
      </c>
      <c r="L3790" s="67">
        <f t="shared" si="1403"/>
        <v>0</v>
      </c>
      <c r="M3790" s="77">
        <f t="shared" si="1404"/>
        <v>0</v>
      </c>
      <c r="N3790" s="76">
        <f t="shared" si="1405"/>
        <v>1</v>
      </c>
      <c r="O3790" s="77">
        <f t="shared" si="1406"/>
        <v>1</v>
      </c>
      <c r="P3790" s="76">
        <f t="shared" si="1407"/>
        <v>0</v>
      </c>
      <c r="Q3790" s="76">
        <f t="shared" si="1408"/>
        <v>0</v>
      </c>
      <c r="R3790" s="76">
        <f t="shared" si="1409"/>
        <v>1</v>
      </c>
      <c r="S3790" s="76">
        <f t="shared" si="1410"/>
        <v>1</v>
      </c>
      <c r="T3790" s="76">
        <f t="shared" si="1411"/>
        <v>1</v>
      </c>
      <c r="U3790" s="76">
        <f t="shared" si="1412"/>
        <v>1</v>
      </c>
    </row>
    <row r="3791" spans="1:21" x14ac:dyDescent="0.25">
      <c r="A3791" s="71">
        <v>41</v>
      </c>
      <c r="B3791" s="72">
        <f t="shared" si="1413"/>
        <v>46874</v>
      </c>
      <c r="C3791" s="73">
        <f t="shared" si="1394"/>
        <v>46904</v>
      </c>
      <c r="D3791" s="67">
        <f t="shared" si="1395"/>
        <v>31</v>
      </c>
      <c r="E3791" s="67">
        <f t="shared" si="1396"/>
        <v>5</v>
      </c>
      <c r="F3791" s="74">
        <f t="shared" si="1397"/>
        <v>46889.5</v>
      </c>
      <c r="G3791" s="67">
        <f t="shared" si="1398"/>
        <v>24340</v>
      </c>
      <c r="H3791" s="75">
        <f t="shared" si="1399"/>
        <v>1</v>
      </c>
      <c r="I3791" s="76">
        <f t="shared" si="1400"/>
        <v>1</v>
      </c>
      <c r="J3791" s="76">
        <f t="shared" si="1401"/>
        <v>1</v>
      </c>
      <c r="K3791" s="67">
        <f t="shared" si="1402"/>
        <v>0</v>
      </c>
      <c r="L3791" s="67">
        <f t="shared" si="1403"/>
        <v>0</v>
      </c>
      <c r="M3791" s="77">
        <f t="shared" si="1404"/>
        <v>0</v>
      </c>
      <c r="N3791" s="76">
        <f t="shared" si="1405"/>
        <v>1</v>
      </c>
      <c r="O3791" s="77">
        <f t="shared" si="1406"/>
        <v>1</v>
      </c>
      <c r="P3791" s="76">
        <f t="shared" si="1407"/>
        <v>0</v>
      </c>
      <c r="Q3791" s="76">
        <f t="shared" si="1408"/>
        <v>0</v>
      </c>
      <c r="R3791" s="76">
        <f t="shared" si="1409"/>
        <v>1</v>
      </c>
      <c r="S3791" s="76">
        <f t="shared" si="1410"/>
        <v>1</v>
      </c>
      <c r="T3791" s="76">
        <f t="shared" si="1411"/>
        <v>1</v>
      </c>
      <c r="U3791" s="76">
        <f t="shared" si="1412"/>
        <v>1</v>
      </c>
    </row>
    <row r="3792" spans="1:21" x14ac:dyDescent="0.25">
      <c r="A3792" s="71">
        <v>42</v>
      </c>
      <c r="B3792" s="72">
        <f t="shared" si="1413"/>
        <v>46905</v>
      </c>
      <c r="C3792" s="73">
        <f t="shared" si="1394"/>
        <v>46934</v>
      </c>
      <c r="D3792" s="67">
        <f t="shared" si="1395"/>
        <v>30</v>
      </c>
      <c r="E3792" s="67">
        <f t="shared" si="1396"/>
        <v>6</v>
      </c>
      <c r="F3792" s="74">
        <f t="shared" si="1397"/>
        <v>46920</v>
      </c>
      <c r="G3792" s="67">
        <f t="shared" si="1398"/>
        <v>24341</v>
      </c>
      <c r="H3792" s="75">
        <f t="shared" si="1399"/>
        <v>1</v>
      </c>
      <c r="I3792" s="76">
        <f t="shared" si="1400"/>
        <v>1</v>
      </c>
      <c r="J3792" s="76">
        <f t="shared" si="1401"/>
        <v>1</v>
      </c>
      <c r="K3792" s="67">
        <f t="shared" si="1402"/>
        <v>0</v>
      </c>
      <c r="L3792" s="67">
        <f t="shared" si="1403"/>
        <v>0</v>
      </c>
      <c r="M3792" s="77">
        <f t="shared" si="1404"/>
        <v>0</v>
      </c>
      <c r="N3792" s="76">
        <f t="shared" si="1405"/>
        <v>1</v>
      </c>
      <c r="O3792" s="77">
        <f t="shared" si="1406"/>
        <v>1</v>
      </c>
      <c r="P3792" s="76">
        <f t="shared" si="1407"/>
        <v>0</v>
      </c>
      <c r="Q3792" s="76">
        <f t="shared" si="1408"/>
        <v>0</v>
      </c>
      <c r="R3792" s="76">
        <f t="shared" si="1409"/>
        <v>1</v>
      </c>
      <c r="S3792" s="76">
        <f t="shared" si="1410"/>
        <v>1</v>
      </c>
      <c r="T3792" s="76">
        <f t="shared" si="1411"/>
        <v>1</v>
      </c>
      <c r="U3792" s="76">
        <f t="shared" si="1412"/>
        <v>1</v>
      </c>
    </row>
    <row r="3793" spans="1:39" x14ac:dyDescent="0.25">
      <c r="A3793" s="71">
        <v>43</v>
      </c>
      <c r="B3793" s="72">
        <f t="shared" si="1413"/>
        <v>46935</v>
      </c>
      <c r="C3793" s="73">
        <f t="shared" si="1394"/>
        <v>46965</v>
      </c>
      <c r="D3793" s="67">
        <f t="shared" si="1395"/>
        <v>31</v>
      </c>
      <c r="E3793" s="67">
        <f t="shared" si="1396"/>
        <v>7</v>
      </c>
      <c r="F3793" s="74">
        <f t="shared" si="1397"/>
        <v>46950.5</v>
      </c>
      <c r="G3793" s="67">
        <f t="shared" si="1398"/>
        <v>24342</v>
      </c>
      <c r="H3793" s="75">
        <f t="shared" si="1399"/>
        <v>1</v>
      </c>
      <c r="I3793" s="76">
        <f t="shared" si="1400"/>
        <v>1</v>
      </c>
      <c r="J3793" s="76">
        <f t="shared" si="1401"/>
        <v>1</v>
      </c>
      <c r="K3793" s="67">
        <f t="shared" si="1402"/>
        <v>0</v>
      </c>
      <c r="L3793" s="67">
        <f t="shared" si="1403"/>
        <v>0</v>
      </c>
      <c r="M3793" s="77">
        <f t="shared" si="1404"/>
        <v>0</v>
      </c>
      <c r="N3793" s="76">
        <f t="shared" si="1405"/>
        <v>1</v>
      </c>
      <c r="O3793" s="77">
        <f t="shared" si="1406"/>
        <v>1</v>
      </c>
      <c r="P3793" s="76">
        <f t="shared" si="1407"/>
        <v>0</v>
      </c>
      <c r="Q3793" s="76">
        <f t="shared" si="1408"/>
        <v>0</v>
      </c>
      <c r="R3793" s="76">
        <f t="shared" si="1409"/>
        <v>0.91666666666666663</v>
      </c>
      <c r="S3793" s="76">
        <f t="shared" si="1410"/>
        <v>1</v>
      </c>
      <c r="T3793" s="76">
        <f t="shared" si="1411"/>
        <v>1</v>
      </c>
      <c r="U3793" s="76">
        <f t="shared" si="1412"/>
        <v>1</v>
      </c>
    </row>
    <row r="3794" spans="1:39" x14ac:dyDescent="0.25">
      <c r="A3794" s="71">
        <v>44</v>
      </c>
      <c r="B3794" s="72">
        <f t="shared" si="1413"/>
        <v>46966</v>
      </c>
      <c r="C3794" s="73">
        <f t="shared" si="1394"/>
        <v>46996</v>
      </c>
      <c r="D3794" s="67">
        <f t="shared" si="1395"/>
        <v>31</v>
      </c>
      <c r="E3794" s="67">
        <f t="shared" si="1396"/>
        <v>8</v>
      </c>
      <c r="F3794" s="74">
        <f t="shared" si="1397"/>
        <v>46981.5</v>
      </c>
      <c r="G3794" s="67">
        <f t="shared" si="1398"/>
        <v>24343</v>
      </c>
      <c r="H3794" s="75">
        <f t="shared" si="1399"/>
        <v>1</v>
      </c>
      <c r="I3794" s="76">
        <f t="shared" si="1400"/>
        <v>1</v>
      </c>
      <c r="J3794" s="76">
        <f t="shared" si="1401"/>
        <v>1</v>
      </c>
      <c r="K3794" s="67">
        <f t="shared" si="1402"/>
        <v>0</v>
      </c>
      <c r="L3794" s="67">
        <f t="shared" si="1403"/>
        <v>0</v>
      </c>
      <c r="M3794" s="77">
        <f t="shared" si="1404"/>
        <v>0</v>
      </c>
      <c r="N3794" s="76">
        <f t="shared" si="1405"/>
        <v>1</v>
      </c>
      <c r="O3794" s="77">
        <f t="shared" si="1406"/>
        <v>1</v>
      </c>
      <c r="P3794" s="76">
        <f t="shared" si="1407"/>
        <v>0</v>
      </c>
      <c r="Q3794" s="76">
        <f t="shared" si="1408"/>
        <v>0</v>
      </c>
      <c r="R3794" s="76">
        <f t="shared" si="1409"/>
        <v>0.75</v>
      </c>
      <c r="S3794" s="76">
        <f t="shared" si="1410"/>
        <v>1</v>
      </c>
      <c r="T3794" s="76">
        <f t="shared" si="1411"/>
        <v>1</v>
      </c>
      <c r="U3794" s="76">
        <f t="shared" si="1412"/>
        <v>1</v>
      </c>
    </row>
    <row r="3795" spans="1:39" x14ac:dyDescent="0.25">
      <c r="A3795" s="71">
        <v>45</v>
      </c>
      <c r="B3795" s="72">
        <f t="shared" si="1413"/>
        <v>46997</v>
      </c>
      <c r="C3795" s="73">
        <f t="shared" si="1394"/>
        <v>47026</v>
      </c>
      <c r="D3795" s="67">
        <f t="shared" si="1395"/>
        <v>30</v>
      </c>
      <c r="E3795" s="67">
        <f t="shared" si="1396"/>
        <v>9</v>
      </c>
      <c r="F3795" s="74">
        <f t="shared" si="1397"/>
        <v>47012</v>
      </c>
      <c r="G3795" s="67">
        <f t="shared" si="1398"/>
        <v>24344</v>
      </c>
      <c r="H3795" s="75">
        <f t="shared" si="1399"/>
        <v>1</v>
      </c>
      <c r="I3795" s="76">
        <f t="shared" si="1400"/>
        <v>1</v>
      </c>
      <c r="J3795" s="76">
        <f t="shared" si="1401"/>
        <v>1</v>
      </c>
      <c r="K3795" s="67">
        <f t="shared" si="1402"/>
        <v>0</v>
      </c>
      <c r="L3795" s="67">
        <f t="shared" si="1403"/>
        <v>0</v>
      </c>
      <c r="M3795" s="77">
        <f t="shared" si="1404"/>
        <v>0</v>
      </c>
      <c r="N3795" s="76">
        <f t="shared" si="1405"/>
        <v>1</v>
      </c>
      <c r="O3795" s="77">
        <f t="shared" si="1406"/>
        <v>1</v>
      </c>
      <c r="P3795" s="76">
        <f t="shared" si="1407"/>
        <v>0</v>
      </c>
      <c r="Q3795" s="76">
        <f t="shared" si="1408"/>
        <v>0</v>
      </c>
      <c r="R3795" s="76">
        <f t="shared" si="1409"/>
        <v>0.58333333333333337</v>
      </c>
      <c r="S3795" s="76">
        <f t="shared" si="1410"/>
        <v>1</v>
      </c>
      <c r="T3795" s="76">
        <f t="shared" si="1411"/>
        <v>1</v>
      </c>
      <c r="U3795" s="76">
        <f t="shared" si="1412"/>
        <v>1</v>
      </c>
    </row>
    <row r="3796" spans="1:39" x14ac:dyDescent="0.25">
      <c r="A3796" s="71">
        <v>46</v>
      </c>
      <c r="B3796" s="72">
        <f t="shared" si="1413"/>
        <v>47027</v>
      </c>
      <c r="C3796" s="73">
        <f t="shared" si="1394"/>
        <v>47057</v>
      </c>
      <c r="D3796" s="67">
        <f t="shared" si="1395"/>
        <v>31</v>
      </c>
      <c r="E3796" s="67">
        <f t="shared" si="1396"/>
        <v>10</v>
      </c>
      <c r="F3796" s="74">
        <f t="shared" si="1397"/>
        <v>47042.5</v>
      </c>
      <c r="G3796" s="67">
        <f t="shared" si="1398"/>
        <v>24345</v>
      </c>
      <c r="H3796" s="75">
        <f t="shared" si="1399"/>
        <v>1</v>
      </c>
      <c r="I3796" s="76">
        <f t="shared" si="1400"/>
        <v>1</v>
      </c>
      <c r="J3796" s="76">
        <f t="shared" si="1401"/>
        <v>1</v>
      </c>
      <c r="K3796" s="67">
        <f t="shared" si="1402"/>
        <v>0</v>
      </c>
      <c r="L3796" s="67">
        <f t="shared" si="1403"/>
        <v>0</v>
      </c>
      <c r="M3796" s="77">
        <f t="shared" si="1404"/>
        <v>0</v>
      </c>
      <c r="N3796" s="76">
        <f t="shared" si="1405"/>
        <v>1</v>
      </c>
      <c r="O3796" s="77">
        <f t="shared" si="1406"/>
        <v>1</v>
      </c>
      <c r="P3796" s="76">
        <f t="shared" si="1407"/>
        <v>0</v>
      </c>
      <c r="Q3796" s="76">
        <f t="shared" si="1408"/>
        <v>0</v>
      </c>
      <c r="R3796" s="76">
        <f t="shared" si="1409"/>
        <v>0.41666666666666669</v>
      </c>
      <c r="S3796" s="76">
        <f t="shared" si="1410"/>
        <v>1</v>
      </c>
      <c r="T3796" s="76">
        <f t="shared" si="1411"/>
        <v>1</v>
      </c>
      <c r="U3796" s="76">
        <f t="shared" si="1412"/>
        <v>1</v>
      </c>
    </row>
    <row r="3797" spans="1:39" x14ac:dyDescent="0.25">
      <c r="A3797" s="71">
        <v>47</v>
      </c>
      <c r="B3797" s="72">
        <f t="shared" si="1413"/>
        <v>47058</v>
      </c>
      <c r="C3797" s="73">
        <f t="shared" si="1394"/>
        <v>47087</v>
      </c>
      <c r="D3797" s="67">
        <f t="shared" si="1395"/>
        <v>30</v>
      </c>
      <c r="E3797" s="67">
        <f t="shared" si="1396"/>
        <v>11</v>
      </c>
      <c r="F3797" s="74">
        <f t="shared" si="1397"/>
        <v>47073</v>
      </c>
      <c r="G3797" s="67">
        <f t="shared" si="1398"/>
        <v>24346</v>
      </c>
      <c r="H3797" s="75">
        <f t="shared" si="1399"/>
        <v>1</v>
      </c>
      <c r="I3797" s="76">
        <f t="shared" si="1400"/>
        <v>1</v>
      </c>
      <c r="J3797" s="76">
        <f t="shared" si="1401"/>
        <v>1</v>
      </c>
      <c r="K3797" s="67">
        <f t="shared" si="1402"/>
        <v>0</v>
      </c>
      <c r="L3797" s="67">
        <f t="shared" si="1403"/>
        <v>0</v>
      </c>
      <c r="M3797" s="77">
        <f t="shared" si="1404"/>
        <v>0</v>
      </c>
      <c r="N3797" s="76">
        <f t="shared" si="1405"/>
        <v>1</v>
      </c>
      <c r="O3797" s="77">
        <f t="shared" si="1406"/>
        <v>1</v>
      </c>
      <c r="P3797" s="76">
        <f t="shared" si="1407"/>
        <v>0</v>
      </c>
      <c r="Q3797" s="76">
        <f t="shared" si="1408"/>
        <v>0</v>
      </c>
      <c r="R3797" s="76">
        <f t="shared" si="1409"/>
        <v>0.25</v>
      </c>
      <c r="S3797" s="76">
        <f t="shared" si="1410"/>
        <v>1</v>
      </c>
      <c r="T3797" s="76">
        <f t="shared" si="1411"/>
        <v>1</v>
      </c>
      <c r="U3797" s="76">
        <f t="shared" si="1412"/>
        <v>1</v>
      </c>
    </row>
    <row r="3798" spans="1:39" x14ac:dyDescent="0.25">
      <c r="A3798" s="71">
        <v>48</v>
      </c>
      <c r="B3798" s="72">
        <f t="shared" si="1413"/>
        <v>47088</v>
      </c>
      <c r="C3798" s="73">
        <f t="shared" si="1394"/>
        <v>47118</v>
      </c>
      <c r="D3798" s="67">
        <f t="shared" si="1395"/>
        <v>31</v>
      </c>
      <c r="E3798" s="67">
        <f t="shared" si="1396"/>
        <v>12</v>
      </c>
      <c r="F3798" s="74">
        <f t="shared" si="1397"/>
        <v>47103.5</v>
      </c>
      <c r="G3798" s="67">
        <f t="shared" si="1398"/>
        <v>24347</v>
      </c>
      <c r="H3798" s="75">
        <f t="shared" si="1399"/>
        <v>1</v>
      </c>
      <c r="I3798" s="76">
        <f t="shared" si="1400"/>
        <v>1</v>
      </c>
      <c r="J3798" s="76">
        <f t="shared" si="1401"/>
        <v>1</v>
      </c>
      <c r="K3798" s="67">
        <f t="shared" si="1402"/>
        <v>0</v>
      </c>
      <c r="L3798" s="67">
        <f t="shared" si="1403"/>
        <v>0</v>
      </c>
      <c r="M3798" s="77">
        <f t="shared" si="1404"/>
        <v>0</v>
      </c>
      <c r="N3798" s="76">
        <f t="shared" si="1405"/>
        <v>1</v>
      </c>
      <c r="O3798" s="77">
        <f t="shared" si="1406"/>
        <v>1</v>
      </c>
      <c r="P3798" s="76">
        <f t="shared" si="1407"/>
        <v>0</v>
      </c>
      <c r="Q3798" s="76">
        <f t="shared" si="1408"/>
        <v>0</v>
      </c>
      <c r="R3798" s="76">
        <f t="shared" si="1409"/>
        <v>8.3333333333333329E-2</v>
      </c>
      <c r="S3798" s="76">
        <f t="shared" si="1410"/>
        <v>1</v>
      </c>
      <c r="T3798" s="76">
        <f t="shared" si="1411"/>
        <v>1</v>
      </c>
      <c r="U3798" s="76">
        <f t="shared" si="1412"/>
        <v>1</v>
      </c>
    </row>
    <row r="3799" spans="1:39" x14ac:dyDescent="0.25">
      <c r="A3799" s="81" t="s">
        <v>1187</v>
      </c>
      <c r="B3799" s="53">
        <f>EXP(SUMPRODUCT((rl_key=$A$3748)*(rl_cons="Y")*rl_ln1p))</f>
        <v>1</v>
      </c>
      <c r="C3799" s="53">
        <f>SUMPRODUCT($H$3751:$H$3798,$P$3751:$P$3798,$U$3751:$U$3798)/SUMPRODUCT($H$3751:$H$3798,$P$3751:$P$3798)</f>
        <v>1</v>
      </c>
      <c r="D3799" s="53">
        <f>SUMPRODUCT($H$3751:$H$3798,$Q$3751:$Q$3798,$U$3751:$U$3798)/SUMPRODUCT($H$3751:$H$3798,$Q$3751:$Q$3798)</f>
        <v>1</v>
      </c>
      <c r="E3799" s="53">
        <f>SUMPRODUCT($H$3751:$H$3798,$R$3751:$R$3798,$U$3751:$U$3798)/SUMPRODUCT($H$3751:$H$3798,$R$3751:$R$3798)</f>
        <v>1</v>
      </c>
      <c r="F3799" s="172">
        <f>SUMPRODUCT($H$3751:$H$3798,$Q$3751:$Q$3798,$O$3751:$O$3798)/SUMPRODUCT($H$3751:$H$3798,$Q$3751:$Q$3798)</f>
        <v>1</v>
      </c>
      <c r="G3799" s="172">
        <f>SUMPRODUCT($H$3751:$H$3798,$R$3751:$R$3798,$O$3751:$O$3798)/SUMPRODUCT($H$3751:$H$3798,$R$3751:$R$3798)</f>
        <v>1</v>
      </c>
    </row>
    <row r="3804" spans="1:39" x14ac:dyDescent="0.25">
      <c r="A3804" s="188" t="s">
        <v>1188</v>
      </c>
    </row>
    <row r="3805" spans="1:39" x14ac:dyDescent="0.25">
      <c r="A3805" s="109" t="s">
        <v>1189</v>
      </c>
      <c r="B3805" s="109" t="s">
        <v>1190</v>
      </c>
      <c r="C3805" s="109" t="s">
        <v>1191</v>
      </c>
      <c r="D3805" s="109" t="s">
        <v>1192</v>
      </c>
      <c r="E3805" s="109" t="s">
        <v>1193</v>
      </c>
      <c r="F3805" s="109" t="s">
        <v>1194</v>
      </c>
      <c r="G3805" s="109" t="s">
        <v>1195</v>
      </c>
      <c r="H3805" s="109" t="s">
        <v>1196</v>
      </c>
      <c r="I3805" s="109" t="s">
        <v>1197</v>
      </c>
      <c r="K3805" s="109" t="s">
        <v>1198</v>
      </c>
      <c r="L3805" s="109" t="s">
        <v>1199</v>
      </c>
      <c r="M3805" s="109" t="s">
        <v>1200</v>
      </c>
      <c r="N3805" s="109" t="s">
        <v>1201</v>
      </c>
      <c r="O3805" s="109" t="s">
        <v>1202</v>
      </c>
      <c r="P3805" s="109" t="s">
        <v>1203</v>
      </c>
      <c r="Q3805" s="109" t="s">
        <v>1204</v>
      </c>
      <c r="R3805" s="109" t="s">
        <v>1205</v>
      </c>
      <c r="S3805" s="109" t="s">
        <v>1206</v>
      </c>
      <c r="U3805" s="109" t="s">
        <v>1207</v>
      </c>
      <c r="V3805" s="109" t="s">
        <v>1208</v>
      </c>
      <c r="W3805" s="109" t="s">
        <v>1209</v>
      </c>
      <c r="X3805" s="109" t="s">
        <v>1210</v>
      </c>
      <c r="Y3805" s="109" t="s">
        <v>1211</v>
      </c>
      <c r="Z3805" s="109" t="s">
        <v>1212</v>
      </c>
      <c r="AA3805" s="109" t="s">
        <v>1213</v>
      </c>
      <c r="AB3805" s="109" t="s">
        <v>1214</v>
      </c>
      <c r="AC3805" s="109" t="s">
        <v>1215</v>
      </c>
      <c r="AE3805" s="109" t="s">
        <v>1216</v>
      </c>
      <c r="AF3805" s="109" t="s">
        <v>1217</v>
      </c>
      <c r="AG3805" s="109" t="s">
        <v>1218</v>
      </c>
      <c r="AH3805" s="109" t="s">
        <v>1219</v>
      </c>
      <c r="AI3805" s="109" t="s">
        <v>1220</v>
      </c>
      <c r="AJ3805" s="109" t="s">
        <v>1221</v>
      </c>
      <c r="AK3805" s="109" t="s">
        <v>1222</v>
      </c>
      <c r="AL3805" s="109" t="s">
        <v>1223</v>
      </c>
      <c r="AM3805" s="109" t="s">
        <v>1224</v>
      </c>
    </row>
    <row r="3806" spans="1:39" x14ac:dyDescent="0.25">
      <c r="A3806" s="54">
        <f>IF(Inputs!$C$80="","",IF(Inputs!$E$80="planned",EDATE(Inputs!$C$80,N(INDEX(sc_shift,1))),Inputs!$C$80))</f>
        <v>45839</v>
      </c>
      <c r="B3806" s="54">
        <f t="shared" ref="B3806:B3869" si="1414">IF($A3806="","",DATE(YEAR($A3806),MONTH($A3806),1))</f>
        <v>45839</v>
      </c>
      <c r="C3806" s="52">
        <f>IF(N(INDEX(sc_ach,1))=0,IF(Inputs!$G$80="",1,Inputs!$G$80),INDEX(sc_ach,1))</f>
        <v>1</v>
      </c>
      <c r="D3806" s="52">
        <f>IF(Inputs!$C$80="",0,IF(Inputs!$E$80="planned",(Inputs!$D$80+N(INDEX(sc_dpts,1)))*$C3806,Inputs!$D$80))</f>
        <v>0.04</v>
      </c>
      <c r="E3806" s="53">
        <f>IF(Inputs!$C$80="",0,IF(1+$D3806&gt;0,LN(1+$D3806),0))</f>
        <v>3.9220713153281329E-2</v>
      </c>
      <c r="F3806" s="55">
        <f t="shared" ref="F3806:F3869" si="1415">IF($A3806="",0,EOMONTH($A3806,0)-$A3806+1)</f>
        <v>31</v>
      </c>
      <c r="G3806" s="55">
        <f>IF($A3806="",0,COUNTIFS(rl_key,Inputs!$J$80,$B$3806:$B$4045,$B3806,$A$3806:$A$4045,"&lt;"&amp;$A3806))</f>
        <v>0</v>
      </c>
      <c r="H3806" s="55">
        <f>IF($A3806="",0,COUNTIFS(Inputs!$J$80:$J$80,Inputs!$J$80,$B$3806:$B3806,$B3806,$A$3806:$A3806,$A3806))</f>
        <v>1</v>
      </c>
      <c r="I3806" s="55">
        <f t="shared" ref="I3806:I3869" si="1416">IF($A3806="",0,IF(AND($G3806=0,$H3806=1),1,0))</f>
        <v>1</v>
      </c>
      <c r="K3806" s="54">
        <f>IF(Inputs!$C$80="","",IF(Inputs!$E$80="planned",EDATE(Inputs!$C$80,N(INDEX(sc_shift,2))),Inputs!$C$80))</f>
        <v>45839</v>
      </c>
      <c r="L3806" s="54">
        <f t="shared" ref="L3806:L3869" si="1417">IF($K3806="","",DATE(YEAR($K3806),MONTH($K3806),1))</f>
        <v>45839</v>
      </c>
      <c r="M3806" s="52">
        <f>IF(N(INDEX(sc_ach,2))=0,IF(Inputs!$G$80="",1,Inputs!$G$80),INDEX(sc_ach,2))</f>
        <v>1</v>
      </c>
      <c r="N3806" s="52">
        <f>IF(Inputs!$C$80="",0,IF(Inputs!$E$80="planned",(Inputs!$D$80+N(INDEX(sc_dpts,2)))*$M3806,Inputs!$D$80))</f>
        <v>0.04</v>
      </c>
      <c r="O3806" s="53">
        <f>IF(Inputs!$C$80="",0,IF(1+$N3806&gt;0,LN(1+$N3806),0))</f>
        <v>3.9220713153281329E-2</v>
      </c>
      <c r="P3806" s="55">
        <f t="shared" ref="P3806:P3869" si="1418">IF($K3806="",0,EOMONTH($K3806,0)-$K3806+1)</f>
        <v>31</v>
      </c>
      <c r="Q3806" s="55">
        <f>IF($K3806="",0,COUNTIFS(rl_key,Inputs!$J$80,$L$3806:$L$4045,$L3806,$K$3806:$K$4045,"&lt;"&amp;$K3806))</f>
        <v>0</v>
      </c>
      <c r="R3806" s="55">
        <f>IF($K3806="",0,COUNTIFS(Inputs!$J$80:$J$80,Inputs!$J$80,$L$3806:$L3806,$L3806,$K$3806:$K3806,$K3806))</f>
        <v>1</v>
      </c>
      <c r="S3806" s="55">
        <f t="shared" ref="S3806:S3869" si="1419">IF($K3806="",0,IF(AND($Q3806=0,$R3806=1),1,0))</f>
        <v>1</v>
      </c>
      <c r="U3806" s="54">
        <f>IF(Inputs!$C$80="","",IF(Inputs!$E$80="planned",EDATE(Inputs!$C$80,N(INDEX(sc_shift,3))),Inputs!$C$80))</f>
        <v>45839</v>
      </c>
      <c r="V3806" s="54">
        <f t="shared" ref="V3806:V3869" si="1420">IF($U3806="","",DATE(YEAR($U3806),MONTH($U3806),1))</f>
        <v>45839</v>
      </c>
      <c r="W3806" s="52">
        <f>IF(N(INDEX(sc_ach,3))=0,IF(Inputs!$G$80="",1,Inputs!$G$80),INDEX(sc_ach,3))</f>
        <v>1</v>
      </c>
      <c r="X3806" s="52">
        <f>IF(Inputs!$C$80="",0,IF(Inputs!$E$80="planned",(Inputs!$D$80+N(INDEX(sc_dpts,3)))*$W3806,Inputs!$D$80))</f>
        <v>0.04</v>
      </c>
      <c r="Y3806" s="53">
        <f>IF(Inputs!$C$80="",0,IF(1+$X3806&gt;0,LN(1+$X3806),0))</f>
        <v>3.9220713153281329E-2</v>
      </c>
      <c r="Z3806" s="55">
        <f t="shared" ref="Z3806:Z3869" si="1421">IF($U3806="",0,EOMONTH($U3806,0)-$U3806+1)</f>
        <v>31</v>
      </c>
      <c r="AA3806" s="55">
        <f>IF($U3806="",0,COUNTIFS(rl_key,Inputs!$J$80,$V$3806:$V$4045,$V3806,$U$3806:$U$4045,"&lt;"&amp;$U3806))</f>
        <v>0</v>
      </c>
      <c r="AB3806" s="55">
        <f>IF($U3806="",0,COUNTIFS(Inputs!$J$80:$J$80,Inputs!$J$80,$V$3806:$V3806,$V3806,$U$3806:$U3806,$U3806))</f>
        <v>1</v>
      </c>
      <c r="AC3806" s="55">
        <f t="shared" ref="AC3806:AC3869" si="1422">IF($U3806="",0,IF(AND($AA3806=0,$AB3806=1),1,0))</f>
        <v>1</v>
      </c>
      <c r="AE3806" s="54">
        <f>IF(Inputs!$C$80="","",IF(Inputs!$E$80="planned",EDATE(Inputs!$C$80,N(INDEX(sc_shift,4))),Inputs!$C$80))</f>
        <v>45839</v>
      </c>
      <c r="AF3806" s="54">
        <f t="shared" ref="AF3806:AF3869" si="1423">IF($AE3806="","",DATE(YEAR($AE3806),MONTH($AE3806),1))</f>
        <v>45839</v>
      </c>
      <c r="AG3806" s="52">
        <f>IF(N(INDEX(sc_ach,4))=0,IF(Inputs!$G$80="",1,Inputs!$G$80),INDEX(sc_ach,4))</f>
        <v>1</v>
      </c>
      <c r="AH3806" s="52">
        <f>IF(Inputs!$C$80="",0,IF(Inputs!$E$80="planned",(Inputs!$D$80+N(INDEX(sc_dpts,4)))*$AG3806,Inputs!$D$80))</f>
        <v>0.04</v>
      </c>
      <c r="AI3806" s="53">
        <f>IF(Inputs!$C$80="",0,IF(1+$AH3806&gt;0,LN(1+$AH3806),0))</f>
        <v>3.9220713153281329E-2</v>
      </c>
      <c r="AJ3806" s="55">
        <f t="shared" ref="AJ3806:AJ3869" si="1424">IF($AE3806="",0,EOMONTH($AE3806,0)-$AE3806+1)</f>
        <v>31</v>
      </c>
      <c r="AK3806" s="55">
        <f>IF($AE3806="",0,COUNTIFS(rl_key,Inputs!$J$80,$AF$3806:$AF$4045,$AF3806,$AE$3806:$AE$4045,"&lt;"&amp;$AE3806))</f>
        <v>0</v>
      </c>
      <c r="AL3806" s="55">
        <f>IF($AE3806="",0,COUNTIFS(Inputs!$J$80:$J$80,Inputs!$J$80,$AF$3806:$AF3806,$AF3806,$AE$3806:$AE3806,$AE3806))</f>
        <v>1</v>
      </c>
      <c r="AM3806" s="55">
        <f t="shared" ref="AM3806:AM3869" si="1425">IF($AE3806="",0,IF(AND($AK3806=0,$AL3806=1),1,0))</f>
        <v>1</v>
      </c>
    </row>
    <row r="3807" spans="1:39" x14ac:dyDescent="0.25">
      <c r="A3807" s="54">
        <f>IF(Inputs!$C$81="","",IF(Inputs!$E$81="planned",EDATE(Inputs!$C$81,N(INDEX(sc_shift,1))),Inputs!$C$81))</f>
        <v>46204</v>
      </c>
      <c r="B3807" s="54">
        <f t="shared" si="1414"/>
        <v>46204</v>
      </c>
      <c r="C3807" s="52">
        <f>IF(N(INDEX(sc_ach,1))=0,IF(Inputs!$G$81="",1,Inputs!$G$81),INDEX(sc_ach,1))</f>
        <v>1</v>
      </c>
      <c r="D3807" s="52">
        <f>IF(Inputs!$C$81="",0,IF(Inputs!$E$81="planned",(Inputs!$D$81+N(INDEX(sc_dpts,1)))*$C3807,Inputs!$D$81))</f>
        <v>0.06</v>
      </c>
      <c r="E3807" s="53">
        <f>IF(Inputs!$C$81="",0,IF(1+$D3807&gt;0,LN(1+$D3807),0))</f>
        <v>5.8268908123975824E-2</v>
      </c>
      <c r="F3807" s="55">
        <f t="shared" si="1415"/>
        <v>31</v>
      </c>
      <c r="G3807" s="55">
        <f>IF($A3807="",0,COUNTIFS(rl_key,Inputs!$J$81,$B$3806:$B$4045,$B3807,$A$3806:$A$4045,"&lt;"&amp;$A3807))</f>
        <v>0</v>
      </c>
      <c r="H3807" s="55">
        <f>IF($A3807="",0,COUNTIFS(Inputs!$J$80:$J$81,Inputs!$J$81,$B$3806:$B3807,$B3807,$A$3806:$A3807,$A3807))</f>
        <v>1</v>
      </c>
      <c r="I3807" s="55">
        <f t="shared" si="1416"/>
        <v>1</v>
      </c>
      <c r="K3807" s="54">
        <f>IF(Inputs!$C$81="","",IF(Inputs!$E$81="planned",EDATE(Inputs!$C$81,N(INDEX(sc_shift,2))),Inputs!$C$81))</f>
        <v>46204</v>
      </c>
      <c r="L3807" s="54">
        <f t="shared" si="1417"/>
        <v>46204</v>
      </c>
      <c r="M3807" s="52">
        <f>IF(N(INDEX(sc_ach,2))=0,IF(Inputs!$G$81="",1,Inputs!$G$81),INDEX(sc_ach,2))</f>
        <v>1</v>
      </c>
      <c r="N3807" s="52">
        <f>IF(Inputs!$C$81="",0,IF(Inputs!$E$81="planned",(Inputs!$D$81+N(INDEX(sc_dpts,2)))*$M3807,Inputs!$D$81))</f>
        <v>0.06</v>
      </c>
      <c r="O3807" s="53">
        <f>IF(Inputs!$C$81="",0,IF(1+$N3807&gt;0,LN(1+$N3807),0))</f>
        <v>5.8268908123975824E-2</v>
      </c>
      <c r="P3807" s="55">
        <f t="shared" si="1418"/>
        <v>31</v>
      </c>
      <c r="Q3807" s="55">
        <f>IF($K3807="",0,COUNTIFS(rl_key,Inputs!$J$81,$L$3806:$L$4045,$L3807,$K$3806:$K$4045,"&lt;"&amp;$K3807))</f>
        <v>0</v>
      </c>
      <c r="R3807" s="55">
        <f>IF($K3807="",0,COUNTIFS(Inputs!$J$80:$J$81,Inputs!$J$81,$L$3806:$L3807,$L3807,$K$3806:$K3807,$K3807))</f>
        <v>1</v>
      </c>
      <c r="S3807" s="55">
        <f t="shared" si="1419"/>
        <v>1</v>
      </c>
      <c r="U3807" s="54">
        <f>IF(Inputs!$C$81="","",IF(Inputs!$E$81="planned",EDATE(Inputs!$C$81,N(INDEX(sc_shift,3))),Inputs!$C$81))</f>
        <v>46204</v>
      </c>
      <c r="V3807" s="54">
        <f t="shared" si="1420"/>
        <v>46204</v>
      </c>
      <c r="W3807" s="52">
        <f>IF(N(INDEX(sc_ach,3))=0,IF(Inputs!$G$81="",1,Inputs!$G$81),INDEX(sc_ach,3))</f>
        <v>1</v>
      </c>
      <c r="X3807" s="52">
        <f>IF(Inputs!$C$81="",0,IF(Inputs!$E$81="planned",(Inputs!$D$81+N(INDEX(sc_dpts,3)))*$W3807,Inputs!$D$81))</f>
        <v>0.06</v>
      </c>
      <c r="Y3807" s="53">
        <f>IF(Inputs!$C$81="",0,IF(1+$X3807&gt;0,LN(1+$X3807),0))</f>
        <v>5.8268908123975824E-2</v>
      </c>
      <c r="Z3807" s="55">
        <f t="shared" si="1421"/>
        <v>31</v>
      </c>
      <c r="AA3807" s="55">
        <f>IF($U3807="",0,COUNTIFS(rl_key,Inputs!$J$81,$V$3806:$V$4045,$V3807,$U$3806:$U$4045,"&lt;"&amp;$U3807))</f>
        <v>0</v>
      </c>
      <c r="AB3807" s="55">
        <f>IF($U3807="",0,COUNTIFS(Inputs!$J$80:$J$81,Inputs!$J$81,$V$3806:$V3807,$V3807,$U$3806:$U3807,$U3807))</f>
        <v>1</v>
      </c>
      <c r="AC3807" s="55">
        <f t="shared" si="1422"/>
        <v>1</v>
      </c>
      <c r="AE3807" s="54">
        <f>IF(Inputs!$C$81="","",IF(Inputs!$E$81="planned",EDATE(Inputs!$C$81,N(INDEX(sc_shift,4))),Inputs!$C$81))</f>
        <v>46204</v>
      </c>
      <c r="AF3807" s="54">
        <f t="shared" si="1423"/>
        <v>46204</v>
      </c>
      <c r="AG3807" s="52">
        <f>IF(N(INDEX(sc_ach,4))=0,IF(Inputs!$G$81="",1,Inputs!$G$81),INDEX(sc_ach,4))</f>
        <v>1</v>
      </c>
      <c r="AH3807" s="52">
        <f>IF(Inputs!$C$81="",0,IF(Inputs!$E$81="planned",(Inputs!$D$81+N(INDEX(sc_dpts,4)))*$AG3807,Inputs!$D$81))</f>
        <v>0.06</v>
      </c>
      <c r="AI3807" s="53">
        <f>IF(Inputs!$C$81="",0,IF(1+$AH3807&gt;0,LN(1+$AH3807),0))</f>
        <v>5.8268908123975824E-2</v>
      </c>
      <c r="AJ3807" s="55">
        <f t="shared" si="1424"/>
        <v>31</v>
      </c>
      <c r="AK3807" s="55">
        <f>IF($AE3807="",0,COUNTIFS(rl_key,Inputs!$J$81,$AF$3806:$AF$4045,$AF3807,$AE$3806:$AE$4045,"&lt;"&amp;$AE3807))</f>
        <v>0</v>
      </c>
      <c r="AL3807" s="55">
        <f>IF($AE3807="",0,COUNTIFS(Inputs!$J$80:$J$81,Inputs!$J$81,$AF$3806:$AF3807,$AF3807,$AE$3806:$AE3807,$AE3807))</f>
        <v>1</v>
      </c>
      <c r="AM3807" s="55">
        <f t="shared" si="1425"/>
        <v>1</v>
      </c>
    </row>
    <row r="3808" spans="1:39" x14ac:dyDescent="0.25">
      <c r="A3808" s="54">
        <f>IF(Inputs!$C$82="","",IF(Inputs!$E$82="planned",EDATE(Inputs!$C$82,N(INDEX(sc_shift,1))),Inputs!$C$82))</f>
        <v>46478</v>
      </c>
      <c r="B3808" s="54">
        <f t="shared" si="1414"/>
        <v>46478</v>
      </c>
      <c r="C3808" s="52">
        <f>IF(N(INDEX(sc_ach,1))=0,IF(Inputs!$G$82="",1,Inputs!$G$82),INDEX(sc_ach,1))</f>
        <v>1</v>
      </c>
      <c r="D3808" s="52">
        <f>IF(Inputs!$C$82="",0,IF(Inputs!$E$82="planned",(Inputs!$D$82+N(INDEX(sc_dpts,1)))*$C3808,Inputs!$D$82))</f>
        <v>0.05</v>
      </c>
      <c r="E3808" s="53">
        <f>IF(Inputs!$C$82="",0,IF(1+$D3808&gt;0,LN(1+$D3808),0))</f>
        <v>4.8790164169432049E-2</v>
      </c>
      <c r="F3808" s="55">
        <f t="shared" si="1415"/>
        <v>30</v>
      </c>
      <c r="G3808" s="55">
        <f>IF($A3808="",0,COUNTIFS(rl_key,Inputs!$J$82,$B$3806:$B$4045,$B3808,$A$3806:$A$4045,"&lt;"&amp;$A3808))</f>
        <v>0</v>
      </c>
      <c r="H3808" s="55">
        <f>IF($A3808="",0,COUNTIFS(Inputs!$J$80:$J$82,Inputs!$J$82,$B$3806:$B3808,$B3808,$A$3806:$A3808,$A3808))</f>
        <v>1</v>
      </c>
      <c r="I3808" s="55">
        <f t="shared" si="1416"/>
        <v>1</v>
      </c>
      <c r="K3808" s="54">
        <f>IF(Inputs!$C$82="","",IF(Inputs!$E$82="planned",EDATE(Inputs!$C$82,N(INDEX(sc_shift,2))),Inputs!$C$82))</f>
        <v>46478</v>
      </c>
      <c r="L3808" s="54">
        <f t="shared" si="1417"/>
        <v>46478</v>
      </c>
      <c r="M3808" s="52">
        <f>IF(N(INDEX(sc_ach,2))=0,IF(Inputs!$G$82="",1,Inputs!$G$82),INDEX(sc_ach,2))</f>
        <v>1</v>
      </c>
      <c r="N3808" s="52">
        <f>IF(Inputs!$C$82="",0,IF(Inputs!$E$82="planned",(Inputs!$D$82+N(INDEX(sc_dpts,2)))*$M3808,Inputs!$D$82))</f>
        <v>0.05</v>
      </c>
      <c r="O3808" s="53">
        <f>IF(Inputs!$C$82="",0,IF(1+$N3808&gt;0,LN(1+$N3808),0))</f>
        <v>4.8790164169432049E-2</v>
      </c>
      <c r="P3808" s="55">
        <f t="shared" si="1418"/>
        <v>30</v>
      </c>
      <c r="Q3808" s="55">
        <f>IF($K3808="",0,COUNTIFS(rl_key,Inputs!$J$82,$L$3806:$L$4045,$L3808,$K$3806:$K$4045,"&lt;"&amp;$K3808))</f>
        <v>0</v>
      </c>
      <c r="R3808" s="55">
        <f>IF($K3808="",0,COUNTIFS(Inputs!$J$80:$J$82,Inputs!$J$82,$L$3806:$L3808,$L3808,$K$3806:$K3808,$K3808))</f>
        <v>1</v>
      </c>
      <c r="S3808" s="55">
        <f t="shared" si="1419"/>
        <v>1</v>
      </c>
      <c r="U3808" s="54">
        <f>IF(Inputs!$C$82="","",IF(Inputs!$E$82="planned",EDATE(Inputs!$C$82,N(INDEX(sc_shift,3))),Inputs!$C$82))</f>
        <v>46478</v>
      </c>
      <c r="V3808" s="54">
        <f t="shared" si="1420"/>
        <v>46478</v>
      </c>
      <c r="W3808" s="52">
        <f>IF(N(INDEX(sc_ach,3))=0,IF(Inputs!$G$82="",1,Inputs!$G$82),INDEX(sc_ach,3))</f>
        <v>1</v>
      </c>
      <c r="X3808" s="52">
        <f>IF(Inputs!$C$82="",0,IF(Inputs!$E$82="planned",(Inputs!$D$82+N(INDEX(sc_dpts,3)))*$W3808,Inputs!$D$82))</f>
        <v>0.05</v>
      </c>
      <c r="Y3808" s="53">
        <f>IF(Inputs!$C$82="",0,IF(1+$X3808&gt;0,LN(1+$X3808),0))</f>
        <v>4.8790164169432049E-2</v>
      </c>
      <c r="Z3808" s="55">
        <f t="shared" si="1421"/>
        <v>30</v>
      </c>
      <c r="AA3808" s="55">
        <f>IF($U3808="",0,COUNTIFS(rl_key,Inputs!$J$82,$V$3806:$V$4045,$V3808,$U$3806:$U$4045,"&lt;"&amp;$U3808))</f>
        <v>0</v>
      </c>
      <c r="AB3808" s="55">
        <f>IF($U3808="",0,COUNTIFS(Inputs!$J$80:$J$82,Inputs!$J$82,$V$3806:$V3808,$V3808,$U$3806:$U3808,$U3808))</f>
        <v>1</v>
      </c>
      <c r="AC3808" s="55">
        <f t="shared" si="1422"/>
        <v>1</v>
      </c>
      <c r="AE3808" s="54">
        <f>IF(Inputs!$C$82="","",IF(Inputs!$E$82="planned",EDATE(Inputs!$C$82,N(INDEX(sc_shift,4))),Inputs!$C$82))</f>
        <v>46478</v>
      </c>
      <c r="AF3808" s="54">
        <f t="shared" si="1423"/>
        <v>46478</v>
      </c>
      <c r="AG3808" s="52">
        <f>IF(N(INDEX(sc_ach,4))=0,IF(Inputs!$G$82="",1,Inputs!$G$82),INDEX(sc_ach,4))</f>
        <v>1</v>
      </c>
      <c r="AH3808" s="52">
        <f>IF(Inputs!$C$82="",0,IF(Inputs!$E$82="planned",(Inputs!$D$82+N(INDEX(sc_dpts,4)))*$AG3808,Inputs!$D$82))</f>
        <v>0.05</v>
      </c>
      <c r="AI3808" s="53">
        <f>IF(Inputs!$C$82="",0,IF(1+$AH3808&gt;0,LN(1+$AH3808),0))</f>
        <v>4.8790164169432049E-2</v>
      </c>
      <c r="AJ3808" s="55">
        <f t="shared" si="1424"/>
        <v>30</v>
      </c>
      <c r="AK3808" s="55">
        <f>IF($AE3808="",0,COUNTIFS(rl_key,Inputs!$J$82,$AF$3806:$AF$4045,$AF3808,$AE$3806:$AE$4045,"&lt;"&amp;$AE3808))</f>
        <v>0</v>
      </c>
      <c r="AL3808" s="55">
        <f>IF($AE3808="",0,COUNTIFS(Inputs!$J$80:$J$82,Inputs!$J$82,$AF$3806:$AF3808,$AF3808,$AE$3806:$AE3808,$AE3808))</f>
        <v>1</v>
      </c>
      <c r="AM3808" s="55">
        <f t="shared" si="1425"/>
        <v>1</v>
      </c>
    </row>
    <row r="3809" spans="1:39" x14ac:dyDescent="0.25">
      <c r="A3809" s="54">
        <f>IF(Inputs!$C$83="","",IF(Inputs!$E$83="planned",EDATE(Inputs!$C$83,N(INDEX(sc_shift,1))),Inputs!$C$83))</f>
        <v>46204</v>
      </c>
      <c r="B3809" s="54">
        <f t="shared" si="1414"/>
        <v>46204</v>
      </c>
      <c r="C3809" s="52">
        <f>IF(N(INDEX(sc_ach,1))=0,IF(Inputs!$G$83="",1,Inputs!$G$83),INDEX(sc_ach,1))</f>
        <v>1</v>
      </c>
      <c r="D3809" s="52">
        <f>IF(Inputs!$C$83="",0,IF(Inputs!$E$83="planned",(Inputs!$D$83+N(INDEX(sc_dpts,1)))*$C3809,Inputs!$D$83))</f>
        <v>6.5000000000000002E-2</v>
      </c>
      <c r="E3809" s="53">
        <f>IF(Inputs!$C$83="",0,IF(1+$D3809&gt;0,LN(1+$D3809),0))</f>
        <v>6.2974799161388387E-2</v>
      </c>
      <c r="F3809" s="55">
        <f t="shared" si="1415"/>
        <v>31</v>
      </c>
      <c r="G3809" s="55">
        <f>IF($A3809="",0,COUNTIFS(rl_key,Inputs!$J$83,$B$3806:$B$4045,$B3809,$A$3806:$A$4045,"&lt;"&amp;$A3809))</f>
        <v>0</v>
      </c>
      <c r="H3809" s="55">
        <f>IF($A3809="",0,COUNTIFS(Inputs!$J$80:$J$83,Inputs!$J$83,$B$3806:$B3809,$B3809,$A$3806:$A3809,$A3809))</f>
        <v>1</v>
      </c>
      <c r="I3809" s="55">
        <f t="shared" si="1416"/>
        <v>1</v>
      </c>
      <c r="K3809" s="54">
        <f>IF(Inputs!$C$83="","",IF(Inputs!$E$83="planned",EDATE(Inputs!$C$83,N(INDEX(sc_shift,2))),Inputs!$C$83))</f>
        <v>46204</v>
      </c>
      <c r="L3809" s="54">
        <f t="shared" si="1417"/>
        <v>46204</v>
      </c>
      <c r="M3809" s="52">
        <f>IF(N(INDEX(sc_ach,2))=0,IF(Inputs!$G$83="",1,Inputs!$G$83),INDEX(sc_ach,2))</f>
        <v>1</v>
      </c>
      <c r="N3809" s="52">
        <f>IF(Inputs!$C$83="",0,IF(Inputs!$E$83="planned",(Inputs!$D$83+N(INDEX(sc_dpts,2)))*$M3809,Inputs!$D$83))</f>
        <v>6.5000000000000002E-2</v>
      </c>
      <c r="O3809" s="53">
        <f>IF(Inputs!$C$83="",0,IF(1+$N3809&gt;0,LN(1+$N3809),0))</f>
        <v>6.2974799161388387E-2</v>
      </c>
      <c r="P3809" s="55">
        <f t="shared" si="1418"/>
        <v>31</v>
      </c>
      <c r="Q3809" s="55">
        <f>IF($K3809="",0,COUNTIFS(rl_key,Inputs!$J$83,$L$3806:$L$4045,$L3809,$K$3806:$K$4045,"&lt;"&amp;$K3809))</f>
        <v>0</v>
      </c>
      <c r="R3809" s="55">
        <f>IF($K3809="",0,COUNTIFS(Inputs!$J$80:$J$83,Inputs!$J$83,$L$3806:$L3809,$L3809,$K$3806:$K3809,$K3809))</f>
        <v>1</v>
      </c>
      <c r="S3809" s="55">
        <f t="shared" si="1419"/>
        <v>1</v>
      </c>
      <c r="U3809" s="54">
        <f>IF(Inputs!$C$83="","",IF(Inputs!$E$83="planned",EDATE(Inputs!$C$83,N(INDEX(sc_shift,3))),Inputs!$C$83))</f>
        <v>46204</v>
      </c>
      <c r="V3809" s="54">
        <f t="shared" si="1420"/>
        <v>46204</v>
      </c>
      <c r="W3809" s="52">
        <f>IF(N(INDEX(sc_ach,3))=0,IF(Inputs!$G$83="",1,Inputs!$G$83),INDEX(sc_ach,3))</f>
        <v>1</v>
      </c>
      <c r="X3809" s="52">
        <f>IF(Inputs!$C$83="",0,IF(Inputs!$E$83="planned",(Inputs!$D$83+N(INDEX(sc_dpts,3)))*$W3809,Inputs!$D$83))</f>
        <v>6.5000000000000002E-2</v>
      </c>
      <c r="Y3809" s="53">
        <f>IF(Inputs!$C$83="",0,IF(1+$X3809&gt;0,LN(1+$X3809),0))</f>
        <v>6.2974799161388387E-2</v>
      </c>
      <c r="Z3809" s="55">
        <f t="shared" si="1421"/>
        <v>31</v>
      </c>
      <c r="AA3809" s="55">
        <f>IF($U3809="",0,COUNTIFS(rl_key,Inputs!$J$83,$V$3806:$V$4045,$V3809,$U$3806:$U$4045,"&lt;"&amp;$U3809))</f>
        <v>0</v>
      </c>
      <c r="AB3809" s="55">
        <f>IF($U3809="",0,COUNTIFS(Inputs!$J$80:$J$83,Inputs!$J$83,$V$3806:$V3809,$V3809,$U$3806:$U3809,$U3809))</f>
        <v>1</v>
      </c>
      <c r="AC3809" s="55">
        <f t="shared" si="1422"/>
        <v>1</v>
      </c>
      <c r="AE3809" s="54">
        <f>IF(Inputs!$C$83="","",IF(Inputs!$E$83="planned",EDATE(Inputs!$C$83,N(INDEX(sc_shift,4))),Inputs!$C$83))</f>
        <v>46204</v>
      </c>
      <c r="AF3809" s="54">
        <f t="shared" si="1423"/>
        <v>46204</v>
      </c>
      <c r="AG3809" s="52">
        <f>IF(N(INDEX(sc_ach,4))=0,IF(Inputs!$G$83="",1,Inputs!$G$83),INDEX(sc_ach,4))</f>
        <v>1</v>
      </c>
      <c r="AH3809" s="52">
        <f>IF(Inputs!$C$83="",0,IF(Inputs!$E$83="planned",(Inputs!$D$83+N(INDEX(sc_dpts,4)))*$AG3809,Inputs!$D$83))</f>
        <v>6.5000000000000002E-2</v>
      </c>
      <c r="AI3809" s="53">
        <f>IF(Inputs!$C$83="",0,IF(1+$AH3809&gt;0,LN(1+$AH3809),0))</f>
        <v>6.2974799161388387E-2</v>
      </c>
      <c r="AJ3809" s="55">
        <f t="shared" si="1424"/>
        <v>31</v>
      </c>
      <c r="AK3809" s="55">
        <f>IF($AE3809="",0,COUNTIFS(rl_key,Inputs!$J$83,$AF$3806:$AF$4045,$AF3809,$AE$3806:$AE$4045,"&lt;"&amp;$AE3809))</f>
        <v>0</v>
      </c>
      <c r="AL3809" s="55">
        <f>IF($AE3809="",0,COUNTIFS(Inputs!$J$80:$J$83,Inputs!$J$83,$AF$3806:$AF3809,$AF3809,$AE$3806:$AE3809,$AE3809))</f>
        <v>1</v>
      </c>
      <c r="AM3809" s="55">
        <f t="shared" si="1425"/>
        <v>1</v>
      </c>
    </row>
    <row r="3810" spans="1:39" x14ac:dyDescent="0.25">
      <c r="A3810" s="54">
        <f>IF(Inputs!$C$84="","",IF(Inputs!$E$84="planned",EDATE(Inputs!$C$84,N(INDEX(sc_shift,1))),Inputs!$C$84))</f>
        <v>46113</v>
      </c>
      <c r="B3810" s="54">
        <f t="shared" si="1414"/>
        <v>46113</v>
      </c>
      <c r="C3810" s="52">
        <f>IF(N(INDEX(sc_ach,1))=0,IF(Inputs!$G$84="",1,Inputs!$G$84),INDEX(sc_ach,1))</f>
        <v>1</v>
      </c>
      <c r="D3810" s="52">
        <f>IF(Inputs!$C$84="",0,IF(Inputs!$E$84="planned",(Inputs!$D$84+N(INDEX(sc_dpts,1)))*$C3810,Inputs!$D$84))</f>
        <v>0.05</v>
      </c>
      <c r="E3810" s="53">
        <f>IF(Inputs!$C$84="",0,IF(1+$D3810&gt;0,LN(1+$D3810),0))</f>
        <v>4.8790164169432049E-2</v>
      </c>
      <c r="F3810" s="55">
        <f t="shared" si="1415"/>
        <v>30</v>
      </c>
      <c r="G3810" s="55">
        <f>IF($A3810="",0,COUNTIFS(rl_key,Inputs!$J$84,$B$3806:$B$4045,$B3810,$A$3806:$A$4045,"&lt;"&amp;$A3810))</f>
        <v>0</v>
      </c>
      <c r="H3810" s="55">
        <f>IF($A3810="",0,COUNTIFS(Inputs!$J$80:$J$84,Inputs!$J$84,$B$3806:$B3810,$B3810,$A$3806:$A3810,$A3810))</f>
        <v>1</v>
      </c>
      <c r="I3810" s="55">
        <f t="shared" si="1416"/>
        <v>1</v>
      </c>
      <c r="K3810" s="54">
        <f>IF(Inputs!$C$84="","",IF(Inputs!$E$84="planned",EDATE(Inputs!$C$84,N(INDEX(sc_shift,2))),Inputs!$C$84))</f>
        <v>46113</v>
      </c>
      <c r="L3810" s="54">
        <f t="shared" si="1417"/>
        <v>46113</v>
      </c>
      <c r="M3810" s="52">
        <f>IF(N(INDEX(sc_ach,2))=0,IF(Inputs!$G$84="",1,Inputs!$G$84),INDEX(sc_ach,2))</f>
        <v>1</v>
      </c>
      <c r="N3810" s="52">
        <f>IF(Inputs!$C$84="",0,IF(Inputs!$E$84="planned",(Inputs!$D$84+N(INDEX(sc_dpts,2)))*$M3810,Inputs!$D$84))</f>
        <v>0.05</v>
      </c>
      <c r="O3810" s="53">
        <f>IF(Inputs!$C$84="",0,IF(1+$N3810&gt;0,LN(1+$N3810),0))</f>
        <v>4.8790164169432049E-2</v>
      </c>
      <c r="P3810" s="55">
        <f t="shared" si="1418"/>
        <v>30</v>
      </c>
      <c r="Q3810" s="55">
        <f>IF($K3810="",0,COUNTIFS(rl_key,Inputs!$J$84,$L$3806:$L$4045,$L3810,$K$3806:$K$4045,"&lt;"&amp;$K3810))</f>
        <v>0</v>
      </c>
      <c r="R3810" s="55">
        <f>IF($K3810="",0,COUNTIFS(Inputs!$J$80:$J$84,Inputs!$J$84,$L$3806:$L3810,$L3810,$K$3806:$K3810,$K3810))</f>
        <v>1</v>
      </c>
      <c r="S3810" s="55">
        <f t="shared" si="1419"/>
        <v>1</v>
      </c>
      <c r="U3810" s="54">
        <f>IF(Inputs!$C$84="","",IF(Inputs!$E$84="planned",EDATE(Inputs!$C$84,N(INDEX(sc_shift,3))),Inputs!$C$84))</f>
        <v>46113</v>
      </c>
      <c r="V3810" s="54">
        <f t="shared" si="1420"/>
        <v>46113</v>
      </c>
      <c r="W3810" s="52">
        <f>IF(N(INDEX(sc_ach,3))=0,IF(Inputs!$G$84="",1,Inputs!$G$84),INDEX(sc_ach,3))</f>
        <v>1</v>
      </c>
      <c r="X3810" s="52">
        <f>IF(Inputs!$C$84="",0,IF(Inputs!$E$84="planned",(Inputs!$D$84+N(INDEX(sc_dpts,3)))*$W3810,Inputs!$D$84))</f>
        <v>0.05</v>
      </c>
      <c r="Y3810" s="53">
        <f>IF(Inputs!$C$84="",0,IF(1+$X3810&gt;0,LN(1+$X3810),0))</f>
        <v>4.8790164169432049E-2</v>
      </c>
      <c r="Z3810" s="55">
        <f t="shared" si="1421"/>
        <v>30</v>
      </c>
      <c r="AA3810" s="55">
        <f>IF($U3810="",0,COUNTIFS(rl_key,Inputs!$J$84,$V$3806:$V$4045,$V3810,$U$3806:$U$4045,"&lt;"&amp;$U3810))</f>
        <v>0</v>
      </c>
      <c r="AB3810" s="55">
        <f>IF($U3810="",0,COUNTIFS(Inputs!$J$80:$J$84,Inputs!$J$84,$V$3806:$V3810,$V3810,$U$3806:$U3810,$U3810))</f>
        <v>1</v>
      </c>
      <c r="AC3810" s="55">
        <f t="shared" si="1422"/>
        <v>1</v>
      </c>
      <c r="AE3810" s="54">
        <f>IF(Inputs!$C$84="","",IF(Inputs!$E$84="planned",EDATE(Inputs!$C$84,N(INDEX(sc_shift,4))),Inputs!$C$84))</f>
        <v>46113</v>
      </c>
      <c r="AF3810" s="54">
        <f t="shared" si="1423"/>
        <v>46113</v>
      </c>
      <c r="AG3810" s="52">
        <f>IF(N(INDEX(sc_ach,4))=0,IF(Inputs!$G$84="",1,Inputs!$G$84),INDEX(sc_ach,4))</f>
        <v>1</v>
      </c>
      <c r="AH3810" s="52">
        <f>IF(Inputs!$C$84="",0,IF(Inputs!$E$84="planned",(Inputs!$D$84+N(INDEX(sc_dpts,4)))*$AG3810,Inputs!$D$84))</f>
        <v>0.05</v>
      </c>
      <c r="AI3810" s="53">
        <f>IF(Inputs!$C$84="",0,IF(1+$AH3810&gt;0,LN(1+$AH3810),0))</f>
        <v>4.8790164169432049E-2</v>
      </c>
      <c r="AJ3810" s="55">
        <f t="shared" si="1424"/>
        <v>30</v>
      </c>
      <c r="AK3810" s="55">
        <f>IF($AE3810="",0,COUNTIFS(rl_key,Inputs!$J$84,$AF$3806:$AF$4045,$AF3810,$AE$3806:$AE$4045,"&lt;"&amp;$AE3810))</f>
        <v>0</v>
      </c>
      <c r="AL3810" s="55">
        <f>IF($AE3810="",0,COUNTIFS(Inputs!$J$80:$J$84,Inputs!$J$84,$AF$3806:$AF3810,$AF3810,$AE$3806:$AE3810,$AE3810))</f>
        <v>1</v>
      </c>
      <c r="AM3810" s="55">
        <f t="shared" si="1425"/>
        <v>1</v>
      </c>
    </row>
    <row r="3811" spans="1:39" x14ac:dyDescent="0.25">
      <c r="A3811" s="54">
        <f>IF(Inputs!$C$85="","",IF(Inputs!$E$85="planned",EDATE(Inputs!$C$85,N(INDEX(sc_shift,1))),Inputs!$C$85))</f>
        <v>46522</v>
      </c>
      <c r="B3811" s="54">
        <f t="shared" si="1414"/>
        <v>46508</v>
      </c>
      <c r="C3811" s="52">
        <f>IF(N(INDEX(sc_ach,1))=0,IF(Inputs!$G$85="",1,Inputs!$G$85),INDEX(sc_ach,1))</f>
        <v>1</v>
      </c>
      <c r="D3811" s="52">
        <f>IF(Inputs!$C$85="",0,IF(Inputs!$E$85="planned",(Inputs!$D$85+N(INDEX(sc_dpts,1)))*$C3811,Inputs!$D$85))</f>
        <v>0.03</v>
      </c>
      <c r="E3811" s="53">
        <f>IF(Inputs!$C$85="",0,IF(1+$D3811&gt;0,LN(1+$D3811),0))</f>
        <v>2.9558802241544429E-2</v>
      </c>
      <c r="F3811" s="55">
        <f t="shared" si="1415"/>
        <v>17</v>
      </c>
      <c r="G3811" s="55">
        <f>IF($A3811="",0,COUNTIFS(rl_key,Inputs!$J$85,$B$3806:$B$4045,$B3811,$A$3806:$A$4045,"&lt;"&amp;$A3811))</f>
        <v>0</v>
      </c>
      <c r="H3811" s="55">
        <f>IF($A3811="",0,COUNTIFS(Inputs!$J$80:$J$85,Inputs!$J$85,$B$3806:$B3811,$B3811,$A$3806:$A3811,$A3811))</f>
        <v>1</v>
      </c>
      <c r="I3811" s="55">
        <f t="shared" si="1416"/>
        <v>1</v>
      </c>
      <c r="K3811" s="54">
        <f>IF(Inputs!$C$85="","",IF(Inputs!$E$85="planned",EDATE(Inputs!$C$85,N(INDEX(sc_shift,2))),Inputs!$C$85))</f>
        <v>46522</v>
      </c>
      <c r="L3811" s="54">
        <f t="shared" si="1417"/>
        <v>46508</v>
      </c>
      <c r="M3811" s="52">
        <f>IF(N(INDEX(sc_ach,2))=0,IF(Inputs!$G$85="",1,Inputs!$G$85),INDEX(sc_ach,2))</f>
        <v>1</v>
      </c>
      <c r="N3811" s="52">
        <f>IF(Inputs!$C$85="",0,IF(Inputs!$E$85="planned",(Inputs!$D$85+N(INDEX(sc_dpts,2)))*$M3811,Inputs!$D$85))</f>
        <v>0.03</v>
      </c>
      <c r="O3811" s="53">
        <f>IF(Inputs!$C$85="",0,IF(1+$N3811&gt;0,LN(1+$N3811),0))</f>
        <v>2.9558802241544429E-2</v>
      </c>
      <c r="P3811" s="55">
        <f t="shared" si="1418"/>
        <v>17</v>
      </c>
      <c r="Q3811" s="55">
        <f>IF($K3811="",0,COUNTIFS(rl_key,Inputs!$J$85,$L$3806:$L$4045,$L3811,$K$3806:$K$4045,"&lt;"&amp;$K3811))</f>
        <v>0</v>
      </c>
      <c r="R3811" s="55">
        <f>IF($K3811="",0,COUNTIFS(Inputs!$J$80:$J$85,Inputs!$J$85,$L$3806:$L3811,$L3811,$K$3806:$K3811,$K3811))</f>
        <v>1</v>
      </c>
      <c r="S3811" s="55">
        <f t="shared" si="1419"/>
        <v>1</v>
      </c>
      <c r="U3811" s="54">
        <f>IF(Inputs!$C$85="","",IF(Inputs!$E$85="planned",EDATE(Inputs!$C$85,N(INDEX(sc_shift,3))),Inputs!$C$85))</f>
        <v>46522</v>
      </c>
      <c r="V3811" s="54">
        <f t="shared" si="1420"/>
        <v>46508</v>
      </c>
      <c r="W3811" s="52">
        <f>IF(N(INDEX(sc_ach,3))=0,IF(Inputs!$G$85="",1,Inputs!$G$85),INDEX(sc_ach,3))</f>
        <v>1</v>
      </c>
      <c r="X3811" s="52">
        <f>IF(Inputs!$C$85="",0,IF(Inputs!$E$85="planned",(Inputs!$D$85+N(INDEX(sc_dpts,3)))*$W3811,Inputs!$D$85))</f>
        <v>0.03</v>
      </c>
      <c r="Y3811" s="53">
        <f>IF(Inputs!$C$85="",0,IF(1+$X3811&gt;0,LN(1+$X3811),0))</f>
        <v>2.9558802241544429E-2</v>
      </c>
      <c r="Z3811" s="55">
        <f t="shared" si="1421"/>
        <v>17</v>
      </c>
      <c r="AA3811" s="55">
        <f>IF($U3811="",0,COUNTIFS(rl_key,Inputs!$J$85,$V$3806:$V$4045,$V3811,$U$3806:$U$4045,"&lt;"&amp;$U3811))</f>
        <v>0</v>
      </c>
      <c r="AB3811" s="55">
        <f>IF($U3811="",0,COUNTIFS(Inputs!$J$80:$J$85,Inputs!$J$85,$V$3806:$V3811,$V3811,$U$3806:$U3811,$U3811))</f>
        <v>1</v>
      </c>
      <c r="AC3811" s="55">
        <f t="shared" si="1422"/>
        <v>1</v>
      </c>
      <c r="AE3811" s="54">
        <f>IF(Inputs!$C$85="","",IF(Inputs!$E$85="planned",EDATE(Inputs!$C$85,N(INDEX(sc_shift,4))),Inputs!$C$85))</f>
        <v>46522</v>
      </c>
      <c r="AF3811" s="54">
        <f t="shared" si="1423"/>
        <v>46508</v>
      </c>
      <c r="AG3811" s="52">
        <f>IF(N(INDEX(sc_ach,4))=0,IF(Inputs!$G$85="",1,Inputs!$G$85),INDEX(sc_ach,4))</f>
        <v>1</v>
      </c>
      <c r="AH3811" s="52">
        <f>IF(Inputs!$C$85="",0,IF(Inputs!$E$85="planned",(Inputs!$D$85+N(INDEX(sc_dpts,4)))*$AG3811,Inputs!$D$85))</f>
        <v>0.03</v>
      </c>
      <c r="AI3811" s="53">
        <f>IF(Inputs!$C$85="",0,IF(1+$AH3811&gt;0,LN(1+$AH3811),0))</f>
        <v>2.9558802241544429E-2</v>
      </c>
      <c r="AJ3811" s="55">
        <f t="shared" si="1424"/>
        <v>17</v>
      </c>
      <c r="AK3811" s="55">
        <f>IF($AE3811="",0,COUNTIFS(rl_key,Inputs!$J$85,$AF$3806:$AF$4045,$AF3811,$AE$3806:$AE$4045,"&lt;"&amp;$AE3811))</f>
        <v>0</v>
      </c>
      <c r="AL3811" s="55">
        <f>IF($AE3811="",0,COUNTIFS(Inputs!$J$80:$J$85,Inputs!$J$85,$AF$3806:$AF3811,$AF3811,$AE$3806:$AE3811,$AE3811))</f>
        <v>1</v>
      </c>
      <c r="AM3811" s="55">
        <f t="shared" si="1425"/>
        <v>1</v>
      </c>
    </row>
    <row r="3812" spans="1:39" x14ac:dyDescent="0.25">
      <c r="A3812" s="54">
        <f>IF(Inputs!$C$86="","",IF(Inputs!$E$86="planned",EDATE(Inputs!$C$86,N(INDEX(sc_shift,1))),Inputs!$C$86))</f>
        <v>46296</v>
      </c>
      <c r="B3812" s="54">
        <f t="shared" si="1414"/>
        <v>46296</v>
      </c>
      <c r="C3812" s="52">
        <f>IF(N(INDEX(sc_ach,1))=0,IF(Inputs!$G$86="",1,Inputs!$G$86),INDEX(sc_ach,1))</f>
        <v>1</v>
      </c>
      <c r="D3812" s="52">
        <f>IF(Inputs!$C$86="",0,IF(Inputs!$E$86="planned",(Inputs!$D$86+N(INDEX(sc_dpts,1)))*$C3812,Inputs!$D$86))</f>
        <v>0.08</v>
      </c>
      <c r="E3812" s="53">
        <f>IF(Inputs!$C$86="",0,IF(1+$D3812&gt;0,LN(1+$D3812),0))</f>
        <v>7.6961041136128394E-2</v>
      </c>
      <c r="F3812" s="55">
        <f t="shared" si="1415"/>
        <v>31</v>
      </c>
      <c r="G3812" s="55">
        <f>IF($A3812="",0,COUNTIFS(rl_key,Inputs!$J$86,$B$3806:$B$4045,$B3812,$A$3806:$A$4045,"&lt;"&amp;$A3812))</f>
        <v>0</v>
      </c>
      <c r="H3812" s="55">
        <f>IF($A3812="",0,COUNTIFS(Inputs!$J$80:$J$86,Inputs!$J$86,$B$3806:$B3812,$B3812,$A$3806:$A3812,$A3812))</f>
        <v>1</v>
      </c>
      <c r="I3812" s="55">
        <f t="shared" si="1416"/>
        <v>1</v>
      </c>
      <c r="K3812" s="54">
        <f>IF(Inputs!$C$86="","",IF(Inputs!$E$86="planned",EDATE(Inputs!$C$86,N(INDEX(sc_shift,2))),Inputs!$C$86))</f>
        <v>46296</v>
      </c>
      <c r="L3812" s="54">
        <f t="shared" si="1417"/>
        <v>46296</v>
      </c>
      <c r="M3812" s="52">
        <f>IF(N(INDEX(sc_ach,2))=0,IF(Inputs!$G$86="",1,Inputs!$G$86),INDEX(sc_ach,2))</f>
        <v>1</v>
      </c>
      <c r="N3812" s="52">
        <f>IF(Inputs!$C$86="",0,IF(Inputs!$E$86="planned",(Inputs!$D$86+N(INDEX(sc_dpts,2)))*$M3812,Inputs!$D$86))</f>
        <v>0.08</v>
      </c>
      <c r="O3812" s="53">
        <f>IF(Inputs!$C$86="",0,IF(1+$N3812&gt;0,LN(1+$N3812),0))</f>
        <v>7.6961041136128394E-2</v>
      </c>
      <c r="P3812" s="55">
        <f t="shared" si="1418"/>
        <v>31</v>
      </c>
      <c r="Q3812" s="55">
        <f>IF($K3812="",0,COUNTIFS(rl_key,Inputs!$J$86,$L$3806:$L$4045,$L3812,$K$3806:$K$4045,"&lt;"&amp;$K3812))</f>
        <v>0</v>
      </c>
      <c r="R3812" s="55">
        <f>IF($K3812="",0,COUNTIFS(Inputs!$J$80:$J$86,Inputs!$J$86,$L$3806:$L3812,$L3812,$K$3806:$K3812,$K3812))</f>
        <v>1</v>
      </c>
      <c r="S3812" s="55">
        <f t="shared" si="1419"/>
        <v>1</v>
      </c>
      <c r="U3812" s="54">
        <f>IF(Inputs!$C$86="","",IF(Inputs!$E$86="planned",EDATE(Inputs!$C$86,N(INDEX(sc_shift,3))),Inputs!$C$86))</f>
        <v>46296</v>
      </c>
      <c r="V3812" s="54">
        <f t="shared" si="1420"/>
        <v>46296</v>
      </c>
      <c r="W3812" s="52">
        <f>IF(N(INDEX(sc_ach,3))=0,IF(Inputs!$G$86="",1,Inputs!$G$86),INDEX(sc_ach,3))</f>
        <v>1</v>
      </c>
      <c r="X3812" s="52">
        <f>IF(Inputs!$C$86="",0,IF(Inputs!$E$86="planned",(Inputs!$D$86+N(INDEX(sc_dpts,3)))*$W3812,Inputs!$D$86))</f>
        <v>0.08</v>
      </c>
      <c r="Y3812" s="53">
        <f>IF(Inputs!$C$86="",0,IF(1+$X3812&gt;0,LN(1+$X3812),0))</f>
        <v>7.6961041136128394E-2</v>
      </c>
      <c r="Z3812" s="55">
        <f t="shared" si="1421"/>
        <v>31</v>
      </c>
      <c r="AA3812" s="55">
        <f>IF($U3812="",0,COUNTIFS(rl_key,Inputs!$J$86,$V$3806:$V$4045,$V3812,$U$3806:$U$4045,"&lt;"&amp;$U3812))</f>
        <v>0</v>
      </c>
      <c r="AB3812" s="55">
        <f>IF($U3812="",0,COUNTIFS(Inputs!$J$80:$J$86,Inputs!$J$86,$V$3806:$V3812,$V3812,$U$3806:$U3812,$U3812))</f>
        <v>1</v>
      </c>
      <c r="AC3812" s="55">
        <f t="shared" si="1422"/>
        <v>1</v>
      </c>
      <c r="AE3812" s="54">
        <f>IF(Inputs!$C$86="","",IF(Inputs!$E$86="planned",EDATE(Inputs!$C$86,N(INDEX(sc_shift,4))),Inputs!$C$86))</f>
        <v>46296</v>
      </c>
      <c r="AF3812" s="54">
        <f t="shared" si="1423"/>
        <v>46296</v>
      </c>
      <c r="AG3812" s="52">
        <f>IF(N(INDEX(sc_ach,4))=0,IF(Inputs!$G$86="",1,Inputs!$G$86),INDEX(sc_ach,4))</f>
        <v>1</v>
      </c>
      <c r="AH3812" s="52">
        <f>IF(Inputs!$C$86="",0,IF(Inputs!$E$86="planned",(Inputs!$D$86+N(INDEX(sc_dpts,4)))*$AG3812,Inputs!$D$86))</f>
        <v>0.08</v>
      </c>
      <c r="AI3812" s="53">
        <f>IF(Inputs!$C$86="",0,IF(1+$AH3812&gt;0,LN(1+$AH3812),0))</f>
        <v>7.6961041136128394E-2</v>
      </c>
      <c r="AJ3812" s="55">
        <f t="shared" si="1424"/>
        <v>31</v>
      </c>
      <c r="AK3812" s="55">
        <f>IF($AE3812="",0,COUNTIFS(rl_key,Inputs!$J$86,$AF$3806:$AF$4045,$AF3812,$AE$3806:$AE$4045,"&lt;"&amp;$AE3812))</f>
        <v>0</v>
      </c>
      <c r="AL3812" s="55">
        <f>IF($AE3812="",0,COUNTIFS(Inputs!$J$80:$J$86,Inputs!$J$86,$AF$3806:$AF3812,$AF3812,$AE$3806:$AE3812,$AE3812))</f>
        <v>1</v>
      </c>
      <c r="AM3812" s="55">
        <f t="shared" si="1425"/>
        <v>1</v>
      </c>
    </row>
    <row r="3813" spans="1:39" x14ac:dyDescent="0.25">
      <c r="A3813" s="54">
        <f>IF(Inputs!$C$87="","",IF(Inputs!$E$87="planned",EDATE(Inputs!$C$87,N(INDEX(sc_shift,1))),Inputs!$C$87))</f>
        <v>46447</v>
      </c>
      <c r="B3813" s="54">
        <f t="shared" si="1414"/>
        <v>46447</v>
      </c>
      <c r="C3813" s="52">
        <f>IF(N(INDEX(sc_ach,1))=0,IF(Inputs!$G$87="",1,Inputs!$G$87),INDEX(sc_ach,1))</f>
        <v>0.8</v>
      </c>
      <c r="D3813" s="52">
        <f>IF(Inputs!$C$87="",0,IF(Inputs!$E$87="planned",(Inputs!$D$87+N(INDEX(sc_dpts,1)))*$C3813,Inputs!$D$87))</f>
        <v>4.8000000000000001E-2</v>
      </c>
      <c r="E3813" s="53">
        <f>IF(Inputs!$C$87="",0,IF(1+$D3813&gt;0,LN(1+$D3813),0))</f>
        <v>4.6883585898850458E-2</v>
      </c>
      <c r="F3813" s="55">
        <f t="shared" si="1415"/>
        <v>31</v>
      </c>
      <c r="G3813" s="55">
        <f>IF($A3813="",0,COUNTIFS(rl_key,Inputs!$J$87,$B$3806:$B$4045,$B3813,$A$3806:$A$4045,"&lt;"&amp;$A3813))</f>
        <v>0</v>
      </c>
      <c r="H3813" s="55">
        <f>IF($A3813="",0,COUNTIFS(Inputs!$J$80:$J$87,Inputs!$J$87,$B$3806:$B3813,$B3813,$A$3806:$A3813,$A3813))</f>
        <v>1</v>
      </c>
      <c r="I3813" s="55">
        <f t="shared" si="1416"/>
        <v>1</v>
      </c>
      <c r="K3813" s="54">
        <f>IF(Inputs!$C$87="","",IF(Inputs!$E$87="planned",EDATE(Inputs!$C$87,N(INDEX(sc_shift,2))),Inputs!$C$87))</f>
        <v>46447</v>
      </c>
      <c r="L3813" s="54">
        <f t="shared" si="1417"/>
        <v>46447</v>
      </c>
      <c r="M3813" s="52">
        <f>IF(N(INDEX(sc_ach,2))=0,IF(Inputs!$G$87="",1,Inputs!$G$87),INDEX(sc_ach,2))</f>
        <v>0.8</v>
      </c>
      <c r="N3813" s="52">
        <f>IF(Inputs!$C$87="",0,IF(Inputs!$E$87="planned",(Inputs!$D$87+N(INDEX(sc_dpts,2)))*$M3813,Inputs!$D$87))</f>
        <v>4.8000000000000001E-2</v>
      </c>
      <c r="O3813" s="53">
        <f>IF(Inputs!$C$87="",0,IF(1+$N3813&gt;0,LN(1+$N3813),0))</f>
        <v>4.6883585898850458E-2</v>
      </c>
      <c r="P3813" s="55">
        <f t="shared" si="1418"/>
        <v>31</v>
      </c>
      <c r="Q3813" s="55">
        <f>IF($K3813="",0,COUNTIFS(rl_key,Inputs!$J$87,$L$3806:$L$4045,$L3813,$K$3806:$K$4045,"&lt;"&amp;$K3813))</f>
        <v>0</v>
      </c>
      <c r="R3813" s="55">
        <f>IF($K3813="",0,COUNTIFS(Inputs!$J$80:$J$87,Inputs!$J$87,$L$3806:$L3813,$L3813,$K$3806:$K3813,$K3813))</f>
        <v>1</v>
      </c>
      <c r="S3813" s="55">
        <f t="shared" si="1419"/>
        <v>1</v>
      </c>
      <c r="U3813" s="54">
        <f>IF(Inputs!$C$87="","",IF(Inputs!$E$87="planned",EDATE(Inputs!$C$87,N(INDEX(sc_shift,3))),Inputs!$C$87))</f>
        <v>46447</v>
      </c>
      <c r="V3813" s="54">
        <f t="shared" si="1420"/>
        <v>46447</v>
      </c>
      <c r="W3813" s="52">
        <f>IF(N(INDEX(sc_ach,3))=0,IF(Inputs!$G$87="",1,Inputs!$G$87),INDEX(sc_ach,3))</f>
        <v>0.8</v>
      </c>
      <c r="X3813" s="52">
        <f>IF(Inputs!$C$87="",0,IF(Inputs!$E$87="planned",(Inputs!$D$87+N(INDEX(sc_dpts,3)))*$W3813,Inputs!$D$87))</f>
        <v>4.8000000000000001E-2</v>
      </c>
      <c r="Y3813" s="53">
        <f>IF(Inputs!$C$87="",0,IF(1+$X3813&gt;0,LN(1+$X3813),0))</f>
        <v>4.6883585898850458E-2</v>
      </c>
      <c r="Z3813" s="55">
        <f t="shared" si="1421"/>
        <v>31</v>
      </c>
      <c r="AA3813" s="55">
        <f>IF($U3813="",0,COUNTIFS(rl_key,Inputs!$J$87,$V$3806:$V$4045,$V3813,$U$3806:$U$4045,"&lt;"&amp;$U3813))</f>
        <v>0</v>
      </c>
      <c r="AB3813" s="55">
        <f>IF($U3813="",0,COUNTIFS(Inputs!$J$80:$J$87,Inputs!$J$87,$V$3806:$V3813,$V3813,$U$3806:$U3813,$U3813))</f>
        <v>1</v>
      </c>
      <c r="AC3813" s="55">
        <f t="shared" si="1422"/>
        <v>1</v>
      </c>
      <c r="AE3813" s="54">
        <f>IF(Inputs!$C$87="","",IF(Inputs!$E$87="planned",EDATE(Inputs!$C$87,N(INDEX(sc_shift,4))),Inputs!$C$87))</f>
        <v>46447</v>
      </c>
      <c r="AF3813" s="54">
        <f t="shared" si="1423"/>
        <v>46447</v>
      </c>
      <c r="AG3813" s="52">
        <f>IF(N(INDEX(sc_ach,4))=0,IF(Inputs!$G$87="",1,Inputs!$G$87),INDEX(sc_ach,4))</f>
        <v>0.8</v>
      </c>
      <c r="AH3813" s="52">
        <f>IF(Inputs!$C$87="",0,IF(Inputs!$E$87="planned",(Inputs!$D$87+N(INDEX(sc_dpts,4)))*$AG3813,Inputs!$D$87))</f>
        <v>4.8000000000000001E-2</v>
      </c>
      <c r="AI3813" s="53">
        <f>IF(Inputs!$C$87="",0,IF(1+$AH3813&gt;0,LN(1+$AH3813),0))</f>
        <v>4.6883585898850458E-2</v>
      </c>
      <c r="AJ3813" s="55">
        <f t="shared" si="1424"/>
        <v>31</v>
      </c>
      <c r="AK3813" s="55">
        <f>IF($AE3813="",0,COUNTIFS(rl_key,Inputs!$J$87,$AF$3806:$AF$4045,$AF3813,$AE$3806:$AE$4045,"&lt;"&amp;$AE3813))</f>
        <v>0</v>
      </c>
      <c r="AL3813" s="55">
        <f>IF($AE3813="",0,COUNTIFS(Inputs!$J$80:$J$87,Inputs!$J$87,$AF$3806:$AF3813,$AF3813,$AE$3806:$AE3813,$AE3813))</f>
        <v>1</v>
      </c>
      <c r="AM3813" s="55">
        <f t="shared" si="1425"/>
        <v>1</v>
      </c>
    </row>
    <row r="3814" spans="1:39" x14ac:dyDescent="0.25">
      <c r="A3814" s="54">
        <f>IF(Inputs!$C$88="","",IF(Inputs!$E$88="planned",EDATE(Inputs!$C$88,N(INDEX(sc_shift,1))),Inputs!$C$88))</f>
        <v>46174</v>
      </c>
      <c r="B3814" s="54">
        <f t="shared" si="1414"/>
        <v>46174</v>
      </c>
      <c r="C3814" s="52">
        <f>IF(N(INDEX(sc_ach,1))=0,IF(Inputs!$G$88="",1,Inputs!$G$88),INDEX(sc_ach,1))</f>
        <v>1</v>
      </c>
      <c r="D3814" s="52">
        <f>IF(Inputs!$C$88="",0,IF(Inputs!$E$88="planned",(Inputs!$D$88+N(INDEX(sc_dpts,1)))*$C3814,Inputs!$D$88))</f>
        <v>4.4999999999999998E-2</v>
      </c>
      <c r="E3814" s="53">
        <f>IF(Inputs!$C$88="",0,IF(1+$D3814&gt;0,LN(1+$D3814),0))</f>
        <v>4.401688541677426E-2</v>
      </c>
      <c r="F3814" s="55">
        <f t="shared" si="1415"/>
        <v>30</v>
      </c>
      <c r="G3814" s="55">
        <f>IF($A3814="",0,COUNTIFS(rl_key,Inputs!$J$88,$B$3806:$B$4045,$B3814,$A$3806:$A$4045,"&lt;"&amp;$A3814))</f>
        <v>0</v>
      </c>
      <c r="H3814" s="55">
        <f>IF($A3814="",0,COUNTIFS(Inputs!$J$80:$J$88,Inputs!$J$88,$B$3806:$B3814,$B3814,$A$3806:$A3814,$A3814))</f>
        <v>1</v>
      </c>
      <c r="I3814" s="55">
        <f t="shared" si="1416"/>
        <v>1</v>
      </c>
      <c r="K3814" s="54">
        <f>IF(Inputs!$C$88="","",IF(Inputs!$E$88="planned",EDATE(Inputs!$C$88,N(INDEX(sc_shift,2))),Inputs!$C$88))</f>
        <v>46174</v>
      </c>
      <c r="L3814" s="54">
        <f t="shared" si="1417"/>
        <v>46174</v>
      </c>
      <c r="M3814" s="52">
        <f>IF(N(INDEX(sc_ach,2))=0,IF(Inputs!$G$88="",1,Inputs!$G$88),INDEX(sc_ach,2))</f>
        <v>1</v>
      </c>
      <c r="N3814" s="52">
        <f>IF(Inputs!$C$88="",0,IF(Inputs!$E$88="planned",(Inputs!$D$88+N(INDEX(sc_dpts,2)))*$M3814,Inputs!$D$88))</f>
        <v>4.4999999999999998E-2</v>
      </c>
      <c r="O3814" s="53">
        <f>IF(Inputs!$C$88="",0,IF(1+$N3814&gt;0,LN(1+$N3814),0))</f>
        <v>4.401688541677426E-2</v>
      </c>
      <c r="P3814" s="55">
        <f t="shared" si="1418"/>
        <v>30</v>
      </c>
      <c r="Q3814" s="55">
        <f>IF($K3814="",0,COUNTIFS(rl_key,Inputs!$J$88,$L$3806:$L$4045,$L3814,$K$3806:$K$4045,"&lt;"&amp;$K3814))</f>
        <v>0</v>
      </c>
      <c r="R3814" s="55">
        <f>IF($K3814="",0,COUNTIFS(Inputs!$J$80:$J$88,Inputs!$J$88,$L$3806:$L3814,$L3814,$K$3806:$K3814,$K3814))</f>
        <v>1</v>
      </c>
      <c r="S3814" s="55">
        <f t="shared" si="1419"/>
        <v>1</v>
      </c>
      <c r="U3814" s="54">
        <f>IF(Inputs!$C$88="","",IF(Inputs!$E$88="planned",EDATE(Inputs!$C$88,N(INDEX(sc_shift,3))),Inputs!$C$88))</f>
        <v>46174</v>
      </c>
      <c r="V3814" s="54">
        <f t="shared" si="1420"/>
        <v>46174</v>
      </c>
      <c r="W3814" s="52">
        <f>IF(N(INDEX(sc_ach,3))=0,IF(Inputs!$G$88="",1,Inputs!$G$88),INDEX(sc_ach,3))</f>
        <v>1</v>
      </c>
      <c r="X3814" s="52">
        <f>IF(Inputs!$C$88="",0,IF(Inputs!$E$88="planned",(Inputs!$D$88+N(INDEX(sc_dpts,3)))*$W3814,Inputs!$D$88))</f>
        <v>4.4999999999999998E-2</v>
      </c>
      <c r="Y3814" s="53">
        <f>IF(Inputs!$C$88="",0,IF(1+$X3814&gt;0,LN(1+$X3814),0))</f>
        <v>4.401688541677426E-2</v>
      </c>
      <c r="Z3814" s="55">
        <f t="shared" si="1421"/>
        <v>30</v>
      </c>
      <c r="AA3814" s="55">
        <f>IF($U3814="",0,COUNTIFS(rl_key,Inputs!$J$88,$V$3806:$V$4045,$V3814,$U$3806:$U$4045,"&lt;"&amp;$U3814))</f>
        <v>0</v>
      </c>
      <c r="AB3814" s="55">
        <f>IF($U3814="",0,COUNTIFS(Inputs!$J$80:$J$88,Inputs!$J$88,$V$3806:$V3814,$V3814,$U$3806:$U3814,$U3814))</f>
        <v>1</v>
      </c>
      <c r="AC3814" s="55">
        <f t="shared" si="1422"/>
        <v>1</v>
      </c>
      <c r="AE3814" s="54">
        <f>IF(Inputs!$C$88="","",IF(Inputs!$E$88="planned",EDATE(Inputs!$C$88,N(INDEX(sc_shift,4))),Inputs!$C$88))</f>
        <v>46174</v>
      </c>
      <c r="AF3814" s="54">
        <f t="shared" si="1423"/>
        <v>46174</v>
      </c>
      <c r="AG3814" s="52">
        <f>IF(N(INDEX(sc_ach,4))=0,IF(Inputs!$G$88="",1,Inputs!$G$88),INDEX(sc_ach,4))</f>
        <v>1</v>
      </c>
      <c r="AH3814" s="52">
        <f>IF(Inputs!$C$88="",0,IF(Inputs!$E$88="planned",(Inputs!$D$88+N(INDEX(sc_dpts,4)))*$AG3814,Inputs!$D$88))</f>
        <v>4.4999999999999998E-2</v>
      </c>
      <c r="AI3814" s="53">
        <f>IF(Inputs!$C$88="",0,IF(1+$AH3814&gt;0,LN(1+$AH3814),0))</f>
        <v>4.401688541677426E-2</v>
      </c>
      <c r="AJ3814" s="55">
        <f t="shared" si="1424"/>
        <v>30</v>
      </c>
      <c r="AK3814" s="55">
        <f>IF($AE3814="",0,COUNTIFS(rl_key,Inputs!$J$88,$AF$3806:$AF$4045,$AF3814,$AE$3806:$AE$4045,"&lt;"&amp;$AE3814))</f>
        <v>0</v>
      </c>
      <c r="AL3814" s="55">
        <f>IF($AE3814="",0,COUNTIFS(Inputs!$J$80:$J$88,Inputs!$J$88,$AF$3806:$AF3814,$AF3814,$AE$3806:$AE3814,$AE3814))</f>
        <v>1</v>
      </c>
      <c r="AM3814" s="55">
        <f t="shared" si="1425"/>
        <v>1</v>
      </c>
    </row>
    <row r="3815" spans="1:39" x14ac:dyDescent="0.25">
      <c r="A3815" s="54">
        <f>IF(Inputs!$C$89="","",IF(Inputs!$E$89="planned",EDATE(Inputs!$C$89,N(INDEX(sc_shift,1))),Inputs!$C$89))</f>
        <v>46296</v>
      </c>
      <c r="B3815" s="54">
        <f t="shared" si="1414"/>
        <v>46296</v>
      </c>
      <c r="C3815" s="52">
        <f>IF(N(INDEX(sc_ach,1))=0,IF(Inputs!$G$89="",1,Inputs!$G$89),INDEX(sc_ach,1))</f>
        <v>1</v>
      </c>
      <c r="D3815" s="52">
        <f>IF(Inputs!$C$89="",0,IF(Inputs!$E$89="planned",(Inputs!$D$89+N(INDEX(sc_dpts,1)))*$C3815,Inputs!$D$89))</f>
        <v>0.1</v>
      </c>
      <c r="E3815" s="53">
        <f>IF(Inputs!$C$89="",0,IF(1+$D3815&gt;0,LN(1+$D3815),0))</f>
        <v>9.5310179804324935E-2</v>
      </c>
      <c r="F3815" s="55">
        <f t="shared" si="1415"/>
        <v>31</v>
      </c>
      <c r="G3815" s="55">
        <f>IF($A3815="",0,COUNTIFS(rl_key,Inputs!$J$89,$B$3806:$B$4045,$B3815,$A$3806:$A$4045,"&lt;"&amp;$A3815))</f>
        <v>0</v>
      </c>
      <c r="H3815" s="55">
        <f>IF($A3815="",0,COUNTIFS(Inputs!$J$80:$J$89,Inputs!$J$89,$B$3806:$B3815,$B3815,$A$3806:$A3815,$A3815))</f>
        <v>1</v>
      </c>
      <c r="I3815" s="55">
        <f t="shared" si="1416"/>
        <v>1</v>
      </c>
      <c r="K3815" s="54">
        <f>IF(Inputs!$C$89="","",IF(Inputs!$E$89="planned",EDATE(Inputs!$C$89,N(INDEX(sc_shift,2))),Inputs!$C$89))</f>
        <v>46296</v>
      </c>
      <c r="L3815" s="54">
        <f t="shared" si="1417"/>
        <v>46296</v>
      </c>
      <c r="M3815" s="52">
        <f>IF(N(INDEX(sc_ach,2))=0,IF(Inputs!$G$89="",1,Inputs!$G$89),INDEX(sc_ach,2))</f>
        <v>1</v>
      </c>
      <c r="N3815" s="52">
        <f>IF(Inputs!$C$89="",0,IF(Inputs!$E$89="planned",(Inputs!$D$89+N(INDEX(sc_dpts,2)))*$M3815,Inputs!$D$89))</f>
        <v>0.1</v>
      </c>
      <c r="O3815" s="53">
        <f>IF(Inputs!$C$89="",0,IF(1+$N3815&gt;0,LN(1+$N3815),0))</f>
        <v>9.5310179804324935E-2</v>
      </c>
      <c r="P3815" s="55">
        <f t="shared" si="1418"/>
        <v>31</v>
      </c>
      <c r="Q3815" s="55">
        <f>IF($K3815="",0,COUNTIFS(rl_key,Inputs!$J$89,$L$3806:$L$4045,$L3815,$K$3806:$K$4045,"&lt;"&amp;$K3815))</f>
        <v>0</v>
      </c>
      <c r="R3815" s="55">
        <f>IF($K3815="",0,COUNTIFS(Inputs!$J$80:$J$89,Inputs!$J$89,$L$3806:$L3815,$L3815,$K$3806:$K3815,$K3815))</f>
        <v>1</v>
      </c>
      <c r="S3815" s="55">
        <f t="shared" si="1419"/>
        <v>1</v>
      </c>
      <c r="U3815" s="54">
        <f>IF(Inputs!$C$89="","",IF(Inputs!$E$89="planned",EDATE(Inputs!$C$89,N(INDEX(sc_shift,3))),Inputs!$C$89))</f>
        <v>46296</v>
      </c>
      <c r="V3815" s="54">
        <f t="shared" si="1420"/>
        <v>46296</v>
      </c>
      <c r="W3815" s="52">
        <f>IF(N(INDEX(sc_ach,3))=0,IF(Inputs!$G$89="",1,Inputs!$G$89),INDEX(sc_ach,3))</f>
        <v>1</v>
      </c>
      <c r="X3815" s="52">
        <f>IF(Inputs!$C$89="",0,IF(Inputs!$E$89="planned",(Inputs!$D$89+N(INDEX(sc_dpts,3)))*$W3815,Inputs!$D$89))</f>
        <v>0.1</v>
      </c>
      <c r="Y3815" s="53">
        <f>IF(Inputs!$C$89="",0,IF(1+$X3815&gt;0,LN(1+$X3815),0))</f>
        <v>9.5310179804324935E-2</v>
      </c>
      <c r="Z3815" s="55">
        <f t="shared" si="1421"/>
        <v>31</v>
      </c>
      <c r="AA3815" s="55">
        <f>IF($U3815="",0,COUNTIFS(rl_key,Inputs!$J$89,$V$3806:$V$4045,$V3815,$U$3806:$U$4045,"&lt;"&amp;$U3815))</f>
        <v>0</v>
      </c>
      <c r="AB3815" s="55">
        <f>IF($U3815="",0,COUNTIFS(Inputs!$J$80:$J$89,Inputs!$J$89,$V$3806:$V3815,$V3815,$U$3806:$U3815,$U3815))</f>
        <v>1</v>
      </c>
      <c r="AC3815" s="55">
        <f t="shared" si="1422"/>
        <v>1</v>
      </c>
      <c r="AE3815" s="54">
        <f>IF(Inputs!$C$89="","",IF(Inputs!$E$89="planned",EDATE(Inputs!$C$89,N(INDEX(sc_shift,4))),Inputs!$C$89))</f>
        <v>46296</v>
      </c>
      <c r="AF3815" s="54">
        <f t="shared" si="1423"/>
        <v>46296</v>
      </c>
      <c r="AG3815" s="52">
        <f>IF(N(INDEX(sc_ach,4))=0,IF(Inputs!$G$89="",1,Inputs!$G$89),INDEX(sc_ach,4))</f>
        <v>1</v>
      </c>
      <c r="AH3815" s="52">
        <f>IF(Inputs!$C$89="",0,IF(Inputs!$E$89="planned",(Inputs!$D$89+N(INDEX(sc_dpts,4)))*$AG3815,Inputs!$D$89))</f>
        <v>0.1</v>
      </c>
      <c r="AI3815" s="53">
        <f>IF(Inputs!$C$89="",0,IF(1+$AH3815&gt;0,LN(1+$AH3815),0))</f>
        <v>9.5310179804324935E-2</v>
      </c>
      <c r="AJ3815" s="55">
        <f t="shared" si="1424"/>
        <v>31</v>
      </c>
      <c r="AK3815" s="55">
        <f>IF($AE3815="",0,COUNTIFS(rl_key,Inputs!$J$89,$AF$3806:$AF$4045,$AF3815,$AE$3806:$AE$4045,"&lt;"&amp;$AE3815))</f>
        <v>0</v>
      </c>
      <c r="AL3815" s="55">
        <f>IF($AE3815="",0,COUNTIFS(Inputs!$J$80:$J$89,Inputs!$J$89,$AF$3806:$AF3815,$AF3815,$AE$3806:$AE3815,$AE3815))</f>
        <v>1</v>
      </c>
      <c r="AM3815" s="55">
        <f t="shared" si="1425"/>
        <v>1</v>
      </c>
    </row>
    <row r="3816" spans="1:39" x14ac:dyDescent="0.25">
      <c r="A3816" s="54">
        <f>IF(Inputs!$C$90="","",IF(Inputs!$E$90="planned",EDATE(Inputs!$C$90,N(INDEX(sc_shift,1))),Inputs!$C$90))</f>
        <v>46054</v>
      </c>
      <c r="B3816" s="54">
        <f t="shared" si="1414"/>
        <v>46054</v>
      </c>
      <c r="C3816" s="52">
        <f>IF(N(INDEX(sc_ach,1))=0,IF(Inputs!$G$90="",1,Inputs!$G$90),INDEX(sc_ach,1))</f>
        <v>1</v>
      </c>
      <c r="D3816" s="52">
        <f>IF(Inputs!$C$90="",0,IF(Inputs!$E$90="planned",(Inputs!$D$90+N(INDEX(sc_dpts,1)))*$C3816,Inputs!$D$90))</f>
        <v>0.03</v>
      </c>
      <c r="E3816" s="53">
        <f>IF(Inputs!$C$90="",0,IF(1+$D3816&gt;0,LN(1+$D3816),0))</f>
        <v>2.9558802241544429E-2</v>
      </c>
      <c r="F3816" s="55">
        <f t="shared" si="1415"/>
        <v>28</v>
      </c>
      <c r="G3816" s="55">
        <f>IF($A3816="",0,COUNTIFS(rl_key,Inputs!$J$90,$B$3806:$B$4045,$B3816,$A$3806:$A$4045,"&lt;"&amp;$A3816))</f>
        <v>0</v>
      </c>
      <c r="H3816" s="55">
        <f>IF($A3816="",0,COUNTIFS(Inputs!$J$80:$J$90,Inputs!$J$90,$B$3806:$B3816,$B3816,$A$3806:$A3816,$A3816))</f>
        <v>1</v>
      </c>
      <c r="I3816" s="55">
        <f t="shared" si="1416"/>
        <v>1</v>
      </c>
      <c r="K3816" s="54">
        <f>IF(Inputs!$C$90="","",IF(Inputs!$E$90="planned",EDATE(Inputs!$C$90,N(INDEX(sc_shift,2))),Inputs!$C$90))</f>
        <v>46054</v>
      </c>
      <c r="L3816" s="54">
        <f t="shared" si="1417"/>
        <v>46054</v>
      </c>
      <c r="M3816" s="52">
        <f>IF(N(INDEX(sc_ach,2))=0,IF(Inputs!$G$90="",1,Inputs!$G$90),INDEX(sc_ach,2))</f>
        <v>1</v>
      </c>
      <c r="N3816" s="52">
        <f>IF(Inputs!$C$90="",0,IF(Inputs!$E$90="planned",(Inputs!$D$90+N(INDEX(sc_dpts,2)))*$M3816,Inputs!$D$90))</f>
        <v>0.03</v>
      </c>
      <c r="O3816" s="53">
        <f>IF(Inputs!$C$90="",0,IF(1+$N3816&gt;0,LN(1+$N3816),0))</f>
        <v>2.9558802241544429E-2</v>
      </c>
      <c r="P3816" s="55">
        <f t="shared" si="1418"/>
        <v>28</v>
      </c>
      <c r="Q3816" s="55">
        <f>IF($K3816="",0,COUNTIFS(rl_key,Inputs!$J$90,$L$3806:$L$4045,$L3816,$K$3806:$K$4045,"&lt;"&amp;$K3816))</f>
        <v>0</v>
      </c>
      <c r="R3816" s="55">
        <f>IF($K3816="",0,COUNTIFS(Inputs!$J$80:$J$90,Inputs!$J$90,$L$3806:$L3816,$L3816,$K$3806:$K3816,$K3816))</f>
        <v>1</v>
      </c>
      <c r="S3816" s="55">
        <f t="shared" si="1419"/>
        <v>1</v>
      </c>
      <c r="U3816" s="54">
        <f>IF(Inputs!$C$90="","",IF(Inputs!$E$90="planned",EDATE(Inputs!$C$90,N(INDEX(sc_shift,3))),Inputs!$C$90))</f>
        <v>46054</v>
      </c>
      <c r="V3816" s="54">
        <f t="shared" si="1420"/>
        <v>46054</v>
      </c>
      <c r="W3816" s="52">
        <f>IF(N(INDEX(sc_ach,3))=0,IF(Inputs!$G$90="",1,Inputs!$G$90),INDEX(sc_ach,3))</f>
        <v>1</v>
      </c>
      <c r="X3816" s="52">
        <f>IF(Inputs!$C$90="",0,IF(Inputs!$E$90="planned",(Inputs!$D$90+N(INDEX(sc_dpts,3)))*$W3816,Inputs!$D$90))</f>
        <v>0.03</v>
      </c>
      <c r="Y3816" s="53">
        <f>IF(Inputs!$C$90="",0,IF(1+$X3816&gt;0,LN(1+$X3816),0))</f>
        <v>2.9558802241544429E-2</v>
      </c>
      <c r="Z3816" s="55">
        <f t="shared" si="1421"/>
        <v>28</v>
      </c>
      <c r="AA3816" s="55">
        <f>IF($U3816="",0,COUNTIFS(rl_key,Inputs!$J$90,$V$3806:$V$4045,$V3816,$U$3806:$U$4045,"&lt;"&amp;$U3816))</f>
        <v>0</v>
      </c>
      <c r="AB3816" s="55">
        <f>IF($U3816="",0,COUNTIFS(Inputs!$J$80:$J$90,Inputs!$J$90,$V$3806:$V3816,$V3816,$U$3806:$U3816,$U3816))</f>
        <v>1</v>
      </c>
      <c r="AC3816" s="55">
        <f t="shared" si="1422"/>
        <v>1</v>
      </c>
      <c r="AE3816" s="54">
        <f>IF(Inputs!$C$90="","",IF(Inputs!$E$90="planned",EDATE(Inputs!$C$90,N(INDEX(sc_shift,4))),Inputs!$C$90))</f>
        <v>46054</v>
      </c>
      <c r="AF3816" s="54">
        <f t="shared" si="1423"/>
        <v>46054</v>
      </c>
      <c r="AG3816" s="52">
        <f>IF(N(INDEX(sc_ach,4))=0,IF(Inputs!$G$90="",1,Inputs!$G$90),INDEX(sc_ach,4))</f>
        <v>1</v>
      </c>
      <c r="AH3816" s="52">
        <f>IF(Inputs!$C$90="",0,IF(Inputs!$E$90="planned",(Inputs!$D$90+N(INDEX(sc_dpts,4)))*$AG3816,Inputs!$D$90))</f>
        <v>0.03</v>
      </c>
      <c r="AI3816" s="53">
        <f>IF(Inputs!$C$90="",0,IF(1+$AH3816&gt;0,LN(1+$AH3816),0))</f>
        <v>2.9558802241544429E-2</v>
      </c>
      <c r="AJ3816" s="55">
        <f t="shared" si="1424"/>
        <v>28</v>
      </c>
      <c r="AK3816" s="55">
        <f>IF($AE3816="",0,COUNTIFS(rl_key,Inputs!$J$90,$AF$3806:$AF$4045,$AF3816,$AE$3806:$AE$4045,"&lt;"&amp;$AE3816))</f>
        <v>0</v>
      </c>
      <c r="AL3816" s="55">
        <f>IF($AE3816="",0,COUNTIFS(Inputs!$J$80:$J$90,Inputs!$J$90,$AF$3806:$AF3816,$AF3816,$AE$3806:$AE3816,$AE3816))</f>
        <v>1</v>
      </c>
      <c r="AM3816" s="55">
        <f t="shared" si="1425"/>
        <v>1</v>
      </c>
    </row>
    <row r="3817" spans="1:39" x14ac:dyDescent="0.25">
      <c r="A3817" s="54">
        <f>IF(Inputs!$C$91="","",IF(Inputs!$E$91="planned",EDATE(Inputs!$C$91,N(INDEX(sc_shift,1))),Inputs!$C$91))</f>
        <v>46419</v>
      </c>
      <c r="B3817" s="54">
        <f t="shared" si="1414"/>
        <v>46419</v>
      </c>
      <c r="C3817" s="52">
        <f>IF(N(INDEX(sc_ach,1))=0,IF(Inputs!$G$91="",1,Inputs!$G$91),INDEX(sc_ach,1))</f>
        <v>1</v>
      </c>
      <c r="D3817" s="52">
        <f>IF(Inputs!$C$91="",0,IF(Inputs!$E$91="planned",(Inputs!$D$91+N(INDEX(sc_dpts,1)))*$C3817,Inputs!$D$91))</f>
        <v>0.04</v>
      </c>
      <c r="E3817" s="53">
        <f>IF(Inputs!$C$91="",0,IF(1+$D3817&gt;0,LN(1+$D3817),0))</f>
        <v>3.9220713153281329E-2</v>
      </c>
      <c r="F3817" s="55">
        <f t="shared" si="1415"/>
        <v>28</v>
      </c>
      <c r="G3817" s="55">
        <f>IF($A3817="",0,COUNTIFS(rl_key,Inputs!$J$91,$B$3806:$B$4045,$B3817,$A$3806:$A$4045,"&lt;"&amp;$A3817))</f>
        <v>0</v>
      </c>
      <c r="H3817" s="55">
        <f>IF($A3817="",0,COUNTIFS(Inputs!$J$80:$J$91,Inputs!$J$91,$B$3806:$B3817,$B3817,$A$3806:$A3817,$A3817))</f>
        <v>1</v>
      </c>
      <c r="I3817" s="55">
        <f t="shared" si="1416"/>
        <v>1</v>
      </c>
      <c r="K3817" s="54">
        <f>IF(Inputs!$C$91="","",IF(Inputs!$E$91="planned",EDATE(Inputs!$C$91,N(INDEX(sc_shift,2))),Inputs!$C$91))</f>
        <v>46419</v>
      </c>
      <c r="L3817" s="54">
        <f t="shared" si="1417"/>
        <v>46419</v>
      </c>
      <c r="M3817" s="52">
        <f>IF(N(INDEX(sc_ach,2))=0,IF(Inputs!$G$91="",1,Inputs!$G$91),INDEX(sc_ach,2))</f>
        <v>1</v>
      </c>
      <c r="N3817" s="52">
        <f>IF(Inputs!$C$91="",0,IF(Inputs!$E$91="planned",(Inputs!$D$91+N(INDEX(sc_dpts,2)))*$M3817,Inputs!$D$91))</f>
        <v>0.04</v>
      </c>
      <c r="O3817" s="53">
        <f>IF(Inputs!$C$91="",0,IF(1+$N3817&gt;0,LN(1+$N3817),0))</f>
        <v>3.9220713153281329E-2</v>
      </c>
      <c r="P3817" s="55">
        <f t="shared" si="1418"/>
        <v>28</v>
      </c>
      <c r="Q3817" s="55">
        <f>IF($K3817="",0,COUNTIFS(rl_key,Inputs!$J$91,$L$3806:$L$4045,$L3817,$K$3806:$K$4045,"&lt;"&amp;$K3817))</f>
        <v>0</v>
      </c>
      <c r="R3817" s="55">
        <f>IF($K3817="",0,COUNTIFS(Inputs!$J$80:$J$91,Inputs!$J$91,$L$3806:$L3817,$L3817,$K$3806:$K3817,$K3817))</f>
        <v>1</v>
      </c>
      <c r="S3817" s="55">
        <f t="shared" si="1419"/>
        <v>1</v>
      </c>
      <c r="U3817" s="54">
        <f>IF(Inputs!$C$91="","",IF(Inputs!$E$91="planned",EDATE(Inputs!$C$91,N(INDEX(sc_shift,3))),Inputs!$C$91))</f>
        <v>46419</v>
      </c>
      <c r="V3817" s="54">
        <f t="shared" si="1420"/>
        <v>46419</v>
      </c>
      <c r="W3817" s="52">
        <f>IF(N(INDEX(sc_ach,3))=0,IF(Inputs!$G$91="",1,Inputs!$G$91),INDEX(sc_ach,3))</f>
        <v>1</v>
      </c>
      <c r="X3817" s="52">
        <f>IF(Inputs!$C$91="",0,IF(Inputs!$E$91="planned",(Inputs!$D$91+N(INDEX(sc_dpts,3)))*$W3817,Inputs!$D$91))</f>
        <v>0.04</v>
      </c>
      <c r="Y3817" s="53">
        <f>IF(Inputs!$C$91="",0,IF(1+$X3817&gt;0,LN(1+$X3817),0))</f>
        <v>3.9220713153281329E-2</v>
      </c>
      <c r="Z3817" s="55">
        <f t="shared" si="1421"/>
        <v>28</v>
      </c>
      <c r="AA3817" s="55">
        <f>IF($U3817="",0,COUNTIFS(rl_key,Inputs!$J$91,$V$3806:$V$4045,$V3817,$U$3806:$U$4045,"&lt;"&amp;$U3817))</f>
        <v>0</v>
      </c>
      <c r="AB3817" s="55">
        <f>IF($U3817="",0,COUNTIFS(Inputs!$J$80:$J$91,Inputs!$J$91,$V$3806:$V3817,$V3817,$U$3806:$U3817,$U3817))</f>
        <v>1</v>
      </c>
      <c r="AC3817" s="55">
        <f t="shared" si="1422"/>
        <v>1</v>
      </c>
      <c r="AE3817" s="54">
        <f>IF(Inputs!$C$91="","",IF(Inputs!$E$91="planned",EDATE(Inputs!$C$91,N(INDEX(sc_shift,4))),Inputs!$C$91))</f>
        <v>46419</v>
      </c>
      <c r="AF3817" s="54">
        <f t="shared" si="1423"/>
        <v>46419</v>
      </c>
      <c r="AG3817" s="52">
        <f>IF(N(INDEX(sc_ach,4))=0,IF(Inputs!$G$91="",1,Inputs!$G$91),INDEX(sc_ach,4))</f>
        <v>1</v>
      </c>
      <c r="AH3817" s="52">
        <f>IF(Inputs!$C$91="",0,IF(Inputs!$E$91="planned",(Inputs!$D$91+N(INDEX(sc_dpts,4)))*$AG3817,Inputs!$D$91))</f>
        <v>0.04</v>
      </c>
      <c r="AI3817" s="53">
        <f>IF(Inputs!$C$91="",0,IF(1+$AH3817&gt;0,LN(1+$AH3817),0))</f>
        <v>3.9220713153281329E-2</v>
      </c>
      <c r="AJ3817" s="55">
        <f t="shared" si="1424"/>
        <v>28</v>
      </c>
      <c r="AK3817" s="55">
        <f>IF($AE3817="",0,COUNTIFS(rl_key,Inputs!$J$91,$AF$3806:$AF$4045,$AF3817,$AE$3806:$AE$4045,"&lt;"&amp;$AE3817))</f>
        <v>0</v>
      </c>
      <c r="AL3817" s="55">
        <f>IF($AE3817="",0,COUNTIFS(Inputs!$J$80:$J$91,Inputs!$J$91,$AF$3806:$AF3817,$AF3817,$AE$3806:$AE3817,$AE3817))</f>
        <v>1</v>
      </c>
      <c r="AM3817" s="55">
        <f t="shared" si="1425"/>
        <v>1</v>
      </c>
    </row>
    <row r="3818" spans="1:39" x14ac:dyDescent="0.25">
      <c r="A3818" s="54">
        <f>IF(Inputs!$C$92="","",IF(Inputs!$E$92="planned",EDATE(Inputs!$C$92,N(INDEX(sc_shift,1))),Inputs!$C$92))</f>
        <v>46113</v>
      </c>
      <c r="B3818" s="54">
        <f t="shared" si="1414"/>
        <v>46113</v>
      </c>
      <c r="C3818" s="52">
        <f>IF(N(INDEX(sc_ach,1))=0,IF(Inputs!$G$92="",1,Inputs!$G$92),INDEX(sc_ach,1))</f>
        <v>1</v>
      </c>
      <c r="D3818" s="52">
        <f>IF(Inputs!$C$92="",0,IF(Inputs!$E$92="planned",(Inputs!$D$92+N(INDEX(sc_dpts,1)))*$C3818,Inputs!$D$92))</f>
        <v>0.05</v>
      </c>
      <c r="E3818" s="53">
        <f>IF(Inputs!$C$92="",0,IF(1+$D3818&gt;0,LN(1+$D3818),0))</f>
        <v>4.8790164169432049E-2</v>
      </c>
      <c r="F3818" s="55">
        <f t="shared" si="1415"/>
        <v>30</v>
      </c>
      <c r="G3818" s="55">
        <f>IF($A3818="",0,COUNTIFS(rl_key,Inputs!$J$92,$B$3806:$B$4045,$B3818,$A$3806:$A$4045,"&lt;"&amp;$A3818))</f>
        <v>0</v>
      </c>
      <c r="H3818" s="55">
        <f>IF($A3818="",0,COUNTIFS(Inputs!$J$80:$J$92,Inputs!$J$92,$B$3806:$B3818,$B3818,$A$3806:$A3818,$A3818))</f>
        <v>1</v>
      </c>
      <c r="I3818" s="55">
        <f t="shared" si="1416"/>
        <v>1</v>
      </c>
      <c r="K3818" s="54">
        <f>IF(Inputs!$C$92="","",IF(Inputs!$E$92="planned",EDATE(Inputs!$C$92,N(INDEX(sc_shift,2))),Inputs!$C$92))</f>
        <v>46113</v>
      </c>
      <c r="L3818" s="54">
        <f t="shared" si="1417"/>
        <v>46113</v>
      </c>
      <c r="M3818" s="52">
        <f>IF(N(INDEX(sc_ach,2))=0,IF(Inputs!$G$92="",1,Inputs!$G$92),INDEX(sc_ach,2))</f>
        <v>1</v>
      </c>
      <c r="N3818" s="52">
        <f>IF(Inputs!$C$92="",0,IF(Inputs!$E$92="planned",(Inputs!$D$92+N(INDEX(sc_dpts,2)))*$M3818,Inputs!$D$92))</f>
        <v>0.05</v>
      </c>
      <c r="O3818" s="53">
        <f>IF(Inputs!$C$92="",0,IF(1+$N3818&gt;0,LN(1+$N3818),0))</f>
        <v>4.8790164169432049E-2</v>
      </c>
      <c r="P3818" s="55">
        <f t="shared" si="1418"/>
        <v>30</v>
      </c>
      <c r="Q3818" s="55">
        <f>IF($K3818="",0,COUNTIFS(rl_key,Inputs!$J$92,$L$3806:$L$4045,$L3818,$K$3806:$K$4045,"&lt;"&amp;$K3818))</f>
        <v>0</v>
      </c>
      <c r="R3818" s="55">
        <f>IF($K3818="",0,COUNTIFS(Inputs!$J$80:$J$92,Inputs!$J$92,$L$3806:$L3818,$L3818,$K$3806:$K3818,$K3818))</f>
        <v>1</v>
      </c>
      <c r="S3818" s="55">
        <f t="shared" si="1419"/>
        <v>1</v>
      </c>
      <c r="U3818" s="54">
        <f>IF(Inputs!$C$92="","",IF(Inputs!$E$92="planned",EDATE(Inputs!$C$92,N(INDEX(sc_shift,3))),Inputs!$C$92))</f>
        <v>46113</v>
      </c>
      <c r="V3818" s="54">
        <f t="shared" si="1420"/>
        <v>46113</v>
      </c>
      <c r="W3818" s="52">
        <f>IF(N(INDEX(sc_ach,3))=0,IF(Inputs!$G$92="",1,Inputs!$G$92),INDEX(sc_ach,3))</f>
        <v>1</v>
      </c>
      <c r="X3818" s="52">
        <f>IF(Inputs!$C$92="",0,IF(Inputs!$E$92="planned",(Inputs!$D$92+N(INDEX(sc_dpts,3)))*$W3818,Inputs!$D$92))</f>
        <v>0.05</v>
      </c>
      <c r="Y3818" s="53">
        <f>IF(Inputs!$C$92="",0,IF(1+$X3818&gt;0,LN(1+$X3818),0))</f>
        <v>4.8790164169432049E-2</v>
      </c>
      <c r="Z3818" s="55">
        <f t="shared" si="1421"/>
        <v>30</v>
      </c>
      <c r="AA3818" s="55">
        <f>IF($U3818="",0,COUNTIFS(rl_key,Inputs!$J$92,$V$3806:$V$4045,$V3818,$U$3806:$U$4045,"&lt;"&amp;$U3818))</f>
        <v>0</v>
      </c>
      <c r="AB3818" s="55">
        <f>IF($U3818="",0,COUNTIFS(Inputs!$J$80:$J$92,Inputs!$J$92,$V$3806:$V3818,$V3818,$U$3806:$U3818,$U3818))</f>
        <v>1</v>
      </c>
      <c r="AC3818" s="55">
        <f t="shared" si="1422"/>
        <v>1</v>
      </c>
      <c r="AE3818" s="54">
        <f>IF(Inputs!$C$92="","",IF(Inputs!$E$92="planned",EDATE(Inputs!$C$92,N(INDEX(sc_shift,4))),Inputs!$C$92))</f>
        <v>46113</v>
      </c>
      <c r="AF3818" s="54">
        <f t="shared" si="1423"/>
        <v>46113</v>
      </c>
      <c r="AG3818" s="52">
        <f>IF(N(INDEX(sc_ach,4))=0,IF(Inputs!$G$92="",1,Inputs!$G$92),INDEX(sc_ach,4))</f>
        <v>1</v>
      </c>
      <c r="AH3818" s="52">
        <f>IF(Inputs!$C$92="",0,IF(Inputs!$E$92="planned",(Inputs!$D$92+N(INDEX(sc_dpts,4)))*$AG3818,Inputs!$D$92))</f>
        <v>0.05</v>
      </c>
      <c r="AI3818" s="53">
        <f>IF(Inputs!$C$92="",0,IF(1+$AH3818&gt;0,LN(1+$AH3818),0))</f>
        <v>4.8790164169432049E-2</v>
      </c>
      <c r="AJ3818" s="55">
        <f t="shared" si="1424"/>
        <v>30</v>
      </c>
      <c r="AK3818" s="55">
        <f>IF($AE3818="",0,COUNTIFS(rl_key,Inputs!$J$92,$AF$3806:$AF$4045,$AF3818,$AE$3806:$AE$4045,"&lt;"&amp;$AE3818))</f>
        <v>0</v>
      </c>
      <c r="AL3818" s="55">
        <f>IF($AE3818="",0,COUNTIFS(Inputs!$J$80:$J$92,Inputs!$J$92,$AF$3806:$AF3818,$AF3818,$AE$3806:$AE3818,$AE3818))</f>
        <v>1</v>
      </c>
      <c r="AM3818" s="55">
        <f t="shared" si="1425"/>
        <v>1</v>
      </c>
    </row>
    <row r="3819" spans="1:39" x14ac:dyDescent="0.25">
      <c r="A3819" s="54">
        <f>IF(Inputs!$C$93="","",IF(Inputs!$E$93="planned",EDATE(Inputs!$C$93,N(INDEX(sc_shift,1))),Inputs!$C$93))</f>
        <v>46143</v>
      </c>
      <c r="B3819" s="54">
        <f t="shared" si="1414"/>
        <v>46143</v>
      </c>
      <c r="C3819" s="52">
        <f>IF(N(INDEX(sc_ach,1))=0,IF(Inputs!$G$93="",1,Inputs!$G$93),INDEX(sc_ach,1))</f>
        <v>1</v>
      </c>
      <c r="D3819" s="52">
        <f>IF(Inputs!$C$93="",0,IF(Inputs!$E$93="planned",(Inputs!$D$93+N(INDEX(sc_dpts,1)))*$C3819,Inputs!$D$93))</f>
        <v>0.06</v>
      </c>
      <c r="E3819" s="53">
        <f>IF(Inputs!$C$93="",0,IF(1+$D3819&gt;0,LN(1+$D3819),0))</f>
        <v>5.8268908123975824E-2</v>
      </c>
      <c r="F3819" s="55">
        <f t="shared" si="1415"/>
        <v>31</v>
      </c>
      <c r="G3819" s="55">
        <f>IF($A3819="",0,COUNTIFS(rl_key,Inputs!$J$93,$B$3806:$B$4045,$B3819,$A$3806:$A$4045,"&lt;"&amp;$A3819))</f>
        <v>0</v>
      </c>
      <c r="H3819" s="55">
        <f>IF($A3819="",0,COUNTIFS(Inputs!$J$80:$J$93,Inputs!$J$93,$B$3806:$B3819,$B3819,$A$3806:$A3819,$A3819))</f>
        <v>1</v>
      </c>
      <c r="I3819" s="55">
        <f t="shared" si="1416"/>
        <v>1</v>
      </c>
      <c r="K3819" s="54">
        <f>IF(Inputs!$C$93="","",IF(Inputs!$E$93="planned",EDATE(Inputs!$C$93,N(INDEX(sc_shift,2))),Inputs!$C$93))</f>
        <v>46143</v>
      </c>
      <c r="L3819" s="54">
        <f t="shared" si="1417"/>
        <v>46143</v>
      </c>
      <c r="M3819" s="52">
        <f>IF(N(INDEX(sc_ach,2))=0,IF(Inputs!$G$93="",1,Inputs!$G$93),INDEX(sc_ach,2))</f>
        <v>1</v>
      </c>
      <c r="N3819" s="52">
        <f>IF(Inputs!$C$93="",0,IF(Inputs!$E$93="planned",(Inputs!$D$93+N(INDEX(sc_dpts,2)))*$M3819,Inputs!$D$93))</f>
        <v>0.06</v>
      </c>
      <c r="O3819" s="53">
        <f>IF(Inputs!$C$93="",0,IF(1+$N3819&gt;0,LN(1+$N3819),0))</f>
        <v>5.8268908123975824E-2</v>
      </c>
      <c r="P3819" s="55">
        <f t="shared" si="1418"/>
        <v>31</v>
      </c>
      <c r="Q3819" s="55">
        <f>IF($K3819="",0,COUNTIFS(rl_key,Inputs!$J$93,$L$3806:$L$4045,$L3819,$K$3806:$K$4045,"&lt;"&amp;$K3819))</f>
        <v>0</v>
      </c>
      <c r="R3819" s="55">
        <f>IF($K3819="",0,COUNTIFS(Inputs!$J$80:$J$93,Inputs!$J$93,$L$3806:$L3819,$L3819,$K$3806:$K3819,$K3819))</f>
        <v>1</v>
      </c>
      <c r="S3819" s="55">
        <f t="shared" si="1419"/>
        <v>1</v>
      </c>
      <c r="U3819" s="54">
        <f>IF(Inputs!$C$93="","",IF(Inputs!$E$93="planned",EDATE(Inputs!$C$93,N(INDEX(sc_shift,3))),Inputs!$C$93))</f>
        <v>46143</v>
      </c>
      <c r="V3819" s="54">
        <f t="shared" si="1420"/>
        <v>46143</v>
      </c>
      <c r="W3819" s="52">
        <f>IF(N(INDEX(sc_ach,3))=0,IF(Inputs!$G$93="",1,Inputs!$G$93),INDEX(sc_ach,3))</f>
        <v>1</v>
      </c>
      <c r="X3819" s="52">
        <f>IF(Inputs!$C$93="",0,IF(Inputs!$E$93="planned",(Inputs!$D$93+N(INDEX(sc_dpts,3)))*$W3819,Inputs!$D$93))</f>
        <v>0.06</v>
      </c>
      <c r="Y3819" s="53">
        <f>IF(Inputs!$C$93="",0,IF(1+$X3819&gt;0,LN(1+$X3819),0))</f>
        <v>5.8268908123975824E-2</v>
      </c>
      <c r="Z3819" s="55">
        <f t="shared" si="1421"/>
        <v>31</v>
      </c>
      <c r="AA3819" s="55">
        <f>IF($U3819="",0,COUNTIFS(rl_key,Inputs!$J$93,$V$3806:$V$4045,$V3819,$U$3806:$U$4045,"&lt;"&amp;$U3819))</f>
        <v>0</v>
      </c>
      <c r="AB3819" s="55">
        <f>IF($U3819="",0,COUNTIFS(Inputs!$J$80:$J$93,Inputs!$J$93,$V$3806:$V3819,$V3819,$U$3806:$U3819,$U3819))</f>
        <v>1</v>
      </c>
      <c r="AC3819" s="55">
        <f t="shared" si="1422"/>
        <v>1</v>
      </c>
      <c r="AE3819" s="54">
        <f>IF(Inputs!$C$93="","",IF(Inputs!$E$93="planned",EDATE(Inputs!$C$93,N(INDEX(sc_shift,4))),Inputs!$C$93))</f>
        <v>46143</v>
      </c>
      <c r="AF3819" s="54">
        <f t="shared" si="1423"/>
        <v>46143</v>
      </c>
      <c r="AG3819" s="52">
        <f>IF(N(INDEX(sc_ach,4))=0,IF(Inputs!$G$93="",1,Inputs!$G$93),INDEX(sc_ach,4))</f>
        <v>1</v>
      </c>
      <c r="AH3819" s="52">
        <f>IF(Inputs!$C$93="",0,IF(Inputs!$E$93="planned",(Inputs!$D$93+N(INDEX(sc_dpts,4)))*$AG3819,Inputs!$D$93))</f>
        <v>0.06</v>
      </c>
      <c r="AI3819" s="53">
        <f>IF(Inputs!$C$93="",0,IF(1+$AH3819&gt;0,LN(1+$AH3819),0))</f>
        <v>5.8268908123975824E-2</v>
      </c>
      <c r="AJ3819" s="55">
        <f t="shared" si="1424"/>
        <v>31</v>
      </c>
      <c r="AK3819" s="55">
        <f>IF($AE3819="",0,COUNTIFS(rl_key,Inputs!$J$93,$AF$3806:$AF$4045,$AF3819,$AE$3806:$AE$4045,"&lt;"&amp;$AE3819))</f>
        <v>0</v>
      </c>
      <c r="AL3819" s="55">
        <f>IF($AE3819="",0,COUNTIFS(Inputs!$J$80:$J$93,Inputs!$J$93,$AF$3806:$AF3819,$AF3819,$AE$3806:$AE3819,$AE3819))</f>
        <v>1</v>
      </c>
      <c r="AM3819" s="55">
        <f t="shared" si="1425"/>
        <v>1</v>
      </c>
    </row>
    <row r="3820" spans="1:39" x14ac:dyDescent="0.25">
      <c r="A3820" s="54">
        <f>IF(Inputs!$C$94="","",IF(Inputs!$E$94="planned",EDATE(Inputs!$C$94,N(INDEX(sc_shift,1))),Inputs!$C$94))</f>
        <v>46539</v>
      </c>
      <c r="B3820" s="54">
        <f t="shared" si="1414"/>
        <v>46539</v>
      </c>
      <c r="C3820" s="52">
        <f>IF(N(INDEX(sc_ach,1))=0,IF(Inputs!$G$94="",1,Inputs!$G$94),INDEX(sc_ach,1))</f>
        <v>1</v>
      </c>
      <c r="D3820" s="52">
        <f>IF(Inputs!$C$94="",0,IF(Inputs!$E$94="planned",(Inputs!$D$94+N(INDEX(sc_dpts,1)))*$C3820,Inputs!$D$94))</f>
        <v>0.04</v>
      </c>
      <c r="E3820" s="53">
        <f>IF(Inputs!$C$94="",0,IF(1+$D3820&gt;0,LN(1+$D3820),0))</f>
        <v>3.9220713153281329E-2</v>
      </c>
      <c r="F3820" s="55">
        <f t="shared" si="1415"/>
        <v>30</v>
      </c>
      <c r="G3820" s="55">
        <f>IF($A3820="",0,COUNTIFS(rl_key,Inputs!$J$94,$B$3806:$B$4045,$B3820,$A$3806:$A$4045,"&lt;"&amp;$A3820))</f>
        <v>0</v>
      </c>
      <c r="H3820" s="55">
        <f>IF($A3820="",0,COUNTIFS(Inputs!$J$80:$J$94,Inputs!$J$94,$B$3806:$B3820,$B3820,$A$3806:$A3820,$A3820))</f>
        <v>1</v>
      </c>
      <c r="I3820" s="55">
        <f t="shared" si="1416"/>
        <v>1</v>
      </c>
      <c r="K3820" s="54">
        <f>IF(Inputs!$C$94="","",IF(Inputs!$E$94="planned",EDATE(Inputs!$C$94,N(INDEX(sc_shift,2))),Inputs!$C$94))</f>
        <v>46539</v>
      </c>
      <c r="L3820" s="54">
        <f t="shared" si="1417"/>
        <v>46539</v>
      </c>
      <c r="M3820" s="52">
        <f>IF(N(INDEX(sc_ach,2))=0,IF(Inputs!$G$94="",1,Inputs!$G$94),INDEX(sc_ach,2))</f>
        <v>1</v>
      </c>
      <c r="N3820" s="52">
        <f>IF(Inputs!$C$94="",0,IF(Inputs!$E$94="planned",(Inputs!$D$94+N(INDEX(sc_dpts,2)))*$M3820,Inputs!$D$94))</f>
        <v>0.04</v>
      </c>
      <c r="O3820" s="53">
        <f>IF(Inputs!$C$94="",0,IF(1+$N3820&gt;0,LN(1+$N3820),0))</f>
        <v>3.9220713153281329E-2</v>
      </c>
      <c r="P3820" s="55">
        <f t="shared" si="1418"/>
        <v>30</v>
      </c>
      <c r="Q3820" s="55">
        <f>IF($K3820="",0,COUNTIFS(rl_key,Inputs!$J$94,$L$3806:$L$4045,$L3820,$K$3806:$K$4045,"&lt;"&amp;$K3820))</f>
        <v>0</v>
      </c>
      <c r="R3820" s="55">
        <f>IF($K3820="",0,COUNTIFS(Inputs!$J$80:$J$94,Inputs!$J$94,$L$3806:$L3820,$L3820,$K$3806:$K3820,$K3820))</f>
        <v>1</v>
      </c>
      <c r="S3820" s="55">
        <f t="shared" si="1419"/>
        <v>1</v>
      </c>
      <c r="U3820" s="54">
        <f>IF(Inputs!$C$94="","",IF(Inputs!$E$94="planned",EDATE(Inputs!$C$94,N(INDEX(sc_shift,3))),Inputs!$C$94))</f>
        <v>46539</v>
      </c>
      <c r="V3820" s="54">
        <f t="shared" si="1420"/>
        <v>46539</v>
      </c>
      <c r="W3820" s="52">
        <f>IF(N(INDEX(sc_ach,3))=0,IF(Inputs!$G$94="",1,Inputs!$G$94),INDEX(sc_ach,3))</f>
        <v>1</v>
      </c>
      <c r="X3820" s="52">
        <f>IF(Inputs!$C$94="",0,IF(Inputs!$E$94="planned",(Inputs!$D$94+N(INDEX(sc_dpts,3)))*$W3820,Inputs!$D$94))</f>
        <v>0.04</v>
      </c>
      <c r="Y3820" s="53">
        <f>IF(Inputs!$C$94="",0,IF(1+$X3820&gt;0,LN(1+$X3820),0))</f>
        <v>3.9220713153281329E-2</v>
      </c>
      <c r="Z3820" s="55">
        <f t="shared" si="1421"/>
        <v>30</v>
      </c>
      <c r="AA3820" s="55">
        <f>IF($U3820="",0,COUNTIFS(rl_key,Inputs!$J$94,$V$3806:$V$4045,$V3820,$U$3806:$U$4045,"&lt;"&amp;$U3820))</f>
        <v>0</v>
      </c>
      <c r="AB3820" s="55">
        <f>IF($U3820="",0,COUNTIFS(Inputs!$J$80:$J$94,Inputs!$J$94,$V$3806:$V3820,$V3820,$U$3806:$U3820,$U3820))</f>
        <v>1</v>
      </c>
      <c r="AC3820" s="55">
        <f t="shared" si="1422"/>
        <v>1</v>
      </c>
      <c r="AE3820" s="54">
        <f>IF(Inputs!$C$94="","",IF(Inputs!$E$94="planned",EDATE(Inputs!$C$94,N(INDEX(sc_shift,4))),Inputs!$C$94))</f>
        <v>46539</v>
      </c>
      <c r="AF3820" s="54">
        <f t="shared" si="1423"/>
        <v>46539</v>
      </c>
      <c r="AG3820" s="52">
        <f>IF(N(INDEX(sc_ach,4))=0,IF(Inputs!$G$94="",1,Inputs!$G$94),INDEX(sc_ach,4))</f>
        <v>1</v>
      </c>
      <c r="AH3820" s="52">
        <f>IF(Inputs!$C$94="",0,IF(Inputs!$E$94="planned",(Inputs!$D$94+N(INDEX(sc_dpts,4)))*$AG3820,Inputs!$D$94))</f>
        <v>0.04</v>
      </c>
      <c r="AI3820" s="53">
        <f>IF(Inputs!$C$94="",0,IF(1+$AH3820&gt;0,LN(1+$AH3820),0))</f>
        <v>3.9220713153281329E-2</v>
      </c>
      <c r="AJ3820" s="55">
        <f t="shared" si="1424"/>
        <v>30</v>
      </c>
      <c r="AK3820" s="55">
        <f>IF($AE3820="",0,COUNTIFS(rl_key,Inputs!$J$94,$AF$3806:$AF$4045,$AF3820,$AE$3806:$AE$4045,"&lt;"&amp;$AE3820))</f>
        <v>0</v>
      </c>
      <c r="AL3820" s="55">
        <f>IF($AE3820="",0,COUNTIFS(Inputs!$J$80:$J$94,Inputs!$J$94,$AF$3806:$AF3820,$AF3820,$AE$3806:$AE3820,$AE3820))</f>
        <v>1</v>
      </c>
      <c r="AM3820" s="55">
        <f t="shared" si="1425"/>
        <v>1</v>
      </c>
    </row>
    <row r="3821" spans="1:39" x14ac:dyDescent="0.25">
      <c r="A3821" s="54">
        <f>IF(Inputs!$C$95="","",IF(Inputs!$E$95="planned",EDATE(Inputs!$C$95,N(INDEX(sc_shift,1))),Inputs!$C$95))</f>
        <v>46204</v>
      </c>
      <c r="B3821" s="54">
        <f t="shared" si="1414"/>
        <v>46204</v>
      </c>
      <c r="C3821" s="52">
        <f>IF(N(INDEX(sc_ach,1))=0,IF(Inputs!$G$95="",1,Inputs!$G$95),INDEX(sc_ach,1))</f>
        <v>1</v>
      </c>
      <c r="D3821" s="52">
        <f>IF(Inputs!$C$95="",0,IF(Inputs!$E$95="planned",(Inputs!$D$95+N(INDEX(sc_dpts,1)))*$C3821,Inputs!$D$95))</f>
        <v>0.03</v>
      </c>
      <c r="E3821" s="53">
        <f>IF(Inputs!$C$95="",0,IF(1+$D3821&gt;0,LN(1+$D3821),0))</f>
        <v>2.9558802241544429E-2</v>
      </c>
      <c r="F3821" s="55">
        <f t="shared" si="1415"/>
        <v>31</v>
      </c>
      <c r="G3821" s="55">
        <f>IF($A3821="",0,COUNTIFS(rl_key,Inputs!$J$95,$B$3806:$B$4045,$B3821,$A$3806:$A$4045,"&lt;"&amp;$A3821))</f>
        <v>0</v>
      </c>
      <c r="H3821" s="55">
        <f>IF($A3821="",0,COUNTIFS(Inputs!$J$80:$J$95,Inputs!$J$95,$B$3806:$B3821,$B3821,$A$3806:$A3821,$A3821))</f>
        <v>1</v>
      </c>
      <c r="I3821" s="55">
        <f t="shared" si="1416"/>
        <v>1</v>
      </c>
      <c r="K3821" s="54">
        <f>IF(Inputs!$C$95="","",IF(Inputs!$E$95="planned",EDATE(Inputs!$C$95,N(INDEX(sc_shift,2))),Inputs!$C$95))</f>
        <v>46204</v>
      </c>
      <c r="L3821" s="54">
        <f t="shared" si="1417"/>
        <v>46204</v>
      </c>
      <c r="M3821" s="52">
        <f>IF(N(INDEX(sc_ach,2))=0,IF(Inputs!$G$95="",1,Inputs!$G$95),INDEX(sc_ach,2))</f>
        <v>1</v>
      </c>
      <c r="N3821" s="52">
        <f>IF(Inputs!$C$95="",0,IF(Inputs!$E$95="planned",(Inputs!$D$95+N(INDEX(sc_dpts,2)))*$M3821,Inputs!$D$95))</f>
        <v>0.03</v>
      </c>
      <c r="O3821" s="53">
        <f>IF(Inputs!$C$95="",0,IF(1+$N3821&gt;0,LN(1+$N3821),0))</f>
        <v>2.9558802241544429E-2</v>
      </c>
      <c r="P3821" s="55">
        <f t="shared" si="1418"/>
        <v>31</v>
      </c>
      <c r="Q3821" s="55">
        <f>IF($K3821="",0,COUNTIFS(rl_key,Inputs!$J$95,$L$3806:$L$4045,$L3821,$K$3806:$K$4045,"&lt;"&amp;$K3821))</f>
        <v>0</v>
      </c>
      <c r="R3821" s="55">
        <f>IF($K3821="",0,COUNTIFS(Inputs!$J$80:$J$95,Inputs!$J$95,$L$3806:$L3821,$L3821,$K$3806:$K3821,$K3821))</f>
        <v>1</v>
      </c>
      <c r="S3821" s="55">
        <f t="shared" si="1419"/>
        <v>1</v>
      </c>
      <c r="U3821" s="54">
        <f>IF(Inputs!$C$95="","",IF(Inputs!$E$95="planned",EDATE(Inputs!$C$95,N(INDEX(sc_shift,3))),Inputs!$C$95))</f>
        <v>46204</v>
      </c>
      <c r="V3821" s="54">
        <f t="shared" si="1420"/>
        <v>46204</v>
      </c>
      <c r="W3821" s="52">
        <f>IF(N(INDEX(sc_ach,3))=0,IF(Inputs!$G$95="",1,Inputs!$G$95),INDEX(sc_ach,3))</f>
        <v>1</v>
      </c>
      <c r="X3821" s="52">
        <f>IF(Inputs!$C$95="",0,IF(Inputs!$E$95="planned",(Inputs!$D$95+N(INDEX(sc_dpts,3)))*$W3821,Inputs!$D$95))</f>
        <v>0.03</v>
      </c>
      <c r="Y3821" s="53">
        <f>IF(Inputs!$C$95="",0,IF(1+$X3821&gt;0,LN(1+$X3821),0))</f>
        <v>2.9558802241544429E-2</v>
      </c>
      <c r="Z3821" s="55">
        <f t="shared" si="1421"/>
        <v>31</v>
      </c>
      <c r="AA3821" s="55">
        <f>IF($U3821="",0,COUNTIFS(rl_key,Inputs!$J$95,$V$3806:$V$4045,$V3821,$U$3806:$U$4045,"&lt;"&amp;$U3821))</f>
        <v>0</v>
      </c>
      <c r="AB3821" s="55">
        <f>IF($U3821="",0,COUNTIFS(Inputs!$J$80:$J$95,Inputs!$J$95,$V$3806:$V3821,$V3821,$U$3806:$U3821,$U3821))</f>
        <v>1</v>
      </c>
      <c r="AC3821" s="55">
        <f t="shared" si="1422"/>
        <v>1</v>
      </c>
      <c r="AE3821" s="54">
        <f>IF(Inputs!$C$95="","",IF(Inputs!$E$95="planned",EDATE(Inputs!$C$95,N(INDEX(sc_shift,4))),Inputs!$C$95))</f>
        <v>46204</v>
      </c>
      <c r="AF3821" s="54">
        <f t="shared" si="1423"/>
        <v>46204</v>
      </c>
      <c r="AG3821" s="52">
        <f>IF(N(INDEX(sc_ach,4))=0,IF(Inputs!$G$95="",1,Inputs!$G$95),INDEX(sc_ach,4))</f>
        <v>1</v>
      </c>
      <c r="AH3821" s="52">
        <f>IF(Inputs!$C$95="",0,IF(Inputs!$E$95="planned",(Inputs!$D$95+N(INDEX(sc_dpts,4)))*$AG3821,Inputs!$D$95))</f>
        <v>0.03</v>
      </c>
      <c r="AI3821" s="53">
        <f>IF(Inputs!$C$95="",0,IF(1+$AH3821&gt;0,LN(1+$AH3821),0))</f>
        <v>2.9558802241544429E-2</v>
      </c>
      <c r="AJ3821" s="55">
        <f t="shared" si="1424"/>
        <v>31</v>
      </c>
      <c r="AK3821" s="55">
        <f>IF($AE3821="",0,COUNTIFS(rl_key,Inputs!$J$95,$AF$3806:$AF$4045,$AF3821,$AE$3806:$AE$4045,"&lt;"&amp;$AE3821))</f>
        <v>0</v>
      </c>
      <c r="AL3821" s="55">
        <f>IF($AE3821="",0,COUNTIFS(Inputs!$J$80:$J$95,Inputs!$J$95,$AF$3806:$AF3821,$AF3821,$AE$3806:$AE3821,$AE3821))</f>
        <v>1</v>
      </c>
      <c r="AM3821" s="55">
        <f t="shared" si="1425"/>
        <v>1</v>
      </c>
    </row>
    <row r="3822" spans="1:39" x14ac:dyDescent="0.25">
      <c r="A3822" s="54">
        <f>IF(Inputs!$C$96="","",IF(Inputs!$E$96="planned",EDATE(Inputs!$C$96,N(INDEX(sc_shift,1))),Inputs!$C$96))</f>
        <v>46235</v>
      </c>
      <c r="B3822" s="54">
        <f t="shared" si="1414"/>
        <v>46235</v>
      </c>
      <c r="C3822" s="52">
        <f>IF(N(INDEX(sc_ach,1))=0,IF(Inputs!$G$96="",1,Inputs!$G$96),INDEX(sc_ach,1))</f>
        <v>1</v>
      </c>
      <c r="D3822" s="52">
        <f>IF(Inputs!$C$96="",0,IF(Inputs!$E$96="planned",(Inputs!$D$96+N(INDEX(sc_dpts,1)))*$C3822,Inputs!$D$96))</f>
        <v>0.04</v>
      </c>
      <c r="E3822" s="53">
        <f>IF(Inputs!$C$96="",0,IF(1+$D3822&gt;0,LN(1+$D3822),0))</f>
        <v>3.9220713153281329E-2</v>
      </c>
      <c r="F3822" s="55">
        <f t="shared" si="1415"/>
        <v>31</v>
      </c>
      <c r="G3822" s="55">
        <f>IF($A3822="",0,COUNTIFS(rl_key,Inputs!$J$96,$B$3806:$B$4045,$B3822,$A$3806:$A$4045,"&lt;"&amp;$A3822))</f>
        <v>0</v>
      </c>
      <c r="H3822" s="55">
        <f>IF($A3822="",0,COUNTIFS(Inputs!$J$80:$J$96,Inputs!$J$96,$B$3806:$B3822,$B3822,$A$3806:$A3822,$A3822))</f>
        <v>1</v>
      </c>
      <c r="I3822" s="55">
        <f t="shared" si="1416"/>
        <v>1</v>
      </c>
      <c r="K3822" s="54">
        <f>IF(Inputs!$C$96="","",IF(Inputs!$E$96="planned",EDATE(Inputs!$C$96,N(INDEX(sc_shift,2))),Inputs!$C$96))</f>
        <v>46235</v>
      </c>
      <c r="L3822" s="54">
        <f t="shared" si="1417"/>
        <v>46235</v>
      </c>
      <c r="M3822" s="52">
        <f>IF(N(INDEX(sc_ach,2))=0,IF(Inputs!$G$96="",1,Inputs!$G$96),INDEX(sc_ach,2))</f>
        <v>1</v>
      </c>
      <c r="N3822" s="52">
        <f>IF(Inputs!$C$96="",0,IF(Inputs!$E$96="planned",(Inputs!$D$96+N(INDEX(sc_dpts,2)))*$M3822,Inputs!$D$96))</f>
        <v>0.04</v>
      </c>
      <c r="O3822" s="53">
        <f>IF(Inputs!$C$96="",0,IF(1+$N3822&gt;0,LN(1+$N3822),0))</f>
        <v>3.9220713153281329E-2</v>
      </c>
      <c r="P3822" s="55">
        <f t="shared" si="1418"/>
        <v>31</v>
      </c>
      <c r="Q3822" s="55">
        <f>IF($K3822="",0,COUNTIFS(rl_key,Inputs!$J$96,$L$3806:$L$4045,$L3822,$K$3806:$K$4045,"&lt;"&amp;$K3822))</f>
        <v>0</v>
      </c>
      <c r="R3822" s="55">
        <f>IF($K3822="",0,COUNTIFS(Inputs!$J$80:$J$96,Inputs!$J$96,$L$3806:$L3822,$L3822,$K$3806:$K3822,$K3822))</f>
        <v>1</v>
      </c>
      <c r="S3822" s="55">
        <f t="shared" si="1419"/>
        <v>1</v>
      </c>
      <c r="U3822" s="54">
        <f>IF(Inputs!$C$96="","",IF(Inputs!$E$96="planned",EDATE(Inputs!$C$96,N(INDEX(sc_shift,3))),Inputs!$C$96))</f>
        <v>46235</v>
      </c>
      <c r="V3822" s="54">
        <f t="shared" si="1420"/>
        <v>46235</v>
      </c>
      <c r="W3822" s="52">
        <f>IF(N(INDEX(sc_ach,3))=0,IF(Inputs!$G$96="",1,Inputs!$G$96),INDEX(sc_ach,3))</f>
        <v>1</v>
      </c>
      <c r="X3822" s="52">
        <f>IF(Inputs!$C$96="",0,IF(Inputs!$E$96="planned",(Inputs!$D$96+N(INDEX(sc_dpts,3)))*$W3822,Inputs!$D$96))</f>
        <v>0.04</v>
      </c>
      <c r="Y3822" s="53">
        <f>IF(Inputs!$C$96="",0,IF(1+$X3822&gt;0,LN(1+$X3822),0))</f>
        <v>3.9220713153281329E-2</v>
      </c>
      <c r="Z3822" s="55">
        <f t="shared" si="1421"/>
        <v>31</v>
      </c>
      <c r="AA3822" s="55">
        <f>IF($U3822="",0,COUNTIFS(rl_key,Inputs!$J$96,$V$3806:$V$4045,$V3822,$U$3806:$U$4045,"&lt;"&amp;$U3822))</f>
        <v>0</v>
      </c>
      <c r="AB3822" s="55">
        <f>IF($U3822="",0,COUNTIFS(Inputs!$J$80:$J$96,Inputs!$J$96,$V$3806:$V3822,$V3822,$U$3806:$U3822,$U3822))</f>
        <v>1</v>
      </c>
      <c r="AC3822" s="55">
        <f t="shared" si="1422"/>
        <v>1</v>
      </c>
      <c r="AE3822" s="54">
        <f>IF(Inputs!$C$96="","",IF(Inputs!$E$96="planned",EDATE(Inputs!$C$96,N(INDEX(sc_shift,4))),Inputs!$C$96))</f>
        <v>46235</v>
      </c>
      <c r="AF3822" s="54">
        <f t="shared" si="1423"/>
        <v>46235</v>
      </c>
      <c r="AG3822" s="52">
        <f>IF(N(INDEX(sc_ach,4))=0,IF(Inputs!$G$96="",1,Inputs!$G$96),INDEX(sc_ach,4))</f>
        <v>1</v>
      </c>
      <c r="AH3822" s="52">
        <f>IF(Inputs!$C$96="",0,IF(Inputs!$E$96="planned",(Inputs!$D$96+N(INDEX(sc_dpts,4)))*$AG3822,Inputs!$D$96))</f>
        <v>0.04</v>
      </c>
      <c r="AI3822" s="53">
        <f>IF(Inputs!$C$96="",0,IF(1+$AH3822&gt;0,LN(1+$AH3822),0))</f>
        <v>3.9220713153281329E-2</v>
      </c>
      <c r="AJ3822" s="55">
        <f t="shared" si="1424"/>
        <v>31</v>
      </c>
      <c r="AK3822" s="55">
        <f>IF($AE3822="",0,COUNTIFS(rl_key,Inputs!$J$96,$AF$3806:$AF$4045,$AF3822,$AE$3806:$AE$4045,"&lt;"&amp;$AE3822))</f>
        <v>0</v>
      </c>
      <c r="AL3822" s="55">
        <f>IF($AE3822="",0,COUNTIFS(Inputs!$J$80:$J$96,Inputs!$J$96,$AF$3806:$AF3822,$AF3822,$AE$3806:$AE3822,$AE3822))</f>
        <v>1</v>
      </c>
      <c r="AM3822" s="55">
        <f t="shared" si="1425"/>
        <v>1</v>
      </c>
    </row>
    <row r="3823" spans="1:39" x14ac:dyDescent="0.25">
      <c r="A3823" s="54">
        <f>IF(Inputs!$C$97="","",IF(Inputs!$E$97="planned",EDATE(Inputs!$C$97,N(INDEX(sc_shift,1))),Inputs!$C$97))</f>
        <v>46296</v>
      </c>
      <c r="B3823" s="54">
        <f t="shared" si="1414"/>
        <v>46296</v>
      </c>
      <c r="C3823" s="52">
        <f>IF(N(INDEX(sc_ach,1))=0,IF(Inputs!$G$97="",1,Inputs!$G$97),INDEX(sc_ach,1))</f>
        <v>1</v>
      </c>
      <c r="D3823" s="52">
        <f>IF(Inputs!$C$97="",0,IF(Inputs!$E$97="planned",(Inputs!$D$97+N(INDEX(sc_dpts,1)))*$C3823,Inputs!$D$97))</f>
        <v>0.06</v>
      </c>
      <c r="E3823" s="53">
        <f>IF(Inputs!$C$97="",0,IF(1+$D3823&gt;0,LN(1+$D3823),0))</f>
        <v>5.8268908123975824E-2</v>
      </c>
      <c r="F3823" s="55">
        <f t="shared" si="1415"/>
        <v>31</v>
      </c>
      <c r="G3823" s="55">
        <f>IF($A3823="",0,COUNTIFS(rl_key,Inputs!$J$97,$B$3806:$B$4045,$B3823,$A$3806:$A$4045,"&lt;"&amp;$A3823))</f>
        <v>0</v>
      </c>
      <c r="H3823" s="55">
        <f>IF($A3823="",0,COUNTIFS(Inputs!$J$80:$J$97,Inputs!$J$97,$B$3806:$B3823,$B3823,$A$3806:$A3823,$A3823))</f>
        <v>1</v>
      </c>
      <c r="I3823" s="55">
        <f t="shared" si="1416"/>
        <v>1</v>
      </c>
      <c r="K3823" s="54">
        <f>IF(Inputs!$C$97="","",IF(Inputs!$E$97="planned",EDATE(Inputs!$C$97,N(INDEX(sc_shift,2))),Inputs!$C$97))</f>
        <v>46296</v>
      </c>
      <c r="L3823" s="54">
        <f t="shared" si="1417"/>
        <v>46296</v>
      </c>
      <c r="M3823" s="52">
        <f>IF(N(INDEX(sc_ach,2))=0,IF(Inputs!$G$97="",1,Inputs!$G$97),INDEX(sc_ach,2))</f>
        <v>1</v>
      </c>
      <c r="N3823" s="52">
        <f>IF(Inputs!$C$97="",0,IF(Inputs!$E$97="planned",(Inputs!$D$97+N(INDEX(sc_dpts,2)))*$M3823,Inputs!$D$97))</f>
        <v>0.06</v>
      </c>
      <c r="O3823" s="53">
        <f>IF(Inputs!$C$97="",0,IF(1+$N3823&gt;0,LN(1+$N3823),0))</f>
        <v>5.8268908123975824E-2</v>
      </c>
      <c r="P3823" s="55">
        <f t="shared" si="1418"/>
        <v>31</v>
      </c>
      <c r="Q3823" s="55">
        <f>IF($K3823="",0,COUNTIFS(rl_key,Inputs!$J$97,$L$3806:$L$4045,$L3823,$K$3806:$K$4045,"&lt;"&amp;$K3823))</f>
        <v>0</v>
      </c>
      <c r="R3823" s="55">
        <f>IF($K3823="",0,COUNTIFS(Inputs!$J$80:$J$97,Inputs!$J$97,$L$3806:$L3823,$L3823,$K$3806:$K3823,$K3823))</f>
        <v>1</v>
      </c>
      <c r="S3823" s="55">
        <f t="shared" si="1419"/>
        <v>1</v>
      </c>
      <c r="U3823" s="54">
        <f>IF(Inputs!$C$97="","",IF(Inputs!$E$97="planned",EDATE(Inputs!$C$97,N(INDEX(sc_shift,3))),Inputs!$C$97))</f>
        <v>46296</v>
      </c>
      <c r="V3823" s="54">
        <f t="shared" si="1420"/>
        <v>46296</v>
      </c>
      <c r="W3823" s="52">
        <f>IF(N(INDEX(sc_ach,3))=0,IF(Inputs!$G$97="",1,Inputs!$G$97),INDEX(sc_ach,3))</f>
        <v>1</v>
      </c>
      <c r="X3823" s="52">
        <f>IF(Inputs!$C$97="",0,IF(Inputs!$E$97="planned",(Inputs!$D$97+N(INDEX(sc_dpts,3)))*$W3823,Inputs!$D$97))</f>
        <v>0.06</v>
      </c>
      <c r="Y3823" s="53">
        <f>IF(Inputs!$C$97="",0,IF(1+$X3823&gt;0,LN(1+$X3823),0))</f>
        <v>5.8268908123975824E-2</v>
      </c>
      <c r="Z3823" s="55">
        <f t="shared" si="1421"/>
        <v>31</v>
      </c>
      <c r="AA3823" s="55">
        <f>IF($U3823="",0,COUNTIFS(rl_key,Inputs!$J$97,$V$3806:$V$4045,$V3823,$U$3806:$U$4045,"&lt;"&amp;$U3823))</f>
        <v>0</v>
      </c>
      <c r="AB3823" s="55">
        <f>IF($U3823="",0,COUNTIFS(Inputs!$J$80:$J$97,Inputs!$J$97,$V$3806:$V3823,$V3823,$U$3806:$U3823,$U3823))</f>
        <v>1</v>
      </c>
      <c r="AC3823" s="55">
        <f t="shared" si="1422"/>
        <v>1</v>
      </c>
      <c r="AE3823" s="54">
        <f>IF(Inputs!$C$97="","",IF(Inputs!$E$97="planned",EDATE(Inputs!$C$97,N(INDEX(sc_shift,4))),Inputs!$C$97))</f>
        <v>46296</v>
      </c>
      <c r="AF3823" s="54">
        <f t="shared" si="1423"/>
        <v>46296</v>
      </c>
      <c r="AG3823" s="52">
        <f>IF(N(INDEX(sc_ach,4))=0,IF(Inputs!$G$97="",1,Inputs!$G$97),INDEX(sc_ach,4))</f>
        <v>1</v>
      </c>
      <c r="AH3823" s="52">
        <f>IF(Inputs!$C$97="",0,IF(Inputs!$E$97="planned",(Inputs!$D$97+N(INDEX(sc_dpts,4)))*$AG3823,Inputs!$D$97))</f>
        <v>0.06</v>
      </c>
      <c r="AI3823" s="53">
        <f>IF(Inputs!$C$97="",0,IF(1+$AH3823&gt;0,LN(1+$AH3823),0))</f>
        <v>5.8268908123975824E-2</v>
      </c>
      <c r="AJ3823" s="55">
        <f t="shared" si="1424"/>
        <v>31</v>
      </c>
      <c r="AK3823" s="55">
        <f>IF($AE3823="",0,COUNTIFS(rl_key,Inputs!$J$97,$AF$3806:$AF$4045,$AF3823,$AE$3806:$AE$4045,"&lt;"&amp;$AE3823))</f>
        <v>0</v>
      </c>
      <c r="AL3823" s="55">
        <f>IF($AE3823="",0,COUNTIFS(Inputs!$J$80:$J$97,Inputs!$J$97,$AF$3806:$AF3823,$AF3823,$AE$3806:$AE3823,$AE3823))</f>
        <v>1</v>
      </c>
      <c r="AM3823" s="55">
        <f t="shared" si="1425"/>
        <v>1</v>
      </c>
    </row>
    <row r="3824" spans="1:39" x14ac:dyDescent="0.25">
      <c r="A3824" s="54">
        <f>IF(Inputs!$C$98="","",IF(Inputs!$E$98="planned",EDATE(Inputs!$C$98,N(INDEX(sc_shift,1))),Inputs!$C$98))</f>
        <v>46661</v>
      </c>
      <c r="B3824" s="54">
        <f t="shared" si="1414"/>
        <v>46661</v>
      </c>
      <c r="C3824" s="52">
        <f>IF(N(INDEX(sc_ach,1))=0,IF(Inputs!$G$98="",1,Inputs!$G$98),INDEX(sc_ach,1))</f>
        <v>1</v>
      </c>
      <c r="D3824" s="52">
        <f>IF(Inputs!$C$98="",0,IF(Inputs!$E$98="planned",(Inputs!$D$98+N(INDEX(sc_dpts,1)))*$C3824,Inputs!$D$98))</f>
        <v>0.04</v>
      </c>
      <c r="E3824" s="53">
        <f>IF(Inputs!$C$98="",0,IF(1+$D3824&gt;0,LN(1+$D3824),0))</f>
        <v>3.9220713153281329E-2</v>
      </c>
      <c r="F3824" s="55">
        <f t="shared" si="1415"/>
        <v>31</v>
      </c>
      <c r="G3824" s="55">
        <f>IF($A3824="",0,COUNTIFS(rl_key,Inputs!$J$98,$B$3806:$B$4045,$B3824,$A$3806:$A$4045,"&lt;"&amp;$A3824))</f>
        <v>0</v>
      </c>
      <c r="H3824" s="55">
        <f>IF($A3824="",0,COUNTIFS(Inputs!$J$80:$J$98,Inputs!$J$98,$B$3806:$B3824,$B3824,$A$3806:$A3824,$A3824))</f>
        <v>1</v>
      </c>
      <c r="I3824" s="55">
        <f t="shared" si="1416"/>
        <v>1</v>
      </c>
      <c r="K3824" s="54">
        <f>IF(Inputs!$C$98="","",IF(Inputs!$E$98="planned",EDATE(Inputs!$C$98,N(INDEX(sc_shift,2))),Inputs!$C$98))</f>
        <v>46661</v>
      </c>
      <c r="L3824" s="54">
        <f t="shared" si="1417"/>
        <v>46661</v>
      </c>
      <c r="M3824" s="52">
        <f>IF(N(INDEX(sc_ach,2))=0,IF(Inputs!$G$98="",1,Inputs!$G$98),INDEX(sc_ach,2))</f>
        <v>1</v>
      </c>
      <c r="N3824" s="52">
        <f>IF(Inputs!$C$98="",0,IF(Inputs!$E$98="planned",(Inputs!$D$98+N(INDEX(sc_dpts,2)))*$M3824,Inputs!$D$98))</f>
        <v>0.04</v>
      </c>
      <c r="O3824" s="53">
        <f>IF(Inputs!$C$98="",0,IF(1+$N3824&gt;0,LN(1+$N3824),0))</f>
        <v>3.9220713153281329E-2</v>
      </c>
      <c r="P3824" s="55">
        <f t="shared" si="1418"/>
        <v>31</v>
      </c>
      <c r="Q3824" s="55">
        <f>IF($K3824="",0,COUNTIFS(rl_key,Inputs!$J$98,$L$3806:$L$4045,$L3824,$K$3806:$K$4045,"&lt;"&amp;$K3824))</f>
        <v>0</v>
      </c>
      <c r="R3824" s="55">
        <f>IF($K3824="",0,COUNTIFS(Inputs!$J$80:$J$98,Inputs!$J$98,$L$3806:$L3824,$L3824,$K$3806:$K3824,$K3824))</f>
        <v>1</v>
      </c>
      <c r="S3824" s="55">
        <f t="shared" si="1419"/>
        <v>1</v>
      </c>
      <c r="U3824" s="54">
        <f>IF(Inputs!$C$98="","",IF(Inputs!$E$98="planned",EDATE(Inputs!$C$98,N(INDEX(sc_shift,3))),Inputs!$C$98))</f>
        <v>46661</v>
      </c>
      <c r="V3824" s="54">
        <f t="shared" si="1420"/>
        <v>46661</v>
      </c>
      <c r="W3824" s="52">
        <f>IF(N(INDEX(sc_ach,3))=0,IF(Inputs!$G$98="",1,Inputs!$G$98),INDEX(sc_ach,3))</f>
        <v>1</v>
      </c>
      <c r="X3824" s="52">
        <f>IF(Inputs!$C$98="",0,IF(Inputs!$E$98="planned",(Inputs!$D$98+N(INDEX(sc_dpts,3)))*$W3824,Inputs!$D$98))</f>
        <v>0.04</v>
      </c>
      <c r="Y3824" s="53">
        <f>IF(Inputs!$C$98="",0,IF(1+$X3824&gt;0,LN(1+$X3824),0))</f>
        <v>3.9220713153281329E-2</v>
      </c>
      <c r="Z3824" s="55">
        <f t="shared" si="1421"/>
        <v>31</v>
      </c>
      <c r="AA3824" s="55">
        <f>IF($U3824="",0,COUNTIFS(rl_key,Inputs!$J$98,$V$3806:$V$4045,$V3824,$U$3806:$U$4045,"&lt;"&amp;$U3824))</f>
        <v>0</v>
      </c>
      <c r="AB3824" s="55">
        <f>IF($U3824="",0,COUNTIFS(Inputs!$J$80:$J$98,Inputs!$J$98,$V$3806:$V3824,$V3824,$U$3806:$U3824,$U3824))</f>
        <v>1</v>
      </c>
      <c r="AC3824" s="55">
        <f t="shared" si="1422"/>
        <v>1</v>
      </c>
      <c r="AE3824" s="54">
        <f>IF(Inputs!$C$98="","",IF(Inputs!$E$98="planned",EDATE(Inputs!$C$98,N(INDEX(sc_shift,4))),Inputs!$C$98))</f>
        <v>46661</v>
      </c>
      <c r="AF3824" s="54">
        <f t="shared" si="1423"/>
        <v>46661</v>
      </c>
      <c r="AG3824" s="52">
        <f>IF(N(INDEX(sc_ach,4))=0,IF(Inputs!$G$98="",1,Inputs!$G$98),INDEX(sc_ach,4))</f>
        <v>1</v>
      </c>
      <c r="AH3824" s="52">
        <f>IF(Inputs!$C$98="",0,IF(Inputs!$E$98="planned",(Inputs!$D$98+N(INDEX(sc_dpts,4)))*$AG3824,Inputs!$D$98))</f>
        <v>0.04</v>
      </c>
      <c r="AI3824" s="53">
        <f>IF(Inputs!$C$98="",0,IF(1+$AH3824&gt;0,LN(1+$AH3824),0))</f>
        <v>3.9220713153281329E-2</v>
      </c>
      <c r="AJ3824" s="55">
        <f t="shared" si="1424"/>
        <v>31</v>
      </c>
      <c r="AK3824" s="55">
        <f>IF($AE3824="",0,COUNTIFS(rl_key,Inputs!$J$98,$AF$3806:$AF$4045,$AF3824,$AE$3806:$AE$4045,"&lt;"&amp;$AE3824))</f>
        <v>0</v>
      </c>
      <c r="AL3824" s="55">
        <f>IF($AE3824="",0,COUNTIFS(Inputs!$J$80:$J$98,Inputs!$J$98,$AF$3806:$AF3824,$AF3824,$AE$3806:$AE3824,$AE3824))</f>
        <v>1</v>
      </c>
      <c r="AM3824" s="55">
        <f t="shared" si="1425"/>
        <v>1</v>
      </c>
    </row>
    <row r="3825" spans="1:39" x14ac:dyDescent="0.25">
      <c r="A3825" s="54">
        <f>IF(Inputs!$C$99="","",IF(Inputs!$E$99="planned",EDATE(Inputs!$C$99,N(INDEX(sc_shift,1))),Inputs!$C$99))</f>
        <v>46327</v>
      </c>
      <c r="B3825" s="54">
        <f t="shared" si="1414"/>
        <v>46327</v>
      </c>
      <c r="C3825" s="52">
        <f>IF(N(INDEX(sc_ach,1))=0,IF(Inputs!$G$99="",1,Inputs!$G$99),INDEX(sc_ach,1))</f>
        <v>1</v>
      </c>
      <c r="D3825" s="52">
        <f>IF(Inputs!$C$99="",0,IF(Inputs!$E$99="planned",(Inputs!$D$99+N(INDEX(sc_dpts,1)))*$C3825,Inputs!$D$99))</f>
        <v>0.02</v>
      </c>
      <c r="E3825" s="53">
        <f>IF(Inputs!$C$99="",0,IF(1+$D3825&gt;0,LN(1+$D3825),0))</f>
        <v>1.980262729617973E-2</v>
      </c>
      <c r="F3825" s="55">
        <f t="shared" si="1415"/>
        <v>30</v>
      </c>
      <c r="G3825" s="55">
        <f>IF($A3825="",0,COUNTIFS(rl_key,Inputs!$J$99,$B$3806:$B$4045,$B3825,$A$3806:$A$4045,"&lt;"&amp;$A3825))</f>
        <v>0</v>
      </c>
      <c r="H3825" s="55">
        <f>IF($A3825="",0,COUNTIFS(Inputs!$J$80:$J$99,Inputs!$J$99,$B$3806:$B3825,$B3825,$A$3806:$A3825,$A3825))</f>
        <v>1</v>
      </c>
      <c r="I3825" s="55">
        <f t="shared" si="1416"/>
        <v>1</v>
      </c>
      <c r="K3825" s="54">
        <f>IF(Inputs!$C$99="","",IF(Inputs!$E$99="planned",EDATE(Inputs!$C$99,N(INDEX(sc_shift,2))),Inputs!$C$99))</f>
        <v>46327</v>
      </c>
      <c r="L3825" s="54">
        <f t="shared" si="1417"/>
        <v>46327</v>
      </c>
      <c r="M3825" s="52">
        <f>IF(N(INDEX(sc_ach,2))=0,IF(Inputs!$G$99="",1,Inputs!$G$99),INDEX(sc_ach,2))</f>
        <v>1</v>
      </c>
      <c r="N3825" s="52">
        <f>IF(Inputs!$C$99="",0,IF(Inputs!$E$99="planned",(Inputs!$D$99+N(INDEX(sc_dpts,2)))*$M3825,Inputs!$D$99))</f>
        <v>0.02</v>
      </c>
      <c r="O3825" s="53">
        <f>IF(Inputs!$C$99="",0,IF(1+$N3825&gt;0,LN(1+$N3825),0))</f>
        <v>1.980262729617973E-2</v>
      </c>
      <c r="P3825" s="55">
        <f t="shared" si="1418"/>
        <v>30</v>
      </c>
      <c r="Q3825" s="55">
        <f>IF($K3825="",0,COUNTIFS(rl_key,Inputs!$J$99,$L$3806:$L$4045,$L3825,$K$3806:$K$4045,"&lt;"&amp;$K3825))</f>
        <v>0</v>
      </c>
      <c r="R3825" s="55">
        <f>IF($K3825="",0,COUNTIFS(Inputs!$J$80:$J$99,Inputs!$J$99,$L$3806:$L3825,$L3825,$K$3806:$K3825,$K3825))</f>
        <v>1</v>
      </c>
      <c r="S3825" s="55">
        <f t="shared" si="1419"/>
        <v>1</v>
      </c>
      <c r="U3825" s="54">
        <f>IF(Inputs!$C$99="","",IF(Inputs!$E$99="planned",EDATE(Inputs!$C$99,N(INDEX(sc_shift,3))),Inputs!$C$99))</f>
        <v>46327</v>
      </c>
      <c r="V3825" s="54">
        <f t="shared" si="1420"/>
        <v>46327</v>
      </c>
      <c r="W3825" s="52">
        <f>IF(N(INDEX(sc_ach,3))=0,IF(Inputs!$G$99="",1,Inputs!$G$99),INDEX(sc_ach,3))</f>
        <v>1</v>
      </c>
      <c r="X3825" s="52">
        <f>IF(Inputs!$C$99="",0,IF(Inputs!$E$99="planned",(Inputs!$D$99+N(INDEX(sc_dpts,3)))*$W3825,Inputs!$D$99))</f>
        <v>0.02</v>
      </c>
      <c r="Y3825" s="53">
        <f>IF(Inputs!$C$99="",0,IF(1+$X3825&gt;0,LN(1+$X3825),0))</f>
        <v>1.980262729617973E-2</v>
      </c>
      <c r="Z3825" s="55">
        <f t="shared" si="1421"/>
        <v>30</v>
      </c>
      <c r="AA3825" s="55">
        <f>IF($U3825="",0,COUNTIFS(rl_key,Inputs!$J$99,$V$3806:$V$4045,$V3825,$U$3806:$U$4045,"&lt;"&amp;$U3825))</f>
        <v>0</v>
      </c>
      <c r="AB3825" s="55">
        <f>IF($U3825="",0,COUNTIFS(Inputs!$J$80:$J$99,Inputs!$J$99,$V$3806:$V3825,$V3825,$U$3806:$U3825,$U3825))</f>
        <v>1</v>
      </c>
      <c r="AC3825" s="55">
        <f t="shared" si="1422"/>
        <v>1</v>
      </c>
      <c r="AE3825" s="54">
        <f>IF(Inputs!$C$99="","",IF(Inputs!$E$99="planned",EDATE(Inputs!$C$99,N(INDEX(sc_shift,4))),Inputs!$C$99))</f>
        <v>46327</v>
      </c>
      <c r="AF3825" s="54">
        <f t="shared" si="1423"/>
        <v>46327</v>
      </c>
      <c r="AG3825" s="52">
        <f>IF(N(INDEX(sc_ach,4))=0,IF(Inputs!$G$99="",1,Inputs!$G$99),INDEX(sc_ach,4))</f>
        <v>1</v>
      </c>
      <c r="AH3825" s="52">
        <f>IF(Inputs!$C$99="",0,IF(Inputs!$E$99="planned",(Inputs!$D$99+N(INDEX(sc_dpts,4)))*$AG3825,Inputs!$D$99))</f>
        <v>0.02</v>
      </c>
      <c r="AI3825" s="53">
        <f>IF(Inputs!$C$99="",0,IF(1+$AH3825&gt;0,LN(1+$AH3825),0))</f>
        <v>1.980262729617973E-2</v>
      </c>
      <c r="AJ3825" s="55">
        <f t="shared" si="1424"/>
        <v>30</v>
      </c>
      <c r="AK3825" s="55">
        <f>IF($AE3825="",0,COUNTIFS(rl_key,Inputs!$J$99,$AF$3806:$AF$4045,$AF3825,$AE$3806:$AE$4045,"&lt;"&amp;$AE3825))</f>
        <v>0</v>
      </c>
      <c r="AL3825" s="55">
        <f>IF($AE3825="",0,COUNTIFS(Inputs!$J$80:$J$99,Inputs!$J$99,$AF$3806:$AF3825,$AF3825,$AE$3806:$AE3825,$AE3825))</f>
        <v>1</v>
      </c>
      <c r="AM3825" s="55">
        <f t="shared" si="1425"/>
        <v>1</v>
      </c>
    </row>
    <row r="3826" spans="1:39" x14ac:dyDescent="0.25">
      <c r="A3826" s="54">
        <f>IF(Inputs!$C$100="","",IF(Inputs!$E$100="planned",EDATE(Inputs!$C$100,N(INDEX(sc_shift,1))),Inputs!$C$100))</f>
        <v>46023</v>
      </c>
      <c r="B3826" s="54">
        <f t="shared" si="1414"/>
        <v>46023</v>
      </c>
      <c r="C3826" s="52">
        <f>IF(N(INDEX(sc_ach,1))=0,IF(Inputs!$G$100="",1,Inputs!$G$100),INDEX(sc_ach,1))</f>
        <v>1</v>
      </c>
      <c r="D3826" s="52">
        <f>IF(Inputs!$C$100="",0,IF(Inputs!$E$100="planned",(Inputs!$D$100+N(INDEX(sc_dpts,1)))*$C3826,Inputs!$D$100))</f>
        <v>0.04</v>
      </c>
      <c r="E3826" s="53">
        <f>IF(Inputs!$C$100="",0,IF(1+$D3826&gt;0,LN(1+$D3826),0))</f>
        <v>3.9220713153281329E-2</v>
      </c>
      <c r="F3826" s="55">
        <f t="shared" si="1415"/>
        <v>31</v>
      </c>
      <c r="G3826" s="55">
        <f>IF($A3826="",0,COUNTIFS(rl_key,Inputs!$J$100,$B$3806:$B$4045,$B3826,$A$3806:$A$4045,"&lt;"&amp;$A3826))</f>
        <v>0</v>
      </c>
      <c r="H3826" s="55">
        <f>IF($A3826="",0,COUNTIFS(Inputs!$J$80:$J$100,Inputs!$J$100,$B$3806:$B3826,$B3826,$A$3806:$A3826,$A3826))</f>
        <v>1</v>
      </c>
      <c r="I3826" s="55">
        <f t="shared" si="1416"/>
        <v>1</v>
      </c>
      <c r="K3826" s="54">
        <f>IF(Inputs!$C$100="","",IF(Inputs!$E$100="planned",EDATE(Inputs!$C$100,N(INDEX(sc_shift,2))),Inputs!$C$100))</f>
        <v>46023</v>
      </c>
      <c r="L3826" s="54">
        <f t="shared" si="1417"/>
        <v>46023</v>
      </c>
      <c r="M3826" s="52">
        <f>IF(N(INDEX(sc_ach,2))=0,IF(Inputs!$G$100="",1,Inputs!$G$100),INDEX(sc_ach,2))</f>
        <v>1</v>
      </c>
      <c r="N3826" s="52">
        <f>IF(Inputs!$C$100="",0,IF(Inputs!$E$100="planned",(Inputs!$D$100+N(INDEX(sc_dpts,2)))*$M3826,Inputs!$D$100))</f>
        <v>0.04</v>
      </c>
      <c r="O3826" s="53">
        <f>IF(Inputs!$C$100="",0,IF(1+$N3826&gt;0,LN(1+$N3826),0))</f>
        <v>3.9220713153281329E-2</v>
      </c>
      <c r="P3826" s="55">
        <f t="shared" si="1418"/>
        <v>31</v>
      </c>
      <c r="Q3826" s="55">
        <f>IF($K3826="",0,COUNTIFS(rl_key,Inputs!$J$100,$L$3806:$L$4045,$L3826,$K$3806:$K$4045,"&lt;"&amp;$K3826))</f>
        <v>0</v>
      </c>
      <c r="R3826" s="55">
        <f>IF($K3826="",0,COUNTIFS(Inputs!$J$80:$J$100,Inputs!$J$100,$L$3806:$L3826,$L3826,$K$3806:$K3826,$K3826))</f>
        <v>1</v>
      </c>
      <c r="S3826" s="55">
        <f t="shared" si="1419"/>
        <v>1</v>
      </c>
      <c r="U3826" s="54">
        <f>IF(Inputs!$C$100="","",IF(Inputs!$E$100="planned",EDATE(Inputs!$C$100,N(INDEX(sc_shift,3))),Inputs!$C$100))</f>
        <v>46023</v>
      </c>
      <c r="V3826" s="54">
        <f t="shared" si="1420"/>
        <v>46023</v>
      </c>
      <c r="W3826" s="52">
        <f>IF(N(INDEX(sc_ach,3))=0,IF(Inputs!$G$100="",1,Inputs!$G$100),INDEX(sc_ach,3))</f>
        <v>1</v>
      </c>
      <c r="X3826" s="52">
        <f>IF(Inputs!$C$100="",0,IF(Inputs!$E$100="planned",(Inputs!$D$100+N(INDEX(sc_dpts,3)))*$W3826,Inputs!$D$100))</f>
        <v>0.04</v>
      </c>
      <c r="Y3826" s="53">
        <f>IF(Inputs!$C$100="",0,IF(1+$X3826&gt;0,LN(1+$X3826),0))</f>
        <v>3.9220713153281329E-2</v>
      </c>
      <c r="Z3826" s="55">
        <f t="shared" si="1421"/>
        <v>31</v>
      </c>
      <c r="AA3826" s="55">
        <f>IF($U3826="",0,COUNTIFS(rl_key,Inputs!$J$100,$V$3806:$V$4045,$V3826,$U$3806:$U$4045,"&lt;"&amp;$U3826))</f>
        <v>0</v>
      </c>
      <c r="AB3826" s="55">
        <f>IF($U3826="",0,COUNTIFS(Inputs!$J$80:$J$100,Inputs!$J$100,$V$3806:$V3826,$V3826,$U$3806:$U3826,$U3826))</f>
        <v>1</v>
      </c>
      <c r="AC3826" s="55">
        <f t="shared" si="1422"/>
        <v>1</v>
      </c>
      <c r="AE3826" s="54">
        <f>IF(Inputs!$C$100="","",IF(Inputs!$E$100="planned",EDATE(Inputs!$C$100,N(INDEX(sc_shift,4))),Inputs!$C$100))</f>
        <v>46023</v>
      </c>
      <c r="AF3826" s="54">
        <f t="shared" si="1423"/>
        <v>46023</v>
      </c>
      <c r="AG3826" s="52">
        <f>IF(N(INDEX(sc_ach,4))=0,IF(Inputs!$G$100="",1,Inputs!$G$100),INDEX(sc_ach,4))</f>
        <v>1</v>
      </c>
      <c r="AH3826" s="52">
        <f>IF(Inputs!$C$100="",0,IF(Inputs!$E$100="planned",(Inputs!$D$100+N(INDEX(sc_dpts,4)))*$AG3826,Inputs!$D$100))</f>
        <v>0.04</v>
      </c>
      <c r="AI3826" s="53">
        <f>IF(Inputs!$C$100="",0,IF(1+$AH3826&gt;0,LN(1+$AH3826),0))</f>
        <v>3.9220713153281329E-2</v>
      </c>
      <c r="AJ3826" s="55">
        <f t="shared" si="1424"/>
        <v>31</v>
      </c>
      <c r="AK3826" s="55">
        <f>IF($AE3826="",0,COUNTIFS(rl_key,Inputs!$J$100,$AF$3806:$AF$4045,$AF3826,$AE$3806:$AE$4045,"&lt;"&amp;$AE3826))</f>
        <v>0</v>
      </c>
      <c r="AL3826" s="55">
        <f>IF($AE3826="",0,COUNTIFS(Inputs!$J$80:$J$100,Inputs!$J$100,$AF$3806:$AF3826,$AF3826,$AE$3806:$AE3826,$AE3826))</f>
        <v>1</v>
      </c>
      <c r="AM3826" s="55">
        <f t="shared" si="1425"/>
        <v>1</v>
      </c>
    </row>
    <row r="3827" spans="1:39" x14ac:dyDescent="0.25">
      <c r="A3827" s="54">
        <f>IF(Inputs!$C$101="","",IF(Inputs!$E$101="planned",EDATE(Inputs!$C$101,N(INDEX(sc_shift,1))),Inputs!$C$101))</f>
        <v>46054</v>
      </c>
      <c r="B3827" s="54">
        <f t="shared" si="1414"/>
        <v>46054</v>
      </c>
      <c r="C3827" s="52">
        <f>IF(N(INDEX(sc_ach,1))=0,IF(Inputs!$G$101="",1,Inputs!$G$101),INDEX(sc_ach,1))</f>
        <v>1</v>
      </c>
      <c r="D3827" s="52">
        <f>IF(Inputs!$C$101="",0,IF(Inputs!$E$101="planned",(Inputs!$D$101+N(INDEX(sc_dpts,1)))*$C3827,Inputs!$D$101))</f>
        <v>0.05</v>
      </c>
      <c r="E3827" s="53">
        <f>IF(Inputs!$C$101="",0,IF(1+$D3827&gt;0,LN(1+$D3827),0))</f>
        <v>4.8790164169432049E-2</v>
      </c>
      <c r="F3827" s="55">
        <f t="shared" si="1415"/>
        <v>28</v>
      </c>
      <c r="G3827" s="55">
        <f>IF($A3827="",0,COUNTIFS(rl_key,Inputs!$J$101,$B$3806:$B$4045,$B3827,$A$3806:$A$4045,"&lt;"&amp;$A3827))</f>
        <v>0</v>
      </c>
      <c r="H3827" s="55">
        <f>IF($A3827="",0,COUNTIFS(Inputs!$J$80:$J$101,Inputs!$J$101,$B$3806:$B3827,$B3827,$A$3806:$A3827,$A3827))</f>
        <v>1</v>
      </c>
      <c r="I3827" s="55">
        <f t="shared" si="1416"/>
        <v>1</v>
      </c>
      <c r="K3827" s="54">
        <f>IF(Inputs!$C$101="","",IF(Inputs!$E$101="planned",EDATE(Inputs!$C$101,N(INDEX(sc_shift,2))),Inputs!$C$101))</f>
        <v>46054</v>
      </c>
      <c r="L3827" s="54">
        <f t="shared" si="1417"/>
        <v>46054</v>
      </c>
      <c r="M3827" s="52">
        <f>IF(N(INDEX(sc_ach,2))=0,IF(Inputs!$G$101="",1,Inputs!$G$101),INDEX(sc_ach,2))</f>
        <v>1</v>
      </c>
      <c r="N3827" s="52">
        <f>IF(Inputs!$C$101="",0,IF(Inputs!$E$101="planned",(Inputs!$D$101+N(INDEX(sc_dpts,2)))*$M3827,Inputs!$D$101))</f>
        <v>0.05</v>
      </c>
      <c r="O3827" s="53">
        <f>IF(Inputs!$C$101="",0,IF(1+$N3827&gt;0,LN(1+$N3827),0))</f>
        <v>4.8790164169432049E-2</v>
      </c>
      <c r="P3827" s="55">
        <f t="shared" si="1418"/>
        <v>28</v>
      </c>
      <c r="Q3827" s="55">
        <f>IF($K3827="",0,COUNTIFS(rl_key,Inputs!$J$101,$L$3806:$L$4045,$L3827,$K$3806:$K$4045,"&lt;"&amp;$K3827))</f>
        <v>0</v>
      </c>
      <c r="R3827" s="55">
        <f>IF($K3827="",0,COUNTIFS(Inputs!$J$80:$J$101,Inputs!$J$101,$L$3806:$L3827,$L3827,$K$3806:$K3827,$K3827))</f>
        <v>1</v>
      </c>
      <c r="S3827" s="55">
        <f t="shared" si="1419"/>
        <v>1</v>
      </c>
      <c r="U3827" s="54">
        <f>IF(Inputs!$C$101="","",IF(Inputs!$E$101="planned",EDATE(Inputs!$C$101,N(INDEX(sc_shift,3))),Inputs!$C$101))</f>
        <v>46054</v>
      </c>
      <c r="V3827" s="54">
        <f t="shared" si="1420"/>
        <v>46054</v>
      </c>
      <c r="W3827" s="52">
        <f>IF(N(INDEX(sc_ach,3))=0,IF(Inputs!$G$101="",1,Inputs!$G$101),INDEX(sc_ach,3))</f>
        <v>1</v>
      </c>
      <c r="X3827" s="52">
        <f>IF(Inputs!$C$101="",0,IF(Inputs!$E$101="planned",(Inputs!$D$101+N(INDEX(sc_dpts,3)))*$W3827,Inputs!$D$101))</f>
        <v>0.05</v>
      </c>
      <c r="Y3827" s="53">
        <f>IF(Inputs!$C$101="",0,IF(1+$X3827&gt;0,LN(1+$X3827),0))</f>
        <v>4.8790164169432049E-2</v>
      </c>
      <c r="Z3827" s="55">
        <f t="shared" si="1421"/>
        <v>28</v>
      </c>
      <c r="AA3827" s="55">
        <f>IF($U3827="",0,COUNTIFS(rl_key,Inputs!$J$101,$V$3806:$V$4045,$V3827,$U$3806:$U$4045,"&lt;"&amp;$U3827))</f>
        <v>0</v>
      </c>
      <c r="AB3827" s="55">
        <f>IF($U3827="",0,COUNTIFS(Inputs!$J$80:$J$101,Inputs!$J$101,$V$3806:$V3827,$V3827,$U$3806:$U3827,$U3827))</f>
        <v>1</v>
      </c>
      <c r="AC3827" s="55">
        <f t="shared" si="1422"/>
        <v>1</v>
      </c>
      <c r="AE3827" s="54">
        <f>IF(Inputs!$C$101="","",IF(Inputs!$E$101="planned",EDATE(Inputs!$C$101,N(INDEX(sc_shift,4))),Inputs!$C$101))</f>
        <v>46054</v>
      </c>
      <c r="AF3827" s="54">
        <f t="shared" si="1423"/>
        <v>46054</v>
      </c>
      <c r="AG3827" s="52">
        <f>IF(N(INDEX(sc_ach,4))=0,IF(Inputs!$G$101="",1,Inputs!$G$101),INDEX(sc_ach,4))</f>
        <v>1</v>
      </c>
      <c r="AH3827" s="52">
        <f>IF(Inputs!$C$101="",0,IF(Inputs!$E$101="planned",(Inputs!$D$101+N(INDEX(sc_dpts,4)))*$AG3827,Inputs!$D$101))</f>
        <v>0.05</v>
      </c>
      <c r="AI3827" s="53">
        <f>IF(Inputs!$C$101="",0,IF(1+$AH3827&gt;0,LN(1+$AH3827),0))</f>
        <v>4.8790164169432049E-2</v>
      </c>
      <c r="AJ3827" s="55">
        <f t="shared" si="1424"/>
        <v>28</v>
      </c>
      <c r="AK3827" s="55">
        <f>IF($AE3827="",0,COUNTIFS(rl_key,Inputs!$J$101,$AF$3806:$AF$4045,$AF3827,$AE$3806:$AE$4045,"&lt;"&amp;$AE3827))</f>
        <v>0</v>
      </c>
      <c r="AL3827" s="55">
        <f>IF($AE3827="",0,COUNTIFS(Inputs!$J$80:$J$101,Inputs!$J$101,$AF$3806:$AF3827,$AF3827,$AE$3806:$AE3827,$AE3827))</f>
        <v>1</v>
      </c>
      <c r="AM3827" s="55">
        <f t="shared" si="1425"/>
        <v>1</v>
      </c>
    </row>
    <row r="3828" spans="1:39" x14ac:dyDescent="0.25">
      <c r="A3828" s="54">
        <f>IF(Inputs!$C$102="","",IF(Inputs!$E$102="planned",EDATE(Inputs!$C$102,N(INDEX(sc_shift,1))),Inputs!$C$102))</f>
        <v>46478</v>
      </c>
      <c r="B3828" s="54">
        <f t="shared" si="1414"/>
        <v>46478</v>
      </c>
      <c r="C3828" s="52">
        <f>IF(N(INDEX(sc_ach,1))=0,IF(Inputs!$G$102="",1,Inputs!$G$102),INDEX(sc_ach,1))</f>
        <v>1</v>
      </c>
      <c r="D3828" s="52">
        <f>IF(Inputs!$C$102="",0,IF(Inputs!$E$102="planned",(Inputs!$D$102+N(INDEX(sc_dpts,1)))*$C3828,Inputs!$D$102))</f>
        <v>0.04</v>
      </c>
      <c r="E3828" s="53">
        <f>IF(Inputs!$C$102="",0,IF(1+$D3828&gt;0,LN(1+$D3828),0))</f>
        <v>3.9220713153281329E-2</v>
      </c>
      <c r="F3828" s="55">
        <f t="shared" si="1415"/>
        <v>30</v>
      </c>
      <c r="G3828" s="55">
        <f>IF($A3828="",0,COUNTIFS(rl_key,Inputs!$J$102,$B$3806:$B$4045,$B3828,$A$3806:$A$4045,"&lt;"&amp;$A3828))</f>
        <v>0</v>
      </c>
      <c r="H3828" s="55">
        <f>IF($A3828="",0,COUNTIFS(Inputs!$J$80:$J$102,Inputs!$J$102,$B$3806:$B3828,$B3828,$A$3806:$A3828,$A3828))</f>
        <v>1</v>
      </c>
      <c r="I3828" s="55">
        <f t="shared" si="1416"/>
        <v>1</v>
      </c>
      <c r="K3828" s="54">
        <f>IF(Inputs!$C$102="","",IF(Inputs!$E$102="planned",EDATE(Inputs!$C$102,N(INDEX(sc_shift,2))),Inputs!$C$102))</f>
        <v>46478</v>
      </c>
      <c r="L3828" s="54">
        <f t="shared" si="1417"/>
        <v>46478</v>
      </c>
      <c r="M3828" s="52">
        <f>IF(N(INDEX(sc_ach,2))=0,IF(Inputs!$G$102="",1,Inputs!$G$102),INDEX(sc_ach,2))</f>
        <v>1</v>
      </c>
      <c r="N3828" s="52">
        <f>IF(Inputs!$C$102="",0,IF(Inputs!$E$102="planned",(Inputs!$D$102+N(INDEX(sc_dpts,2)))*$M3828,Inputs!$D$102))</f>
        <v>0.04</v>
      </c>
      <c r="O3828" s="53">
        <f>IF(Inputs!$C$102="",0,IF(1+$N3828&gt;0,LN(1+$N3828),0))</f>
        <v>3.9220713153281329E-2</v>
      </c>
      <c r="P3828" s="55">
        <f t="shared" si="1418"/>
        <v>30</v>
      </c>
      <c r="Q3828" s="55">
        <f>IF($K3828="",0,COUNTIFS(rl_key,Inputs!$J$102,$L$3806:$L$4045,$L3828,$K$3806:$K$4045,"&lt;"&amp;$K3828))</f>
        <v>0</v>
      </c>
      <c r="R3828" s="55">
        <f>IF($K3828="",0,COUNTIFS(Inputs!$J$80:$J$102,Inputs!$J$102,$L$3806:$L3828,$L3828,$K$3806:$K3828,$K3828))</f>
        <v>1</v>
      </c>
      <c r="S3828" s="55">
        <f t="shared" si="1419"/>
        <v>1</v>
      </c>
      <c r="U3828" s="54">
        <f>IF(Inputs!$C$102="","",IF(Inputs!$E$102="planned",EDATE(Inputs!$C$102,N(INDEX(sc_shift,3))),Inputs!$C$102))</f>
        <v>46478</v>
      </c>
      <c r="V3828" s="54">
        <f t="shared" si="1420"/>
        <v>46478</v>
      </c>
      <c r="W3828" s="52">
        <f>IF(N(INDEX(sc_ach,3))=0,IF(Inputs!$G$102="",1,Inputs!$G$102),INDEX(sc_ach,3))</f>
        <v>1</v>
      </c>
      <c r="X3828" s="52">
        <f>IF(Inputs!$C$102="",0,IF(Inputs!$E$102="planned",(Inputs!$D$102+N(INDEX(sc_dpts,3)))*$W3828,Inputs!$D$102))</f>
        <v>0.04</v>
      </c>
      <c r="Y3828" s="53">
        <f>IF(Inputs!$C$102="",0,IF(1+$X3828&gt;0,LN(1+$X3828),0))</f>
        <v>3.9220713153281329E-2</v>
      </c>
      <c r="Z3828" s="55">
        <f t="shared" si="1421"/>
        <v>30</v>
      </c>
      <c r="AA3828" s="55">
        <f>IF($U3828="",0,COUNTIFS(rl_key,Inputs!$J$102,$V$3806:$V$4045,$V3828,$U$3806:$U$4045,"&lt;"&amp;$U3828))</f>
        <v>0</v>
      </c>
      <c r="AB3828" s="55">
        <f>IF($U3828="",0,COUNTIFS(Inputs!$J$80:$J$102,Inputs!$J$102,$V$3806:$V3828,$V3828,$U$3806:$U3828,$U3828))</f>
        <v>1</v>
      </c>
      <c r="AC3828" s="55">
        <f t="shared" si="1422"/>
        <v>1</v>
      </c>
      <c r="AE3828" s="54">
        <f>IF(Inputs!$C$102="","",IF(Inputs!$E$102="planned",EDATE(Inputs!$C$102,N(INDEX(sc_shift,4))),Inputs!$C$102))</f>
        <v>46478</v>
      </c>
      <c r="AF3828" s="54">
        <f t="shared" si="1423"/>
        <v>46478</v>
      </c>
      <c r="AG3828" s="52">
        <f>IF(N(INDEX(sc_ach,4))=0,IF(Inputs!$G$102="",1,Inputs!$G$102),INDEX(sc_ach,4))</f>
        <v>1</v>
      </c>
      <c r="AH3828" s="52">
        <f>IF(Inputs!$C$102="",0,IF(Inputs!$E$102="planned",(Inputs!$D$102+N(INDEX(sc_dpts,4)))*$AG3828,Inputs!$D$102))</f>
        <v>0.04</v>
      </c>
      <c r="AI3828" s="53">
        <f>IF(Inputs!$C$102="",0,IF(1+$AH3828&gt;0,LN(1+$AH3828),0))</f>
        <v>3.9220713153281329E-2</v>
      </c>
      <c r="AJ3828" s="55">
        <f t="shared" si="1424"/>
        <v>30</v>
      </c>
      <c r="AK3828" s="55">
        <f>IF($AE3828="",0,COUNTIFS(rl_key,Inputs!$J$102,$AF$3806:$AF$4045,$AF3828,$AE$3806:$AE$4045,"&lt;"&amp;$AE3828))</f>
        <v>0</v>
      </c>
      <c r="AL3828" s="55">
        <f>IF($AE3828="",0,COUNTIFS(Inputs!$J$80:$J$102,Inputs!$J$102,$AF$3806:$AF3828,$AF3828,$AE$3806:$AE3828,$AE3828))</f>
        <v>1</v>
      </c>
      <c r="AM3828" s="55">
        <f t="shared" si="1425"/>
        <v>1</v>
      </c>
    </row>
    <row r="3829" spans="1:39" x14ac:dyDescent="0.25">
      <c r="A3829" s="54">
        <f>IF(Inputs!$C$103="","",IF(Inputs!$E$103="planned",EDATE(Inputs!$C$103,N(INDEX(sc_shift,1))),Inputs!$C$103))</f>
        <v>46113</v>
      </c>
      <c r="B3829" s="54">
        <f t="shared" si="1414"/>
        <v>46113</v>
      </c>
      <c r="C3829" s="52">
        <f>IF(N(INDEX(sc_ach,1))=0,IF(Inputs!$G$103="",1,Inputs!$G$103),INDEX(sc_ach,1))</f>
        <v>1</v>
      </c>
      <c r="D3829" s="52">
        <f>IF(Inputs!$C$103="",0,IF(Inputs!$E$103="planned",(Inputs!$D$103+N(INDEX(sc_dpts,1)))*$C3829,Inputs!$D$103))</f>
        <v>0.02</v>
      </c>
      <c r="E3829" s="53">
        <f>IF(Inputs!$C$103="",0,IF(1+$D3829&gt;0,LN(1+$D3829),0))</f>
        <v>1.980262729617973E-2</v>
      </c>
      <c r="F3829" s="55">
        <f t="shared" si="1415"/>
        <v>30</v>
      </c>
      <c r="G3829" s="55">
        <f>IF($A3829="",0,COUNTIFS(rl_key,Inputs!$J$103,$B$3806:$B$4045,$B3829,$A$3806:$A$4045,"&lt;"&amp;$A3829))</f>
        <v>0</v>
      </c>
      <c r="H3829" s="55">
        <f>IF($A3829="",0,COUNTIFS(Inputs!$J$80:$J$103,Inputs!$J$103,$B$3806:$B3829,$B3829,$A$3806:$A3829,$A3829))</f>
        <v>1</v>
      </c>
      <c r="I3829" s="55">
        <f t="shared" si="1416"/>
        <v>1</v>
      </c>
      <c r="K3829" s="54">
        <f>IF(Inputs!$C$103="","",IF(Inputs!$E$103="planned",EDATE(Inputs!$C$103,N(INDEX(sc_shift,2))),Inputs!$C$103))</f>
        <v>46113</v>
      </c>
      <c r="L3829" s="54">
        <f t="shared" si="1417"/>
        <v>46113</v>
      </c>
      <c r="M3829" s="52">
        <f>IF(N(INDEX(sc_ach,2))=0,IF(Inputs!$G$103="",1,Inputs!$G$103),INDEX(sc_ach,2))</f>
        <v>1</v>
      </c>
      <c r="N3829" s="52">
        <f>IF(Inputs!$C$103="",0,IF(Inputs!$E$103="planned",(Inputs!$D$103+N(INDEX(sc_dpts,2)))*$M3829,Inputs!$D$103))</f>
        <v>0.02</v>
      </c>
      <c r="O3829" s="53">
        <f>IF(Inputs!$C$103="",0,IF(1+$N3829&gt;0,LN(1+$N3829),0))</f>
        <v>1.980262729617973E-2</v>
      </c>
      <c r="P3829" s="55">
        <f t="shared" si="1418"/>
        <v>30</v>
      </c>
      <c r="Q3829" s="55">
        <f>IF($K3829="",0,COUNTIFS(rl_key,Inputs!$J$103,$L$3806:$L$4045,$L3829,$K$3806:$K$4045,"&lt;"&amp;$K3829))</f>
        <v>0</v>
      </c>
      <c r="R3829" s="55">
        <f>IF($K3829="",0,COUNTIFS(Inputs!$J$80:$J$103,Inputs!$J$103,$L$3806:$L3829,$L3829,$K$3806:$K3829,$K3829))</f>
        <v>1</v>
      </c>
      <c r="S3829" s="55">
        <f t="shared" si="1419"/>
        <v>1</v>
      </c>
      <c r="U3829" s="54">
        <f>IF(Inputs!$C$103="","",IF(Inputs!$E$103="planned",EDATE(Inputs!$C$103,N(INDEX(sc_shift,3))),Inputs!$C$103))</f>
        <v>46113</v>
      </c>
      <c r="V3829" s="54">
        <f t="shared" si="1420"/>
        <v>46113</v>
      </c>
      <c r="W3829" s="52">
        <f>IF(N(INDEX(sc_ach,3))=0,IF(Inputs!$G$103="",1,Inputs!$G$103),INDEX(sc_ach,3))</f>
        <v>1</v>
      </c>
      <c r="X3829" s="52">
        <f>IF(Inputs!$C$103="",0,IF(Inputs!$E$103="planned",(Inputs!$D$103+N(INDEX(sc_dpts,3)))*$W3829,Inputs!$D$103))</f>
        <v>0.02</v>
      </c>
      <c r="Y3829" s="53">
        <f>IF(Inputs!$C$103="",0,IF(1+$X3829&gt;0,LN(1+$X3829),0))</f>
        <v>1.980262729617973E-2</v>
      </c>
      <c r="Z3829" s="55">
        <f t="shared" si="1421"/>
        <v>30</v>
      </c>
      <c r="AA3829" s="55">
        <f>IF($U3829="",0,COUNTIFS(rl_key,Inputs!$J$103,$V$3806:$V$4045,$V3829,$U$3806:$U$4045,"&lt;"&amp;$U3829))</f>
        <v>0</v>
      </c>
      <c r="AB3829" s="55">
        <f>IF($U3829="",0,COUNTIFS(Inputs!$J$80:$J$103,Inputs!$J$103,$V$3806:$V3829,$V3829,$U$3806:$U3829,$U3829))</f>
        <v>1</v>
      </c>
      <c r="AC3829" s="55">
        <f t="shared" si="1422"/>
        <v>1</v>
      </c>
      <c r="AE3829" s="54">
        <f>IF(Inputs!$C$103="","",IF(Inputs!$E$103="planned",EDATE(Inputs!$C$103,N(INDEX(sc_shift,4))),Inputs!$C$103))</f>
        <v>46113</v>
      </c>
      <c r="AF3829" s="54">
        <f t="shared" si="1423"/>
        <v>46113</v>
      </c>
      <c r="AG3829" s="52">
        <f>IF(N(INDEX(sc_ach,4))=0,IF(Inputs!$G$103="",1,Inputs!$G$103),INDEX(sc_ach,4))</f>
        <v>1</v>
      </c>
      <c r="AH3829" s="52">
        <f>IF(Inputs!$C$103="",0,IF(Inputs!$E$103="planned",(Inputs!$D$103+N(INDEX(sc_dpts,4)))*$AG3829,Inputs!$D$103))</f>
        <v>0.02</v>
      </c>
      <c r="AI3829" s="53">
        <f>IF(Inputs!$C$103="",0,IF(1+$AH3829&gt;0,LN(1+$AH3829),0))</f>
        <v>1.980262729617973E-2</v>
      </c>
      <c r="AJ3829" s="55">
        <f t="shared" si="1424"/>
        <v>30</v>
      </c>
      <c r="AK3829" s="55">
        <f>IF($AE3829="",0,COUNTIFS(rl_key,Inputs!$J$103,$AF$3806:$AF$4045,$AF3829,$AE$3806:$AE$4045,"&lt;"&amp;$AE3829))</f>
        <v>0</v>
      </c>
      <c r="AL3829" s="55">
        <f>IF($AE3829="",0,COUNTIFS(Inputs!$J$80:$J$103,Inputs!$J$103,$AF$3806:$AF3829,$AF3829,$AE$3806:$AE3829,$AE3829))</f>
        <v>1</v>
      </c>
      <c r="AM3829" s="55">
        <f t="shared" si="1425"/>
        <v>1</v>
      </c>
    </row>
    <row r="3830" spans="1:39" x14ac:dyDescent="0.25">
      <c r="A3830" s="54">
        <f>IF(Inputs!$C$104="","",IF(Inputs!$E$104="planned",EDATE(Inputs!$C$104,N(INDEX(sc_shift,1))),Inputs!$C$104))</f>
        <v>46143</v>
      </c>
      <c r="B3830" s="54">
        <f t="shared" si="1414"/>
        <v>46143</v>
      </c>
      <c r="C3830" s="52">
        <f>IF(N(INDEX(sc_ach,1))=0,IF(Inputs!$G$104="",1,Inputs!$G$104),INDEX(sc_ach,1))</f>
        <v>1</v>
      </c>
      <c r="D3830" s="52">
        <f>IF(Inputs!$C$104="",0,IF(Inputs!$E$104="planned",(Inputs!$D$104+N(INDEX(sc_dpts,1)))*$C3830,Inputs!$D$104))</f>
        <v>0.03</v>
      </c>
      <c r="E3830" s="53">
        <f>IF(Inputs!$C$104="",0,IF(1+$D3830&gt;0,LN(1+$D3830),0))</f>
        <v>2.9558802241544429E-2</v>
      </c>
      <c r="F3830" s="55">
        <f t="shared" si="1415"/>
        <v>31</v>
      </c>
      <c r="G3830" s="55">
        <f>IF($A3830="",0,COUNTIFS(rl_key,Inputs!$J$104,$B$3806:$B$4045,$B3830,$A$3806:$A$4045,"&lt;"&amp;$A3830))</f>
        <v>0</v>
      </c>
      <c r="H3830" s="55">
        <f>IF($A3830="",0,COUNTIFS(Inputs!$J$80:$J$104,Inputs!$J$104,$B$3806:$B3830,$B3830,$A$3806:$A3830,$A3830))</f>
        <v>1</v>
      </c>
      <c r="I3830" s="55">
        <f t="shared" si="1416"/>
        <v>1</v>
      </c>
      <c r="K3830" s="54">
        <f>IF(Inputs!$C$104="","",IF(Inputs!$E$104="planned",EDATE(Inputs!$C$104,N(INDEX(sc_shift,2))),Inputs!$C$104))</f>
        <v>46143</v>
      </c>
      <c r="L3830" s="54">
        <f t="shared" si="1417"/>
        <v>46143</v>
      </c>
      <c r="M3830" s="52">
        <f>IF(N(INDEX(sc_ach,2))=0,IF(Inputs!$G$104="",1,Inputs!$G$104),INDEX(sc_ach,2))</f>
        <v>1</v>
      </c>
      <c r="N3830" s="52">
        <f>IF(Inputs!$C$104="",0,IF(Inputs!$E$104="planned",(Inputs!$D$104+N(INDEX(sc_dpts,2)))*$M3830,Inputs!$D$104))</f>
        <v>0.03</v>
      </c>
      <c r="O3830" s="53">
        <f>IF(Inputs!$C$104="",0,IF(1+$N3830&gt;0,LN(1+$N3830),0))</f>
        <v>2.9558802241544429E-2</v>
      </c>
      <c r="P3830" s="55">
        <f t="shared" si="1418"/>
        <v>31</v>
      </c>
      <c r="Q3830" s="55">
        <f>IF($K3830="",0,COUNTIFS(rl_key,Inputs!$J$104,$L$3806:$L$4045,$L3830,$K$3806:$K$4045,"&lt;"&amp;$K3830))</f>
        <v>0</v>
      </c>
      <c r="R3830" s="55">
        <f>IF($K3830="",0,COUNTIFS(Inputs!$J$80:$J$104,Inputs!$J$104,$L$3806:$L3830,$L3830,$K$3806:$K3830,$K3830))</f>
        <v>1</v>
      </c>
      <c r="S3830" s="55">
        <f t="shared" si="1419"/>
        <v>1</v>
      </c>
      <c r="U3830" s="54">
        <f>IF(Inputs!$C$104="","",IF(Inputs!$E$104="planned",EDATE(Inputs!$C$104,N(INDEX(sc_shift,3))),Inputs!$C$104))</f>
        <v>46143</v>
      </c>
      <c r="V3830" s="54">
        <f t="shared" si="1420"/>
        <v>46143</v>
      </c>
      <c r="W3830" s="52">
        <f>IF(N(INDEX(sc_ach,3))=0,IF(Inputs!$G$104="",1,Inputs!$G$104),INDEX(sc_ach,3))</f>
        <v>1</v>
      </c>
      <c r="X3830" s="52">
        <f>IF(Inputs!$C$104="",0,IF(Inputs!$E$104="planned",(Inputs!$D$104+N(INDEX(sc_dpts,3)))*$W3830,Inputs!$D$104))</f>
        <v>0.03</v>
      </c>
      <c r="Y3830" s="53">
        <f>IF(Inputs!$C$104="",0,IF(1+$X3830&gt;0,LN(1+$X3830),0))</f>
        <v>2.9558802241544429E-2</v>
      </c>
      <c r="Z3830" s="55">
        <f t="shared" si="1421"/>
        <v>31</v>
      </c>
      <c r="AA3830" s="55">
        <f>IF($U3830="",0,COUNTIFS(rl_key,Inputs!$J$104,$V$3806:$V$4045,$V3830,$U$3806:$U$4045,"&lt;"&amp;$U3830))</f>
        <v>0</v>
      </c>
      <c r="AB3830" s="55">
        <f>IF($U3830="",0,COUNTIFS(Inputs!$J$80:$J$104,Inputs!$J$104,$V$3806:$V3830,$V3830,$U$3806:$U3830,$U3830))</f>
        <v>1</v>
      </c>
      <c r="AC3830" s="55">
        <f t="shared" si="1422"/>
        <v>1</v>
      </c>
      <c r="AE3830" s="54">
        <f>IF(Inputs!$C$104="","",IF(Inputs!$E$104="planned",EDATE(Inputs!$C$104,N(INDEX(sc_shift,4))),Inputs!$C$104))</f>
        <v>46143</v>
      </c>
      <c r="AF3830" s="54">
        <f t="shared" si="1423"/>
        <v>46143</v>
      </c>
      <c r="AG3830" s="52">
        <f>IF(N(INDEX(sc_ach,4))=0,IF(Inputs!$G$104="",1,Inputs!$G$104),INDEX(sc_ach,4))</f>
        <v>1</v>
      </c>
      <c r="AH3830" s="52">
        <f>IF(Inputs!$C$104="",0,IF(Inputs!$E$104="planned",(Inputs!$D$104+N(INDEX(sc_dpts,4)))*$AG3830,Inputs!$D$104))</f>
        <v>0.03</v>
      </c>
      <c r="AI3830" s="53">
        <f>IF(Inputs!$C$104="",0,IF(1+$AH3830&gt;0,LN(1+$AH3830),0))</f>
        <v>2.9558802241544429E-2</v>
      </c>
      <c r="AJ3830" s="55">
        <f t="shared" si="1424"/>
        <v>31</v>
      </c>
      <c r="AK3830" s="55">
        <f>IF($AE3830="",0,COUNTIFS(rl_key,Inputs!$J$104,$AF$3806:$AF$4045,$AF3830,$AE$3806:$AE$4045,"&lt;"&amp;$AE3830))</f>
        <v>0</v>
      </c>
      <c r="AL3830" s="55">
        <f>IF($AE3830="",0,COUNTIFS(Inputs!$J$80:$J$104,Inputs!$J$104,$AF$3806:$AF3830,$AF3830,$AE$3806:$AE3830,$AE3830))</f>
        <v>1</v>
      </c>
      <c r="AM3830" s="55">
        <f t="shared" si="1425"/>
        <v>1</v>
      </c>
    </row>
    <row r="3831" spans="1:39" x14ac:dyDescent="0.25">
      <c r="A3831" s="54">
        <f>IF(Inputs!$C$105="","",IF(Inputs!$E$105="planned",EDATE(Inputs!$C$105,N(INDEX(sc_shift,1))),Inputs!$C$105))</f>
        <v>46600</v>
      </c>
      <c r="B3831" s="54">
        <f t="shared" si="1414"/>
        <v>46600</v>
      </c>
      <c r="C3831" s="52">
        <f>IF(N(INDEX(sc_ach,1))=0,IF(Inputs!$G$105="",1,Inputs!$G$105),INDEX(sc_ach,1))</f>
        <v>1</v>
      </c>
      <c r="D3831" s="52">
        <f>IF(Inputs!$C$105="",0,IF(Inputs!$E$105="planned",(Inputs!$D$105+N(INDEX(sc_dpts,1)))*$C3831,Inputs!$D$105))</f>
        <v>0.04</v>
      </c>
      <c r="E3831" s="53">
        <f>IF(Inputs!$C$105="",0,IF(1+$D3831&gt;0,LN(1+$D3831),0))</f>
        <v>3.9220713153281329E-2</v>
      </c>
      <c r="F3831" s="55">
        <f t="shared" si="1415"/>
        <v>31</v>
      </c>
      <c r="G3831" s="55">
        <f>IF($A3831="",0,COUNTIFS(rl_key,Inputs!$J$105,$B$3806:$B$4045,$B3831,$A$3806:$A$4045,"&lt;"&amp;$A3831))</f>
        <v>0</v>
      </c>
      <c r="H3831" s="55">
        <f>IF($A3831="",0,COUNTIFS(Inputs!$J$80:$J$105,Inputs!$J$105,$B$3806:$B3831,$B3831,$A$3806:$A3831,$A3831))</f>
        <v>1</v>
      </c>
      <c r="I3831" s="55">
        <f t="shared" si="1416"/>
        <v>1</v>
      </c>
      <c r="K3831" s="54">
        <f>IF(Inputs!$C$105="","",IF(Inputs!$E$105="planned",EDATE(Inputs!$C$105,N(INDEX(sc_shift,2))),Inputs!$C$105))</f>
        <v>46600</v>
      </c>
      <c r="L3831" s="54">
        <f t="shared" si="1417"/>
        <v>46600</v>
      </c>
      <c r="M3831" s="52">
        <f>IF(N(INDEX(sc_ach,2))=0,IF(Inputs!$G$105="",1,Inputs!$G$105),INDEX(sc_ach,2))</f>
        <v>1</v>
      </c>
      <c r="N3831" s="52">
        <f>IF(Inputs!$C$105="",0,IF(Inputs!$E$105="planned",(Inputs!$D$105+N(INDEX(sc_dpts,2)))*$M3831,Inputs!$D$105))</f>
        <v>0.04</v>
      </c>
      <c r="O3831" s="53">
        <f>IF(Inputs!$C$105="",0,IF(1+$N3831&gt;0,LN(1+$N3831),0))</f>
        <v>3.9220713153281329E-2</v>
      </c>
      <c r="P3831" s="55">
        <f t="shared" si="1418"/>
        <v>31</v>
      </c>
      <c r="Q3831" s="55">
        <f>IF($K3831="",0,COUNTIFS(rl_key,Inputs!$J$105,$L$3806:$L$4045,$L3831,$K$3806:$K$4045,"&lt;"&amp;$K3831))</f>
        <v>0</v>
      </c>
      <c r="R3831" s="55">
        <f>IF($K3831="",0,COUNTIFS(Inputs!$J$80:$J$105,Inputs!$J$105,$L$3806:$L3831,$L3831,$K$3806:$K3831,$K3831))</f>
        <v>1</v>
      </c>
      <c r="S3831" s="55">
        <f t="shared" si="1419"/>
        <v>1</v>
      </c>
      <c r="U3831" s="54">
        <f>IF(Inputs!$C$105="","",IF(Inputs!$E$105="planned",EDATE(Inputs!$C$105,N(INDEX(sc_shift,3))),Inputs!$C$105))</f>
        <v>46600</v>
      </c>
      <c r="V3831" s="54">
        <f t="shared" si="1420"/>
        <v>46600</v>
      </c>
      <c r="W3831" s="52">
        <f>IF(N(INDEX(sc_ach,3))=0,IF(Inputs!$G$105="",1,Inputs!$G$105),INDEX(sc_ach,3))</f>
        <v>1</v>
      </c>
      <c r="X3831" s="52">
        <f>IF(Inputs!$C$105="",0,IF(Inputs!$E$105="planned",(Inputs!$D$105+N(INDEX(sc_dpts,3)))*$W3831,Inputs!$D$105))</f>
        <v>0.04</v>
      </c>
      <c r="Y3831" s="53">
        <f>IF(Inputs!$C$105="",0,IF(1+$X3831&gt;0,LN(1+$X3831),0))</f>
        <v>3.9220713153281329E-2</v>
      </c>
      <c r="Z3831" s="55">
        <f t="shared" si="1421"/>
        <v>31</v>
      </c>
      <c r="AA3831" s="55">
        <f>IF($U3831="",0,COUNTIFS(rl_key,Inputs!$J$105,$V$3806:$V$4045,$V3831,$U$3806:$U$4045,"&lt;"&amp;$U3831))</f>
        <v>0</v>
      </c>
      <c r="AB3831" s="55">
        <f>IF($U3831="",0,COUNTIFS(Inputs!$J$80:$J$105,Inputs!$J$105,$V$3806:$V3831,$V3831,$U$3806:$U3831,$U3831))</f>
        <v>1</v>
      </c>
      <c r="AC3831" s="55">
        <f t="shared" si="1422"/>
        <v>1</v>
      </c>
      <c r="AE3831" s="54">
        <f>IF(Inputs!$C$105="","",IF(Inputs!$E$105="planned",EDATE(Inputs!$C$105,N(INDEX(sc_shift,4))),Inputs!$C$105))</f>
        <v>46600</v>
      </c>
      <c r="AF3831" s="54">
        <f t="shared" si="1423"/>
        <v>46600</v>
      </c>
      <c r="AG3831" s="52">
        <f>IF(N(INDEX(sc_ach,4))=0,IF(Inputs!$G$105="",1,Inputs!$G$105),INDEX(sc_ach,4))</f>
        <v>1</v>
      </c>
      <c r="AH3831" s="52">
        <f>IF(Inputs!$C$105="",0,IF(Inputs!$E$105="planned",(Inputs!$D$105+N(INDEX(sc_dpts,4)))*$AG3831,Inputs!$D$105))</f>
        <v>0.04</v>
      </c>
      <c r="AI3831" s="53">
        <f>IF(Inputs!$C$105="",0,IF(1+$AH3831&gt;0,LN(1+$AH3831),0))</f>
        <v>3.9220713153281329E-2</v>
      </c>
      <c r="AJ3831" s="55">
        <f t="shared" si="1424"/>
        <v>31</v>
      </c>
      <c r="AK3831" s="55">
        <f>IF($AE3831="",0,COUNTIFS(rl_key,Inputs!$J$105,$AF$3806:$AF$4045,$AF3831,$AE$3806:$AE$4045,"&lt;"&amp;$AE3831))</f>
        <v>0</v>
      </c>
      <c r="AL3831" s="55">
        <f>IF($AE3831="",0,COUNTIFS(Inputs!$J$80:$J$105,Inputs!$J$105,$AF$3806:$AF3831,$AF3831,$AE$3806:$AE3831,$AE3831))</f>
        <v>1</v>
      </c>
      <c r="AM3831" s="55">
        <f t="shared" si="1425"/>
        <v>1</v>
      </c>
    </row>
    <row r="3832" spans="1:39" x14ac:dyDescent="0.25">
      <c r="A3832" s="54">
        <f>IF(Inputs!$C$106="","",IF(Inputs!$E$106="planned",EDATE(Inputs!$C$106,N(INDEX(sc_shift,1))),Inputs!$C$106))</f>
        <v>46204</v>
      </c>
      <c r="B3832" s="54">
        <f t="shared" si="1414"/>
        <v>46204</v>
      </c>
      <c r="C3832" s="52">
        <f>IF(N(INDEX(sc_ach,1))=0,IF(Inputs!$G$106="",1,Inputs!$G$106),INDEX(sc_ach,1))</f>
        <v>1</v>
      </c>
      <c r="D3832" s="52">
        <f>IF(Inputs!$C$106="",0,IF(Inputs!$E$106="planned",(Inputs!$D$106+N(INDEX(sc_dpts,1)))*$C3832,Inputs!$D$106))</f>
        <v>0.05</v>
      </c>
      <c r="E3832" s="53">
        <f>IF(Inputs!$C$106="",0,IF(1+$D3832&gt;0,LN(1+$D3832),0))</f>
        <v>4.8790164169432049E-2</v>
      </c>
      <c r="F3832" s="55">
        <f t="shared" si="1415"/>
        <v>31</v>
      </c>
      <c r="G3832" s="55">
        <f>IF($A3832="",0,COUNTIFS(rl_key,Inputs!$J$106,$B$3806:$B$4045,$B3832,$A$3806:$A$4045,"&lt;"&amp;$A3832))</f>
        <v>0</v>
      </c>
      <c r="H3832" s="55">
        <f>IF($A3832="",0,COUNTIFS(Inputs!$J$80:$J$106,Inputs!$J$106,$B$3806:$B3832,$B3832,$A$3806:$A3832,$A3832))</f>
        <v>1</v>
      </c>
      <c r="I3832" s="55">
        <f t="shared" si="1416"/>
        <v>1</v>
      </c>
      <c r="K3832" s="54">
        <f>IF(Inputs!$C$106="","",IF(Inputs!$E$106="planned",EDATE(Inputs!$C$106,N(INDEX(sc_shift,2))),Inputs!$C$106))</f>
        <v>46204</v>
      </c>
      <c r="L3832" s="54">
        <f t="shared" si="1417"/>
        <v>46204</v>
      </c>
      <c r="M3832" s="52">
        <f>IF(N(INDEX(sc_ach,2))=0,IF(Inputs!$G$106="",1,Inputs!$G$106),INDEX(sc_ach,2))</f>
        <v>1</v>
      </c>
      <c r="N3832" s="52">
        <f>IF(Inputs!$C$106="",0,IF(Inputs!$E$106="planned",(Inputs!$D$106+N(INDEX(sc_dpts,2)))*$M3832,Inputs!$D$106))</f>
        <v>0.05</v>
      </c>
      <c r="O3832" s="53">
        <f>IF(Inputs!$C$106="",0,IF(1+$N3832&gt;0,LN(1+$N3832),0))</f>
        <v>4.8790164169432049E-2</v>
      </c>
      <c r="P3832" s="55">
        <f t="shared" si="1418"/>
        <v>31</v>
      </c>
      <c r="Q3832" s="55">
        <f>IF($K3832="",0,COUNTIFS(rl_key,Inputs!$J$106,$L$3806:$L$4045,$L3832,$K$3806:$K$4045,"&lt;"&amp;$K3832))</f>
        <v>0</v>
      </c>
      <c r="R3832" s="55">
        <f>IF($K3832="",0,COUNTIFS(Inputs!$J$80:$J$106,Inputs!$J$106,$L$3806:$L3832,$L3832,$K$3806:$K3832,$K3832))</f>
        <v>1</v>
      </c>
      <c r="S3832" s="55">
        <f t="shared" si="1419"/>
        <v>1</v>
      </c>
      <c r="U3832" s="54">
        <f>IF(Inputs!$C$106="","",IF(Inputs!$E$106="planned",EDATE(Inputs!$C$106,N(INDEX(sc_shift,3))),Inputs!$C$106))</f>
        <v>46204</v>
      </c>
      <c r="V3832" s="54">
        <f t="shared" si="1420"/>
        <v>46204</v>
      </c>
      <c r="W3832" s="52">
        <f>IF(N(INDEX(sc_ach,3))=0,IF(Inputs!$G$106="",1,Inputs!$G$106),INDEX(sc_ach,3))</f>
        <v>1</v>
      </c>
      <c r="X3832" s="52">
        <f>IF(Inputs!$C$106="",0,IF(Inputs!$E$106="planned",(Inputs!$D$106+N(INDEX(sc_dpts,3)))*$W3832,Inputs!$D$106))</f>
        <v>0.05</v>
      </c>
      <c r="Y3832" s="53">
        <f>IF(Inputs!$C$106="",0,IF(1+$X3832&gt;0,LN(1+$X3832),0))</f>
        <v>4.8790164169432049E-2</v>
      </c>
      <c r="Z3832" s="55">
        <f t="shared" si="1421"/>
        <v>31</v>
      </c>
      <c r="AA3832" s="55">
        <f>IF($U3832="",0,COUNTIFS(rl_key,Inputs!$J$106,$V$3806:$V$4045,$V3832,$U$3806:$U$4045,"&lt;"&amp;$U3832))</f>
        <v>0</v>
      </c>
      <c r="AB3832" s="55">
        <f>IF($U3832="",0,COUNTIFS(Inputs!$J$80:$J$106,Inputs!$J$106,$V$3806:$V3832,$V3832,$U$3806:$U3832,$U3832))</f>
        <v>1</v>
      </c>
      <c r="AC3832" s="55">
        <f t="shared" si="1422"/>
        <v>1</v>
      </c>
      <c r="AE3832" s="54">
        <f>IF(Inputs!$C$106="","",IF(Inputs!$E$106="planned",EDATE(Inputs!$C$106,N(INDEX(sc_shift,4))),Inputs!$C$106))</f>
        <v>46204</v>
      </c>
      <c r="AF3832" s="54">
        <f t="shared" si="1423"/>
        <v>46204</v>
      </c>
      <c r="AG3832" s="52">
        <f>IF(N(INDEX(sc_ach,4))=0,IF(Inputs!$G$106="",1,Inputs!$G$106),INDEX(sc_ach,4))</f>
        <v>1</v>
      </c>
      <c r="AH3832" s="52">
        <f>IF(Inputs!$C$106="",0,IF(Inputs!$E$106="planned",(Inputs!$D$106+N(INDEX(sc_dpts,4)))*$AG3832,Inputs!$D$106))</f>
        <v>0.05</v>
      </c>
      <c r="AI3832" s="53">
        <f>IF(Inputs!$C$106="",0,IF(1+$AH3832&gt;0,LN(1+$AH3832),0))</f>
        <v>4.8790164169432049E-2</v>
      </c>
      <c r="AJ3832" s="55">
        <f t="shared" si="1424"/>
        <v>31</v>
      </c>
      <c r="AK3832" s="55">
        <f>IF($AE3832="",0,COUNTIFS(rl_key,Inputs!$J$106,$AF$3806:$AF$4045,$AF3832,$AE$3806:$AE$4045,"&lt;"&amp;$AE3832))</f>
        <v>0</v>
      </c>
      <c r="AL3832" s="55">
        <f>IF($AE3832="",0,COUNTIFS(Inputs!$J$80:$J$106,Inputs!$J$106,$AF$3806:$AF3832,$AF3832,$AE$3806:$AE3832,$AE3832))</f>
        <v>1</v>
      </c>
      <c r="AM3832" s="55">
        <f t="shared" si="1425"/>
        <v>1</v>
      </c>
    </row>
    <row r="3833" spans="1:39" x14ac:dyDescent="0.25">
      <c r="A3833" s="54">
        <f>IF(Inputs!$C$107="","",IF(Inputs!$E$107="planned",EDATE(Inputs!$C$107,N(INDEX(sc_shift,1))),Inputs!$C$107))</f>
        <v>46235</v>
      </c>
      <c r="B3833" s="54">
        <f t="shared" si="1414"/>
        <v>46235</v>
      </c>
      <c r="C3833" s="52">
        <f>IF(N(INDEX(sc_ach,1))=0,IF(Inputs!$G$107="",1,Inputs!$G$107),INDEX(sc_ach,1))</f>
        <v>1</v>
      </c>
      <c r="D3833" s="52">
        <f>IF(Inputs!$C$107="",0,IF(Inputs!$E$107="planned",(Inputs!$D$107+N(INDEX(sc_dpts,1)))*$C3833,Inputs!$D$107))</f>
        <v>0.06</v>
      </c>
      <c r="E3833" s="53">
        <f>IF(Inputs!$C$107="",0,IF(1+$D3833&gt;0,LN(1+$D3833),0))</f>
        <v>5.8268908123975824E-2</v>
      </c>
      <c r="F3833" s="55">
        <f t="shared" si="1415"/>
        <v>31</v>
      </c>
      <c r="G3833" s="55">
        <f>IF($A3833="",0,COUNTIFS(rl_key,Inputs!$J$107,$B$3806:$B$4045,$B3833,$A$3806:$A$4045,"&lt;"&amp;$A3833))</f>
        <v>0</v>
      </c>
      <c r="H3833" s="55">
        <f>IF($A3833="",0,COUNTIFS(Inputs!$J$80:$J$107,Inputs!$J$107,$B$3806:$B3833,$B3833,$A$3806:$A3833,$A3833))</f>
        <v>1</v>
      </c>
      <c r="I3833" s="55">
        <f t="shared" si="1416"/>
        <v>1</v>
      </c>
      <c r="K3833" s="54">
        <f>IF(Inputs!$C$107="","",IF(Inputs!$E$107="planned",EDATE(Inputs!$C$107,N(INDEX(sc_shift,2))),Inputs!$C$107))</f>
        <v>46235</v>
      </c>
      <c r="L3833" s="54">
        <f t="shared" si="1417"/>
        <v>46235</v>
      </c>
      <c r="M3833" s="52">
        <f>IF(N(INDEX(sc_ach,2))=0,IF(Inputs!$G$107="",1,Inputs!$G$107),INDEX(sc_ach,2))</f>
        <v>1</v>
      </c>
      <c r="N3833" s="52">
        <f>IF(Inputs!$C$107="",0,IF(Inputs!$E$107="planned",(Inputs!$D$107+N(INDEX(sc_dpts,2)))*$M3833,Inputs!$D$107))</f>
        <v>0.06</v>
      </c>
      <c r="O3833" s="53">
        <f>IF(Inputs!$C$107="",0,IF(1+$N3833&gt;0,LN(1+$N3833),0))</f>
        <v>5.8268908123975824E-2</v>
      </c>
      <c r="P3833" s="55">
        <f t="shared" si="1418"/>
        <v>31</v>
      </c>
      <c r="Q3833" s="55">
        <f>IF($K3833="",0,COUNTIFS(rl_key,Inputs!$J$107,$L$3806:$L$4045,$L3833,$K$3806:$K$4045,"&lt;"&amp;$K3833))</f>
        <v>0</v>
      </c>
      <c r="R3833" s="55">
        <f>IF($K3833="",0,COUNTIFS(Inputs!$J$80:$J$107,Inputs!$J$107,$L$3806:$L3833,$L3833,$K$3806:$K3833,$K3833))</f>
        <v>1</v>
      </c>
      <c r="S3833" s="55">
        <f t="shared" si="1419"/>
        <v>1</v>
      </c>
      <c r="U3833" s="54">
        <f>IF(Inputs!$C$107="","",IF(Inputs!$E$107="planned",EDATE(Inputs!$C$107,N(INDEX(sc_shift,3))),Inputs!$C$107))</f>
        <v>46235</v>
      </c>
      <c r="V3833" s="54">
        <f t="shared" si="1420"/>
        <v>46235</v>
      </c>
      <c r="W3833" s="52">
        <f>IF(N(INDEX(sc_ach,3))=0,IF(Inputs!$G$107="",1,Inputs!$G$107),INDEX(sc_ach,3))</f>
        <v>1</v>
      </c>
      <c r="X3833" s="52">
        <f>IF(Inputs!$C$107="",0,IF(Inputs!$E$107="planned",(Inputs!$D$107+N(INDEX(sc_dpts,3)))*$W3833,Inputs!$D$107))</f>
        <v>0.06</v>
      </c>
      <c r="Y3833" s="53">
        <f>IF(Inputs!$C$107="",0,IF(1+$X3833&gt;0,LN(1+$X3833),0))</f>
        <v>5.8268908123975824E-2</v>
      </c>
      <c r="Z3833" s="55">
        <f t="shared" si="1421"/>
        <v>31</v>
      </c>
      <c r="AA3833" s="55">
        <f>IF($U3833="",0,COUNTIFS(rl_key,Inputs!$J$107,$V$3806:$V$4045,$V3833,$U$3806:$U$4045,"&lt;"&amp;$U3833))</f>
        <v>0</v>
      </c>
      <c r="AB3833" s="55">
        <f>IF($U3833="",0,COUNTIFS(Inputs!$J$80:$J$107,Inputs!$J$107,$V$3806:$V3833,$V3833,$U$3806:$U3833,$U3833))</f>
        <v>1</v>
      </c>
      <c r="AC3833" s="55">
        <f t="shared" si="1422"/>
        <v>1</v>
      </c>
      <c r="AE3833" s="54">
        <f>IF(Inputs!$C$107="","",IF(Inputs!$E$107="planned",EDATE(Inputs!$C$107,N(INDEX(sc_shift,4))),Inputs!$C$107))</f>
        <v>46235</v>
      </c>
      <c r="AF3833" s="54">
        <f t="shared" si="1423"/>
        <v>46235</v>
      </c>
      <c r="AG3833" s="52">
        <f>IF(N(INDEX(sc_ach,4))=0,IF(Inputs!$G$107="",1,Inputs!$G$107),INDEX(sc_ach,4))</f>
        <v>1</v>
      </c>
      <c r="AH3833" s="52">
        <f>IF(Inputs!$C$107="",0,IF(Inputs!$E$107="planned",(Inputs!$D$107+N(INDEX(sc_dpts,4)))*$AG3833,Inputs!$D$107))</f>
        <v>0.06</v>
      </c>
      <c r="AI3833" s="53">
        <f>IF(Inputs!$C$107="",0,IF(1+$AH3833&gt;0,LN(1+$AH3833),0))</f>
        <v>5.8268908123975824E-2</v>
      </c>
      <c r="AJ3833" s="55">
        <f t="shared" si="1424"/>
        <v>31</v>
      </c>
      <c r="AK3833" s="55">
        <f>IF($AE3833="",0,COUNTIFS(rl_key,Inputs!$J$107,$AF$3806:$AF$4045,$AF3833,$AE$3806:$AE$4045,"&lt;"&amp;$AE3833))</f>
        <v>0</v>
      </c>
      <c r="AL3833" s="55">
        <f>IF($AE3833="",0,COUNTIFS(Inputs!$J$80:$J$107,Inputs!$J$107,$AF$3806:$AF3833,$AF3833,$AE$3806:$AE3833,$AE3833))</f>
        <v>1</v>
      </c>
      <c r="AM3833" s="55">
        <f t="shared" si="1425"/>
        <v>1</v>
      </c>
    </row>
    <row r="3834" spans="1:39" x14ac:dyDescent="0.25">
      <c r="A3834" s="54">
        <f>IF(Inputs!$C$108="","",IF(Inputs!$E$108="planned",EDATE(Inputs!$C$108,N(INDEX(sc_shift,1))),Inputs!$C$108))</f>
        <v>46296</v>
      </c>
      <c r="B3834" s="54">
        <f t="shared" si="1414"/>
        <v>46296</v>
      </c>
      <c r="C3834" s="52">
        <f>IF(N(INDEX(sc_ach,1))=0,IF(Inputs!$G$108="",1,Inputs!$G$108),INDEX(sc_ach,1))</f>
        <v>1</v>
      </c>
      <c r="D3834" s="52">
        <f>IF(Inputs!$C$108="",0,IF(Inputs!$E$108="planned",(Inputs!$D$108+N(INDEX(sc_dpts,1)))*$C3834,Inputs!$D$108))</f>
        <v>0.03</v>
      </c>
      <c r="E3834" s="53">
        <f>IF(Inputs!$C$108="",0,IF(1+$D3834&gt;0,LN(1+$D3834),0))</f>
        <v>2.9558802241544429E-2</v>
      </c>
      <c r="F3834" s="55">
        <f t="shared" si="1415"/>
        <v>31</v>
      </c>
      <c r="G3834" s="55">
        <f>IF($A3834="",0,COUNTIFS(rl_key,Inputs!$J$108,$B$3806:$B$4045,$B3834,$A$3806:$A$4045,"&lt;"&amp;$A3834))</f>
        <v>0</v>
      </c>
      <c r="H3834" s="55">
        <f>IF($A3834="",0,COUNTIFS(Inputs!$J$80:$J$108,Inputs!$J$108,$B$3806:$B3834,$B3834,$A$3806:$A3834,$A3834))</f>
        <v>1</v>
      </c>
      <c r="I3834" s="55">
        <f t="shared" si="1416"/>
        <v>1</v>
      </c>
      <c r="K3834" s="54">
        <f>IF(Inputs!$C$108="","",IF(Inputs!$E$108="planned",EDATE(Inputs!$C$108,N(INDEX(sc_shift,2))),Inputs!$C$108))</f>
        <v>46296</v>
      </c>
      <c r="L3834" s="54">
        <f t="shared" si="1417"/>
        <v>46296</v>
      </c>
      <c r="M3834" s="52">
        <f>IF(N(INDEX(sc_ach,2))=0,IF(Inputs!$G$108="",1,Inputs!$G$108),INDEX(sc_ach,2))</f>
        <v>1</v>
      </c>
      <c r="N3834" s="52">
        <f>IF(Inputs!$C$108="",0,IF(Inputs!$E$108="planned",(Inputs!$D$108+N(INDEX(sc_dpts,2)))*$M3834,Inputs!$D$108))</f>
        <v>0.03</v>
      </c>
      <c r="O3834" s="53">
        <f>IF(Inputs!$C$108="",0,IF(1+$N3834&gt;0,LN(1+$N3834),0))</f>
        <v>2.9558802241544429E-2</v>
      </c>
      <c r="P3834" s="55">
        <f t="shared" si="1418"/>
        <v>31</v>
      </c>
      <c r="Q3834" s="55">
        <f>IF($K3834="",0,COUNTIFS(rl_key,Inputs!$J$108,$L$3806:$L$4045,$L3834,$K$3806:$K$4045,"&lt;"&amp;$K3834))</f>
        <v>0</v>
      </c>
      <c r="R3834" s="55">
        <f>IF($K3834="",0,COUNTIFS(Inputs!$J$80:$J$108,Inputs!$J$108,$L$3806:$L3834,$L3834,$K$3806:$K3834,$K3834))</f>
        <v>1</v>
      </c>
      <c r="S3834" s="55">
        <f t="shared" si="1419"/>
        <v>1</v>
      </c>
      <c r="U3834" s="54">
        <f>IF(Inputs!$C$108="","",IF(Inputs!$E$108="planned",EDATE(Inputs!$C$108,N(INDEX(sc_shift,3))),Inputs!$C$108))</f>
        <v>46296</v>
      </c>
      <c r="V3834" s="54">
        <f t="shared" si="1420"/>
        <v>46296</v>
      </c>
      <c r="W3834" s="52">
        <f>IF(N(INDEX(sc_ach,3))=0,IF(Inputs!$G$108="",1,Inputs!$G$108),INDEX(sc_ach,3))</f>
        <v>1</v>
      </c>
      <c r="X3834" s="52">
        <f>IF(Inputs!$C$108="",0,IF(Inputs!$E$108="planned",(Inputs!$D$108+N(INDEX(sc_dpts,3)))*$W3834,Inputs!$D$108))</f>
        <v>0.03</v>
      </c>
      <c r="Y3834" s="53">
        <f>IF(Inputs!$C$108="",0,IF(1+$X3834&gt;0,LN(1+$X3834),0))</f>
        <v>2.9558802241544429E-2</v>
      </c>
      <c r="Z3834" s="55">
        <f t="shared" si="1421"/>
        <v>31</v>
      </c>
      <c r="AA3834" s="55">
        <f>IF($U3834="",0,COUNTIFS(rl_key,Inputs!$J$108,$V$3806:$V$4045,$V3834,$U$3806:$U$4045,"&lt;"&amp;$U3834))</f>
        <v>0</v>
      </c>
      <c r="AB3834" s="55">
        <f>IF($U3834="",0,COUNTIFS(Inputs!$J$80:$J$108,Inputs!$J$108,$V$3806:$V3834,$V3834,$U$3806:$U3834,$U3834))</f>
        <v>1</v>
      </c>
      <c r="AC3834" s="55">
        <f t="shared" si="1422"/>
        <v>1</v>
      </c>
      <c r="AE3834" s="54">
        <f>IF(Inputs!$C$108="","",IF(Inputs!$E$108="planned",EDATE(Inputs!$C$108,N(INDEX(sc_shift,4))),Inputs!$C$108))</f>
        <v>46296</v>
      </c>
      <c r="AF3834" s="54">
        <f t="shared" si="1423"/>
        <v>46296</v>
      </c>
      <c r="AG3834" s="52">
        <f>IF(N(INDEX(sc_ach,4))=0,IF(Inputs!$G$108="",1,Inputs!$G$108),INDEX(sc_ach,4))</f>
        <v>1</v>
      </c>
      <c r="AH3834" s="52">
        <f>IF(Inputs!$C$108="",0,IF(Inputs!$E$108="planned",(Inputs!$D$108+N(INDEX(sc_dpts,4)))*$AG3834,Inputs!$D$108))</f>
        <v>0.03</v>
      </c>
      <c r="AI3834" s="53">
        <f>IF(Inputs!$C$108="",0,IF(1+$AH3834&gt;0,LN(1+$AH3834),0))</f>
        <v>2.9558802241544429E-2</v>
      </c>
      <c r="AJ3834" s="55">
        <f t="shared" si="1424"/>
        <v>31</v>
      </c>
      <c r="AK3834" s="55">
        <f>IF($AE3834="",0,COUNTIFS(rl_key,Inputs!$J$108,$AF$3806:$AF$4045,$AF3834,$AE$3806:$AE$4045,"&lt;"&amp;$AE3834))</f>
        <v>0</v>
      </c>
      <c r="AL3834" s="55">
        <f>IF($AE3834="",0,COUNTIFS(Inputs!$J$80:$J$108,Inputs!$J$108,$AF$3806:$AF3834,$AF3834,$AE$3806:$AE3834,$AE3834))</f>
        <v>1</v>
      </c>
      <c r="AM3834" s="55">
        <f t="shared" si="1425"/>
        <v>1</v>
      </c>
    </row>
    <row r="3835" spans="1:39" x14ac:dyDescent="0.25">
      <c r="A3835" s="54">
        <f>IF(Inputs!$C$109="","",IF(Inputs!$E$109="planned",EDATE(Inputs!$C$109,N(INDEX(sc_shift,1))),Inputs!$C$109))</f>
        <v>46419</v>
      </c>
      <c r="B3835" s="54">
        <f t="shared" si="1414"/>
        <v>46419</v>
      </c>
      <c r="C3835" s="52">
        <f>IF(N(INDEX(sc_ach,1))=0,IF(Inputs!$G$109="",1,Inputs!$G$109),INDEX(sc_ach,1))</f>
        <v>1</v>
      </c>
      <c r="D3835" s="52">
        <f>IF(Inputs!$C$109="",0,IF(Inputs!$E$109="planned",(Inputs!$D$109+N(INDEX(sc_dpts,1)))*$C3835,Inputs!$D$109))</f>
        <v>0.04</v>
      </c>
      <c r="E3835" s="53">
        <f>IF(Inputs!$C$109="",0,IF(1+$D3835&gt;0,LN(1+$D3835),0))</f>
        <v>3.9220713153281329E-2</v>
      </c>
      <c r="F3835" s="55">
        <f t="shared" si="1415"/>
        <v>28</v>
      </c>
      <c r="G3835" s="55">
        <f>IF($A3835="",0,COUNTIFS(rl_key,Inputs!$J$109,$B$3806:$B$4045,$B3835,$A$3806:$A$4045,"&lt;"&amp;$A3835))</f>
        <v>0</v>
      </c>
      <c r="H3835" s="55">
        <f>IF($A3835="",0,COUNTIFS(Inputs!$J$80:$J$109,Inputs!$J$109,$B$3806:$B3835,$B3835,$A$3806:$A3835,$A3835))</f>
        <v>1</v>
      </c>
      <c r="I3835" s="55">
        <f t="shared" si="1416"/>
        <v>1</v>
      </c>
      <c r="K3835" s="54">
        <f>IF(Inputs!$C$109="","",IF(Inputs!$E$109="planned",EDATE(Inputs!$C$109,N(INDEX(sc_shift,2))),Inputs!$C$109))</f>
        <v>46419</v>
      </c>
      <c r="L3835" s="54">
        <f t="shared" si="1417"/>
        <v>46419</v>
      </c>
      <c r="M3835" s="52">
        <f>IF(N(INDEX(sc_ach,2))=0,IF(Inputs!$G$109="",1,Inputs!$G$109),INDEX(sc_ach,2))</f>
        <v>1</v>
      </c>
      <c r="N3835" s="52">
        <f>IF(Inputs!$C$109="",0,IF(Inputs!$E$109="planned",(Inputs!$D$109+N(INDEX(sc_dpts,2)))*$M3835,Inputs!$D$109))</f>
        <v>0.04</v>
      </c>
      <c r="O3835" s="53">
        <f>IF(Inputs!$C$109="",0,IF(1+$N3835&gt;0,LN(1+$N3835),0))</f>
        <v>3.9220713153281329E-2</v>
      </c>
      <c r="P3835" s="55">
        <f t="shared" si="1418"/>
        <v>28</v>
      </c>
      <c r="Q3835" s="55">
        <f>IF($K3835="",0,COUNTIFS(rl_key,Inputs!$J$109,$L$3806:$L$4045,$L3835,$K$3806:$K$4045,"&lt;"&amp;$K3835))</f>
        <v>0</v>
      </c>
      <c r="R3835" s="55">
        <f>IF($K3835="",0,COUNTIFS(Inputs!$J$80:$J$109,Inputs!$J$109,$L$3806:$L3835,$L3835,$K$3806:$K3835,$K3835))</f>
        <v>1</v>
      </c>
      <c r="S3835" s="55">
        <f t="shared" si="1419"/>
        <v>1</v>
      </c>
      <c r="U3835" s="54">
        <f>IF(Inputs!$C$109="","",IF(Inputs!$E$109="planned",EDATE(Inputs!$C$109,N(INDEX(sc_shift,3))),Inputs!$C$109))</f>
        <v>46419</v>
      </c>
      <c r="V3835" s="54">
        <f t="shared" si="1420"/>
        <v>46419</v>
      </c>
      <c r="W3835" s="52">
        <f>IF(N(INDEX(sc_ach,3))=0,IF(Inputs!$G$109="",1,Inputs!$G$109),INDEX(sc_ach,3))</f>
        <v>1</v>
      </c>
      <c r="X3835" s="52">
        <f>IF(Inputs!$C$109="",0,IF(Inputs!$E$109="planned",(Inputs!$D$109+N(INDEX(sc_dpts,3)))*$W3835,Inputs!$D$109))</f>
        <v>0.04</v>
      </c>
      <c r="Y3835" s="53">
        <f>IF(Inputs!$C$109="",0,IF(1+$X3835&gt;0,LN(1+$X3835),0))</f>
        <v>3.9220713153281329E-2</v>
      </c>
      <c r="Z3835" s="55">
        <f t="shared" si="1421"/>
        <v>28</v>
      </c>
      <c r="AA3835" s="55">
        <f>IF($U3835="",0,COUNTIFS(rl_key,Inputs!$J$109,$V$3806:$V$4045,$V3835,$U$3806:$U$4045,"&lt;"&amp;$U3835))</f>
        <v>0</v>
      </c>
      <c r="AB3835" s="55">
        <f>IF($U3835="",0,COUNTIFS(Inputs!$J$80:$J$109,Inputs!$J$109,$V$3806:$V3835,$V3835,$U$3806:$U3835,$U3835))</f>
        <v>1</v>
      </c>
      <c r="AC3835" s="55">
        <f t="shared" si="1422"/>
        <v>1</v>
      </c>
      <c r="AE3835" s="54">
        <f>IF(Inputs!$C$109="","",IF(Inputs!$E$109="planned",EDATE(Inputs!$C$109,N(INDEX(sc_shift,4))),Inputs!$C$109))</f>
        <v>46419</v>
      </c>
      <c r="AF3835" s="54">
        <f t="shared" si="1423"/>
        <v>46419</v>
      </c>
      <c r="AG3835" s="52">
        <f>IF(N(INDEX(sc_ach,4))=0,IF(Inputs!$G$109="",1,Inputs!$G$109),INDEX(sc_ach,4))</f>
        <v>1</v>
      </c>
      <c r="AH3835" s="52">
        <f>IF(Inputs!$C$109="",0,IF(Inputs!$E$109="planned",(Inputs!$D$109+N(INDEX(sc_dpts,4)))*$AG3835,Inputs!$D$109))</f>
        <v>0.04</v>
      </c>
      <c r="AI3835" s="53">
        <f>IF(Inputs!$C$109="",0,IF(1+$AH3835&gt;0,LN(1+$AH3835),0))</f>
        <v>3.9220713153281329E-2</v>
      </c>
      <c r="AJ3835" s="55">
        <f t="shared" si="1424"/>
        <v>28</v>
      </c>
      <c r="AK3835" s="55">
        <f>IF($AE3835="",0,COUNTIFS(rl_key,Inputs!$J$109,$AF$3806:$AF$4045,$AF3835,$AE$3806:$AE$4045,"&lt;"&amp;$AE3835))</f>
        <v>0</v>
      </c>
      <c r="AL3835" s="55">
        <f>IF($AE3835="",0,COUNTIFS(Inputs!$J$80:$J$109,Inputs!$J$109,$AF$3806:$AF3835,$AF3835,$AE$3806:$AE3835,$AE3835))</f>
        <v>1</v>
      </c>
      <c r="AM3835" s="55">
        <f t="shared" si="1425"/>
        <v>1</v>
      </c>
    </row>
    <row r="3836" spans="1:39" x14ac:dyDescent="0.25">
      <c r="A3836" s="54">
        <f>IF(Inputs!$C$110="","",IF(Inputs!$E$110="planned",EDATE(Inputs!$C$110,N(INDEX(sc_shift,1))),Inputs!$C$110))</f>
        <v>46327</v>
      </c>
      <c r="B3836" s="54">
        <f t="shared" si="1414"/>
        <v>46327</v>
      </c>
      <c r="C3836" s="52">
        <f>IF(N(INDEX(sc_ach,1))=0,IF(Inputs!$G$110="",1,Inputs!$G$110),INDEX(sc_ach,1))</f>
        <v>1</v>
      </c>
      <c r="D3836" s="52">
        <f>IF(Inputs!$C$110="",0,IF(Inputs!$E$110="planned",(Inputs!$D$110+N(INDEX(sc_dpts,1)))*$C3836,Inputs!$D$110))</f>
        <v>0.04</v>
      </c>
      <c r="E3836" s="53">
        <f>IF(Inputs!$C$110="",0,IF(1+$D3836&gt;0,LN(1+$D3836),0))</f>
        <v>3.9220713153281329E-2</v>
      </c>
      <c r="F3836" s="55">
        <f t="shared" si="1415"/>
        <v>30</v>
      </c>
      <c r="G3836" s="55">
        <f>IF($A3836="",0,COUNTIFS(rl_key,Inputs!$J$110,$B$3806:$B$4045,$B3836,$A$3806:$A$4045,"&lt;"&amp;$A3836))</f>
        <v>0</v>
      </c>
      <c r="H3836" s="55">
        <f>IF($A3836="",0,COUNTIFS(Inputs!$J$80:$J$110,Inputs!$J$110,$B$3806:$B3836,$B3836,$A$3806:$A3836,$A3836))</f>
        <v>1</v>
      </c>
      <c r="I3836" s="55">
        <f t="shared" si="1416"/>
        <v>1</v>
      </c>
      <c r="K3836" s="54">
        <f>IF(Inputs!$C$110="","",IF(Inputs!$E$110="planned",EDATE(Inputs!$C$110,N(INDEX(sc_shift,2))),Inputs!$C$110))</f>
        <v>46327</v>
      </c>
      <c r="L3836" s="54">
        <f t="shared" si="1417"/>
        <v>46327</v>
      </c>
      <c r="M3836" s="52">
        <f>IF(N(INDEX(sc_ach,2))=0,IF(Inputs!$G$110="",1,Inputs!$G$110),INDEX(sc_ach,2))</f>
        <v>1</v>
      </c>
      <c r="N3836" s="52">
        <f>IF(Inputs!$C$110="",0,IF(Inputs!$E$110="planned",(Inputs!$D$110+N(INDEX(sc_dpts,2)))*$M3836,Inputs!$D$110))</f>
        <v>0.04</v>
      </c>
      <c r="O3836" s="53">
        <f>IF(Inputs!$C$110="",0,IF(1+$N3836&gt;0,LN(1+$N3836),0))</f>
        <v>3.9220713153281329E-2</v>
      </c>
      <c r="P3836" s="55">
        <f t="shared" si="1418"/>
        <v>30</v>
      </c>
      <c r="Q3836" s="55">
        <f>IF($K3836="",0,COUNTIFS(rl_key,Inputs!$J$110,$L$3806:$L$4045,$L3836,$K$3806:$K$4045,"&lt;"&amp;$K3836))</f>
        <v>0</v>
      </c>
      <c r="R3836" s="55">
        <f>IF($K3836="",0,COUNTIFS(Inputs!$J$80:$J$110,Inputs!$J$110,$L$3806:$L3836,$L3836,$K$3806:$K3836,$K3836))</f>
        <v>1</v>
      </c>
      <c r="S3836" s="55">
        <f t="shared" si="1419"/>
        <v>1</v>
      </c>
      <c r="U3836" s="54">
        <f>IF(Inputs!$C$110="","",IF(Inputs!$E$110="planned",EDATE(Inputs!$C$110,N(INDEX(sc_shift,3))),Inputs!$C$110))</f>
        <v>46327</v>
      </c>
      <c r="V3836" s="54">
        <f t="shared" si="1420"/>
        <v>46327</v>
      </c>
      <c r="W3836" s="52">
        <f>IF(N(INDEX(sc_ach,3))=0,IF(Inputs!$G$110="",1,Inputs!$G$110),INDEX(sc_ach,3))</f>
        <v>1</v>
      </c>
      <c r="X3836" s="52">
        <f>IF(Inputs!$C$110="",0,IF(Inputs!$E$110="planned",(Inputs!$D$110+N(INDEX(sc_dpts,3)))*$W3836,Inputs!$D$110))</f>
        <v>0.04</v>
      </c>
      <c r="Y3836" s="53">
        <f>IF(Inputs!$C$110="",0,IF(1+$X3836&gt;0,LN(1+$X3836),0))</f>
        <v>3.9220713153281329E-2</v>
      </c>
      <c r="Z3836" s="55">
        <f t="shared" si="1421"/>
        <v>30</v>
      </c>
      <c r="AA3836" s="55">
        <f>IF($U3836="",0,COUNTIFS(rl_key,Inputs!$J$110,$V$3806:$V$4045,$V3836,$U$3806:$U$4045,"&lt;"&amp;$U3836))</f>
        <v>0</v>
      </c>
      <c r="AB3836" s="55">
        <f>IF($U3836="",0,COUNTIFS(Inputs!$J$80:$J$110,Inputs!$J$110,$V$3806:$V3836,$V3836,$U$3806:$U3836,$U3836))</f>
        <v>1</v>
      </c>
      <c r="AC3836" s="55">
        <f t="shared" si="1422"/>
        <v>1</v>
      </c>
      <c r="AE3836" s="54">
        <f>IF(Inputs!$C$110="","",IF(Inputs!$E$110="planned",EDATE(Inputs!$C$110,N(INDEX(sc_shift,4))),Inputs!$C$110))</f>
        <v>46327</v>
      </c>
      <c r="AF3836" s="54">
        <f t="shared" si="1423"/>
        <v>46327</v>
      </c>
      <c r="AG3836" s="52">
        <f>IF(N(INDEX(sc_ach,4))=0,IF(Inputs!$G$110="",1,Inputs!$G$110),INDEX(sc_ach,4))</f>
        <v>1</v>
      </c>
      <c r="AH3836" s="52">
        <f>IF(Inputs!$C$110="",0,IF(Inputs!$E$110="planned",(Inputs!$D$110+N(INDEX(sc_dpts,4)))*$AG3836,Inputs!$D$110))</f>
        <v>0.04</v>
      </c>
      <c r="AI3836" s="53">
        <f>IF(Inputs!$C$110="",0,IF(1+$AH3836&gt;0,LN(1+$AH3836),0))</f>
        <v>3.9220713153281329E-2</v>
      </c>
      <c r="AJ3836" s="55">
        <f t="shared" si="1424"/>
        <v>30</v>
      </c>
      <c r="AK3836" s="55">
        <f>IF($AE3836="",0,COUNTIFS(rl_key,Inputs!$J$110,$AF$3806:$AF$4045,$AF3836,$AE$3806:$AE$4045,"&lt;"&amp;$AE3836))</f>
        <v>0</v>
      </c>
      <c r="AL3836" s="55">
        <f>IF($AE3836="",0,COUNTIFS(Inputs!$J$80:$J$110,Inputs!$J$110,$AF$3806:$AF3836,$AF3836,$AE$3806:$AE3836,$AE3836))</f>
        <v>1</v>
      </c>
      <c r="AM3836" s="55">
        <f t="shared" si="1425"/>
        <v>1</v>
      </c>
    </row>
    <row r="3837" spans="1:39" x14ac:dyDescent="0.25">
      <c r="A3837" s="54">
        <f>IF(Inputs!$C$111="","",IF(Inputs!$E$111="planned",EDATE(Inputs!$C$111,N(INDEX(sc_shift,1))),Inputs!$C$111))</f>
        <v>46054</v>
      </c>
      <c r="B3837" s="54">
        <f t="shared" si="1414"/>
        <v>46054</v>
      </c>
      <c r="C3837" s="52">
        <f>IF(N(INDEX(sc_ach,1))=0,IF(Inputs!$G$111="",1,Inputs!$G$111),INDEX(sc_ach,1))</f>
        <v>1</v>
      </c>
      <c r="D3837" s="52">
        <f>IF(Inputs!$C$111="",0,IF(Inputs!$E$111="planned",(Inputs!$D$111+N(INDEX(sc_dpts,1)))*$C3837,Inputs!$D$111))</f>
        <v>0.02</v>
      </c>
      <c r="E3837" s="53">
        <f>IF(Inputs!$C$111="",0,IF(1+$D3837&gt;0,LN(1+$D3837),0))</f>
        <v>1.980262729617973E-2</v>
      </c>
      <c r="F3837" s="55">
        <f t="shared" si="1415"/>
        <v>28</v>
      </c>
      <c r="G3837" s="55">
        <f>IF($A3837="",0,COUNTIFS(rl_key,Inputs!$J$111,$B$3806:$B$4045,$B3837,$A$3806:$A$4045,"&lt;"&amp;$A3837))</f>
        <v>0</v>
      </c>
      <c r="H3837" s="55">
        <f>IF($A3837="",0,COUNTIFS(Inputs!$J$80:$J$111,Inputs!$J$111,$B$3806:$B3837,$B3837,$A$3806:$A3837,$A3837))</f>
        <v>1</v>
      </c>
      <c r="I3837" s="55">
        <f t="shared" si="1416"/>
        <v>1</v>
      </c>
      <c r="K3837" s="54">
        <f>IF(Inputs!$C$111="","",IF(Inputs!$E$111="planned",EDATE(Inputs!$C$111,N(INDEX(sc_shift,2))),Inputs!$C$111))</f>
        <v>46054</v>
      </c>
      <c r="L3837" s="54">
        <f t="shared" si="1417"/>
        <v>46054</v>
      </c>
      <c r="M3837" s="52">
        <f>IF(N(INDEX(sc_ach,2))=0,IF(Inputs!$G$111="",1,Inputs!$G$111),INDEX(sc_ach,2))</f>
        <v>1</v>
      </c>
      <c r="N3837" s="52">
        <f>IF(Inputs!$C$111="",0,IF(Inputs!$E$111="planned",(Inputs!$D$111+N(INDEX(sc_dpts,2)))*$M3837,Inputs!$D$111))</f>
        <v>0.02</v>
      </c>
      <c r="O3837" s="53">
        <f>IF(Inputs!$C$111="",0,IF(1+$N3837&gt;0,LN(1+$N3837),0))</f>
        <v>1.980262729617973E-2</v>
      </c>
      <c r="P3837" s="55">
        <f t="shared" si="1418"/>
        <v>28</v>
      </c>
      <c r="Q3837" s="55">
        <f>IF($K3837="",0,COUNTIFS(rl_key,Inputs!$J$111,$L$3806:$L$4045,$L3837,$K$3806:$K$4045,"&lt;"&amp;$K3837))</f>
        <v>0</v>
      </c>
      <c r="R3837" s="55">
        <f>IF($K3837="",0,COUNTIFS(Inputs!$J$80:$J$111,Inputs!$J$111,$L$3806:$L3837,$L3837,$K$3806:$K3837,$K3837))</f>
        <v>1</v>
      </c>
      <c r="S3837" s="55">
        <f t="shared" si="1419"/>
        <v>1</v>
      </c>
      <c r="U3837" s="54">
        <f>IF(Inputs!$C$111="","",IF(Inputs!$E$111="planned",EDATE(Inputs!$C$111,N(INDEX(sc_shift,3))),Inputs!$C$111))</f>
        <v>46054</v>
      </c>
      <c r="V3837" s="54">
        <f t="shared" si="1420"/>
        <v>46054</v>
      </c>
      <c r="W3837" s="52">
        <f>IF(N(INDEX(sc_ach,3))=0,IF(Inputs!$G$111="",1,Inputs!$G$111),INDEX(sc_ach,3))</f>
        <v>1</v>
      </c>
      <c r="X3837" s="52">
        <f>IF(Inputs!$C$111="",0,IF(Inputs!$E$111="planned",(Inputs!$D$111+N(INDEX(sc_dpts,3)))*$W3837,Inputs!$D$111))</f>
        <v>0.02</v>
      </c>
      <c r="Y3837" s="53">
        <f>IF(Inputs!$C$111="",0,IF(1+$X3837&gt;0,LN(1+$X3837),0))</f>
        <v>1.980262729617973E-2</v>
      </c>
      <c r="Z3837" s="55">
        <f t="shared" si="1421"/>
        <v>28</v>
      </c>
      <c r="AA3837" s="55">
        <f>IF($U3837="",0,COUNTIFS(rl_key,Inputs!$J$111,$V$3806:$V$4045,$V3837,$U$3806:$U$4045,"&lt;"&amp;$U3837))</f>
        <v>0</v>
      </c>
      <c r="AB3837" s="55">
        <f>IF($U3837="",0,COUNTIFS(Inputs!$J$80:$J$111,Inputs!$J$111,$V$3806:$V3837,$V3837,$U$3806:$U3837,$U3837))</f>
        <v>1</v>
      </c>
      <c r="AC3837" s="55">
        <f t="shared" si="1422"/>
        <v>1</v>
      </c>
      <c r="AE3837" s="54">
        <f>IF(Inputs!$C$111="","",IF(Inputs!$E$111="planned",EDATE(Inputs!$C$111,N(INDEX(sc_shift,4))),Inputs!$C$111))</f>
        <v>46054</v>
      </c>
      <c r="AF3837" s="54">
        <f t="shared" si="1423"/>
        <v>46054</v>
      </c>
      <c r="AG3837" s="52">
        <f>IF(N(INDEX(sc_ach,4))=0,IF(Inputs!$G$111="",1,Inputs!$G$111),INDEX(sc_ach,4))</f>
        <v>1</v>
      </c>
      <c r="AH3837" s="52">
        <f>IF(Inputs!$C$111="",0,IF(Inputs!$E$111="planned",(Inputs!$D$111+N(INDEX(sc_dpts,4)))*$AG3837,Inputs!$D$111))</f>
        <v>0.02</v>
      </c>
      <c r="AI3837" s="53">
        <f>IF(Inputs!$C$111="",0,IF(1+$AH3837&gt;0,LN(1+$AH3837),0))</f>
        <v>1.980262729617973E-2</v>
      </c>
      <c r="AJ3837" s="55">
        <f t="shared" si="1424"/>
        <v>28</v>
      </c>
      <c r="AK3837" s="55">
        <f>IF($AE3837="",0,COUNTIFS(rl_key,Inputs!$J$111,$AF$3806:$AF$4045,$AF3837,$AE$3806:$AE$4045,"&lt;"&amp;$AE3837))</f>
        <v>0</v>
      </c>
      <c r="AL3837" s="55">
        <f>IF($AE3837="",0,COUNTIFS(Inputs!$J$80:$J$111,Inputs!$J$111,$AF$3806:$AF3837,$AF3837,$AE$3806:$AE3837,$AE3837))</f>
        <v>1</v>
      </c>
      <c r="AM3837" s="55">
        <f t="shared" si="1425"/>
        <v>1</v>
      </c>
    </row>
    <row r="3838" spans="1:39" x14ac:dyDescent="0.25">
      <c r="A3838" s="54">
        <f>IF(Inputs!$C$112="","",IF(Inputs!$E$112="planned",EDATE(Inputs!$C$112,N(INDEX(sc_shift,1))),Inputs!$C$112))</f>
        <v>46539</v>
      </c>
      <c r="B3838" s="54">
        <f t="shared" si="1414"/>
        <v>46539</v>
      </c>
      <c r="C3838" s="52">
        <f>IF(N(INDEX(sc_ach,1))=0,IF(Inputs!$G$112="",1,Inputs!$G$112),INDEX(sc_ach,1))</f>
        <v>1</v>
      </c>
      <c r="D3838" s="52">
        <f>IF(Inputs!$C$112="",0,IF(Inputs!$E$112="planned",(Inputs!$D$112+N(INDEX(sc_dpts,1)))*$C3838,Inputs!$D$112))</f>
        <v>0.04</v>
      </c>
      <c r="E3838" s="53">
        <f>IF(Inputs!$C$112="",0,IF(1+$D3838&gt;0,LN(1+$D3838),0))</f>
        <v>3.9220713153281329E-2</v>
      </c>
      <c r="F3838" s="55">
        <f t="shared" si="1415"/>
        <v>30</v>
      </c>
      <c r="G3838" s="55">
        <f>IF($A3838="",0,COUNTIFS(rl_key,Inputs!$J$112,$B$3806:$B$4045,$B3838,$A$3806:$A$4045,"&lt;"&amp;$A3838))</f>
        <v>0</v>
      </c>
      <c r="H3838" s="55">
        <f>IF($A3838="",0,COUNTIFS(Inputs!$J$80:$J$112,Inputs!$J$112,$B$3806:$B3838,$B3838,$A$3806:$A3838,$A3838))</f>
        <v>1</v>
      </c>
      <c r="I3838" s="55">
        <f t="shared" si="1416"/>
        <v>1</v>
      </c>
      <c r="K3838" s="54">
        <f>IF(Inputs!$C$112="","",IF(Inputs!$E$112="planned",EDATE(Inputs!$C$112,N(INDEX(sc_shift,2))),Inputs!$C$112))</f>
        <v>46539</v>
      </c>
      <c r="L3838" s="54">
        <f t="shared" si="1417"/>
        <v>46539</v>
      </c>
      <c r="M3838" s="52">
        <f>IF(N(INDEX(sc_ach,2))=0,IF(Inputs!$G$112="",1,Inputs!$G$112),INDEX(sc_ach,2))</f>
        <v>1</v>
      </c>
      <c r="N3838" s="52">
        <f>IF(Inputs!$C$112="",0,IF(Inputs!$E$112="planned",(Inputs!$D$112+N(INDEX(sc_dpts,2)))*$M3838,Inputs!$D$112))</f>
        <v>0.04</v>
      </c>
      <c r="O3838" s="53">
        <f>IF(Inputs!$C$112="",0,IF(1+$N3838&gt;0,LN(1+$N3838),0))</f>
        <v>3.9220713153281329E-2</v>
      </c>
      <c r="P3838" s="55">
        <f t="shared" si="1418"/>
        <v>30</v>
      </c>
      <c r="Q3838" s="55">
        <f>IF($K3838="",0,COUNTIFS(rl_key,Inputs!$J$112,$L$3806:$L$4045,$L3838,$K$3806:$K$4045,"&lt;"&amp;$K3838))</f>
        <v>0</v>
      </c>
      <c r="R3838" s="55">
        <f>IF($K3838="",0,COUNTIFS(Inputs!$J$80:$J$112,Inputs!$J$112,$L$3806:$L3838,$L3838,$K$3806:$K3838,$K3838))</f>
        <v>1</v>
      </c>
      <c r="S3838" s="55">
        <f t="shared" si="1419"/>
        <v>1</v>
      </c>
      <c r="U3838" s="54">
        <f>IF(Inputs!$C$112="","",IF(Inputs!$E$112="planned",EDATE(Inputs!$C$112,N(INDEX(sc_shift,3))),Inputs!$C$112))</f>
        <v>46539</v>
      </c>
      <c r="V3838" s="54">
        <f t="shared" si="1420"/>
        <v>46539</v>
      </c>
      <c r="W3838" s="52">
        <f>IF(N(INDEX(sc_ach,3))=0,IF(Inputs!$G$112="",1,Inputs!$G$112),INDEX(sc_ach,3))</f>
        <v>1</v>
      </c>
      <c r="X3838" s="52">
        <f>IF(Inputs!$C$112="",0,IF(Inputs!$E$112="planned",(Inputs!$D$112+N(INDEX(sc_dpts,3)))*$W3838,Inputs!$D$112))</f>
        <v>0.04</v>
      </c>
      <c r="Y3838" s="53">
        <f>IF(Inputs!$C$112="",0,IF(1+$X3838&gt;0,LN(1+$X3838),0))</f>
        <v>3.9220713153281329E-2</v>
      </c>
      <c r="Z3838" s="55">
        <f t="shared" si="1421"/>
        <v>30</v>
      </c>
      <c r="AA3838" s="55">
        <f>IF($U3838="",0,COUNTIFS(rl_key,Inputs!$J$112,$V$3806:$V$4045,$V3838,$U$3806:$U$4045,"&lt;"&amp;$U3838))</f>
        <v>0</v>
      </c>
      <c r="AB3838" s="55">
        <f>IF($U3838="",0,COUNTIFS(Inputs!$J$80:$J$112,Inputs!$J$112,$V$3806:$V3838,$V3838,$U$3806:$U3838,$U3838))</f>
        <v>1</v>
      </c>
      <c r="AC3838" s="55">
        <f t="shared" si="1422"/>
        <v>1</v>
      </c>
      <c r="AE3838" s="54">
        <f>IF(Inputs!$C$112="","",IF(Inputs!$E$112="planned",EDATE(Inputs!$C$112,N(INDEX(sc_shift,4))),Inputs!$C$112))</f>
        <v>46539</v>
      </c>
      <c r="AF3838" s="54">
        <f t="shared" si="1423"/>
        <v>46539</v>
      </c>
      <c r="AG3838" s="52">
        <f>IF(N(INDEX(sc_ach,4))=0,IF(Inputs!$G$112="",1,Inputs!$G$112),INDEX(sc_ach,4))</f>
        <v>1</v>
      </c>
      <c r="AH3838" s="52">
        <f>IF(Inputs!$C$112="",0,IF(Inputs!$E$112="planned",(Inputs!$D$112+N(INDEX(sc_dpts,4)))*$AG3838,Inputs!$D$112))</f>
        <v>0.04</v>
      </c>
      <c r="AI3838" s="53">
        <f>IF(Inputs!$C$112="",0,IF(1+$AH3838&gt;0,LN(1+$AH3838),0))</f>
        <v>3.9220713153281329E-2</v>
      </c>
      <c r="AJ3838" s="55">
        <f t="shared" si="1424"/>
        <v>30</v>
      </c>
      <c r="AK3838" s="55">
        <f>IF($AE3838="",0,COUNTIFS(rl_key,Inputs!$J$112,$AF$3806:$AF$4045,$AF3838,$AE$3806:$AE$4045,"&lt;"&amp;$AE3838))</f>
        <v>0</v>
      </c>
      <c r="AL3838" s="55">
        <f>IF($AE3838="",0,COUNTIFS(Inputs!$J$80:$J$112,Inputs!$J$112,$AF$3806:$AF3838,$AF3838,$AE$3806:$AE3838,$AE3838))</f>
        <v>1</v>
      </c>
      <c r="AM3838" s="55">
        <f t="shared" si="1425"/>
        <v>1</v>
      </c>
    </row>
    <row r="3839" spans="1:39" x14ac:dyDescent="0.25">
      <c r="A3839" s="54">
        <f>IF(Inputs!$C$113="","",IF(Inputs!$E$113="planned",EDATE(Inputs!$C$113,N(INDEX(sc_shift,1))),Inputs!$C$113))</f>
        <v>46113</v>
      </c>
      <c r="B3839" s="54">
        <f t="shared" si="1414"/>
        <v>46113</v>
      </c>
      <c r="C3839" s="52">
        <f>IF(N(INDEX(sc_ach,1))=0,IF(Inputs!$G$113="",1,Inputs!$G$113),INDEX(sc_ach,1))</f>
        <v>1</v>
      </c>
      <c r="D3839" s="52">
        <f>IF(Inputs!$C$113="",0,IF(Inputs!$E$113="planned",(Inputs!$D$113+N(INDEX(sc_dpts,1)))*$C3839,Inputs!$D$113))</f>
        <v>0.04</v>
      </c>
      <c r="E3839" s="53">
        <f>IF(Inputs!$C$113="",0,IF(1+$D3839&gt;0,LN(1+$D3839),0))</f>
        <v>3.9220713153281329E-2</v>
      </c>
      <c r="F3839" s="55">
        <f t="shared" si="1415"/>
        <v>30</v>
      </c>
      <c r="G3839" s="55">
        <f>IF($A3839="",0,COUNTIFS(rl_key,Inputs!$J$113,$B$3806:$B$4045,$B3839,$A$3806:$A$4045,"&lt;"&amp;$A3839))</f>
        <v>0</v>
      </c>
      <c r="H3839" s="55">
        <f>IF($A3839="",0,COUNTIFS(Inputs!$J$80:$J$113,Inputs!$J$113,$B$3806:$B3839,$B3839,$A$3806:$A3839,$A3839))</f>
        <v>1</v>
      </c>
      <c r="I3839" s="55">
        <f t="shared" si="1416"/>
        <v>1</v>
      </c>
      <c r="K3839" s="54">
        <f>IF(Inputs!$C$113="","",IF(Inputs!$E$113="planned",EDATE(Inputs!$C$113,N(INDEX(sc_shift,2))),Inputs!$C$113))</f>
        <v>46113</v>
      </c>
      <c r="L3839" s="54">
        <f t="shared" si="1417"/>
        <v>46113</v>
      </c>
      <c r="M3839" s="52">
        <f>IF(N(INDEX(sc_ach,2))=0,IF(Inputs!$G$113="",1,Inputs!$G$113),INDEX(sc_ach,2))</f>
        <v>1</v>
      </c>
      <c r="N3839" s="52">
        <f>IF(Inputs!$C$113="",0,IF(Inputs!$E$113="planned",(Inputs!$D$113+N(INDEX(sc_dpts,2)))*$M3839,Inputs!$D$113))</f>
        <v>0.04</v>
      </c>
      <c r="O3839" s="53">
        <f>IF(Inputs!$C$113="",0,IF(1+$N3839&gt;0,LN(1+$N3839),0))</f>
        <v>3.9220713153281329E-2</v>
      </c>
      <c r="P3839" s="55">
        <f t="shared" si="1418"/>
        <v>30</v>
      </c>
      <c r="Q3839" s="55">
        <f>IF($K3839="",0,COUNTIFS(rl_key,Inputs!$J$113,$L$3806:$L$4045,$L3839,$K$3806:$K$4045,"&lt;"&amp;$K3839))</f>
        <v>0</v>
      </c>
      <c r="R3839" s="55">
        <f>IF($K3839="",0,COUNTIFS(Inputs!$J$80:$J$113,Inputs!$J$113,$L$3806:$L3839,$L3839,$K$3806:$K3839,$K3839))</f>
        <v>1</v>
      </c>
      <c r="S3839" s="55">
        <f t="shared" si="1419"/>
        <v>1</v>
      </c>
      <c r="U3839" s="54">
        <f>IF(Inputs!$C$113="","",IF(Inputs!$E$113="planned",EDATE(Inputs!$C$113,N(INDEX(sc_shift,3))),Inputs!$C$113))</f>
        <v>46113</v>
      </c>
      <c r="V3839" s="54">
        <f t="shared" si="1420"/>
        <v>46113</v>
      </c>
      <c r="W3839" s="52">
        <f>IF(N(INDEX(sc_ach,3))=0,IF(Inputs!$G$113="",1,Inputs!$G$113),INDEX(sc_ach,3))</f>
        <v>1</v>
      </c>
      <c r="X3839" s="52">
        <f>IF(Inputs!$C$113="",0,IF(Inputs!$E$113="planned",(Inputs!$D$113+N(INDEX(sc_dpts,3)))*$W3839,Inputs!$D$113))</f>
        <v>0.04</v>
      </c>
      <c r="Y3839" s="53">
        <f>IF(Inputs!$C$113="",0,IF(1+$X3839&gt;0,LN(1+$X3839),0))</f>
        <v>3.9220713153281329E-2</v>
      </c>
      <c r="Z3839" s="55">
        <f t="shared" si="1421"/>
        <v>30</v>
      </c>
      <c r="AA3839" s="55">
        <f>IF($U3839="",0,COUNTIFS(rl_key,Inputs!$J$113,$V$3806:$V$4045,$V3839,$U$3806:$U$4045,"&lt;"&amp;$U3839))</f>
        <v>0</v>
      </c>
      <c r="AB3839" s="55">
        <f>IF($U3839="",0,COUNTIFS(Inputs!$J$80:$J$113,Inputs!$J$113,$V$3806:$V3839,$V3839,$U$3806:$U3839,$U3839))</f>
        <v>1</v>
      </c>
      <c r="AC3839" s="55">
        <f t="shared" si="1422"/>
        <v>1</v>
      </c>
      <c r="AE3839" s="54">
        <f>IF(Inputs!$C$113="","",IF(Inputs!$E$113="planned",EDATE(Inputs!$C$113,N(INDEX(sc_shift,4))),Inputs!$C$113))</f>
        <v>46113</v>
      </c>
      <c r="AF3839" s="54">
        <f t="shared" si="1423"/>
        <v>46113</v>
      </c>
      <c r="AG3839" s="52">
        <f>IF(N(INDEX(sc_ach,4))=0,IF(Inputs!$G$113="",1,Inputs!$G$113),INDEX(sc_ach,4))</f>
        <v>1</v>
      </c>
      <c r="AH3839" s="52">
        <f>IF(Inputs!$C$113="",0,IF(Inputs!$E$113="planned",(Inputs!$D$113+N(INDEX(sc_dpts,4)))*$AG3839,Inputs!$D$113))</f>
        <v>0.04</v>
      </c>
      <c r="AI3839" s="53">
        <f>IF(Inputs!$C$113="",0,IF(1+$AH3839&gt;0,LN(1+$AH3839),0))</f>
        <v>3.9220713153281329E-2</v>
      </c>
      <c r="AJ3839" s="55">
        <f t="shared" si="1424"/>
        <v>30</v>
      </c>
      <c r="AK3839" s="55">
        <f>IF($AE3839="",0,COUNTIFS(rl_key,Inputs!$J$113,$AF$3806:$AF$4045,$AF3839,$AE$3806:$AE$4045,"&lt;"&amp;$AE3839))</f>
        <v>0</v>
      </c>
      <c r="AL3839" s="55">
        <f>IF($AE3839="",0,COUNTIFS(Inputs!$J$80:$J$113,Inputs!$J$113,$AF$3806:$AF3839,$AF3839,$AE$3806:$AE3839,$AE3839))</f>
        <v>1</v>
      </c>
      <c r="AM3839" s="55">
        <f t="shared" si="1425"/>
        <v>1</v>
      </c>
    </row>
    <row r="3840" spans="1:39" x14ac:dyDescent="0.25">
      <c r="A3840" s="54">
        <f>IF(Inputs!$C$114="","",IF(Inputs!$E$114="planned",EDATE(Inputs!$C$114,N(INDEX(sc_shift,1))),Inputs!$C$114))</f>
        <v>46143</v>
      </c>
      <c r="B3840" s="54">
        <f t="shared" si="1414"/>
        <v>46143</v>
      </c>
      <c r="C3840" s="52">
        <f>IF(N(INDEX(sc_ach,1))=0,IF(Inputs!$G$114="",1,Inputs!$G$114),INDEX(sc_ach,1))</f>
        <v>1</v>
      </c>
      <c r="D3840" s="52">
        <f>IF(Inputs!$C$114="",0,IF(Inputs!$E$114="planned",(Inputs!$D$114+N(INDEX(sc_dpts,1)))*$C3840,Inputs!$D$114))</f>
        <v>0.05</v>
      </c>
      <c r="E3840" s="53">
        <f>IF(Inputs!$C$114="",0,IF(1+$D3840&gt;0,LN(1+$D3840),0))</f>
        <v>4.8790164169432049E-2</v>
      </c>
      <c r="F3840" s="55">
        <f t="shared" si="1415"/>
        <v>31</v>
      </c>
      <c r="G3840" s="55">
        <f>IF($A3840="",0,COUNTIFS(rl_key,Inputs!$J$114,$B$3806:$B$4045,$B3840,$A$3806:$A$4045,"&lt;"&amp;$A3840))</f>
        <v>0</v>
      </c>
      <c r="H3840" s="55">
        <f>IF($A3840="",0,COUNTIFS(Inputs!$J$80:$J$114,Inputs!$J$114,$B$3806:$B3840,$B3840,$A$3806:$A3840,$A3840))</f>
        <v>1</v>
      </c>
      <c r="I3840" s="55">
        <f t="shared" si="1416"/>
        <v>1</v>
      </c>
      <c r="K3840" s="54">
        <f>IF(Inputs!$C$114="","",IF(Inputs!$E$114="planned",EDATE(Inputs!$C$114,N(INDEX(sc_shift,2))),Inputs!$C$114))</f>
        <v>46143</v>
      </c>
      <c r="L3840" s="54">
        <f t="shared" si="1417"/>
        <v>46143</v>
      </c>
      <c r="M3840" s="52">
        <f>IF(N(INDEX(sc_ach,2))=0,IF(Inputs!$G$114="",1,Inputs!$G$114),INDEX(sc_ach,2))</f>
        <v>1</v>
      </c>
      <c r="N3840" s="52">
        <f>IF(Inputs!$C$114="",0,IF(Inputs!$E$114="planned",(Inputs!$D$114+N(INDEX(sc_dpts,2)))*$M3840,Inputs!$D$114))</f>
        <v>0.05</v>
      </c>
      <c r="O3840" s="53">
        <f>IF(Inputs!$C$114="",0,IF(1+$N3840&gt;0,LN(1+$N3840),0))</f>
        <v>4.8790164169432049E-2</v>
      </c>
      <c r="P3840" s="55">
        <f t="shared" si="1418"/>
        <v>31</v>
      </c>
      <c r="Q3840" s="55">
        <f>IF($K3840="",0,COUNTIFS(rl_key,Inputs!$J$114,$L$3806:$L$4045,$L3840,$K$3806:$K$4045,"&lt;"&amp;$K3840))</f>
        <v>0</v>
      </c>
      <c r="R3840" s="55">
        <f>IF($K3840="",0,COUNTIFS(Inputs!$J$80:$J$114,Inputs!$J$114,$L$3806:$L3840,$L3840,$K$3806:$K3840,$K3840))</f>
        <v>1</v>
      </c>
      <c r="S3840" s="55">
        <f t="shared" si="1419"/>
        <v>1</v>
      </c>
      <c r="U3840" s="54">
        <f>IF(Inputs!$C$114="","",IF(Inputs!$E$114="planned",EDATE(Inputs!$C$114,N(INDEX(sc_shift,3))),Inputs!$C$114))</f>
        <v>46143</v>
      </c>
      <c r="V3840" s="54">
        <f t="shared" si="1420"/>
        <v>46143</v>
      </c>
      <c r="W3840" s="52">
        <f>IF(N(INDEX(sc_ach,3))=0,IF(Inputs!$G$114="",1,Inputs!$G$114),INDEX(sc_ach,3))</f>
        <v>1</v>
      </c>
      <c r="X3840" s="52">
        <f>IF(Inputs!$C$114="",0,IF(Inputs!$E$114="planned",(Inputs!$D$114+N(INDEX(sc_dpts,3)))*$W3840,Inputs!$D$114))</f>
        <v>0.05</v>
      </c>
      <c r="Y3840" s="53">
        <f>IF(Inputs!$C$114="",0,IF(1+$X3840&gt;0,LN(1+$X3840),0))</f>
        <v>4.8790164169432049E-2</v>
      </c>
      <c r="Z3840" s="55">
        <f t="shared" si="1421"/>
        <v>31</v>
      </c>
      <c r="AA3840" s="55">
        <f>IF($U3840="",0,COUNTIFS(rl_key,Inputs!$J$114,$V$3806:$V$4045,$V3840,$U$3806:$U$4045,"&lt;"&amp;$U3840))</f>
        <v>0</v>
      </c>
      <c r="AB3840" s="55">
        <f>IF($U3840="",0,COUNTIFS(Inputs!$J$80:$J$114,Inputs!$J$114,$V$3806:$V3840,$V3840,$U$3806:$U3840,$U3840))</f>
        <v>1</v>
      </c>
      <c r="AC3840" s="55">
        <f t="shared" si="1422"/>
        <v>1</v>
      </c>
      <c r="AE3840" s="54">
        <f>IF(Inputs!$C$114="","",IF(Inputs!$E$114="planned",EDATE(Inputs!$C$114,N(INDEX(sc_shift,4))),Inputs!$C$114))</f>
        <v>46143</v>
      </c>
      <c r="AF3840" s="54">
        <f t="shared" si="1423"/>
        <v>46143</v>
      </c>
      <c r="AG3840" s="52">
        <f>IF(N(INDEX(sc_ach,4))=0,IF(Inputs!$G$114="",1,Inputs!$G$114),INDEX(sc_ach,4))</f>
        <v>1</v>
      </c>
      <c r="AH3840" s="52">
        <f>IF(Inputs!$C$114="",0,IF(Inputs!$E$114="planned",(Inputs!$D$114+N(INDEX(sc_dpts,4)))*$AG3840,Inputs!$D$114))</f>
        <v>0.05</v>
      </c>
      <c r="AI3840" s="53">
        <f>IF(Inputs!$C$114="",0,IF(1+$AH3840&gt;0,LN(1+$AH3840),0))</f>
        <v>4.8790164169432049E-2</v>
      </c>
      <c r="AJ3840" s="55">
        <f t="shared" si="1424"/>
        <v>31</v>
      </c>
      <c r="AK3840" s="55">
        <f>IF($AE3840="",0,COUNTIFS(rl_key,Inputs!$J$114,$AF$3806:$AF$4045,$AF3840,$AE$3806:$AE$4045,"&lt;"&amp;$AE3840))</f>
        <v>0</v>
      </c>
      <c r="AL3840" s="55">
        <f>IF($AE3840="",0,COUNTIFS(Inputs!$J$80:$J$114,Inputs!$J$114,$AF$3806:$AF3840,$AF3840,$AE$3806:$AE3840,$AE3840))</f>
        <v>1</v>
      </c>
      <c r="AM3840" s="55">
        <f t="shared" si="1425"/>
        <v>1</v>
      </c>
    </row>
    <row r="3841" spans="1:39" x14ac:dyDescent="0.25">
      <c r="A3841" s="54">
        <f>IF(Inputs!$C$115="","",IF(Inputs!$E$115="planned",EDATE(Inputs!$C$115,N(INDEX(sc_shift,1))),Inputs!$C$115))</f>
        <v>46661</v>
      </c>
      <c r="B3841" s="54">
        <f t="shared" si="1414"/>
        <v>46661</v>
      </c>
      <c r="C3841" s="52">
        <f>IF(N(INDEX(sc_ach,1))=0,IF(Inputs!$G$115="",1,Inputs!$G$115),INDEX(sc_ach,1))</f>
        <v>1</v>
      </c>
      <c r="D3841" s="52">
        <f>IF(Inputs!$C$115="",0,IF(Inputs!$E$115="planned",(Inputs!$D$115+N(INDEX(sc_dpts,1)))*$C3841,Inputs!$D$115))</f>
        <v>0.04</v>
      </c>
      <c r="E3841" s="53">
        <f>IF(Inputs!$C$115="",0,IF(1+$D3841&gt;0,LN(1+$D3841),0))</f>
        <v>3.9220713153281329E-2</v>
      </c>
      <c r="F3841" s="55">
        <f t="shared" si="1415"/>
        <v>31</v>
      </c>
      <c r="G3841" s="55">
        <f>IF($A3841="",0,COUNTIFS(rl_key,Inputs!$J$115,$B$3806:$B$4045,$B3841,$A$3806:$A$4045,"&lt;"&amp;$A3841))</f>
        <v>0</v>
      </c>
      <c r="H3841" s="55">
        <f>IF($A3841="",0,COUNTIFS(Inputs!$J$80:$J$115,Inputs!$J$115,$B$3806:$B3841,$B3841,$A$3806:$A3841,$A3841))</f>
        <v>1</v>
      </c>
      <c r="I3841" s="55">
        <f t="shared" si="1416"/>
        <v>1</v>
      </c>
      <c r="K3841" s="54">
        <f>IF(Inputs!$C$115="","",IF(Inputs!$E$115="planned",EDATE(Inputs!$C$115,N(INDEX(sc_shift,2))),Inputs!$C$115))</f>
        <v>46661</v>
      </c>
      <c r="L3841" s="54">
        <f t="shared" si="1417"/>
        <v>46661</v>
      </c>
      <c r="M3841" s="52">
        <f>IF(N(INDEX(sc_ach,2))=0,IF(Inputs!$G$115="",1,Inputs!$G$115),INDEX(sc_ach,2))</f>
        <v>1</v>
      </c>
      <c r="N3841" s="52">
        <f>IF(Inputs!$C$115="",0,IF(Inputs!$E$115="planned",(Inputs!$D$115+N(INDEX(sc_dpts,2)))*$M3841,Inputs!$D$115))</f>
        <v>0.04</v>
      </c>
      <c r="O3841" s="53">
        <f>IF(Inputs!$C$115="",0,IF(1+$N3841&gt;0,LN(1+$N3841),0))</f>
        <v>3.9220713153281329E-2</v>
      </c>
      <c r="P3841" s="55">
        <f t="shared" si="1418"/>
        <v>31</v>
      </c>
      <c r="Q3841" s="55">
        <f>IF($K3841="",0,COUNTIFS(rl_key,Inputs!$J$115,$L$3806:$L$4045,$L3841,$K$3806:$K$4045,"&lt;"&amp;$K3841))</f>
        <v>0</v>
      </c>
      <c r="R3841" s="55">
        <f>IF($K3841="",0,COUNTIFS(Inputs!$J$80:$J$115,Inputs!$J$115,$L$3806:$L3841,$L3841,$K$3806:$K3841,$K3841))</f>
        <v>1</v>
      </c>
      <c r="S3841" s="55">
        <f t="shared" si="1419"/>
        <v>1</v>
      </c>
      <c r="U3841" s="54">
        <f>IF(Inputs!$C$115="","",IF(Inputs!$E$115="planned",EDATE(Inputs!$C$115,N(INDEX(sc_shift,3))),Inputs!$C$115))</f>
        <v>46661</v>
      </c>
      <c r="V3841" s="54">
        <f t="shared" si="1420"/>
        <v>46661</v>
      </c>
      <c r="W3841" s="52">
        <f>IF(N(INDEX(sc_ach,3))=0,IF(Inputs!$G$115="",1,Inputs!$G$115),INDEX(sc_ach,3))</f>
        <v>1</v>
      </c>
      <c r="X3841" s="52">
        <f>IF(Inputs!$C$115="",0,IF(Inputs!$E$115="planned",(Inputs!$D$115+N(INDEX(sc_dpts,3)))*$W3841,Inputs!$D$115))</f>
        <v>0.04</v>
      </c>
      <c r="Y3841" s="53">
        <f>IF(Inputs!$C$115="",0,IF(1+$X3841&gt;0,LN(1+$X3841),0))</f>
        <v>3.9220713153281329E-2</v>
      </c>
      <c r="Z3841" s="55">
        <f t="shared" si="1421"/>
        <v>31</v>
      </c>
      <c r="AA3841" s="55">
        <f>IF($U3841="",0,COUNTIFS(rl_key,Inputs!$J$115,$V$3806:$V$4045,$V3841,$U$3806:$U$4045,"&lt;"&amp;$U3841))</f>
        <v>0</v>
      </c>
      <c r="AB3841" s="55">
        <f>IF($U3841="",0,COUNTIFS(Inputs!$J$80:$J$115,Inputs!$J$115,$V$3806:$V3841,$V3841,$U$3806:$U3841,$U3841))</f>
        <v>1</v>
      </c>
      <c r="AC3841" s="55">
        <f t="shared" si="1422"/>
        <v>1</v>
      </c>
      <c r="AE3841" s="54">
        <f>IF(Inputs!$C$115="","",IF(Inputs!$E$115="planned",EDATE(Inputs!$C$115,N(INDEX(sc_shift,4))),Inputs!$C$115))</f>
        <v>46661</v>
      </c>
      <c r="AF3841" s="54">
        <f t="shared" si="1423"/>
        <v>46661</v>
      </c>
      <c r="AG3841" s="52">
        <f>IF(N(INDEX(sc_ach,4))=0,IF(Inputs!$G$115="",1,Inputs!$G$115),INDEX(sc_ach,4))</f>
        <v>1</v>
      </c>
      <c r="AH3841" s="52">
        <f>IF(Inputs!$C$115="",0,IF(Inputs!$E$115="planned",(Inputs!$D$115+N(INDEX(sc_dpts,4)))*$AG3841,Inputs!$D$115))</f>
        <v>0.04</v>
      </c>
      <c r="AI3841" s="53">
        <f>IF(Inputs!$C$115="",0,IF(1+$AH3841&gt;0,LN(1+$AH3841),0))</f>
        <v>3.9220713153281329E-2</v>
      </c>
      <c r="AJ3841" s="55">
        <f t="shared" si="1424"/>
        <v>31</v>
      </c>
      <c r="AK3841" s="55">
        <f>IF($AE3841="",0,COUNTIFS(rl_key,Inputs!$J$115,$AF$3806:$AF$4045,$AF3841,$AE$3806:$AE$4045,"&lt;"&amp;$AE3841))</f>
        <v>0</v>
      </c>
      <c r="AL3841" s="55">
        <f>IF($AE3841="",0,COUNTIFS(Inputs!$J$80:$J$115,Inputs!$J$115,$AF$3806:$AF3841,$AF3841,$AE$3806:$AE3841,$AE3841))</f>
        <v>1</v>
      </c>
      <c r="AM3841" s="55">
        <f t="shared" si="1425"/>
        <v>1</v>
      </c>
    </row>
    <row r="3842" spans="1:39" x14ac:dyDescent="0.25">
      <c r="A3842" s="54">
        <f>IF(Inputs!$C$116="","",IF(Inputs!$E$116="planned",EDATE(Inputs!$C$116,N(INDEX(sc_shift,1))),Inputs!$C$116))</f>
        <v>46204</v>
      </c>
      <c r="B3842" s="54">
        <f t="shared" si="1414"/>
        <v>46204</v>
      </c>
      <c r="C3842" s="52">
        <f>IF(N(INDEX(sc_ach,1))=0,IF(Inputs!$G$116="",1,Inputs!$G$116),INDEX(sc_ach,1))</f>
        <v>1</v>
      </c>
      <c r="D3842" s="52">
        <f>IF(Inputs!$C$116="",0,IF(Inputs!$E$116="planned",(Inputs!$D$116+N(INDEX(sc_dpts,1)))*$C3842,Inputs!$D$116))</f>
        <v>0.02</v>
      </c>
      <c r="E3842" s="53">
        <f>IF(Inputs!$C$116="",0,IF(1+$D3842&gt;0,LN(1+$D3842),0))</f>
        <v>1.980262729617973E-2</v>
      </c>
      <c r="F3842" s="55">
        <f t="shared" si="1415"/>
        <v>31</v>
      </c>
      <c r="G3842" s="55">
        <f>IF($A3842="",0,COUNTIFS(rl_key,Inputs!$J$116,$B$3806:$B$4045,$B3842,$A$3806:$A$4045,"&lt;"&amp;$A3842))</f>
        <v>0</v>
      </c>
      <c r="H3842" s="55">
        <f>IF($A3842="",0,COUNTIFS(Inputs!$J$80:$J$116,Inputs!$J$116,$B$3806:$B3842,$B3842,$A$3806:$A3842,$A3842))</f>
        <v>1</v>
      </c>
      <c r="I3842" s="55">
        <f t="shared" si="1416"/>
        <v>1</v>
      </c>
      <c r="K3842" s="54">
        <f>IF(Inputs!$C$116="","",IF(Inputs!$E$116="planned",EDATE(Inputs!$C$116,N(INDEX(sc_shift,2))),Inputs!$C$116))</f>
        <v>46204</v>
      </c>
      <c r="L3842" s="54">
        <f t="shared" si="1417"/>
        <v>46204</v>
      </c>
      <c r="M3842" s="52">
        <f>IF(N(INDEX(sc_ach,2))=0,IF(Inputs!$G$116="",1,Inputs!$G$116),INDEX(sc_ach,2))</f>
        <v>1</v>
      </c>
      <c r="N3842" s="52">
        <f>IF(Inputs!$C$116="",0,IF(Inputs!$E$116="planned",(Inputs!$D$116+N(INDEX(sc_dpts,2)))*$M3842,Inputs!$D$116))</f>
        <v>0.02</v>
      </c>
      <c r="O3842" s="53">
        <f>IF(Inputs!$C$116="",0,IF(1+$N3842&gt;0,LN(1+$N3842),0))</f>
        <v>1.980262729617973E-2</v>
      </c>
      <c r="P3842" s="55">
        <f t="shared" si="1418"/>
        <v>31</v>
      </c>
      <c r="Q3842" s="55">
        <f>IF($K3842="",0,COUNTIFS(rl_key,Inputs!$J$116,$L$3806:$L$4045,$L3842,$K$3806:$K$4045,"&lt;"&amp;$K3842))</f>
        <v>0</v>
      </c>
      <c r="R3842" s="55">
        <f>IF($K3842="",0,COUNTIFS(Inputs!$J$80:$J$116,Inputs!$J$116,$L$3806:$L3842,$L3842,$K$3806:$K3842,$K3842))</f>
        <v>1</v>
      </c>
      <c r="S3842" s="55">
        <f t="shared" si="1419"/>
        <v>1</v>
      </c>
      <c r="U3842" s="54">
        <f>IF(Inputs!$C$116="","",IF(Inputs!$E$116="planned",EDATE(Inputs!$C$116,N(INDEX(sc_shift,3))),Inputs!$C$116))</f>
        <v>46204</v>
      </c>
      <c r="V3842" s="54">
        <f t="shared" si="1420"/>
        <v>46204</v>
      </c>
      <c r="W3842" s="52">
        <f>IF(N(INDEX(sc_ach,3))=0,IF(Inputs!$G$116="",1,Inputs!$G$116),INDEX(sc_ach,3))</f>
        <v>1</v>
      </c>
      <c r="X3842" s="52">
        <f>IF(Inputs!$C$116="",0,IF(Inputs!$E$116="planned",(Inputs!$D$116+N(INDEX(sc_dpts,3)))*$W3842,Inputs!$D$116))</f>
        <v>0.02</v>
      </c>
      <c r="Y3842" s="53">
        <f>IF(Inputs!$C$116="",0,IF(1+$X3842&gt;0,LN(1+$X3842),0))</f>
        <v>1.980262729617973E-2</v>
      </c>
      <c r="Z3842" s="55">
        <f t="shared" si="1421"/>
        <v>31</v>
      </c>
      <c r="AA3842" s="55">
        <f>IF($U3842="",0,COUNTIFS(rl_key,Inputs!$J$116,$V$3806:$V$4045,$V3842,$U$3806:$U$4045,"&lt;"&amp;$U3842))</f>
        <v>0</v>
      </c>
      <c r="AB3842" s="55">
        <f>IF($U3842="",0,COUNTIFS(Inputs!$J$80:$J$116,Inputs!$J$116,$V$3806:$V3842,$V3842,$U$3806:$U3842,$U3842))</f>
        <v>1</v>
      </c>
      <c r="AC3842" s="55">
        <f t="shared" si="1422"/>
        <v>1</v>
      </c>
      <c r="AE3842" s="54">
        <f>IF(Inputs!$C$116="","",IF(Inputs!$E$116="planned",EDATE(Inputs!$C$116,N(INDEX(sc_shift,4))),Inputs!$C$116))</f>
        <v>46204</v>
      </c>
      <c r="AF3842" s="54">
        <f t="shared" si="1423"/>
        <v>46204</v>
      </c>
      <c r="AG3842" s="52">
        <f>IF(N(INDEX(sc_ach,4))=0,IF(Inputs!$G$116="",1,Inputs!$G$116),INDEX(sc_ach,4))</f>
        <v>1</v>
      </c>
      <c r="AH3842" s="52">
        <f>IF(Inputs!$C$116="",0,IF(Inputs!$E$116="planned",(Inputs!$D$116+N(INDEX(sc_dpts,4)))*$AG3842,Inputs!$D$116))</f>
        <v>0.02</v>
      </c>
      <c r="AI3842" s="53">
        <f>IF(Inputs!$C$116="",0,IF(1+$AH3842&gt;0,LN(1+$AH3842),0))</f>
        <v>1.980262729617973E-2</v>
      </c>
      <c r="AJ3842" s="55">
        <f t="shared" si="1424"/>
        <v>31</v>
      </c>
      <c r="AK3842" s="55">
        <f>IF($AE3842="",0,COUNTIFS(rl_key,Inputs!$J$116,$AF$3806:$AF$4045,$AF3842,$AE$3806:$AE$4045,"&lt;"&amp;$AE3842))</f>
        <v>0</v>
      </c>
      <c r="AL3842" s="55">
        <f>IF($AE3842="",0,COUNTIFS(Inputs!$J$80:$J$116,Inputs!$J$116,$AF$3806:$AF3842,$AF3842,$AE$3806:$AE3842,$AE3842))</f>
        <v>1</v>
      </c>
      <c r="AM3842" s="55">
        <f t="shared" si="1425"/>
        <v>1</v>
      </c>
    </row>
    <row r="3843" spans="1:39" x14ac:dyDescent="0.25">
      <c r="A3843" s="54">
        <f>IF(Inputs!$C$117="","",IF(Inputs!$E$117="planned",EDATE(Inputs!$C$117,N(INDEX(sc_shift,1))),Inputs!$C$117))</f>
        <v>46235</v>
      </c>
      <c r="B3843" s="54">
        <f t="shared" si="1414"/>
        <v>46235</v>
      </c>
      <c r="C3843" s="52">
        <f>IF(N(INDEX(sc_ach,1))=0,IF(Inputs!$G$117="",1,Inputs!$G$117),INDEX(sc_ach,1))</f>
        <v>1</v>
      </c>
      <c r="D3843" s="52">
        <f>IF(Inputs!$C$117="",0,IF(Inputs!$E$117="planned",(Inputs!$D$117+N(INDEX(sc_dpts,1)))*$C3843,Inputs!$D$117))</f>
        <v>0.03</v>
      </c>
      <c r="E3843" s="53">
        <f>IF(Inputs!$C$117="",0,IF(1+$D3843&gt;0,LN(1+$D3843),0))</f>
        <v>2.9558802241544429E-2</v>
      </c>
      <c r="F3843" s="55">
        <f t="shared" si="1415"/>
        <v>31</v>
      </c>
      <c r="G3843" s="55">
        <f>IF($A3843="",0,COUNTIFS(rl_key,Inputs!$J$117,$B$3806:$B$4045,$B3843,$A$3806:$A$4045,"&lt;"&amp;$A3843))</f>
        <v>0</v>
      </c>
      <c r="H3843" s="55">
        <f>IF($A3843="",0,COUNTIFS(Inputs!$J$80:$J$117,Inputs!$J$117,$B$3806:$B3843,$B3843,$A$3806:$A3843,$A3843))</f>
        <v>1</v>
      </c>
      <c r="I3843" s="55">
        <f t="shared" si="1416"/>
        <v>1</v>
      </c>
      <c r="K3843" s="54">
        <f>IF(Inputs!$C$117="","",IF(Inputs!$E$117="planned",EDATE(Inputs!$C$117,N(INDEX(sc_shift,2))),Inputs!$C$117))</f>
        <v>46235</v>
      </c>
      <c r="L3843" s="54">
        <f t="shared" si="1417"/>
        <v>46235</v>
      </c>
      <c r="M3843" s="52">
        <f>IF(N(INDEX(sc_ach,2))=0,IF(Inputs!$G$117="",1,Inputs!$G$117),INDEX(sc_ach,2))</f>
        <v>1</v>
      </c>
      <c r="N3843" s="52">
        <f>IF(Inputs!$C$117="",0,IF(Inputs!$E$117="planned",(Inputs!$D$117+N(INDEX(sc_dpts,2)))*$M3843,Inputs!$D$117))</f>
        <v>0.03</v>
      </c>
      <c r="O3843" s="53">
        <f>IF(Inputs!$C$117="",0,IF(1+$N3843&gt;0,LN(1+$N3843),0))</f>
        <v>2.9558802241544429E-2</v>
      </c>
      <c r="P3843" s="55">
        <f t="shared" si="1418"/>
        <v>31</v>
      </c>
      <c r="Q3843" s="55">
        <f>IF($K3843="",0,COUNTIFS(rl_key,Inputs!$J$117,$L$3806:$L$4045,$L3843,$K$3806:$K$4045,"&lt;"&amp;$K3843))</f>
        <v>0</v>
      </c>
      <c r="R3843" s="55">
        <f>IF($K3843="",0,COUNTIFS(Inputs!$J$80:$J$117,Inputs!$J$117,$L$3806:$L3843,$L3843,$K$3806:$K3843,$K3843))</f>
        <v>1</v>
      </c>
      <c r="S3843" s="55">
        <f t="shared" si="1419"/>
        <v>1</v>
      </c>
      <c r="U3843" s="54">
        <f>IF(Inputs!$C$117="","",IF(Inputs!$E$117="planned",EDATE(Inputs!$C$117,N(INDEX(sc_shift,3))),Inputs!$C$117))</f>
        <v>46235</v>
      </c>
      <c r="V3843" s="54">
        <f t="shared" si="1420"/>
        <v>46235</v>
      </c>
      <c r="W3843" s="52">
        <f>IF(N(INDEX(sc_ach,3))=0,IF(Inputs!$G$117="",1,Inputs!$G$117),INDEX(sc_ach,3))</f>
        <v>1</v>
      </c>
      <c r="X3843" s="52">
        <f>IF(Inputs!$C$117="",0,IF(Inputs!$E$117="planned",(Inputs!$D$117+N(INDEX(sc_dpts,3)))*$W3843,Inputs!$D$117))</f>
        <v>0.03</v>
      </c>
      <c r="Y3843" s="53">
        <f>IF(Inputs!$C$117="",0,IF(1+$X3843&gt;0,LN(1+$X3843),0))</f>
        <v>2.9558802241544429E-2</v>
      </c>
      <c r="Z3843" s="55">
        <f t="shared" si="1421"/>
        <v>31</v>
      </c>
      <c r="AA3843" s="55">
        <f>IF($U3843="",0,COUNTIFS(rl_key,Inputs!$J$117,$V$3806:$V$4045,$V3843,$U$3806:$U$4045,"&lt;"&amp;$U3843))</f>
        <v>0</v>
      </c>
      <c r="AB3843" s="55">
        <f>IF($U3843="",0,COUNTIFS(Inputs!$J$80:$J$117,Inputs!$J$117,$V$3806:$V3843,$V3843,$U$3806:$U3843,$U3843))</f>
        <v>1</v>
      </c>
      <c r="AC3843" s="55">
        <f t="shared" si="1422"/>
        <v>1</v>
      </c>
      <c r="AE3843" s="54">
        <f>IF(Inputs!$C$117="","",IF(Inputs!$E$117="planned",EDATE(Inputs!$C$117,N(INDEX(sc_shift,4))),Inputs!$C$117))</f>
        <v>46235</v>
      </c>
      <c r="AF3843" s="54">
        <f t="shared" si="1423"/>
        <v>46235</v>
      </c>
      <c r="AG3843" s="52">
        <f>IF(N(INDEX(sc_ach,4))=0,IF(Inputs!$G$117="",1,Inputs!$G$117),INDEX(sc_ach,4))</f>
        <v>1</v>
      </c>
      <c r="AH3843" s="52">
        <f>IF(Inputs!$C$117="",0,IF(Inputs!$E$117="planned",(Inputs!$D$117+N(INDEX(sc_dpts,4)))*$AG3843,Inputs!$D$117))</f>
        <v>0.03</v>
      </c>
      <c r="AI3843" s="53">
        <f>IF(Inputs!$C$117="",0,IF(1+$AH3843&gt;0,LN(1+$AH3843),0))</f>
        <v>2.9558802241544429E-2</v>
      </c>
      <c r="AJ3843" s="55">
        <f t="shared" si="1424"/>
        <v>31</v>
      </c>
      <c r="AK3843" s="55">
        <f>IF($AE3843="",0,COUNTIFS(rl_key,Inputs!$J$117,$AF$3806:$AF$4045,$AF3843,$AE$3806:$AE$4045,"&lt;"&amp;$AE3843))</f>
        <v>0</v>
      </c>
      <c r="AL3843" s="55">
        <f>IF($AE3843="",0,COUNTIFS(Inputs!$J$80:$J$117,Inputs!$J$117,$AF$3806:$AF3843,$AF3843,$AE$3806:$AE3843,$AE3843))</f>
        <v>1</v>
      </c>
      <c r="AM3843" s="55">
        <f t="shared" si="1425"/>
        <v>1</v>
      </c>
    </row>
    <row r="3844" spans="1:39" x14ac:dyDescent="0.25">
      <c r="A3844" s="54">
        <f>IF(Inputs!$C$118="","",IF(Inputs!$E$118="planned",EDATE(Inputs!$C$118,N(INDEX(sc_shift,1))),Inputs!$C$118))</f>
        <v>46296</v>
      </c>
      <c r="B3844" s="54">
        <f t="shared" si="1414"/>
        <v>46296</v>
      </c>
      <c r="C3844" s="52">
        <f>IF(N(INDEX(sc_ach,1))=0,IF(Inputs!$G$118="",1,Inputs!$G$118),INDEX(sc_ach,1))</f>
        <v>1</v>
      </c>
      <c r="D3844" s="52">
        <f>IF(Inputs!$C$118="",0,IF(Inputs!$E$118="planned",(Inputs!$D$118+N(INDEX(sc_dpts,1)))*$C3844,Inputs!$D$118))</f>
        <v>0.05</v>
      </c>
      <c r="E3844" s="53">
        <f>IF(Inputs!$C$118="",0,IF(1+$D3844&gt;0,LN(1+$D3844),0))</f>
        <v>4.8790164169432049E-2</v>
      </c>
      <c r="F3844" s="55">
        <f t="shared" si="1415"/>
        <v>31</v>
      </c>
      <c r="G3844" s="55">
        <f>IF($A3844="",0,COUNTIFS(rl_key,Inputs!$J$118,$B$3806:$B$4045,$B3844,$A$3806:$A$4045,"&lt;"&amp;$A3844))</f>
        <v>0</v>
      </c>
      <c r="H3844" s="55">
        <f>IF($A3844="",0,COUNTIFS(Inputs!$J$80:$J$118,Inputs!$J$118,$B$3806:$B3844,$B3844,$A$3806:$A3844,$A3844))</f>
        <v>1</v>
      </c>
      <c r="I3844" s="55">
        <f t="shared" si="1416"/>
        <v>1</v>
      </c>
      <c r="K3844" s="54">
        <f>IF(Inputs!$C$118="","",IF(Inputs!$E$118="planned",EDATE(Inputs!$C$118,N(INDEX(sc_shift,2))),Inputs!$C$118))</f>
        <v>46296</v>
      </c>
      <c r="L3844" s="54">
        <f t="shared" si="1417"/>
        <v>46296</v>
      </c>
      <c r="M3844" s="52">
        <f>IF(N(INDEX(sc_ach,2))=0,IF(Inputs!$G$118="",1,Inputs!$G$118),INDEX(sc_ach,2))</f>
        <v>1</v>
      </c>
      <c r="N3844" s="52">
        <f>IF(Inputs!$C$118="",0,IF(Inputs!$E$118="planned",(Inputs!$D$118+N(INDEX(sc_dpts,2)))*$M3844,Inputs!$D$118))</f>
        <v>0.05</v>
      </c>
      <c r="O3844" s="53">
        <f>IF(Inputs!$C$118="",0,IF(1+$N3844&gt;0,LN(1+$N3844),0))</f>
        <v>4.8790164169432049E-2</v>
      </c>
      <c r="P3844" s="55">
        <f t="shared" si="1418"/>
        <v>31</v>
      </c>
      <c r="Q3844" s="55">
        <f>IF($K3844="",0,COUNTIFS(rl_key,Inputs!$J$118,$L$3806:$L$4045,$L3844,$K$3806:$K$4045,"&lt;"&amp;$K3844))</f>
        <v>0</v>
      </c>
      <c r="R3844" s="55">
        <f>IF($K3844="",0,COUNTIFS(Inputs!$J$80:$J$118,Inputs!$J$118,$L$3806:$L3844,$L3844,$K$3806:$K3844,$K3844))</f>
        <v>1</v>
      </c>
      <c r="S3844" s="55">
        <f t="shared" si="1419"/>
        <v>1</v>
      </c>
      <c r="U3844" s="54">
        <f>IF(Inputs!$C$118="","",IF(Inputs!$E$118="planned",EDATE(Inputs!$C$118,N(INDEX(sc_shift,3))),Inputs!$C$118))</f>
        <v>46296</v>
      </c>
      <c r="V3844" s="54">
        <f t="shared" si="1420"/>
        <v>46296</v>
      </c>
      <c r="W3844" s="52">
        <f>IF(N(INDEX(sc_ach,3))=0,IF(Inputs!$G$118="",1,Inputs!$G$118),INDEX(sc_ach,3))</f>
        <v>1</v>
      </c>
      <c r="X3844" s="52">
        <f>IF(Inputs!$C$118="",0,IF(Inputs!$E$118="planned",(Inputs!$D$118+N(INDEX(sc_dpts,3)))*$W3844,Inputs!$D$118))</f>
        <v>0.05</v>
      </c>
      <c r="Y3844" s="53">
        <f>IF(Inputs!$C$118="",0,IF(1+$X3844&gt;0,LN(1+$X3844),0))</f>
        <v>4.8790164169432049E-2</v>
      </c>
      <c r="Z3844" s="55">
        <f t="shared" si="1421"/>
        <v>31</v>
      </c>
      <c r="AA3844" s="55">
        <f>IF($U3844="",0,COUNTIFS(rl_key,Inputs!$J$118,$V$3806:$V$4045,$V3844,$U$3806:$U$4045,"&lt;"&amp;$U3844))</f>
        <v>0</v>
      </c>
      <c r="AB3844" s="55">
        <f>IF($U3844="",0,COUNTIFS(Inputs!$J$80:$J$118,Inputs!$J$118,$V$3806:$V3844,$V3844,$U$3806:$U3844,$U3844))</f>
        <v>1</v>
      </c>
      <c r="AC3844" s="55">
        <f t="shared" si="1422"/>
        <v>1</v>
      </c>
      <c r="AE3844" s="54">
        <f>IF(Inputs!$C$118="","",IF(Inputs!$E$118="planned",EDATE(Inputs!$C$118,N(INDEX(sc_shift,4))),Inputs!$C$118))</f>
        <v>46296</v>
      </c>
      <c r="AF3844" s="54">
        <f t="shared" si="1423"/>
        <v>46296</v>
      </c>
      <c r="AG3844" s="52">
        <f>IF(N(INDEX(sc_ach,4))=0,IF(Inputs!$G$118="",1,Inputs!$G$118),INDEX(sc_ach,4))</f>
        <v>1</v>
      </c>
      <c r="AH3844" s="52">
        <f>IF(Inputs!$C$118="",0,IF(Inputs!$E$118="planned",(Inputs!$D$118+N(INDEX(sc_dpts,4)))*$AG3844,Inputs!$D$118))</f>
        <v>0.05</v>
      </c>
      <c r="AI3844" s="53">
        <f>IF(Inputs!$C$118="",0,IF(1+$AH3844&gt;0,LN(1+$AH3844),0))</f>
        <v>4.8790164169432049E-2</v>
      </c>
      <c r="AJ3844" s="55">
        <f t="shared" si="1424"/>
        <v>31</v>
      </c>
      <c r="AK3844" s="55">
        <f>IF($AE3844="",0,COUNTIFS(rl_key,Inputs!$J$118,$AF$3806:$AF$4045,$AF3844,$AE$3806:$AE$4045,"&lt;"&amp;$AE3844))</f>
        <v>0</v>
      </c>
      <c r="AL3844" s="55">
        <f>IF($AE3844="",0,COUNTIFS(Inputs!$J$80:$J$118,Inputs!$J$118,$AF$3806:$AF3844,$AF3844,$AE$3806:$AE3844,$AE3844))</f>
        <v>1</v>
      </c>
      <c r="AM3844" s="55">
        <f t="shared" si="1425"/>
        <v>1</v>
      </c>
    </row>
    <row r="3845" spans="1:39" x14ac:dyDescent="0.25">
      <c r="A3845" s="54">
        <f>IF(Inputs!$C$119="","",IF(Inputs!$E$119="planned",EDATE(Inputs!$C$119,N(INDEX(sc_shift,1))),Inputs!$C$119))</f>
        <v>46478</v>
      </c>
      <c r="B3845" s="54">
        <f t="shared" si="1414"/>
        <v>46478</v>
      </c>
      <c r="C3845" s="52">
        <f>IF(N(INDEX(sc_ach,1))=0,IF(Inputs!$G$119="",1,Inputs!$G$119),INDEX(sc_ach,1))</f>
        <v>1</v>
      </c>
      <c r="D3845" s="52">
        <f>IF(Inputs!$C$119="",0,IF(Inputs!$E$119="planned",(Inputs!$D$119+N(INDEX(sc_dpts,1)))*$C3845,Inputs!$D$119))</f>
        <v>0.04</v>
      </c>
      <c r="E3845" s="53">
        <f>IF(Inputs!$C$119="",0,IF(1+$D3845&gt;0,LN(1+$D3845),0))</f>
        <v>3.9220713153281329E-2</v>
      </c>
      <c r="F3845" s="55">
        <f t="shared" si="1415"/>
        <v>30</v>
      </c>
      <c r="G3845" s="55">
        <f>IF($A3845="",0,COUNTIFS(rl_key,Inputs!$J$119,$B$3806:$B$4045,$B3845,$A$3806:$A$4045,"&lt;"&amp;$A3845))</f>
        <v>0</v>
      </c>
      <c r="H3845" s="55">
        <f>IF($A3845="",0,COUNTIFS(Inputs!$J$80:$J$119,Inputs!$J$119,$B$3806:$B3845,$B3845,$A$3806:$A3845,$A3845))</f>
        <v>1</v>
      </c>
      <c r="I3845" s="55">
        <f t="shared" si="1416"/>
        <v>1</v>
      </c>
      <c r="K3845" s="54">
        <f>IF(Inputs!$C$119="","",IF(Inputs!$E$119="planned",EDATE(Inputs!$C$119,N(INDEX(sc_shift,2))),Inputs!$C$119))</f>
        <v>46478</v>
      </c>
      <c r="L3845" s="54">
        <f t="shared" si="1417"/>
        <v>46478</v>
      </c>
      <c r="M3845" s="52">
        <f>IF(N(INDEX(sc_ach,2))=0,IF(Inputs!$G$119="",1,Inputs!$G$119),INDEX(sc_ach,2))</f>
        <v>1</v>
      </c>
      <c r="N3845" s="52">
        <f>IF(Inputs!$C$119="",0,IF(Inputs!$E$119="planned",(Inputs!$D$119+N(INDEX(sc_dpts,2)))*$M3845,Inputs!$D$119))</f>
        <v>0.04</v>
      </c>
      <c r="O3845" s="53">
        <f>IF(Inputs!$C$119="",0,IF(1+$N3845&gt;0,LN(1+$N3845),0))</f>
        <v>3.9220713153281329E-2</v>
      </c>
      <c r="P3845" s="55">
        <f t="shared" si="1418"/>
        <v>30</v>
      </c>
      <c r="Q3845" s="55">
        <f>IF($K3845="",0,COUNTIFS(rl_key,Inputs!$J$119,$L$3806:$L$4045,$L3845,$K$3806:$K$4045,"&lt;"&amp;$K3845))</f>
        <v>0</v>
      </c>
      <c r="R3845" s="55">
        <f>IF($K3845="",0,COUNTIFS(Inputs!$J$80:$J$119,Inputs!$J$119,$L$3806:$L3845,$L3845,$K$3806:$K3845,$K3845))</f>
        <v>1</v>
      </c>
      <c r="S3845" s="55">
        <f t="shared" si="1419"/>
        <v>1</v>
      </c>
      <c r="U3845" s="54">
        <f>IF(Inputs!$C$119="","",IF(Inputs!$E$119="planned",EDATE(Inputs!$C$119,N(INDEX(sc_shift,3))),Inputs!$C$119))</f>
        <v>46478</v>
      </c>
      <c r="V3845" s="54">
        <f t="shared" si="1420"/>
        <v>46478</v>
      </c>
      <c r="W3845" s="52">
        <f>IF(N(INDEX(sc_ach,3))=0,IF(Inputs!$G$119="",1,Inputs!$G$119),INDEX(sc_ach,3))</f>
        <v>1</v>
      </c>
      <c r="X3845" s="52">
        <f>IF(Inputs!$C$119="",0,IF(Inputs!$E$119="planned",(Inputs!$D$119+N(INDEX(sc_dpts,3)))*$W3845,Inputs!$D$119))</f>
        <v>0.04</v>
      </c>
      <c r="Y3845" s="53">
        <f>IF(Inputs!$C$119="",0,IF(1+$X3845&gt;0,LN(1+$X3845),0))</f>
        <v>3.9220713153281329E-2</v>
      </c>
      <c r="Z3845" s="55">
        <f t="shared" si="1421"/>
        <v>30</v>
      </c>
      <c r="AA3845" s="55">
        <f>IF($U3845="",0,COUNTIFS(rl_key,Inputs!$J$119,$V$3806:$V$4045,$V3845,$U$3806:$U$4045,"&lt;"&amp;$U3845))</f>
        <v>0</v>
      </c>
      <c r="AB3845" s="55">
        <f>IF($U3845="",0,COUNTIFS(Inputs!$J$80:$J$119,Inputs!$J$119,$V$3806:$V3845,$V3845,$U$3806:$U3845,$U3845))</f>
        <v>1</v>
      </c>
      <c r="AC3845" s="55">
        <f t="shared" si="1422"/>
        <v>1</v>
      </c>
      <c r="AE3845" s="54">
        <f>IF(Inputs!$C$119="","",IF(Inputs!$E$119="planned",EDATE(Inputs!$C$119,N(INDEX(sc_shift,4))),Inputs!$C$119))</f>
        <v>46478</v>
      </c>
      <c r="AF3845" s="54">
        <f t="shared" si="1423"/>
        <v>46478</v>
      </c>
      <c r="AG3845" s="52">
        <f>IF(N(INDEX(sc_ach,4))=0,IF(Inputs!$G$119="",1,Inputs!$G$119),INDEX(sc_ach,4))</f>
        <v>1</v>
      </c>
      <c r="AH3845" s="52">
        <f>IF(Inputs!$C$119="",0,IF(Inputs!$E$119="planned",(Inputs!$D$119+N(INDEX(sc_dpts,4)))*$AG3845,Inputs!$D$119))</f>
        <v>0.04</v>
      </c>
      <c r="AI3845" s="53">
        <f>IF(Inputs!$C$119="",0,IF(1+$AH3845&gt;0,LN(1+$AH3845),0))</f>
        <v>3.9220713153281329E-2</v>
      </c>
      <c r="AJ3845" s="55">
        <f t="shared" si="1424"/>
        <v>30</v>
      </c>
      <c r="AK3845" s="55">
        <f>IF($AE3845="",0,COUNTIFS(rl_key,Inputs!$J$119,$AF$3806:$AF$4045,$AF3845,$AE$3806:$AE$4045,"&lt;"&amp;$AE3845))</f>
        <v>0</v>
      </c>
      <c r="AL3845" s="55">
        <f>IF($AE3845="",0,COUNTIFS(Inputs!$J$80:$J$119,Inputs!$J$119,$AF$3806:$AF3845,$AF3845,$AE$3806:$AE3845,$AE3845))</f>
        <v>1</v>
      </c>
      <c r="AM3845" s="55">
        <f t="shared" si="1425"/>
        <v>1</v>
      </c>
    </row>
    <row r="3846" spans="1:39" x14ac:dyDescent="0.25">
      <c r="A3846" s="54">
        <f>IF(Inputs!$C$120="","",IF(Inputs!$E$120="planned",EDATE(Inputs!$C$120,N(INDEX(sc_shift,1))),Inputs!$C$120))</f>
        <v>46327</v>
      </c>
      <c r="B3846" s="54">
        <f t="shared" si="1414"/>
        <v>46327</v>
      </c>
      <c r="C3846" s="52">
        <f>IF(N(INDEX(sc_ach,1))=0,IF(Inputs!$G$120="",1,Inputs!$G$120),INDEX(sc_ach,1))</f>
        <v>1</v>
      </c>
      <c r="D3846" s="52">
        <f>IF(Inputs!$C$120="",0,IF(Inputs!$E$120="planned",(Inputs!$D$120+N(INDEX(sc_dpts,1)))*$C3846,Inputs!$D$120))</f>
        <v>0.06</v>
      </c>
      <c r="E3846" s="53">
        <f>IF(Inputs!$C$120="",0,IF(1+$D3846&gt;0,LN(1+$D3846),0))</f>
        <v>5.8268908123975824E-2</v>
      </c>
      <c r="F3846" s="55">
        <f t="shared" si="1415"/>
        <v>30</v>
      </c>
      <c r="G3846" s="55">
        <f>IF($A3846="",0,COUNTIFS(rl_key,Inputs!$J$120,$B$3806:$B$4045,$B3846,$A$3806:$A$4045,"&lt;"&amp;$A3846))</f>
        <v>0</v>
      </c>
      <c r="H3846" s="55">
        <f>IF($A3846="",0,COUNTIFS(Inputs!$J$80:$J$120,Inputs!$J$120,$B$3806:$B3846,$B3846,$A$3806:$A3846,$A3846))</f>
        <v>1</v>
      </c>
      <c r="I3846" s="55">
        <f t="shared" si="1416"/>
        <v>1</v>
      </c>
      <c r="K3846" s="54">
        <f>IF(Inputs!$C$120="","",IF(Inputs!$E$120="planned",EDATE(Inputs!$C$120,N(INDEX(sc_shift,2))),Inputs!$C$120))</f>
        <v>46327</v>
      </c>
      <c r="L3846" s="54">
        <f t="shared" si="1417"/>
        <v>46327</v>
      </c>
      <c r="M3846" s="52">
        <f>IF(N(INDEX(sc_ach,2))=0,IF(Inputs!$G$120="",1,Inputs!$G$120),INDEX(sc_ach,2))</f>
        <v>1</v>
      </c>
      <c r="N3846" s="52">
        <f>IF(Inputs!$C$120="",0,IF(Inputs!$E$120="planned",(Inputs!$D$120+N(INDEX(sc_dpts,2)))*$M3846,Inputs!$D$120))</f>
        <v>0.06</v>
      </c>
      <c r="O3846" s="53">
        <f>IF(Inputs!$C$120="",0,IF(1+$N3846&gt;0,LN(1+$N3846),0))</f>
        <v>5.8268908123975824E-2</v>
      </c>
      <c r="P3846" s="55">
        <f t="shared" si="1418"/>
        <v>30</v>
      </c>
      <c r="Q3846" s="55">
        <f>IF($K3846="",0,COUNTIFS(rl_key,Inputs!$J$120,$L$3806:$L$4045,$L3846,$K$3806:$K$4045,"&lt;"&amp;$K3846))</f>
        <v>0</v>
      </c>
      <c r="R3846" s="55">
        <f>IF($K3846="",0,COUNTIFS(Inputs!$J$80:$J$120,Inputs!$J$120,$L$3806:$L3846,$L3846,$K$3806:$K3846,$K3846))</f>
        <v>1</v>
      </c>
      <c r="S3846" s="55">
        <f t="shared" si="1419"/>
        <v>1</v>
      </c>
      <c r="U3846" s="54">
        <f>IF(Inputs!$C$120="","",IF(Inputs!$E$120="planned",EDATE(Inputs!$C$120,N(INDEX(sc_shift,3))),Inputs!$C$120))</f>
        <v>46327</v>
      </c>
      <c r="V3846" s="54">
        <f t="shared" si="1420"/>
        <v>46327</v>
      </c>
      <c r="W3846" s="52">
        <f>IF(N(INDEX(sc_ach,3))=0,IF(Inputs!$G$120="",1,Inputs!$G$120),INDEX(sc_ach,3))</f>
        <v>1</v>
      </c>
      <c r="X3846" s="52">
        <f>IF(Inputs!$C$120="",0,IF(Inputs!$E$120="planned",(Inputs!$D$120+N(INDEX(sc_dpts,3)))*$W3846,Inputs!$D$120))</f>
        <v>0.06</v>
      </c>
      <c r="Y3846" s="53">
        <f>IF(Inputs!$C$120="",0,IF(1+$X3846&gt;0,LN(1+$X3846),0))</f>
        <v>5.8268908123975824E-2</v>
      </c>
      <c r="Z3846" s="55">
        <f t="shared" si="1421"/>
        <v>30</v>
      </c>
      <c r="AA3846" s="55">
        <f>IF($U3846="",0,COUNTIFS(rl_key,Inputs!$J$120,$V$3806:$V$4045,$V3846,$U$3806:$U$4045,"&lt;"&amp;$U3846))</f>
        <v>0</v>
      </c>
      <c r="AB3846" s="55">
        <f>IF($U3846="",0,COUNTIFS(Inputs!$J$80:$J$120,Inputs!$J$120,$V$3806:$V3846,$V3846,$U$3806:$U3846,$U3846))</f>
        <v>1</v>
      </c>
      <c r="AC3846" s="55">
        <f t="shared" si="1422"/>
        <v>1</v>
      </c>
      <c r="AE3846" s="54">
        <f>IF(Inputs!$C$120="","",IF(Inputs!$E$120="planned",EDATE(Inputs!$C$120,N(INDEX(sc_shift,4))),Inputs!$C$120))</f>
        <v>46327</v>
      </c>
      <c r="AF3846" s="54">
        <f t="shared" si="1423"/>
        <v>46327</v>
      </c>
      <c r="AG3846" s="52">
        <f>IF(N(INDEX(sc_ach,4))=0,IF(Inputs!$G$120="",1,Inputs!$G$120),INDEX(sc_ach,4))</f>
        <v>1</v>
      </c>
      <c r="AH3846" s="52">
        <f>IF(Inputs!$C$120="",0,IF(Inputs!$E$120="planned",(Inputs!$D$120+N(INDEX(sc_dpts,4)))*$AG3846,Inputs!$D$120))</f>
        <v>0.06</v>
      </c>
      <c r="AI3846" s="53">
        <f>IF(Inputs!$C$120="",0,IF(1+$AH3846&gt;0,LN(1+$AH3846),0))</f>
        <v>5.8268908123975824E-2</v>
      </c>
      <c r="AJ3846" s="55">
        <f t="shared" si="1424"/>
        <v>30</v>
      </c>
      <c r="AK3846" s="55">
        <f>IF($AE3846="",0,COUNTIFS(rl_key,Inputs!$J$120,$AF$3806:$AF$4045,$AF3846,$AE$3806:$AE$4045,"&lt;"&amp;$AE3846))</f>
        <v>0</v>
      </c>
      <c r="AL3846" s="55">
        <f>IF($AE3846="",0,COUNTIFS(Inputs!$J$80:$J$120,Inputs!$J$120,$AF$3806:$AF3846,$AF3846,$AE$3806:$AE3846,$AE3846))</f>
        <v>1</v>
      </c>
      <c r="AM3846" s="55">
        <f t="shared" si="1425"/>
        <v>1</v>
      </c>
    </row>
    <row r="3847" spans="1:39" x14ac:dyDescent="0.25">
      <c r="A3847" s="54">
        <f>IF(Inputs!$C$121="","",IF(Inputs!$E$121="planned",EDATE(Inputs!$C$121,N(INDEX(sc_shift,1))),Inputs!$C$121))</f>
        <v>46023</v>
      </c>
      <c r="B3847" s="54">
        <f t="shared" si="1414"/>
        <v>46023</v>
      </c>
      <c r="C3847" s="52">
        <f>IF(N(INDEX(sc_ach,1))=0,IF(Inputs!$G$121="",1,Inputs!$G$121),INDEX(sc_ach,1))</f>
        <v>1</v>
      </c>
      <c r="D3847" s="52">
        <f>IF(Inputs!$C$121="",0,IF(Inputs!$E$121="planned",(Inputs!$D$121+N(INDEX(sc_dpts,1)))*$C3847,Inputs!$D$121))</f>
        <v>0.03</v>
      </c>
      <c r="E3847" s="53">
        <f>IF(Inputs!$C$121="",0,IF(1+$D3847&gt;0,LN(1+$D3847),0))</f>
        <v>2.9558802241544429E-2</v>
      </c>
      <c r="F3847" s="55">
        <f t="shared" si="1415"/>
        <v>31</v>
      </c>
      <c r="G3847" s="55">
        <f>IF($A3847="",0,COUNTIFS(rl_key,Inputs!$J$121,$B$3806:$B$4045,$B3847,$A$3806:$A$4045,"&lt;"&amp;$A3847))</f>
        <v>0</v>
      </c>
      <c r="H3847" s="55">
        <f>IF($A3847="",0,COUNTIFS(Inputs!$J$80:$J$121,Inputs!$J$121,$B$3806:$B3847,$B3847,$A$3806:$A3847,$A3847))</f>
        <v>1</v>
      </c>
      <c r="I3847" s="55">
        <f t="shared" si="1416"/>
        <v>1</v>
      </c>
      <c r="K3847" s="54">
        <f>IF(Inputs!$C$121="","",IF(Inputs!$E$121="planned",EDATE(Inputs!$C$121,N(INDEX(sc_shift,2))),Inputs!$C$121))</f>
        <v>46023</v>
      </c>
      <c r="L3847" s="54">
        <f t="shared" si="1417"/>
        <v>46023</v>
      </c>
      <c r="M3847" s="52">
        <f>IF(N(INDEX(sc_ach,2))=0,IF(Inputs!$G$121="",1,Inputs!$G$121),INDEX(sc_ach,2))</f>
        <v>1</v>
      </c>
      <c r="N3847" s="52">
        <f>IF(Inputs!$C$121="",0,IF(Inputs!$E$121="planned",(Inputs!$D$121+N(INDEX(sc_dpts,2)))*$M3847,Inputs!$D$121))</f>
        <v>0.03</v>
      </c>
      <c r="O3847" s="53">
        <f>IF(Inputs!$C$121="",0,IF(1+$N3847&gt;0,LN(1+$N3847),0))</f>
        <v>2.9558802241544429E-2</v>
      </c>
      <c r="P3847" s="55">
        <f t="shared" si="1418"/>
        <v>31</v>
      </c>
      <c r="Q3847" s="55">
        <f>IF($K3847="",0,COUNTIFS(rl_key,Inputs!$J$121,$L$3806:$L$4045,$L3847,$K$3806:$K$4045,"&lt;"&amp;$K3847))</f>
        <v>0</v>
      </c>
      <c r="R3847" s="55">
        <f>IF($K3847="",0,COUNTIFS(Inputs!$J$80:$J$121,Inputs!$J$121,$L$3806:$L3847,$L3847,$K$3806:$K3847,$K3847))</f>
        <v>1</v>
      </c>
      <c r="S3847" s="55">
        <f t="shared" si="1419"/>
        <v>1</v>
      </c>
      <c r="U3847" s="54">
        <f>IF(Inputs!$C$121="","",IF(Inputs!$E$121="planned",EDATE(Inputs!$C$121,N(INDEX(sc_shift,3))),Inputs!$C$121))</f>
        <v>46023</v>
      </c>
      <c r="V3847" s="54">
        <f t="shared" si="1420"/>
        <v>46023</v>
      </c>
      <c r="W3847" s="52">
        <f>IF(N(INDEX(sc_ach,3))=0,IF(Inputs!$G$121="",1,Inputs!$G$121),INDEX(sc_ach,3))</f>
        <v>1</v>
      </c>
      <c r="X3847" s="52">
        <f>IF(Inputs!$C$121="",0,IF(Inputs!$E$121="planned",(Inputs!$D$121+N(INDEX(sc_dpts,3)))*$W3847,Inputs!$D$121))</f>
        <v>0.03</v>
      </c>
      <c r="Y3847" s="53">
        <f>IF(Inputs!$C$121="",0,IF(1+$X3847&gt;0,LN(1+$X3847),0))</f>
        <v>2.9558802241544429E-2</v>
      </c>
      <c r="Z3847" s="55">
        <f t="shared" si="1421"/>
        <v>31</v>
      </c>
      <c r="AA3847" s="55">
        <f>IF($U3847="",0,COUNTIFS(rl_key,Inputs!$J$121,$V$3806:$V$4045,$V3847,$U$3806:$U$4045,"&lt;"&amp;$U3847))</f>
        <v>0</v>
      </c>
      <c r="AB3847" s="55">
        <f>IF($U3847="",0,COUNTIFS(Inputs!$J$80:$J$121,Inputs!$J$121,$V$3806:$V3847,$V3847,$U$3806:$U3847,$U3847))</f>
        <v>1</v>
      </c>
      <c r="AC3847" s="55">
        <f t="shared" si="1422"/>
        <v>1</v>
      </c>
      <c r="AE3847" s="54">
        <f>IF(Inputs!$C$121="","",IF(Inputs!$E$121="planned",EDATE(Inputs!$C$121,N(INDEX(sc_shift,4))),Inputs!$C$121))</f>
        <v>46023</v>
      </c>
      <c r="AF3847" s="54">
        <f t="shared" si="1423"/>
        <v>46023</v>
      </c>
      <c r="AG3847" s="52">
        <f>IF(N(INDEX(sc_ach,4))=0,IF(Inputs!$G$121="",1,Inputs!$G$121),INDEX(sc_ach,4))</f>
        <v>1</v>
      </c>
      <c r="AH3847" s="52">
        <f>IF(Inputs!$C$121="",0,IF(Inputs!$E$121="planned",(Inputs!$D$121+N(INDEX(sc_dpts,4)))*$AG3847,Inputs!$D$121))</f>
        <v>0.03</v>
      </c>
      <c r="AI3847" s="53">
        <f>IF(Inputs!$C$121="",0,IF(1+$AH3847&gt;0,LN(1+$AH3847),0))</f>
        <v>2.9558802241544429E-2</v>
      </c>
      <c r="AJ3847" s="55">
        <f t="shared" si="1424"/>
        <v>31</v>
      </c>
      <c r="AK3847" s="55">
        <f>IF($AE3847="",0,COUNTIFS(rl_key,Inputs!$J$121,$AF$3806:$AF$4045,$AF3847,$AE$3806:$AE$4045,"&lt;"&amp;$AE3847))</f>
        <v>0</v>
      </c>
      <c r="AL3847" s="55">
        <f>IF($AE3847="",0,COUNTIFS(Inputs!$J$80:$J$121,Inputs!$J$121,$AF$3806:$AF3847,$AF3847,$AE$3806:$AE3847,$AE3847))</f>
        <v>1</v>
      </c>
      <c r="AM3847" s="55">
        <f t="shared" si="1425"/>
        <v>1</v>
      </c>
    </row>
    <row r="3848" spans="1:39" x14ac:dyDescent="0.25">
      <c r="A3848" s="54">
        <f>IF(Inputs!$C$122="","",IF(Inputs!$E$122="planned",EDATE(Inputs!$C$122,N(INDEX(sc_shift,1))),Inputs!$C$122))</f>
        <v>46054</v>
      </c>
      <c r="B3848" s="54">
        <f t="shared" si="1414"/>
        <v>46054</v>
      </c>
      <c r="C3848" s="52">
        <f>IF(N(INDEX(sc_ach,1))=0,IF(Inputs!$G$122="",1,Inputs!$G$122),INDEX(sc_ach,1))</f>
        <v>1</v>
      </c>
      <c r="D3848" s="52">
        <f>IF(Inputs!$C$122="",0,IF(Inputs!$E$122="planned",(Inputs!$D$122+N(INDEX(sc_dpts,1)))*$C3848,Inputs!$D$122))</f>
        <v>0.04</v>
      </c>
      <c r="E3848" s="53">
        <f>IF(Inputs!$C$122="",0,IF(1+$D3848&gt;0,LN(1+$D3848),0))</f>
        <v>3.9220713153281329E-2</v>
      </c>
      <c r="F3848" s="55">
        <f t="shared" si="1415"/>
        <v>28</v>
      </c>
      <c r="G3848" s="55">
        <f>IF($A3848="",0,COUNTIFS(rl_key,Inputs!$J$122,$B$3806:$B$4045,$B3848,$A$3806:$A$4045,"&lt;"&amp;$A3848))</f>
        <v>0</v>
      </c>
      <c r="H3848" s="55">
        <f>IF($A3848="",0,COUNTIFS(Inputs!$J$80:$J$122,Inputs!$J$122,$B$3806:$B3848,$B3848,$A$3806:$A3848,$A3848))</f>
        <v>1</v>
      </c>
      <c r="I3848" s="55">
        <f t="shared" si="1416"/>
        <v>1</v>
      </c>
      <c r="K3848" s="54">
        <f>IF(Inputs!$C$122="","",IF(Inputs!$E$122="planned",EDATE(Inputs!$C$122,N(INDEX(sc_shift,2))),Inputs!$C$122))</f>
        <v>46054</v>
      </c>
      <c r="L3848" s="54">
        <f t="shared" si="1417"/>
        <v>46054</v>
      </c>
      <c r="M3848" s="52">
        <f>IF(N(INDEX(sc_ach,2))=0,IF(Inputs!$G$122="",1,Inputs!$G$122),INDEX(sc_ach,2))</f>
        <v>1</v>
      </c>
      <c r="N3848" s="52">
        <f>IF(Inputs!$C$122="",0,IF(Inputs!$E$122="planned",(Inputs!$D$122+N(INDEX(sc_dpts,2)))*$M3848,Inputs!$D$122))</f>
        <v>0.04</v>
      </c>
      <c r="O3848" s="53">
        <f>IF(Inputs!$C$122="",0,IF(1+$N3848&gt;0,LN(1+$N3848),0))</f>
        <v>3.9220713153281329E-2</v>
      </c>
      <c r="P3848" s="55">
        <f t="shared" si="1418"/>
        <v>28</v>
      </c>
      <c r="Q3848" s="55">
        <f>IF($K3848="",0,COUNTIFS(rl_key,Inputs!$J$122,$L$3806:$L$4045,$L3848,$K$3806:$K$4045,"&lt;"&amp;$K3848))</f>
        <v>0</v>
      </c>
      <c r="R3848" s="55">
        <f>IF($K3848="",0,COUNTIFS(Inputs!$J$80:$J$122,Inputs!$J$122,$L$3806:$L3848,$L3848,$K$3806:$K3848,$K3848))</f>
        <v>1</v>
      </c>
      <c r="S3848" s="55">
        <f t="shared" si="1419"/>
        <v>1</v>
      </c>
      <c r="U3848" s="54">
        <f>IF(Inputs!$C$122="","",IF(Inputs!$E$122="planned",EDATE(Inputs!$C$122,N(INDEX(sc_shift,3))),Inputs!$C$122))</f>
        <v>46054</v>
      </c>
      <c r="V3848" s="54">
        <f t="shared" si="1420"/>
        <v>46054</v>
      </c>
      <c r="W3848" s="52">
        <f>IF(N(INDEX(sc_ach,3))=0,IF(Inputs!$G$122="",1,Inputs!$G$122),INDEX(sc_ach,3))</f>
        <v>1</v>
      </c>
      <c r="X3848" s="52">
        <f>IF(Inputs!$C$122="",0,IF(Inputs!$E$122="planned",(Inputs!$D$122+N(INDEX(sc_dpts,3)))*$W3848,Inputs!$D$122))</f>
        <v>0.04</v>
      </c>
      <c r="Y3848" s="53">
        <f>IF(Inputs!$C$122="",0,IF(1+$X3848&gt;0,LN(1+$X3848),0))</f>
        <v>3.9220713153281329E-2</v>
      </c>
      <c r="Z3848" s="55">
        <f t="shared" si="1421"/>
        <v>28</v>
      </c>
      <c r="AA3848" s="55">
        <f>IF($U3848="",0,COUNTIFS(rl_key,Inputs!$J$122,$V$3806:$V$4045,$V3848,$U$3806:$U$4045,"&lt;"&amp;$U3848))</f>
        <v>0</v>
      </c>
      <c r="AB3848" s="55">
        <f>IF($U3848="",0,COUNTIFS(Inputs!$J$80:$J$122,Inputs!$J$122,$V$3806:$V3848,$V3848,$U$3806:$U3848,$U3848))</f>
        <v>1</v>
      </c>
      <c r="AC3848" s="55">
        <f t="shared" si="1422"/>
        <v>1</v>
      </c>
      <c r="AE3848" s="54">
        <f>IF(Inputs!$C$122="","",IF(Inputs!$E$122="planned",EDATE(Inputs!$C$122,N(INDEX(sc_shift,4))),Inputs!$C$122))</f>
        <v>46054</v>
      </c>
      <c r="AF3848" s="54">
        <f t="shared" si="1423"/>
        <v>46054</v>
      </c>
      <c r="AG3848" s="52">
        <f>IF(N(INDEX(sc_ach,4))=0,IF(Inputs!$G$122="",1,Inputs!$G$122),INDEX(sc_ach,4))</f>
        <v>1</v>
      </c>
      <c r="AH3848" s="52">
        <f>IF(Inputs!$C$122="",0,IF(Inputs!$E$122="planned",(Inputs!$D$122+N(INDEX(sc_dpts,4)))*$AG3848,Inputs!$D$122))</f>
        <v>0.04</v>
      </c>
      <c r="AI3848" s="53">
        <f>IF(Inputs!$C$122="",0,IF(1+$AH3848&gt;0,LN(1+$AH3848),0))</f>
        <v>3.9220713153281329E-2</v>
      </c>
      <c r="AJ3848" s="55">
        <f t="shared" si="1424"/>
        <v>28</v>
      </c>
      <c r="AK3848" s="55">
        <f>IF($AE3848="",0,COUNTIFS(rl_key,Inputs!$J$122,$AF$3806:$AF$4045,$AF3848,$AE$3806:$AE$4045,"&lt;"&amp;$AE3848))</f>
        <v>0</v>
      </c>
      <c r="AL3848" s="55">
        <f>IF($AE3848="",0,COUNTIFS(Inputs!$J$80:$J$122,Inputs!$J$122,$AF$3806:$AF3848,$AF3848,$AE$3806:$AE3848,$AE3848))</f>
        <v>1</v>
      </c>
      <c r="AM3848" s="55">
        <f t="shared" si="1425"/>
        <v>1</v>
      </c>
    </row>
    <row r="3849" spans="1:39" x14ac:dyDescent="0.25">
      <c r="A3849" s="54">
        <f>IF(Inputs!$C$123="","",IF(Inputs!$E$123="planned",EDATE(Inputs!$C$123,N(INDEX(sc_shift,1))),Inputs!$C$123))</f>
        <v>46600</v>
      </c>
      <c r="B3849" s="54">
        <f t="shared" si="1414"/>
        <v>46600</v>
      </c>
      <c r="C3849" s="52">
        <f>IF(N(INDEX(sc_ach,1))=0,IF(Inputs!$G$123="",1,Inputs!$G$123),INDEX(sc_ach,1))</f>
        <v>1</v>
      </c>
      <c r="D3849" s="52">
        <f>IF(Inputs!$C$123="",0,IF(Inputs!$E$123="planned",(Inputs!$D$123+N(INDEX(sc_dpts,1)))*$C3849,Inputs!$D$123))</f>
        <v>0.04</v>
      </c>
      <c r="E3849" s="53">
        <f>IF(Inputs!$C$123="",0,IF(1+$D3849&gt;0,LN(1+$D3849),0))</f>
        <v>3.9220713153281329E-2</v>
      </c>
      <c r="F3849" s="55">
        <f t="shared" si="1415"/>
        <v>31</v>
      </c>
      <c r="G3849" s="55">
        <f>IF($A3849="",0,COUNTIFS(rl_key,Inputs!$J$123,$B$3806:$B$4045,$B3849,$A$3806:$A$4045,"&lt;"&amp;$A3849))</f>
        <v>0</v>
      </c>
      <c r="H3849" s="55">
        <f>IF($A3849="",0,COUNTIFS(Inputs!$J$80:$J$123,Inputs!$J$123,$B$3806:$B3849,$B3849,$A$3806:$A3849,$A3849))</f>
        <v>1</v>
      </c>
      <c r="I3849" s="55">
        <f t="shared" si="1416"/>
        <v>1</v>
      </c>
      <c r="K3849" s="54">
        <f>IF(Inputs!$C$123="","",IF(Inputs!$E$123="planned",EDATE(Inputs!$C$123,N(INDEX(sc_shift,2))),Inputs!$C$123))</f>
        <v>46600</v>
      </c>
      <c r="L3849" s="54">
        <f t="shared" si="1417"/>
        <v>46600</v>
      </c>
      <c r="M3849" s="52">
        <f>IF(N(INDEX(sc_ach,2))=0,IF(Inputs!$G$123="",1,Inputs!$G$123),INDEX(sc_ach,2))</f>
        <v>1</v>
      </c>
      <c r="N3849" s="52">
        <f>IF(Inputs!$C$123="",0,IF(Inputs!$E$123="planned",(Inputs!$D$123+N(INDEX(sc_dpts,2)))*$M3849,Inputs!$D$123))</f>
        <v>0.04</v>
      </c>
      <c r="O3849" s="53">
        <f>IF(Inputs!$C$123="",0,IF(1+$N3849&gt;0,LN(1+$N3849),0))</f>
        <v>3.9220713153281329E-2</v>
      </c>
      <c r="P3849" s="55">
        <f t="shared" si="1418"/>
        <v>31</v>
      </c>
      <c r="Q3849" s="55">
        <f>IF($K3849="",0,COUNTIFS(rl_key,Inputs!$J$123,$L$3806:$L$4045,$L3849,$K$3806:$K$4045,"&lt;"&amp;$K3849))</f>
        <v>0</v>
      </c>
      <c r="R3849" s="55">
        <f>IF($K3849="",0,COUNTIFS(Inputs!$J$80:$J$123,Inputs!$J$123,$L$3806:$L3849,$L3849,$K$3806:$K3849,$K3849))</f>
        <v>1</v>
      </c>
      <c r="S3849" s="55">
        <f t="shared" si="1419"/>
        <v>1</v>
      </c>
      <c r="U3849" s="54">
        <f>IF(Inputs!$C$123="","",IF(Inputs!$E$123="planned",EDATE(Inputs!$C$123,N(INDEX(sc_shift,3))),Inputs!$C$123))</f>
        <v>46600</v>
      </c>
      <c r="V3849" s="54">
        <f t="shared" si="1420"/>
        <v>46600</v>
      </c>
      <c r="W3849" s="52">
        <f>IF(N(INDEX(sc_ach,3))=0,IF(Inputs!$G$123="",1,Inputs!$G$123),INDEX(sc_ach,3))</f>
        <v>1</v>
      </c>
      <c r="X3849" s="52">
        <f>IF(Inputs!$C$123="",0,IF(Inputs!$E$123="planned",(Inputs!$D$123+N(INDEX(sc_dpts,3)))*$W3849,Inputs!$D$123))</f>
        <v>0.04</v>
      </c>
      <c r="Y3849" s="53">
        <f>IF(Inputs!$C$123="",0,IF(1+$X3849&gt;0,LN(1+$X3849),0))</f>
        <v>3.9220713153281329E-2</v>
      </c>
      <c r="Z3849" s="55">
        <f t="shared" si="1421"/>
        <v>31</v>
      </c>
      <c r="AA3849" s="55">
        <f>IF($U3849="",0,COUNTIFS(rl_key,Inputs!$J$123,$V$3806:$V$4045,$V3849,$U$3806:$U$4045,"&lt;"&amp;$U3849))</f>
        <v>0</v>
      </c>
      <c r="AB3849" s="55">
        <f>IF($U3849="",0,COUNTIFS(Inputs!$J$80:$J$123,Inputs!$J$123,$V$3806:$V3849,$V3849,$U$3806:$U3849,$U3849))</f>
        <v>1</v>
      </c>
      <c r="AC3849" s="55">
        <f t="shared" si="1422"/>
        <v>1</v>
      </c>
      <c r="AE3849" s="54">
        <f>IF(Inputs!$C$123="","",IF(Inputs!$E$123="planned",EDATE(Inputs!$C$123,N(INDEX(sc_shift,4))),Inputs!$C$123))</f>
        <v>46600</v>
      </c>
      <c r="AF3849" s="54">
        <f t="shared" si="1423"/>
        <v>46600</v>
      </c>
      <c r="AG3849" s="52">
        <f>IF(N(INDEX(sc_ach,4))=0,IF(Inputs!$G$123="",1,Inputs!$G$123),INDEX(sc_ach,4))</f>
        <v>1</v>
      </c>
      <c r="AH3849" s="52">
        <f>IF(Inputs!$C$123="",0,IF(Inputs!$E$123="planned",(Inputs!$D$123+N(INDEX(sc_dpts,4)))*$AG3849,Inputs!$D$123))</f>
        <v>0.04</v>
      </c>
      <c r="AI3849" s="53">
        <f>IF(Inputs!$C$123="",0,IF(1+$AH3849&gt;0,LN(1+$AH3849),0))</f>
        <v>3.9220713153281329E-2</v>
      </c>
      <c r="AJ3849" s="55">
        <f t="shared" si="1424"/>
        <v>31</v>
      </c>
      <c r="AK3849" s="55">
        <f>IF($AE3849="",0,COUNTIFS(rl_key,Inputs!$J$123,$AF$3806:$AF$4045,$AF3849,$AE$3806:$AE$4045,"&lt;"&amp;$AE3849))</f>
        <v>0</v>
      </c>
      <c r="AL3849" s="55">
        <f>IF($AE3849="",0,COUNTIFS(Inputs!$J$80:$J$123,Inputs!$J$123,$AF$3806:$AF3849,$AF3849,$AE$3806:$AE3849,$AE3849))</f>
        <v>1</v>
      </c>
      <c r="AM3849" s="55">
        <f t="shared" si="1425"/>
        <v>1</v>
      </c>
    </row>
    <row r="3850" spans="1:39" x14ac:dyDescent="0.25">
      <c r="A3850" s="54">
        <f>IF(Inputs!$C$124="","",IF(Inputs!$E$124="planned",EDATE(Inputs!$C$124,N(INDEX(sc_shift,1))),Inputs!$C$124))</f>
        <v>46113</v>
      </c>
      <c r="B3850" s="54">
        <f t="shared" si="1414"/>
        <v>46113</v>
      </c>
      <c r="C3850" s="52">
        <f>IF(N(INDEX(sc_ach,1))=0,IF(Inputs!$G$124="",1,Inputs!$G$124),INDEX(sc_ach,1))</f>
        <v>1</v>
      </c>
      <c r="D3850" s="52">
        <f>IF(Inputs!$C$124="",0,IF(Inputs!$E$124="planned",(Inputs!$D$124+N(INDEX(sc_dpts,1)))*$C3850,Inputs!$D$124))</f>
        <v>0.06</v>
      </c>
      <c r="E3850" s="53">
        <f>IF(Inputs!$C$124="",0,IF(1+$D3850&gt;0,LN(1+$D3850),0))</f>
        <v>5.8268908123975824E-2</v>
      </c>
      <c r="F3850" s="55">
        <f t="shared" si="1415"/>
        <v>30</v>
      </c>
      <c r="G3850" s="55">
        <f>IF($A3850="",0,COUNTIFS(rl_key,Inputs!$J$124,$B$3806:$B$4045,$B3850,$A$3806:$A$4045,"&lt;"&amp;$A3850))</f>
        <v>0</v>
      </c>
      <c r="H3850" s="55">
        <f>IF($A3850="",0,COUNTIFS(Inputs!$J$80:$J$124,Inputs!$J$124,$B$3806:$B3850,$B3850,$A$3806:$A3850,$A3850))</f>
        <v>1</v>
      </c>
      <c r="I3850" s="55">
        <f t="shared" si="1416"/>
        <v>1</v>
      </c>
      <c r="K3850" s="54">
        <f>IF(Inputs!$C$124="","",IF(Inputs!$E$124="planned",EDATE(Inputs!$C$124,N(INDEX(sc_shift,2))),Inputs!$C$124))</f>
        <v>46113</v>
      </c>
      <c r="L3850" s="54">
        <f t="shared" si="1417"/>
        <v>46113</v>
      </c>
      <c r="M3850" s="52">
        <f>IF(N(INDEX(sc_ach,2))=0,IF(Inputs!$G$124="",1,Inputs!$G$124),INDEX(sc_ach,2))</f>
        <v>1</v>
      </c>
      <c r="N3850" s="52">
        <f>IF(Inputs!$C$124="",0,IF(Inputs!$E$124="planned",(Inputs!$D$124+N(INDEX(sc_dpts,2)))*$M3850,Inputs!$D$124))</f>
        <v>0.06</v>
      </c>
      <c r="O3850" s="53">
        <f>IF(Inputs!$C$124="",0,IF(1+$N3850&gt;0,LN(1+$N3850),0))</f>
        <v>5.8268908123975824E-2</v>
      </c>
      <c r="P3850" s="55">
        <f t="shared" si="1418"/>
        <v>30</v>
      </c>
      <c r="Q3850" s="55">
        <f>IF($K3850="",0,COUNTIFS(rl_key,Inputs!$J$124,$L$3806:$L$4045,$L3850,$K$3806:$K$4045,"&lt;"&amp;$K3850))</f>
        <v>0</v>
      </c>
      <c r="R3850" s="55">
        <f>IF($K3850="",0,COUNTIFS(Inputs!$J$80:$J$124,Inputs!$J$124,$L$3806:$L3850,$L3850,$K$3806:$K3850,$K3850))</f>
        <v>1</v>
      </c>
      <c r="S3850" s="55">
        <f t="shared" si="1419"/>
        <v>1</v>
      </c>
      <c r="U3850" s="54">
        <f>IF(Inputs!$C$124="","",IF(Inputs!$E$124="planned",EDATE(Inputs!$C$124,N(INDEX(sc_shift,3))),Inputs!$C$124))</f>
        <v>46113</v>
      </c>
      <c r="V3850" s="54">
        <f t="shared" si="1420"/>
        <v>46113</v>
      </c>
      <c r="W3850" s="52">
        <f>IF(N(INDEX(sc_ach,3))=0,IF(Inputs!$G$124="",1,Inputs!$G$124),INDEX(sc_ach,3))</f>
        <v>1</v>
      </c>
      <c r="X3850" s="52">
        <f>IF(Inputs!$C$124="",0,IF(Inputs!$E$124="planned",(Inputs!$D$124+N(INDEX(sc_dpts,3)))*$W3850,Inputs!$D$124))</f>
        <v>0.06</v>
      </c>
      <c r="Y3850" s="53">
        <f>IF(Inputs!$C$124="",0,IF(1+$X3850&gt;0,LN(1+$X3850),0))</f>
        <v>5.8268908123975824E-2</v>
      </c>
      <c r="Z3850" s="55">
        <f t="shared" si="1421"/>
        <v>30</v>
      </c>
      <c r="AA3850" s="55">
        <f>IF($U3850="",0,COUNTIFS(rl_key,Inputs!$J$124,$V$3806:$V$4045,$V3850,$U$3806:$U$4045,"&lt;"&amp;$U3850))</f>
        <v>0</v>
      </c>
      <c r="AB3850" s="55">
        <f>IF($U3850="",0,COUNTIFS(Inputs!$J$80:$J$124,Inputs!$J$124,$V$3806:$V3850,$V3850,$U$3806:$U3850,$U3850))</f>
        <v>1</v>
      </c>
      <c r="AC3850" s="55">
        <f t="shared" si="1422"/>
        <v>1</v>
      </c>
      <c r="AE3850" s="54">
        <f>IF(Inputs!$C$124="","",IF(Inputs!$E$124="planned",EDATE(Inputs!$C$124,N(INDEX(sc_shift,4))),Inputs!$C$124))</f>
        <v>46113</v>
      </c>
      <c r="AF3850" s="54">
        <f t="shared" si="1423"/>
        <v>46113</v>
      </c>
      <c r="AG3850" s="52">
        <f>IF(N(INDEX(sc_ach,4))=0,IF(Inputs!$G$124="",1,Inputs!$G$124),INDEX(sc_ach,4))</f>
        <v>1</v>
      </c>
      <c r="AH3850" s="52">
        <f>IF(Inputs!$C$124="",0,IF(Inputs!$E$124="planned",(Inputs!$D$124+N(INDEX(sc_dpts,4)))*$AG3850,Inputs!$D$124))</f>
        <v>0.06</v>
      </c>
      <c r="AI3850" s="53">
        <f>IF(Inputs!$C$124="",0,IF(1+$AH3850&gt;0,LN(1+$AH3850),0))</f>
        <v>5.8268908123975824E-2</v>
      </c>
      <c r="AJ3850" s="55">
        <f t="shared" si="1424"/>
        <v>30</v>
      </c>
      <c r="AK3850" s="55">
        <f>IF($AE3850="",0,COUNTIFS(rl_key,Inputs!$J$124,$AF$3806:$AF$4045,$AF3850,$AE$3806:$AE$4045,"&lt;"&amp;$AE3850))</f>
        <v>0</v>
      </c>
      <c r="AL3850" s="55">
        <f>IF($AE3850="",0,COUNTIFS(Inputs!$J$80:$J$124,Inputs!$J$124,$AF$3806:$AF3850,$AF3850,$AE$3806:$AE3850,$AE3850))</f>
        <v>1</v>
      </c>
      <c r="AM3850" s="55">
        <f t="shared" si="1425"/>
        <v>1</v>
      </c>
    </row>
    <row r="3851" spans="1:39" x14ac:dyDescent="0.25">
      <c r="A3851" s="54">
        <f>IF(Inputs!$C$125="","",IF(Inputs!$E$125="planned",EDATE(Inputs!$C$125,N(INDEX(sc_shift,1))),Inputs!$C$125))</f>
        <v>46143</v>
      </c>
      <c r="B3851" s="54">
        <f t="shared" si="1414"/>
        <v>46143</v>
      </c>
      <c r="C3851" s="52">
        <f>IF(N(INDEX(sc_ach,1))=0,IF(Inputs!$G$125="",1,Inputs!$G$125),INDEX(sc_ach,1))</f>
        <v>1</v>
      </c>
      <c r="D3851" s="52">
        <f>IF(Inputs!$C$125="",0,IF(Inputs!$E$125="planned",(Inputs!$D$125+N(INDEX(sc_dpts,1)))*$C3851,Inputs!$D$125))</f>
        <v>0.02</v>
      </c>
      <c r="E3851" s="53">
        <f>IF(Inputs!$C$125="",0,IF(1+$D3851&gt;0,LN(1+$D3851),0))</f>
        <v>1.980262729617973E-2</v>
      </c>
      <c r="F3851" s="55">
        <f t="shared" si="1415"/>
        <v>31</v>
      </c>
      <c r="G3851" s="55">
        <f>IF($A3851="",0,COUNTIFS(rl_key,Inputs!$J$125,$B$3806:$B$4045,$B3851,$A$3806:$A$4045,"&lt;"&amp;$A3851))</f>
        <v>0</v>
      </c>
      <c r="H3851" s="55">
        <f>IF($A3851="",0,COUNTIFS(Inputs!$J$80:$J$125,Inputs!$J$125,$B$3806:$B3851,$B3851,$A$3806:$A3851,$A3851))</f>
        <v>1</v>
      </c>
      <c r="I3851" s="55">
        <f t="shared" si="1416"/>
        <v>1</v>
      </c>
      <c r="K3851" s="54">
        <f>IF(Inputs!$C$125="","",IF(Inputs!$E$125="planned",EDATE(Inputs!$C$125,N(INDEX(sc_shift,2))),Inputs!$C$125))</f>
        <v>46143</v>
      </c>
      <c r="L3851" s="54">
        <f t="shared" si="1417"/>
        <v>46143</v>
      </c>
      <c r="M3851" s="52">
        <f>IF(N(INDEX(sc_ach,2))=0,IF(Inputs!$G$125="",1,Inputs!$G$125),INDEX(sc_ach,2))</f>
        <v>1</v>
      </c>
      <c r="N3851" s="52">
        <f>IF(Inputs!$C$125="",0,IF(Inputs!$E$125="planned",(Inputs!$D$125+N(INDEX(sc_dpts,2)))*$M3851,Inputs!$D$125))</f>
        <v>0.02</v>
      </c>
      <c r="O3851" s="53">
        <f>IF(Inputs!$C$125="",0,IF(1+$N3851&gt;0,LN(1+$N3851),0))</f>
        <v>1.980262729617973E-2</v>
      </c>
      <c r="P3851" s="55">
        <f t="shared" si="1418"/>
        <v>31</v>
      </c>
      <c r="Q3851" s="55">
        <f>IF($K3851="",0,COUNTIFS(rl_key,Inputs!$J$125,$L$3806:$L$4045,$L3851,$K$3806:$K$4045,"&lt;"&amp;$K3851))</f>
        <v>0</v>
      </c>
      <c r="R3851" s="55">
        <f>IF($K3851="",0,COUNTIFS(Inputs!$J$80:$J$125,Inputs!$J$125,$L$3806:$L3851,$L3851,$K$3806:$K3851,$K3851))</f>
        <v>1</v>
      </c>
      <c r="S3851" s="55">
        <f t="shared" si="1419"/>
        <v>1</v>
      </c>
      <c r="U3851" s="54">
        <f>IF(Inputs!$C$125="","",IF(Inputs!$E$125="planned",EDATE(Inputs!$C$125,N(INDEX(sc_shift,3))),Inputs!$C$125))</f>
        <v>46143</v>
      </c>
      <c r="V3851" s="54">
        <f t="shared" si="1420"/>
        <v>46143</v>
      </c>
      <c r="W3851" s="52">
        <f>IF(N(INDEX(sc_ach,3))=0,IF(Inputs!$G$125="",1,Inputs!$G$125),INDEX(sc_ach,3))</f>
        <v>1</v>
      </c>
      <c r="X3851" s="52">
        <f>IF(Inputs!$C$125="",0,IF(Inputs!$E$125="planned",(Inputs!$D$125+N(INDEX(sc_dpts,3)))*$W3851,Inputs!$D$125))</f>
        <v>0.02</v>
      </c>
      <c r="Y3851" s="53">
        <f>IF(Inputs!$C$125="",0,IF(1+$X3851&gt;0,LN(1+$X3851),0))</f>
        <v>1.980262729617973E-2</v>
      </c>
      <c r="Z3851" s="55">
        <f t="shared" si="1421"/>
        <v>31</v>
      </c>
      <c r="AA3851" s="55">
        <f>IF($U3851="",0,COUNTIFS(rl_key,Inputs!$J$125,$V$3806:$V$4045,$V3851,$U$3806:$U$4045,"&lt;"&amp;$U3851))</f>
        <v>0</v>
      </c>
      <c r="AB3851" s="55">
        <f>IF($U3851="",0,COUNTIFS(Inputs!$J$80:$J$125,Inputs!$J$125,$V$3806:$V3851,$V3851,$U$3806:$U3851,$U3851))</f>
        <v>1</v>
      </c>
      <c r="AC3851" s="55">
        <f t="shared" si="1422"/>
        <v>1</v>
      </c>
      <c r="AE3851" s="54">
        <f>IF(Inputs!$C$125="","",IF(Inputs!$E$125="planned",EDATE(Inputs!$C$125,N(INDEX(sc_shift,4))),Inputs!$C$125))</f>
        <v>46143</v>
      </c>
      <c r="AF3851" s="54">
        <f t="shared" si="1423"/>
        <v>46143</v>
      </c>
      <c r="AG3851" s="52">
        <f>IF(N(INDEX(sc_ach,4))=0,IF(Inputs!$G$125="",1,Inputs!$G$125),INDEX(sc_ach,4))</f>
        <v>1</v>
      </c>
      <c r="AH3851" s="52">
        <f>IF(Inputs!$C$125="",0,IF(Inputs!$E$125="planned",(Inputs!$D$125+N(INDEX(sc_dpts,4)))*$AG3851,Inputs!$D$125))</f>
        <v>0.02</v>
      </c>
      <c r="AI3851" s="53">
        <f>IF(Inputs!$C$125="",0,IF(1+$AH3851&gt;0,LN(1+$AH3851),0))</f>
        <v>1.980262729617973E-2</v>
      </c>
      <c r="AJ3851" s="55">
        <f t="shared" si="1424"/>
        <v>31</v>
      </c>
      <c r="AK3851" s="55">
        <f>IF($AE3851="",0,COUNTIFS(rl_key,Inputs!$J$125,$AF$3806:$AF$4045,$AF3851,$AE$3806:$AE$4045,"&lt;"&amp;$AE3851))</f>
        <v>0</v>
      </c>
      <c r="AL3851" s="55">
        <f>IF($AE3851="",0,COUNTIFS(Inputs!$J$80:$J$125,Inputs!$J$125,$AF$3806:$AF3851,$AF3851,$AE$3806:$AE3851,$AE3851))</f>
        <v>1</v>
      </c>
      <c r="AM3851" s="55">
        <f t="shared" si="1425"/>
        <v>1</v>
      </c>
    </row>
    <row r="3852" spans="1:39" x14ac:dyDescent="0.25">
      <c r="A3852" s="54">
        <f>IF(Inputs!$C$126="","",IF(Inputs!$E$126="planned",EDATE(Inputs!$C$126,N(INDEX(sc_shift,1))),Inputs!$C$126))</f>
        <v>46419</v>
      </c>
      <c r="B3852" s="54">
        <f t="shared" si="1414"/>
        <v>46419</v>
      </c>
      <c r="C3852" s="52">
        <f>IF(N(INDEX(sc_ach,1))=0,IF(Inputs!$G$126="",1,Inputs!$G$126),INDEX(sc_ach,1))</f>
        <v>1</v>
      </c>
      <c r="D3852" s="52">
        <f>IF(Inputs!$C$126="",0,IF(Inputs!$E$126="planned",(Inputs!$D$126+N(INDEX(sc_dpts,1)))*$C3852,Inputs!$D$126))</f>
        <v>0.04</v>
      </c>
      <c r="E3852" s="53">
        <f>IF(Inputs!$C$126="",0,IF(1+$D3852&gt;0,LN(1+$D3852),0))</f>
        <v>3.9220713153281329E-2</v>
      </c>
      <c r="F3852" s="55">
        <f t="shared" si="1415"/>
        <v>28</v>
      </c>
      <c r="G3852" s="55">
        <f>IF($A3852="",0,COUNTIFS(rl_key,Inputs!$J$126,$B$3806:$B$4045,$B3852,$A$3806:$A$4045,"&lt;"&amp;$A3852))</f>
        <v>0</v>
      </c>
      <c r="H3852" s="55">
        <f>IF($A3852="",0,COUNTIFS(Inputs!$J$80:$J$126,Inputs!$J$126,$B$3806:$B3852,$B3852,$A$3806:$A3852,$A3852))</f>
        <v>1</v>
      </c>
      <c r="I3852" s="55">
        <f t="shared" si="1416"/>
        <v>1</v>
      </c>
      <c r="K3852" s="54">
        <f>IF(Inputs!$C$126="","",IF(Inputs!$E$126="planned",EDATE(Inputs!$C$126,N(INDEX(sc_shift,2))),Inputs!$C$126))</f>
        <v>46419</v>
      </c>
      <c r="L3852" s="54">
        <f t="shared" si="1417"/>
        <v>46419</v>
      </c>
      <c r="M3852" s="52">
        <f>IF(N(INDEX(sc_ach,2))=0,IF(Inputs!$G$126="",1,Inputs!$G$126),INDEX(sc_ach,2))</f>
        <v>1</v>
      </c>
      <c r="N3852" s="52">
        <f>IF(Inputs!$C$126="",0,IF(Inputs!$E$126="planned",(Inputs!$D$126+N(INDEX(sc_dpts,2)))*$M3852,Inputs!$D$126))</f>
        <v>0.04</v>
      </c>
      <c r="O3852" s="53">
        <f>IF(Inputs!$C$126="",0,IF(1+$N3852&gt;0,LN(1+$N3852),0))</f>
        <v>3.9220713153281329E-2</v>
      </c>
      <c r="P3852" s="55">
        <f t="shared" si="1418"/>
        <v>28</v>
      </c>
      <c r="Q3852" s="55">
        <f>IF($K3852="",0,COUNTIFS(rl_key,Inputs!$J$126,$L$3806:$L$4045,$L3852,$K$3806:$K$4045,"&lt;"&amp;$K3852))</f>
        <v>0</v>
      </c>
      <c r="R3852" s="55">
        <f>IF($K3852="",0,COUNTIFS(Inputs!$J$80:$J$126,Inputs!$J$126,$L$3806:$L3852,$L3852,$K$3806:$K3852,$K3852))</f>
        <v>1</v>
      </c>
      <c r="S3852" s="55">
        <f t="shared" si="1419"/>
        <v>1</v>
      </c>
      <c r="U3852" s="54">
        <f>IF(Inputs!$C$126="","",IF(Inputs!$E$126="planned",EDATE(Inputs!$C$126,N(INDEX(sc_shift,3))),Inputs!$C$126))</f>
        <v>46419</v>
      </c>
      <c r="V3852" s="54">
        <f t="shared" si="1420"/>
        <v>46419</v>
      </c>
      <c r="W3852" s="52">
        <f>IF(N(INDEX(sc_ach,3))=0,IF(Inputs!$G$126="",1,Inputs!$G$126),INDEX(sc_ach,3))</f>
        <v>1</v>
      </c>
      <c r="X3852" s="52">
        <f>IF(Inputs!$C$126="",0,IF(Inputs!$E$126="planned",(Inputs!$D$126+N(INDEX(sc_dpts,3)))*$W3852,Inputs!$D$126))</f>
        <v>0.04</v>
      </c>
      <c r="Y3852" s="53">
        <f>IF(Inputs!$C$126="",0,IF(1+$X3852&gt;0,LN(1+$X3852),0))</f>
        <v>3.9220713153281329E-2</v>
      </c>
      <c r="Z3852" s="55">
        <f t="shared" si="1421"/>
        <v>28</v>
      </c>
      <c r="AA3852" s="55">
        <f>IF($U3852="",0,COUNTIFS(rl_key,Inputs!$J$126,$V$3806:$V$4045,$V3852,$U$3806:$U$4045,"&lt;"&amp;$U3852))</f>
        <v>0</v>
      </c>
      <c r="AB3852" s="55">
        <f>IF($U3852="",0,COUNTIFS(Inputs!$J$80:$J$126,Inputs!$J$126,$V$3806:$V3852,$V3852,$U$3806:$U3852,$U3852))</f>
        <v>1</v>
      </c>
      <c r="AC3852" s="55">
        <f t="shared" si="1422"/>
        <v>1</v>
      </c>
      <c r="AE3852" s="54">
        <f>IF(Inputs!$C$126="","",IF(Inputs!$E$126="planned",EDATE(Inputs!$C$126,N(INDEX(sc_shift,4))),Inputs!$C$126))</f>
        <v>46419</v>
      </c>
      <c r="AF3852" s="54">
        <f t="shared" si="1423"/>
        <v>46419</v>
      </c>
      <c r="AG3852" s="52">
        <f>IF(N(INDEX(sc_ach,4))=0,IF(Inputs!$G$126="",1,Inputs!$G$126),INDEX(sc_ach,4))</f>
        <v>1</v>
      </c>
      <c r="AH3852" s="52">
        <f>IF(Inputs!$C$126="",0,IF(Inputs!$E$126="planned",(Inputs!$D$126+N(INDEX(sc_dpts,4)))*$AG3852,Inputs!$D$126))</f>
        <v>0.04</v>
      </c>
      <c r="AI3852" s="53">
        <f>IF(Inputs!$C$126="",0,IF(1+$AH3852&gt;0,LN(1+$AH3852),0))</f>
        <v>3.9220713153281329E-2</v>
      </c>
      <c r="AJ3852" s="55">
        <f t="shared" si="1424"/>
        <v>28</v>
      </c>
      <c r="AK3852" s="55">
        <f>IF($AE3852="",0,COUNTIFS(rl_key,Inputs!$J$126,$AF$3806:$AF$4045,$AF3852,$AE$3806:$AE$4045,"&lt;"&amp;$AE3852))</f>
        <v>0</v>
      </c>
      <c r="AL3852" s="55">
        <f>IF($AE3852="",0,COUNTIFS(Inputs!$J$80:$J$126,Inputs!$J$126,$AF$3806:$AF3852,$AF3852,$AE$3806:$AE3852,$AE3852))</f>
        <v>1</v>
      </c>
      <c r="AM3852" s="55">
        <f t="shared" si="1425"/>
        <v>1</v>
      </c>
    </row>
    <row r="3853" spans="1:39" x14ac:dyDescent="0.25">
      <c r="A3853" s="54">
        <f>IF(Inputs!$C$127="","",IF(Inputs!$E$127="planned",EDATE(Inputs!$C$127,N(INDEX(sc_shift,1))),Inputs!$C$127))</f>
        <v>46204</v>
      </c>
      <c r="B3853" s="54">
        <f t="shared" si="1414"/>
        <v>46204</v>
      </c>
      <c r="C3853" s="52">
        <f>IF(N(INDEX(sc_ach,1))=0,IF(Inputs!$G$127="",1,Inputs!$G$127),INDEX(sc_ach,1))</f>
        <v>1</v>
      </c>
      <c r="D3853" s="52">
        <f>IF(Inputs!$C$127="",0,IF(Inputs!$E$127="planned",(Inputs!$D$127+N(INDEX(sc_dpts,1)))*$C3853,Inputs!$D$127))</f>
        <v>0.04</v>
      </c>
      <c r="E3853" s="53">
        <f>IF(Inputs!$C$127="",0,IF(1+$D3853&gt;0,LN(1+$D3853),0))</f>
        <v>3.9220713153281329E-2</v>
      </c>
      <c r="F3853" s="55">
        <f t="shared" si="1415"/>
        <v>31</v>
      </c>
      <c r="G3853" s="55">
        <f>IF($A3853="",0,COUNTIFS(rl_key,Inputs!$J$127,$B$3806:$B$4045,$B3853,$A$3806:$A$4045,"&lt;"&amp;$A3853))</f>
        <v>0</v>
      </c>
      <c r="H3853" s="55">
        <f>IF($A3853="",0,COUNTIFS(Inputs!$J$80:$J$127,Inputs!$J$127,$B$3806:$B3853,$B3853,$A$3806:$A3853,$A3853))</f>
        <v>1</v>
      </c>
      <c r="I3853" s="55">
        <f t="shared" si="1416"/>
        <v>1</v>
      </c>
      <c r="K3853" s="54">
        <f>IF(Inputs!$C$127="","",IF(Inputs!$E$127="planned",EDATE(Inputs!$C$127,N(INDEX(sc_shift,2))),Inputs!$C$127))</f>
        <v>46204</v>
      </c>
      <c r="L3853" s="54">
        <f t="shared" si="1417"/>
        <v>46204</v>
      </c>
      <c r="M3853" s="52">
        <f>IF(N(INDEX(sc_ach,2))=0,IF(Inputs!$G$127="",1,Inputs!$G$127),INDEX(sc_ach,2))</f>
        <v>1</v>
      </c>
      <c r="N3853" s="52">
        <f>IF(Inputs!$C$127="",0,IF(Inputs!$E$127="planned",(Inputs!$D$127+N(INDEX(sc_dpts,2)))*$M3853,Inputs!$D$127))</f>
        <v>0.04</v>
      </c>
      <c r="O3853" s="53">
        <f>IF(Inputs!$C$127="",0,IF(1+$N3853&gt;0,LN(1+$N3853),0))</f>
        <v>3.9220713153281329E-2</v>
      </c>
      <c r="P3853" s="55">
        <f t="shared" si="1418"/>
        <v>31</v>
      </c>
      <c r="Q3853" s="55">
        <f>IF($K3853="",0,COUNTIFS(rl_key,Inputs!$J$127,$L$3806:$L$4045,$L3853,$K$3806:$K$4045,"&lt;"&amp;$K3853))</f>
        <v>0</v>
      </c>
      <c r="R3853" s="55">
        <f>IF($K3853="",0,COUNTIFS(Inputs!$J$80:$J$127,Inputs!$J$127,$L$3806:$L3853,$L3853,$K$3806:$K3853,$K3853))</f>
        <v>1</v>
      </c>
      <c r="S3853" s="55">
        <f t="shared" si="1419"/>
        <v>1</v>
      </c>
      <c r="U3853" s="54">
        <f>IF(Inputs!$C$127="","",IF(Inputs!$E$127="planned",EDATE(Inputs!$C$127,N(INDEX(sc_shift,3))),Inputs!$C$127))</f>
        <v>46204</v>
      </c>
      <c r="V3853" s="54">
        <f t="shared" si="1420"/>
        <v>46204</v>
      </c>
      <c r="W3853" s="52">
        <f>IF(N(INDEX(sc_ach,3))=0,IF(Inputs!$G$127="",1,Inputs!$G$127),INDEX(sc_ach,3))</f>
        <v>1</v>
      </c>
      <c r="X3853" s="52">
        <f>IF(Inputs!$C$127="",0,IF(Inputs!$E$127="planned",(Inputs!$D$127+N(INDEX(sc_dpts,3)))*$W3853,Inputs!$D$127))</f>
        <v>0.04</v>
      </c>
      <c r="Y3853" s="53">
        <f>IF(Inputs!$C$127="",0,IF(1+$X3853&gt;0,LN(1+$X3853),0))</f>
        <v>3.9220713153281329E-2</v>
      </c>
      <c r="Z3853" s="55">
        <f t="shared" si="1421"/>
        <v>31</v>
      </c>
      <c r="AA3853" s="55">
        <f>IF($U3853="",0,COUNTIFS(rl_key,Inputs!$J$127,$V$3806:$V$4045,$V3853,$U$3806:$U$4045,"&lt;"&amp;$U3853))</f>
        <v>0</v>
      </c>
      <c r="AB3853" s="55">
        <f>IF($U3853="",0,COUNTIFS(Inputs!$J$80:$J$127,Inputs!$J$127,$V$3806:$V3853,$V3853,$U$3806:$U3853,$U3853))</f>
        <v>1</v>
      </c>
      <c r="AC3853" s="55">
        <f t="shared" si="1422"/>
        <v>1</v>
      </c>
      <c r="AE3853" s="54">
        <f>IF(Inputs!$C$127="","",IF(Inputs!$E$127="planned",EDATE(Inputs!$C$127,N(INDEX(sc_shift,4))),Inputs!$C$127))</f>
        <v>46204</v>
      </c>
      <c r="AF3853" s="54">
        <f t="shared" si="1423"/>
        <v>46204</v>
      </c>
      <c r="AG3853" s="52">
        <f>IF(N(INDEX(sc_ach,4))=0,IF(Inputs!$G$127="",1,Inputs!$G$127),INDEX(sc_ach,4))</f>
        <v>1</v>
      </c>
      <c r="AH3853" s="52">
        <f>IF(Inputs!$C$127="",0,IF(Inputs!$E$127="planned",(Inputs!$D$127+N(INDEX(sc_dpts,4)))*$AG3853,Inputs!$D$127))</f>
        <v>0.04</v>
      </c>
      <c r="AI3853" s="53">
        <f>IF(Inputs!$C$127="",0,IF(1+$AH3853&gt;0,LN(1+$AH3853),0))</f>
        <v>3.9220713153281329E-2</v>
      </c>
      <c r="AJ3853" s="55">
        <f t="shared" si="1424"/>
        <v>31</v>
      </c>
      <c r="AK3853" s="55">
        <f>IF($AE3853="",0,COUNTIFS(rl_key,Inputs!$J$127,$AF$3806:$AF$4045,$AF3853,$AE$3806:$AE$4045,"&lt;"&amp;$AE3853))</f>
        <v>0</v>
      </c>
      <c r="AL3853" s="55">
        <f>IF($AE3853="",0,COUNTIFS(Inputs!$J$80:$J$127,Inputs!$J$127,$AF$3806:$AF3853,$AF3853,$AE$3806:$AE3853,$AE3853))</f>
        <v>1</v>
      </c>
      <c r="AM3853" s="55">
        <f t="shared" si="1425"/>
        <v>1</v>
      </c>
    </row>
    <row r="3854" spans="1:39" x14ac:dyDescent="0.25">
      <c r="A3854" s="54">
        <f>IF(Inputs!$C$128="","",IF(Inputs!$E$128="planned",EDATE(Inputs!$C$128,N(INDEX(sc_shift,1))),Inputs!$C$128))</f>
        <v>46235</v>
      </c>
      <c r="B3854" s="54">
        <f t="shared" si="1414"/>
        <v>46235</v>
      </c>
      <c r="C3854" s="52">
        <f>IF(N(INDEX(sc_ach,1))=0,IF(Inputs!$G$128="",1,Inputs!$G$128),INDEX(sc_ach,1))</f>
        <v>1</v>
      </c>
      <c r="D3854" s="52">
        <f>IF(Inputs!$C$128="",0,IF(Inputs!$E$128="planned",(Inputs!$D$128+N(INDEX(sc_dpts,1)))*$C3854,Inputs!$D$128))</f>
        <v>0.05</v>
      </c>
      <c r="E3854" s="53">
        <f>IF(Inputs!$C$128="",0,IF(1+$D3854&gt;0,LN(1+$D3854),0))</f>
        <v>4.8790164169432049E-2</v>
      </c>
      <c r="F3854" s="55">
        <f t="shared" si="1415"/>
        <v>31</v>
      </c>
      <c r="G3854" s="55">
        <f>IF($A3854="",0,COUNTIFS(rl_key,Inputs!$J$128,$B$3806:$B$4045,$B3854,$A$3806:$A$4045,"&lt;"&amp;$A3854))</f>
        <v>0</v>
      </c>
      <c r="H3854" s="55">
        <f>IF($A3854="",0,COUNTIFS(Inputs!$J$80:$J$128,Inputs!$J$128,$B$3806:$B3854,$B3854,$A$3806:$A3854,$A3854))</f>
        <v>1</v>
      </c>
      <c r="I3854" s="55">
        <f t="shared" si="1416"/>
        <v>1</v>
      </c>
      <c r="K3854" s="54">
        <f>IF(Inputs!$C$128="","",IF(Inputs!$E$128="planned",EDATE(Inputs!$C$128,N(INDEX(sc_shift,2))),Inputs!$C$128))</f>
        <v>46235</v>
      </c>
      <c r="L3854" s="54">
        <f t="shared" si="1417"/>
        <v>46235</v>
      </c>
      <c r="M3854" s="52">
        <f>IF(N(INDEX(sc_ach,2))=0,IF(Inputs!$G$128="",1,Inputs!$G$128),INDEX(sc_ach,2))</f>
        <v>1</v>
      </c>
      <c r="N3854" s="52">
        <f>IF(Inputs!$C$128="",0,IF(Inputs!$E$128="planned",(Inputs!$D$128+N(INDEX(sc_dpts,2)))*$M3854,Inputs!$D$128))</f>
        <v>0.05</v>
      </c>
      <c r="O3854" s="53">
        <f>IF(Inputs!$C$128="",0,IF(1+$N3854&gt;0,LN(1+$N3854),0))</f>
        <v>4.8790164169432049E-2</v>
      </c>
      <c r="P3854" s="55">
        <f t="shared" si="1418"/>
        <v>31</v>
      </c>
      <c r="Q3854" s="55">
        <f>IF($K3854="",0,COUNTIFS(rl_key,Inputs!$J$128,$L$3806:$L$4045,$L3854,$K$3806:$K$4045,"&lt;"&amp;$K3854))</f>
        <v>0</v>
      </c>
      <c r="R3854" s="55">
        <f>IF($K3854="",0,COUNTIFS(Inputs!$J$80:$J$128,Inputs!$J$128,$L$3806:$L3854,$L3854,$K$3806:$K3854,$K3854))</f>
        <v>1</v>
      </c>
      <c r="S3854" s="55">
        <f t="shared" si="1419"/>
        <v>1</v>
      </c>
      <c r="U3854" s="54">
        <f>IF(Inputs!$C$128="","",IF(Inputs!$E$128="planned",EDATE(Inputs!$C$128,N(INDEX(sc_shift,3))),Inputs!$C$128))</f>
        <v>46235</v>
      </c>
      <c r="V3854" s="54">
        <f t="shared" si="1420"/>
        <v>46235</v>
      </c>
      <c r="W3854" s="52">
        <f>IF(N(INDEX(sc_ach,3))=0,IF(Inputs!$G$128="",1,Inputs!$G$128),INDEX(sc_ach,3))</f>
        <v>1</v>
      </c>
      <c r="X3854" s="52">
        <f>IF(Inputs!$C$128="",0,IF(Inputs!$E$128="planned",(Inputs!$D$128+N(INDEX(sc_dpts,3)))*$W3854,Inputs!$D$128))</f>
        <v>0.05</v>
      </c>
      <c r="Y3854" s="53">
        <f>IF(Inputs!$C$128="",0,IF(1+$X3854&gt;0,LN(1+$X3854),0))</f>
        <v>4.8790164169432049E-2</v>
      </c>
      <c r="Z3854" s="55">
        <f t="shared" si="1421"/>
        <v>31</v>
      </c>
      <c r="AA3854" s="55">
        <f>IF($U3854="",0,COUNTIFS(rl_key,Inputs!$J$128,$V$3806:$V$4045,$V3854,$U$3806:$U$4045,"&lt;"&amp;$U3854))</f>
        <v>0</v>
      </c>
      <c r="AB3854" s="55">
        <f>IF($U3854="",0,COUNTIFS(Inputs!$J$80:$J$128,Inputs!$J$128,$V$3806:$V3854,$V3854,$U$3806:$U3854,$U3854))</f>
        <v>1</v>
      </c>
      <c r="AC3854" s="55">
        <f t="shared" si="1422"/>
        <v>1</v>
      </c>
      <c r="AE3854" s="54">
        <f>IF(Inputs!$C$128="","",IF(Inputs!$E$128="planned",EDATE(Inputs!$C$128,N(INDEX(sc_shift,4))),Inputs!$C$128))</f>
        <v>46235</v>
      </c>
      <c r="AF3854" s="54">
        <f t="shared" si="1423"/>
        <v>46235</v>
      </c>
      <c r="AG3854" s="52">
        <f>IF(N(INDEX(sc_ach,4))=0,IF(Inputs!$G$128="",1,Inputs!$G$128),INDEX(sc_ach,4))</f>
        <v>1</v>
      </c>
      <c r="AH3854" s="52">
        <f>IF(Inputs!$C$128="",0,IF(Inputs!$E$128="planned",(Inputs!$D$128+N(INDEX(sc_dpts,4)))*$AG3854,Inputs!$D$128))</f>
        <v>0.05</v>
      </c>
      <c r="AI3854" s="53">
        <f>IF(Inputs!$C$128="",0,IF(1+$AH3854&gt;0,LN(1+$AH3854),0))</f>
        <v>4.8790164169432049E-2</v>
      </c>
      <c r="AJ3854" s="55">
        <f t="shared" si="1424"/>
        <v>31</v>
      </c>
      <c r="AK3854" s="55">
        <f>IF($AE3854="",0,COUNTIFS(rl_key,Inputs!$J$128,$AF$3806:$AF$4045,$AF3854,$AE$3806:$AE$4045,"&lt;"&amp;$AE3854))</f>
        <v>0</v>
      </c>
      <c r="AL3854" s="55">
        <f>IF($AE3854="",0,COUNTIFS(Inputs!$J$80:$J$128,Inputs!$J$128,$AF$3806:$AF3854,$AF3854,$AE$3806:$AE3854,$AE3854))</f>
        <v>1</v>
      </c>
      <c r="AM3854" s="55">
        <f t="shared" si="1425"/>
        <v>1</v>
      </c>
    </row>
    <row r="3855" spans="1:39" x14ac:dyDescent="0.25">
      <c r="A3855" s="54">
        <f>IF(Inputs!$C$129="","",IF(Inputs!$E$129="planned",EDATE(Inputs!$C$129,N(INDEX(sc_shift,1))),Inputs!$C$129))</f>
        <v>46296</v>
      </c>
      <c r="B3855" s="54">
        <f t="shared" si="1414"/>
        <v>46296</v>
      </c>
      <c r="C3855" s="52">
        <f>IF(N(INDEX(sc_ach,1))=0,IF(Inputs!$G$129="",1,Inputs!$G$129),INDEX(sc_ach,1))</f>
        <v>1</v>
      </c>
      <c r="D3855" s="52">
        <f>IF(Inputs!$C$129="",0,IF(Inputs!$E$129="planned",(Inputs!$D$129+N(INDEX(sc_dpts,1)))*$C3855,Inputs!$D$129))</f>
        <v>0.02</v>
      </c>
      <c r="E3855" s="53">
        <f>IF(Inputs!$C$129="",0,IF(1+$D3855&gt;0,LN(1+$D3855),0))</f>
        <v>1.980262729617973E-2</v>
      </c>
      <c r="F3855" s="55">
        <f t="shared" si="1415"/>
        <v>31</v>
      </c>
      <c r="G3855" s="55">
        <f>IF($A3855="",0,COUNTIFS(rl_key,Inputs!$J$129,$B$3806:$B$4045,$B3855,$A$3806:$A$4045,"&lt;"&amp;$A3855))</f>
        <v>0</v>
      </c>
      <c r="H3855" s="55">
        <f>IF($A3855="",0,COUNTIFS(Inputs!$J$80:$J$129,Inputs!$J$129,$B$3806:$B3855,$B3855,$A$3806:$A3855,$A3855))</f>
        <v>1</v>
      </c>
      <c r="I3855" s="55">
        <f t="shared" si="1416"/>
        <v>1</v>
      </c>
      <c r="K3855" s="54">
        <f>IF(Inputs!$C$129="","",IF(Inputs!$E$129="planned",EDATE(Inputs!$C$129,N(INDEX(sc_shift,2))),Inputs!$C$129))</f>
        <v>46296</v>
      </c>
      <c r="L3855" s="54">
        <f t="shared" si="1417"/>
        <v>46296</v>
      </c>
      <c r="M3855" s="52">
        <f>IF(N(INDEX(sc_ach,2))=0,IF(Inputs!$G$129="",1,Inputs!$G$129),INDEX(sc_ach,2))</f>
        <v>1</v>
      </c>
      <c r="N3855" s="52">
        <f>IF(Inputs!$C$129="",0,IF(Inputs!$E$129="planned",(Inputs!$D$129+N(INDEX(sc_dpts,2)))*$M3855,Inputs!$D$129))</f>
        <v>0.02</v>
      </c>
      <c r="O3855" s="53">
        <f>IF(Inputs!$C$129="",0,IF(1+$N3855&gt;0,LN(1+$N3855),0))</f>
        <v>1.980262729617973E-2</v>
      </c>
      <c r="P3855" s="55">
        <f t="shared" si="1418"/>
        <v>31</v>
      </c>
      <c r="Q3855" s="55">
        <f>IF($K3855="",0,COUNTIFS(rl_key,Inputs!$J$129,$L$3806:$L$4045,$L3855,$K$3806:$K$4045,"&lt;"&amp;$K3855))</f>
        <v>0</v>
      </c>
      <c r="R3855" s="55">
        <f>IF($K3855="",0,COUNTIFS(Inputs!$J$80:$J$129,Inputs!$J$129,$L$3806:$L3855,$L3855,$K$3806:$K3855,$K3855))</f>
        <v>1</v>
      </c>
      <c r="S3855" s="55">
        <f t="shared" si="1419"/>
        <v>1</v>
      </c>
      <c r="U3855" s="54">
        <f>IF(Inputs!$C$129="","",IF(Inputs!$E$129="planned",EDATE(Inputs!$C$129,N(INDEX(sc_shift,3))),Inputs!$C$129))</f>
        <v>46296</v>
      </c>
      <c r="V3855" s="54">
        <f t="shared" si="1420"/>
        <v>46296</v>
      </c>
      <c r="W3855" s="52">
        <f>IF(N(INDEX(sc_ach,3))=0,IF(Inputs!$G$129="",1,Inputs!$G$129),INDEX(sc_ach,3))</f>
        <v>1</v>
      </c>
      <c r="X3855" s="52">
        <f>IF(Inputs!$C$129="",0,IF(Inputs!$E$129="planned",(Inputs!$D$129+N(INDEX(sc_dpts,3)))*$W3855,Inputs!$D$129))</f>
        <v>0.02</v>
      </c>
      <c r="Y3855" s="53">
        <f>IF(Inputs!$C$129="",0,IF(1+$X3855&gt;0,LN(1+$X3855),0))</f>
        <v>1.980262729617973E-2</v>
      </c>
      <c r="Z3855" s="55">
        <f t="shared" si="1421"/>
        <v>31</v>
      </c>
      <c r="AA3855" s="55">
        <f>IF($U3855="",0,COUNTIFS(rl_key,Inputs!$J$129,$V$3806:$V$4045,$V3855,$U$3806:$U$4045,"&lt;"&amp;$U3855))</f>
        <v>0</v>
      </c>
      <c r="AB3855" s="55">
        <f>IF($U3855="",0,COUNTIFS(Inputs!$J$80:$J$129,Inputs!$J$129,$V$3806:$V3855,$V3855,$U$3806:$U3855,$U3855))</f>
        <v>1</v>
      </c>
      <c r="AC3855" s="55">
        <f t="shared" si="1422"/>
        <v>1</v>
      </c>
      <c r="AE3855" s="54">
        <f>IF(Inputs!$C$129="","",IF(Inputs!$E$129="planned",EDATE(Inputs!$C$129,N(INDEX(sc_shift,4))),Inputs!$C$129))</f>
        <v>46296</v>
      </c>
      <c r="AF3855" s="54">
        <f t="shared" si="1423"/>
        <v>46296</v>
      </c>
      <c r="AG3855" s="52">
        <f>IF(N(INDEX(sc_ach,4))=0,IF(Inputs!$G$129="",1,Inputs!$G$129),INDEX(sc_ach,4))</f>
        <v>1</v>
      </c>
      <c r="AH3855" s="52">
        <f>IF(Inputs!$C$129="",0,IF(Inputs!$E$129="planned",(Inputs!$D$129+N(INDEX(sc_dpts,4)))*$AG3855,Inputs!$D$129))</f>
        <v>0.02</v>
      </c>
      <c r="AI3855" s="53">
        <f>IF(Inputs!$C$129="",0,IF(1+$AH3855&gt;0,LN(1+$AH3855),0))</f>
        <v>1.980262729617973E-2</v>
      </c>
      <c r="AJ3855" s="55">
        <f t="shared" si="1424"/>
        <v>31</v>
      </c>
      <c r="AK3855" s="55">
        <f>IF($AE3855="",0,COUNTIFS(rl_key,Inputs!$J$129,$AF$3806:$AF$4045,$AF3855,$AE$3806:$AE$4045,"&lt;"&amp;$AE3855))</f>
        <v>0</v>
      </c>
      <c r="AL3855" s="55">
        <f>IF($AE3855="",0,COUNTIFS(Inputs!$J$80:$J$129,Inputs!$J$129,$AF$3806:$AF3855,$AF3855,$AE$3806:$AE3855,$AE3855))</f>
        <v>1</v>
      </c>
      <c r="AM3855" s="55">
        <f t="shared" si="1425"/>
        <v>1</v>
      </c>
    </row>
    <row r="3856" spans="1:39" x14ac:dyDescent="0.25">
      <c r="A3856" s="54">
        <f>IF(Inputs!$C$130="","",IF(Inputs!$E$130="planned",EDATE(Inputs!$C$130,N(INDEX(sc_shift,1))),Inputs!$C$130))</f>
        <v>46539</v>
      </c>
      <c r="B3856" s="54">
        <f t="shared" si="1414"/>
        <v>46539</v>
      </c>
      <c r="C3856" s="52">
        <f>IF(N(INDEX(sc_ach,1))=0,IF(Inputs!$G$130="",1,Inputs!$G$130),INDEX(sc_ach,1))</f>
        <v>1</v>
      </c>
      <c r="D3856" s="52">
        <f>IF(Inputs!$C$130="",0,IF(Inputs!$E$130="planned",(Inputs!$D$130+N(INDEX(sc_dpts,1)))*$C3856,Inputs!$D$130))</f>
        <v>0.04</v>
      </c>
      <c r="E3856" s="53">
        <f>IF(Inputs!$C$130="",0,IF(1+$D3856&gt;0,LN(1+$D3856),0))</f>
        <v>3.9220713153281329E-2</v>
      </c>
      <c r="F3856" s="55">
        <f t="shared" si="1415"/>
        <v>30</v>
      </c>
      <c r="G3856" s="55">
        <f>IF($A3856="",0,COUNTIFS(rl_key,Inputs!$J$130,$B$3806:$B$4045,$B3856,$A$3806:$A$4045,"&lt;"&amp;$A3856))</f>
        <v>0</v>
      </c>
      <c r="H3856" s="55">
        <f>IF($A3856="",0,COUNTIFS(Inputs!$J$80:$J$130,Inputs!$J$130,$B$3806:$B3856,$B3856,$A$3806:$A3856,$A3856))</f>
        <v>1</v>
      </c>
      <c r="I3856" s="55">
        <f t="shared" si="1416"/>
        <v>1</v>
      </c>
      <c r="K3856" s="54">
        <f>IF(Inputs!$C$130="","",IF(Inputs!$E$130="planned",EDATE(Inputs!$C$130,N(INDEX(sc_shift,2))),Inputs!$C$130))</f>
        <v>46539</v>
      </c>
      <c r="L3856" s="54">
        <f t="shared" si="1417"/>
        <v>46539</v>
      </c>
      <c r="M3856" s="52">
        <f>IF(N(INDEX(sc_ach,2))=0,IF(Inputs!$G$130="",1,Inputs!$G$130),INDEX(sc_ach,2))</f>
        <v>1</v>
      </c>
      <c r="N3856" s="52">
        <f>IF(Inputs!$C$130="",0,IF(Inputs!$E$130="planned",(Inputs!$D$130+N(INDEX(sc_dpts,2)))*$M3856,Inputs!$D$130))</f>
        <v>0.04</v>
      </c>
      <c r="O3856" s="53">
        <f>IF(Inputs!$C$130="",0,IF(1+$N3856&gt;0,LN(1+$N3856),0))</f>
        <v>3.9220713153281329E-2</v>
      </c>
      <c r="P3856" s="55">
        <f t="shared" si="1418"/>
        <v>30</v>
      </c>
      <c r="Q3856" s="55">
        <f>IF($K3856="",0,COUNTIFS(rl_key,Inputs!$J$130,$L$3806:$L$4045,$L3856,$K$3806:$K$4045,"&lt;"&amp;$K3856))</f>
        <v>0</v>
      </c>
      <c r="R3856" s="55">
        <f>IF($K3856="",0,COUNTIFS(Inputs!$J$80:$J$130,Inputs!$J$130,$L$3806:$L3856,$L3856,$K$3806:$K3856,$K3856))</f>
        <v>1</v>
      </c>
      <c r="S3856" s="55">
        <f t="shared" si="1419"/>
        <v>1</v>
      </c>
      <c r="U3856" s="54">
        <f>IF(Inputs!$C$130="","",IF(Inputs!$E$130="planned",EDATE(Inputs!$C$130,N(INDEX(sc_shift,3))),Inputs!$C$130))</f>
        <v>46539</v>
      </c>
      <c r="V3856" s="54">
        <f t="shared" si="1420"/>
        <v>46539</v>
      </c>
      <c r="W3856" s="52">
        <f>IF(N(INDEX(sc_ach,3))=0,IF(Inputs!$G$130="",1,Inputs!$G$130),INDEX(sc_ach,3))</f>
        <v>1</v>
      </c>
      <c r="X3856" s="52">
        <f>IF(Inputs!$C$130="",0,IF(Inputs!$E$130="planned",(Inputs!$D$130+N(INDEX(sc_dpts,3)))*$W3856,Inputs!$D$130))</f>
        <v>0.04</v>
      </c>
      <c r="Y3856" s="53">
        <f>IF(Inputs!$C$130="",0,IF(1+$X3856&gt;0,LN(1+$X3856),0))</f>
        <v>3.9220713153281329E-2</v>
      </c>
      <c r="Z3856" s="55">
        <f t="shared" si="1421"/>
        <v>30</v>
      </c>
      <c r="AA3856" s="55">
        <f>IF($U3856="",0,COUNTIFS(rl_key,Inputs!$J$130,$V$3806:$V$4045,$V3856,$U$3806:$U$4045,"&lt;"&amp;$U3856))</f>
        <v>0</v>
      </c>
      <c r="AB3856" s="55">
        <f>IF($U3856="",0,COUNTIFS(Inputs!$J$80:$J$130,Inputs!$J$130,$V$3806:$V3856,$V3856,$U$3806:$U3856,$U3856))</f>
        <v>1</v>
      </c>
      <c r="AC3856" s="55">
        <f t="shared" si="1422"/>
        <v>1</v>
      </c>
      <c r="AE3856" s="54">
        <f>IF(Inputs!$C$130="","",IF(Inputs!$E$130="planned",EDATE(Inputs!$C$130,N(INDEX(sc_shift,4))),Inputs!$C$130))</f>
        <v>46539</v>
      </c>
      <c r="AF3856" s="54">
        <f t="shared" si="1423"/>
        <v>46539</v>
      </c>
      <c r="AG3856" s="52">
        <f>IF(N(INDEX(sc_ach,4))=0,IF(Inputs!$G$130="",1,Inputs!$G$130),INDEX(sc_ach,4))</f>
        <v>1</v>
      </c>
      <c r="AH3856" s="52">
        <f>IF(Inputs!$C$130="",0,IF(Inputs!$E$130="planned",(Inputs!$D$130+N(INDEX(sc_dpts,4)))*$AG3856,Inputs!$D$130))</f>
        <v>0.04</v>
      </c>
      <c r="AI3856" s="53">
        <f>IF(Inputs!$C$130="",0,IF(1+$AH3856&gt;0,LN(1+$AH3856),0))</f>
        <v>3.9220713153281329E-2</v>
      </c>
      <c r="AJ3856" s="55">
        <f t="shared" si="1424"/>
        <v>30</v>
      </c>
      <c r="AK3856" s="55">
        <f>IF($AE3856="",0,COUNTIFS(rl_key,Inputs!$J$130,$AF$3806:$AF$4045,$AF3856,$AE$3806:$AE$4045,"&lt;"&amp;$AE3856))</f>
        <v>0</v>
      </c>
      <c r="AL3856" s="55">
        <f>IF($AE3856="",0,COUNTIFS(Inputs!$J$80:$J$130,Inputs!$J$130,$AF$3806:$AF3856,$AF3856,$AE$3806:$AE3856,$AE3856))</f>
        <v>1</v>
      </c>
      <c r="AM3856" s="55">
        <f t="shared" si="1425"/>
        <v>1</v>
      </c>
    </row>
    <row r="3857" spans="1:39" x14ac:dyDescent="0.25">
      <c r="A3857" s="54">
        <f>IF(Inputs!$C$131="","",IF(Inputs!$E$131="planned",EDATE(Inputs!$C$131,N(INDEX(sc_shift,1))),Inputs!$C$131))</f>
        <v>46054</v>
      </c>
      <c r="B3857" s="54">
        <f t="shared" si="1414"/>
        <v>46054</v>
      </c>
      <c r="C3857" s="52">
        <f>IF(N(INDEX(sc_ach,1))=0,IF(Inputs!$G$131="",1,Inputs!$G$131),INDEX(sc_ach,1))</f>
        <v>1</v>
      </c>
      <c r="D3857" s="52">
        <f>IF(Inputs!$C$131="",0,IF(Inputs!$E$131="planned",(Inputs!$D$131+N(INDEX(sc_dpts,1)))*$C3857,Inputs!$D$131))</f>
        <v>0.06</v>
      </c>
      <c r="E3857" s="53">
        <f>IF(Inputs!$C$131="",0,IF(1+$D3857&gt;0,LN(1+$D3857),0))</f>
        <v>5.8268908123975824E-2</v>
      </c>
      <c r="F3857" s="55">
        <f t="shared" si="1415"/>
        <v>28</v>
      </c>
      <c r="G3857" s="55">
        <f>IF($A3857="",0,COUNTIFS(rl_key,Inputs!$J$131,$B$3806:$B$4045,$B3857,$A$3806:$A$4045,"&lt;"&amp;$A3857))</f>
        <v>0</v>
      </c>
      <c r="H3857" s="55">
        <f>IF($A3857="",0,COUNTIFS(Inputs!$J$80:$J$131,Inputs!$J$131,$B$3806:$B3857,$B3857,$A$3806:$A3857,$A3857))</f>
        <v>1</v>
      </c>
      <c r="I3857" s="55">
        <f t="shared" si="1416"/>
        <v>1</v>
      </c>
      <c r="K3857" s="54">
        <f>IF(Inputs!$C$131="","",IF(Inputs!$E$131="planned",EDATE(Inputs!$C$131,N(INDEX(sc_shift,2))),Inputs!$C$131))</f>
        <v>46054</v>
      </c>
      <c r="L3857" s="54">
        <f t="shared" si="1417"/>
        <v>46054</v>
      </c>
      <c r="M3857" s="52">
        <f>IF(N(INDEX(sc_ach,2))=0,IF(Inputs!$G$131="",1,Inputs!$G$131),INDEX(sc_ach,2))</f>
        <v>1</v>
      </c>
      <c r="N3857" s="52">
        <f>IF(Inputs!$C$131="",0,IF(Inputs!$E$131="planned",(Inputs!$D$131+N(INDEX(sc_dpts,2)))*$M3857,Inputs!$D$131))</f>
        <v>0.06</v>
      </c>
      <c r="O3857" s="53">
        <f>IF(Inputs!$C$131="",0,IF(1+$N3857&gt;0,LN(1+$N3857),0))</f>
        <v>5.8268908123975824E-2</v>
      </c>
      <c r="P3857" s="55">
        <f t="shared" si="1418"/>
        <v>28</v>
      </c>
      <c r="Q3857" s="55">
        <f>IF($K3857="",0,COUNTIFS(rl_key,Inputs!$J$131,$L$3806:$L$4045,$L3857,$K$3806:$K$4045,"&lt;"&amp;$K3857))</f>
        <v>0</v>
      </c>
      <c r="R3857" s="55">
        <f>IF($K3857="",0,COUNTIFS(Inputs!$J$80:$J$131,Inputs!$J$131,$L$3806:$L3857,$L3857,$K$3806:$K3857,$K3857))</f>
        <v>1</v>
      </c>
      <c r="S3857" s="55">
        <f t="shared" si="1419"/>
        <v>1</v>
      </c>
      <c r="U3857" s="54">
        <f>IF(Inputs!$C$131="","",IF(Inputs!$E$131="planned",EDATE(Inputs!$C$131,N(INDEX(sc_shift,3))),Inputs!$C$131))</f>
        <v>46054</v>
      </c>
      <c r="V3857" s="54">
        <f t="shared" si="1420"/>
        <v>46054</v>
      </c>
      <c r="W3857" s="52">
        <f>IF(N(INDEX(sc_ach,3))=0,IF(Inputs!$G$131="",1,Inputs!$G$131),INDEX(sc_ach,3))</f>
        <v>1</v>
      </c>
      <c r="X3857" s="52">
        <f>IF(Inputs!$C$131="",0,IF(Inputs!$E$131="planned",(Inputs!$D$131+N(INDEX(sc_dpts,3)))*$W3857,Inputs!$D$131))</f>
        <v>0.06</v>
      </c>
      <c r="Y3857" s="53">
        <f>IF(Inputs!$C$131="",0,IF(1+$X3857&gt;0,LN(1+$X3857),0))</f>
        <v>5.8268908123975824E-2</v>
      </c>
      <c r="Z3857" s="55">
        <f t="shared" si="1421"/>
        <v>28</v>
      </c>
      <c r="AA3857" s="55">
        <f>IF($U3857="",0,COUNTIFS(rl_key,Inputs!$J$131,$V$3806:$V$4045,$V3857,$U$3806:$U$4045,"&lt;"&amp;$U3857))</f>
        <v>0</v>
      </c>
      <c r="AB3857" s="55">
        <f>IF($U3857="",0,COUNTIFS(Inputs!$J$80:$J$131,Inputs!$J$131,$V$3806:$V3857,$V3857,$U$3806:$U3857,$U3857))</f>
        <v>1</v>
      </c>
      <c r="AC3857" s="55">
        <f t="shared" si="1422"/>
        <v>1</v>
      </c>
      <c r="AE3857" s="54">
        <f>IF(Inputs!$C$131="","",IF(Inputs!$E$131="planned",EDATE(Inputs!$C$131,N(INDEX(sc_shift,4))),Inputs!$C$131))</f>
        <v>46054</v>
      </c>
      <c r="AF3857" s="54">
        <f t="shared" si="1423"/>
        <v>46054</v>
      </c>
      <c r="AG3857" s="52">
        <f>IF(N(INDEX(sc_ach,4))=0,IF(Inputs!$G$131="",1,Inputs!$G$131),INDEX(sc_ach,4))</f>
        <v>1</v>
      </c>
      <c r="AH3857" s="52">
        <f>IF(Inputs!$C$131="",0,IF(Inputs!$E$131="planned",(Inputs!$D$131+N(INDEX(sc_dpts,4)))*$AG3857,Inputs!$D$131))</f>
        <v>0.06</v>
      </c>
      <c r="AI3857" s="53">
        <f>IF(Inputs!$C$131="",0,IF(1+$AH3857&gt;0,LN(1+$AH3857),0))</f>
        <v>5.8268908123975824E-2</v>
      </c>
      <c r="AJ3857" s="55">
        <f t="shared" si="1424"/>
        <v>28</v>
      </c>
      <c r="AK3857" s="55">
        <f>IF($AE3857="",0,COUNTIFS(rl_key,Inputs!$J$131,$AF$3806:$AF$4045,$AF3857,$AE$3806:$AE$4045,"&lt;"&amp;$AE3857))</f>
        <v>0</v>
      </c>
      <c r="AL3857" s="55">
        <f>IF($AE3857="",0,COUNTIFS(Inputs!$J$80:$J$131,Inputs!$J$131,$AF$3806:$AF3857,$AF3857,$AE$3806:$AE3857,$AE3857))</f>
        <v>1</v>
      </c>
      <c r="AM3857" s="55">
        <f t="shared" si="1425"/>
        <v>1</v>
      </c>
    </row>
    <row r="3858" spans="1:39" x14ac:dyDescent="0.25">
      <c r="A3858" s="54">
        <f>IF(Inputs!$C$132="","",IF(Inputs!$E$132="planned",EDATE(Inputs!$C$132,N(INDEX(sc_shift,1))),Inputs!$C$132))</f>
        <v>46661</v>
      </c>
      <c r="B3858" s="54">
        <f t="shared" si="1414"/>
        <v>46661</v>
      </c>
      <c r="C3858" s="52">
        <f>IF(N(INDEX(sc_ach,1))=0,IF(Inputs!$G$132="",1,Inputs!$G$132),INDEX(sc_ach,1))</f>
        <v>1</v>
      </c>
      <c r="D3858" s="52">
        <f>IF(Inputs!$C$132="",0,IF(Inputs!$E$132="planned",(Inputs!$D$132+N(INDEX(sc_dpts,1)))*$C3858,Inputs!$D$132))</f>
        <v>0.04</v>
      </c>
      <c r="E3858" s="53">
        <f>IF(Inputs!$C$132="",0,IF(1+$D3858&gt;0,LN(1+$D3858),0))</f>
        <v>3.9220713153281329E-2</v>
      </c>
      <c r="F3858" s="55">
        <f t="shared" si="1415"/>
        <v>31</v>
      </c>
      <c r="G3858" s="55">
        <f>IF($A3858="",0,COUNTIFS(rl_key,Inputs!$J$132,$B$3806:$B$4045,$B3858,$A$3806:$A$4045,"&lt;"&amp;$A3858))</f>
        <v>0</v>
      </c>
      <c r="H3858" s="55">
        <f>IF($A3858="",0,COUNTIFS(Inputs!$J$80:$J$132,Inputs!$J$132,$B$3806:$B3858,$B3858,$A$3806:$A3858,$A3858))</f>
        <v>1</v>
      </c>
      <c r="I3858" s="55">
        <f t="shared" si="1416"/>
        <v>1</v>
      </c>
      <c r="K3858" s="54">
        <f>IF(Inputs!$C$132="","",IF(Inputs!$E$132="planned",EDATE(Inputs!$C$132,N(INDEX(sc_shift,2))),Inputs!$C$132))</f>
        <v>46661</v>
      </c>
      <c r="L3858" s="54">
        <f t="shared" si="1417"/>
        <v>46661</v>
      </c>
      <c r="M3858" s="52">
        <f>IF(N(INDEX(sc_ach,2))=0,IF(Inputs!$G$132="",1,Inputs!$G$132),INDEX(sc_ach,2))</f>
        <v>1</v>
      </c>
      <c r="N3858" s="52">
        <f>IF(Inputs!$C$132="",0,IF(Inputs!$E$132="planned",(Inputs!$D$132+N(INDEX(sc_dpts,2)))*$M3858,Inputs!$D$132))</f>
        <v>0.04</v>
      </c>
      <c r="O3858" s="53">
        <f>IF(Inputs!$C$132="",0,IF(1+$N3858&gt;0,LN(1+$N3858),0))</f>
        <v>3.9220713153281329E-2</v>
      </c>
      <c r="P3858" s="55">
        <f t="shared" si="1418"/>
        <v>31</v>
      </c>
      <c r="Q3858" s="55">
        <f>IF($K3858="",0,COUNTIFS(rl_key,Inputs!$J$132,$L$3806:$L$4045,$L3858,$K$3806:$K$4045,"&lt;"&amp;$K3858))</f>
        <v>0</v>
      </c>
      <c r="R3858" s="55">
        <f>IF($K3858="",0,COUNTIFS(Inputs!$J$80:$J$132,Inputs!$J$132,$L$3806:$L3858,$L3858,$K$3806:$K3858,$K3858))</f>
        <v>1</v>
      </c>
      <c r="S3858" s="55">
        <f t="shared" si="1419"/>
        <v>1</v>
      </c>
      <c r="U3858" s="54">
        <f>IF(Inputs!$C$132="","",IF(Inputs!$E$132="planned",EDATE(Inputs!$C$132,N(INDEX(sc_shift,3))),Inputs!$C$132))</f>
        <v>46661</v>
      </c>
      <c r="V3858" s="54">
        <f t="shared" si="1420"/>
        <v>46661</v>
      </c>
      <c r="W3858" s="52">
        <f>IF(N(INDEX(sc_ach,3))=0,IF(Inputs!$G$132="",1,Inputs!$G$132),INDEX(sc_ach,3))</f>
        <v>1</v>
      </c>
      <c r="X3858" s="52">
        <f>IF(Inputs!$C$132="",0,IF(Inputs!$E$132="planned",(Inputs!$D$132+N(INDEX(sc_dpts,3)))*$W3858,Inputs!$D$132))</f>
        <v>0.04</v>
      </c>
      <c r="Y3858" s="53">
        <f>IF(Inputs!$C$132="",0,IF(1+$X3858&gt;0,LN(1+$X3858),0))</f>
        <v>3.9220713153281329E-2</v>
      </c>
      <c r="Z3858" s="55">
        <f t="shared" si="1421"/>
        <v>31</v>
      </c>
      <c r="AA3858" s="55">
        <f>IF($U3858="",0,COUNTIFS(rl_key,Inputs!$J$132,$V$3806:$V$4045,$V3858,$U$3806:$U$4045,"&lt;"&amp;$U3858))</f>
        <v>0</v>
      </c>
      <c r="AB3858" s="55">
        <f>IF($U3858="",0,COUNTIFS(Inputs!$J$80:$J$132,Inputs!$J$132,$V$3806:$V3858,$V3858,$U$3806:$U3858,$U3858))</f>
        <v>1</v>
      </c>
      <c r="AC3858" s="55">
        <f t="shared" si="1422"/>
        <v>1</v>
      </c>
      <c r="AE3858" s="54">
        <f>IF(Inputs!$C$132="","",IF(Inputs!$E$132="planned",EDATE(Inputs!$C$132,N(INDEX(sc_shift,4))),Inputs!$C$132))</f>
        <v>46661</v>
      </c>
      <c r="AF3858" s="54">
        <f t="shared" si="1423"/>
        <v>46661</v>
      </c>
      <c r="AG3858" s="52">
        <f>IF(N(INDEX(sc_ach,4))=0,IF(Inputs!$G$132="",1,Inputs!$G$132),INDEX(sc_ach,4))</f>
        <v>1</v>
      </c>
      <c r="AH3858" s="52">
        <f>IF(Inputs!$C$132="",0,IF(Inputs!$E$132="planned",(Inputs!$D$132+N(INDEX(sc_dpts,4)))*$AG3858,Inputs!$D$132))</f>
        <v>0.04</v>
      </c>
      <c r="AI3858" s="53">
        <f>IF(Inputs!$C$132="",0,IF(1+$AH3858&gt;0,LN(1+$AH3858),0))</f>
        <v>3.9220713153281329E-2</v>
      </c>
      <c r="AJ3858" s="55">
        <f t="shared" si="1424"/>
        <v>31</v>
      </c>
      <c r="AK3858" s="55">
        <f>IF($AE3858="",0,COUNTIFS(rl_key,Inputs!$J$132,$AF$3806:$AF$4045,$AF3858,$AE$3806:$AE$4045,"&lt;"&amp;$AE3858))</f>
        <v>0</v>
      </c>
      <c r="AL3858" s="55">
        <f>IF($AE3858="",0,COUNTIFS(Inputs!$J$80:$J$132,Inputs!$J$132,$AF$3806:$AF3858,$AF3858,$AE$3806:$AE3858,$AE3858))</f>
        <v>1</v>
      </c>
      <c r="AM3858" s="55">
        <f t="shared" si="1425"/>
        <v>1</v>
      </c>
    </row>
    <row r="3859" spans="1:39" x14ac:dyDescent="0.25">
      <c r="A3859" s="54">
        <f>IF(Inputs!$C$133="","",IF(Inputs!$E$133="planned",EDATE(Inputs!$C$133,N(INDEX(sc_shift,1))),Inputs!$C$133))</f>
        <v>46113</v>
      </c>
      <c r="B3859" s="54">
        <f t="shared" si="1414"/>
        <v>46113</v>
      </c>
      <c r="C3859" s="52">
        <f>IF(N(INDEX(sc_ach,1))=0,IF(Inputs!$G$133="",1,Inputs!$G$133),INDEX(sc_ach,1))</f>
        <v>1</v>
      </c>
      <c r="D3859" s="52">
        <f>IF(Inputs!$C$133="",0,IF(Inputs!$E$133="planned",(Inputs!$D$133+N(INDEX(sc_dpts,1)))*$C3859,Inputs!$D$133))</f>
        <v>0.03</v>
      </c>
      <c r="E3859" s="53">
        <f>IF(Inputs!$C$133="",0,IF(1+$D3859&gt;0,LN(1+$D3859),0))</f>
        <v>2.9558802241544429E-2</v>
      </c>
      <c r="F3859" s="55">
        <f t="shared" si="1415"/>
        <v>30</v>
      </c>
      <c r="G3859" s="55">
        <f>IF($A3859="",0,COUNTIFS(rl_key,Inputs!$J$133,$B$3806:$B$4045,$B3859,$A$3806:$A$4045,"&lt;"&amp;$A3859))</f>
        <v>0</v>
      </c>
      <c r="H3859" s="55">
        <f>IF($A3859="",0,COUNTIFS(Inputs!$J$80:$J$133,Inputs!$J$133,$B$3806:$B3859,$B3859,$A$3806:$A3859,$A3859))</f>
        <v>1</v>
      </c>
      <c r="I3859" s="55">
        <f t="shared" si="1416"/>
        <v>1</v>
      </c>
      <c r="K3859" s="54">
        <f>IF(Inputs!$C$133="","",IF(Inputs!$E$133="planned",EDATE(Inputs!$C$133,N(INDEX(sc_shift,2))),Inputs!$C$133))</f>
        <v>46113</v>
      </c>
      <c r="L3859" s="54">
        <f t="shared" si="1417"/>
        <v>46113</v>
      </c>
      <c r="M3859" s="52">
        <f>IF(N(INDEX(sc_ach,2))=0,IF(Inputs!$G$133="",1,Inputs!$G$133),INDEX(sc_ach,2))</f>
        <v>1</v>
      </c>
      <c r="N3859" s="52">
        <f>IF(Inputs!$C$133="",0,IF(Inputs!$E$133="planned",(Inputs!$D$133+N(INDEX(sc_dpts,2)))*$M3859,Inputs!$D$133))</f>
        <v>0.03</v>
      </c>
      <c r="O3859" s="53">
        <f>IF(Inputs!$C$133="",0,IF(1+$N3859&gt;0,LN(1+$N3859),0))</f>
        <v>2.9558802241544429E-2</v>
      </c>
      <c r="P3859" s="55">
        <f t="shared" si="1418"/>
        <v>30</v>
      </c>
      <c r="Q3859" s="55">
        <f>IF($K3859="",0,COUNTIFS(rl_key,Inputs!$J$133,$L$3806:$L$4045,$L3859,$K$3806:$K$4045,"&lt;"&amp;$K3859))</f>
        <v>0</v>
      </c>
      <c r="R3859" s="55">
        <f>IF($K3859="",0,COUNTIFS(Inputs!$J$80:$J$133,Inputs!$J$133,$L$3806:$L3859,$L3859,$K$3806:$K3859,$K3859))</f>
        <v>1</v>
      </c>
      <c r="S3859" s="55">
        <f t="shared" si="1419"/>
        <v>1</v>
      </c>
      <c r="U3859" s="54">
        <f>IF(Inputs!$C$133="","",IF(Inputs!$E$133="planned",EDATE(Inputs!$C$133,N(INDEX(sc_shift,3))),Inputs!$C$133))</f>
        <v>46113</v>
      </c>
      <c r="V3859" s="54">
        <f t="shared" si="1420"/>
        <v>46113</v>
      </c>
      <c r="W3859" s="52">
        <f>IF(N(INDEX(sc_ach,3))=0,IF(Inputs!$G$133="",1,Inputs!$G$133),INDEX(sc_ach,3))</f>
        <v>1</v>
      </c>
      <c r="X3859" s="52">
        <f>IF(Inputs!$C$133="",0,IF(Inputs!$E$133="planned",(Inputs!$D$133+N(INDEX(sc_dpts,3)))*$W3859,Inputs!$D$133))</f>
        <v>0.03</v>
      </c>
      <c r="Y3859" s="53">
        <f>IF(Inputs!$C$133="",0,IF(1+$X3859&gt;0,LN(1+$X3859),0))</f>
        <v>2.9558802241544429E-2</v>
      </c>
      <c r="Z3859" s="55">
        <f t="shared" si="1421"/>
        <v>30</v>
      </c>
      <c r="AA3859" s="55">
        <f>IF($U3859="",0,COUNTIFS(rl_key,Inputs!$J$133,$V$3806:$V$4045,$V3859,$U$3806:$U$4045,"&lt;"&amp;$U3859))</f>
        <v>0</v>
      </c>
      <c r="AB3859" s="55">
        <f>IF($U3859="",0,COUNTIFS(Inputs!$J$80:$J$133,Inputs!$J$133,$V$3806:$V3859,$V3859,$U$3806:$U3859,$U3859))</f>
        <v>1</v>
      </c>
      <c r="AC3859" s="55">
        <f t="shared" si="1422"/>
        <v>1</v>
      </c>
      <c r="AE3859" s="54">
        <f>IF(Inputs!$C$133="","",IF(Inputs!$E$133="planned",EDATE(Inputs!$C$133,N(INDEX(sc_shift,4))),Inputs!$C$133))</f>
        <v>46113</v>
      </c>
      <c r="AF3859" s="54">
        <f t="shared" si="1423"/>
        <v>46113</v>
      </c>
      <c r="AG3859" s="52">
        <f>IF(N(INDEX(sc_ach,4))=0,IF(Inputs!$G$133="",1,Inputs!$G$133),INDEX(sc_ach,4))</f>
        <v>1</v>
      </c>
      <c r="AH3859" s="52">
        <f>IF(Inputs!$C$133="",0,IF(Inputs!$E$133="planned",(Inputs!$D$133+N(INDEX(sc_dpts,4)))*$AG3859,Inputs!$D$133))</f>
        <v>0.03</v>
      </c>
      <c r="AI3859" s="53">
        <f>IF(Inputs!$C$133="",0,IF(1+$AH3859&gt;0,LN(1+$AH3859),0))</f>
        <v>2.9558802241544429E-2</v>
      </c>
      <c r="AJ3859" s="55">
        <f t="shared" si="1424"/>
        <v>30</v>
      </c>
      <c r="AK3859" s="55">
        <f>IF($AE3859="",0,COUNTIFS(rl_key,Inputs!$J$133,$AF$3806:$AF$4045,$AF3859,$AE$3806:$AE$4045,"&lt;"&amp;$AE3859))</f>
        <v>0</v>
      </c>
      <c r="AL3859" s="55">
        <f>IF($AE3859="",0,COUNTIFS(Inputs!$J$80:$J$133,Inputs!$J$133,$AF$3806:$AF3859,$AF3859,$AE$3806:$AE3859,$AE3859))</f>
        <v>1</v>
      </c>
      <c r="AM3859" s="55">
        <f t="shared" si="1425"/>
        <v>1</v>
      </c>
    </row>
    <row r="3860" spans="1:39" x14ac:dyDescent="0.25">
      <c r="A3860" s="54">
        <f>IF(Inputs!$C$134="","",IF(Inputs!$E$134="planned",EDATE(Inputs!$C$134,N(INDEX(sc_shift,1))),Inputs!$C$134))</f>
        <v>46143</v>
      </c>
      <c r="B3860" s="54">
        <f t="shared" si="1414"/>
        <v>46143</v>
      </c>
      <c r="C3860" s="52">
        <f>IF(N(INDEX(sc_ach,1))=0,IF(Inputs!$G$134="",1,Inputs!$G$134),INDEX(sc_ach,1))</f>
        <v>1</v>
      </c>
      <c r="D3860" s="52">
        <f>IF(Inputs!$C$134="",0,IF(Inputs!$E$134="planned",(Inputs!$D$134+N(INDEX(sc_dpts,1)))*$C3860,Inputs!$D$134))</f>
        <v>0.04</v>
      </c>
      <c r="E3860" s="53">
        <f>IF(Inputs!$C$134="",0,IF(1+$D3860&gt;0,LN(1+$D3860),0))</f>
        <v>3.9220713153281329E-2</v>
      </c>
      <c r="F3860" s="55">
        <f t="shared" si="1415"/>
        <v>31</v>
      </c>
      <c r="G3860" s="55">
        <f>IF($A3860="",0,COUNTIFS(rl_key,Inputs!$J$134,$B$3806:$B$4045,$B3860,$A$3806:$A$4045,"&lt;"&amp;$A3860))</f>
        <v>0</v>
      </c>
      <c r="H3860" s="55">
        <f>IF($A3860="",0,COUNTIFS(Inputs!$J$80:$J$134,Inputs!$J$134,$B$3806:$B3860,$B3860,$A$3806:$A3860,$A3860))</f>
        <v>1</v>
      </c>
      <c r="I3860" s="55">
        <f t="shared" si="1416"/>
        <v>1</v>
      </c>
      <c r="K3860" s="54">
        <f>IF(Inputs!$C$134="","",IF(Inputs!$E$134="planned",EDATE(Inputs!$C$134,N(INDEX(sc_shift,2))),Inputs!$C$134))</f>
        <v>46143</v>
      </c>
      <c r="L3860" s="54">
        <f t="shared" si="1417"/>
        <v>46143</v>
      </c>
      <c r="M3860" s="52">
        <f>IF(N(INDEX(sc_ach,2))=0,IF(Inputs!$G$134="",1,Inputs!$G$134),INDEX(sc_ach,2))</f>
        <v>1</v>
      </c>
      <c r="N3860" s="52">
        <f>IF(Inputs!$C$134="",0,IF(Inputs!$E$134="planned",(Inputs!$D$134+N(INDEX(sc_dpts,2)))*$M3860,Inputs!$D$134))</f>
        <v>0.04</v>
      </c>
      <c r="O3860" s="53">
        <f>IF(Inputs!$C$134="",0,IF(1+$N3860&gt;0,LN(1+$N3860),0))</f>
        <v>3.9220713153281329E-2</v>
      </c>
      <c r="P3860" s="55">
        <f t="shared" si="1418"/>
        <v>31</v>
      </c>
      <c r="Q3860" s="55">
        <f>IF($K3860="",0,COUNTIFS(rl_key,Inputs!$J$134,$L$3806:$L$4045,$L3860,$K$3806:$K$4045,"&lt;"&amp;$K3860))</f>
        <v>0</v>
      </c>
      <c r="R3860" s="55">
        <f>IF($K3860="",0,COUNTIFS(Inputs!$J$80:$J$134,Inputs!$J$134,$L$3806:$L3860,$L3860,$K$3806:$K3860,$K3860))</f>
        <v>1</v>
      </c>
      <c r="S3860" s="55">
        <f t="shared" si="1419"/>
        <v>1</v>
      </c>
      <c r="U3860" s="54">
        <f>IF(Inputs!$C$134="","",IF(Inputs!$E$134="planned",EDATE(Inputs!$C$134,N(INDEX(sc_shift,3))),Inputs!$C$134))</f>
        <v>46143</v>
      </c>
      <c r="V3860" s="54">
        <f t="shared" si="1420"/>
        <v>46143</v>
      </c>
      <c r="W3860" s="52">
        <f>IF(N(INDEX(sc_ach,3))=0,IF(Inputs!$G$134="",1,Inputs!$G$134),INDEX(sc_ach,3))</f>
        <v>1</v>
      </c>
      <c r="X3860" s="52">
        <f>IF(Inputs!$C$134="",0,IF(Inputs!$E$134="planned",(Inputs!$D$134+N(INDEX(sc_dpts,3)))*$W3860,Inputs!$D$134))</f>
        <v>0.04</v>
      </c>
      <c r="Y3860" s="53">
        <f>IF(Inputs!$C$134="",0,IF(1+$X3860&gt;0,LN(1+$X3860),0))</f>
        <v>3.9220713153281329E-2</v>
      </c>
      <c r="Z3860" s="55">
        <f t="shared" si="1421"/>
        <v>31</v>
      </c>
      <c r="AA3860" s="55">
        <f>IF($U3860="",0,COUNTIFS(rl_key,Inputs!$J$134,$V$3806:$V$4045,$V3860,$U$3806:$U$4045,"&lt;"&amp;$U3860))</f>
        <v>0</v>
      </c>
      <c r="AB3860" s="55">
        <f>IF($U3860="",0,COUNTIFS(Inputs!$J$80:$J$134,Inputs!$J$134,$V$3806:$V3860,$V3860,$U$3806:$U3860,$U3860))</f>
        <v>1</v>
      </c>
      <c r="AC3860" s="55">
        <f t="shared" si="1422"/>
        <v>1</v>
      </c>
      <c r="AE3860" s="54">
        <f>IF(Inputs!$C$134="","",IF(Inputs!$E$134="planned",EDATE(Inputs!$C$134,N(INDEX(sc_shift,4))),Inputs!$C$134))</f>
        <v>46143</v>
      </c>
      <c r="AF3860" s="54">
        <f t="shared" si="1423"/>
        <v>46143</v>
      </c>
      <c r="AG3860" s="52">
        <f>IF(N(INDEX(sc_ach,4))=0,IF(Inputs!$G$134="",1,Inputs!$G$134),INDEX(sc_ach,4))</f>
        <v>1</v>
      </c>
      <c r="AH3860" s="52">
        <f>IF(Inputs!$C$134="",0,IF(Inputs!$E$134="planned",(Inputs!$D$134+N(INDEX(sc_dpts,4)))*$AG3860,Inputs!$D$134))</f>
        <v>0.04</v>
      </c>
      <c r="AI3860" s="53">
        <f>IF(Inputs!$C$134="",0,IF(1+$AH3860&gt;0,LN(1+$AH3860),0))</f>
        <v>3.9220713153281329E-2</v>
      </c>
      <c r="AJ3860" s="55">
        <f t="shared" si="1424"/>
        <v>31</v>
      </c>
      <c r="AK3860" s="55">
        <f>IF($AE3860="",0,COUNTIFS(rl_key,Inputs!$J$134,$AF$3806:$AF$4045,$AF3860,$AE$3806:$AE$4045,"&lt;"&amp;$AE3860))</f>
        <v>0</v>
      </c>
      <c r="AL3860" s="55">
        <f>IF($AE3860="",0,COUNTIFS(Inputs!$J$80:$J$134,Inputs!$J$134,$AF$3806:$AF3860,$AF3860,$AE$3806:$AE3860,$AE3860))</f>
        <v>1</v>
      </c>
      <c r="AM3860" s="55">
        <f t="shared" si="1425"/>
        <v>1</v>
      </c>
    </row>
    <row r="3861" spans="1:39" x14ac:dyDescent="0.25">
      <c r="A3861" s="54">
        <f>IF(Inputs!$C$135="","",IF(Inputs!$E$135="planned",EDATE(Inputs!$C$135,N(INDEX(sc_shift,1))),Inputs!$C$135))</f>
        <v>46478</v>
      </c>
      <c r="B3861" s="54">
        <f t="shared" si="1414"/>
        <v>46478</v>
      </c>
      <c r="C3861" s="52">
        <f>IF(N(INDEX(sc_ach,1))=0,IF(Inputs!$G$135="",1,Inputs!$G$135),INDEX(sc_ach,1))</f>
        <v>1</v>
      </c>
      <c r="D3861" s="52">
        <f>IF(Inputs!$C$135="",0,IF(Inputs!$E$135="planned",(Inputs!$D$135+N(INDEX(sc_dpts,1)))*$C3861,Inputs!$D$135))</f>
        <v>0.04</v>
      </c>
      <c r="E3861" s="53">
        <f>IF(Inputs!$C$135="",0,IF(1+$D3861&gt;0,LN(1+$D3861),0))</f>
        <v>3.9220713153281329E-2</v>
      </c>
      <c r="F3861" s="55">
        <f t="shared" si="1415"/>
        <v>30</v>
      </c>
      <c r="G3861" s="55">
        <f>IF($A3861="",0,COUNTIFS(rl_key,Inputs!$J$135,$B$3806:$B$4045,$B3861,$A$3806:$A$4045,"&lt;"&amp;$A3861))</f>
        <v>0</v>
      </c>
      <c r="H3861" s="55">
        <f>IF($A3861="",0,COUNTIFS(Inputs!$J$80:$J$135,Inputs!$J$135,$B$3806:$B3861,$B3861,$A$3806:$A3861,$A3861))</f>
        <v>1</v>
      </c>
      <c r="I3861" s="55">
        <f t="shared" si="1416"/>
        <v>1</v>
      </c>
      <c r="K3861" s="54">
        <f>IF(Inputs!$C$135="","",IF(Inputs!$E$135="planned",EDATE(Inputs!$C$135,N(INDEX(sc_shift,2))),Inputs!$C$135))</f>
        <v>46478</v>
      </c>
      <c r="L3861" s="54">
        <f t="shared" si="1417"/>
        <v>46478</v>
      </c>
      <c r="M3861" s="52">
        <f>IF(N(INDEX(sc_ach,2))=0,IF(Inputs!$G$135="",1,Inputs!$G$135),INDEX(sc_ach,2))</f>
        <v>1</v>
      </c>
      <c r="N3861" s="52">
        <f>IF(Inputs!$C$135="",0,IF(Inputs!$E$135="planned",(Inputs!$D$135+N(INDEX(sc_dpts,2)))*$M3861,Inputs!$D$135))</f>
        <v>0.04</v>
      </c>
      <c r="O3861" s="53">
        <f>IF(Inputs!$C$135="",0,IF(1+$N3861&gt;0,LN(1+$N3861),0))</f>
        <v>3.9220713153281329E-2</v>
      </c>
      <c r="P3861" s="55">
        <f t="shared" si="1418"/>
        <v>30</v>
      </c>
      <c r="Q3861" s="55">
        <f>IF($K3861="",0,COUNTIFS(rl_key,Inputs!$J$135,$L$3806:$L$4045,$L3861,$K$3806:$K$4045,"&lt;"&amp;$K3861))</f>
        <v>0</v>
      </c>
      <c r="R3861" s="55">
        <f>IF($K3861="",0,COUNTIFS(Inputs!$J$80:$J$135,Inputs!$J$135,$L$3806:$L3861,$L3861,$K$3806:$K3861,$K3861))</f>
        <v>1</v>
      </c>
      <c r="S3861" s="55">
        <f t="shared" si="1419"/>
        <v>1</v>
      </c>
      <c r="U3861" s="54">
        <f>IF(Inputs!$C$135="","",IF(Inputs!$E$135="planned",EDATE(Inputs!$C$135,N(INDEX(sc_shift,3))),Inputs!$C$135))</f>
        <v>46478</v>
      </c>
      <c r="V3861" s="54">
        <f t="shared" si="1420"/>
        <v>46478</v>
      </c>
      <c r="W3861" s="52">
        <f>IF(N(INDEX(sc_ach,3))=0,IF(Inputs!$G$135="",1,Inputs!$G$135),INDEX(sc_ach,3))</f>
        <v>1</v>
      </c>
      <c r="X3861" s="52">
        <f>IF(Inputs!$C$135="",0,IF(Inputs!$E$135="planned",(Inputs!$D$135+N(INDEX(sc_dpts,3)))*$W3861,Inputs!$D$135))</f>
        <v>0.04</v>
      </c>
      <c r="Y3861" s="53">
        <f>IF(Inputs!$C$135="",0,IF(1+$X3861&gt;0,LN(1+$X3861),0))</f>
        <v>3.9220713153281329E-2</v>
      </c>
      <c r="Z3861" s="55">
        <f t="shared" si="1421"/>
        <v>30</v>
      </c>
      <c r="AA3861" s="55">
        <f>IF($U3861="",0,COUNTIFS(rl_key,Inputs!$J$135,$V$3806:$V$4045,$V3861,$U$3806:$U$4045,"&lt;"&amp;$U3861))</f>
        <v>0</v>
      </c>
      <c r="AB3861" s="55">
        <f>IF($U3861="",0,COUNTIFS(Inputs!$J$80:$J$135,Inputs!$J$135,$V$3806:$V3861,$V3861,$U$3806:$U3861,$U3861))</f>
        <v>1</v>
      </c>
      <c r="AC3861" s="55">
        <f t="shared" si="1422"/>
        <v>1</v>
      </c>
      <c r="AE3861" s="54">
        <f>IF(Inputs!$C$135="","",IF(Inputs!$E$135="planned",EDATE(Inputs!$C$135,N(INDEX(sc_shift,4))),Inputs!$C$135))</f>
        <v>46478</v>
      </c>
      <c r="AF3861" s="54">
        <f t="shared" si="1423"/>
        <v>46478</v>
      </c>
      <c r="AG3861" s="52">
        <f>IF(N(INDEX(sc_ach,4))=0,IF(Inputs!$G$135="",1,Inputs!$G$135),INDEX(sc_ach,4))</f>
        <v>1</v>
      </c>
      <c r="AH3861" s="52">
        <f>IF(Inputs!$C$135="",0,IF(Inputs!$E$135="planned",(Inputs!$D$135+N(INDEX(sc_dpts,4)))*$AG3861,Inputs!$D$135))</f>
        <v>0.04</v>
      </c>
      <c r="AI3861" s="53">
        <f>IF(Inputs!$C$135="",0,IF(1+$AH3861&gt;0,LN(1+$AH3861),0))</f>
        <v>3.9220713153281329E-2</v>
      </c>
      <c r="AJ3861" s="55">
        <f t="shared" si="1424"/>
        <v>30</v>
      </c>
      <c r="AK3861" s="55">
        <f>IF($AE3861="",0,COUNTIFS(rl_key,Inputs!$J$135,$AF$3806:$AF$4045,$AF3861,$AE$3806:$AE$4045,"&lt;"&amp;$AE3861))</f>
        <v>0</v>
      </c>
      <c r="AL3861" s="55">
        <f>IF($AE3861="",0,COUNTIFS(Inputs!$J$80:$J$135,Inputs!$J$135,$AF$3806:$AF3861,$AF3861,$AE$3806:$AE3861,$AE3861))</f>
        <v>1</v>
      </c>
      <c r="AM3861" s="55">
        <f t="shared" si="1425"/>
        <v>1</v>
      </c>
    </row>
    <row r="3862" spans="1:39" x14ac:dyDescent="0.25">
      <c r="A3862" s="54">
        <f>IF(Inputs!$C$136="","",IF(Inputs!$E$136="planned",EDATE(Inputs!$C$136,N(INDEX(sc_shift,1))),Inputs!$C$136))</f>
        <v>46204</v>
      </c>
      <c r="B3862" s="54">
        <f t="shared" si="1414"/>
        <v>46204</v>
      </c>
      <c r="C3862" s="52">
        <f>IF(N(INDEX(sc_ach,1))=0,IF(Inputs!$G$136="",1,Inputs!$G$136),INDEX(sc_ach,1))</f>
        <v>1</v>
      </c>
      <c r="D3862" s="52">
        <f>IF(Inputs!$C$136="",0,IF(Inputs!$E$136="planned",(Inputs!$D$136+N(INDEX(sc_dpts,1)))*$C3862,Inputs!$D$136))</f>
        <v>0.06</v>
      </c>
      <c r="E3862" s="53">
        <f>IF(Inputs!$C$136="",0,IF(1+$D3862&gt;0,LN(1+$D3862),0))</f>
        <v>5.8268908123975824E-2</v>
      </c>
      <c r="F3862" s="55">
        <f t="shared" si="1415"/>
        <v>31</v>
      </c>
      <c r="G3862" s="55">
        <f>IF($A3862="",0,COUNTIFS(rl_key,Inputs!$J$136,$B$3806:$B$4045,$B3862,$A$3806:$A$4045,"&lt;"&amp;$A3862))</f>
        <v>0</v>
      </c>
      <c r="H3862" s="55">
        <f>IF($A3862="",0,COUNTIFS(Inputs!$J$80:$J$136,Inputs!$J$136,$B$3806:$B3862,$B3862,$A$3806:$A3862,$A3862))</f>
        <v>1</v>
      </c>
      <c r="I3862" s="55">
        <f t="shared" si="1416"/>
        <v>1</v>
      </c>
      <c r="K3862" s="54">
        <f>IF(Inputs!$C$136="","",IF(Inputs!$E$136="planned",EDATE(Inputs!$C$136,N(INDEX(sc_shift,2))),Inputs!$C$136))</f>
        <v>46204</v>
      </c>
      <c r="L3862" s="54">
        <f t="shared" si="1417"/>
        <v>46204</v>
      </c>
      <c r="M3862" s="52">
        <f>IF(N(INDEX(sc_ach,2))=0,IF(Inputs!$G$136="",1,Inputs!$G$136),INDEX(sc_ach,2))</f>
        <v>1</v>
      </c>
      <c r="N3862" s="52">
        <f>IF(Inputs!$C$136="",0,IF(Inputs!$E$136="planned",(Inputs!$D$136+N(INDEX(sc_dpts,2)))*$M3862,Inputs!$D$136))</f>
        <v>0.06</v>
      </c>
      <c r="O3862" s="53">
        <f>IF(Inputs!$C$136="",0,IF(1+$N3862&gt;0,LN(1+$N3862),0))</f>
        <v>5.8268908123975824E-2</v>
      </c>
      <c r="P3862" s="55">
        <f t="shared" si="1418"/>
        <v>31</v>
      </c>
      <c r="Q3862" s="55">
        <f>IF($K3862="",0,COUNTIFS(rl_key,Inputs!$J$136,$L$3806:$L$4045,$L3862,$K$3806:$K$4045,"&lt;"&amp;$K3862))</f>
        <v>0</v>
      </c>
      <c r="R3862" s="55">
        <f>IF($K3862="",0,COUNTIFS(Inputs!$J$80:$J$136,Inputs!$J$136,$L$3806:$L3862,$L3862,$K$3806:$K3862,$K3862))</f>
        <v>1</v>
      </c>
      <c r="S3862" s="55">
        <f t="shared" si="1419"/>
        <v>1</v>
      </c>
      <c r="U3862" s="54">
        <f>IF(Inputs!$C$136="","",IF(Inputs!$E$136="planned",EDATE(Inputs!$C$136,N(INDEX(sc_shift,3))),Inputs!$C$136))</f>
        <v>46204</v>
      </c>
      <c r="V3862" s="54">
        <f t="shared" si="1420"/>
        <v>46204</v>
      </c>
      <c r="W3862" s="52">
        <f>IF(N(INDEX(sc_ach,3))=0,IF(Inputs!$G$136="",1,Inputs!$G$136),INDEX(sc_ach,3))</f>
        <v>1</v>
      </c>
      <c r="X3862" s="52">
        <f>IF(Inputs!$C$136="",0,IF(Inputs!$E$136="planned",(Inputs!$D$136+N(INDEX(sc_dpts,3)))*$W3862,Inputs!$D$136))</f>
        <v>0.06</v>
      </c>
      <c r="Y3862" s="53">
        <f>IF(Inputs!$C$136="",0,IF(1+$X3862&gt;0,LN(1+$X3862),0))</f>
        <v>5.8268908123975824E-2</v>
      </c>
      <c r="Z3862" s="55">
        <f t="shared" si="1421"/>
        <v>31</v>
      </c>
      <c r="AA3862" s="55">
        <f>IF($U3862="",0,COUNTIFS(rl_key,Inputs!$J$136,$V$3806:$V$4045,$V3862,$U$3806:$U$4045,"&lt;"&amp;$U3862))</f>
        <v>0</v>
      </c>
      <c r="AB3862" s="55">
        <f>IF($U3862="",0,COUNTIFS(Inputs!$J$80:$J$136,Inputs!$J$136,$V$3806:$V3862,$V3862,$U$3806:$U3862,$U3862))</f>
        <v>1</v>
      </c>
      <c r="AC3862" s="55">
        <f t="shared" si="1422"/>
        <v>1</v>
      </c>
      <c r="AE3862" s="54">
        <f>IF(Inputs!$C$136="","",IF(Inputs!$E$136="planned",EDATE(Inputs!$C$136,N(INDEX(sc_shift,4))),Inputs!$C$136))</f>
        <v>46204</v>
      </c>
      <c r="AF3862" s="54">
        <f t="shared" si="1423"/>
        <v>46204</v>
      </c>
      <c r="AG3862" s="52">
        <f>IF(N(INDEX(sc_ach,4))=0,IF(Inputs!$G$136="",1,Inputs!$G$136),INDEX(sc_ach,4))</f>
        <v>1</v>
      </c>
      <c r="AH3862" s="52">
        <f>IF(Inputs!$C$136="",0,IF(Inputs!$E$136="planned",(Inputs!$D$136+N(INDEX(sc_dpts,4)))*$AG3862,Inputs!$D$136))</f>
        <v>0.06</v>
      </c>
      <c r="AI3862" s="53">
        <f>IF(Inputs!$C$136="",0,IF(1+$AH3862&gt;0,LN(1+$AH3862),0))</f>
        <v>5.8268908123975824E-2</v>
      </c>
      <c r="AJ3862" s="55">
        <f t="shared" si="1424"/>
        <v>31</v>
      </c>
      <c r="AK3862" s="55">
        <f>IF($AE3862="",0,COUNTIFS(rl_key,Inputs!$J$136,$AF$3806:$AF$4045,$AF3862,$AE$3806:$AE$4045,"&lt;"&amp;$AE3862))</f>
        <v>0</v>
      </c>
      <c r="AL3862" s="55">
        <f>IF($AE3862="",0,COUNTIFS(Inputs!$J$80:$J$136,Inputs!$J$136,$AF$3806:$AF3862,$AF3862,$AE$3806:$AE3862,$AE3862))</f>
        <v>1</v>
      </c>
      <c r="AM3862" s="55">
        <f t="shared" si="1425"/>
        <v>1</v>
      </c>
    </row>
    <row r="3863" spans="1:39" x14ac:dyDescent="0.25">
      <c r="A3863" s="54">
        <f>IF(Inputs!$C$137="","",IF(Inputs!$E$137="planned",EDATE(Inputs!$C$137,N(INDEX(sc_shift,1))),Inputs!$C$137))</f>
        <v>46235</v>
      </c>
      <c r="B3863" s="54">
        <f t="shared" si="1414"/>
        <v>46235</v>
      </c>
      <c r="C3863" s="52">
        <f>IF(N(INDEX(sc_ach,1))=0,IF(Inputs!$G$137="",1,Inputs!$G$137),INDEX(sc_ach,1))</f>
        <v>1</v>
      </c>
      <c r="D3863" s="52">
        <f>IF(Inputs!$C$137="",0,IF(Inputs!$E$137="planned",(Inputs!$D$137+N(INDEX(sc_dpts,1)))*$C3863,Inputs!$D$137))</f>
        <v>0.02</v>
      </c>
      <c r="E3863" s="53">
        <f>IF(Inputs!$C$137="",0,IF(1+$D3863&gt;0,LN(1+$D3863),0))</f>
        <v>1.980262729617973E-2</v>
      </c>
      <c r="F3863" s="55">
        <f t="shared" si="1415"/>
        <v>31</v>
      </c>
      <c r="G3863" s="55">
        <f>IF($A3863="",0,COUNTIFS(rl_key,Inputs!$J$137,$B$3806:$B$4045,$B3863,$A$3806:$A$4045,"&lt;"&amp;$A3863))</f>
        <v>0</v>
      </c>
      <c r="H3863" s="55">
        <f>IF($A3863="",0,COUNTIFS(Inputs!$J$80:$J$137,Inputs!$J$137,$B$3806:$B3863,$B3863,$A$3806:$A3863,$A3863))</f>
        <v>1</v>
      </c>
      <c r="I3863" s="55">
        <f t="shared" si="1416"/>
        <v>1</v>
      </c>
      <c r="K3863" s="54">
        <f>IF(Inputs!$C$137="","",IF(Inputs!$E$137="planned",EDATE(Inputs!$C$137,N(INDEX(sc_shift,2))),Inputs!$C$137))</f>
        <v>46235</v>
      </c>
      <c r="L3863" s="54">
        <f t="shared" si="1417"/>
        <v>46235</v>
      </c>
      <c r="M3863" s="52">
        <f>IF(N(INDEX(sc_ach,2))=0,IF(Inputs!$G$137="",1,Inputs!$G$137),INDEX(sc_ach,2))</f>
        <v>1</v>
      </c>
      <c r="N3863" s="52">
        <f>IF(Inputs!$C$137="",0,IF(Inputs!$E$137="planned",(Inputs!$D$137+N(INDEX(sc_dpts,2)))*$M3863,Inputs!$D$137))</f>
        <v>0.02</v>
      </c>
      <c r="O3863" s="53">
        <f>IF(Inputs!$C$137="",0,IF(1+$N3863&gt;0,LN(1+$N3863),0))</f>
        <v>1.980262729617973E-2</v>
      </c>
      <c r="P3863" s="55">
        <f t="shared" si="1418"/>
        <v>31</v>
      </c>
      <c r="Q3863" s="55">
        <f>IF($K3863="",0,COUNTIFS(rl_key,Inputs!$J$137,$L$3806:$L$4045,$L3863,$K$3806:$K$4045,"&lt;"&amp;$K3863))</f>
        <v>0</v>
      </c>
      <c r="R3863" s="55">
        <f>IF($K3863="",0,COUNTIFS(Inputs!$J$80:$J$137,Inputs!$J$137,$L$3806:$L3863,$L3863,$K$3806:$K3863,$K3863))</f>
        <v>1</v>
      </c>
      <c r="S3863" s="55">
        <f t="shared" si="1419"/>
        <v>1</v>
      </c>
      <c r="U3863" s="54">
        <f>IF(Inputs!$C$137="","",IF(Inputs!$E$137="planned",EDATE(Inputs!$C$137,N(INDEX(sc_shift,3))),Inputs!$C$137))</f>
        <v>46235</v>
      </c>
      <c r="V3863" s="54">
        <f t="shared" si="1420"/>
        <v>46235</v>
      </c>
      <c r="W3863" s="52">
        <f>IF(N(INDEX(sc_ach,3))=0,IF(Inputs!$G$137="",1,Inputs!$G$137),INDEX(sc_ach,3))</f>
        <v>1</v>
      </c>
      <c r="X3863" s="52">
        <f>IF(Inputs!$C$137="",0,IF(Inputs!$E$137="planned",(Inputs!$D$137+N(INDEX(sc_dpts,3)))*$W3863,Inputs!$D$137))</f>
        <v>0.02</v>
      </c>
      <c r="Y3863" s="53">
        <f>IF(Inputs!$C$137="",0,IF(1+$X3863&gt;0,LN(1+$X3863),0))</f>
        <v>1.980262729617973E-2</v>
      </c>
      <c r="Z3863" s="55">
        <f t="shared" si="1421"/>
        <v>31</v>
      </c>
      <c r="AA3863" s="55">
        <f>IF($U3863="",0,COUNTIFS(rl_key,Inputs!$J$137,$V$3806:$V$4045,$V3863,$U$3806:$U$4045,"&lt;"&amp;$U3863))</f>
        <v>0</v>
      </c>
      <c r="AB3863" s="55">
        <f>IF($U3863="",0,COUNTIFS(Inputs!$J$80:$J$137,Inputs!$J$137,$V$3806:$V3863,$V3863,$U$3806:$U3863,$U3863))</f>
        <v>1</v>
      </c>
      <c r="AC3863" s="55">
        <f t="shared" si="1422"/>
        <v>1</v>
      </c>
      <c r="AE3863" s="54">
        <f>IF(Inputs!$C$137="","",IF(Inputs!$E$137="planned",EDATE(Inputs!$C$137,N(INDEX(sc_shift,4))),Inputs!$C$137))</f>
        <v>46235</v>
      </c>
      <c r="AF3863" s="54">
        <f t="shared" si="1423"/>
        <v>46235</v>
      </c>
      <c r="AG3863" s="52">
        <f>IF(N(INDEX(sc_ach,4))=0,IF(Inputs!$G$137="",1,Inputs!$G$137),INDEX(sc_ach,4))</f>
        <v>1</v>
      </c>
      <c r="AH3863" s="52">
        <f>IF(Inputs!$C$137="",0,IF(Inputs!$E$137="planned",(Inputs!$D$137+N(INDEX(sc_dpts,4)))*$AG3863,Inputs!$D$137))</f>
        <v>0.02</v>
      </c>
      <c r="AI3863" s="53">
        <f>IF(Inputs!$C$137="",0,IF(1+$AH3863&gt;0,LN(1+$AH3863),0))</f>
        <v>1.980262729617973E-2</v>
      </c>
      <c r="AJ3863" s="55">
        <f t="shared" si="1424"/>
        <v>31</v>
      </c>
      <c r="AK3863" s="55">
        <f>IF($AE3863="",0,COUNTIFS(rl_key,Inputs!$J$137,$AF$3806:$AF$4045,$AF3863,$AE$3806:$AE$4045,"&lt;"&amp;$AE3863))</f>
        <v>0</v>
      </c>
      <c r="AL3863" s="55">
        <f>IF($AE3863="",0,COUNTIFS(Inputs!$J$80:$J$137,Inputs!$J$137,$AF$3806:$AF3863,$AF3863,$AE$3806:$AE3863,$AE3863))</f>
        <v>1</v>
      </c>
      <c r="AM3863" s="55">
        <f t="shared" si="1425"/>
        <v>1</v>
      </c>
    </row>
    <row r="3864" spans="1:39" x14ac:dyDescent="0.25">
      <c r="A3864" s="54">
        <f>IF(Inputs!$C$138="","",IF(Inputs!$E$138="planned",EDATE(Inputs!$C$138,N(INDEX(sc_shift,1))),Inputs!$C$138))</f>
        <v>46296</v>
      </c>
      <c r="B3864" s="54">
        <f t="shared" si="1414"/>
        <v>46296</v>
      </c>
      <c r="C3864" s="52">
        <f>IF(N(INDEX(sc_ach,1))=0,IF(Inputs!$G$138="",1,Inputs!$G$138),INDEX(sc_ach,1))</f>
        <v>1</v>
      </c>
      <c r="D3864" s="52">
        <f>IF(Inputs!$C$138="",0,IF(Inputs!$E$138="planned",(Inputs!$D$138+N(INDEX(sc_dpts,1)))*$C3864,Inputs!$D$138))</f>
        <v>0.04</v>
      </c>
      <c r="E3864" s="53">
        <f>IF(Inputs!$C$138="",0,IF(1+$D3864&gt;0,LN(1+$D3864),0))</f>
        <v>3.9220713153281329E-2</v>
      </c>
      <c r="F3864" s="55">
        <f t="shared" si="1415"/>
        <v>31</v>
      </c>
      <c r="G3864" s="55">
        <f>IF($A3864="",0,COUNTIFS(rl_key,Inputs!$J$138,$B$3806:$B$4045,$B3864,$A$3806:$A$4045,"&lt;"&amp;$A3864))</f>
        <v>0</v>
      </c>
      <c r="H3864" s="55">
        <f>IF($A3864="",0,COUNTIFS(Inputs!$J$80:$J$138,Inputs!$J$138,$B$3806:$B3864,$B3864,$A$3806:$A3864,$A3864))</f>
        <v>1</v>
      </c>
      <c r="I3864" s="55">
        <f t="shared" si="1416"/>
        <v>1</v>
      </c>
      <c r="K3864" s="54">
        <f>IF(Inputs!$C$138="","",IF(Inputs!$E$138="planned",EDATE(Inputs!$C$138,N(INDEX(sc_shift,2))),Inputs!$C$138))</f>
        <v>46296</v>
      </c>
      <c r="L3864" s="54">
        <f t="shared" si="1417"/>
        <v>46296</v>
      </c>
      <c r="M3864" s="52">
        <f>IF(N(INDEX(sc_ach,2))=0,IF(Inputs!$G$138="",1,Inputs!$G$138),INDEX(sc_ach,2))</f>
        <v>1</v>
      </c>
      <c r="N3864" s="52">
        <f>IF(Inputs!$C$138="",0,IF(Inputs!$E$138="planned",(Inputs!$D$138+N(INDEX(sc_dpts,2)))*$M3864,Inputs!$D$138))</f>
        <v>0.04</v>
      </c>
      <c r="O3864" s="53">
        <f>IF(Inputs!$C$138="",0,IF(1+$N3864&gt;0,LN(1+$N3864),0))</f>
        <v>3.9220713153281329E-2</v>
      </c>
      <c r="P3864" s="55">
        <f t="shared" si="1418"/>
        <v>31</v>
      </c>
      <c r="Q3864" s="55">
        <f>IF($K3864="",0,COUNTIFS(rl_key,Inputs!$J$138,$L$3806:$L$4045,$L3864,$K$3806:$K$4045,"&lt;"&amp;$K3864))</f>
        <v>0</v>
      </c>
      <c r="R3864" s="55">
        <f>IF($K3864="",0,COUNTIFS(Inputs!$J$80:$J$138,Inputs!$J$138,$L$3806:$L3864,$L3864,$K$3806:$K3864,$K3864))</f>
        <v>1</v>
      </c>
      <c r="S3864" s="55">
        <f t="shared" si="1419"/>
        <v>1</v>
      </c>
      <c r="U3864" s="54">
        <f>IF(Inputs!$C$138="","",IF(Inputs!$E$138="planned",EDATE(Inputs!$C$138,N(INDEX(sc_shift,3))),Inputs!$C$138))</f>
        <v>46296</v>
      </c>
      <c r="V3864" s="54">
        <f t="shared" si="1420"/>
        <v>46296</v>
      </c>
      <c r="W3864" s="52">
        <f>IF(N(INDEX(sc_ach,3))=0,IF(Inputs!$G$138="",1,Inputs!$G$138),INDEX(sc_ach,3))</f>
        <v>1</v>
      </c>
      <c r="X3864" s="52">
        <f>IF(Inputs!$C$138="",0,IF(Inputs!$E$138="planned",(Inputs!$D$138+N(INDEX(sc_dpts,3)))*$W3864,Inputs!$D$138))</f>
        <v>0.04</v>
      </c>
      <c r="Y3864" s="53">
        <f>IF(Inputs!$C$138="",0,IF(1+$X3864&gt;0,LN(1+$X3864),0))</f>
        <v>3.9220713153281329E-2</v>
      </c>
      <c r="Z3864" s="55">
        <f t="shared" si="1421"/>
        <v>31</v>
      </c>
      <c r="AA3864" s="55">
        <f>IF($U3864="",0,COUNTIFS(rl_key,Inputs!$J$138,$V$3806:$V$4045,$V3864,$U$3806:$U$4045,"&lt;"&amp;$U3864))</f>
        <v>0</v>
      </c>
      <c r="AB3864" s="55">
        <f>IF($U3864="",0,COUNTIFS(Inputs!$J$80:$J$138,Inputs!$J$138,$V$3806:$V3864,$V3864,$U$3806:$U3864,$U3864))</f>
        <v>1</v>
      </c>
      <c r="AC3864" s="55">
        <f t="shared" si="1422"/>
        <v>1</v>
      </c>
      <c r="AE3864" s="54">
        <f>IF(Inputs!$C$138="","",IF(Inputs!$E$138="planned",EDATE(Inputs!$C$138,N(INDEX(sc_shift,4))),Inputs!$C$138))</f>
        <v>46296</v>
      </c>
      <c r="AF3864" s="54">
        <f t="shared" si="1423"/>
        <v>46296</v>
      </c>
      <c r="AG3864" s="52">
        <f>IF(N(INDEX(sc_ach,4))=0,IF(Inputs!$G$138="",1,Inputs!$G$138),INDEX(sc_ach,4))</f>
        <v>1</v>
      </c>
      <c r="AH3864" s="52">
        <f>IF(Inputs!$C$138="",0,IF(Inputs!$E$138="planned",(Inputs!$D$138+N(INDEX(sc_dpts,4)))*$AG3864,Inputs!$D$138))</f>
        <v>0.04</v>
      </c>
      <c r="AI3864" s="53">
        <f>IF(Inputs!$C$138="",0,IF(1+$AH3864&gt;0,LN(1+$AH3864),0))</f>
        <v>3.9220713153281329E-2</v>
      </c>
      <c r="AJ3864" s="55">
        <f t="shared" si="1424"/>
        <v>31</v>
      </c>
      <c r="AK3864" s="55">
        <f>IF($AE3864="",0,COUNTIFS(rl_key,Inputs!$J$138,$AF$3806:$AF$4045,$AF3864,$AE$3806:$AE$4045,"&lt;"&amp;$AE3864))</f>
        <v>0</v>
      </c>
      <c r="AL3864" s="55">
        <f>IF($AE3864="",0,COUNTIFS(Inputs!$J$80:$J$138,Inputs!$J$138,$AF$3806:$AF3864,$AF3864,$AE$3806:$AE3864,$AE3864))</f>
        <v>1</v>
      </c>
      <c r="AM3864" s="55">
        <f t="shared" si="1425"/>
        <v>1</v>
      </c>
    </row>
    <row r="3865" spans="1:39" x14ac:dyDescent="0.25">
      <c r="A3865" s="54">
        <f>IF(Inputs!$C$139="","",IF(Inputs!$E$139="planned",EDATE(Inputs!$C$139,N(INDEX(sc_shift,1))),Inputs!$C$139))</f>
        <v>46600</v>
      </c>
      <c r="B3865" s="54">
        <f t="shared" si="1414"/>
        <v>46600</v>
      </c>
      <c r="C3865" s="52">
        <f>IF(N(INDEX(sc_ach,1))=0,IF(Inputs!$G$139="",1,Inputs!$G$139),INDEX(sc_ach,1))</f>
        <v>1</v>
      </c>
      <c r="D3865" s="52">
        <f>IF(Inputs!$C$139="",0,IF(Inputs!$E$139="planned",(Inputs!$D$139+N(INDEX(sc_dpts,1)))*$C3865,Inputs!$D$139))</f>
        <v>0.04</v>
      </c>
      <c r="E3865" s="53">
        <f>IF(Inputs!$C$139="",0,IF(1+$D3865&gt;0,LN(1+$D3865),0))</f>
        <v>3.9220713153281329E-2</v>
      </c>
      <c r="F3865" s="55">
        <f t="shared" si="1415"/>
        <v>31</v>
      </c>
      <c r="G3865" s="55">
        <f>IF($A3865="",0,COUNTIFS(rl_key,Inputs!$J$139,$B$3806:$B$4045,$B3865,$A$3806:$A$4045,"&lt;"&amp;$A3865))</f>
        <v>0</v>
      </c>
      <c r="H3865" s="55">
        <f>IF($A3865="",0,COUNTIFS(Inputs!$J$80:$J$139,Inputs!$J$139,$B$3806:$B3865,$B3865,$A$3806:$A3865,$A3865))</f>
        <v>1</v>
      </c>
      <c r="I3865" s="55">
        <f t="shared" si="1416"/>
        <v>1</v>
      </c>
      <c r="K3865" s="54">
        <f>IF(Inputs!$C$139="","",IF(Inputs!$E$139="planned",EDATE(Inputs!$C$139,N(INDEX(sc_shift,2))),Inputs!$C$139))</f>
        <v>46600</v>
      </c>
      <c r="L3865" s="54">
        <f t="shared" si="1417"/>
        <v>46600</v>
      </c>
      <c r="M3865" s="52">
        <f>IF(N(INDEX(sc_ach,2))=0,IF(Inputs!$G$139="",1,Inputs!$G$139),INDEX(sc_ach,2))</f>
        <v>1</v>
      </c>
      <c r="N3865" s="52">
        <f>IF(Inputs!$C$139="",0,IF(Inputs!$E$139="planned",(Inputs!$D$139+N(INDEX(sc_dpts,2)))*$M3865,Inputs!$D$139))</f>
        <v>0.04</v>
      </c>
      <c r="O3865" s="53">
        <f>IF(Inputs!$C$139="",0,IF(1+$N3865&gt;0,LN(1+$N3865),0))</f>
        <v>3.9220713153281329E-2</v>
      </c>
      <c r="P3865" s="55">
        <f t="shared" si="1418"/>
        <v>31</v>
      </c>
      <c r="Q3865" s="55">
        <f>IF($K3865="",0,COUNTIFS(rl_key,Inputs!$J$139,$L$3806:$L$4045,$L3865,$K$3806:$K$4045,"&lt;"&amp;$K3865))</f>
        <v>0</v>
      </c>
      <c r="R3865" s="55">
        <f>IF($K3865="",0,COUNTIFS(Inputs!$J$80:$J$139,Inputs!$J$139,$L$3806:$L3865,$L3865,$K$3806:$K3865,$K3865))</f>
        <v>1</v>
      </c>
      <c r="S3865" s="55">
        <f t="shared" si="1419"/>
        <v>1</v>
      </c>
      <c r="U3865" s="54">
        <f>IF(Inputs!$C$139="","",IF(Inputs!$E$139="planned",EDATE(Inputs!$C$139,N(INDEX(sc_shift,3))),Inputs!$C$139))</f>
        <v>46600</v>
      </c>
      <c r="V3865" s="54">
        <f t="shared" si="1420"/>
        <v>46600</v>
      </c>
      <c r="W3865" s="52">
        <f>IF(N(INDEX(sc_ach,3))=0,IF(Inputs!$G$139="",1,Inputs!$G$139),INDEX(sc_ach,3))</f>
        <v>1</v>
      </c>
      <c r="X3865" s="52">
        <f>IF(Inputs!$C$139="",0,IF(Inputs!$E$139="planned",(Inputs!$D$139+N(INDEX(sc_dpts,3)))*$W3865,Inputs!$D$139))</f>
        <v>0.04</v>
      </c>
      <c r="Y3865" s="53">
        <f>IF(Inputs!$C$139="",0,IF(1+$X3865&gt;0,LN(1+$X3865),0))</f>
        <v>3.9220713153281329E-2</v>
      </c>
      <c r="Z3865" s="55">
        <f t="shared" si="1421"/>
        <v>31</v>
      </c>
      <c r="AA3865" s="55">
        <f>IF($U3865="",0,COUNTIFS(rl_key,Inputs!$J$139,$V$3806:$V$4045,$V3865,$U$3806:$U$4045,"&lt;"&amp;$U3865))</f>
        <v>0</v>
      </c>
      <c r="AB3865" s="55">
        <f>IF($U3865="",0,COUNTIFS(Inputs!$J$80:$J$139,Inputs!$J$139,$V$3806:$V3865,$V3865,$U$3806:$U3865,$U3865))</f>
        <v>1</v>
      </c>
      <c r="AC3865" s="55">
        <f t="shared" si="1422"/>
        <v>1</v>
      </c>
      <c r="AE3865" s="54">
        <f>IF(Inputs!$C$139="","",IF(Inputs!$E$139="planned",EDATE(Inputs!$C$139,N(INDEX(sc_shift,4))),Inputs!$C$139))</f>
        <v>46600</v>
      </c>
      <c r="AF3865" s="54">
        <f t="shared" si="1423"/>
        <v>46600</v>
      </c>
      <c r="AG3865" s="52">
        <f>IF(N(INDEX(sc_ach,4))=0,IF(Inputs!$G$139="",1,Inputs!$G$139),INDEX(sc_ach,4))</f>
        <v>1</v>
      </c>
      <c r="AH3865" s="52">
        <f>IF(Inputs!$C$139="",0,IF(Inputs!$E$139="planned",(Inputs!$D$139+N(INDEX(sc_dpts,4)))*$AG3865,Inputs!$D$139))</f>
        <v>0.04</v>
      </c>
      <c r="AI3865" s="53">
        <f>IF(Inputs!$C$139="",0,IF(1+$AH3865&gt;0,LN(1+$AH3865),0))</f>
        <v>3.9220713153281329E-2</v>
      </c>
      <c r="AJ3865" s="55">
        <f t="shared" si="1424"/>
        <v>31</v>
      </c>
      <c r="AK3865" s="55">
        <f>IF($AE3865="",0,COUNTIFS(rl_key,Inputs!$J$139,$AF$3806:$AF$4045,$AF3865,$AE$3806:$AE$4045,"&lt;"&amp;$AE3865))</f>
        <v>0</v>
      </c>
      <c r="AL3865" s="55">
        <f>IF($AE3865="",0,COUNTIFS(Inputs!$J$80:$J$139,Inputs!$J$139,$AF$3806:$AF3865,$AF3865,$AE$3806:$AE3865,$AE3865))</f>
        <v>1</v>
      </c>
      <c r="AM3865" s="55">
        <f t="shared" si="1425"/>
        <v>1</v>
      </c>
    </row>
    <row r="3866" spans="1:39" x14ac:dyDescent="0.25">
      <c r="A3866" s="54">
        <f>IF(Inputs!$C$140="","",IF(Inputs!$E$140="planned",EDATE(Inputs!$C$140,N(INDEX(sc_shift,1))),Inputs!$C$140))</f>
        <v>46327</v>
      </c>
      <c r="B3866" s="54">
        <f t="shared" si="1414"/>
        <v>46327</v>
      </c>
      <c r="C3866" s="52">
        <f>IF(N(INDEX(sc_ach,1))=0,IF(Inputs!$G$140="",1,Inputs!$G$140),INDEX(sc_ach,1))</f>
        <v>1</v>
      </c>
      <c r="D3866" s="52">
        <f>IF(Inputs!$C$140="",0,IF(Inputs!$E$140="planned",(Inputs!$D$140+N(INDEX(sc_dpts,1)))*$C3866,Inputs!$D$140))</f>
        <v>0.05</v>
      </c>
      <c r="E3866" s="53">
        <f>IF(Inputs!$C$140="",0,IF(1+$D3866&gt;0,LN(1+$D3866),0))</f>
        <v>4.8790164169432049E-2</v>
      </c>
      <c r="F3866" s="55">
        <f t="shared" si="1415"/>
        <v>30</v>
      </c>
      <c r="G3866" s="55">
        <f>IF($A3866="",0,COUNTIFS(rl_key,Inputs!$J$140,$B$3806:$B$4045,$B3866,$A$3806:$A$4045,"&lt;"&amp;$A3866))</f>
        <v>0</v>
      </c>
      <c r="H3866" s="55">
        <f>IF($A3866="",0,COUNTIFS(Inputs!$J$80:$J$140,Inputs!$J$140,$B$3806:$B3866,$B3866,$A$3806:$A3866,$A3866))</f>
        <v>1</v>
      </c>
      <c r="I3866" s="55">
        <f t="shared" si="1416"/>
        <v>1</v>
      </c>
      <c r="K3866" s="54">
        <f>IF(Inputs!$C$140="","",IF(Inputs!$E$140="planned",EDATE(Inputs!$C$140,N(INDEX(sc_shift,2))),Inputs!$C$140))</f>
        <v>46327</v>
      </c>
      <c r="L3866" s="54">
        <f t="shared" si="1417"/>
        <v>46327</v>
      </c>
      <c r="M3866" s="52">
        <f>IF(N(INDEX(sc_ach,2))=0,IF(Inputs!$G$140="",1,Inputs!$G$140),INDEX(sc_ach,2))</f>
        <v>1</v>
      </c>
      <c r="N3866" s="52">
        <f>IF(Inputs!$C$140="",0,IF(Inputs!$E$140="planned",(Inputs!$D$140+N(INDEX(sc_dpts,2)))*$M3866,Inputs!$D$140))</f>
        <v>0.05</v>
      </c>
      <c r="O3866" s="53">
        <f>IF(Inputs!$C$140="",0,IF(1+$N3866&gt;0,LN(1+$N3866),0))</f>
        <v>4.8790164169432049E-2</v>
      </c>
      <c r="P3866" s="55">
        <f t="shared" si="1418"/>
        <v>30</v>
      </c>
      <c r="Q3866" s="55">
        <f>IF($K3866="",0,COUNTIFS(rl_key,Inputs!$J$140,$L$3806:$L$4045,$L3866,$K$3806:$K$4045,"&lt;"&amp;$K3866))</f>
        <v>0</v>
      </c>
      <c r="R3866" s="55">
        <f>IF($K3866="",0,COUNTIFS(Inputs!$J$80:$J$140,Inputs!$J$140,$L$3806:$L3866,$L3866,$K$3806:$K3866,$K3866))</f>
        <v>1</v>
      </c>
      <c r="S3866" s="55">
        <f t="shared" si="1419"/>
        <v>1</v>
      </c>
      <c r="U3866" s="54">
        <f>IF(Inputs!$C$140="","",IF(Inputs!$E$140="planned",EDATE(Inputs!$C$140,N(INDEX(sc_shift,3))),Inputs!$C$140))</f>
        <v>46327</v>
      </c>
      <c r="V3866" s="54">
        <f t="shared" si="1420"/>
        <v>46327</v>
      </c>
      <c r="W3866" s="52">
        <f>IF(N(INDEX(sc_ach,3))=0,IF(Inputs!$G$140="",1,Inputs!$G$140),INDEX(sc_ach,3))</f>
        <v>1</v>
      </c>
      <c r="X3866" s="52">
        <f>IF(Inputs!$C$140="",0,IF(Inputs!$E$140="planned",(Inputs!$D$140+N(INDEX(sc_dpts,3)))*$W3866,Inputs!$D$140))</f>
        <v>0.05</v>
      </c>
      <c r="Y3866" s="53">
        <f>IF(Inputs!$C$140="",0,IF(1+$X3866&gt;0,LN(1+$X3866),0))</f>
        <v>4.8790164169432049E-2</v>
      </c>
      <c r="Z3866" s="55">
        <f t="shared" si="1421"/>
        <v>30</v>
      </c>
      <c r="AA3866" s="55">
        <f>IF($U3866="",0,COUNTIFS(rl_key,Inputs!$J$140,$V$3806:$V$4045,$V3866,$U$3806:$U$4045,"&lt;"&amp;$U3866))</f>
        <v>0</v>
      </c>
      <c r="AB3866" s="55">
        <f>IF($U3866="",0,COUNTIFS(Inputs!$J$80:$J$140,Inputs!$J$140,$V$3806:$V3866,$V3866,$U$3806:$U3866,$U3866))</f>
        <v>1</v>
      </c>
      <c r="AC3866" s="55">
        <f t="shared" si="1422"/>
        <v>1</v>
      </c>
      <c r="AE3866" s="54">
        <f>IF(Inputs!$C$140="","",IF(Inputs!$E$140="planned",EDATE(Inputs!$C$140,N(INDEX(sc_shift,4))),Inputs!$C$140))</f>
        <v>46327</v>
      </c>
      <c r="AF3866" s="54">
        <f t="shared" si="1423"/>
        <v>46327</v>
      </c>
      <c r="AG3866" s="52">
        <f>IF(N(INDEX(sc_ach,4))=0,IF(Inputs!$G$140="",1,Inputs!$G$140),INDEX(sc_ach,4))</f>
        <v>1</v>
      </c>
      <c r="AH3866" s="52">
        <f>IF(Inputs!$C$140="",0,IF(Inputs!$E$140="planned",(Inputs!$D$140+N(INDEX(sc_dpts,4)))*$AG3866,Inputs!$D$140))</f>
        <v>0.05</v>
      </c>
      <c r="AI3866" s="53">
        <f>IF(Inputs!$C$140="",0,IF(1+$AH3866&gt;0,LN(1+$AH3866),0))</f>
        <v>4.8790164169432049E-2</v>
      </c>
      <c r="AJ3866" s="55">
        <f t="shared" si="1424"/>
        <v>30</v>
      </c>
      <c r="AK3866" s="55">
        <f>IF($AE3866="",0,COUNTIFS(rl_key,Inputs!$J$140,$AF$3806:$AF$4045,$AF3866,$AE$3806:$AE$4045,"&lt;"&amp;$AE3866))</f>
        <v>0</v>
      </c>
      <c r="AL3866" s="55">
        <f>IF($AE3866="",0,COUNTIFS(Inputs!$J$80:$J$140,Inputs!$J$140,$AF$3806:$AF3866,$AF3866,$AE$3806:$AE3866,$AE3866))</f>
        <v>1</v>
      </c>
      <c r="AM3866" s="55">
        <f t="shared" si="1425"/>
        <v>1</v>
      </c>
    </row>
    <row r="3867" spans="1:39" x14ac:dyDescent="0.25">
      <c r="A3867" s="54">
        <f>IF(Inputs!$C$141="","",IF(Inputs!$E$141="planned",EDATE(Inputs!$C$141,N(INDEX(sc_shift,1))),Inputs!$C$141))</f>
        <v>46023</v>
      </c>
      <c r="B3867" s="54">
        <f t="shared" si="1414"/>
        <v>46023</v>
      </c>
      <c r="C3867" s="52">
        <f>IF(N(INDEX(sc_ach,1))=0,IF(Inputs!$G$141="",1,Inputs!$G$141),INDEX(sc_ach,1))</f>
        <v>1</v>
      </c>
      <c r="D3867" s="52">
        <f>IF(Inputs!$C$141="",0,IF(Inputs!$E$141="planned",(Inputs!$D$141+N(INDEX(sc_dpts,1)))*$C3867,Inputs!$D$141))</f>
        <v>0.02</v>
      </c>
      <c r="E3867" s="53">
        <f>IF(Inputs!$C$141="",0,IF(1+$D3867&gt;0,LN(1+$D3867),0))</f>
        <v>1.980262729617973E-2</v>
      </c>
      <c r="F3867" s="55">
        <f t="shared" si="1415"/>
        <v>31</v>
      </c>
      <c r="G3867" s="55">
        <f>IF($A3867="",0,COUNTIFS(rl_key,Inputs!$J$141,$B$3806:$B$4045,$B3867,$A$3806:$A$4045,"&lt;"&amp;$A3867))</f>
        <v>0</v>
      </c>
      <c r="H3867" s="55">
        <f>IF($A3867="",0,COUNTIFS(Inputs!$J$80:$J$141,Inputs!$J$141,$B$3806:$B3867,$B3867,$A$3806:$A3867,$A3867))</f>
        <v>1</v>
      </c>
      <c r="I3867" s="55">
        <f t="shared" si="1416"/>
        <v>1</v>
      </c>
      <c r="K3867" s="54">
        <f>IF(Inputs!$C$141="","",IF(Inputs!$E$141="planned",EDATE(Inputs!$C$141,N(INDEX(sc_shift,2))),Inputs!$C$141))</f>
        <v>46023</v>
      </c>
      <c r="L3867" s="54">
        <f t="shared" si="1417"/>
        <v>46023</v>
      </c>
      <c r="M3867" s="52">
        <f>IF(N(INDEX(sc_ach,2))=0,IF(Inputs!$G$141="",1,Inputs!$G$141),INDEX(sc_ach,2))</f>
        <v>1</v>
      </c>
      <c r="N3867" s="52">
        <f>IF(Inputs!$C$141="",0,IF(Inputs!$E$141="planned",(Inputs!$D$141+N(INDEX(sc_dpts,2)))*$M3867,Inputs!$D$141))</f>
        <v>0.02</v>
      </c>
      <c r="O3867" s="53">
        <f>IF(Inputs!$C$141="",0,IF(1+$N3867&gt;0,LN(1+$N3867),0))</f>
        <v>1.980262729617973E-2</v>
      </c>
      <c r="P3867" s="55">
        <f t="shared" si="1418"/>
        <v>31</v>
      </c>
      <c r="Q3867" s="55">
        <f>IF($K3867="",0,COUNTIFS(rl_key,Inputs!$J$141,$L$3806:$L$4045,$L3867,$K$3806:$K$4045,"&lt;"&amp;$K3867))</f>
        <v>0</v>
      </c>
      <c r="R3867" s="55">
        <f>IF($K3867="",0,COUNTIFS(Inputs!$J$80:$J$141,Inputs!$J$141,$L$3806:$L3867,$L3867,$K$3806:$K3867,$K3867))</f>
        <v>1</v>
      </c>
      <c r="S3867" s="55">
        <f t="shared" si="1419"/>
        <v>1</v>
      </c>
      <c r="U3867" s="54">
        <f>IF(Inputs!$C$141="","",IF(Inputs!$E$141="planned",EDATE(Inputs!$C$141,N(INDEX(sc_shift,3))),Inputs!$C$141))</f>
        <v>46023</v>
      </c>
      <c r="V3867" s="54">
        <f t="shared" si="1420"/>
        <v>46023</v>
      </c>
      <c r="W3867" s="52">
        <f>IF(N(INDEX(sc_ach,3))=0,IF(Inputs!$G$141="",1,Inputs!$G$141),INDEX(sc_ach,3))</f>
        <v>1</v>
      </c>
      <c r="X3867" s="52">
        <f>IF(Inputs!$C$141="",0,IF(Inputs!$E$141="planned",(Inputs!$D$141+N(INDEX(sc_dpts,3)))*$W3867,Inputs!$D$141))</f>
        <v>0.02</v>
      </c>
      <c r="Y3867" s="53">
        <f>IF(Inputs!$C$141="",0,IF(1+$X3867&gt;0,LN(1+$X3867),0))</f>
        <v>1.980262729617973E-2</v>
      </c>
      <c r="Z3867" s="55">
        <f t="shared" si="1421"/>
        <v>31</v>
      </c>
      <c r="AA3867" s="55">
        <f>IF($U3867="",0,COUNTIFS(rl_key,Inputs!$J$141,$V$3806:$V$4045,$V3867,$U$3806:$U$4045,"&lt;"&amp;$U3867))</f>
        <v>0</v>
      </c>
      <c r="AB3867" s="55">
        <f>IF($U3867="",0,COUNTIFS(Inputs!$J$80:$J$141,Inputs!$J$141,$V$3806:$V3867,$V3867,$U$3806:$U3867,$U3867))</f>
        <v>1</v>
      </c>
      <c r="AC3867" s="55">
        <f t="shared" si="1422"/>
        <v>1</v>
      </c>
      <c r="AE3867" s="54">
        <f>IF(Inputs!$C$141="","",IF(Inputs!$E$141="planned",EDATE(Inputs!$C$141,N(INDEX(sc_shift,4))),Inputs!$C$141))</f>
        <v>46023</v>
      </c>
      <c r="AF3867" s="54">
        <f t="shared" si="1423"/>
        <v>46023</v>
      </c>
      <c r="AG3867" s="52">
        <f>IF(N(INDEX(sc_ach,4))=0,IF(Inputs!$G$141="",1,Inputs!$G$141),INDEX(sc_ach,4))</f>
        <v>1</v>
      </c>
      <c r="AH3867" s="52">
        <f>IF(Inputs!$C$141="",0,IF(Inputs!$E$141="planned",(Inputs!$D$141+N(INDEX(sc_dpts,4)))*$AG3867,Inputs!$D$141))</f>
        <v>0.02</v>
      </c>
      <c r="AI3867" s="53">
        <f>IF(Inputs!$C$141="",0,IF(1+$AH3867&gt;0,LN(1+$AH3867),0))</f>
        <v>1.980262729617973E-2</v>
      </c>
      <c r="AJ3867" s="55">
        <f t="shared" si="1424"/>
        <v>31</v>
      </c>
      <c r="AK3867" s="55">
        <f>IF($AE3867="",0,COUNTIFS(rl_key,Inputs!$J$141,$AF$3806:$AF$4045,$AF3867,$AE$3806:$AE$4045,"&lt;"&amp;$AE3867))</f>
        <v>0</v>
      </c>
      <c r="AL3867" s="55">
        <f>IF($AE3867="",0,COUNTIFS(Inputs!$J$80:$J$141,Inputs!$J$141,$AF$3806:$AF3867,$AF3867,$AE$3806:$AE3867,$AE3867))</f>
        <v>1</v>
      </c>
      <c r="AM3867" s="55">
        <f t="shared" si="1425"/>
        <v>1</v>
      </c>
    </row>
    <row r="3868" spans="1:39" x14ac:dyDescent="0.25">
      <c r="A3868" s="54">
        <f>IF(Inputs!$C$142="","",IF(Inputs!$E$142="planned",EDATE(Inputs!$C$142,N(INDEX(sc_shift,1))),Inputs!$C$142))</f>
        <v>46054</v>
      </c>
      <c r="B3868" s="54">
        <f t="shared" si="1414"/>
        <v>46054</v>
      </c>
      <c r="C3868" s="52">
        <f>IF(N(INDEX(sc_ach,1))=0,IF(Inputs!$G$142="",1,Inputs!$G$142),INDEX(sc_ach,1))</f>
        <v>1</v>
      </c>
      <c r="D3868" s="52">
        <f>IF(Inputs!$C$142="",0,IF(Inputs!$E$142="planned",(Inputs!$D$142+N(INDEX(sc_dpts,1)))*$C3868,Inputs!$D$142))</f>
        <v>0.03</v>
      </c>
      <c r="E3868" s="53">
        <f>IF(Inputs!$C$142="",0,IF(1+$D3868&gt;0,LN(1+$D3868),0))</f>
        <v>2.9558802241544429E-2</v>
      </c>
      <c r="F3868" s="55">
        <f t="shared" si="1415"/>
        <v>28</v>
      </c>
      <c r="G3868" s="55">
        <f>IF($A3868="",0,COUNTIFS(rl_key,Inputs!$J$142,$B$3806:$B$4045,$B3868,$A$3806:$A$4045,"&lt;"&amp;$A3868))</f>
        <v>0</v>
      </c>
      <c r="H3868" s="55">
        <f>IF($A3868="",0,COUNTIFS(Inputs!$J$80:$J$142,Inputs!$J$142,$B$3806:$B3868,$B3868,$A$3806:$A3868,$A3868))</f>
        <v>1</v>
      </c>
      <c r="I3868" s="55">
        <f t="shared" si="1416"/>
        <v>1</v>
      </c>
      <c r="K3868" s="54">
        <f>IF(Inputs!$C$142="","",IF(Inputs!$E$142="planned",EDATE(Inputs!$C$142,N(INDEX(sc_shift,2))),Inputs!$C$142))</f>
        <v>46054</v>
      </c>
      <c r="L3868" s="54">
        <f t="shared" si="1417"/>
        <v>46054</v>
      </c>
      <c r="M3868" s="52">
        <f>IF(N(INDEX(sc_ach,2))=0,IF(Inputs!$G$142="",1,Inputs!$G$142),INDEX(sc_ach,2))</f>
        <v>1</v>
      </c>
      <c r="N3868" s="52">
        <f>IF(Inputs!$C$142="",0,IF(Inputs!$E$142="planned",(Inputs!$D$142+N(INDEX(sc_dpts,2)))*$M3868,Inputs!$D$142))</f>
        <v>0.03</v>
      </c>
      <c r="O3868" s="53">
        <f>IF(Inputs!$C$142="",0,IF(1+$N3868&gt;0,LN(1+$N3868),0))</f>
        <v>2.9558802241544429E-2</v>
      </c>
      <c r="P3868" s="55">
        <f t="shared" si="1418"/>
        <v>28</v>
      </c>
      <c r="Q3868" s="55">
        <f>IF($K3868="",0,COUNTIFS(rl_key,Inputs!$J$142,$L$3806:$L$4045,$L3868,$K$3806:$K$4045,"&lt;"&amp;$K3868))</f>
        <v>0</v>
      </c>
      <c r="R3868" s="55">
        <f>IF($K3868="",0,COUNTIFS(Inputs!$J$80:$J$142,Inputs!$J$142,$L$3806:$L3868,$L3868,$K$3806:$K3868,$K3868))</f>
        <v>1</v>
      </c>
      <c r="S3868" s="55">
        <f t="shared" si="1419"/>
        <v>1</v>
      </c>
      <c r="U3868" s="54">
        <f>IF(Inputs!$C$142="","",IF(Inputs!$E$142="planned",EDATE(Inputs!$C$142,N(INDEX(sc_shift,3))),Inputs!$C$142))</f>
        <v>46054</v>
      </c>
      <c r="V3868" s="54">
        <f t="shared" si="1420"/>
        <v>46054</v>
      </c>
      <c r="W3868" s="52">
        <f>IF(N(INDEX(sc_ach,3))=0,IF(Inputs!$G$142="",1,Inputs!$G$142),INDEX(sc_ach,3))</f>
        <v>1</v>
      </c>
      <c r="X3868" s="52">
        <f>IF(Inputs!$C$142="",0,IF(Inputs!$E$142="planned",(Inputs!$D$142+N(INDEX(sc_dpts,3)))*$W3868,Inputs!$D$142))</f>
        <v>0.03</v>
      </c>
      <c r="Y3868" s="53">
        <f>IF(Inputs!$C$142="",0,IF(1+$X3868&gt;0,LN(1+$X3868),0))</f>
        <v>2.9558802241544429E-2</v>
      </c>
      <c r="Z3868" s="55">
        <f t="shared" si="1421"/>
        <v>28</v>
      </c>
      <c r="AA3868" s="55">
        <f>IF($U3868="",0,COUNTIFS(rl_key,Inputs!$J$142,$V$3806:$V$4045,$V3868,$U$3806:$U$4045,"&lt;"&amp;$U3868))</f>
        <v>0</v>
      </c>
      <c r="AB3868" s="55">
        <f>IF($U3868="",0,COUNTIFS(Inputs!$J$80:$J$142,Inputs!$J$142,$V$3806:$V3868,$V3868,$U$3806:$U3868,$U3868))</f>
        <v>1</v>
      </c>
      <c r="AC3868" s="55">
        <f t="shared" si="1422"/>
        <v>1</v>
      </c>
      <c r="AE3868" s="54">
        <f>IF(Inputs!$C$142="","",IF(Inputs!$E$142="planned",EDATE(Inputs!$C$142,N(INDEX(sc_shift,4))),Inputs!$C$142))</f>
        <v>46054</v>
      </c>
      <c r="AF3868" s="54">
        <f t="shared" si="1423"/>
        <v>46054</v>
      </c>
      <c r="AG3868" s="52">
        <f>IF(N(INDEX(sc_ach,4))=0,IF(Inputs!$G$142="",1,Inputs!$G$142),INDEX(sc_ach,4))</f>
        <v>1</v>
      </c>
      <c r="AH3868" s="52">
        <f>IF(Inputs!$C$142="",0,IF(Inputs!$E$142="planned",(Inputs!$D$142+N(INDEX(sc_dpts,4)))*$AG3868,Inputs!$D$142))</f>
        <v>0.03</v>
      </c>
      <c r="AI3868" s="53">
        <f>IF(Inputs!$C$142="",0,IF(1+$AH3868&gt;0,LN(1+$AH3868),0))</f>
        <v>2.9558802241544429E-2</v>
      </c>
      <c r="AJ3868" s="55">
        <f t="shared" si="1424"/>
        <v>28</v>
      </c>
      <c r="AK3868" s="55">
        <f>IF($AE3868="",0,COUNTIFS(rl_key,Inputs!$J$142,$AF$3806:$AF$4045,$AF3868,$AE$3806:$AE$4045,"&lt;"&amp;$AE3868))</f>
        <v>0</v>
      </c>
      <c r="AL3868" s="55">
        <f>IF($AE3868="",0,COUNTIFS(Inputs!$J$80:$J$142,Inputs!$J$142,$AF$3806:$AF3868,$AF3868,$AE$3806:$AE3868,$AE3868))</f>
        <v>1</v>
      </c>
      <c r="AM3868" s="55">
        <f t="shared" si="1425"/>
        <v>1</v>
      </c>
    </row>
    <row r="3869" spans="1:39" x14ac:dyDescent="0.25">
      <c r="A3869" s="54">
        <f>IF(Inputs!$C$143="","",IF(Inputs!$E$143="planned",EDATE(Inputs!$C$143,N(INDEX(sc_shift,1))),Inputs!$C$143))</f>
        <v>46419</v>
      </c>
      <c r="B3869" s="54">
        <f t="shared" si="1414"/>
        <v>46419</v>
      </c>
      <c r="C3869" s="52">
        <f>IF(N(INDEX(sc_ach,1))=0,IF(Inputs!$G$143="",1,Inputs!$G$143),INDEX(sc_ach,1))</f>
        <v>1</v>
      </c>
      <c r="D3869" s="52">
        <f>IF(Inputs!$C$143="",0,IF(Inputs!$E$143="planned",(Inputs!$D$143+N(INDEX(sc_dpts,1)))*$C3869,Inputs!$D$143))</f>
        <v>0.04</v>
      </c>
      <c r="E3869" s="53">
        <f>IF(Inputs!$C$143="",0,IF(1+$D3869&gt;0,LN(1+$D3869),0))</f>
        <v>3.9220713153281329E-2</v>
      </c>
      <c r="F3869" s="55">
        <f t="shared" si="1415"/>
        <v>28</v>
      </c>
      <c r="G3869" s="55">
        <f>IF($A3869="",0,COUNTIFS(rl_key,Inputs!$J$143,$B$3806:$B$4045,$B3869,$A$3806:$A$4045,"&lt;"&amp;$A3869))</f>
        <v>0</v>
      </c>
      <c r="H3869" s="55">
        <f>IF($A3869="",0,COUNTIFS(Inputs!$J$80:$J$143,Inputs!$J$143,$B$3806:$B3869,$B3869,$A$3806:$A3869,$A3869))</f>
        <v>1</v>
      </c>
      <c r="I3869" s="55">
        <f t="shared" si="1416"/>
        <v>1</v>
      </c>
      <c r="K3869" s="54">
        <f>IF(Inputs!$C$143="","",IF(Inputs!$E$143="planned",EDATE(Inputs!$C$143,N(INDEX(sc_shift,2))),Inputs!$C$143))</f>
        <v>46419</v>
      </c>
      <c r="L3869" s="54">
        <f t="shared" si="1417"/>
        <v>46419</v>
      </c>
      <c r="M3869" s="52">
        <f>IF(N(INDEX(sc_ach,2))=0,IF(Inputs!$G$143="",1,Inputs!$G$143),INDEX(sc_ach,2))</f>
        <v>1</v>
      </c>
      <c r="N3869" s="52">
        <f>IF(Inputs!$C$143="",0,IF(Inputs!$E$143="planned",(Inputs!$D$143+N(INDEX(sc_dpts,2)))*$M3869,Inputs!$D$143))</f>
        <v>0.04</v>
      </c>
      <c r="O3869" s="53">
        <f>IF(Inputs!$C$143="",0,IF(1+$N3869&gt;0,LN(1+$N3869),0))</f>
        <v>3.9220713153281329E-2</v>
      </c>
      <c r="P3869" s="55">
        <f t="shared" si="1418"/>
        <v>28</v>
      </c>
      <c r="Q3869" s="55">
        <f>IF($K3869="",0,COUNTIFS(rl_key,Inputs!$J$143,$L$3806:$L$4045,$L3869,$K$3806:$K$4045,"&lt;"&amp;$K3869))</f>
        <v>0</v>
      </c>
      <c r="R3869" s="55">
        <f>IF($K3869="",0,COUNTIFS(Inputs!$J$80:$J$143,Inputs!$J$143,$L$3806:$L3869,$L3869,$K$3806:$K3869,$K3869))</f>
        <v>1</v>
      </c>
      <c r="S3869" s="55">
        <f t="shared" si="1419"/>
        <v>1</v>
      </c>
      <c r="U3869" s="54">
        <f>IF(Inputs!$C$143="","",IF(Inputs!$E$143="planned",EDATE(Inputs!$C$143,N(INDEX(sc_shift,3))),Inputs!$C$143))</f>
        <v>46419</v>
      </c>
      <c r="V3869" s="54">
        <f t="shared" si="1420"/>
        <v>46419</v>
      </c>
      <c r="W3869" s="52">
        <f>IF(N(INDEX(sc_ach,3))=0,IF(Inputs!$G$143="",1,Inputs!$G$143),INDEX(sc_ach,3))</f>
        <v>1</v>
      </c>
      <c r="X3869" s="52">
        <f>IF(Inputs!$C$143="",0,IF(Inputs!$E$143="planned",(Inputs!$D$143+N(INDEX(sc_dpts,3)))*$W3869,Inputs!$D$143))</f>
        <v>0.04</v>
      </c>
      <c r="Y3869" s="53">
        <f>IF(Inputs!$C$143="",0,IF(1+$X3869&gt;0,LN(1+$X3869),0))</f>
        <v>3.9220713153281329E-2</v>
      </c>
      <c r="Z3869" s="55">
        <f t="shared" si="1421"/>
        <v>28</v>
      </c>
      <c r="AA3869" s="55">
        <f>IF($U3869="",0,COUNTIFS(rl_key,Inputs!$J$143,$V$3806:$V$4045,$V3869,$U$3806:$U$4045,"&lt;"&amp;$U3869))</f>
        <v>0</v>
      </c>
      <c r="AB3869" s="55">
        <f>IF($U3869="",0,COUNTIFS(Inputs!$J$80:$J$143,Inputs!$J$143,$V$3806:$V3869,$V3869,$U$3806:$U3869,$U3869))</f>
        <v>1</v>
      </c>
      <c r="AC3869" s="55">
        <f t="shared" si="1422"/>
        <v>1</v>
      </c>
      <c r="AE3869" s="54">
        <f>IF(Inputs!$C$143="","",IF(Inputs!$E$143="planned",EDATE(Inputs!$C$143,N(INDEX(sc_shift,4))),Inputs!$C$143))</f>
        <v>46419</v>
      </c>
      <c r="AF3869" s="54">
        <f t="shared" si="1423"/>
        <v>46419</v>
      </c>
      <c r="AG3869" s="52">
        <f>IF(N(INDEX(sc_ach,4))=0,IF(Inputs!$G$143="",1,Inputs!$G$143),INDEX(sc_ach,4))</f>
        <v>1</v>
      </c>
      <c r="AH3869" s="52">
        <f>IF(Inputs!$C$143="",0,IF(Inputs!$E$143="planned",(Inputs!$D$143+N(INDEX(sc_dpts,4)))*$AG3869,Inputs!$D$143))</f>
        <v>0.04</v>
      </c>
      <c r="AI3869" s="53">
        <f>IF(Inputs!$C$143="",0,IF(1+$AH3869&gt;0,LN(1+$AH3869),0))</f>
        <v>3.9220713153281329E-2</v>
      </c>
      <c r="AJ3869" s="55">
        <f t="shared" si="1424"/>
        <v>28</v>
      </c>
      <c r="AK3869" s="55">
        <f>IF($AE3869="",0,COUNTIFS(rl_key,Inputs!$J$143,$AF$3806:$AF$4045,$AF3869,$AE$3806:$AE$4045,"&lt;"&amp;$AE3869))</f>
        <v>0</v>
      </c>
      <c r="AL3869" s="55">
        <f>IF($AE3869="",0,COUNTIFS(Inputs!$J$80:$J$143,Inputs!$J$143,$AF$3806:$AF3869,$AF3869,$AE$3806:$AE3869,$AE3869))</f>
        <v>1</v>
      </c>
      <c r="AM3869" s="55">
        <f t="shared" si="1425"/>
        <v>1</v>
      </c>
    </row>
    <row r="3870" spans="1:39" x14ac:dyDescent="0.25">
      <c r="A3870" s="54" t="str">
        <f>IF(Inputs!$C$144="","",IF(Inputs!$E$144="planned",EDATE(Inputs!$C$144,N(INDEX(sc_shift,1))),Inputs!$C$144))</f>
        <v/>
      </c>
      <c r="B3870" s="54" t="str">
        <f t="shared" ref="B3870:B3933" si="1426">IF($A3870="","",DATE(YEAR($A3870),MONTH($A3870),1))</f>
        <v/>
      </c>
      <c r="C3870" s="52">
        <f>IF(N(INDEX(sc_ach,1))=0,IF(Inputs!$G$144="",1,Inputs!$G$144),INDEX(sc_ach,1))</f>
        <v>1</v>
      </c>
      <c r="D3870" s="52">
        <f>IF(Inputs!$C$144="",0,IF(Inputs!$E$144="planned",(Inputs!$D$144+N(INDEX(sc_dpts,1)))*$C3870,Inputs!$D$144))</f>
        <v>0</v>
      </c>
      <c r="E3870" s="53">
        <f>IF(Inputs!$C$144="",0,IF(1+$D3870&gt;0,LN(1+$D3870),0))</f>
        <v>0</v>
      </c>
      <c r="F3870" s="55">
        <f t="shared" ref="F3870:F3933" si="1427">IF($A3870="",0,EOMONTH($A3870,0)-$A3870+1)</f>
        <v>0</v>
      </c>
      <c r="G3870" s="55">
        <f>IF($A3870="",0,COUNTIFS(rl_key,Inputs!$J$144,$B$3806:$B$4045,$B3870,$A$3806:$A$4045,"&lt;"&amp;$A3870))</f>
        <v>0</v>
      </c>
      <c r="H3870" s="55">
        <f>IF($A3870="",0,COUNTIFS(Inputs!$J$80:$J$144,Inputs!$J$144,$B$3806:$B3870,$B3870,$A$3806:$A3870,$A3870))</f>
        <v>0</v>
      </c>
      <c r="I3870" s="55">
        <f t="shared" ref="I3870:I3933" si="1428">IF($A3870="",0,IF(AND($G3870=0,$H3870=1),1,0))</f>
        <v>0</v>
      </c>
      <c r="K3870" s="54" t="str">
        <f>IF(Inputs!$C$144="","",IF(Inputs!$E$144="planned",EDATE(Inputs!$C$144,N(INDEX(sc_shift,2))),Inputs!$C$144))</f>
        <v/>
      </c>
      <c r="L3870" s="54" t="str">
        <f t="shared" ref="L3870:L3933" si="1429">IF($K3870="","",DATE(YEAR($K3870),MONTH($K3870),1))</f>
        <v/>
      </c>
      <c r="M3870" s="52">
        <f>IF(N(INDEX(sc_ach,2))=0,IF(Inputs!$G$144="",1,Inputs!$G$144),INDEX(sc_ach,2))</f>
        <v>1</v>
      </c>
      <c r="N3870" s="52">
        <f>IF(Inputs!$C$144="",0,IF(Inputs!$E$144="planned",(Inputs!$D$144+N(INDEX(sc_dpts,2)))*$M3870,Inputs!$D$144))</f>
        <v>0</v>
      </c>
      <c r="O3870" s="53">
        <f>IF(Inputs!$C$144="",0,IF(1+$N3870&gt;0,LN(1+$N3870),0))</f>
        <v>0</v>
      </c>
      <c r="P3870" s="55">
        <f t="shared" ref="P3870:P3933" si="1430">IF($K3870="",0,EOMONTH($K3870,0)-$K3870+1)</f>
        <v>0</v>
      </c>
      <c r="Q3870" s="55">
        <f>IF($K3870="",0,COUNTIFS(rl_key,Inputs!$J$144,$L$3806:$L$4045,$L3870,$K$3806:$K$4045,"&lt;"&amp;$K3870))</f>
        <v>0</v>
      </c>
      <c r="R3870" s="55">
        <f>IF($K3870="",0,COUNTIFS(Inputs!$J$80:$J$144,Inputs!$J$144,$L$3806:$L3870,$L3870,$K$3806:$K3870,$K3870))</f>
        <v>0</v>
      </c>
      <c r="S3870" s="55">
        <f t="shared" ref="S3870:S3933" si="1431">IF($K3870="",0,IF(AND($Q3870=0,$R3870=1),1,0))</f>
        <v>0</v>
      </c>
      <c r="U3870" s="54" t="str">
        <f>IF(Inputs!$C$144="","",IF(Inputs!$E$144="planned",EDATE(Inputs!$C$144,N(INDEX(sc_shift,3))),Inputs!$C$144))</f>
        <v/>
      </c>
      <c r="V3870" s="54" t="str">
        <f t="shared" ref="V3870:V3933" si="1432">IF($U3870="","",DATE(YEAR($U3870),MONTH($U3870),1))</f>
        <v/>
      </c>
      <c r="W3870" s="52">
        <f>IF(N(INDEX(sc_ach,3))=0,IF(Inputs!$G$144="",1,Inputs!$G$144),INDEX(sc_ach,3))</f>
        <v>1</v>
      </c>
      <c r="X3870" s="52">
        <f>IF(Inputs!$C$144="",0,IF(Inputs!$E$144="planned",(Inputs!$D$144+N(INDEX(sc_dpts,3)))*$W3870,Inputs!$D$144))</f>
        <v>0</v>
      </c>
      <c r="Y3870" s="53">
        <f>IF(Inputs!$C$144="",0,IF(1+$X3870&gt;0,LN(1+$X3870),0))</f>
        <v>0</v>
      </c>
      <c r="Z3870" s="55">
        <f t="shared" ref="Z3870:Z3933" si="1433">IF($U3870="",0,EOMONTH($U3870,0)-$U3870+1)</f>
        <v>0</v>
      </c>
      <c r="AA3870" s="55">
        <f>IF($U3870="",0,COUNTIFS(rl_key,Inputs!$J$144,$V$3806:$V$4045,$V3870,$U$3806:$U$4045,"&lt;"&amp;$U3870))</f>
        <v>0</v>
      </c>
      <c r="AB3870" s="55">
        <f>IF($U3870="",0,COUNTIFS(Inputs!$J$80:$J$144,Inputs!$J$144,$V$3806:$V3870,$V3870,$U$3806:$U3870,$U3870))</f>
        <v>0</v>
      </c>
      <c r="AC3870" s="55">
        <f t="shared" ref="AC3870:AC3933" si="1434">IF($U3870="",0,IF(AND($AA3870=0,$AB3870=1),1,0))</f>
        <v>0</v>
      </c>
      <c r="AE3870" s="54" t="str">
        <f>IF(Inputs!$C$144="","",IF(Inputs!$E$144="planned",EDATE(Inputs!$C$144,N(INDEX(sc_shift,4))),Inputs!$C$144))</f>
        <v/>
      </c>
      <c r="AF3870" s="54" t="str">
        <f t="shared" ref="AF3870:AF3933" si="1435">IF($AE3870="","",DATE(YEAR($AE3870),MONTH($AE3870),1))</f>
        <v/>
      </c>
      <c r="AG3870" s="52">
        <f>IF(N(INDEX(sc_ach,4))=0,IF(Inputs!$G$144="",1,Inputs!$G$144),INDEX(sc_ach,4))</f>
        <v>1</v>
      </c>
      <c r="AH3870" s="52">
        <f>IF(Inputs!$C$144="",0,IF(Inputs!$E$144="planned",(Inputs!$D$144+N(INDEX(sc_dpts,4)))*$AG3870,Inputs!$D$144))</f>
        <v>0</v>
      </c>
      <c r="AI3870" s="53">
        <f>IF(Inputs!$C$144="",0,IF(1+$AH3870&gt;0,LN(1+$AH3870),0))</f>
        <v>0</v>
      </c>
      <c r="AJ3870" s="55">
        <f t="shared" ref="AJ3870:AJ3933" si="1436">IF($AE3870="",0,EOMONTH($AE3870,0)-$AE3870+1)</f>
        <v>0</v>
      </c>
      <c r="AK3870" s="55">
        <f>IF($AE3870="",0,COUNTIFS(rl_key,Inputs!$J$144,$AF$3806:$AF$4045,$AF3870,$AE$3806:$AE$4045,"&lt;"&amp;$AE3870))</f>
        <v>0</v>
      </c>
      <c r="AL3870" s="55">
        <f>IF($AE3870="",0,COUNTIFS(Inputs!$J$80:$J$144,Inputs!$J$144,$AF$3806:$AF3870,$AF3870,$AE$3806:$AE3870,$AE3870))</f>
        <v>0</v>
      </c>
      <c r="AM3870" s="55">
        <f t="shared" ref="AM3870:AM3933" si="1437">IF($AE3870="",0,IF(AND($AK3870=0,$AL3870=1),1,0))</f>
        <v>0</v>
      </c>
    </row>
    <row r="3871" spans="1:39" x14ac:dyDescent="0.25">
      <c r="A3871" s="54" t="str">
        <f>IF(Inputs!$C$145="","",IF(Inputs!$E$145="planned",EDATE(Inputs!$C$145,N(INDEX(sc_shift,1))),Inputs!$C$145))</f>
        <v/>
      </c>
      <c r="B3871" s="54" t="str">
        <f t="shared" si="1426"/>
        <v/>
      </c>
      <c r="C3871" s="52">
        <f>IF(N(INDEX(sc_ach,1))=0,IF(Inputs!$G$145="",1,Inputs!$G$145),INDEX(sc_ach,1))</f>
        <v>1</v>
      </c>
      <c r="D3871" s="52">
        <f>IF(Inputs!$C$145="",0,IF(Inputs!$E$145="planned",(Inputs!$D$145+N(INDEX(sc_dpts,1)))*$C3871,Inputs!$D$145))</f>
        <v>0</v>
      </c>
      <c r="E3871" s="53">
        <f>IF(Inputs!$C$145="",0,IF(1+$D3871&gt;0,LN(1+$D3871),0))</f>
        <v>0</v>
      </c>
      <c r="F3871" s="55">
        <f t="shared" si="1427"/>
        <v>0</v>
      </c>
      <c r="G3871" s="55">
        <f>IF($A3871="",0,COUNTIFS(rl_key,Inputs!$J$145,$B$3806:$B$4045,$B3871,$A$3806:$A$4045,"&lt;"&amp;$A3871))</f>
        <v>0</v>
      </c>
      <c r="H3871" s="55">
        <f>IF($A3871="",0,COUNTIFS(Inputs!$J$80:$J$145,Inputs!$J$145,$B$3806:$B3871,$B3871,$A$3806:$A3871,$A3871))</f>
        <v>0</v>
      </c>
      <c r="I3871" s="55">
        <f t="shared" si="1428"/>
        <v>0</v>
      </c>
      <c r="K3871" s="54" t="str">
        <f>IF(Inputs!$C$145="","",IF(Inputs!$E$145="planned",EDATE(Inputs!$C$145,N(INDEX(sc_shift,2))),Inputs!$C$145))</f>
        <v/>
      </c>
      <c r="L3871" s="54" t="str">
        <f t="shared" si="1429"/>
        <v/>
      </c>
      <c r="M3871" s="52">
        <f>IF(N(INDEX(sc_ach,2))=0,IF(Inputs!$G$145="",1,Inputs!$G$145),INDEX(sc_ach,2))</f>
        <v>1</v>
      </c>
      <c r="N3871" s="52">
        <f>IF(Inputs!$C$145="",0,IF(Inputs!$E$145="planned",(Inputs!$D$145+N(INDEX(sc_dpts,2)))*$M3871,Inputs!$D$145))</f>
        <v>0</v>
      </c>
      <c r="O3871" s="53">
        <f>IF(Inputs!$C$145="",0,IF(1+$N3871&gt;0,LN(1+$N3871),0))</f>
        <v>0</v>
      </c>
      <c r="P3871" s="55">
        <f t="shared" si="1430"/>
        <v>0</v>
      </c>
      <c r="Q3871" s="55">
        <f>IF($K3871="",0,COUNTIFS(rl_key,Inputs!$J$145,$L$3806:$L$4045,$L3871,$K$3806:$K$4045,"&lt;"&amp;$K3871))</f>
        <v>0</v>
      </c>
      <c r="R3871" s="55">
        <f>IF($K3871="",0,COUNTIFS(Inputs!$J$80:$J$145,Inputs!$J$145,$L$3806:$L3871,$L3871,$K$3806:$K3871,$K3871))</f>
        <v>0</v>
      </c>
      <c r="S3871" s="55">
        <f t="shared" si="1431"/>
        <v>0</v>
      </c>
      <c r="U3871" s="54" t="str">
        <f>IF(Inputs!$C$145="","",IF(Inputs!$E$145="planned",EDATE(Inputs!$C$145,N(INDEX(sc_shift,3))),Inputs!$C$145))</f>
        <v/>
      </c>
      <c r="V3871" s="54" t="str">
        <f t="shared" si="1432"/>
        <v/>
      </c>
      <c r="W3871" s="52">
        <f>IF(N(INDEX(sc_ach,3))=0,IF(Inputs!$G$145="",1,Inputs!$G$145),INDEX(sc_ach,3))</f>
        <v>1</v>
      </c>
      <c r="X3871" s="52">
        <f>IF(Inputs!$C$145="",0,IF(Inputs!$E$145="planned",(Inputs!$D$145+N(INDEX(sc_dpts,3)))*$W3871,Inputs!$D$145))</f>
        <v>0</v>
      </c>
      <c r="Y3871" s="53">
        <f>IF(Inputs!$C$145="",0,IF(1+$X3871&gt;0,LN(1+$X3871),0))</f>
        <v>0</v>
      </c>
      <c r="Z3871" s="55">
        <f t="shared" si="1433"/>
        <v>0</v>
      </c>
      <c r="AA3871" s="55">
        <f>IF($U3871="",0,COUNTIFS(rl_key,Inputs!$J$145,$V$3806:$V$4045,$V3871,$U$3806:$U$4045,"&lt;"&amp;$U3871))</f>
        <v>0</v>
      </c>
      <c r="AB3871" s="55">
        <f>IF($U3871="",0,COUNTIFS(Inputs!$J$80:$J$145,Inputs!$J$145,$V$3806:$V3871,$V3871,$U$3806:$U3871,$U3871))</f>
        <v>0</v>
      </c>
      <c r="AC3871" s="55">
        <f t="shared" si="1434"/>
        <v>0</v>
      </c>
      <c r="AE3871" s="54" t="str">
        <f>IF(Inputs!$C$145="","",IF(Inputs!$E$145="planned",EDATE(Inputs!$C$145,N(INDEX(sc_shift,4))),Inputs!$C$145))</f>
        <v/>
      </c>
      <c r="AF3871" s="54" t="str">
        <f t="shared" si="1435"/>
        <v/>
      </c>
      <c r="AG3871" s="52">
        <f>IF(N(INDEX(sc_ach,4))=0,IF(Inputs!$G$145="",1,Inputs!$G$145),INDEX(sc_ach,4))</f>
        <v>1</v>
      </c>
      <c r="AH3871" s="52">
        <f>IF(Inputs!$C$145="",0,IF(Inputs!$E$145="planned",(Inputs!$D$145+N(INDEX(sc_dpts,4)))*$AG3871,Inputs!$D$145))</f>
        <v>0</v>
      </c>
      <c r="AI3871" s="53">
        <f>IF(Inputs!$C$145="",0,IF(1+$AH3871&gt;0,LN(1+$AH3871),0))</f>
        <v>0</v>
      </c>
      <c r="AJ3871" s="55">
        <f t="shared" si="1436"/>
        <v>0</v>
      </c>
      <c r="AK3871" s="55">
        <f>IF($AE3871="",0,COUNTIFS(rl_key,Inputs!$J$145,$AF$3806:$AF$4045,$AF3871,$AE$3806:$AE$4045,"&lt;"&amp;$AE3871))</f>
        <v>0</v>
      </c>
      <c r="AL3871" s="55">
        <f>IF($AE3871="",0,COUNTIFS(Inputs!$J$80:$J$145,Inputs!$J$145,$AF$3806:$AF3871,$AF3871,$AE$3806:$AE3871,$AE3871))</f>
        <v>0</v>
      </c>
      <c r="AM3871" s="55">
        <f t="shared" si="1437"/>
        <v>0</v>
      </c>
    </row>
    <row r="3872" spans="1:39" x14ac:dyDescent="0.25">
      <c r="A3872" s="54" t="str">
        <f>IF(Inputs!$C$146="","",IF(Inputs!$E$146="planned",EDATE(Inputs!$C$146,N(INDEX(sc_shift,1))),Inputs!$C$146))</f>
        <v/>
      </c>
      <c r="B3872" s="54" t="str">
        <f t="shared" si="1426"/>
        <v/>
      </c>
      <c r="C3872" s="52">
        <f>IF(N(INDEX(sc_ach,1))=0,IF(Inputs!$G$146="",1,Inputs!$G$146),INDEX(sc_ach,1))</f>
        <v>1</v>
      </c>
      <c r="D3872" s="52">
        <f>IF(Inputs!$C$146="",0,IF(Inputs!$E$146="planned",(Inputs!$D$146+N(INDEX(sc_dpts,1)))*$C3872,Inputs!$D$146))</f>
        <v>0</v>
      </c>
      <c r="E3872" s="53">
        <f>IF(Inputs!$C$146="",0,IF(1+$D3872&gt;0,LN(1+$D3872),0))</f>
        <v>0</v>
      </c>
      <c r="F3872" s="55">
        <f t="shared" si="1427"/>
        <v>0</v>
      </c>
      <c r="G3872" s="55">
        <f>IF($A3872="",0,COUNTIFS(rl_key,Inputs!$J$146,$B$3806:$B$4045,$B3872,$A$3806:$A$4045,"&lt;"&amp;$A3872))</f>
        <v>0</v>
      </c>
      <c r="H3872" s="55">
        <f>IF($A3872="",0,COUNTIFS(Inputs!$J$80:$J$146,Inputs!$J$146,$B$3806:$B3872,$B3872,$A$3806:$A3872,$A3872))</f>
        <v>0</v>
      </c>
      <c r="I3872" s="55">
        <f t="shared" si="1428"/>
        <v>0</v>
      </c>
      <c r="K3872" s="54" t="str">
        <f>IF(Inputs!$C$146="","",IF(Inputs!$E$146="planned",EDATE(Inputs!$C$146,N(INDEX(sc_shift,2))),Inputs!$C$146))</f>
        <v/>
      </c>
      <c r="L3872" s="54" t="str">
        <f t="shared" si="1429"/>
        <v/>
      </c>
      <c r="M3872" s="52">
        <f>IF(N(INDEX(sc_ach,2))=0,IF(Inputs!$G$146="",1,Inputs!$G$146),INDEX(sc_ach,2))</f>
        <v>1</v>
      </c>
      <c r="N3872" s="52">
        <f>IF(Inputs!$C$146="",0,IF(Inputs!$E$146="planned",(Inputs!$D$146+N(INDEX(sc_dpts,2)))*$M3872,Inputs!$D$146))</f>
        <v>0</v>
      </c>
      <c r="O3872" s="53">
        <f>IF(Inputs!$C$146="",0,IF(1+$N3872&gt;0,LN(1+$N3872),0))</f>
        <v>0</v>
      </c>
      <c r="P3872" s="55">
        <f t="shared" si="1430"/>
        <v>0</v>
      </c>
      <c r="Q3872" s="55">
        <f>IF($K3872="",0,COUNTIFS(rl_key,Inputs!$J$146,$L$3806:$L$4045,$L3872,$K$3806:$K$4045,"&lt;"&amp;$K3872))</f>
        <v>0</v>
      </c>
      <c r="R3872" s="55">
        <f>IF($K3872="",0,COUNTIFS(Inputs!$J$80:$J$146,Inputs!$J$146,$L$3806:$L3872,$L3872,$K$3806:$K3872,$K3872))</f>
        <v>0</v>
      </c>
      <c r="S3872" s="55">
        <f t="shared" si="1431"/>
        <v>0</v>
      </c>
      <c r="U3872" s="54" t="str">
        <f>IF(Inputs!$C$146="","",IF(Inputs!$E$146="planned",EDATE(Inputs!$C$146,N(INDEX(sc_shift,3))),Inputs!$C$146))</f>
        <v/>
      </c>
      <c r="V3872" s="54" t="str">
        <f t="shared" si="1432"/>
        <v/>
      </c>
      <c r="W3872" s="52">
        <f>IF(N(INDEX(sc_ach,3))=0,IF(Inputs!$G$146="",1,Inputs!$G$146),INDEX(sc_ach,3))</f>
        <v>1</v>
      </c>
      <c r="X3872" s="52">
        <f>IF(Inputs!$C$146="",0,IF(Inputs!$E$146="planned",(Inputs!$D$146+N(INDEX(sc_dpts,3)))*$W3872,Inputs!$D$146))</f>
        <v>0</v>
      </c>
      <c r="Y3872" s="53">
        <f>IF(Inputs!$C$146="",0,IF(1+$X3872&gt;0,LN(1+$X3872),0))</f>
        <v>0</v>
      </c>
      <c r="Z3872" s="55">
        <f t="shared" si="1433"/>
        <v>0</v>
      </c>
      <c r="AA3872" s="55">
        <f>IF($U3872="",0,COUNTIFS(rl_key,Inputs!$J$146,$V$3806:$V$4045,$V3872,$U$3806:$U$4045,"&lt;"&amp;$U3872))</f>
        <v>0</v>
      </c>
      <c r="AB3872" s="55">
        <f>IF($U3872="",0,COUNTIFS(Inputs!$J$80:$J$146,Inputs!$J$146,$V$3806:$V3872,$V3872,$U$3806:$U3872,$U3872))</f>
        <v>0</v>
      </c>
      <c r="AC3872" s="55">
        <f t="shared" si="1434"/>
        <v>0</v>
      </c>
      <c r="AE3872" s="54" t="str">
        <f>IF(Inputs!$C$146="","",IF(Inputs!$E$146="planned",EDATE(Inputs!$C$146,N(INDEX(sc_shift,4))),Inputs!$C$146))</f>
        <v/>
      </c>
      <c r="AF3872" s="54" t="str">
        <f t="shared" si="1435"/>
        <v/>
      </c>
      <c r="AG3872" s="52">
        <f>IF(N(INDEX(sc_ach,4))=0,IF(Inputs!$G$146="",1,Inputs!$G$146),INDEX(sc_ach,4))</f>
        <v>1</v>
      </c>
      <c r="AH3872" s="52">
        <f>IF(Inputs!$C$146="",0,IF(Inputs!$E$146="planned",(Inputs!$D$146+N(INDEX(sc_dpts,4)))*$AG3872,Inputs!$D$146))</f>
        <v>0</v>
      </c>
      <c r="AI3872" s="53">
        <f>IF(Inputs!$C$146="",0,IF(1+$AH3872&gt;0,LN(1+$AH3872),0))</f>
        <v>0</v>
      </c>
      <c r="AJ3872" s="55">
        <f t="shared" si="1436"/>
        <v>0</v>
      </c>
      <c r="AK3872" s="55">
        <f>IF($AE3872="",0,COUNTIFS(rl_key,Inputs!$J$146,$AF$3806:$AF$4045,$AF3872,$AE$3806:$AE$4045,"&lt;"&amp;$AE3872))</f>
        <v>0</v>
      </c>
      <c r="AL3872" s="55">
        <f>IF($AE3872="",0,COUNTIFS(Inputs!$J$80:$J$146,Inputs!$J$146,$AF$3806:$AF3872,$AF3872,$AE$3806:$AE3872,$AE3872))</f>
        <v>0</v>
      </c>
      <c r="AM3872" s="55">
        <f t="shared" si="1437"/>
        <v>0</v>
      </c>
    </row>
    <row r="3873" spans="1:39" x14ac:dyDescent="0.25">
      <c r="A3873" s="54" t="str">
        <f>IF(Inputs!$C$147="","",IF(Inputs!$E$147="planned",EDATE(Inputs!$C$147,N(INDEX(sc_shift,1))),Inputs!$C$147))</f>
        <v/>
      </c>
      <c r="B3873" s="54" t="str">
        <f t="shared" si="1426"/>
        <v/>
      </c>
      <c r="C3873" s="52">
        <f>IF(N(INDEX(sc_ach,1))=0,IF(Inputs!$G$147="",1,Inputs!$G$147),INDEX(sc_ach,1))</f>
        <v>1</v>
      </c>
      <c r="D3873" s="52">
        <f>IF(Inputs!$C$147="",0,IF(Inputs!$E$147="planned",(Inputs!$D$147+N(INDEX(sc_dpts,1)))*$C3873,Inputs!$D$147))</f>
        <v>0</v>
      </c>
      <c r="E3873" s="53">
        <f>IF(Inputs!$C$147="",0,IF(1+$D3873&gt;0,LN(1+$D3873),0))</f>
        <v>0</v>
      </c>
      <c r="F3873" s="55">
        <f t="shared" si="1427"/>
        <v>0</v>
      </c>
      <c r="G3873" s="55">
        <f>IF($A3873="",0,COUNTIFS(rl_key,Inputs!$J$147,$B$3806:$B$4045,$B3873,$A$3806:$A$4045,"&lt;"&amp;$A3873))</f>
        <v>0</v>
      </c>
      <c r="H3873" s="55">
        <f>IF($A3873="",0,COUNTIFS(Inputs!$J$80:$J$147,Inputs!$J$147,$B$3806:$B3873,$B3873,$A$3806:$A3873,$A3873))</f>
        <v>0</v>
      </c>
      <c r="I3873" s="55">
        <f t="shared" si="1428"/>
        <v>0</v>
      </c>
      <c r="K3873" s="54" t="str">
        <f>IF(Inputs!$C$147="","",IF(Inputs!$E$147="planned",EDATE(Inputs!$C$147,N(INDEX(sc_shift,2))),Inputs!$C$147))</f>
        <v/>
      </c>
      <c r="L3873" s="54" t="str">
        <f t="shared" si="1429"/>
        <v/>
      </c>
      <c r="M3873" s="52">
        <f>IF(N(INDEX(sc_ach,2))=0,IF(Inputs!$G$147="",1,Inputs!$G$147),INDEX(sc_ach,2))</f>
        <v>1</v>
      </c>
      <c r="N3873" s="52">
        <f>IF(Inputs!$C$147="",0,IF(Inputs!$E$147="planned",(Inputs!$D$147+N(INDEX(sc_dpts,2)))*$M3873,Inputs!$D$147))</f>
        <v>0</v>
      </c>
      <c r="O3873" s="53">
        <f>IF(Inputs!$C$147="",0,IF(1+$N3873&gt;0,LN(1+$N3873),0))</f>
        <v>0</v>
      </c>
      <c r="P3873" s="55">
        <f t="shared" si="1430"/>
        <v>0</v>
      </c>
      <c r="Q3873" s="55">
        <f>IF($K3873="",0,COUNTIFS(rl_key,Inputs!$J$147,$L$3806:$L$4045,$L3873,$K$3806:$K$4045,"&lt;"&amp;$K3873))</f>
        <v>0</v>
      </c>
      <c r="R3873" s="55">
        <f>IF($K3873="",0,COUNTIFS(Inputs!$J$80:$J$147,Inputs!$J$147,$L$3806:$L3873,$L3873,$K$3806:$K3873,$K3873))</f>
        <v>0</v>
      </c>
      <c r="S3873" s="55">
        <f t="shared" si="1431"/>
        <v>0</v>
      </c>
      <c r="U3873" s="54" t="str">
        <f>IF(Inputs!$C$147="","",IF(Inputs!$E$147="planned",EDATE(Inputs!$C$147,N(INDEX(sc_shift,3))),Inputs!$C$147))</f>
        <v/>
      </c>
      <c r="V3873" s="54" t="str">
        <f t="shared" si="1432"/>
        <v/>
      </c>
      <c r="W3873" s="52">
        <f>IF(N(INDEX(sc_ach,3))=0,IF(Inputs!$G$147="",1,Inputs!$G$147),INDEX(sc_ach,3))</f>
        <v>1</v>
      </c>
      <c r="X3873" s="52">
        <f>IF(Inputs!$C$147="",0,IF(Inputs!$E$147="planned",(Inputs!$D$147+N(INDEX(sc_dpts,3)))*$W3873,Inputs!$D$147))</f>
        <v>0</v>
      </c>
      <c r="Y3873" s="53">
        <f>IF(Inputs!$C$147="",0,IF(1+$X3873&gt;0,LN(1+$X3873),0))</f>
        <v>0</v>
      </c>
      <c r="Z3873" s="55">
        <f t="shared" si="1433"/>
        <v>0</v>
      </c>
      <c r="AA3873" s="55">
        <f>IF($U3873="",0,COUNTIFS(rl_key,Inputs!$J$147,$V$3806:$V$4045,$V3873,$U$3806:$U$4045,"&lt;"&amp;$U3873))</f>
        <v>0</v>
      </c>
      <c r="AB3873" s="55">
        <f>IF($U3873="",0,COUNTIFS(Inputs!$J$80:$J$147,Inputs!$J$147,$V$3806:$V3873,$V3873,$U$3806:$U3873,$U3873))</f>
        <v>0</v>
      </c>
      <c r="AC3873" s="55">
        <f t="shared" si="1434"/>
        <v>0</v>
      </c>
      <c r="AE3873" s="54" t="str">
        <f>IF(Inputs!$C$147="","",IF(Inputs!$E$147="planned",EDATE(Inputs!$C$147,N(INDEX(sc_shift,4))),Inputs!$C$147))</f>
        <v/>
      </c>
      <c r="AF3873" s="54" t="str">
        <f t="shared" si="1435"/>
        <v/>
      </c>
      <c r="AG3873" s="52">
        <f>IF(N(INDEX(sc_ach,4))=0,IF(Inputs!$G$147="",1,Inputs!$G$147),INDEX(sc_ach,4))</f>
        <v>1</v>
      </c>
      <c r="AH3873" s="52">
        <f>IF(Inputs!$C$147="",0,IF(Inputs!$E$147="planned",(Inputs!$D$147+N(INDEX(sc_dpts,4)))*$AG3873,Inputs!$D$147))</f>
        <v>0</v>
      </c>
      <c r="AI3873" s="53">
        <f>IF(Inputs!$C$147="",0,IF(1+$AH3873&gt;0,LN(1+$AH3873),0))</f>
        <v>0</v>
      </c>
      <c r="AJ3873" s="55">
        <f t="shared" si="1436"/>
        <v>0</v>
      </c>
      <c r="AK3873" s="55">
        <f>IF($AE3873="",0,COUNTIFS(rl_key,Inputs!$J$147,$AF$3806:$AF$4045,$AF3873,$AE$3806:$AE$4045,"&lt;"&amp;$AE3873))</f>
        <v>0</v>
      </c>
      <c r="AL3873" s="55">
        <f>IF($AE3873="",0,COUNTIFS(Inputs!$J$80:$J$147,Inputs!$J$147,$AF$3806:$AF3873,$AF3873,$AE$3806:$AE3873,$AE3873))</f>
        <v>0</v>
      </c>
      <c r="AM3873" s="55">
        <f t="shared" si="1437"/>
        <v>0</v>
      </c>
    </row>
    <row r="3874" spans="1:39" x14ac:dyDescent="0.25">
      <c r="A3874" s="54" t="str">
        <f>IF(Inputs!$C$148="","",IF(Inputs!$E$148="planned",EDATE(Inputs!$C$148,N(INDEX(sc_shift,1))),Inputs!$C$148))</f>
        <v/>
      </c>
      <c r="B3874" s="54" t="str">
        <f t="shared" si="1426"/>
        <v/>
      </c>
      <c r="C3874" s="52">
        <f>IF(N(INDEX(sc_ach,1))=0,IF(Inputs!$G$148="",1,Inputs!$G$148),INDEX(sc_ach,1))</f>
        <v>1</v>
      </c>
      <c r="D3874" s="52">
        <f>IF(Inputs!$C$148="",0,IF(Inputs!$E$148="planned",(Inputs!$D$148+N(INDEX(sc_dpts,1)))*$C3874,Inputs!$D$148))</f>
        <v>0</v>
      </c>
      <c r="E3874" s="53">
        <f>IF(Inputs!$C$148="",0,IF(1+$D3874&gt;0,LN(1+$D3874),0))</f>
        <v>0</v>
      </c>
      <c r="F3874" s="55">
        <f t="shared" si="1427"/>
        <v>0</v>
      </c>
      <c r="G3874" s="55">
        <f>IF($A3874="",0,COUNTIFS(rl_key,Inputs!$J$148,$B$3806:$B$4045,$B3874,$A$3806:$A$4045,"&lt;"&amp;$A3874))</f>
        <v>0</v>
      </c>
      <c r="H3874" s="55">
        <f>IF($A3874="",0,COUNTIFS(Inputs!$J$80:$J$148,Inputs!$J$148,$B$3806:$B3874,$B3874,$A$3806:$A3874,$A3874))</f>
        <v>0</v>
      </c>
      <c r="I3874" s="55">
        <f t="shared" si="1428"/>
        <v>0</v>
      </c>
      <c r="K3874" s="54" t="str">
        <f>IF(Inputs!$C$148="","",IF(Inputs!$E$148="planned",EDATE(Inputs!$C$148,N(INDEX(sc_shift,2))),Inputs!$C$148))</f>
        <v/>
      </c>
      <c r="L3874" s="54" t="str">
        <f t="shared" si="1429"/>
        <v/>
      </c>
      <c r="M3874" s="52">
        <f>IF(N(INDEX(sc_ach,2))=0,IF(Inputs!$G$148="",1,Inputs!$G$148),INDEX(sc_ach,2))</f>
        <v>1</v>
      </c>
      <c r="N3874" s="52">
        <f>IF(Inputs!$C$148="",0,IF(Inputs!$E$148="planned",(Inputs!$D$148+N(INDEX(sc_dpts,2)))*$M3874,Inputs!$D$148))</f>
        <v>0</v>
      </c>
      <c r="O3874" s="53">
        <f>IF(Inputs!$C$148="",0,IF(1+$N3874&gt;0,LN(1+$N3874),0))</f>
        <v>0</v>
      </c>
      <c r="P3874" s="55">
        <f t="shared" si="1430"/>
        <v>0</v>
      </c>
      <c r="Q3874" s="55">
        <f>IF($K3874="",0,COUNTIFS(rl_key,Inputs!$J$148,$L$3806:$L$4045,$L3874,$K$3806:$K$4045,"&lt;"&amp;$K3874))</f>
        <v>0</v>
      </c>
      <c r="R3874" s="55">
        <f>IF($K3874="",0,COUNTIFS(Inputs!$J$80:$J$148,Inputs!$J$148,$L$3806:$L3874,$L3874,$K$3806:$K3874,$K3874))</f>
        <v>0</v>
      </c>
      <c r="S3874" s="55">
        <f t="shared" si="1431"/>
        <v>0</v>
      </c>
      <c r="U3874" s="54" t="str">
        <f>IF(Inputs!$C$148="","",IF(Inputs!$E$148="planned",EDATE(Inputs!$C$148,N(INDEX(sc_shift,3))),Inputs!$C$148))</f>
        <v/>
      </c>
      <c r="V3874" s="54" t="str">
        <f t="shared" si="1432"/>
        <v/>
      </c>
      <c r="W3874" s="52">
        <f>IF(N(INDEX(sc_ach,3))=0,IF(Inputs!$G$148="",1,Inputs!$G$148),INDEX(sc_ach,3))</f>
        <v>1</v>
      </c>
      <c r="X3874" s="52">
        <f>IF(Inputs!$C$148="",0,IF(Inputs!$E$148="planned",(Inputs!$D$148+N(INDEX(sc_dpts,3)))*$W3874,Inputs!$D$148))</f>
        <v>0</v>
      </c>
      <c r="Y3874" s="53">
        <f>IF(Inputs!$C$148="",0,IF(1+$X3874&gt;0,LN(1+$X3874),0))</f>
        <v>0</v>
      </c>
      <c r="Z3874" s="55">
        <f t="shared" si="1433"/>
        <v>0</v>
      </c>
      <c r="AA3874" s="55">
        <f>IF($U3874="",0,COUNTIFS(rl_key,Inputs!$J$148,$V$3806:$V$4045,$V3874,$U$3806:$U$4045,"&lt;"&amp;$U3874))</f>
        <v>0</v>
      </c>
      <c r="AB3874" s="55">
        <f>IF($U3874="",0,COUNTIFS(Inputs!$J$80:$J$148,Inputs!$J$148,$V$3806:$V3874,$V3874,$U$3806:$U3874,$U3874))</f>
        <v>0</v>
      </c>
      <c r="AC3874" s="55">
        <f t="shared" si="1434"/>
        <v>0</v>
      </c>
      <c r="AE3874" s="54" t="str">
        <f>IF(Inputs!$C$148="","",IF(Inputs!$E$148="planned",EDATE(Inputs!$C$148,N(INDEX(sc_shift,4))),Inputs!$C$148))</f>
        <v/>
      </c>
      <c r="AF3874" s="54" t="str">
        <f t="shared" si="1435"/>
        <v/>
      </c>
      <c r="AG3874" s="52">
        <f>IF(N(INDEX(sc_ach,4))=0,IF(Inputs!$G$148="",1,Inputs!$G$148),INDEX(sc_ach,4))</f>
        <v>1</v>
      </c>
      <c r="AH3874" s="52">
        <f>IF(Inputs!$C$148="",0,IF(Inputs!$E$148="planned",(Inputs!$D$148+N(INDEX(sc_dpts,4)))*$AG3874,Inputs!$D$148))</f>
        <v>0</v>
      </c>
      <c r="AI3874" s="53">
        <f>IF(Inputs!$C$148="",0,IF(1+$AH3874&gt;0,LN(1+$AH3874),0))</f>
        <v>0</v>
      </c>
      <c r="AJ3874" s="55">
        <f t="shared" si="1436"/>
        <v>0</v>
      </c>
      <c r="AK3874" s="55">
        <f>IF($AE3874="",0,COUNTIFS(rl_key,Inputs!$J$148,$AF$3806:$AF$4045,$AF3874,$AE$3806:$AE$4045,"&lt;"&amp;$AE3874))</f>
        <v>0</v>
      </c>
      <c r="AL3874" s="55">
        <f>IF($AE3874="",0,COUNTIFS(Inputs!$J$80:$J$148,Inputs!$J$148,$AF$3806:$AF3874,$AF3874,$AE$3806:$AE3874,$AE3874))</f>
        <v>0</v>
      </c>
      <c r="AM3874" s="55">
        <f t="shared" si="1437"/>
        <v>0</v>
      </c>
    </row>
    <row r="3875" spans="1:39" x14ac:dyDescent="0.25">
      <c r="A3875" s="54" t="str">
        <f>IF(Inputs!$C$149="","",IF(Inputs!$E$149="planned",EDATE(Inputs!$C$149,N(INDEX(sc_shift,1))),Inputs!$C$149))</f>
        <v/>
      </c>
      <c r="B3875" s="54" t="str">
        <f t="shared" si="1426"/>
        <v/>
      </c>
      <c r="C3875" s="52">
        <f>IF(N(INDEX(sc_ach,1))=0,IF(Inputs!$G$149="",1,Inputs!$G$149),INDEX(sc_ach,1))</f>
        <v>1</v>
      </c>
      <c r="D3875" s="52">
        <f>IF(Inputs!$C$149="",0,IF(Inputs!$E$149="planned",(Inputs!$D$149+N(INDEX(sc_dpts,1)))*$C3875,Inputs!$D$149))</f>
        <v>0</v>
      </c>
      <c r="E3875" s="53">
        <f>IF(Inputs!$C$149="",0,IF(1+$D3875&gt;0,LN(1+$D3875),0))</f>
        <v>0</v>
      </c>
      <c r="F3875" s="55">
        <f t="shared" si="1427"/>
        <v>0</v>
      </c>
      <c r="G3875" s="55">
        <f>IF($A3875="",0,COUNTIFS(rl_key,Inputs!$J$149,$B$3806:$B$4045,$B3875,$A$3806:$A$4045,"&lt;"&amp;$A3875))</f>
        <v>0</v>
      </c>
      <c r="H3875" s="55">
        <f>IF($A3875="",0,COUNTIFS(Inputs!$J$80:$J$149,Inputs!$J$149,$B$3806:$B3875,$B3875,$A$3806:$A3875,$A3875))</f>
        <v>0</v>
      </c>
      <c r="I3875" s="55">
        <f t="shared" si="1428"/>
        <v>0</v>
      </c>
      <c r="K3875" s="54" t="str">
        <f>IF(Inputs!$C$149="","",IF(Inputs!$E$149="planned",EDATE(Inputs!$C$149,N(INDEX(sc_shift,2))),Inputs!$C$149))</f>
        <v/>
      </c>
      <c r="L3875" s="54" t="str">
        <f t="shared" si="1429"/>
        <v/>
      </c>
      <c r="M3875" s="52">
        <f>IF(N(INDEX(sc_ach,2))=0,IF(Inputs!$G$149="",1,Inputs!$G$149),INDEX(sc_ach,2))</f>
        <v>1</v>
      </c>
      <c r="N3875" s="52">
        <f>IF(Inputs!$C$149="",0,IF(Inputs!$E$149="planned",(Inputs!$D$149+N(INDEX(sc_dpts,2)))*$M3875,Inputs!$D$149))</f>
        <v>0</v>
      </c>
      <c r="O3875" s="53">
        <f>IF(Inputs!$C$149="",0,IF(1+$N3875&gt;0,LN(1+$N3875),0))</f>
        <v>0</v>
      </c>
      <c r="P3875" s="55">
        <f t="shared" si="1430"/>
        <v>0</v>
      </c>
      <c r="Q3875" s="55">
        <f>IF($K3875="",0,COUNTIFS(rl_key,Inputs!$J$149,$L$3806:$L$4045,$L3875,$K$3806:$K$4045,"&lt;"&amp;$K3875))</f>
        <v>0</v>
      </c>
      <c r="R3875" s="55">
        <f>IF($K3875="",0,COUNTIFS(Inputs!$J$80:$J$149,Inputs!$J$149,$L$3806:$L3875,$L3875,$K$3806:$K3875,$K3875))</f>
        <v>0</v>
      </c>
      <c r="S3875" s="55">
        <f t="shared" si="1431"/>
        <v>0</v>
      </c>
      <c r="U3875" s="54" t="str">
        <f>IF(Inputs!$C$149="","",IF(Inputs!$E$149="planned",EDATE(Inputs!$C$149,N(INDEX(sc_shift,3))),Inputs!$C$149))</f>
        <v/>
      </c>
      <c r="V3875" s="54" t="str">
        <f t="shared" si="1432"/>
        <v/>
      </c>
      <c r="W3875" s="52">
        <f>IF(N(INDEX(sc_ach,3))=0,IF(Inputs!$G$149="",1,Inputs!$G$149),INDEX(sc_ach,3))</f>
        <v>1</v>
      </c>
      <c r="X3875" s="52">
        <f>IF(Inputs!$C$149="",0,IF(Inputs!$E$149="planned",(Inputs!$D$149+N(INDEX(sc_dpts,3)))*$W3875,Inputs!$D$149))</f>
        <v>0</v>
      </c>
      <c r="Y3875" s="53">
        <f>IF(Inputs!$C$149="",0,IF(1+$X3875&gt;0,LN(1+$X3875),0))</f>
        <v>0</v>
      </c>
      <c r="Z3875" s="55">
        <f t="shared" si="1433"/>
        <v>0</v>
      </c>
      <c r="AA3875" s="55">
        <f>IF($U3875="",0,COUNTIFS(rl_key,Inputs!$J$149,$V$3806:$V$4045,$V3875,$U$3806:$U$4045,"&lt;"&amp;$U3875))</f>
        <v>0</v>
      </c>
      <c r="AB3875" s="55">
        <f>IF($U3875="",0,COUNTIFS(Inputs!$J$80:$J$149,Inputs!$J$149,$V$3806:$V3875,$V3875,$U$3806:$U3875,$U3875))</f>
        <v>0</v>
      </c>
      <c r="AC3875" s="55">
        <f t="shared" si="1434"/>
        <v>0</v>
      </c>
      <c r="AE3875" s="54" t="str">
        <f>IF(Inputs!$C$149="","",IF(Inputs!$E$149="planned",EDATE(Inputs!$C$149,N(INDEX(sc_shift,4))),Inputs!$C$149))</f>
        <v/>
      </c>
      <c r="AF3875" s="54" t="str">
        <f t="shared" si="1435"/>
        <v/>
      </c>
      <c r="AG3875" s="52">
        <f>IF(N(INDEX(sc_ach,4))=0,IF(Inputs!$G$149="",1,Inputs!$G$149),INDEX(sc_ach,4))</f>
        <v>1</v>
      </c>
      <c r="AH3875" s="52">
        <f>IF(Inputs!$C$149="",0,IF(Inputs!$E$149="planned",(Inputs!$D$149+N(INDEX(sc_dpts,4)))*$AG3875,Inputs!$D$149))</f>
        <v>0</v>
      </c>
      <c r="AI3875" s="53">
        <f>IF(Inputs!$C$149="",0,IF(1+$AH3875&gt;0,LN(1+$AH3875),0))</f>
        <v>0</v>
      </c>
      <c r="AJ3875" s="55">
        <f t="shared" si="1436"/>
        <v>0</v>
      </c>
      <c r="AK3875" s="55">
        <f>IF($AE3875="",0,COUNTIFS(rl_key,Inputs!$J$149,$AF$3806:$AF$4045,$AF3875,$AE$3806:$AE$4045,"&lt;"&amp;$AE3875))</f>
        <v>0</v>
      </c>
      <c r="AL3875" s="55">
        <f>IF($AE3875="",0,COUNTIFS(Inputs!$J$80:$J$149,Inputs!$J$149,$AF$3806:$AF3875,$AF3875,$AE$3806:$AE3875,$AE3875))</f>
        <v>0</v>
      </c>
      <c r="AM3875" s="55">
        <f t="shared" si="1437"/>
        <v>0</v>
      </c>
    </row>
    <row r="3876" spans="1:39" x14ac:dyDescent="0.25">
      <c r="A3876" s="54" t="str">
        <f>IF(Inputs!$C$150="","",IF(Inputs!$E$150="planned",EDATE(Inputs!$C$150,N(INDEX(sc_shift,1))),Inputs!$C$150))</f>
        <v/>
      </c>
      <c r="B3876" s="54" t="str">
        <f t="shared" si="1426"/>
        <v/>
      </c>
      <c r="C3876" s="52">
        <f>IF(N(INDEX(sc_ach,1))=0,IF(Inputs!$G$150="",1,Inputs!$G$150),INDEX(sc_ach,1))</f>
        <v>1</v>
      </c>
      <c r="D3876" s="52">
        <f>IF(Inputs!$C$150="",0,IF(Inputs!$E$150="planned",(Inputs!$D$150+N(INDEX(sc_dpts,1)))*$C3876,Inputs!$D$150))</f>
        <v>0</v>
      </c>
      <c r="E3876" s="53">
        <f>IF(Inputs!$C$150="",0,IF(1+$D3876&gt;0,LN(1+$D3876),0))</f>
        <v>0</v>
      </c>
      <c r="F3876" s="55">
        <f t="shared" si="1427"/>
        <v>0</v>
      </c>
      <c r="G3876" s="55">
        <f>IF($A3876="",0,COUNTIFS(rl_key,Inputs!$J$150,$B$3806:$B$4045,$B3876,$A$3806:$A$4045,"&lt;"&amp;$A3876))</f>
        <v>0</v>
      </c>
      <c r="H3876" s="55">
        <f>IF($A3876="",0,COUNTIFS(Inputs!$J$80:$J$150,Inputs!$J$150,$B$3806:$B3876,$B3876,$A$3806:$A3876,$A3876))</f>
        <v>0</v>
      </c>
      <c r="I3876" s="55">
        <f t="shared" si="1428"/>
        <v>0</v>
      </c>
      <c r="K3876" s="54" t="str">
        <f>IF(Inputs!$C$150="","",IF(Inputs!$E$150="planned",EDATE(Inputs!$C$150,N(INDEX(sc_shift,2))),Inputs!$C$150))</f>
        <v/>
      </c>
      <c r="L3876" s="54" t="str">
        <f t="shared" si="1429"/>
        <v/>
      </c>
      <c r="M3876" s="52">
        <f>IF(N(INDEX(sc_ach,2))=0,IF(Inputs!$G$150="",1,Inputs!$G$150),INDEX(sc_ach,2))</f>
        <v>1</v>
      </c>
      <c r="N3876" s="52">
        <f>IF(Inputs!$C$150="",0,IF(Inputs!$E$150="planned",(Inputs!$D$150+N(INDEX(sc_dpts,2)))*$M3876,Inputs!$D$150))</f>
        <v>0</v>
      </c>
      <c r="O3876" s="53">
        <f>IF(Inputs!$C$150="",0,IF(1+$N3876&gt;0,LN(1+$N3876),0))</f>
        <v>0</v>
      </c>
      <c r="P3876" s="55">
        <f t="shared" si="1430"/>
        <v>0</v>
      </c>
      <c r="Q3876" s="55">
        <f>IF($K3876="",0,COUNTIFS(rl_key,Inputs!$J$150,$L$3806:$L$4045,$L3876,$K$3806:$K$4045,"&lt;"&amp;$K3876))</f>
        <v>0</v>
      </c>
      <c r="R3876" s="55">
        <f>IF($K3876="",0,COUNTIFS(Inputs!$J$80:$J$150,Inputs!$J$150,$L$3806:$L3876,$L3876,$K$3806:$K3876,$K3876))</f>
        <v>0</v>
      </c>
      <c r="S3876" s="55">
        <f t="shared" si="1431"/>
        <v>0</v>
      </c>
      <c r="U3876" s="54" t="str">
        <f>IF(Inputs!$C$150="","",IF(Inputs!$E$150="planned",EDATE(Inputs!$C$150,N(INDEX(sc_shift,3))),Inputs!$C$150))</f>
        <v/>
      </c>
      <c r="V3876" s="54" t="str">
        <f t="shared" si="1432"/>
        <v/>
      </c>
      <c r="W3876" s="52">
        <f>IF(N(INDEX(sc_ach,3))=0,IF(Inputs!$G$150="",1,Inputs!$G$150),INDEX(sc_ach,3))</f>
        <v>1</v>
      </c>
      <c r="X3876" s="52">
        <f>IF(Inputs!$C$150="",0,IF(Inputs!$E$150="planned",(Inputs!$D$150+N(INDEX(sc_dpts,3)))*$W3876,Inputs!$D$150))</f>
        <v>0</v>
      </c>
      <c r="Y3876" s="53">
        <f>IF(Inputs!$C$150="",0,IF(1+$X3876&gt;0,LN(1+$X3876),0))</f>
        <v>0</v>
      </c>
      <c r="Z3876" s="55">
        <f t="shared" si="1433"/>
        <v>0</v>
      </c>
      <c r="AA3876" s="55">
        <f>IF($U3876="",0,COUNTIFS(rl_key,Inputs!$J$150,$V$3806:$V$4045,$V3876,$U$3806:$U$4045,"&lt;"&amp;$U3876))</f>
        <v>0</v>
      </c>
      <c r="AB3876" s="55">
        <f>IF($U3876="",0,COUNTIFS(Inputs!$J$80:$J$150,Inputs!$J$150,$V$3806:$V3876,$V3876,$U$3806:$U3876,$U3876))</f>
        <v>0</v>
      </c>
      <c r="AC3876" s="55">
        <f t="shared" si="1434"/>
        <v>0</v>
      </c>
      <c r="AE3876" s="54" t="str">
        <f>IF(Inputs!$C$150="","",IF(Inputs!$E$150="planned",EDATE(Inputs!$C$150,N(INDEX(sc_shift,4))),Inputs!$C$150))</f>
        <v/>
      </c>
      <c r="AF3876" s="54" t="str">
        <f t="shared" si="1435"/>
        <v/>
      </c>
      <c r="AG3876" s="52">
        <f>IF(N(INDEX(sc_ach,4))=0,IF(Inputs!$G$150="",1,Inputs!$G$150),INDEX(sc_ach,4))</f>
        <v>1</v>
      </c>
      <c r="AH3876" s="52">
        <f>IF(Inputs!$C$150="",0,IF(Inputs!$E$150="planned",(Inputs!$D$150+N(INDEX(sc_dpts,4)))*$AG3876,Inputs!$D$150))</f>
        <v>0</v>
      </c>
      <c r="AI3876" s="53">
        <f>IF(Inputs!$C$150="",0,IF(1+$AH3876&gt;0,LN(1+$AH3876),0))</f>
        <v>0</v>
      </c>
      <c r="AJ3876" s="55">
        <f t="shared" si="1436"/>
        <v>0</v>
      </c>
      <c r="AK3876" s="55">
        <f>IF($AE3876="",0,COUNTIFS(rl_key,Inputs!$J$150,$AF$3806:$AF$4045,$AF3876,$AE$3806:$AE$4045,"&lt;"&amp;$AE3876))</f>
        <v>0</v>
      </c>
      <c r="AL3876" s="55">
        <f>IF($AE3876="",0,COUNTIFS(Inputs!$J$80:$J$150,Inputs!$J$150,$AF$3806:$AF3876,$AF3876,$AE$3806:$AE3876,$AE3876))</f>
        <v>0</v>
      </c>
      <c r="AM3876" s="55">
        <f t="shared" si="1437"/>
        <v>0</v>
      </c>
    </row>
    <row r="3877" spans="1:39" x14ac:dyDescent="0.25">
      <c r="A3877" s="54" t="str">
        <f>IF(Inputs!$C$151="","",IF(Inputs!$E$151="planned",EDATE(Inputs!$C$151,N(INDEX(sc_shift,1))),Inputs!$C$151))</f>
        <v/>
      </c>
      <c r="B3877" s="54" t="str">
        <f t="shared" si="1426"/>
        <v/>
      </c>
      <c r="C3877" s="52">
        <f>IF(N(INDEX(sc_ach,1))=0,IF(Inputs!$G$151="",1,Inputs!$G$151),INDEX(sc_ach,1))</f>
        <v>1</v>
      </c>
      <c r="D3877" s="52">
        <f>IF(Inputs!$C$151="",0,IF(Inputs!$E$151="planned",(Inputs!$D$151+N(INDEX(sc_dpts,1)))*$C3877,Inputs!$D$151))</f>
        <v>0</v>
      </c>
      <c r="E3877" s="53">
        <f>IF(Inputs!$C$151="",0,IF(1+$D3877&gt;0,LN(1+$D3877),0))</f>
        <v>0</v>
      </c>
      <c r="F3877" s="55">
        <f t="shared" si="1427"/>
        <v>0</v>
      </c>
      <c r="G3877" s="55">
        <f>IF($A3877="",0,COUNTIFS(rl_key,Inputs!$J$151,$B$3806:$B$4045,$B3877,$A$3806:$A$4045,"&lt;"&amp;$A3877))</f>
        <v>0</v>
      </c>
      <c r="H3877" s="55">
        <f>IF($A3877="",0,COUNTIFS(Inputs!$J$80:$J$151,Inputs!$J$151,$B$3806:$B3877,$B3877,$A$3806:$A3877,$A3877))</f>
        <v>0</v>
      </c>
      <c r="I3877" s="55">
        <f t="shared" si="1428"/>
        <v>0</v>
      </c>
      <c r="K3877" s="54" t="str">
        <f>IF(Inputs!$C$151="","",IF(Inputs!$E$151="planned",EDATE(Inputs!$C$151,N(INDEX(sc_shift,2))),Inputs!$C$151))</f>
        <v/>
      </c>
      <c r="L3877" s="54" t="str">
        <f t="shared" si="1429"/>
        <v/>
      </c>
      <c r="M3877" s="52">
        <f>IF(N(INDEX(sc_ach,2))=0,IF(Inputs!$G$151="",1,Inputs!$G$151),INDEX(sc_ach,2))</f>
        <v>1</v>
      </c>
      <c r="N3877" s="52">
        <f>IF(Inputs!$C$151="",0,IF(Inputs!$E$151="planned",(Inputs!$D$151+N(INDEX(sc_dpts,2)))*$M3877,Inputs!$D$151))</f>
        <v>0</v>
      </c>
      <c r="O3877" s="53">
        <f>IF(Inputs!$C$151="",0,IF(1+$N3877&gt;0,LN(1+$N3877),0))</f>
        <v>0</v>
      </c>
      <c r="P3877" s="55">
        <f t="shared" si="1430"/>
        <v>0</v>
      </c>
      <c r="Q3877" s="55">
        <f>IF($K3877="",0,COUNTIFS(rl_key,Inputs!$J$151,$L$3806:$L$4045,$L3877,$K$3806:$K$4045,"&lt;"&amp;$K3877))</f>
        <v>0</v>
      </c>
      <c r="R3877" s="55">
        <f>IF($K3877="",0,COUNTIFS(Inputs!$J$80:$J$151,Inputs!$J$151,$L$3806:$L3877,$L3877,$K$3806:$K3877,$K3877))</f>
        <v>0</v>
      </c>
      <c r="S3877" s="55">
        <f t="shared" si="1431"/>
        <v>0</v>
      </c>
      <c r="U3877" s="54" t="str">
        <f>IF(Inputs!$C$151="","",IF(Inputs!$E$151="planned",EDATE(Inputs!$C$151,N(INDEX(sc_shift,3))),Inputs!$C$151))</f>
        <v/>
      </c>
      <c r="V3877" s="54" t="str">
        <f t="shared" si="1432"/>
        <v/>
      </c>
      <c r="W3877" s="52">
        <f>IF(N(INDEX(sc_ach,3))=0,IF(Inputs!$G$151="",1,Inputs!$G$151),INDEX(sc_ach,3))</f>
        <v>1</v>
      </c>
      <c r="X3877" s="52">
        <f>IF(Inputs!$C$151="",0,IF(Inputs!$E$151="planned",(Inputs!$D$151+N(INDEX(sc_dpts,3)))*$W3877,Inputs!$D$151))</f>
        <v>0</v>
      </c>
      <c r="Y3877" s="53">
        <f>IF(Inputs!$C$151="",0,IF(1+$X3877&gt;0,LN(1+$X3877),0))</f>
        <v>0</v>
      </c>
      <c r="Z3877" s="55">
        <f t="shared" si="1433"/>
        <v>0</v>
      </c>
      <c r="AA3877" s="55">
        <f>IF($U3877="",0,COUNTIFS(rl_key,Inputs!$J$151,$V$3806:$V$4045,$V3877,$U$3806:$U$4045,"&lt;"&amp;$U3877))</f>
        <v>0</v>
      </c>
      <c r="AB3877" s="55">
        <f>IF($U3877="",0,COUNTIFS(Inputs!$J$80:$J$151,Inputs!$J$151,$V$3806:$V3877,$V3877,$U$3806:$U3877,$U3877))</f>
        <v>0</v>
      </c>
      <c r="AC3877" s="55">
        <f t="shared" si="1434"/>
        <v>0</v>
      </c>
      <c r="AE3877" s="54" t="str">
        <f>IF(Inputs!$C$151="","",IF(Inputs!$E$151="planned",EDATE(Inputs!$C$151,N(INDEX(sc_shift,4))),Inputs!$C$151))</f>
        <v/>
      </c>
      <c r="AF3877" s="54" t="str">
        <f t="shared" si="1435"/>
        <v/>
      </c>
      <c r="AG3877" s="52">
        <f>IF(N(INDEX(sc_ach,4))=0,IF(Inputs!$G$151="",1,Inputs!$G$151),INDEX(sc_ach,4))</f>
        <v>1</v>
      </c>
      <c r="AH3877" s="52">
        <f>IF(Inputs!$C$151="",0,IF(Inputs!$E$151="planned",(Inputs!$D$151+N(INDEX(sc_dpts,4)))*$AG3877,Inputs!$D$151))</f>
        <v>0</v>
      </c>
      <c r="AI3877" s="53">
        <f>IF(Inputs!$C$151="",0,IF(1+$AH3877&gt;0,LN(1+$AH3877),0))</f>
        <v>0</v>
      </c>
      <c r="AJ3877" s="55">
        <f t="shared" si="1436"/>
        <v>0</v>
      </c>
      <c r="AK3877" s="55">
        <f>IF($AE3877="",0,COUNTIFS(rl_key,Inputs!$J$151,$AF$3806:$AF$4045,$AF3877,$AE$3806:$AE$4045,"&lt;"&amp;$AE3877))</f>
        <v>0</v>
      </c>
      <c r="AL3877" s="55">
        <f>IF($AE3877="",0,COUNTIFS(Inputs!$J$80:$J$151,Inputs!$J$151,$AF$3806:$AF3877,$AF3877,$AE$3806:$AE3877,$AE3877))</f>
        <v>0</v>
      </c>
      <c r="AM3877" s="55">
        <f t="shared" si="1437"/>
        <v>0</v>
      </c>
    </row>
    <row r="3878" spans="1:39" x14ac:dyDescent="0.25">
      <c r="A3878" s="54" t="str">
        <f>IF(Inputs!$C$152="","",IF(Inputs!$E$152="planned",EDATE(Inputs!$C$152,N(INDEX(sc_shift,1))),Inputs!$C$152))</f>
        <v/>
      </c>
      <c r="B3878" s="54" t="str">
        <f t="shared" si="1426"/>
        <v/>
      </c>
      <c r="C3878" s="52">
        <f>IF(N(INDEX(sc_ach,1))=0,IF(Inputs!$G$152="",1,Inputs!$G$152),INDEX(sc_ach,1))</f>
        <v>1</v>
      </c>
      <c r="D3878" s="52">
        <f>IF(Inputs!$C$152="",0,IF(Inputs!$E$152="planned",(Inputs!$D$152+N(INDEX(sc_dpts,1)))*$C3878,Inputs!$D$152))</f>
        <v>0</v>
      </c>
      <c r="E3878" s="53">
        <f>IF(Inputs!$C$152="",0,IF(1+$D3878&gt;0,LN(1+$D3878),0))</f>
        <v>0</v>
      </c>
      <c r="F3878" s="55">
        <f t="shared" si="1427"/>
        <v>0</v>
      </c>
      <c r="G3878" s="55">
        <f>IF($A3878="",0,COUNTIFS(rl_key,Inputs!$J$152,$B$3806:$B$4045,$B3878,$A$3806:$A$4045,"&lt;"&amp;$A3878))</f>
        <v>0</v>
      </c>
      <c r="H3878" s="55">
        <f>IF($A3878="",0,COUNTIFS(Inputs!$J$80:$J$152,Inputs!$J$152,$B$3806:$B3878,$B3878,$A$3806:$A3878,$A3878))</f>
        <v>0</v>
      </c>
      <c r="I3878" s="55">
        <f t="shared" si="1428"/>
        <v>0</v>
      </c>
      <c r="K3878" s="54" t="str">
        <f>IF(Inputs!$C$152="","",IF(Inputs!$E$152="planned",EDATE(Inputs!$C$152,N(INDEX(sc_shift,2))),Inputs!$C$152))</f>
        <v/>
      </c>
      <c r="L3878" s="54" t="str">
        <f t="shared" si="1429"/>
        <v/>
      </c>
      <c r="M3878" s="52">
        <f>IF(N(INDEX(sc_ach,2))=0,IF(Inputs!$G$152="",1,Inputs!$G$152),INDEX(sc_ach,2))</f>
        <v>1</v>
      </c>
      <c r="N3878" s="52">
        <f>IF(Inputs!$C$152="",0,IF(Inputs!$E$152="planned",(Inputs!$D$152+N(INDEX(sc_dpts,2)))*$M3878,Inputs!$D$152))</f>
        <v>0</v>
      </c>
      <c r="O3878" s="53">
        <f>IF(Inputs!$C$152="",0,IF(1+$N3878&gt;0,LN(1+$N3878),0))</f>
        <v>0</v>
      </c>
      <c r="P3878" s="55">
        <f t="shared" si="1430"/>
        <v>0</v>
      </c>
      <c r="Q3878" s="55">
        <f>IF($K3878="",0,COUNTIFS(rl_key,Inputs!$J$152,$L$3806:$L$4045,$L3878,$K$3806:$K$4045,"&lt;"&amp;$K3878))</f>
        <v>0</v>
      </c>
      <c r="R3878" s="55">
        <f>IF($K3878="",0,COUNTIFS(Inputs!$J$80:$J$152,Inputs!$J$152,$L$3806:$L3878,$L3878,$K$3806:$K3878,$K3878))</f>
        <v>0</v>
      </c>
      <c r="S3878" s="55">
        <f t="shared" si="1431"/>
        <v>0</v>
      </c>
      <c r="U3878" s="54" t="str">
        <f>IF(Inputs!$C$152="","",IF(Inputs!$E$152="planned",EDATE(Inputs!$C$152,N(INDEX(sc_shift,3))),Inputs!$C$152))</f>
        <v/>
      </c>
      <c r="V3878" s="54" t="str">
        <f t="shared" si="1432"/>
        <v/>
      </c>
      <c r="W3878" s="52">
        <f>IF(N(INDEX(sc_ach,3))=0,IF(Inputs!$G$152="",1,Inputs!$G$152),INDEX(sc_ach,3))</f>
        <v>1</v>
      </c>
      <c r="X3878" s="52">
        <f>IF(Inputs!$C$152="",0,IF(Inputs!$E$152="planned",(Inputs!$D$152+N(INDEX(sc_dpts,3)))*$W3878,Inputs!$D$152))</f>
        <v>0</v>
      </c>
      <c r="Y3878" s="53">
        <f>IF(Inputs!$C$152="",0,IF(1+$X3878&gt;0,LN(1+$X3878),0))</f>
        <v>0</v>
      </c>
      <c r="Z3878" s="55">
        <f t="shared" si="1433"/>
        <v>0</v>
      </c>
      <c r="AA3878" s="55">
        <f>IF($U3878="",0,COUNTIFS(rl_key,Inputs!$J$152,$V$3806:$V$4045,$V3878,$U$3806:$U$4045,"&lt;"&amp;$U3878))</f>
        <v>0</v>
      </c>
      <c r="AB3878" s="55">
        <f>IF($U3878="",0,COUNTIFS(Inputs!$J$80:$J$152,Inputs!$J$152,$V$3806:$V3878,$V3878,$U$3806:$U3878,$U3878))</f>
        <v>0</v>
      </c>
      <c r="AC3878" s="55">
        <f t="shared" si="1434"/>
        <v>0</v>
      </c>
      <c r="AE3878" s="54" t="str">
        <f>IF(Inputs!$C$152="","",IF(Inputs!$E$152="planned",EDATE(Inputs!$C$152,N(INDEX(sc_shift,4))),Inputs!$C$152))</f>
        <v/>
      </c>
      <c r="AF3878" s="54" t="str">
        <f t="shared" si="1435"/>
        <v/>
      </c>
      <c r="AG3878" s="52">
        <f>IF(N(INDEX(sc_ach,4))=0,IF(Inputs!$G$152="",1,Inputs!$G$152),INDEX(sc_ach,4))</f>
        <v>1</v>
      </c>
      <c r="AH3878" s="52">
        <f>IF(Inputs!$C$152="",0,IF(Inputs!$E$152="planned",(Inputs!$D$152+N(INDEX(sc_dpts,4)))*$AG3878,Inputs!$D$152))</f>
        <v>0</v>
      </c>
      <c r="AI3878" s="53">
        <f>IF(Inputs!$C$152="",0,IF(1+$AH3878&gt;0,LN(1+$AH3878),0))</f>
        <v>0</v>
      </c>
      <c r="AJ3878" s="55">
        <f t="shared" si="1436"/>
        <v>0</v>
      </c>
      <c r="AK3878" s="55">
        <f>IF($AE3878="",0,COUNTIFS(rl_key,Inputs!$J$152,$AF$3806:$AF$4045,$AF3878,$AE$3806:$AE$4045,"&lt;"&amp;$AE3878))</f>
        <v>0</v>
      </c>
      <c r="AL3878" s="55">
        <f>IF($AE3878="",0,COUNTIFS(Inputs!$J$80:$J$152,Inputs!$J$152,$AF$3806:$AF3878,$AF3878,$AE$3806:$AE3878,$AE3878))</f>
        <v>0</v>
      </c>
      <c r="AM3878" s="55">
        <f t="shared" si="1437"/>
        <v>0</v>
      </c>
    </row>
    <row r="3879" spans="1:39" x14ac:dyDescent="0.25">
      <c r="A3879" s="54" t="str">
        <f>IF(Inputs!$C$153="","",IF(Inputs!$E$153="planned",EDATE(Inputs!$C$153,N(INDEX(sc_shift,1))),Inputs!$C$153))</f>
        <v/>
      </c>
      <c r="B3879" s="54" t="str">
        <f t="shared" si="1426"/>
        <v/>
      </c>
      <c r="C3879" s="52">
        <f>IF(N(INDEX(sc_ach,1))=0,IF(Inputs!$G$153="",1,Inputs!$G$153),INDEX(sc_ach,1))</f>
        <v>1</v>
      </c>
      <c r="D3879" s="52">
        <f>IF(Inputs!$C$153="",0,IF(Inputs!$E$153="planned",(Inputs!$D$153+N(INDEX(sc_dpts,1)))*$C3879,Inputs!$D$153))</f>
        <v>0</v>
      </c>
      <c r="E3879" s="53">
        <f>IF(Inputs!$C$153="",0,IF(1+$D3879&gt;0,LN(1+$D3879),0))</f>
        <v>0</v>
      </c>
      <c r="F3879" s="55">
        <f t="shared" si="1427"/>
        <v>0</v>
      </c>
      <c r="G3879" s="55">
        <f>IF($A3879="",0,COUNTIFS(rl_key,Inputs!$J$153,$B$3806:$B$4045,$B3879,$A$3806:$A$4045,"&lt;"&amp;$A3879))</f>
        <v>0</v>
      </c>
      <c r="H3879" s="55">
        <f>IF($A3879="",0,COUNTIFS(Inputs!$J$80:$J$153,Inputs!$J$153,$B$3806:$B3879,$B3879,$A$3806:$A3879,$A3879))</f>
        <v>0</v>
      </c>
      <c r="I3879" s="55">
        <f t="shared" si="1428"/>
        <v>0</v>
      </c>
      <c r="K3879" s="54" t="str">
        <f>IF(Inputs!$C$153="","",IF(Inputs!$E$153="planned",EDATE(Inputs!$C$153,N(INDEX(sc_shift,2))),Inputs!$C$153))</f>
        <v/>
      </c>
      <c r="L3879" s="54" t="str">
        <f t="shared" si="1429"/>
        <v/>
      </c>
      <c r="M3879" s="52">
        <f>IF(N(INDEX(sc_ach,2))=0,IF(Inputs!$G$153="",1,Inputs!$G$153),INDEX(sc_ach,2))</f>
        <v>1</v>
      </c>
      <c r="N3879" s="52">
        <f>IF(Inputs!$C$153="",0,IF(Inputs!$E$153="planned",(Inputs!$D$153+N(INDEX(sc_dpts,2)))*$M3879,Inputs!$D$153))</f>
        <v>0</v>
      </c>
      <c r="O3879" s="53">
        <f>IF(Inputs!$C$153="",0,IF(1+$N3879&gt;0,LN(1+$N3879),0))</f>
        <v>0</v>
      </c>
      <c r="P3879" s="55">
        <f t="shared" si="1430"/>
        <v>0</v>
      </c>
      <c r="Q3879" s="55">
        <f>IF($K3879="",0,COUNTIFS(rl_key,Inputs!$J$153,$L$3806:$L$4045,$L3879,$K$3806:$K$4045,"&lt;"&amp;$K3879))</f>
        <v>0</v>
      </c>
      <c r="R3879" s="55">
        <f>IF($K3879="",0,COUNTIFS(Inputs!$J$80:$J$153,Inputs!$J$153,$L$3806:$L3879,$L3879,$K$3806:$K3879,$K3879))</f>
        <v>0</v>
      </c>
      <c r="S3879" s="55">
        <f t="shared" si="1431"/>
        <v>0</v>
      </c>
      <c r="U3879" s="54" t="str">
        <f>IF(Inputs!$C$153="","",IF(Inputs!$E$153="planned",EDATE(Inputs!$C$153,N(INDEX(sc_shift,3))),Inputs!$C$153))</f>
        <v/>
      </c>
      <c r="V3879" s="54" t="str">
        <f t="shared" si="1432"/>
        <v/>
      </c>
      <c r="W3879" s="52">
        <f>IF(N(INDEX(sc_ach,3))=0,IF(Inputs!$G$153="",1,Inputs!$G$153),INDEX(sc_ach,3))</f>
        <v>1</v>
      </c>
      <c r="X3879" s="52">
        <f>IF(Inputs!$C$153="",0,IF(Inputs!$E$153="planned",(Inputs!$D$153+N(INDEX(sc_dpts,3)))*$W3879,Inputs!$D$153))</f>
        <v>0</v>
      </c>
      <c r="Y3879" s="53">
        <f>IF(Inputs!$C$153="",0,IF(1+$X3879&gt;0,LN(1+$X3879),0))</f>
        <v>0</v>
      </c>
      <c r="Z3879" s="55">
        <f t="shared" si="1433"/>
        <v>0</v>
      </c>
      <c r="AA3879" s="55">
        <f>IF($U3879="",0,COUNTIFS(rl_key,Inputs!$J$153,$V$3806:$V$4045,$V3879,$U$3806:$U$4045,"&lt;"&amp;$U3879))</f>
        <v>0</v>
      </c>
      <c r="AB3879" s="55">
        <f>IF($U3879="",0,COUNTIFS(Inputs!$J$80:$J$153,Inputs!$J$153,$V$3806:$V3879,$V3879,$U$3806:$U3879,$U3879))</f>
        <v>0</v>
      </c>
      <c r="AC3879" s="55">
        <f t="shared" si="1434"/>
        <v>0</v>
      </c>
      <c r="AE3879" s="54" t="str">
        <f>IF(Inputs!$C$153="","",IF(Inputs!$E$153="planned",EDATE(Inputs!$C$153,N(INDEX(sc_shift,4))),Inputs!$C$153))</f>
        <v/>
      </c>
      <c r="AF3879" s="54" t="str">
        <f t="shared" si="1435"/>
        <v/>
      </c>
      <c r="AG3879" s="52">
        <f>IF(N(INDEX(sc_ach,4))=0,IF(Inputs!$G$153="",1,Inputs!$G$153),INDEX(sc_ach,4))</f>
        <v>1</v>
      </c>
      <c r="AH3879" s="52">
        <f>IF(Inputs!$C$153="",0,IF(Inputs!$E$153="planned",(Inputs!$D$153+N(INDEX(sc_dpts,4)))*$AG3879,Inputs!$D$153))</f>
        <v>0</v>
      </c>
      <c r="AI3879" s="53">
        <f>IF(Inputs!$C$153="",0,IF(1+$AH3879&gt;0,LN(1+$AH3879),0))</f>
        <v>0</v>
      </c>
      <c r="AJ3879" s="55">
        <f t="shared" si="1436"/>
        <v>0</v>
      </c>
      <c r="AK3879" s="55">
        <f>IF($AE3879="",0,COUNTIFS(rl_key,Inputs!$J$153,$AF$3806:$AF$4045,$AF3879,$AE$3806:$AE$4045,"&lt;"&amp;$AE3879))</f>
        <v>0</v>
      </c>
      <c r="AL3879" s="55">
        <f>IF($AE3879="",0,COUNTIFS(Inputs!$J$80:$J$153,Inputs!$J$153,$AF$3806:$AF3879,$AF3879,$AE$3806:$AE3879,$AE3879))</f>
        <v>0</v>
      </c>
      <c r="AM3879" s="55">
        <f t="shared" si="1437"/>
        <v>0</v>
      </c>
    </row>
    <row r="3880" spans="1:39" x14ac:dyDescent="0.25">
      <c r="A3880" s="54" t="str">
        <f>IF(Inputs!$C$154="","",IF(Inputs!$E$154="planned",EDATE(Inputs!$C$154,N(INDEX(sc_shift,1))),Inputs!$C$154))</f>
        <v/>
      </c>
      <c r="B3880" s="54" t="str">
        <f t="shared" si="1426"/>
        <v/>
      </c>
      <c r="C3880" s="52">
        <f>IF(N(INDEX(sc_ach,1))=0,IF(Inputs!$G$154="",1,Inputs!$G$154),INDEX(sc_ach,1))</f>
        <v>1</v>
      </c>
      <c r="D3880" s="52">
        <f>IF(Inputs!$C$154="",0,IF(Inputs!$E$154="planned",(Inputs!$D$154+N(INDEX(sc_dpts,1)))*$C3880,Inputs!$D$154))</f>
        <v>0</v>
      </c>
      <c r="E3880" s="53">
        <f>IF(Inputs!$C$154="",0,IF(1+$D3880&gt;0,LN(1+$D3880),0))</f>
        <v>0</v>
      </c>
      <c r="F3880" s="55">
        <f t="shared" si="1427"/>
        <v>0</v>
      </c>
      <c r="G3880" s="55">
        <f>IF($A3880="",0,COUNTIFS(rl_key,Inputs!$J$154,$B$3806:$B$4045,$B3880,$A$3806:$A$4045,"&lt;"&amp;$A3880))</f>
        <v>0</v>
      </c>
      <c r="H3880" s="55">
        <f>IF($A3880="",0,COUNTIFS(Inputs!$J$80:$J$154,Inputs!$J$154,$B$3806:$B3880,$B3880,$A$3806:$A3880,$A3880))</f>
        <v>0</v>
      </c>
      <c r="I3880" s="55">
        <f t="shared" si="1428"/>
        <v>0</v>
      </c>
      <c r="K3880" s="54" t="str">
        <f>IF(Inputs!$C$154="","",IF(Inputs!$E$154="planned",EDATE(Inputs!$C$154,N(INDEX(sc_shift,2))),Inputs!$C$154))</f>
        <v/>
      </c>
      <c r="L3880" s="54" t="str">
        <f t="shared" si="1429"/>
        <v/>
      </c>
      <c r="M3880" s="52">
        <f>IF(N(INDEX(sc_ach,2))=0,IF(Inputs!$G$154="",1,Inputs!$G$154),INDEX(sc_ach,2))</f>
        <v>1</v>
      </c>
      <c r="N3880" s="52">
        <f>IF(Inputs!$C$154="",0,IF(Inputs!$E$154="planned",(Inputs!$D$154+N(INDEX(sc_dpts,2)))*$M3880,Inputs!$D$154))</f>
        <v>0</v>
      </c>
      <c r="O3880" s="53">
        <f>IF(Inputs!$C$154="",0,IF(1+$N3880&gt;0,LN(1+$N3880),0))</f>
        <v>0</v>
      </c>
      <c r="P3880" s="55">
        <f t="shared" si="1430"/>
        <v>0</v>
      </c>
      <c r="Q3880" s="55">
        <f>IF($K3880="",0,COUNTIFS(rl_key,Inputs!$J$154,$L$3806:$L$4045,$L3880,$K$3806:$K$4045,"&lt;"&amp;$K3880))</f>
        <v>0</v>
      </c>
      <c r="R3880" s="55">
        <f>IF($K3880="",0,COUNTIFS(Inputs!$J$80:$J$154,Inputs!$J$154,$L$3806:$L3880,$L3880,$K$3806:$K3880,$K3880))</f>
        <v>0</v>
      </c>
      <c r="S3880" s="55">
        <f t="shared" si="1431"/>
        <v>0</v>
      </c>
      <c r="U3880" s="54" t="str">
        <f>IF(Inputs!$C$154="","",IF(Inputs!$E$154="planned",EDATE(Inputs!$C$154,N(INDEX(sc_shift,3))),Inputs!$C$154))</f>
        <v/>
      </c>
      <c r="V3880" s="54" t="str">
        <f t="shared" si="1432"/>
        <v/>
      </c>
      <c r="W3880" s="52">
        <f>IF(N(INDEX(sc_ach,3))=0,IF(Inputs!$G$154="",1,Inputs!$G$154),INDEX(sc_ach,3))</f>
        <v>1</v>
      </c>
      <c r="X3880" s="52">
        <f>IF(Inputs!$C$154="",0,IF(Inputs!$E$154="planned",(Inputs!$D$154+N(INDEX(sc_dpts,3)))*$W3880,Inputs!$D$154))</f>
        <v>0</v>
      </c>
      <c r="Y3880" s="53">
        <f>IF(Inputs!$C$154="",0,IF(1+$X3880&gt;0,LN(1+$X3880),0))</f>
        <v>0</v>
      </c>
      <c r="Z3880" s="55">
        <f t="shared" si="1433"/>
        <v>0</v>
      </c>
      <c r="AA3880" s="55">
        <f>IF($U3880="",0,COUNTIFS(rl_key,Inputs!$J$154,$V$3806:$V$4045,$V3880,$U$3806:$U$4045,"&lt;"&amp;$U3880))</f>
        <v>0</v>
      </c>
      <c r="AB3880" s="55">
        <f>IF($U3880="",0,COUNTIFS(Inputs!$J$80:$J$154,Inputs!$J$154,$V$3806:$V3880,$V3880,$U$3806:$U3880,$U3880))</f>
        <v>0</v>
      </c>
      <c r="AC3880" s="55">
        <f t="shared" si="1434"/>
        <v>0</v>
      </c>
      <c r="AE3880" s="54" t="str">
        <f>IF(Inputs!$C$154="","",IF(Inputs!$E$154="planned",EDATE(Inputs!$C$154,N(INDEX(sc_shift,4))),Inputs!$C$154))</f>
        <v/>
      </c>
      <c r="AF3880" s="54" t="str">
        <f t="shared" si="1435"/>
        <v/>
      </c>
      <c r="AG3880" s="52">
        <f>IF(N(INDEX(sc_ach,4))=0,IF(Inputs!$G$154="",1,Inputs!$G$154),INDEX(sc_ach,4))</f>
        <v>1</v>
      </c>
      <c r="AH3880" s="52">
        <f>IF(Inputs!$C$154="",0,IF(Inputs!$E$154="planned",(Inputs!$D$154+N(INDEX(sc_dpts,4)))*$AG3880,Inputs!$D$154))</f>
        <v>0</v>
      </c>
      <c r="AI3880" s="53">
        <f>IF(Inputs!$C$154="",0,IF(1+$AH3880&gt;0,LN(1+$AH3880),0))</f>
        <v>0</v>
      </c>
      <c r="AJ3880" s="55">
        <f t="shared" si="1436"/>
        <v>0</v>
      </c>
      <c r="AK3880" s="55">
        <f>IF($AE3880="",0,COUNTIFS(rl_key,Inputs!$J$154,$AF$3806:$AF$4045,$AF3880,$AE$3806:$AE$4045,"&lt;"&amp;$AE3880))</f>
        <v>0</v>
      </c>
      <c r="AL3880" s="55">
        <f>IF($AE3880="",0,COUNTIFS(Inputs!$J$80:$J$154,Inputs!$J$154,$AF$3806:$AF3880,$AF3880,$AE$3806:$AE3880,$AE3880))</f>
        <v>0</v>
      </c>
      <c r="AM3880" s="55">
        <f t="shared" si="1437"/>
        <v>0</v>
      </c>
    </row>
    <row r="3881" spans="1:39" x14ac:dyDescent="0.25">
      <c r="A3881" s="54" t="str">
        <f>IF(Inputs!$C$155="","",IF(Inputs!$E$155="planned",EDATE(Inputs!$C$155,N(INDEX(sc_shift,1))),Inputs!$C$155))</f>
        <v/>
      </c>
      <c r="B3881" s="54" t="str">
        <f t="shared" si="1426"/>
        <v/>
      </c>
      <c r="C3881" s="52">
        <f>IF(N(INDEX(sc_ach,1))=0,IF(Inputs!$G$155="",1,Inputs!$G$155),INDEX(sc_ach,1))</f>
        <v>1</v>
      </c>
      <c r="D3881" s="52">
        <f>IF(Inputs!$C$155="",0,IF(Inputs!$E$155="planned",(Inputs!$D$155+N(INDEX(sc_dpts,1)))*$C3881,Inputs!$D$155))</f>
        <v>0</v>
      </c>
      <c r="E3881" s="53">
        <f>IF(Inputs!$C$155="",0,IF(1+$D3881&gt;0,LN(1+$D3881),0))</f>
        <v>0</v>
      </c>
      <c r="F3881" s="55">
        <f t="shared" si="1427"/>
        <v>0</v>
      </c>
      <c r="G3881" s="55">
        <f>IF($A3881="",0,COUNTIFS(rl_key,Inputs!$J$155,$B$3806:$B$4045,$B3881,$A$3806:$A$4045,"&lt;"&amp;$A3881))</f>
        <v>0</v>
      </c>
      <c r="H3881" s="55">
        <f>IF($A3881="",0,COUNTIFS(Inputs!$J$80:$J$155,Inputs!$J$155,$B$3806:$B3881,$B3881,$A$3806:$A3881,$A3881))</f>
        <v>0</v>
      </c>
      <c r="I3881" s="55">
        <f t="shared" si="1428"/>
        <v>0</v>
      </c>
      <c r="K3881" s="54" t="str">
        <f>IF(Inputs!$C$155="","",IF(Inputs!$E$155="planned",EDATE(Inputs!$C$155,N(INDEX(sc_shift,2))),Inputs!$C$155))</f>
        <v/>
      </c>
      <c r="L3881" s="54" t="str">
        <f t="shared" si="1429"/>
        <v/>
      </c>
      <c r="M3881" s="52">
        <f>IF(N(INDEX(sc_ach,2))=0,IF(Inputs!$G$155="",1,Inputs!$G$155),INDEX(sc_ach,2))</f>
        <v>1</v>
      </c>
      <c r="N3881" s="52">
        <f>IF(Inputs!$C$155="",0,IF(Inputs!$E$155="planned",(Inputs!$D$155+N(INDEX(sc_dpts,2)))*$M3881,Inputs!$D$155))</f>
        <v>0</v>
      </c>
      <c r="O3881" s="53">
        <f>IF(Inputs!$C$155="",0,IF(1+$N3881&gt;0,LN(1+$N3881),0))</f>
        <v>0</v>
      </c>
      <c r="P3881" s="55">
        <f t="shared" si="1430"/>
        <v>0</v>
      </c>
      <c r="Q3881" s="55">
        <f>IF($K3881="",0,COUNTIFS(rl_key,Inputs!$J$155,$L$3806:$L$4045,$L3881,$K$3806:$K$4045,"&lt;"&amp;$K3881))</f>
        <v>0</v>
      </c>
      <c r="R3881" s="55">
        <f>IF($K3881="",0,COUNTIFS(Inputs!$J$80:$J$155,Inputs!$J$155,$L$3806:$L3881,$L3881,$K$3806:$K3881,$K3881))</f>
        <v>0</v>
      </c>
      <c r="S3881" s="55">
        <f t="shared" si="1431"/>
        <v>0</v>
      </c>
      <c r="U3881" s="54" t="str">
        <f>IF(Inputs!$C$155="","",IF(Inputs!$E$155="planned",EDATE(Inputs!$C$155,N(INDEX(sc_shift,3))),Inputs!$C$155))</f>
        <v/>
      </c>
      <c r="V3881" s="54" t="str">
        <f t="shared" si="1432"/>
        <v/>
      </c>
      <c r="W3881" s="52">
        <f>IF(N(INDEX(sc_ach,3))=0,IF(Inputs!$G$155="",1,Inputs!$G$155),INDEX(sc_ach,3))</f>
        <v>1</v>
      </c>
      <c r="X3881" s="52">
        <f>IF(Inputs!$C$155="",0,IF(Inputs!$E$155="planned",(Inputs!$D$155+N(INDEX(sc_dpts,3)))*$W3881,Inputs!$D$155))</f>
        <v>0</v>
      </c>
      <c r="Y3881" s="53">
        <f>IF(Inputs!$C$155="",0,IF(1+$X3881&gt;0,LN(1+$X3881),0))</f>
        <v>0</v>
      </c>
      <c r="Z3881" s="55">
        <f t="shared" si="1433"/>
        <v>0</v>
      </c>
      <c r="AA3881" s="55">
        <f>IF($U3881="",0,COUNTIFS(rl_key,Inputs!$J$155,$V$3806:$V$4045,$V3881,$U$3806:$U$4045,"&lt;"&amp;$U3881))</f>
        <v>0</v>
      </c>
      <c r="AB3881" s="55">
        <f>IF($U3881="",0,COUNTIFS(Inputs!$J$80:$J$155,Inputs!$J$155,$V$3806:$V3881,$V3881,$U$3806:$U3881,$U3881))</f>
        <v>0</v>
      </c>
      <c r="AC3881" s="55">
        <f t="shared" si="1434"/>
        <v>0</v>
      </c>
      <c r="AE3881" s="54" t="str">
        <f>IF(Inputs!$C$155="","",IF(Inputs!$E$155="planned",EDATE(Inputs!$C$155,N(INDEX(sc_shift,4))),Inputs!$C$155))</f>
        <v/>
      </c>
      <c r="AF3881" s="54" t="str">
        <f t="shared" si="1435"/>
        <v/>
      </c>
      <c r="AG3881" s="52">
        <f>IF(N(INDEX(sc_ach,4))=0,IF(Inputs!$G$155="",1,Inputs!$G$155),INDEX(sc_ach,4))</f>
        <v>1</v>
      </c>
      <c r="AH3881" s="52">
        <f>IF(Inputs!$C$155="",0,IF(Inputs!$E$155="planned",(Inputs!$D$155+N(INDEX(sc_dpts,4)))*$AG3881,Inputs!$D$155))</f>
        <v>0</v>
      </c>
      <c r="AI3881" s="53">
        <f>IF(Inputs!$C$155="",0,IF(1+$AH3881&gt;0,LN(1+$AH3881),0))</f>
        <v>0</v>
      </c>
      <c r="AJ3881" s="55">
        <f t="shared" si="1436"/>
        <v>0</v>
      </c>
      <c r="AK3881" s="55">
        <f>IF($AE3881="",0,COUNTIFS(rl_key,Inputs!$J$155,$AF$3806:$AF$4045,$AF3881,$AE$3806:$AE$4045,"&lt;"&amp;$AE3881))</f>
        <v>0</v>
      </c>
      <c r="AL3881" s="55">
        <f>IF($AE3881="",0,COUNTIFS(Inputs!$J$80:$J$155,Inputs!$J$155,$AF$3806:$AF3881,$AF3881,$AE$3806:$AE3881,$AE3881))</f>
        <v>0</v>
      </c>
      <c r="AM3881" s="55">
        <f t="shared" si="1437"/>
        <v>0</v>
      </c>
    </row>
    <row r="3882" spans="1:39" x14ac:dyDescent="0.25">
      <c r="A3882" s="54" t="str">
        <f>IF(Inputs!$C$156="","",IF(Inputs!$E$156="planned",EDATE(Inputs!$C$156,N(INDEX(sc_shift,1))),Inputs!$C$156))</f>
        <v/>
      </c>
      <c r="B3882" s="54" t="str">
        <f t="shared" si="1426"/>
        <v/>
      </c>
      <c r="C3882" s="52">
        <f>IF(N(INDEX(sc_ach,1))=0,IF(Inputs!$G$156="",1,Inputs!$G$156),INDEX(sc_ach,1))</f>
        <v>1</v>
      </c>
      <c r="D3882" s="52">
        <f>IF(Inputs!$C$156="",0,IF(Inputs!$E$156="planned",(Inputs!$D$156+N(INDEX(sc_dpts,1)))*$C3882,Inputs!$D$156))</f>
        <v>0</v>
      </c>
      <c r="E3882" s="53">
        <f>IF(Inputs!$C$156="",0,IF(1+$D3882&gt;0,LN(1+$D3882),0))</f>
        <v>0</v>
      </c>
      <c r="F3882" s="55">
        <f t="shared" si="1427"/>
        <v>0</v>
      </c>
      <c r="G3882" s="55">
        <f>IF($A3882="",0,COUNTIFS(rl_key,Inputs!$J$156,$B$3806:$B$4045,$B3882,$A$3806:$A$4045,"&lt;"&amp;$A3882))</f>
        <v>0</v>
      </c>
      <c r="H3882" s="55">
        <f>IF($A3882="",0,COUNTIFS(Inputs!$J$80:$J$156,Inputs!$J$156,$B$3806:$B3882,$B3882,$A$3806:$A3882,$A3882))</f>
        <v>0</v>
      </c>
      <c r="I3882" s="55">
        <f t="shared" si="1428"/>
        <v>0</v>
      </c>
      <c r="K3882" s="54" t="str">
        <f>IF(Inputs!$C$156="","",IF(Inputs!$E$156="planned",EDATE(Inputs!$C$156,N(INDEX(sc_shift,2))),Inputs!$C$156))</f>
        <v/>
      </c>
      <c r="L3882" s="54" t="str">
        <f t="shared" si="1429"/>
        <v/>
      </c>
      <c r="M3882" s="52">
        <f>IF(N(INDEX(sc_ach,2))=0,IF(Inputs!$G$156="",1,Inputs!$G$156),INDEX(sc_ach,2))</f>
        <v>1</v>
      </c>
      <c r="N3882" s="52">
        <f>IF(Inputs!$C$156="",0,IF(Inputs!$E$156="planned",(Inputs!$D$156+N(INDEX(sc_dpts,2)))*$M3882,Inputs!$D$156))</f>
        <v>0</v>
      </c>
      <c r="O3882" s="53">
        <f>IF(Inputs!$C$156="",0,IF(1+$N3882&gt;0,LN(1+$N3882),0))</f>
        <v>0</v>
      </c>
      <c r="P3882" s="55">
        <f t="shared" si="1430"/>
        <v>0</v>
      </c>
      <c r="Q3882" s="55">
        <f>IF($K3882="",0,COUNTIFS(rl_key,Inputs!$J$156,$L$3806:$L$4045,$L3882,$K$3806:$K$4045,"&lt;"&amp;$K3882))</f>
        <v>0</v>
      </c>
      <c r="R3882" s="55">
        <f>IF($K3882="",0,COUNTIFS(Inputs!$J$80:$J$156,Inputs!$J$156,$L$3806:$L3882,$L3882,$K$3806:$K3882,$K3882))</f>
        <v>0</v>
      </c>
      <c r="S3882" s="55">
        <f t="shared" si="1431"/>
        <v>0</v>
      </c>
      <c r="U3882" s="54" t="str">
        <f>IF(Inputs!$C$156="","",IF(Inputs!$E$156="planned",EDATE(Inputs!$C$156,N(INDEX(sc_shift,3))),Inputs!$C$156))</f>
        <v/>
      </c>
      <c r="V3882" s="54" t="str">
        <f t="shared" si="1432"/>
        <v/>
      </c>
      <c r="W3882" s="52">
        <f>IF(N(INDEX(sc_ach,3))=0,IF(Inputs!$G$156="",1,Inputs!$G$156),INDEX(sc_ach,3))</f>
        <v>1</v>
      </c>
      <c r="X3882" s="52">
        <f>IF(Inputs!$C$156="",0,IF(Inputs!$E$156="planned",(Inputs!$D$156+N(INDEX(sc_dpts,3)))*$W3882,Inputs!$D$156))</f>
        <v>0</v>
      </c>
      <c r="Y3882" s="53">
        <f>IF(Inputs!$C$156="",0,IF(1+$X3882&gt;0,LN(1+$X3882),0))</f>
        <v>0</v>
      </c>
      <c r="Z3882" s="55">
        <f t="shared" si="1433"/>
        <v>0</v>
      </c>
      <c r="AA3882" s="55">
        <f>IF($U3882="",0,COUNTIFS(rl_key,Inputs!$J$156,$V$3806:$V$4045,$V3882,$U$3806:$U$4045,"&lt;"&amp;$U3882))</f>
        <v>0</v>
      </c>
      <c r="AB3882" s="55">
        <f>IF($U3882="",0,COUNTIFS(Inputs!$J$80:$J$156,Inputs!$J$156,$V$3806:$V3882,$V3882,$U$3806:$U3882,$U3882))</f>
        <v>0</v>
      </c>
      <c r="AC3882" s="55">
        <f t="shared" si="1434"/>
        <v>0</v>
      </c>
      <c r="AE3882" s="54" t="str">
        <f>IF(Inputs!$C$156="","",IF(Inputs!$E$156="planned",EDATE(Inputs!$C$156,N(INDEX(sc_shift,4))),Inputs!$C$156))</f>
        <v/>
      </c>
      <c r="AF3882" s="54" t="str">
        <f t="shared" si="1435"/>
        <v/>
      </c>
      <c r="AG3882" s="52">
        <f>IF(N(INDEX(sc_ach,4))=0,IF(Inputs!$G$156="",1,Inputs!$G$156),INDEX(sc_ach,4))</f>
        <v>1</v>
      </c>
      <c r="AH3882" s="52">
        <f>IF(Inputs!$C$156="",0,IF(Inputs!$E$156="planned",(Inputs!$D$156+N(INDEX(sc_dpts,4)))*$AG3882,Inputs!$D$156))</f>
        <v>0</v>
      </c>
      <c r="AI3882" s="53">
        <f>IF(Inputs!$C$156="",0,IF(1+$AH3882&gt;0,LN(1+$AH3882),0))</f>
        <v>0</v>
      </c>
      <c r="AJ3882" s="55">
        <f t="shared" si="1436"/>
        <v>0</v>
      </c>
      <c r="AK3882" s="55">
        <f>IF($AE3882="",0,COUNTIFS(rl_key,Inputs!$J$156,$AF$3806:$AF$4045,$AF3882,$AE$3806:$AE$4045,"&lt;"&amp;$AE3882))</f>
        <v>0</v>
      </c>
      <c r="AL3882" s="55">
        <f>IF($AE3882="",0,COUNTIFS(Inputs!$J$80:$J$156,Inputs!$J$156,$AF$3806:$AF3882,$AF3882,$AE$3806:$AE3882,$AE3882))</f>
        <v>0</v>
      </c>
      <c r="AM3882" s="55">
        <f t="shared" si="1437"/>
        <v>0</v>
      </c>
    </row>
    <row r="3883" spans="1:39" x14ac:dyDescent="0.25">
      <c r="A3883" s="54" t="str">
        <f>IF(Inputs!$C$157="","",IF(Inputs!$E$157="planned",EDATE(Inputs!$C$157,N(INDEX(sc_shift,1))),Inputs!$C$157))</f>
        <v/>
      </c>
      <c r="B3883" s="54" t="str">
        <f t="shared" si="1426"/>
        <v/>
      </c>
      <c r="C3883" s="52">
        <f>IF(N(INDEX(sc_ach,1))=0,IF(Inputs!$G$157="",1,Inputs!$G$157),INDEX(sc_ach,1))</f>
        <v>1</v>
      </c>
      <c r="D3883" s="52">
        <f>IF(Inputs!$C$157="",0,IF(Inputs!$E$157="planned",(Inputs!$D$157+N(INDEX(sc_dpts,1)))*$C3883,Inputs!$D$157))</f>
        <v>0</v>
      </c>
      <c r="E3883" s="53">
        <f>IF(Inputs!$C$157="",0,IF(1+$D3883&gt;0,LN(1+$D3883),0))</f>
        <v>0</v>
      </c>
      <c r="F3883" s="55">
        <f t="shared" si="1427"/>
        <v>0</v>
      </c>
      <c r="G3883" s="55">
        <f>IF($A3883="",0,COUNTIFS(rl_key,Inputs!$J$157,$B$3806:$B$4045,$B3883,$A$3806:$A$4045,"&lt;"&amp;$A3883))</f>
        <v>0</v>
      </c>
      <c r="H3883" s="55">
        <f>IF($A3883="",0,COUNTIFS(Inputs!$J$80:$J$157,Inputs!$J$157,$B$3806:$B3883,$B3883,$A$3806:$A3883,$A3883))</f>
        <v>0</v>
      </c>
      <c r="I3883" s="55">
        <f t="shared" si="1428"/>
        <v>0</v>
      </c>
      <c r="K3883" s="54" t="str">
        <f>IF(Inputs!$C$157="","",IF(Inputs!$E$157="planned",EDATE(Inputs!$C$157,N(INDEX(sc_shift,2))),Inputs!$C$157))</f>
        <v/>
      </c>
      <c r="L3883" s="54" t="str">
        <f t="shared" si="1429"/>
        <v/>
      </c>
      <c r="M3883" s="52">
        <f>IF(N(INDEX(sc_ach,2))=0,IF(Inputs!$G$157="",1,Inputs!$G$157),INDEX(sc_ach,2))</f>
        <v>1</v>
      </c>
      <c r="N3883" s="52">
        <f>IF(Inputs!$C$157="",0,IF(Inputs!$E$157="planned",(Inputs!$D$157+N(INDEX(sc_dpts,2)))*$M3883,Inputs!$D$157))</f>
        <v>0</v>
      </c>
      <c r="O3883" s="53">
        <f>IF(Inputs!$C$157="",0,IF(1+$N3883&gt;0,LN(1+$N3883),0))</f>
        <v>0</v>
      </c>
      <c r="P3883" s="55">
        <f t="shared" si="1430"/>
        <v>0</v>
      </c>
      <c r="Q3883" s="55">
        <f>IF($K3883="",0,COUNTIFS(rl_key,Inputs!$J$157,$L$3806:$L$4045,$L3883,$K$3806:$K$4045,"&lt;"&amp;$K3883))</f>
        <v>0</v>
      </c>
      <c r="R3883" s="55">
        <f>IF($K3883="",0,COUNTIFS(Inputs!$J$80:$J$157,Inputs!$J$157,$L$3806:$L3883,$L3883,$K$3806:$K3883,$K3883))</f>
        <v>0</v>
      </c>
      <c r="S3883" s="55">
        <f t="shared" si="1431"/>
        <v>0</v>
      </c>
      <c r="U3883" s="54" t="str">
        <f>IF(Inputs!$C$157="","",IF(Inputs!$E$157="planned",EDATE(Inputs!$C$157,N(INDEX(sc_shift,3))),Inputs!$C$157))</f>
        <v/>
      </c>
      <c r="V3883" s="54" t="str">
        <f t="shared" si="1432"/>
        <v/>
      </c>
      <c r="W3883" s="52">
        <f>IF(N(INDEX(sc_ach,3))=0,IF(Inputs!$G$157="",1,Inputs!$G$157),INDEX(sc_ach,3))</f>
        <v>1</v>
      </c>
      <c r="X3883" s="52">
        <f>IF(Inputs!$C$157="",0,IF(Inputs!$E$157="planned",(Inputs!$D$157+N(INDEX(sc_dpts,3)))*$W3883,Inputs!$D$157))</f>
        <v>0</v>
      </c>
      <c r="Y3883" s="53">
        <f>IF(Inputs!$C$157="",0,IF(1+$X3883&gt;0,LN(1+$X3883),0))</f>
        <v>0</v>
      </c>
      <c r="Z3883" s="55">
        <f t="shared" si="1433"/>
        <v>0</v>
      </c>
      <c r="AA3883" s="55">
        <f>IF($U3883="",0,COUNTIFS(rl_key,Inputs!$J$157,$V$3806:$V$4045,$V3883,$U$3806:$U$4045,"&lt;"&amp;$U3883))</f>
        <v>0</v>
      </c>
      <c r="AB3883" s="55">
        <f>IF($U3883="",0,COUNTIFS(Inputs!$J$80:$J$157,Inputs!$J$157,$V$3806:$V3883,$V3883,$U$3806:$U3883,$U3883))</f>
        <v>0</v>
      </c>
      <c r="AC3883" s="55">
        <f t="shared" si="1434"/>
        <v>0</v>
      </c>
      <c r="AE3883" s="54" t="str">
        <f>IF(Inputs!$C$157="","",IF(Inputs!$E$157="planned",EDATE(Inputs!$C$157,N(INDEX(sc_shift,4))),Inputs!$C$157))</f>
        <v/>
      </c>
      <c r="AF3883" s="54" t="str">
        <f t="shared" si="1435"/>
        <v/>
      </c>
      <c r="AG3883" s="52">
        <f>IF(N(INDEX(sc_ach,4))=0,IF(Inputs!$G$157="",1,Inputs!$G$157),INDEX(sc_ach,4))</f>
        <v>1</v>
      </c>
      <c r="AH3883" s="52">
        <f>IF(Inputs!$C$157="",0,IF(Inputs!$E$157="planned",(Inputs!$D$157+N(INDEX(sc_dpts,4)))*$AG3883,Inputs!$D$157))</f>
        <v>0</v>
      </c>
      <c r="AI3883" s="53">
        <f>IF(Inputs!$C$157="",0,IF(1+$AH3883&gt;0,LN(1+$AH3883),0))</f>
        <v>0</v>
      </c>
      <c r="AJ3883" s="55">
        <f t="shared" si="1436"/>
        <v>0</v>
      </c>
      <c r="AK3883" s="55">
        <f>IF($AE3883="",0,COUNTIFS(rl_key,Inputs!$J$157,$AF$3806:$AF$4045,$AF3883,$AE$3806:$AE$4045,"&lt;"&amp;$AE3883))</f>
        <v>0</v>
      </c>
      <c r="AL3883" s="55">
        <f>IF($AE3883="",0,COUNTIFS(Inputs!$J$80:$J$157,Inputs!$J$157,$AF$3806:$AF3883,$AF3883,$AE$3806:$AE3883,$AE3883))</f>
        <v>0</v>
      </c>
      <c r="AM3883" s="55">
        <f t="shared" si="1437"/>
        <v>0</v>
      </c>
    </row>
    <row r="3884" spans="1:39" x14ac:dyDescent="0.25">
      <c r="A3884" s="54" t="str">
        <f>IF(Inputs!$C$158="","",IF(Inputs!$E$158="planned",EDATE(Inputs!$C$158,N(INDEX(sc_shift,1))),Inputs!$C$158))</f>
        <v/>
      </c>
      <c r="B3884" s="54" t="str">
        <f t="shared" si="1426"/>
        <v/>
      </c>
      <c r="C3884" s="52">
        <f>IF(N(INDEX(sc_ach,1))=0,IF(Inputs!$G$158="",1,Inputs!$G$158),INDEX(sc_ach,1))</f>
        <v>1</v>
      </c>
      <c r="D3884" s="52">
        <f>IF(Inputs!$C$158="",0,IF(Inputs!$E$158="planned",(Inputs!$D$158+N(INDEX(sc_dpts,1)))*$C3884,Inputs!$D$158))</f>
        <v>0</v>
      </c>
      <c r="E3884" s="53">
        <f>IF(Inputs!$C$158="",0,IF(1+$D3884&gt;0,LN(1+$D3884),0))</f>
        <v>0</v>
      </c>
      <c r="F3884" s="55">
        <f t="shared" si="1427"/>
        <v>0</v>
      </c>
      <c r="G3884" s="55">
        <f>IF($A3884="",0,COUNTIFS(rl_key,Inputs!$J$158,$B$3806:$B$4045,$B3884,$A$3806:$A$4045,"&lt;"&amp;$A3884))</f>
        <v>0</v>
      </c>
      <c r="H3884" s="55">
        <f>IF($A3884="",0,COUNTIFS(Inputs!$J$80:$J$158,Inputs!$J$158,$B$3806:$B3884,$B3884,$A$3806:$A3884,$A3884))</f>
        <v>0</v>
      </c>
      <c r="I3884" s="55">
        <f t="shared" si="1428"/>
        <v>0</v>
      </c>
      <c r="K3884" s="54" t="str">
        <f>IF(Inputs!$C$158="","",IF(Inputs!$E$158="planned",EDATE(Inputs!$C$158,N(INDEX(sc_shift,2))),Inputs!$C$158))</f>
        <v/>
      </c>
      <c r="L3884" s="54" t="str">
        <f t="shared" si="1429"/>
        <v/>
      </c>
      <c r="M3884" s="52">
        <f>IF(N(INDEX(sc_ach,2))=0,IF(Inputs!$G$158="",1,Inputs!$G$158),INDEX(sc_ach,2))</f>
        <v>1</v>
      </c>
      <c r="N3884" s="52">
        <f>IF(Inputs!$C$158="",0,IF(Inputs!$E$158="planned",(Inputs!$D$158+N(INDEX(sc_dpts,2)))*$M3884,Inputs!$D$158))</f>
        <v>0</v>
      </c>
      <c r="O3884" s="53">
        <f>IF(Inputs!$C$158="",0,IF(1+$N3884&gt;0,LN(1+$N3884),0))</f>
        <v>0</v>
      </c>
      <c r="P3884" s="55">
        <f t="shared" si="1430"/>
        <v>0</v>
      </c>
      <c r="Q3884" s="55">
        <f>IF($K3884="",0,COUNTIFS(rl_key,Inputs!$J$158,$L$3806:$L$4045,$L3884,$K$3806:$K$4045,"&lt;"&amp;$K3884))</f>
        <v>0</v>
      </c>
      <c r="R3884" s="55">
        <f>IF($K3884="",0,COUNTIFS(Inputs!$J$80:$J$158,Inputs!$J$158,$L$3806:$L3884,$L3884,$K$3806:$K3884,$K3884))</f>
        <v>0</v>
      </c>
      <c r="S3884" s="55">
        <f t="shared" si="1431"/>
        <v>0</v>
      </c>
      <c r="U3884" s="54" t="str">
        <f>IF(Inputs!$C$158="","",IF(Inputs!$E$158="planned",EDATE(Inputs!$C$158,N(INDEX(sc_shift,3))),Inputs!$C$158))</f>
        <v/>
      </c>
      <c r="V3884" s="54" t="str">
        <f t="shared" si="1432"/>
        <v/>
      </c>
      <c r="W3884" s="52">
        <f>IF(N(INDEX(sc_ach,3))=0,IF(Inputs!$G$158="",1,Inputs!$G$158),INDEX(sc_ach,3))</f>
        <v>1</v>
      </c>
      <c r="X3884" s="52">
        <f>IF(Inputs!$C$158="",0,IF(Inputs!$E$158="planned",(Inputs!$D$158+N(INDEX(sc_dpts,3)))*$W3884,Inputs!$D$158))</f>
        <v>0</v>
      </c>
      <c r="Y3884" s="53">
        <f>IF(Inputs!$C$158="",0,IF(1+$X3884&gt;0,LN(1+$X3884),0))</f>
        <v>0</v>
      </c>
      <c r="Z3884" s="55">
        <f t="shared" si="1433"/>
        <v>0</v>
      </c>
      <c r="AA3884" s="55">
        <f>IF($U3884="",0,COUNTIFS(rl_key,Inputs!$J$158,$V$3806:$V$4045,$V3884,$U$3806:$U$4045,"&lt;"&amp;$U3884))</f>
        <v>0</v>
      </c>
      <c r="AB3884" s="55">
        <f>IF($U3884="",0,COUNTIFS(Inputs!$J$80:$J$158,Inputs!$J$158,$V$3806:$V3884,$V3884,$U$3806:$U3884,$U3884))</f>
        <v>0</v>
      </c>
      <c r="AC3884" s="55">
        <f t="shared" si="1434"/>
        <v>0</v>
      </c>
      <c r="AE3884" s="54" t="str">
        <f>IF(Inputs!$C$158="","",IF(Inputs!$E$158="planned",EDATE(Inputs!$C$158,N(INDEX(sc_shift,4))),Inputs!$C$158))</f>
        <v/>
      </c>
      <c r="AF3884" s="54" t="str">
        <f t="shared" si="1435"/>
        <v/>
      </c>
      <c r="AG3884" s="52">
        <f>IF(N(INDEX(sc_ach,4))=0,IF(Inputs!$G$158="",1,Inputs!$G$158),INDEX(sc_ach,4))</f>
        <v>1</v>
      </c>
      <c r="AH3884" s="52">
        <f>IF(Inputs!$C$158="",0,IF(Inputs!$E$158="planned",(Inputs!$D$158+N(INDEX(sc_dpts,4)))*$AG3884,Inputs!$D$158))</f>
        <v>0</v>
      </c>
      <c r="AI3884" s="53">
        <f>IF(Inputs!$C$158="",0,IF(1+$AH3884&gt;0,LN(1+$AH3884),0))</f>
        <v>0</v>
      </c>
      <c r="AJ3884" s="55">
        <f t="shared" si="1436"/>
        <v>0</v>
      </c>
      <c r="AK3884" s="55">
        <f>IF($AE3884="",0,COUNTIFS(rl_key,Inputs!$J$158,$AF$3806:$AF$4045,$AF3884,$AE$3806:$AE$4045,"&lt;"&amp;$AE3884))</f>
        <v>0</v>
      </c>
      <c r="AL3884" s="55">
        <f>IF($AE3884="",0,COUNTIFS(Inputs!$J$80:$J$158,Inputs!$J$158,$AF$3806:$AF3884,$AF3884,$AE$3806:$AE3884,$AE3884))</f>
        <v>0</v>
      </c>
      <c r="AM3884" s="55">
        <f t="shared" si="1437"/>
        <v>0</v>
      </c>
    </row>
    <row r="3885" spans="1:39" x14ac:dyDescent="0.25">
      <c r="A3885" s="54" t="str">
        <f>IF(Inputs!$C$159="","",IF(Inputs!$E$159="planned",EDATE(Inputs!$C$159,N(INDEX(sc_shift,1))),Inputs!$C$159))</f>
        <v/>
      </c>
      <c r="B3885" s="54" t="str">
        <f t="shared" si="1426"/>
        <v/>
      </c>
      <c r="C3885" s="52">
        <f>IF(N(INDEX(sc_ach,1))=0,IF(Inputs!$G$159="",1,Inputs!$G$159),INDEX(sc_ach,1))</f>
        <v>1</v>
      </c>
      <c r="D3885" s="52">
        <f>IF(Inputs!$C$159="",0,IF(Inputs!$E$159="planned",(Inputs!$D$159+N(INDEX(sc_dpts,1)))*$C3885,Inputs!$D$159))</f>
        <v>0</v>
      </c>
      <c r="E3885" s="53">
        <f>IF(Inputs!$C$159="",0,IF(1+$D3885&gt;0,LN(1+$D3885),0))</f>
        <v>0</v>
      </c>
      <c r="F3885" s="55">
        <f t="shared" si="1427"/>
        <v>0</v>
      </c>
      <c r="G3885" s="55">
        <f>IF($A3885="",0,COUNTIFS(rl_key,Inputs!$J$159,$B$3806:$B$4045,$B3885,$A$3806:$A$4045,"&lt;"&amp;$A3885))</f>
        <v>0</v>
      </c>
      <c r="H3885" s="55">
        <f>IF($A3885="",0,COUNTIFS(Inputs!$J$80:$J$159,Inputs!$J$159,$B$3806:$B3885,$B3885,$A$3806:$A3885,$A3885))</f>
        <v>0</v>
      </c>
      <c r="I3885" s="55">
        <f t="shared" si="1428"/>
        <v>0</v>
      </c>
      <c r="K3885" s="54" t="str">
        <f>IF(Inputs!$C$159="","",IF(Inputs!$E$159="planned",EDATE(Inputs!$C$159,N(INDEX(sc_shift,2))),Inputs!$C$159))</f>
        <v/>
      </c>
      <c r="L3885" s="54" t="str">
        <f t="shared" si="1429"/>
        <v/>
      </c>
      <c r="M3885" s="52">
        <f>IF(N(INDEX(sc_ach,2))=0,IF(Inputs!$G$159="",1,Inputs!$G$159),INDEX(sc_ach,2))</f>
        <v>1</v>
      </c>
      <c r="N3885" s="52">
        <f>IF(Inputs!$C$159="",0,IF(Inputs!$E$159="planned",(Inputs!$D$159+N(INDEX(sc_dpts,2)))*$M3885,Inputs!$D$159))</f>
        <v>0</v>
      </c>
      <c r="O3885" s="53">
        <f>IF(Inputs!$C$159="",0,IF(1+$N3885&gt;0,LN(1+$N3885),0))</f>
        <v>0</v>
      </c>
      <c r="P3885" s="55">
        <f t="shared" si="1430"/>
        <v>0</v>
      </c>
      <c r="Q3885" s="55">
        <f>IF($K3885="",0,COUNTIFS(rl_key,Inputs!$J$159,$L$3806:$L$4045,$L3885,$K$3806:$K$4045,"&lt;"&amp;$K3885))</f>
        <v>0</v>
      </c>
      <c r="R3885" s="55">
        <f>IF($K3885="",0,COUNTIFS(Inputs!$J$80:$J$159,Inputs!$J$159,$L$3806:$L3885,$L3885,$K$3806:$K3885,$K3885))</f>
        <v>0</v>
      </c>
      <c r="S3885" s="55">
        <f t="shared" si="1431"/>
        <v>0</v>
      </c>
      <c r="U3885" s="54" t="str">
        <f>IF(Inputs!$C$159="","",IF(Inputs!$E$159="planned",EDATE(Inputs!$C$159,N(INDEX(sc_shift,3))),Inputs!$C$159))</f>
        <v/>
      </c>
      <c r="V3885" s="54" t="str">
        <f t="shared" si="1432"/>
        <v/>
      </c>
      <c r="W3885" s="52">
        <f>IF(N(INDEX(sc_ach,3))=0,IF(Inputs!$G$159="",1,Inputs!$G$159),INDEX(sc_ach,3))</f>
        <v>1</v>
      </c>
      <c r="X3885" s="52">
        <f>IF(Inputs!$C$159="",0,IF(Inputs!$E$159="planned",(Inputs!$D$159+N(INDEX(sc_dpts,3)))*$W3885,Inputs!$D$159))</f>
        <v>0</v>
      </c>
      <c r="Y3885" s="53">
        <f>IF(Inputs!$C$159="",0,IF(1+$X3885&gt;0,LN(1+$X3885),0))</f>
        <v>0</v>
      </c>
      <c r="Z3885" s="55">
        <f t="shared" si="1433"/>
        <v>0</v>
      </c>
      <c r="AA3885" s="55">
        <f>IF($U3885="",0,COUNTIFS(rl_key,Inputs!$J$159,$V$3806:$V$4045,$V3885,$U$3806:$U$4045,"&lt;"&amp;$U3885))</f>
        <v>0</v>
      </c>
      <c r="AB3885" s="55">
        <f>IF($U3885="",0,COUNTIFS(Inputs!$J$80:$J$159,Inputs!$J$159,$V$3806:$V3885,$V3885,$U$3806:$U3885,$U3885))</f>
        <v>0</v>
      </c>
      <c r="AC3885" s="55">
        <f t="shared" si="1434"/>
        <v>0</v>
      </c>
      <c r="AE3885" s="54" t="str">
        <f>IF(Inputs!$C$159="","",IF(Inputs!$E$159="planned",EDATE(Inputs!$C$159,N(INDEX(sc_shift,4))),Inputs!$C$159))</f>
        <v/>
      </c>
      <c r="AF3885" s="54" t="str">
        <f t="shared" si="1435"/>
        <v/>
      </c>
      <c r="AG3885" s="52">
        <f>IF(N(INDEX(sc_ach,4))=0,IF(Inputs!$G$159="",1,Inputs!$G$159),INDEX(sc_ach,4))</f>
        <v>1</v>
      </c>
      <c r="AH3885" s="52">
        <f>IF(Inputs!$C$159="",0,IF(Inputs!$E$159="planned",(Inputs!$D$159+N(INDEX(sc_dpts,4)))*$AG3885,Inputs!$D$159))</f>
        <v>0</v>
      </c>
      <c r="AI3885" s="53">
        <f>IF(Inputs!$C$159="",0,IF(1+$AH3885&gt;0,LN(1+$AH3885),0))</f>
        <v>0</v>
      </c>
      <c r="AJ3885" s="55">
        <f t="shared" si="1436"/>
        <v>0</v>
      </c>
      <c r="AK3885" s="55">
        <f>IF($AE3885="",0,COUNTIFS(rl_key,Inputs!$J$159,$AF$3806:$AF$4045,$AF3885,$AE$3806:$AE$4045,"&lt;"&amp;$AE3885))</f>
        <v>0</v>
      </c>
      <c r="AL3885" s="55">
        <f>IF($AE3885="",0,COUNTIFS(Inputs!$J$80:$J$159,Inputs!$J$159,$AF$3806:$AF3885,$AF3885,$AE$3806:$AE3885,$AE3885))</f>
        <v>0</v>
      </c>
      <c r="AM3885" s="55">
        <f t="shared" si="1437"/>
        <v>0</v>
      </c>
    </row>
    <row r="3886" spans="1:39" x14ac:dyDescent="0.25">
      <c r="A3886" s="54" t="str">
        <f>IF(Inputs!$C$160="","",IF(Inputs!$E$160="planned",EDATE(Inputs!$C$160,N(INDEX(sc_shift,1))),Inputs!$C$160))</f>
        <v/>
      </c>
      <c r="B3886" s="54" t="str">
        <f t="shared" si="1426"/>
        <v/>
      </c>
      <c r="C3886" s="52">
        <f>IF(N(INDEX(sc_ach,1))=0,IF(Inputs!$G$160="",1,Inputs!$G$160),INDEX(sc_ach,1))</f>
        <v>1</v>
      </c>
      <c r="D3886" s="52">
        <f>IF(Inputs!$C$160="",0,IF(Inputs!$E$160="planned",(Inputs!$D$160+N(INDEX(sc_dpts,1)))*$C3886,Inputs!$D$160))</f>
        <v>0</v>
      </c>
      <c r="E3886" s="53">
        <f>IF(Inputs!$C$160="",0,IF(1+$D3886&gt;0,LN(1+$D3886),0))</f>
        <v>0</v>
      </c>
      <c r="F3886" s="55">
        <f t="shared" si="1427"/>
        <v>0</v>
      </c>
      <c r="G3886" s="55">
        <f>IF($A3886="",0,COUNTIFS(rl_key,Inputs!$J$160,$B$3806:$B$4045,$B3886,$A$3806:$A$4045,"&lt;"&amp;$A3886))</f>
        <v>0</v>
      </c>
      <c r="H3886" s="55">
        <f>IF($A3886="",0,COUNTIFS(Inputs!$J$80:$J$160,Inputs!$J$160,$B$3806:$B3886,$B3886,$A$3806:$A3886,$A3886))</f>
        <v>0</v>
      </c>
      <c r="I3886" s="55">
        <f t="shared" si="1428"/>
        <v>0</v>
      </c>
      <c r="K3886" s="54" t="str">
        <f>IF(Inputs!$C$160="","",IF(Inputs!$E$160="planned",EDATE(Inputs!$C$160,N(INDEX(sc_shift,2))),Inputs!$C$160))</f>
        <v/>
      </c>
      <c r="L3886" s="54" t="str">
        <f t="shared" si="1429"/>
        <v/>
      </c>
      <c r="M3886" s="52">
        <f>IF(N(INDEX(sc_ach,2))=0,IF(Inputs!$G$160="",1,Inputs!$G$160),INDEX(sc_ach,2))</f>
        <v>1</v>
      </c>
      <c r="N3886" s="52">
        <f>IF(Inputs!$C$160="",0,IF(Inputs!$E$160="planned",(Inputs!$D$160+N(INDEX(sc_dpts,2)))*$M3886,Inputs!$D$160))</f>
        <v>0</v>
      </c>
      <c r="O3886" s="53">
        <f>IF(Inputs!$C$160="",0,IF(1+$N3886&gt;0,LN(1+$N3886),0))</f>
        <v>0</v>
      </c>
      <c r="P3886" s="55">
        <f t="shared" si="1430"/>
        <v>0</v>
      </c>
      <c r="Q3886" s="55">
        <f>IF($K3886="",0,COUNTIFS(rl_key,Inputs!$J$160,$L$3806:$L$4045,$L3886,$K$3806:$K$4045,"&lt;"&amp;$K3886))</f>
        <v>0</v>
      </c>
      <c r="R3886" s="55">
        <f>IF($K3886="",0,COUNTIFS(Inputs!$J$80:$J$160,Inputs!$J$160,$L$3806:$L3886,$L3886,$K$3806:$K3886,$K3886))</f>
        <v>0</v>
      </c>
      <c r="S3886" s="55">
        <f t="shared" si="1431"/>
        <v>0</v>
      </c>
      <c r="U3886" s="54" t="str">
        <f>IF(Inputs!$C$160="","",IF(Inputs!$E$160="planned",EDATE(Inputs!$C$160,N(INDEX(sc_shift,3))),Inputs!$C$160))</f>
        <v/>
      </c>
      <c r="V3886" s="54" t="str">
        <f t="shared" si="1432"/>
        <v/>
      </c>
      <c r="W3886" s="52">
        <f>IF(N(INDEX(sc_ach,3))=0,IF(Inputs!$G$160="",1,Inputs!$G$160),INDEX(sc_ach,3))</f>
        <v>1</v>
      </c>
      <c r="X3886" s="52">
        <f>IF(Inputs!$C$160="",0,IF(Inputs!$E$160="planned",(Inputs!$D$160+N(INDEX(sc_dpts,3)))*$W3886,Inputs!$D$160))</f>
        <v>0</v>
      </c>
      <c r="Y3886" s="53">
        <f>IF(Inputs!$C$160="",0,IF(1+$X3886&gt;0,LN(1+$X3886),0))</f>
        <v>0</v>
      </c>
      <c r="Z3886" s="55">
        <f t="shared" si="1433"/>
        <v>0</v>
      </c>
      <c r="AA3886" s="55">
        <f>IF($U3886="",0,COUNTIFS(rl_key,Inputs!$J$160,$V$3806:$V$4045,$V3886,$U$3806:$U$4045,"&lt;"&amp;$U3886))</f>
        <v>0</v>
      </c>
      <c r="AB3886" s="55">
        <f>IF($U3886="",0,COUNTIFS(Inputs!$J$80:$J$160,Inputs!$J$160,$V$3806:$V3886,$V3886,$U$3806:$U3886,$U3886))</f>
        <v>0</v>
      </c>
      <c r="AC3886" s="55">
        <f t="shared" si="1434"/>
        <v>0</v>
      </c>
      <c r="AE3886" s="54" t="str">
        <f>IF(Inputs!$C$160="","",IF(Inputs!$E$160="planned",EDATE(Inputs!$C$160,N(INDEX(sc_shift,4))),Inputs!$C$160))</f>
        <v/>
      </c>
      <c r="AF3886" s="54" t="str">
        <f t="shared" si="1435"/>
        <v/>
      </c>
      <c r="AG3886" s="52">
        <f>IF(N(INDEX(sc_ach,4))=0,IF(Inputs!$G$160="",1,Inputs!$G$160),INDEX(sc_ach,4))</f>
        <v>1</v>
      </c>
      <c r="AH3886" s="52">
        <f>IF(Inputs!$C$160="",0,IF(Inputs!$E$160="planned",(Inputs!$D$160+N(INDEX(sc_dpts,4)))*$AG3886,Inputs!$D$160))</f>
        <v>0</v>
      </c>
      <c r="AI3886" s="53">
        <f>IF(Inputs!$C$160="",0,IF(1+$AH3886&gt;0,LN(1+$AH3886),0))</f>
        <v>0</v>
      </c>
      <c r="AJ3886" s="55">
        <f t="shared" si="1436"/>
        <v>0</v>
      </c>
      <c r="AK3886" s="55">
        <f>IF($AE3886="",0,COUNTIFS(rl_key,Inputs!$J$160,$AF$3806:$AF$4045,$AF3886,$AE$3806:$AE$4045,"&lt;"&amp;$AE3886))</f>
        <v>0</v>
      </c>
      <c r="AL3886" s="55">
        <f>IF($AE3886="",0,COUNTIFS(Inputs!$J$80:$J$160,Inputs!$J$160,$AF$3806:$AF3886,$AF3886,$AE$3806:$AE3886,$AE3886))</f>
        <v>0</v>
      </c>
      <c r="AM3886" s="55">
        <f t="shared" si="1437"/>
        <v>0</v>
      </c>
    </row>
    <row r="3887" spans="1:39" x14ac:dyDescent="0.25">
      <c r="A3887" s="54" t="str">
        <f>IF(Inputs!$C$161="","",IF(Inputs!$E$161="planned",EDATE(Inputs!$C$161,N(INDEX(sc_shift,1))),Inputs!$C$161))</f>
        <v/>
      </c>
      <c r="B3887" s="54" t="str">
        <f t="shared" si="1426"/>
        <v/>
      </c>
      <c r="C3887" s="52">
        <f>IF(N(INDEX(sc_ach,1))=0,IF(Inputs!$G$161="",1,Inputs!$G$161),INDEX(sc_ach,1))</f>
        <v>1</v>
      </c>
      <c r="D3887" s="52">
        <f>IF(Inputs!$C$161="",0,IF(Inputs!$E$161="planned",(Inputs!$D$161+N(INDEX(sc_dpts,1)))*$C3887,Inputs!$D$161))</f>
        <v>0</v>
      </c>
      <c r="E3887" s="53">
        <f>IF(Inputs!$C$161="",0,IF(1+$D3887&gt;0,LN(1+$D3887),0))</f>
        <v>0</v>
      </c>
      <c r="F3887" s="55">
        <f t="shared" si="1427"/>
        <v>0</v>
      </c>
      <c r="G3887" s="55">
        <f>IF($A3887="",0,COUNTIFS(rl_key,Inputs!$J$161,$B$3806:$B$4045,$B3887,$A$3806:$A$4045,"&lt;"&amp;$A3887))</f>
        <v>0</v>
      </c>
      <c r="H3887" s="55">
        <f>IF($A3887="",0,COUNTIFS(Inputs!$J$80:$J$161,Inputs!$J$161,$B$3806:$B3887,$B3887,$A$3806:$A3887,$A3887))</f>
        <v>0</v>
      </c>
      <c r="I3887" s="55">
        <f t="shared" si="1428"/>
        <v>0</v>
      </c>
      <c r="K3887" s="54" t="str">
        <f>IF(Inputs!$C$161="","",IF(Inputs!$E$161="planned",EDATE(Inputs!$C$161,N(INDEX(sc_shift,2))),Inputs!$C$161))</f>
        <v/>
      </c>
      <c r="L3887" s="54" t="str">
        <f t="shared" si="1429"/>
        <v/>
      </c>
      <c r="M3887" s="52">
        <f>IF(N(INDEX(sc_ach,2))=0,IF(Inputs!$G$161="",1,Inputs!$G$161),INDEX(sc_ach,2))</f>
        <v>1</v>
      </c>
      <c r="N3887" s="52">
        <f>IF(Inputs!$C$161="",0,IF(Inputs!$E$161="planned",(Inputs!$D$161+N(INDEX(sc_dpts,2)))*$M3887,Inputs!$D$161))</f>
        <v>0</v>
      </c>
      <c r="O3887" s="53">
        <f>IF(Inputs!$C$161="",0,IF(1+$N3887&gt;0,LN(1+$N3887),0))</f>
        <v>0</v>
      </c>
      <c r="P3887" s="55">
        <f t="shared" si="1430"/>
        <v>0</v>
      </c>
      <c r="Q3887" s="55">
        <f>IF($K3887="",0,COUNTIFS(rl_key,Inputs!$J$161,$L$3806:$L$4045,$L3887,$K$3806:$K$4045,"&lt;"&amp;$K3887))</f>
        <v>0</v>
      </c>
      <c r="R3887" s="55">
        <f>IF($K3887="",0,COUNTIFS(Inputs!$J$80:$J$161,Inputs!$J$161,$L$3806:$L3887,$L3887,$K$3806:$K3887,$K3887))</f>
        <v>0</v>
      </c>
      <c r="S3887" s="55">
        <f t="shared" si="1431"/>
        <v>0</v>
      </c>
      <c r="U3887" s="54" t="str">
        <f>IF(Inputs!$C$161="","",IF(Inputs!$E$161="planned",EDATE(Inputs!$C$161,N(INDEX(sc_shift,3))),Inputs!$C$161))</f>
        <v/>
      </c>
      <c r="V3887" s="54" t="str">
        <f t="shared" si="1432"/>
        <v/>
      </c>
      <c r="W3887" s="52">
        <f>IF(N(INDEX(sc_ach,3))=0,IF(Inputs!$G$161="",1,Inputs!$G$161),INDEX(sc_ach,3))</f>
        <v>1</v>
      </c>
      <c r="X3887" s="52">
        <f>IF(Inputs!$C$161="",0,IF(Inputs!$E$161="planned",(Inputs!$D$161+N(INDEX(sc_dpts,3)))*$W3887,Inputs!$D$161))</f>
        <v>0</v>
      </c>
      <c r="Y3887" s="53">
        <f>IF(Inputs!$C$161="",0,IF(1+$X3887&gt;0,LN(1+$X3887),0))</f>
        <v>0</v>
      </c>
      <c r="Z3887" s="55">
        <f t="shared" si="1433"/>
        <v>0</v>
      </c>
      <c r="AA3887" s="55">
        <f>IF($U3887="",0,COUNTIFS(rl_key,Inputs!$J$161,$V$3806:$V$4045,$V3887,$U$3806:$U$4045,"&lt;"&amp;$U3887))</f>
        <v>0</v>
      </c>
      <c r="AB3887" s="55">
        <f>IF($U3887="",0,COUNTIFS(Inputs!$J$80:$J$161,Inputs!$J$161,$V$3806:$V3887,$V3887,$U$3806:$U3887,$U3887))</f>
        <v>0</v>
      </c>
      <c r="AC3887" s="55">
        <f t="shared" si="1434"/>
        <v>0</v>
      </c>
      <c r="AE3887" s="54" t="str">
        <f>IF(Inputs!$C$161="","",IF(Inputs!$E$161="planned",EDATE(Inputs!$C$161,N(INDEX(sc_shift,4))),Inputs!$C$161))</f>
        <v/>
      </c>
      <c r="AF3887" s="54" t="str">
        <f t="shared" si="1435"/>
        <v/>
      </c>
      <c r="AG3887" s="52">
        <f>IF(N(INDEX(sc_ach,4))=0,IF(Inputs!$G$161="",1,Inputs!$G$161),INDEX(sc_ach,4))</f>
        <v>1</v>
      </c>
      <c r="AH3887" s="52">
        <f>IF(Inputs!$C$161="",0,IF(Inputs!$E$161="planned",(Inputs!$D$161+N(INDEX(sc_dpts,4)))*$AG3887,Inputs!$D$161))</f>
        <v>0</v>
      </c>
      <c r="AI3887" s="53">
        <f>IF(Inputs!$C$161="",0,IF(1+$AH3887&gt;0,LN(1+$AH3887),0))</f>
        <v>0</v>
      </c>
      <c r="AJ3887" s="55">
        <f t="shared" si="1436"/>
        <v>0</v>
      </c>
      <c r="AK3887" s="55">
        <f>IF($AE3887="",0,COUNTIFS(rl_key,Inputs!$J$161,$AF$3806:$AF$4045,$AF3887,$AE$3806:$AE$4045,"&lt;"&amp;$AE3887))</f>
        <v>0</v>
      </c>
      <c r="AL3887" s="55">
        <f>IF($AE3887="",0,COUNTIFS(Inputs!$J$80:$J$161,Inputs!$J$161,$AF$3806:$AF3887,$AF3887,$AE$3806:$AE3887,$AE3887))</f>
        <v>0</v>
      </c>
      <c r="AM3887" s="55">
        <f t="shared" si="1437"/>
        <v>0</v>
      </c>
    </row>
    <row r="3888" spans="1:39" x14ac:dyDescent="0.25">
      <c r="A3888" s="54" t="str">
        <f>IF(Inputs!$C$162="","",IF(Inputs!$E$162="planned",EDATE(Inputs!$C$162,N(INDEX(sc_shift,1))),Inputs!$C$162))</f>
        <v/>
      </c>
      <c r="B3888" s="54" t="str">
        <f t="shared" si="1426"/>
        <v/>
      </c>
      <c r="C3888" s="52">
        <f>IF(N(INDEX(sc_ach,1))=0,IF(Inputs!$G$162="",1,Inputs!$G$162),INDEX(sc_ach,1))</f>
        <v>1</v>
      </c>
      <c r="D3888" s="52">
        <f>IF(Inputs!$C$162="",0,IF(Inputs!$E$162="planned",(Inputs!$D$162+N(INDEX(sc_dpts,1)))*$C3888,Inputs!$D$162))</f>
        <v>0</v>
      </c>
      <c r="E3888" s="53">
        <f>IF(Inputs!$C$162="",0,IF(1+$D3888&gt;0,LN(1+$D3888),0))</f>
        <v>0</v>
      </c>
      <c r="F3888" s="55">
        <f t="shared" si="1427"/>
        <v>0</v>
      </c>
      <c r="G3888" s="55">
        <f>IF($A3888="",0,COUNTIFS(rl_key,Inputs!$J$162,$B$3806:$B$4045,$B3888,$A$3806:$A$4045,"&lt;"&amp;$A3888))</f>
        <v>0</v>
      </c>
      <c r="H3888" s="55">
        <f>IF($A3888="",0,COUNTIFS(Inputs!$J$80:$J$162,Inputs!$J$162,$B$3806:$B3888,$B3888,$A$3806:$A3888,$A3888))</f>
        <v>0</v>
      </c>
      <c r="I3888" s="55">
        <f t="shared" si="1428"/>
        <v>0</v>
      </c>
      <c r="K3888" s="54" t="str">
        <f>IF(Inputs!$C$162="","",IF(Inputs!$E$162="planned",EDATE(Inputs!$C$162,N(INDEX(sc_shift,2))),Inputs!$C$162))</f>
        <v/>
      </c>
      <c r="L3888" s="54" t="str">
        <f t="shared" si="1429"/>
        <v/>
      </c>
      <c r="M3888" s="52">
        <f>IF(N(INDEX(sc_ach,2))=0,IF(Inputs!$G$162="",1,Inputs!$G$162),INDEX(sc_ach,2))</f>
        <v>1</v>
      </c>
      <c r="N3888" s="52">
        <f>IF(Inputs!$C$162="",0,IF(Inputs!$E$162="planned",(Inputs!$D$162+N(INDEX(sc_dpts,2)))*$M3888,Inputs!$D$162))</f>
        <v>0</v>
      </c>
      <c r="O3888" s="53">
        <f>IF(Inputs!$C$162="",0,IF(1+$N3888&gt;0,LN(1+$N3888),0))</f>
        <v>0</v>
      </c>
      <c r="P3888" s="55">
        <f t="shared" si="1430"/>
        <v>0</v>
      </c>
      <c r="Q3888" s="55">
        <f>IF($K3888="",0,COUNTIFS(rl_key,Inputs!$J$162,$L$3806:$L$4045,$L3888,$K$3806:$K$4045,"&lt;"&amp;$K3888))</f>
        <v>0</v>
      </c>
      <c r="R3888" s="55">
        <f>IF($K3888="",0,COUNTIFS(Inputs!$J$80:$J$162,Inputs!$J$162,$L$3806:$L3888,$L3888,$K$3806:$K3888,$K3888))</f>
        <v>0</v>
      </c>
      <c r="S3888" s="55">
        <f t="shared" si="1431"/>
        <v>0</v>
      </c>
      <c r="U3888" s="54" t="str">
        <f>IF(Inputs!$C$162="","",IF(Inputs!$E$162="planned",EDATE(Inputs!$C$162,N(INDEX(sc_shift,3))),Inputs!$C$162))</f>
        <v/>
      </c>
      <c r="V3888" s="54" t="str">
        <f t="shared" si="1432"/>
        <v/>
      </c>
      <c r="W3888" s="52">
        <f>IF(N(INDEX(sc_ach,3))=0,IF(Inputs!$G$162="",1,Inputs!$G$162),INDEX(sc_ach,3))</f>
        <v>1</v>
      </c>
      <c r="X3888" s="52">
        <f>IF(Inputs!$C$162="",0,IF(Inputs!$E$162="planned",(Inputs!$D$162+N(INDEX(sc_dpts,3)))*$W3888,Inputs!$D$162))</f>
        <v>0</v>
      </c>
      <c r="Y3888" s="53">
        <f>IF(Inputs!$C$162="",0,IF(1+$X3888&gt;0,LN(1+$X3888),0))</f>
        <v>0</v>
      </c>
      <c r="Z3888" s="55">
        <f t="shared" si="1433"/>
        <v>0</v>
      </c>
      <c r="AA3888" s="55">
        <f>IF($U3888="",0,COUNTIFS(rl_key,Inputs!$J$162,$V$3806:$V$4045,$V3888,$U$3806:$U$4045,"&lt;"&amp;$U3888))</f>
        <v>0</v>
      </c>
      <c r="AB3888" s="55">
        <f>IF($U3888="",0,COUNTIFS(Inputs!$J$80:$J$162,Inputs!$J$162,$V$3806:$V3888,$V3888,$U$3806:$U3888,$U3888))</f>
        <v>0</v>
      </c>
      <c r="AC3888" s="55">
        <f t="shared" si="1434"/>
        <v>0</v>
      </c>
      <c r="AE3888" s="54" t="str">
        <f>IF(Inputs!$C$162="","",IF(Inputs!$E$162="planned",EDATE(Inputs!$C$162,N(INDEX(sc_shift,4))),Inputs!$C$162))</f>
        <v/>
      </c>
      <c r="AF3888" s="54" t="str">
        <f t="shared" si="1435"/>
        <v/>
      </c>
      <c r="AG3888" s="52">
        <f>IF(N(INDEX(sc_ach,4))=0,IF(Inputs!$G$162="",1,Inputs!$G$162),INDEX(sc_ach,4))</f>
        <v>1</v>
      </c>
      <c r="AH3888" s="52">
        <f>IF(Inputs!$C$162="",0,IF(Inputs!$E$162="planned",(Inputs!$D$162+N(INDEX(sc_dpts,4)))*$AG3888,Inputs!$D$162))</f>
        <v>0</v>
      </c>
      <c r="AI3888" s="53">
        <f>IF(Inputs!$C$162="",0,IF(1+$AH3888&gt;0,LN(1+$AH3888),0))</f>
        <v>0</v>
      </c>
      <c r="AJ3888" s="55">
        <f t="shared" si="1436"/>
        <v>0</v>
      </c>
      <c r="AK3888" s="55">
        <f>IF($AE3888="",0,COUNTIFS(rl_key,Inputs!$J$162,$AF$3806:$AF$4045,$AF3888,$AE$3806:$AE$4045,"&lt;"&amp;$AE3888))</f>
        <v>0</v>
      </c>
      <c r="AL3888" s="55">
        <f>IF($AE3888="",0,COUNTIFS(Inputs!$J$80:$J$162,Inputs!$J$162,$AF$3806:$AF3888,$AF3888,$AE$3806:$AE3888,$AE3888))</f>
        <v>0</v>
      </c>
      <c r="AM3888" s="55">
        <f t="shared" si="1437"/>
        <v>0</v>
      </c>
    </row>
    <row r="3889" spans="1:39" x14ac:dyDescent="0.25">
      <c r="A3889" s="54" t="str">
        <f>IF(Inputs!$C$163="","",IF(Inputs!$E$163="planned",EDATE(Inputs!$C$163,N(INDEX(sc_shift,1))),Inputs!$C$163))</f>
        <v/>
      </c>
      <c r="B3889" s="54" t="str">
        <f t="shared" si="1426"/>
        <v/>
      </c>
      <c r="C3889" s="52">
        <f>IF(N(INDEX(sc_ach,1))=0,IF(Inputs!$G$163="",1,Inputs!$G$163),INDEX(sc_ach,1))</f>
        <v>1</v>
      </c>
      <c r="D3889" s="52">
        <f>IF(Inputs!$C$163="",0,IF(Inputs!$E$163="planned",(Inputs!$D$163+N(INDEX(sc_dpts,1)))*$C3889,Inputs!$D$163))</f>
        <v>0</v>
      </c>
      <c r="E3889" s="53">
        <f>IF(Inputs!$C$163="",0,IF(1+$D3889&gt;0,LN(1+$D3889),0))</f>
        <v>0</v>
      </c>
      <c r="F3889" s="55">
        <f t="shared" si="1427"/>
        <v>0</v>
      </c>
      <c r="G3889" s="55">
        <f>IF($A3889="",0,COUNTIFS(rl_key,Inputs!$J$163,$B$3806:$B$4045,$B3889,$A$3806:$A$4045,"&lt;"&amp;$A3889))</f>
        <v>0</v>
      </c>
      <c r="H3889" s="55">
        <f>IF($A3889="",0,COUNTIFS(Inputs!$J$80:$J$163,Inputs!$J$163,$B$3806:$B3889,$B3889,$A$3806:$A3889,$A3889))</f>
        <v>0</v>
      </c>
      <c r="I3889" s="55">
        <f t="shared" si="1428"/>
        <v>0</v>
      </c>
      <c r="K3889" s="54" t="str">
        <f>IF(Inputs!$C$163="","",IF(Inputs!$E$163="planned",EDATE(Inputs!$C$163,N(INDEX(sc_shift,2))),Inputs!$C$163))</f>
        <v/>
      </c>
      <c r="L3889" s="54" t="str">
        <f t="shared" si="1429"/>
        <v/>
      </c>
      <c r="M3889" s="52">
        <f>IF(N(INDEX(sc_ach,2))=0,IF(Inputs!$G$163="",1,Inputs!$G$163),INDEX(sc_ach,2))</f>
        <v>1</v>
      </c>
      <c r="N3889" s="52">
        <f>IF(Inputs!$C$163="",0,IF(Inputs!$E$163="planned",(Inputs!$D$163+N(INDEX(sc_dpts,2)))*$M3889,Inputs!$D$163))</f>
        <v>0</v>
      </c>
      <c r="O3889" s="53">
        <f>IF(Inputs!$C$163="",0,IF(1+$N3889&gt;0,LN(1+$N3889),0))</f>
        <v>0</v>
      </c>
      <c r="P3889" s="55">
        <f t="shared" si="1430"/>
        <v>0</v>
      </c>
      <c r="Q3889" s="55">
        <f>IF($K3889="",0,COUNTIFS(rl_key,Inputs!$J$163,$L$3806:$L$4045,$L3889,$K$3806:$K$4045,"&lt;"&amp;$K3889))</f>
        <v>0</v>
      </c>
      <c r="R3889" s="55">
        <f>IF($K3889="",0,COUNTIFS(Inputs!$J$80:$J$163,Inputs!$J$163,$L$3806:$L3889,$L3889,$K$3806:$K3889,$K3889))</f>
        <v>0</v>
      </c>
      <c r="S3889" s="55">
        <f t="shared" si="1431"/>
        <v>0</v>
      </c>
      <c r="U3889" s="54" t="str">
        <f>IF(Inputs!$C$163="","",IF(Inputs!$E$163="planned",EDATE(Inputs!$C$163,N(INDEX(sc_shift,3))),Inputs!$C$163))</f>
        <v/>
      </c>
      <c r="V3889" s="54" t="str">
        <f t="shared" si="1432"/>
        <v/>
      </c>
      <c r="W3889" s="52">
        <f>IF(N(INDEX(sc_ach,3))=0,IF(Inputs!$G$163="",1,Inputs!$G$163),INDEX(sc_ach,3))</f>
        <v>1</v>
      </c>
      <c r="X3889" s="52">
        <f>IF(Inputs!$C$163="",0,IF(Inputs!$E$163="planned",(Inputs!$D$163+N(INDEX(sc_dpts,3)))*$W3889,Inputs!$D$163))</f>
        <v>0</v>
      </c>
      <c r="Y3889" s="53">
        <f>IF(Inputs!$C$163="",0,IF(1+$X3889&gt;0,LN(1+$X3889),0))</f>
        <v>0</v>
      </c>
      <c r="Z3889" s="55">
        <f t="shared" si="1433"/>
        <v>0</v>
      </c>
      <c r="AA3889" s="55">
        <f>IF($U3889="",0,COUNTIFS(rl_key,Inputs!$J$163,$V$3806:$V$4045,$V3889,$U$3806:$U$4045,"&lt;"&amp;$U3889))</f>
        <v>0</v>
      </c>
      <c r="AB3889" s="55">
        <f>IF($U3889="",0,COUNTIFS(Inputs!$J$80:$J$163,Inputs!$J$163,$V$3806:$V3889,$V3889,$U$3806:$U3889,$U3889))</f>
        <v>0</v>
      </c>
      <c r="AC3889" s="55">
        <f t="shared" si="1434"/>
        <v>0</v>
      </c>
      <c r="AE3889" s="54" t="str">
        <f>IF(Inputs!$C$163="","",IF(Inputs!$E$163="planned",EDATE(Inputs!$C$163,N(INDEX(sc_shift,4))),Inputs!$C$163))</f>
        <v/>
      </c>
      <c r="AF3889" s="54" t="str">
        <f t="shared" si="1435"/>
        <v/>
      </c>
      <c r="AG3889" s="52">
        <f>IF(N(INDEX(sc_ach,4))=0,IF(Inputs!$G$163="",1,Inputs!$G$163),INDEX(sc_ach,4))</f>
        <v>1</v>
      </c>
      <c r="AH3889" s="52">
        <f>IF(Inputs!$C$163="",0,IF(Inputs!$E$163="planned",(Inputs!$D$163+N(INDEX(sc_dpts,4)))*$AG3889,Inputs!$D$163))</f>
        <v>0</v>
      </c>
      <c r="AI3889" s="53">
        <f>IF(Inputs!$C$163="",0,IF(1+$AH3889&gt;0,LN(1+$AH3889),0))</f>
        <v>0</v>
      </c>
      <c r="AJ3889" s="55">
        <f t="shared" si="1436"/>
        <v>0</v>
      </c>
      <c r="AK3889" s="55">
        <f>IF($AE3889="",0,COUNTIFS(rl_key,Inputs!$J$163,$AF$3806:$AF$4045,$AF3889,$AE$3806:$AE$4045,"&lt;"&amp;$AE3889))</f>
        <v>0</v>
      </c>
      <c r="AL3889" s="55">
        <f>IF($AE3889="",0,COUNTIFS(Inputs!$J$80:$J$163,Inputs!$J$163,$AF$3806:$AF3889,$AF3889,$AE$3806:$AE3889,$AE3889))</f>
        <v>0</v>
      </c>
      <c r="AM3889" s="55">
        <f t="shared" si="1437"/>
        <v>0</v>
      </c>
    </row>
    <row r="3890" spans="1:39" x14ac:dyDescent="0.25">
      <c r="A3890" s="54" t="str">
        <f>IF(Inputs!$C$164="","",IF(Inputs!$E$164="planned",EDATE(Inputs!$C$164,N(INDEX(sc_shift,1))),Inputs!$C$164))</f>
        <v/>
      </c>
      <c r="B3890" s="54" t="str">
        <f t="shared" si="1426"/>
        <v/>
      </c>
      <c r="C3890" s="52">
        <f>IF(N(INDEX(sc_ach,1))=0,IF(Inputs!$G$164="",1,Inputs!$G$164),INDEX(sc_ach,1))</f>
        <v>1</v>
      </c>
      <c r="D3890" s="52">
        <f>IF(Inputs!$C$164="",0,IF(Inputs!$E$164="planned",(Inputs!$D$164+N(INDEX(sc_dpts,1)))*$C3890,Inputs!$D$164))</f>
        <v>0</v>
      </c>
      <c r="E3890" s="53">
        <f>IF(Inputs!$C$164="",0,IF(1+$D3890&gt;0,LN(1+$D3890),0))</f>
        <v>0</v>
      </c>
      <c r="F3890" s="55">
        <f t="shared" si="1427"/>
        <v>0</v>
      </c>
      <c r="G3890" s="55">
        <f>IF($A3890="",0,COUNTIFS(rl_key,Inputs!$J$164,$B$3806:$B$4045,$B3890,$A$3806:$A$4045,"&lt;"&amp;$A3890))</f>
        <v>0</v>
      </c>
      <c r="H3890" s="55">
        <f>IF($A3890="",0,COUNTIFS(Inputs!$J$80:$J$164,Inputs!$J$164,$B$3806:$B3890,$B3890,$A$3806:$A3890,$A3890))</f>
        <v>0</v>
      </c>
      <c r="I3890" s="55">
        <f t="shared" si="1428"/>
        <v>0</v>
      </c>
      <c r="K3890" s="54" t="str">
        <f>IF(Inputs!$C$164="","",IF(Inputs!$E$164="planned",EDATE(Inputs!$C$164,N(INDEX(sc_shift,2))),Inputs!$C$164))</f>
        <v/>
      </c>
      <c r="L3890" s="54" t="str">
        <f t="shared" si="1429"/>
        <v/>
      </c>
      <c r="M3890" s="52">
        <f>IF(N(INDEX(sc_ach,2))=0,IF(Inputs!$G$164="",1,Inputs!$G$164),INDEX(sc_ach,2))</f>
        <v>1</v>
      </c>
      <c r="N3890" s="52">
        <f>IF(Inputs!$C$164="",0,IF(Inputs!$E$164="planned",(Inputs!$D$164+N(INDEX(sc_dpts,2)))*$M3890,Inputs!$D$164))</f>
        <v>0</v>
      </c>
      <c r="O3890" s="53">
        <f>IF(Inputs!$C$164="",0,IF(1+$N3890&gt;0,LN(1+$N3890),0))</f>
        <v>0</v>
      </c>
      <c r="P3890" s="55">
        <f t="shared" si="1430"/>
        <v>0</v>
      </c>
      <c r="Q3890" s="55">
        <f>IF($K3890="",0,COUNTIFS(rl_key,Inputs!$J$164,$L$3806:$L$4045,$L3890,$K$3806:$K$4045,"&lt;"&amp;$K3890))</f>
        <v>0</v>
      </c>
      <c r="R3890" s="55">
        <f>IF($K3890="",0,COUNTIFS(Inputs!$J$80:$J$164,Inputs!$J$164,$L$3806:$L3890,$L3890,$K$3806:$K3890,$K3890))</f>
        <v>0</v>
      </c>
      <c r="S3890" s="55">
        <f t="shared" si="1431"/>
        <v>0</v>
      </c>
      <c r="U3890" s="54" t="str">
        <f>IF(Inputs!$C$164="","",IF(Inputs!$E$164="planned",EDATE(Inputs!$C$164,N(INDEX(sc_shift,3))),Inputs!$C$164))</f>
        <v/>
      </c>
      <c r="V3890" s="54" t="str">
        <f t="shared" si="1432"/>
        <v/>
      </c>
      <c r="W3890" s="52">
        <f>IF(N(INDEX(sc_ach,3))=0,IF(Inputs!$G$164="",1,Inputs!$G$164),INDEX(sc_ach,3))</f>
        <v>1</v>
      </c>
      <c r="X3890" s="52">
        <f>IF(Inputs!$C$164="",0,IF(Inputs!$E$164="planned",(Inputs!$D$164+N(INDEX(sc_dpts,3)))*$W3890,Inputs!$D$164))</f>
        <v>0</v>
      </c>
      <c r="Y3890" s="53">
        <f>IF(Inputs!$C$164="",0,IF(1+$X3890&gt;0,LN(1+$X3890),0))</f>
        <v>0</v>
      </c>
      <c r="Z3890" s="55">
        <f t="shared" si="1433"/>
        <v>0</v>
      </c>
      <c r="AA3890" s="55">
        <f>IF($U3890="",0,COUNTIFS(rl_key,Inputs!$J$164,$V$3806:$V$4045,$V3890,$U$3806:$U$4045,"&lt;"&amp;$U3890))</f>
        <v>0</v>
      </c>
      <c r="AB3890" s="55">
        <f>IF($U3890="",0,COUNTIFS(Inputs!$J$80:$J$164,Inputs!$J$164,$V$3806:$V3890,$V3890,$U$3806:$U3890,$U3890))</f>
        <v>0</v>
      </c>
      <c r="AC3890" s="55">
        <f t="shared" si="1434"/>
        <v>0</v>
      </c>
      <c r="AE3890" s="54" t="str">
        <f>IF(Inputs!$C$164="","",IF(Inputs!$E$164="planned",EDATE(Inputs!$C$164,N(INDEX(sc_shift,4))),Inputs!$C$164))</f>
        <v/>
      </c>
      <c r="AF3890" s="54" t="str">
        <f t="shared" si="1435"/>
        <v/>
      </c>
      <c r="AG3890" s="52">
        <f>IF(N(INDEX(sc_ach,4))=0,IF(Inputs!$G$164="",1,Inputs!$G$164),INDEX(sc_ach,4))</f>
        <v>1</v>
      </c>
      <c r="AH3890" s="52">
        <f>IF(Inputs!$C$164="",0,IF(Inputs!$E$164="planned",(Inputs!$D$164+N(INDEX(sc_dpts,4)))*$AG3890,Inputs!$D$164))</f>
        <v>0</v>
      </c>
      <c r="AI3890" s="53">
        <f>IF(Inputs!$C$164="",0,IF(1+$AH3890&gt;0,LN(1+$AH3890),0))</f>
        <v>0</v>
      </c>
      <c r="AJ3890" s="55">
        <f t="shared" si="1436"/>
        <v>0</v>
      </c>
      <c r="AK3890" s="55">
        <f>IF($AE3890="",0,COUNTIFS(rl_key,Inputs!$J$164,$AF$3806:$AF$4045,$AF3890,$AE$3806:$AE$4045,"&lt;"&amp;$AE3890))</f>
        <v>0</v>
      </c>
      <c r="AL3890" s="55">
        <f>IF($AE3890="",0,COUNTIFS(Inputs!$J$80:$J$164,Inputs!$J$164,$AF$3806:$AF3890,$AF3890,$AE$3806:$AE3890,$AE3890))</f>
        <v>0</v>
      </c>
      <c r="AM3890" s="55">
        <f t="shared" si="1437"/>
        <v>0</v>
      </c>
    </row>
    <row r="3891" spans="1:39" x14ac:dyDescent="0.25">
      <c r="A3891" s="54" t="str">
        <f>IF(Inputs!$C$165="","",IF(Inputs!$E$165="planned",EDATE(Inputs!$C$165,N(INDEX(sc_shift,1))),Inputs!$C$165))</f>
        <v/>
      </c>
      <c r="B3891" s="54" t="str">
        <f t="shared" si="1426"/>
        <v/>
      </c>
      <c r="C3891" s="52">
        <f>IF(N(INDEX(sc_ach,1))=0,IF(Inputs!$G$165="",1,Inputs!$G$165),INDEX(sc_ach,1))</f>
        <v>1</v>
      </c>
      <c r="D3891" s="52">
        <f>IF(Inputs!$C$165="",0,IF(Inputs!$E$165="planned",(Inputs!$D$165+N(INDEX(sc_dpts,1)))*$C3891,Inputs!$D$165))</f>
        <v>0</v>
      </c>
      <c r="E3891" s="53">
        <f>IF(Inputs!$C$165="",0,IF(1+$D3891&gt;0,LN(1+$D3891),0))</f>
        <v>0</v>
      </c>
      <c r="F3891" s="55">
        <f t="shared" si="1427"/>
        <v>0</v>
      </c>
      <c r="G3891" s="55">
        <f>IF($A3891="",0,COUNTIFS(rl_key,Inputs!$J$165,$B$3806:$B$4045,$B3891,$A$3806:$A$4045,"&lt;"&amp;$A3891))</f>
        <v>0</v>
      </c>
      <c r="H3891" s="55">
        <f>IF($A3891="",0,COUNTIFS(Inputs!$J$80:$J$165,Inputs!$J$165,$B$3806:$B3891,$B3891,$A$3806:$A3891,$A3891))</f>
        <v>0</v>
      </c>
      <c r="I3891" s="55">
        <f t="shared" si="1428"/>
        <v>0</v>
      </c>
      <c r="K3891" s="54" t="str">
        <f>IF(Inputs!$C$165="","",IF(Inputs!$E$165="planned",EDATE(Inputs!$C$165,N(INDEX(sc_shift,2))),Inputs!$C$165))</f>
        <v/>
      </c>
      <c r="L3891" s="54" t="str">
        <f t="shared" si="1429"/>
        <v/>
      </c>
      <c r="M3891" s="52">
        <f>IF(N(INDEX(sc_ach,2))=0,IF(Inputs!$G$165="",1,Inputs!$G$165),INDEX(sc_ach,2))</f>
        <v>1</v>
      </c>
      <c r="N3891" s="52">
        <f>IF(Inputs!$C$165="",0,IF(Inputs!$E$165="planned",(Inputs!$D$165+N(INDEX(sc_dpts,2)))*$M3891,Inputs!$D$165))</f>
        <v>0</v>
      </c>
      <c r="O3891" s="53">
        <f>IF(Inputs!$C$165="",0,IF(1+$N3891&gt;0,LN(1+$N3891),0))</f>
        <v>0</v>
      </c>
      <c r="P3891" s="55">
        <f t="shared" si="1430"/>
        <v>0</v>
      </c>
      <c r="Q3891" s="55">
        <f>IF($K3891="",0,COUNTIFS(rl_key,Inputs!$J$165,$L$3806:$L$4045,$L3891,$K$3806:$K$4045,"&lt;"&amp;$K3891))</f>
        <v>0</v>
      </c>
      <c r="R3891" s="55">
        <f>IF($K3891="",0,COUNTIFS(Inputs!$J$80:$J$165,Inputs!$J$165,$L$3806:$L3891,$L3891,$K$3806:$K3891,$K3891))</f>
        <v>0</v>
      </c>
      <c r="S3891" s="55">
        <f t="shared" si="1431"/>
        <v>0</v>
      </c>
      <c r="U3891" s="54" t="str">
        <f>IF(Inputs!$C$165="","",IF(Inputs!$E$165="planned",EDATE(Inputs!$C$165,N(INDEX(sc_shift,3))),Inputs!$C$165))</f>
        <v/>
      </c>
      <c r="V3891" s="54" t="str">
        <f t="shared" si="1432"/>
        <v/>
      </c>
      <c r="W3891" s="52">
        <f>IF(N(INDEX(sc_ach,3))=0,IF(Inputs!$G$165="",1,Inputs!$G$165),INDEX(sc_ach,3))</f>
        <v>1</v>
      </c>
      <c r="X3891" s="52">
        <f>IF(Inputs!$C$165="",0,IF(Inputs!$E$165="planned",(Inputs!$D$165+N(INDEX(sc_dpts,3)))*$W3891,Inputs!$D$165))</f>
        <v>0</v>
      </c>
      <c r="Y3891" s="53">
        <f>IF(Inputs!$C$165="",0,IF(1+$X3891&gt;0,LN(1+$X3891),0))</f>
        <v>0</v>
      </c>
      <c r="Z3891" s="55">
        <f t="shared" si="1433"/>
        <v>0</v>
      </c>
      <c r="AA3891" s="55">
        <f>IF($U3891="",0,COUNTIFS(rl_key,Inputs!$J$165,$V$3806:$V$4045,$V3891,$U$3806:$U$4045,"&lt;"&amp;$U3891))</f>
        <v>0</v>
      </c>
      <c r="AB3891" s="55">
        <f>IF($U3891="",0,COUNTIFS(Inputs!$J$80:$J$165,Inputs!$J$165,$V$3806:$V3891,$V3891,$U$3806:$U3891,$U3891))</f>
        <v>0</v>
      </c>
      <c r="AC3891" s="55">
        <f t="shared" si="1434"/>
        <v>0</v>
      </c>
      <c r="AE3891" s="54" t="str">
        <f>IF(Inputs!$C$165="","",IF(Inputs!$E$165="planned",EDATE(Inputs!$C$165,N(INDEX(sc_shift,4))),Inputs!$C$165))</f>
        <v/>
      </c>
      <c r="AF3891" s="54" t="str">
        <f t="shared" si="1435"/>
        <v/>
      </c>
      <c r="AG3891" s="52">
        <f>IF(N(INDEX(sc_ach,4))=0,IF(Inputs!$G$165="",1,Inputs!$G$165),INDEX(sc_ach,4))</f>
        <v>1</v>
      </c>
      <c r="AH3891" s="52">
        <f>IF(Inputs!$C$165="",0,IF(Inputs!$E$165="planned",(Inputs!$D$165+N(INDEX(sc_dpts,4)))*$AG3891,Inputs!$D$165))</f>
        <v>0</v>
      </c>
      <c r="AI3891" s="53">
        <f>IF(Inputs!$C$165="",0,IF(1+$AH3891&gt;0,LN(1+$AH3891),0))</f>
        <v>0</v>
      </c>
      <c r="AJ3891" s="55">
        <f t="shared" si="1436"/>
        <v>0</v>
      </c>
      <c r="AK3891" s="55">
        <f>IF($AE3891="",0,COUNTIFS(rl_key,Inputs!$J$165,$AF$3806:$AF$4045,$AF3891,$AE$3806:$AE$4045,"&lt;"&amp;$AE3891))</f>
        <v>0</v>
      </c>
      <c r="AL3891" s="55">
        <f>IF($AE3891="",0,COUNTIFS(Inputs!$J$80:$J$165,Inputs!$J$165,$AF$3806:$AF3891,$AF3891,$AE$3806:$AE3891,$AE3891))</f>
        <v>0</v>
      </c>
      <c r="AM3891" s="55">
        <f t="shared" si="1437"/>
        <v>0</v>
      </c>
    </row>
    <row r="3892" spans="1:39" x14ac:dyDescent="0.25">
      <c r="A3892" s="54" t="str">
        <f>IF(Inputs!$C$166="","",IF(Inputs!$E$166="planned",EDATE(Inputs!$C$166,N(INDEX(sc_shift,1))),Inputs!$C$166))</f>
        <v/>
      </c>
      <c r="B3892" s="54" t="str">
        <f t="shared" si="1426"/>
        <v/>
      </c>
      <c r="C3892" s="52">
        <f>IF(N(INDEX(sc_ach,1))=0,IF(Inputs!$G$166="",1,Inputs!$G$166),INDEX(sc_ach,1))</f>
        <v>1</v>
      </c>
      <c r="D3892" s="52">
        <f>IF(Inputs!$C$166="",0,IF(Inputs!$E$166="planned",(Inputs!$D$166+N(INDEX(sc_dpts,1)))*$C3892,Inputs!$D$166))</f>
        <v>0</v>
      </c>
      <c r="E3892" s="53">
        <f>IF(Inputs!$C$166="",0,IF(1+$D3892&gt;0,LN(1+$D3892),0))</f>
        <v>0</v>
      </c>
      <c r="F3892" s="55">
        <f t="shared" si="1427"/>
        <v>0</v>
      </c>
      <c r="G3892" s="55">
        <f>IF($A3892="",0,COUNTIFS(rl_key,Inputs!$J$166,$B$3806:$B$4045,$B3892,$A$3806:$A$4045,"&lt;"&amp;$A3892))</f>
        <v>0</v>
      </c>
      <c r="H3892" s="55">
        <f>IF($A3892="",0,COUNTIFS(Inputs!$J$80:$J$166,Inputs!$J$166,$B$3806:$B3892,$B3892,$A$3806:$A3892,$A3892))</f>
        <v>0</v>
      </c>
      <c r="I3892" s="55">
        <f t="shared" si="1428"/>
        <v>0</v>
      </c>
      <c r="K3892" s="54" t="str">
        <f>IF(Inputs!$C$166="","",IF(Inputs!$E$166="planned",EDATE(Inputs!$C$166,N(INDEX(sc_shift,2))),Inputs!$C$166))</f>
        <v/>
      </c>
      <c r="L3892" s="54" t="str">
        <f t="shared" si="1429"/>
        <v/>
      </c>
      <c r="M3892" s="52">
        <f>IF(N(INDEX(sc_ach,2))=0,IF(Inputs!$G$166="",1,Inputs!$G$166),INDEX(sc_ach,2))</f>
        <v>1</v>
      </c>
      <c r="N3892" s="52">
        <f>IF(Inputs!$C$166="",0,IF(Inputs!$E$166="planned",(Inputs!$D$166+N(INDEX(sc_dpts,2)))*$M3892,Inputs!$D$166))</f>
        <v>0</v>
      </c>
      <c r="O3892" s="53">
        <f>IF(Inputs!$C$166="",0,IF(1+$N3892&gt;0,LN(1+$N3892),0))</f>
        <v>0</v>
      </c>
      <c r="P3892" s="55">
        <f t="shared" si="1430"/>
        <v>0</v>
      </c>
      <c r="Q3892" s="55">
        <f>IF($K3892="",0,COUNTIFS(rl_key,Inputs!$J$166,$L$3806:$L$4045,$L3892,$K$3806:$K$4045,"&lt;"&amp;$K3892))</f>
        <v>0</v>
      </c>
      <c r="R3892" s="55">
        <f>IF($K3892="",0,COUNTIFS(Inputs!$J$80:$J$166,Inputs!$J$166,$L$3806:$L3892,$L3892,$K$3806:$K3892,$K3892))</f>
        <v>0</v>
      </c>
      <c r="S3892" s="55">
        <f t="shared" si="1431"/>
        <v>0</v>
      </c>
      <c r="U3892" s="54" t="str">
        <f>IF(Inputs!$C$166="","",IF(Inputs!$E$166="planned",EDATE(Inputs!$C$166,N(INDEX(sc_shift,3))),Inputs!$C$166))</f>
        <v/>
      </c>
      <c r="V3892" s="54" t="str">
        <f t="shared" si="1432"/>
        <v/>
      </c>
      <c r="W3892" s="52">
        <f>IF(N(INDEX(sc_ach,3))=0,IF(Inputs!$G$166="",1,Inputs!$G$166),INDEX(sc_ach,3))</f>
        <v>1</v>
      </c>
      <c r="X3892" s="52">
        <f>IF(Inputs!$C$166="",0,IF(Inputs!$E$166="planned",(Inputs!$D$166+N(INDEX(sc_dpts,3)))*$W3892,Inputs!$D$166))</f>
        <v>0</v>
      </c>
      <c r="Y3892" s="53">
        <f>IF(Inputs!$C$166="",0,IF(1+$X3892&gt;0,LN(1+$X3892),0))</f>
        <v>0</v>
      </c>
      <c r="Z3892" s="55">
        <f t="shared" si="1433"/>
        <v>0</v>
      </c>
      <c r="AA3892" s="55">
        <f>IF($U3892="",0,COUNTIFS(rl_key,Inputs!$J$166,$V$3806:$V$4045,$V3892,$U$3806:$U$4045,"&lt;"&amp;$U3892))</f>
        <v>0</v>
      </c>
      <c r="AB3892" s="55">
        <f>IF($U3892="",0,COUNTIFS(Inputs!$J$80:$J$166,Inputs!$J$166,$V$3806:$V3892,$V3892,$U$3806:$U3892,$U3892))</f>
        <v>0</v>
      </c>
      <c r="AC3892" s="55">
        <f t="shared" si="1434"/>
        <v>0</v>
      </c>
      <c r="AE3892" s="54" t="str">
        <f>IF(Inputs!$C$166="","",IF(Inputs!$E$166="planned",EDATE(Inputs!$C$166,N(INDEX(sc_shift,4))),Inputs!$C$166))</f>
        <v/>
      </c>
      <c r="AF3892" s="54" t="str">
        <f t="shared" si="1435"/>
        <v/>
      </c>
      <c r="AG3892" s="52">
        <f>IF(N(INDEX(sc_ach,4))=0,IF(Inputs!$G$166="",1,Inputs!$G$166),INDEX(sc_ach,4))</f>
        <v>1</v>
      </c>
      <c r="AH3892" s="52">
        <f>IF(Inputs!$C$166="",0,IF(Inputs!$E$166="planned",(Inputs!$D$166+N(INDEX(sc_dpts,4)))*$AG3892,Inputs!$D$166))</f>
        <v>0</v>
      </c>
      <c r="AI3892" s="53">
        <f>IF(Inputs!$C$166="",0,IF(1+$AH3892&gt;0,LN(1+$AH3892),0))</f>
        <v>0</v>
      </c>
      <c r="AJ3892" s="55">
        <f t="shared" si="1436"/>
        <v>0</v>
      </c>
      <c r="AK3892" s="55">
        <f>IF($AE3892="",0,COUNTIFS(rl_key,Inputs!$J$166,$AF$3806:$AF$4045,$AF3892,$AE$3806:$AE$4045,"&lt;"&amp;$AE3892))</f>
        <v>0</v>
      </c>
      <c r="AL3892" s="55">
        <f>IF($AE3892="",0,COUNTIFS(Inputs!$J$80:$J$166,Inputs!$J$166,$AF$3806:$AF3892,$AF3892,$AE$3806:$AE3892,$AE3892))</f>
        <v>0</v>
      </c>
      <c r="AM3892" s="55">
        <f t="shared" si="1437"/>
        <v>0</v>
      </c>
    </row>
    <row r="3893" spans="1:39" x14ac:dyDescent="0.25">
      <c r="A3893" s="54" t="str">
        <f>IF(Inputs!$C$167="","",IF(Inputs!$E$167="planned",EDATE(Inputs!$C$167,N(INDEX(sc_shift,1))),Inputs!$C$167))</f>
        <v/>
      </c>
      <c r="B3893" s="54" t="str">
        <f t="shared" si="1426"/>
        <v/>
      </c>
      <c r="C3893" s="52">
        <f>IF(N(INDEX(sc_ach,1))=0,IF(Inputs!$G$167="",1,Inputs!$G$167),INDEX(sc_ach,1))</f>
        <v>1</v>
      </c>
      <c r="D3893" s="52">
        <f>IF(Inputs!$C$167="",0,IF(Inputs!$E$167="planned",(Inputs!$D$167+N(INDEX(sc_dpts,1)))*$C3893,Inputs!$D$167))</f>
        <v>0</v>
      </c>
      <c r="E3893" s="53">
        <f>IF(Inputs!$C$167="",0,IF(1+$D3893&gt;0,LN(1+$D3893),0))</f>
        <v>0</v>
      </c>
      <c r="F3893" s="55">
        <f t="shared" si="1427"/>
        <v>0</v>
      </c>
      <c r="G3893" s="55">
        <f>IF($A3893="",0,COUNTIFS(rl_key,Inputs!$J$167,$B$3806:$B$4045,$B3893,$A$3806:$A$4045,"&lt;"&amp;$A3893))</f>
        <v>0</v>
      </c>
      <c r="H3893" s="55">
        <f>IF($A3893="",0,COUNTIFS(Inputs!$J$80:$J$167,Inputs!$J$167,$B$3806:$B3893,$B3893,$A$3806:$A3893,$A3893))</f>
        <v>0</v>
      </c>
      <c r="I3893" s="55">
        <f t="shared" si="1428"/>
        <v>0</v>
      </c>
      <c r="K3893" s="54" t="str">
        <f>IF(Inputs!$C$167="","",IF(Inputs!$E$167="planned",EDATE(Inputs!$C$167,N(INDEX(sc_shift,2))),Inputs!$C$167))</f>
        <v/>
      </c>
      <c r="L3893" s="54" t="str">
        <f t="shared" si="1429"/>
        <v/>
      </c>
      <c r="M3893" s="52">
        <f>IF(N(INDEX(sc_ach,2))=0,IF(Inputs!$G$167="",1,Inputs!$G$167),INDEX(sc_ach,2))</f>
        <v>1</v>
      </c>
      <c r="N3893" s="52">
        <f>IF(Inputs!$C$167="",0,IF(Inputs!$E$167="planned",(Inputs!$D$167+N(INDEX(sc_dpts,2)))*$M3893,Inputs!$D$167))</f>
        <v>0</v>
      </c>
      <c r="O3893" s="53">
        <f>IF(Inputs!$C$167="",0,IF(1+$N3893&gt;0,LN(1+$N3893),0))</f>
        <v>0</v>
      </c>
      <c r="P3893" s="55">
        <f t="shared" si="1430"/>
        <v>0</v>
      </c>
      <c r="Q3893" s="55">
        <f>IF($K3893="",0,COUNTIFS(rl_key,Inputs!$J$167,$L$3806:$L$4045,$L3893,$K$3806:$K$4045,"&lt;"&amp;$K3893))</f>
        <v>0</v>
      </c>
      <c r="R3893" s="55">
        <f>IF($K3893="",0,COUNTIFS(Inputs!$J$80:$J$167,Inputs!$J$167,$L$3806:$L3893,$L3893,$K$3806:$K3893,$K3893))</f>
        <v>0</v>
      </c>
      <c r="S3893" s="55">
        <f t="shared" si="1431"/>
        <v>0</v>
      </c>
      <c r="U3893" s="54" t="str">
        <f>IF(Inputs!$C$167="","",IF(Inputs!$E$167="planned",EDATE(Inputs!$C$167,N(INDEX(sc_shift,3))),Inputs!$C$167))</f>
        <v/>
      </c>
      <c r="V3893" s="54" t="str">
        <f t="shared" si="1432"/>
        <v/>
      </c>
      <c r="W3893" s="52">
        <f>IF(N(INDEX(sc_ach,3))=0,IF(Inputs!$G$167="",1,Inputs!$G$167),INDEX(sc_ach,3))</f>
        <v>1</v>
      </c>
      <c r="X3893" s="52">
        <f>IF(Inputs!$C$167="",0,IF(Inputs!$E$167="planned",(Inputs!$D$167+N(INDEX(sc_dpts,3)))*$W3893,Inputs!$D$167))</f>
        <v>0</v>
      </c>
      <c r="Y3893" s="53">
        <f>IF(Inputs!$C$167="",0,IF(1+$X3893&gt;0,LN(1+$X3893),0))</f>
        <v>0</v>
      </c>
      <c r="Z3893" s="55">
        <f t="shared" si="1433"/>
        <v>0</v>
      </c>
      <c r="AA3893" s="55">
        <f>IF($U3893="",0,COUNTIFS(rl_key,Inputs!$J$167,$V$3806:$V$4045,$V3893,$U$3806:$U$4045,"&lt;"&amp;$U3893))</f>
        <v>0</v>
      </c>
      <c r="AB3893" s="55">
        <f>IF($U3893="",0,COUNTIFS(Inputs!$J$80:$J$167,Inputs!$J$167,$V$3806:$V3893,$V3893,$U$3806:$U3893,$U3893))</f>
        <v>0</v>
      </c>
      <c r="AC3893" s="55">
        <f t="shared" si="1434"/>
        <v>0</v>
      </c>
      <c r="AE3893" s="54" t="str">
        <f>IF(Inputs!$C$167="","",IF(Inputs!$E$167="planned",EDATE(Inputs!$C$167,N(INDEX(sc_shift,4))),Inputs!$C$167))</f>
        <v/>
      </c>
      <c r="AF3893" s="54" t="str">
        <f t="shared" si="1435"/>
        <v/>
      </c>
      <c r="AG3893" s="52">
        <f>IF(N(INDEX(sc_ach,4))=0,IF(Inputs!$G$167="",1,Inputs!$G$167),INDEX(sc_ach,4))</f>
        <v>1</v>
      </c>
      <c r="AH3893" s="52">
        <f>IF(Inputs!$C$167="",0,IF(Inputs!$E$167="planned",(Inputs!$D$167+N(INDEX(sc_dpts,4)))*$AG3893,Inputs!$D$167))</f>
        <v>0</v>
      </c>
      <c r="AI3893" s="53">
        <f>IF(Inputs!$C$167="",0,IF(1+$AH3893&gt;0,LN(1+$AH3893),0))</f>
        <v>0</v>
      </c>
      <c r="AJ3893" s="55">
        <f t="shared" si="1436"/>
        <v>0</v>
      </c>
      <c r="AK3893" s="55">
        <f>IF($AE3893="",0,COUNTIFS(rl_key,Inputs!$J$167,$AF$3806:$AF$4045,$AF3893,$AE$3806:$AE$4045,"&lt;"&amp;$AE3893))</f>
        <v>0</v>
      </c>
      <c r="AL3893" s="55">
        <f>IF($AE3893="",0,COUNTIFS(Inputs!$J$80:$J$167,Inputs!$J$167,$AF$3806:$AF3893,$AF3893,$AE$3806:$AE3893,$AE3893))</f>
        <v>0</v>
      </c>
      <c r="AM3893" s="55">
        <f t="shared" si="1437"/>
        <v>0</v>
      </c>
    </row>
    <row r="3894" spans="1:39" x14ac:dyDescent="0.25">
      <c r="A3894" s="54" t="str">
        <f>IF(Inputs!$C$168="","",IF(Inputs!$E$168="planned",EDATE(Inputs!$C$168,N(INDEX(sc_shift,1))),Inputs!$C$168))</f>
        <v/>
      </c>
      <c r="B3894" s="54" t="str">
        <f t="shared" si="1426"/>
        <v/>
      </c>
      <c r="C3894" s="52">
        <f>IF(N(INDEX(sc_ach,1))=0,IF(Inputs!$G$168="",1,Inputs!$G$168),INDEX(sc_ach,1))</f>
        <v>1</v>
      </c>
      <c r="D3894" s="52">
        <f>IF(Inputs!$C$168="",0,IF(Inputs!$E$168="planned",(Inputs!$D$168+N(INDEX(sc_dpts,1)))*$C3894,Inputs!$D$168))</f>
        <v>0</v>
      </c>
      <c r="E3894" s="53">
        <f>IF(Inputs!$C$168="",0,IF(1+$D3894&gt;0,LN(1+$D3894),0))</f>
        <v>0</v>
      </c>
      <c r="F3894" s="55">
        <f t="shared" si="1427"/>
        <v>0</v>
      </c>
      <c r="G3894" s="55">
        <f>IF($A3894="",0,COUNTIFS(rl_key,Inputs!$J$168,$B$3806:$B$4045,$B3894,$A$3806:$A$4045,"&lt;"&amp;$A3894))</f>
        <v>0</v>
      </c>
      <c r="H3894" s="55">
        <f>IF($A3894="",0,COUNTIFS(Inputs!$J$80:$J$168,Inputs!$J$168,$B$3806:$B3894,$B3894,$A$3806:$A3894,$A3894))</f>
        <v>0</v>
      </c>
      <c r="I3894" s="55">
        <f t="shared" si="1428"/>
        <v>0</v>
      </c>
      <c r="K3894" s="54" t="str">
        <f>IF(Inputs!$C$168="","",IF(Inputs!$E$168="planned",EDATE(Inputs!$C$168,N(INDEX(sc_shift,2))),Inputs!$C$168))</f>
        <v/>
      </c>
      <c r="L3894" s="54" t="str">
        <f t="shared" si="1429"/>
        <v/>
      </c>
      <c r="M3894" s="52">
        <f>IF(N(INDEX(sc_ach,2))=0,IF(Inputs!$G$168="",1,Inputs!$G$168),INDEX(sc_ach,2))</f>
        <v>1</v>
      </c>
      <c r="N3894" s="52">
        <f>IF(Inputs!$C$168="",0,IF(Inputs!$E$168="planned",(Inputs!$D$168+N(INDEX(sc_dpts,2)))*$M3894,Inputs!$D$168))</f>
        <v>0</v>
      </c>
      <c r="O3894" s="53">
        <f>IF(Inputs!$C$168="",0,IF(1+$N3894&gt;0,LN(1+$N3894),0))</f>
        <v>0</v>
      </c>
      <c r="P3894" s="55">
        <f t="shared" si="1430"/>
        <v>0</v>
      </c>
      <c r="Q3894" s="55">
        <f>IF($K3894="",0,COUNTIFS(rl_key,Inputs!$J$168,$L$3806:$L$4045,$L3894,$K$3806:$K$4045,"&lt;"&amp;$K3894))</f>
        <v>0</v>
      </c>
      <c r="R3894" s="55">
        <f>IF($K3894="",0,COUNTIFS(Inputs!$J$80:$J$168,Inputs!$J$168,$L$3806:$L3894,$L3894,$K$3806:$K3894,$K3894))</f>
        <v>0</v>
      </c>
      <c r="S3894" s="55">
        <f t="shared" si="1431"/>
        <v>0</v>
      </c>
      <c r="U3894" s="54" t="str">
        <f>IF(Inputs!$C$168="","",IF(Inputs!$E$168="planned",EDATE(Inputs!$C$168,N(INDEX(sc_shift,3))),Inputs!$C$168))</f>
        <v/>
      </c>
      <c r="V3894" s="54" t="str">
        <f t="shared" si="1432"/>
        <v/>
      </c>
      <c r="W3894" s="52">
        <f>IF(N(INDEX(sc_ach,3))=0,IF(Inputs!$G$168="",1,Inputs!$G$168),INDEX(sc_ach,3))</f>
        <v>1</v>
      </c>
      <c r="X3894" s="52">
        <f>IF(Inputs!$C$168="",0,IF(Inputs!$E$168="planned",(Inputs!$D$168+N(INDEX(sc_dpts,3)))*$W3894,Inputs!$D$168))</f>
        <v>0</v>
      </c>
      <c r="Y3894" s="53">
        <f>IF(Inputs!$C$168="",0,IF(1+$X3894&gt;0,LN(1+$X3894),0))</f>
        <v>0</v>
      </c>
      <c r="Z3894" s="55">
        <f t="shared" si="1433"/>
        <v>0</v>
      </c>
      <c r="AA3894" s="55">
        <f>IF($U3894="",0,COUNTIFS(rl_key,Inputs!$J$168,$V$3806:$V$4045,$V3894,$U$3806:$U$4045,"&lt;"&amp;$U3894))</f>
        <v>0</v>
      </c>
      <c r="AB3894" s="55">
        <f>IF($U3894="",0,COUNTIFS(Inputs!$J$80:$J$168,Inputs!$J$168,$V$3806:$V3894,$V3894,$U$3806:$U3894,$U3894))</f>
        <v>0</v>
      </c>
      <c r="AC3894" s="55">
        <f t="shared" si="1434"/>
        <v>0</v>
      </c>
      <c r="AE3894" s="54" t="str">
        <f>IF(Inputs!$C$168="","",IF(Inputs!$E$168="planned",EDATE(Inputs!$C$168,N(INDEX(sc_shift,4))),Inputs!$C$168))</f>
        <v/>
      </c>
      <c r="AF3894" s="54" t="str">
        <f t="shared" si="1435"/>
        <v/>
      </c>
      <c r="AG3894" s="52">
        <f>IF(N(INDEX(sc_ach,4))=0,IF(Inputs!$G$168="",1,Inputs!$G$168),INDEX(sc_ach,4))</f>
        <v>1</v>
      </c>
      <c r="AH3894" s="52">
        <f>IF(Inputs!$C$168="",0,IF(Inputs!$E$168="planned",(Inputs!$D$168+N(INDEX(sc_dpts,4)))*$AG3894,Inputs!$D$168))</f>
        <v>0</v>
      </c>
      <c r="AI3894" s="53">
        <f>IF(Inputs!$C$168="",0,IF(1+$AH3894&gt;0,LN(1+$AH3894),0))</f>
        <v>0</v>
      </c>
      <c r="AJ3894" s="55">
        <f t="shared" si="1436"/>
        <v>0</v>
      </c>
      <c r="AK3894" s="55">
        <f>IF($AE3894="",0,COUNTIFS(rl_key,Inputs!$J$168,$AF$3806:$AF$4045,$AF3894,$AE$3806:$AE$4045,"&lt;"&amp;$AE3894))</f>
        <v>0</v>
      </c>
      <c r="AL3894" s="55">
        <f>IF($AE3894="",0,COUNTIFS(Inputs!$J$80:$J$168,Inputs!$J$168,$AF$3806:$AF3894,$AF3894,$AE$3806:$AE3894,$AE3894))</f>
        <v>0</v>
      </c>
      <c r="AM3894" s="55">
        <f t="shared" si="1437"/>
        <v>0</v>
      </c>
    </row>
    <row r="3895" spans="1:39" x14ac:dyDescent="0.25">
      <c r="A3895" s="54" t="str">
        <f>IF(Inputs!$C$169="","",IF(Inputs!$E$169="planned",EDATE(Inputs!$C$169,N(INDEX(sc_shift,1))),Inputs!$C$169))</f>
        <v/>
      </c>
      <c r="B3895" s="54" t="str">
        <f t="shared" si="1426"/>
        <v/>
      </c>
      <c r="C3895" s="52">
        <f>IF(N(INDEX(sc_ach,1))=0,IF(Inputs!$G$169="",1,Inputs!$G$169),INDEX(sc_ach,1))</f>
        <v>1</v>
      </c>
      <c r="D3895" s="52">
        <f>IF(Inputs!$C$169="",0,IF(Inputs!$E$169="planned",(Inputs!$D$169+N(INDEX(sc_dpts,1)))*$C3895,Inputs!$D$169))</f>
        <v>0</v>
      </c>
      <c r="E3895" s="53">
        <f>IF(Inputs!$C$169="",0,IF(1+$D3895&gt;0,LN(1+$D3895),0))</f>
        <v>0</v>
      </c>
      <c r="F3895" s="55">
        <f t="shared" si="1427"/>
        <v>0</v>
      </c>
      <c r="G3895" s="55">
        <f>IF($A3895="",0,COUNTIFS(rl_key,Inputs!$J$169,$B$3806:$B$4045,$B3895,$A$3806:$A$4045,"&lt;"&amp;$A3895))</f>
        <v>0</v>
      </c>
      <c r="H3895" s="55">
        <f>IF($A3895="",0,COUNTIFS(Inputs!$J$80:$J$169,Inputs!$J$169,$B$3806:$B3895,$B3895,$A$3806:$A3895,$A3895))</f>
        <v>0</v>
      </c>
      <c r="I3895" s="55">
        <f t="shared" si="1428"/>
        <v>0</v>
      </c>
      <c r="K3895" s="54" t="str">
        <f>IF(Inputs!$C$169="","",IF(Inputs!$E$169="planned",EDATE(Inputs!$C$169,N(INDEX(sc_shift,2))),Inputs!$C$169))</f>
        <v/>
      </c>
      <c r="L3895" s="54" t="str">
        <f t="shared" si="1429"/>
        <v/>
      </c>
      <c r="M3895" s="52">
        <f>IF(N(INDEX(sc_ach,2))=0,IF(Inputs!$G$169="",1,Inputs!$G$169),INDEX(sc_ach,2))</f>
        <v>1</v>
      </c>
      <c r="N3895" s="52">
        <f>IF(Inputs!$C$169="",0,IF(Inputs!$E$169="planned",(Inputs!$D$169+N(INDEX(sc_dpts,2)))*$M3895,Inputs!$D$169))</f>
        <v>0</v>
      </c>
      <c r="O3895" s="53">
        <f>IF(Inputs!$C$169="",0,IF(1+$N3895&gt;0,LN(1+$N3895),0))</f>
        <v>0</v>
      </c>
      <c r="P3895" s="55">
        <f t="shared" si="1430"/>
        <v>0</v>
      </c>
      <c r="Q3895" s="55">
        <f>IF($K3895="",0,COUNTIFS(rl_key,Inputs!$J$169,$L$3806:$L$4045,$L3895,$K$3806:$K$4045,"&lt;"&amp;$K3895))</f>
        <v>0</v>
      </c>
      <c r="R3895" s="55">
        <f>IF($K3895="",0,COUNTIFS(Inputs!$J$80:$J$169,Inputs!$J$169,$L$3806:$L3895,$L3895,$K$3806:$K3895,$K3895))</f>
        <v>0</v>
      </c>
      <c r="S3895" s="55">
        <f t="shared" si="1431"/>
        <v>0</v>
      </c>
      <c r="U3895" s="54" t="str">
        <f>IF(Inputs!$C$169="","",IF(Inputs!$E$169="planned",EDATE(Inputs!$C$169,N(INDEX(sc_shift,3))),Inputs!$C$169))</f>
        <v/>
      </c>
      <c r="V3895" s="54" t="str">
        <f t="shared" si="1432"/>
        <v/>
      </c>
      <c r="W3895" s="52">
        <f>IF(N(INDEX(sc_ach,3))=0,IF(Inputs!$G$169="",1,Inputs!$G$169),INDEX(sc_ach,3))</f>
        <v>1</v>
      </c>
      <c r="X3895" s="52">
        <f>IF(Inputs!$C$169="",0,IF(Inputs!$E$169="planned",(Inputs!$D$169+N(INDEX(sc_dpts,3)))*$W3895,Inputs!$D$169))</f>
        <v>0</v>
      </c>
      <c r="Y3895" s="53">
        <f>IF(Inputs!$C$169="",0,IF(1+$X3895&gt;0,LN(1+$X3895),0))</f>
        <v>0</v>
      </c>
      <c r="Z3895" s="55">
        <f t="shared" si="1433"/>
        <v>0</v>
      </c>
      <c r="AA3895" s="55">
        <f>IF($U3895="",0,COUNTIFS(rl_key,Inputs!$J$169,$V$3806:$V$4045,$V3895,$U$3806:$U$4045,"&lt;"&amp;$U3895))</f>
        <v>0</v>
      </c>
      <c r="AB3895" s="55">
        <f>IF($U3895="",0,COUNTIFS(Inputs!$J$80:$J$169,Inputs!$J$169,$V$3806:$V3895,$V3895,$U$3806:$U3895,$U3895))</f>
        <v>0</v>
      </c>
      <c r="AC3895" s="55">
        <f t="shared" si="1434"/>
        <v>0</v>
      </c>
      <c r="AE3895" s="54" t="str">
        <f>IF(Inputs!$C$169="","",IF(Inputs!$E$169="planned",EDATE(Inputs!$C$169,N(INDEX(sc_shift,4))),Inputs!$C$169))</f>
        <v/>
      </c>
      <c r="AF3895" s="54" t="str">
        <f t="shared" si="1435"/>
        <v/>
      </c>
      <c r="AG3895" s="52">
        <f>IF(N(INDEX(sc_ach,4))=0,IF(Inputs!$G$169="",1,Inputs!$G$169),INDEX(sc_ach,4))</f>
        <v>1</v>
      </c>
      <c r="AH3895" s="52">
        <f>IF(Inputs!$C$169="",0,IF(Inputs!$E$169="planned",(Inputs!$D$169+N(INDEX(sc_dpts,4)))*$AG3895,Inputs!$D$169))</f>
        <v>0</v>
      </c>
      <c r="AI3895" s="53">
        <f>IF(Inputs!$C$169="",0,IF(1+$AH3895&gt;0,LN(1+$AH3895),0))</f>
        <v>0</v>
      </c>
      <c r="AJ3895" s="55">
        <f t="shared" si="1436"/>
        <v>0</v>
      </c>
      <c r="AK3895" s="55">
        <f>IF($AE3895="",0,COUNTIFS(rl_key,Inputs!$J$169,$AF$3806:$AF$4045,$AF3895,$AE$3806:$AE$4045,"&lt;"&amp;$AE3895))</f>
        <v>0</v>
      </c>
      <c r="AL3895" s="55">
        <f>IF($AE3895="",0,COUNTIFS(Inputs!$J$80:$J$169,Inputs!$J$169,$AF$3806:$AF3895,$AF3895,$AE$3806:$AE3895,$AE3895))</f>
        <v>0</v>
      </c>
      <c r="AM3895" s="55">
        <f t="shared" si="1437"/>
        <v>0</v>
      </c>
    </row>
    <row r="3896" spans="1:39" x14ac:dyDescent="0.25">
      <c r="A3896" s="54" t="str">
        <f>IF(Inputs!$C$170="","",IF(Inputs!$E$170="planned",EDATE(Inputs!$C$170,N(INDEX(sc_shift,1))),Inputs!$C$170))</f>
        <v/>
      </c>
      <c r="B3896" s="54" t="str">
        <f t="shared" si="1426"/>
        <v/>
      </c>
      <c r="C3896" s="52">
        <f>IF(N(INDEX(sc_ach,1))=0,IF(Inputs!$G$170="",1,Inputs!$G$170),INDEX(sc_ach,1))</f>
        <v>1</v>
      </c>
      <c r="D3896" s="52">
        <f>IF(Inputs!$C$170="",0,IF(Inputs!$E$170="planned",(Inputs!$D$170+N(INDEX(sc_dpts,1)))*$C3896,Inputs!$D$170))</f>
        <v>0</v>
      </c>
      <c r="E3896" s="53">
        <f>IF(Inputs!$C$170="",0,IF(1+$D3896&gt;0,LN(1+$D3896),0))</f>
        <v>0</v>
      </c>
      <c r="F3896" s="55">
        <f t="shared" si="1427"/>
        <v>0</v>
      </c>
      <c r="G3896" s="55">
        <f>IF($A3896="",0,COUNTIFS(rl_key,Inputs!$J$170,$B$3806:$B$4045,$B3896,$A$3806:$A$4045,"&lt;"&amp;$A3896))</f>
        <v>0</v>
      </c>
      <c r="H3896" s="55">
        <f>IF($A3896="",0,COUNTIFS(Inputs!$J$80:$J$170,Inputs!$J$170,$B$3806:$B3896,$B3896,$A$3806:$A3896,$A3896))</f>
        <v>0</v>
      </c>
      <c r="I3896" s="55">
        <f t="shared" si="1428"/>
        <v>0</v>
      </c>
      <c r="K3896" s="54" t="str">
        <f>IF(Inputs!$C$170="","",IF(Inputs!$E$170="planned",EDATE(Inputs!$C$170,N(INDEX(sc_shift,2))),Inputs!$C$170))</f>
        <v/>
      </c>
      <c r="L3896" s="54" t="str">
        <f t="shared" si="1429"/>
        <v/>
      </c>
      <c r="M3896" s="52">
        <f>IF(N(INDEX(sc_ach,2))=0,IF(Inputs!$G$170="",1,Inputs!$G$170),INDEX(sc_ach,2))</f>
        <v>1</v>
      </c>
      <c r="N3896" s="52">
        <f>IF(Inputs!$C$170="",0,IF(Inputs!$E$170="planned",(Inputs!$D$170+N(INDEX(sc_dpts,2)))*$M3896,Inputs!$D$170))</f>
        <v>0</v>
      </c>
      <c r="O3896" s="53">
        <f>IF(Inputs!$C$170="",0,IF(1+$N3896&gt;0,LN(1+$N3896),0))</f>
        <v>0</v>
      </c>
      <c r="P3896" s="55">
        <f t="shared" si="1430"/>
        <v>0</v>
      </c>
      <c r="Q3896" s="55">
        <f>IF($K3896="",0,COUNTIFS(rl_key,Inputs!$J$170,$L$3806:$L$4045,$L3896,$K$3806:$K$4045,"&lt;"&amp;$K3896))</f>
        <v>0</v>
      </c>
      <c r="R3896" s="55">
        <f>IF($K3896="",0,COUNTIFS(Inputs!$J$80:$J$170,Inputs!$J$170,$L$3806:$L3896,$L3896,$K$3806:$K3896,$K3896))</f>
        <v>0</v>
      </c>
      <c r="S3896" s="55">
        <f t="shared" si="1431"/>
        <v>0</v>
      </c>
      <c r="U3896" s="54" t="str">
        <f>IF(Inputs!$C$170="","",IF(Inputs!$E$170="planned",EDATE(Inputs!$C$170,N(INDEX(sc_shift,3))),Inputs!$C$170))</f>
        <v/>
      </c>
      <c r="V3896" s="54" t="str">
        <f t="shared" si="1432"/>
        <v/>
      </c>
      <c r="W3896" s="52">
        <f>IF(N(INDEX(sc_ach,3))=0,IF(Inputs!$G$170="",1,Inputs!$G$170),INDEX(sc_ach,3))</f>
        <v>1</v>
      </c>
      <c r="X3896" s="52">
        <f>IF(Inputs!$C$170="",0,IF(Inputs!$E$170="planned",(Inputs!$D$170+N(INDEX(sc_dpts,3)))*$W3896,Inputs!$D$170))</f>
        <v>0</v>
      </c>
      <c r="Y3896" s="53">
        <f>IF(Inputs!$C$170="",0,IF(1+$X3896&gt;0,LN(1+$X3896),0))</f>
        <v>0</v>
      </c>
      <c r="Z3896" s="55">
        <f t="shared" si="1433"/>
        <v>0</v>
      </c>
      <c r="AA3896" s="55">
        <f>IF($U3896="",0,COUNTIFS(rl_key,Inputs!$J$170,$V$3806:$V$4045,$V3896,$U$3806:$U$4045,"&lt;"&amp;$U3896))</f>
        <v>0</v>
      </c>
      <c r="AB3896" s="55">
        <f>IF($U3896="",0,COUNTIFS(Inputs!$J$80:$J$170,Inputs!$J$170,$V$3806:$V3896,$V3896,$U$3806:$U3896,$U3896))</f>
        <v>0</v>
      </c>
      <c r="AC3896" s="55">
        <f t="shared" si="1434"/>
        <v>0</v>
      </c>
      <c r="AE3896" s="54" t="str">
        <f>IF(Inputs!$C$170="","",IF(Inputs!$E$170="planned",EDATE(Inputs!$C$170,N(INDEX(sc_shift,4))),Inputs!$C$170))</f>
        <v/>
      </c>
      <c r="AF3896" s="54" t="str">
        <f t="shared" si="1435"/>
        <v/>
      </c>
      <c r="AG3896" s="52">
        <f>IF(N(INDEX(sc_ach,4))=0,IF(Inputs!$G$170="",1,Inputs!$G$170),INDEX(sc_ach,4))</f>
        <v>1</v>
      </c>
      <c r="AH3896" s="52">
        <f>IF(Inputs!$C$170="",0,IF(Inputs!$E$170="planned",(Inputs!$D$170+N(INDEX(sc_dpts,4)))*$AG3896,Inputs!$D$170))</f>
        <v>0</v>
      </c>
      <c r="AI3896" s="53">
        <f>IF(Inputs!$C$170="",0,IF(1+$AH3896&gt;0,LN(1+$AH3896),0))</f>
        <v>0</v>
      </c>
      <c r="AJ3896" s="55">
        <f t="shared" si="1436"/>
        <v>0</v>
      </c>
      <c r="AK3896" s="55">
        <f>IF($AE3896="",0,COUNTIFS(rl_key,Inputs!$J$170,$AF$3806:$AF$4045,$AF3896,$AE$3806:$AE$4045,"&lt;"&amp;$AE3896))</f>
        <v>0</v>
      </c>
      <c r="AL3896" s="55">
        <f>IF($AE3896="",0,COUNTIFS(Inputs!$J$80:$J$170,Inputs!$J$170,$AF$3806:$AF3896,$AF3896,$AE$3806:$AE3896,$AE3896))</f>
        <v>0</v>
      </c>
      <c r="AM3896" s="55">
        <f t="shared" si="1437"/>
        <v>0</v>
      </c>
    </row>
    <row r="3897" spans="1:39" x14ac:dyDescent="0.25">
      <c r="A3897" s="54" t="str">
        <f>IF(Inputs!$C$171="","",IF(Inputs!$E$171="planned",EDATE(Inputs!$C$171,N(INDEX(sc_shift,1))),Inputs!$C$171))</f>
        <v/>
      </c>
      <c r="B3897" s="54" t="str">
        <f t="shared" si="1426"/>
        <v/>
      </c>
      <c r="C3897" s="52">
        <f>IF(N(INDEX(sc_ach,1))=0,IF(Inputs!$G$171="",1,Inputs!$G$171),INDEX(sc_ach,1))</f>
        <v>1</v>
      </c>
      <c r="D3897" s="52">
        <f>IF(Inputs!$C$171="",0,IF(Inputs!$E$171="planned",(Inputs!$D$171+N(INDEX(sc_dpts,1)))*$C3897,Inputs!$D$171))</f>
        <v>0</v>
      </c>
      <c r="E3897" s="53">
        <f>IF(Inputs!$C$171="",0,IF(1+$D3897&gt;0,LN(1+$D3897),0))</f>
        <v>0</v>
      </c>
      <c r="F3897" s="55">
        <f t="shared" si="1427"/>
        <v>0</v>
      </c>
      <c r="G3897" s="55">
        <f>IF($A3897="",0,COUNTIFS(rl_key,Inputs!$J$171,$B$3806:$B$4045,$B3897,$A$3806:$A$4045,"&lt;"&amp;$A3897))</f>
        <v>0</v>
      </c>
      <c r="H3897" s="55">
        <f>IF($A3897="",0,COUNTIFS(Inputs!$J$80:$J$171,Inputs!$J$171,$B$3806:$B3897,$B3897,$A$3806:$A3897,$A3897))</f>
        <v>0</v>
      </c>
      <c r="I3897" s="55">
        <f t="shared" si="1428"/>
        <v>0</v>
      </c>
      <c r="K3897" s="54" t="str">
        <f>IF(Inputs!$C$171="","",IF(Inputs!$E$171="planned",EDATE(Inputs!$C$171,N(INDEX(sc_shift,2))),Inputs!$C$171))</f>
        <v/>
      </c>
      <c r="L3897" s="54" t="str">
        <f t="shared" si="1429"/>
        <v/>
      </c>
      <c r="M3897" s="52">
        <f>IF(N(INDEX(sc_ach,2))=0,IF(Inputs!$G$171="",1,Inputs!$G$171),INDEX(sc_ach,2))</f>
        <v>1</v>
      </c>
      <c r="N3897" s="52">
        <f>IF(Inputs!$C$171="",0,IF(Inputs!$E$171="planned",(Inputs!$D$171+N(INDEX(sc_dpts,2)))*$M3897,Inputs!$D$171))</f>
        <v>0</v>
      </c>
      <c r="O3897" s="53">
        <f>IF(Inputs!$C$171="",0,IF(1+$N3897&gt;0,LN(1+$N3897),0))</f>
        <v>0</v>
      </c>
      <c r="P3897" s="55">
        <f t="shared" si="1430"/>
        <v>0</v>
      </c>
      <c r="Q3897" s="55">
        <f>IF($K3897="",0,COUNTIFS(rl_key,Inputs!$J$171,$L$3806:$L$4045,$L3897,$K$3806:$K$4045,"&lt;"&amp;$K3897))</f>
        <v>0</v>
      </c>
      <c r="R3897" s="55">
        <f>IF($K3897="",0,COUNTIFS(Inputs!$J$80:$J$171,Inputs!$J$171,$L$3806:$L3897,$L3897,$K$3806:$K3897,$K3897))</f>
        <v>0</v>
      </c>
      <c r="S3897" s="55">
        <f t="shared" si="1431"/>
        <v>0</v>
      </c>
      <c r="U3897" s="54" t="str">
        <f>IF(Inputs!$C$171="","",IF(Inputs!$E$171="planned",EDATE(Inputs!$C$171,N(INDEX(sc_shift,3))),Inputs!$C$171))</f>
        <v/>
      </c>
      <c r="V3897" s="54" t="str">
        <f t="shared" si="1432"/>
        <v/>
      </c>
      <c r="W3897" s="52">
        <f>IF(N(INDEX(sc_ach,3))=0,IF(Inputs!$G$171="",1,Inputs!$G$171),INDEX(sc_ach,3))</f>
        <v>1</v>
      </c>
      <c r="X3897" s="52">
        <f>IF(Inputs!$C$171="",0,IF(Inputs!$E$171="planned",(Inputs!$D$171+N(INDEX(sc_dpts,3)))*$W3897,Inputs!$D$171))</f>
        <v>0</v>
      </c>
      <c r="Y3897" s="53">
        <f>IF(Inputs!$C$171="",0,IF(1+$X3897&gt;0,LN(1+$X3897),0))</f>
        <v>0</v>
      </c>
      <c r="Z3897" s="55">
        <f t="shared" si="1433"/>
        <v>0</v>
      </c>
      <c r="AA3897" s="55">
        <f>IF($U3897="",0,COUNTIFS(rl_key,Inputs!$J$171,$V$3806:$V$4045,$V3897,$U$3806:$U$4045,"&lt;"&amp;$U3897))</f>
        <v>0</v>
      </c>
      <c r="AB3897" s="55">
        <f>IF($U3897="",0,COUNTIFS(Inputs!$J$80:$J$171,Inputs!$J$171,$V$3806:$V3897,$V3897,$U$3806:$U3897,$U3897))</f>
        <v>0</v>
      </c>
      <c r="AC3897" s="55">
        <f t="shared" si="1434"/>
        <v>0</v>
      </c>
      <c r="AE3897" s="54" t="str">
        <f>IF(Inputs!$C$171="","",IF(Inputs!$E$171="planned",EDATE(Inputs!$C$171,N(INDEX(sc_shift,4))),Inputs!$C$171))</f>
        <v/>
      </c>
      <c r="AF3897" s="54" t="str">
        <f t="shared" si="1435"/>
        <v/>
      </c>
      <c r="AG3897" s="52">
        <f>IF(N(INDEX(sc_ach,4))=0,IF(Inputs!$G$171="",1,Inputs!$G$171),INDEX(sc_ach,4))</f>
        <v>1</v>
      </c>
      <c r="AH3897" s="52">
        <f>IF(Inputs!$C$171="",0,IF(Inputs!$E$171="planned",(Inputs!$D$171+N(INDEX(sc_dpts,4)))*$AG3897,Inputs!$D$171))</f>
        <v>0</v>
      </c>
      <c r="AI3897" s="53">
        <f>IF(Inputs!$C$171="",0,IF(1+$AH3897&gt;0,LN(1+$AH3897),0))</f>
        <v>0</v>
      </c>
      <c r="AJ3897" s="55">
        <f t="shared" si="1436"/>
        <v>0</v>
      </c>
      <c r="AK3897" s="55">
        <f>IF($AE3897="",0,COUNTIFS(rl_key,Inputs!$J$171,$AF$3806:$AF$4045,$AF3897,$AE$3806:$AE$4045,"&lt;"&amp;$AE3897))</f>
        <v>0</v>
      </c>
      <c r="AL3897" s="55">
        <f>IF($AE3897="",0,COUNTIFS(Inputs!$J$80:$J$171,Inputs!$J$171,$AF$3806:$AF3897,$AF3897,$AE$3806:$AE3897,$AE3897))</f>
        <v>0</v>
      </c>
      <c r="AM3897" s="55">
        <f t="shared" si="1437"/>
        <v>0</v>
      </c>
    </row>
    <row r="3898" spans="1:39" x14ac:dyDescent="0.25">
      <c r="A3898" s="54" t="str">
        <f>IF(Inputs!$C$172="","",IF(Inputs!$E$172="planned",EDATE(Inputs!$C$172,N(INDEX(sc_shift,1))),Inputs!$C$172))</f>
        <v/>
      </c>
      <c r="B3898" s="54" t="str">
        <f t="shared" si="1426"/>
        <v/>
      </c>
      <c r="C3898" s="52">
        <f>IF(N(INDEX(sc_ach,1))=0,IF(Inputs!$G$172="",1,Inputs!$G$172),INDEX(sc_ach,1))</f>
        <v>1</v>
      </c>
      <c r="D3898" s="52">
        <f>IF(Inputs!$C$172="",0,IF(Inputs!$E$172="planned",(Inputs!$D$172+N(INDEX(sc_dpts,1)))*$C3898,Inputs!$D$172))</f>
        <v>0</v>
      </c>
      <c r="E3898" s="53">
        <f>IF(Inputs!$C$172="",0,IF(1+$D3898&gt;0,LN(1+$D3898),0))</f>
        <v>0</v>
      </c>
      <c r="F3898" s="55">
        <f t="shared" si="1427"/>
        <v>0</v>
      </c>
      <c r="G3898" s="55">
        <f>IF($A3898="",0,COUNTIFS(rl_key,Inputs!$J$172,$B$3806:$B$4045,$B3898,$A$3806:$A$4045,"&lt;"&amp;$A3898))</f>
        <v>0</v>
      </c>
      <c r="H3898" s="55">
        <f>IF($A3898="",0,COUNTIFS(Inputs!$J$80:$J$172,Inputs!$J$172,$B$3806:$B3898,$B3898,$A$3806:$A3898,$A3898))</f>
        <v>0</v>
      </c>
      <c r="I3898" s="55">
        <f t="shared" si="1428"/>
        <v>0</v>
      </c>
      <c r="K3898" s="54" t="str">
        <f>IF(Inputs!$C$172="","",IF(Inputs!$E$172="planned",EDATE(Inputs!$C$172,N(INDEX(sc_shift,2))),Inputs!$C$172))</f>
        <v/>
      </c>
      <c r="L3898" s="54" t="str">
        <f t="shared" si="1429"/>
        <v/>
      </c>
      <c r="M3898" s="52">
        <f>IF(N(INDEX(sc_ach,2))=0,IF(Inputs!$G$172="",1,Inputs!$G$172),INDEX(sc_ach,2))</f>
        <v>1</v>
      </c>
      <c r="N3898" s="52">
        <f>IF(Inputs!$C$172="",0,IF(Inputs!$E$172="planned",(Inputs!$D$172+N(INDEX(sc_dpts,2)))*$M3898,Inputs!$D$172))</f>
        <v>0</v>
      </c>
      <c r="O3898" s="53">
        <f>IF(Inputs!$C$172="",0,IF(1+$N3898&gt;0,LN(1+$N3898),0))</f>
        <v>0</v>
      </c>
      <c r="P3898" s="55">
        <f t="shared" si="1430"/>
        <v>0</v>
      </c>
      <c r="Q3898" s="55">
        <f>IF($K3898="",0,COUNTIFS(rl_key,Inputs!$J$172,$L$3806:$L$4045,$L3898,$K$3806:$K$4045,"&lt;"&amp;$K3898))</f>
        <v>0</v>
      </c>
      <c r="R3898" s="55">
        <f>IF($K3898="",0,COUNTIFS(Inputs!$J$80:$J$172,Inputs!$J$172,$L$3806:$L3898,$L3898,$K$3806:$K3898,$K3898))</f>
        <v>0</v>
      </c>
      <c r="S3898" s="55">
        <f t="shared" si="1431"/>
        <v>0</v>
      </c>
      <c r="U3898" s="54" t="str">
        <f>IF(Inputs!$C$172="","",IF(Inputs!$E$172="planned",EDATE(Inputs!$C$172,N(INDEX(sc_shift,3))),Inputs!$C$172))</f>
        <v/>
      </c>
      <c r="V3898" s="54" t="str">
        <f t="shared" si="1432"/>
        <v/>
      </c>
      <c r="W3898" s="52">
        <f>IF(N(INDEX(sc_ach,3))=0,IF(Inputs!$G$172="",1,Inputs!$G$172),INDEX(sc_ach,3))</f>
        <v>1</v>
      </c>
      <c r="X3898" s="52">
        <f>IF(Inputs!$C$172="",0,IF(Inputs!$E$172="planned",(Inputs!$D$172+N(INDEX(sc_dpts,3)))*$W3898,Inputs!$D$172))</f>
        <v>0</v>
      </c>
      <c r="Y3898" s="53">
        <f>IF(Inputs!$C$172="",0,IF(1+$X3898&gt;0,LN(1+$X3898),0))</f>
        <v>0</v>
      </c>
      <c r="Z3898" s="55">
        <f t="shared" si="1433"/>
        <v>0</v>
      </c>
      <c r="AA3898" s="55">
        <f>IF($U3898="",0,COUNTIFS(rl_key,Inputs!$J$172,$V$3806:$V$4045,$V3898,$U$3806:$U$4045,"&lt;"&amp;$U3898))</f>
        <v>0</v>
      </c>
      <c r="AB3898" s="55">
        <f>IF($U3898="",0,COUNTIFS(Inputs!$J$80:$J$172,Inputs!$J$172,$V$3806:$V3898,$V3898,$U$3806:$U3898,$U3898))</f>
        <v>0</v>
      </c>
      <c r="AC3898" s="55">
        <f t="shared" si="1434"/>
        <v>0</v>
      </c>
      <c r="AE3898" s="54" t="str">
        <f>IF(Inputs!$C$172="","",IF(Inputs!$E$172="planned",EDATE(Inputs!$C$172,N(INDEX(sc_shift,4))),Inputs!$C$172))</f>
        <v/>
      </c>
      <c r="AF3898" s="54" t="str">
        <f t="shared" si="1435"/>
        <v/>
      </c>
      <c r="AG3898" s="52">
        <f>IF(N(INDEX(sc_ach,4))=0,IF(Inputs!$G$172="",1,Inputs!$G$172),INDEX(sc_ach,4))</f>
        <v>1</v>
      </c>
      <c r="AH3898" s="52">
        <f>IF(Inputs!$C$172="",0,IF(Inputs!$E$172="planned",(Inputs!$D$172+N(INDEX(sc_dpts,4)))*$AG3898,Inputs!$D$172))</f>
        <v>0</v>
      </c>
      <c r="AI3898" s="53">
        <f>IF(Inputs!$C$172="",0,IF(1+$AH3898&gt;0,LN(1+$AH3898),0))</f>
        <v>0</v>
      </c>
      <c r="AJ3898" s="55">
        <f t="shared" si="1436"/>
        <v>0</v>
      </c>
      <c r="AK3898" s="55">
        <f>IF($AE3898="",0,COUNTIFS(rl_key,Inputs!$J$172,$AF$3806:$AF$4045,$AF3898,$AE$3806:$AE$4045,"&lt;"&amp;$AE3898))</f>
        <v>0</v>
      </c>
      <c r="AL3898" s="55">
        <f>IF($AE3898="",0,COUNTIFS(Inputs!$J$80:$J$172,Inputs!$J$172,$AF$3806:$AF3898,$AF3898,$AE$3806:$AE3898,$AE3898))</f>
        <v>0</v>
      </c>
      <c r="AM3898" s="55">
        <f t="shared" si="1437"/>
        <v>0</v>
      </c>
    </row>
    <row r="3899" spans="1:39" x14ac:dyDescent="0.25">
      <c r="A3899" s="54" t="str">
        <f>IF(Inputs!$C$173="","",IF(Inputs!$E$173="planned",EDATE(Inputs!$C$173,N(INDEX(sc_shift,1))),Inputs!$C$173))</f>
        <v/>
      </c>
      <c r="B3899" s="54" t="str">
        <f t="shared" si="1426"/>
        <v/>
      </c>
      <c r="C3899" s="52">
        <f>IF(N(INDEX(sc_ach,1))=0,IF(Inputs!$G$173="",1,Inputs!$G$173),INDEX(sc_ach,1))</f>
        <v>1</v>
      </c>
      <c r="D3899" s="52">
        <f>IF(Inputs!$C$173="",0,IF(Inputs!$E$173="planned",(Inputs!$D$173+N(INDEX(sc_dpts,1)))*$C3899,Inputs!$D$173))</f>
        <v>0</v>
      </c>
      <c r="E3899" s="53">
        <f>IF(Inputs!$C$173="",0,IF(1+$D3899&gt;0,LN(1+$D3899),0))</f>
        <v>0</v>
      </c>
      <c r="F3899" s="55">
        <f t="shared" si="1427"/>
        <v>0</v>
      </c>
      <c r="G3899" s="55">
        <f>IF($A3899="",0,COUNTIFS(rl_key,Inputs!$J$173,$B$3806:$B$4045,$B3899,$A$3806:$A$4045,"&lt;"&amp;$A3899))</f>
        <v>0</v>
      </c>
      <c r="H3899" s="55">
        <f>IF($A3899="",0,COUNTIFS(Inputs!$J$80:$J$173,Inputs!$J$173,$B$3806:$B3899,$B3899,$A$3806:$A3899,$A3899))</f>
        <v>0</v>
      </c>
      <c r="I3899" s="55">
        <f t="shared" si="1428"/>
        <v>0</v>
      </c>
      <c r="K3899" s="54" t="str">
        <f>IF(Inputs!$C$173="","",IF(Inputs!$E$173="planned",EDATE(Inputs!$C$173,N(INDEX(sc_shift,2))),Inputs!$C$173))</f>
        <v/>
      </c>
      <c r="L3899" s="54" t="str">
        <f t="shared" si="1429"/>
        <v/>
      </c>
      <c r="M3899" s="52">
        <f>IF(N(INDEX(sc_ach,2))=0,IF(Inputs!$G$173="",1,Inputs!$G$173),INDEX(sc_ach,2))</f>
        <v>1</v>
      </c>
      <c r="N3899" s="52">
        <f>IF(Inputs!$C$173="",0,IF(Inputs!$E$173="planned",(Inputs!$D$173+N(INDEX(sc_dpts,2)))*$M3899,Inputs!$D$173))</f>
        <v>0</v>
      </c>
      <c r="O3899" s="53">
        <f>IF(Inputs!$C$173="",0,IF(1+$N3899&gt;0,LN(1+$N3899),0))</f>
        <v>0</v>
      </c>
      <c r="P3899" s="55">
        <f t="shared" si="1430"/>
        <v>0</v>
      </c>
      <c r="Q3899" s="55">
        <f>IF($K3899="",0,COUNTIFS(rl_key,Inputs!$J$173,$L$3806:$L$4045,$L3899,$K$3806:$K$4045,"&lt;"&amp;$K3899))</f>
        <v>0</v>
      </c>
      <c r="R3899" s="55">
        <f>IF($K3899="",0,COUNTIFS(Inputs!$J$80:$J$173,Inputs!$J$173,$L$3806:$L3899,$L3899,$K$3806:$K3899,$K3899))</f>
        <v>0</v>
      </c>
      <c r="S3899" s="55">
        <f t="shared" si="1431"/>
        <v>0</v>
      </c>
      <c r="U3899" s="54" t="str">
        <f>IF(Inputs!$C$173="","",IF(Inputs!$E$173="planned",EDATE(Inputs!$C$173,N(INDEX(sc_shift,3))),Inputs!$C$173))</f>
        <v/>
      </c>
      <c r="V3899" s="54" t="str">
        <f t="shared" si="1432"/>
        <v/>
      </c>
      <c r="W3899" s="52">
        <f>IF(N(INDEX(sc_ach,3))=0,IF(Inputs!$G$173="",1,Inputs!$G$173),INDEX(sc_ach,3))</f>
        <v>1</v>
      </c>
      <c r="X3899" s="52">
        <f>IF(Inputs!$C$173="",0,IF(Inputs!$E$173="planned",(Inputs!$D$173+N(INDEX(sc_dpts,3)))*$W3899,Inputs!$D$173))</f>
        <v>0</v>
      </c>
      <c r="Y3899" s="53">
        <f>IF(Inputs!$C$173="",0,IF(1+$X3899&gt;0,LN(1+$X3899),0))</f>
        <v>0</v>
      </c>
      <c r="Z3899" s="55">
        <f t="shared" si="1433"/>
        <v>0</v>
      </c>
      <c r="AA3899" s="55">
        <f>IF($U3899="",0,COUNTIFS(rl_key,Inputs!$J$173,$V$3806:$V$4045,$V3899,$U$3806:$U$4045,"&lt;"&amp;$U3899))</f>
        <v>0</v>
      </c>
      <c r="AB3899" s="55">
        <f>IF($U3899="",0,COUNTIFS(Inputs!$J$80:$J$173,Inputs!$J$173,$V$3806:$V3899,$V3899,$U$3806:$U3899,$U3899))</f>
        <v>0</v>
      </c>
      <c r="AC3899" s="55">
        <f t="shared" si="1434"/>
        <v>0</v>
      </c>
      <c r="AE3899" s="54" t="str">
        <f>IF(Inputs!$C$173="","",IF(Inputs!$E$173="planned",EDATE(Inputs!$C$173,N(INDEX(sc_shift,4))),Inputs!$C$173))</f>
        <v/>
      </c>
      <c r="AF3899" s="54" t="str">
        <f t="shared" si="1435"/>
        <v/>
      </c>
      <c r="AG3899" s="52">
        <f>IF(N(INDEX(sc_ach,4))=0,IF(Inputs!$G$173="",1,Inputs!$G$173),INDEX(sc_ach,4))</f>
        <v>1</v>
      </c>
      <c r="AH3899" s="52">
        <f>IF(Inputs!$C$173="",0,IF(Inputs!$E$173="planned",(Inputs!$D$173+N(INDEX(sc_dpts,4)))*$AG3899,Inputs!$D$173))</f>
        <v>0</v>
      </c>
      <c r="AI3899" s="53">
        <f>IF(Inputs!$C$173="",0,IF(1+$AH3899&gt;0,LN(1+$AH3899),0))</f>
        <v>0</v>
      </c>
      <c r="AJ3899" s="55">
        <f t="shared" si="1436"/>
        <v>0</v>
      </c>
      <c r="AK3899" s="55">
        <f>IF($AE3899="",0,COUNTIFS(rl_key,Inputs!$J$173,$AF$3806:$AF$4045,$AF3899,$AE$3806:$AE$4045,"&lt;"&amp;$AE3899))</f>
        <v>0</v>
      </c>
      <c r="AL3899" s="55">
        <f>IF($AE3899="",0,COUNTIFS(Inputs!$J$80:$J$173,Inputs!$J$173,$AF$3806:$AF3899,$AF3899,$AE$3806:$AE3899,$AE3899))</f>
        <v>0</v>
      </c>
      <c r="AM3899" s="55">
        <f t="shared" si="1437"/>
        <v>0</v>
      </c>
    </row>
    <row r="3900" spans="1:39" x14ac:dyDescent="0.25">
      <c r="A3900" s="54" t="str">
        <f>IF(Inputs!$C$174="","",IF(Inputs!$E$174="planned",EDATE(Inputs!$C$174,N(INDEX(sc_shift,1))),Inputs!$C$174))</f>
        <v/>
      </c>
      <c r="B3900" s="54" t="str">
        <f t="shared" si="1426"/>
        <v/>
      </c>
      <c r="C3900" s="52">
        <f>IF(N(INDEX(sc_ach,1))=0,IF(Inputs!$G$174="",1,Inputs!$G$174),INDEX(sc_ach,1))</f>
        <v>1</v>
      </c>
      <c r="D3900" s="52">
        <f>IF(Inputs!$C$174="",0,IF(Inputs!$E$174="planned",(Inputs!$D$174+N(INDEX(sc_dpts,1)))*$C3900,Inputs!$D$174))</f>
        <v>0</v>
      </c>
      <c r="E3900" s="53">
        <f>IF(Inputs!$C$174="",0,IF(1+$D3900&gt;0,LN(1+$D3900),0))</f>
        <v>0</v>
      </c>
      <c r="F3900" s="55">
        <f t="shared" si="1427"/>
        <v>0</v>
      </c>
      <c r="G3900" s="55">
        <f>IF($A3900="",0,COUNTIFS(rl_key,Inputs!$J$174,$B$3806:$B$4045,$B3900,$A$3806:$A$4045,"&lt;"&amp;$A3900))</f>
        <v>0</v>
      </c>
      <c r="H3900" s="55">
        <f>IF($A3900="",0,COUNTIFS(Inputs!$J$80:$J$174,Inputs!$J$174,$B$3806:$B3900,$B3900,$A$3806:$A3900,$A3900))</f>
        <v>0</v>
      </c>
      <c r="I3900" s="55">
        <f t="shared" si="1428"/>
        <v>0</v>
      </c>
      <c r="K3900" s="54" t="str">
        <f>IF(Inputs!$C$174="","",IF(Inputs!$E$174="planned",EDATE(Inputs!$C$174,N(INDEX(sc_shift,2))),Inputs!$C$174))</f>
        <v/>
      </c>
      <c r="L3900" s="54" t="str">
        <f t="shared" si="1429"/>
        <v/>
      </c>
      <c r="M3900" s="52">
        <f>IF(N(INDEX(sc_ach,2))=0,IF(Inputs!$G$174="",1,Inputs!$G$174),INDEX(sc_ach,2))</f>
        <v>1</v>
      </c>
      <c r="N3900" s="52">
        <f>IF(Inputs!$C$174="",0,IF(Inputs!$E$174="planned",(Inputs!$D$174+N(INDEX(sc_dpts,2)))*$M3900,Inputs!$D$174))</f>
        <v>0</v>
      </c>
      <c r="O3900" s="53">
        <f>IF(Inputs!$C$174="",0,IF(1+$N3900&gt;0,LN(1+$N3900),0))</f>
        <v>0</v>
      </c>
      <c r="P3900" s="55">
        <f t="shared" si="1430"/>
        <v>0</v>
      </c>
      <c r="Q3900" s="55">
        <f>IF($K3900="",0,COUNTIFS(rl_key,Inputs!$J$174,$L$3806:$L$4045,$L3900,$K$3806:$K$4045,"&lt;"&amp;$K3900))</f>
        <v>0</v>
      </c>
      <c r="R3900" s="55">
        <f>IF($K3900="",0,COUNTIFS(Inputs!$J$80:$J$174,Inputs!$J$174,$L$3806:$L3900,$L3900,$K$3806:$K3900,$K3900))</f>
        <v>0</v>
      </c>
      <c r="S3900" s="55">
        <f t="shared" si="1431"/>
        <v>0</v>
      </c>
      <c r="U3900" s="54" t="str">
        <f>IF(Inputs!$C$174="","",IF(Inputs!$E$174="planned",EDATE(Inputs!$C$174,N(INDEX(sc_shift,3))),Inputs!$C$174))</f>
        <v/>
      </c>
      <c r="V3900" s="54" t="str">
        <f t="shared" si="1432"/>
        <v/>
      </c>
      <c r="W3900" s="52">
        <f>IF(N(INDEX(sc_ach,3))=0,IF(Inputs!$G$174="",1,Inputs!$G$174),INDEX(sc_ach,3))</f>
        <v>1</v>
      </c>
      <c r="X3900" s="52">
        <f>IF(Inputs!$C$174="",0,IF(Inputs!$E$174="planned",(Inputs!$D$174+N(INDEX(sc_dpts,3)))*$W3900,Inputs!$D$174))</f>
        <v>0</v>
      </c>
      <c r="Y3900" s="53">
        <f>IF(Inputs!$C$174="",0,IF(1+$X3900&gt;0,LN(1+$X3900),0))</f>
        <v>0</v>
      </c>
      <c r="Z3900" s="55">
        <f t="shared" si="1433"/>
        <v>0</v>
      </c>
      <c r="AA3900" s="55">
        <f>IF($U3900="",0,COUNTIFS(rl_key,Inputs!$J$174,$V$3806:$V$4045,$V3900,$U$3806:$U$4045,"&lt;"&amp;$U3900))</f>
        <v>0</v>
      </c>
      <c r="AB3900" s="55">
        <f>IF($U3900="",0,COUNTIFS(Inputs!$J$80:$J$174,Inputs!$J$174,$V$3806:$V3900,$V3900,$U$3806:$U3900,$U3900))</f>
        <v>0</v>
      </c>
      <c r="AC3900" s="55">
        <f t="shared" si="1434"/>
        <v>0</v>
      </c>
      <c r="AE3900" s="54" t="str">
        <f>IF(Inputs!$C$174="","",IF(Inputs!$E$174="planned",EDATE(Inputs!$C$174,N(INDEX(sc_shift,4))),Inputs!$C$174))</f>
        <v/>
      </c>
      <c r="AF3900" s="54" t="str">
        <f t="shared" si="1435"/>
        <v/>
      </c>
      <c r="AG3900" s="52">
        <f>IF(N(INDEX(sc_ach,4))=0,IF(Inputs!$G$174="",1,Inputs!$G$174),INDEX(sc_ach,4))</f>
        <v>1</v>
      </c>
      <c r="AH3900" s="52">
        <f>IF(Inputs!$C$174="",0,IF(Inputs!$E$174="planned",(Inputs!$D$174+N(INDEX(sc_dpts,4)))*$AG3900,Inputs!$D$174))</f>
        <v>0</v>
      </c>
      <c r="AI3900" s="53">
        <f>IF(Inputs!$C$174="",0,IF(1+$AH3900&gt;0,LN(1+$AH3900),0))</f>
        <v>0</v>
      </c>
      <c r="AJ3900" s="55">
        <f t="shared" si="1436"/>
        <v>0</v>
      </c>
      <c r="AK3900" s="55">
        <f>IF($AE3900="",0,COUNTIFS(rl_key,Inputs!$J$174,$AF$3806:$AF$4045,$AF3900,$AE$3806:$AE$4045,"&lt;"&amp;$AE3900))</f>
        <v>0</v>
      </c>
      <c r="AL3900" s="55">
        <f>IF($AE3900="",0,COUNTIFS(Inputs!$J$80:$J$174,Inputs!$J$174,$AF$3806:$AF3900,$AF3900,$AE$3806:$AE3900,$AE3900))</f>
        <v>0</v>
      </c>
      <c r="AM3900" s="55">
        <f t="shared" si="1437"/>
        <v>0</v>
      </c>
    </row>
    <row r="3901" spans="1:39" x14ac:dyDescent="0.25">
      <c r="A3901" s="54" t="str">
        <f>IF(Inputs!$C$175="","",IF(Inputs!$E$175="planned",EDATE(Inputs!$C$175,N(INDEX(sc_shift,1))),Inputs!$C$175))</f>
        <v/>
      </c>
      <c r="B3901" s="54" t="str">
        <f t="shared" si="1426"/>
        <v/>
      </c>
      <c r="C3901" s="52">
        <f>IF(N(INDEX(sc_ach,1))=0,IF(Inputs!$G$175="",1,Inputs!$G$175),INDEX(sc_ach,1))</f>
        <v>1</v>
      </c>
      <c r="D3901" s="52">
        <f>IF(Inputs!$C$175="",0,IF(Inputs!$E$175="planned",(Inputs!$D$175+N(INDEX(sc_dpts,1)))*$C3901,Inputs!$D$175))</f>
        <v>0</v>
      </c>
      <c r="E3901" s="53">
        <f>IF(Inputs!$C$175="",0,IF(1+$D3901&gt;0,LN(1+$D3901),0))</f>
        <v>0</v>
      </c>
      <c r="F3901" s="55">
        <f t="shared" si="1427"/>
        <v>0</v>
      </c>
      <c r="G3901" s="55">
        <f>IF($A3901="",0,COUNTIFS(rl_key,Inputs!$J$175,$B$3806:$B$4045,$B3901,$A$3806:$A$4045,"&lt;"&amp;$A3901))</f>
        <v>0</v>
      </c>
      <c r="H3901" s="55">
        <f>IF($A3901="",0,COUNTIFS(Inputs!$J$80:$J$175,Inputs!$J$175,$B$3806:$B3901,$B3901,$A$3806:$A3901,$A3901))</f>
        <v>0</v>
      </c>
      <c r="I3901" s="55">
        <f t="shared" si="1428"/>
        <v>0</v>
      </c>
      <c r="K3901" s="54" t="str">
        <f>IF(Inputs!$C$175="","",IF(Inputs!$E$175="planned",EDATE(Inputs!$C$175,N(INDEX(sc_shift,2))),Inputs!$C$175))</f>
        <v/>
      </c>
      <c r="L3901" s="54" t="str">
        <f t="shared" si="1429"/>
        <v/>
      </c>
      <c r="M3901" s="52">
        <f>IF(N(INDEX(sc_ach,2))=0,IF(Inputs!$G$175="",1,Inputs!$G$175),INDEX(sc_ach,2))</f>
        <v>1</v>
      </c>
      <c r="N3901" s="52">
        <f>IF(Inputs!$C$175="",0,IF(Inputs!$E$175="planned",(Inputs!$D$175+N(INDEX(sc_dpts,2)))*$M3901,Inputs!$D$175))</f>
        <v>0</v>
      </c>
      <c r="O3901" s="53">
        <f>IF(Inputs!$C$175="",0,IF(1+$N3901&gt;0,LN(1+$N3901),0))</f>
        <v>0</v>
      </c>
      <c r="P3901" s="55">
        <f t="shared" si="1430"/>
        <v>0</v>
      </c>
      <c r="Q3901" s="55">
        <f>IF($K3901="",0,COUNTIFS(rl_key,Inputs!$J$175,$L$3806:$L$4045,$L3901,$K$3806:$K$4045,"&lt;"&amp;$K3901))</f>
        <v>0</v>
      </c>
      <c r="R3901" s="55">
        <f>IF($K3901="",0,COUNTIFS(Inputs!$J$80:$J$175,Inputs!$J$175,$L$3806:$L3901,$L3901,$K$3806:$K3901,$K3901))</f>
        <v>0</v>
      </c>
      <c r="S3901" s="55">
        <f t="shared" si="1431"/>
        <v>0</v>
      </c>
      <c r="U3901" s="54" t="str">
        <f>IF(Inputs!$C$175="","",IF(Inputs!$E$175="planned",EDATE(Inputs!$C$175,N(INDEX(sc_shift,3))),Inputs!$C$175))</f>
        <v/>
      </c>
      <c r="V3901" s="54" t="str">
        <f t="shared" si="1432"/>
        <v/>
      </c>
      <c r="W3901" s="52">
        <f>IF(N(INDEX(sc_ach,3))=0,IF(Inputs!$G$175="",1,Inputs!$G$175),INDEX(sc_ach,3))</f>
        <v>1</v>
      </c>
      <c r="X3901" s="52">
        <f>IF(Inputs!$C$175="",0,IF(Inputs!$E$175="planned",(Inputs!$D$175+N(INDEX(sc_dpts,3)))*$W3901,Inputs!$D$175))</f>
        <v>0</v>
      </c>
      <c r="Y3901" s="53">
        <f>IF(Inputs!$C$175="",0,IF(1+$X3901&gt;0,LN(1+$X3901),0))</f>
        <v>0</v>
      </c>
      <c r="Z3901" s="55">
        <f t="shared" si="1433"/>
        <v>0</v>
      </c>
      <c r="AA3901" s="55">
        <f>IF($U3901="",0,COUNTIFS(rl_key,Inputs!$J$175,$V$3806:$V$4045,$V3901,$U$3806:$U$4045,"&lt;"&amp;$U3901))</f>
        <v>0</v>
      </c>
      <c r="AB3901" s="55">
        <f>IF($U3901="",0,COUNTIFS(Inputs!$J$80:$J$175,Inputs!$J$175,$V$3806:$V3901,$V3901,$U$3806:$U3901,$U3901))</f>
        <v>0</v>
      </c>
      <c r="AC3901" s="55">
        <f t="shared" si="1434"/>
        <v>0</v>
      </c>
      <c r="AE3901" s="54" t="str">
        <f>IF(Inputs!$C$175="","",IF(Inputs!$E$175="planned",EDATE(Inputs!$C$175,N(INDEX(sc_shift,4))),Inputs!$C$175))</f>
        <v/>
      </c>
      <c r="AF3901" s="54" t="str">
        <f t="shared" si="1435"/>
        <v/>
      </c>
      <c r="AG3901" s="52">
        <f>IF(N(INDEX(sc_ach,4))=0,IF(Inputs!$G$175="",1,Inputs!$G$175),INDEX(sc_ach,4))</f>
        <v>1</v>
      </c>
      <c r="AH3901" s="52">
        <f>IF(Inputs!$C$175="",0,IF(Inputs!$E$175="planned",(Inputs!$D$175+N(INDEX(sc_dpts,4)))*$AG3901,Inputs!$D$175))</f>
        <v>0</v>
      </c>
      <c r="AI3901" s="53">
        <f>IF(Inputs!$C$175="",0,IF(1+$AH3901&gt;0,LN(1+$AH3901),0))</f>
        <v>0</v>
      </c>
      <c r="AJ3901" s="55">
        <f t="shared" si="1436"/>
        <v>0</v>
      </c>
      <c r="AK3901" s="55">
        <f>IF($AE3901="",0,COUNTIFS(rl_key,Inputs!$J$175,$AF$3806:$AF$4045,$AF3901,$AE$3806:$AE$4045,"&lt;"&amp;$AE3901))</f>
        <v>0</v>
      </c>
      <c r="AL3901" s="55">
        <f>IF($AE3901="",0,COUNTIFS(Inputs!$J$80:$J$175,Inputs!$J$175,$AF$3806:$AF3901,$AF3901,$AE$3806:$AE3901,$AE3901))</f>
        <v>0</v>
      </c>
      <c r="AM3901" s="55">
        <f t="shared" si="1437"/>
        <v>0</v>
      </c>
    </row>
    <row r="3902" spans="1:39" x14ac:dyDescent="0.25">
      <c r="A3902" s="54" t="str">
        <f>IF(Inputs!$C$176="","",IF(Inputs!$E$176="planned",EDATE(Inputs!$C$176,N(INDEX(sc_shift,1))),Inputs!$C$176))</f>
        <v/>
      </c>
      <c r="B3902" s="54" t="str">
        <f t="shared" si="1426"/>
        <v/>
      </c>
      <c r="C3902" s="52">
        <f>IF(N(INDEX(sc_ach,1))=0,IF(Inputs!$G$176="",1,Inputs!$G$176),INDEX(sc_ach,1))</f>
        <v>1</v>
      </c>
      <c r="D3902" s="52">
        <f>IF(Inputs!$C$176="",0,IF(Inputs!$E$176="planned",(Inputs!$D$176+N(INDEX(sc_dpts,1)))*$C3902,Inputs!$D$176))</f>
        <v>0</v>
      </c>
      <c r="E3902" s="53">
        <f>IF(Inputs!$C$176="",0,IF(1+$D3902&gt;0,LN(1+$D3902),0))</f>
        <v>0</v>
      </c>
      <c r="F3902" s="55">
        <f t="shared" si="1427"/>
        <v>0</v>
      </c>
      <c r="G3902" s="55">
        <f>IF($A3902="",0,COUNTIFS(rl_key,Inputs!$J$176,$B$3806:$B$4045,$B3902,$A$3806:$A$4045,"&lt;"&amp;$A3902))</f>
        <v>0</v>
      </c>
      <c r="H3902" s="55">
        <f>IF($A3902="",0,COUNTIFS(Inputs!$J$80:$J$176,Inputs!$J$176,$B$3806:$B3902,$B3902,$A$3806:$A3902,$A3902))</f>
        <v>0</v>
      </c>
      <c r="I3902" s="55">
        <f t="shared" si="1428"/>
        <v>0</v>
      </c>
      <c r="K3902" s="54" t="str">
        <f>IF(Inputs!$C$176="","",IF(Inputs!$E$176="planned",EDATE(Inputs!$C$176,N(INDEX(sc_shift,2))),Inputs!$C$176))</f>
        <v/>
      </c>
      <c r="L3902" s="54" t="str">
        <f t="shared" si="1429"/>
        <v/>
      </c>
      <c r="M3902" s="52">
        <f>IF(N(INDEX(sc_ach,2))=0,IF(Inputs!$G$176="",1,Inputs!$G$176),INDEX(sc_ach,2))</f>
        <v>1</v>
      </c>
      <c r="N3902" s="52">
        <f>IF(Inputs!$C$176="",0,IF(Inputs!$E$176="planned",(Inputs!$D$176+N(INDEX(sc_dpts,2)))*$M3902,Inputs!$D$176))</f>
        <v>0</v>
      </c>
      <c r="O3902" s="53">
        <f>IF(Inputs!$C$176="",0,IF(1+$N3902&gt;0,LN(1+$N3902),0))</f>
        <v>0</v>
      </c>
      <c r="P3902" s="55">
        <f t="shared" si="1430"/>
        <v>0</v>
      </c>
      <c r="Q3902" s="55">
        <f>IF($K3902="",0,COUNTIFS(rl_key,Inputs!$J$176,$L$3806:$L$4045,$L3902,$K$3806:$K$4045,"&lt;"&amp;$K3902))</f>
        <v>0</v>
      </c>
      <c r="R3902" s="55">
        <f>IF($K3902="",0,COUNTIFS(Inputs!$J$80:$J$176,Inputs!$J$176,$L$3806:$L3902,$L3902,$K$3806:$K3902,$K3902))</f>
        <v>0</v>
      </c>
      <c r="S3902" s="55">
        <f t="shared" si="1431"/>
        <v>0</v>
      </c>
      <c r="U3902" s="54" t="str">
        <f>IF(Inputs!$C$176="","",IF(Inputs!$E$176="planned",EDATE(Inputs!$C$176,N(INDEX(sc_shift,3))),Inputs!$C$176))</f>
        <v/>
      </c>
      <c r="V3902" s="54" t="str">
        <f t="shared" si="1432"/>
        <v/>
      </c>
      <c r="W3902" s="52">
        <f>IF(N(INDEX(sc_ach,3))=0,IF(Inputs!$G$176="",1,Inputs!$G$176),INDEX(sc_ach,3))</f>
        <v>1</v>
      </c>
      <c r="X3902" s="52">
        <f>IF(Inputs!$C$176="",0,IF(Inputs!$E$176="planned",(Inputs!$D$176+N(INDEX(sc_dpts,3)))*$W3902,Inputs!$D$176))</f>
        <v>0</v>
      </c>
      <c r="Y3902" s="53">
        <f>IF(Inputs!$C$176="",0,IF(1+$X3902&gt;0,LN(1+$X3902),0))</f>
        <v>0</v>
      </c>
      <c r="Z3902" s="55">
        <f t="shared" si="1433"/>
        <v>0</v>
      </c>
      <c r="AA3902" s="55">
        <f>IF($U3902="",0,COUNTIFS(rl_key,Inputs!$J$176,$V$3806:$V$4045,$V3902,$U$3806:$U$4045,"&lt;"&amp;$U3902))</f>
        <v>0</v>
      </c>
      <c r="AB3902" s="55">
        <f>IF($U3902="",0,COUNTIFS(Inputs!$J$80:$J$176,Inputs!$J$176,$V$3806:$V3902,$V3902,$U$3806:$U3902,$U3902))</f>
        <v>0</v>
      </c>
      <c r="AC3902" s="55">
        <f t="shared" si="1434"/>
        <v>0</v>
      </c>
      <c r="AE3902" s="54" t="str">
        <f>IF(Inputs!$C$176="","",IF(Inputs!$E$176="planned",EDATE(Inputs!$C$176,N(INDEX(sc_shift,4))),Inputs!$C$176))</f>
        <v/>
      </c>
      <c r="AF3902" s="54" t="str">
        <f t="shared" si="1435"/>
        <v/>
      </c>
      <c r="AG3902" s="52">
        <f>IF(N(INDEX(sc_ach,4))=0,IF(Inputs!$G$176="",1,Inputs!$G$176),INDEX(sc_ach,4))</f>
        <v>1</v>
      </c>
      <c r="AH3902" s="52">
        <f>IF(Inputs!$C$176="",0,IF(Inputs!$E$176="planned",(Inputs!$D$176+N(INDEX(sc_dpts,4)))*$AG3902,Inputs!$D$176))</f>
        <v>0</v>
      </c>
      <c r="AI3902" s="53">
        <f>IF(Inputs!$C$176="",0,IF(1+$AH3902&gt;0,LN(1+$AH3902),0))</f>
        <v>0</v>
      </c>
      <c r="AJ3902" s="55">
        <f t="shared" si="1436"/>
        <v>0</v>
      </c>
      <c r="AK3902" s="55">
        <f>IF($AE3902="",0,COUNTIFS(rl_key,Inputs!$J$176,$AF$3806:$AF$4045,$AF3902,$AE$3806:$AE$4045,"&lt;"&amp;$AE3902))</f>
        <v>0</v>
      </c>
      <c r="AL3902" s="55">
        <f>IF($AE3902="",0,COUNTIFS(Inputs!$J$80:$J$176,Inputs!$J$176,$AF$3806:$AF3902,$AF3902,$AE$3806:$AE3902,$AE3902))</f>
        <v>0</v>
      </c>
      <c r="AM3902" s="55">
        <f t="shared" si="1437"/>
        <v>0</v>
      </c>
    </row>
    <row r="3903" spans="1:39" x14ac:dyDescent="0.25">
      <c r="A3903" s="54" t="str">
        <f>IF(Inputs!$C$177="","",IF(Inputs!$E$177="planned",EDATE(Inputs!$C$177,N(INDEX(sc_shift,1))),Inputs!$C$177))</f>
        <v/>
      </c>
      <c r="B3903" s="54" t="str">
        <f t="shared" si="1426"/>
        <v/>
      </c>
      <c r="C3903" s="52">
        <f>IF(N(INDEX(sc_ach,1))=0,IF(Inputs!$G$177="",1,Inputs!$G$177),INDEX(sc_ach,1))</f>
        <v>1</v>
      </c>
      <c r="D3903" s="52">
        <f>IF(Inputs!$C$177="",0,IF(Inputs!$E$177="planned",(Inputs!$D$177+N(INDEX(sc_dpts,1)))*$C3903,Inputs!$D$177))</f>
        <v>0</v>
      </c>
      <c r="E3903" s="53">
        <f>IF(Inputs!$C$177="",0,IF(1+$D3903&gt;0,LN(1+$D3903),0))</f>
        <v>0</v>
      </c>
      <c r="F3903" s="55">
        <f t="shared" si="1427"/>
        <v>0</v>
      </c>
      <c r="G3903" s="55">
        <f>IF($A3903="",0,COUNTIFS(rl_key,Inputs!$J$177,$B$3806:$B$4045,$B3903,$A$3806:$A$4045,"&lt;"&amp;$A3903))</f>
        <v>0</v>
      </c>
      <c r="H3903" s="55">
        <f>IF($A3903="",0,COUNTIFS(Inputs!$J$80:$J$177,Inputs!$J$177,$B$3806:$B3903,$B3903,$A$3806:$A3903,$A3903))</f>
        <v>0</v>
      </c>
      <c r="I3903" s="55">
        <f t="shared" si="1428"/>
        <v>0</v>
      </c>
      <c r="K3903" s="54" t="str">
        <f>IF(Inputs!$C$177="","",IF(Inputs!$E$177="planned",EDATE(Inputs!$C$177,N(INDEX(sc_shift,2))),Inputs!$C$177))</f>
        <v/>
      </c>
      <c r="L3903" s="54" t="str">
        <f t="shared" si="1429"/>
        <v/>
      </c>
      <c r="M3903" s="52">
        <f>IF(N(INDEX(sc_ach,2))=0,IF(Inputs!$G$177="",1,Inputs!$G$177),INDEX(sc_ach,2))</f>
        <v>1</v>
      </c>
      <c r="N3903" s="52">
        <f>IF(Inputs!$C$177="",0,IF(Inputs!$E$177="planned",(Inputs!$D$177+N(INDEX(sc_dpts,2)))*$M3903,Inputs!$D$177))</f>
        <v>0</v>
      </c>
      <c r="O3903" s="53">
        <f>IF(Inputs!$C$177="",0,IF(1+$N3903&gt;0,LN(1+$N3903),0))</f>
        <v>0</v>
      </c>
      <c r="P3903" s="55">
        <f t="shared" si="1430"/>
        <v>0</v>
      </c>
      <c r="Q3903" s="55">
        <f>IF($K3903="",0,COUNTIFS(rl_key,Inputs!$J$177,$L$3806:$L$4045,$L3903,$K$3806:$K$4045,"&lt;"&amp;$K3903))</f>
        <v>0</v>
      </c>
      <c r="R3903" s="55">
        <f>IF($K3903="",0,COUNTIFS(Inputs!$J$80:$J$177,Inputs!$J$177,$L$3806:$L3903,$L3903,$K$3806:$K3903,$K3903))</f>
        <v>0</v>
      </c>
      <c r="S3903" s="55">
        <f t="shared" si="1431"/>
        <v>0</v>
      </c>
      <c r="U3903" s="54" t="str">
        <f>IF(Inputs!$C$177="","",IF(Inputs!$E$177="planned",EDATE(Inputs!$C$177,N(INDEX(sc_shift,3))),Inputs!$C$177))</f>
        <v/>
      </c>
      <c r="V3903" s="54" t="str">
        <f t="shared" si="1432"/>
        <v/>
      </c>
      <c r="W3903" s="52">
        <f>IF(N(INDEX(sc_ach,3))=0,IF(Inputs!$G$177="",1,Inputs!$G$177),INDEX(sc_ach,3))</f>
        <v>1</v>
      </c>
      <c r="X3903" s="52">
        <f>IF(Inputs!$C$177="",0,IF(Inputs!$E$177="planned",(Inputs!$D$177+N(INDEX(sc_dpts,3)))*$W3903,Inputs!$D$177))</f>
        <v>0</v>
      </c>
      <c r="Y3903" s="53">
        <f>IF(Inputs!$C$177="",0,IF(1+$X3903&gt;0,LN(1+$X3903),0))</f>
        <v>0</v>
      </c>
      <c r="Z3903" s="55">
        <f t="shared" si="1433"/>
        <v>0</v>
      </c>
      <c r="AA3903" s="55">
        <f>IF($U3903="",0,COUNTIFS(rl_key,Inputs!$J$177,$V$3806:$V$4045,$V3903,$U$3806:$U$4045,"&lt;"&amp;$U3903))</f>
        <v>0</v>
      </c>
      <c r="AB3903" s="55">
        <f>IF($U3903="",0,COUNTIFS(Inputs!$J$80:$J$177,Inputs!$J$177,$V$3806:$V3903,$V3903,$U$3806:$U3903,$U3903))</f>
        <v>0</v>
      </c>
      <c r="AC3903" s="55">
        <f t="shared" si="1434"/>
        <v>0</v>
      </c>
      <c r="AE3903" s="54" t="str">
        <f>IF(Inputs!$C$177="","",IF(Inputs!$E$177="planned",EDATE(Inputs!$C$177,N(INDEX(sc_shift,4))),Inputs!$C$177))</f>
        <v/>
      </c>
      <c r="AF3903" s="54" t="str">
        <f t="shared" si="1435"/>
        <v/>
      </c>
      <c r="AG3903" s="52">
        <f>IF(N(INDEX(sc_ach,4))=0,IF(Inputs!$G$177="",1,Inputs!$G$177),INDEX(sc_ach,4))</f>
        <v>1</v>
      </c>
      <c r="AH3903" s="52">
        <f>IF(Inputs!$C$177="",0,IF(Inputs!$E$177="planned",(Inputs!$D$177+N(INDEX(sc_dpts,4)))*$AG3903,Inputs!$D$177))</f>
        <v>0</v>
      </c>
      <c r="AI3903" s="53">
        <f>IF(Inputs!$C$177="",0,IF(1+$AH3903&gt;0,LN(1+$AH3903),0))</f>
        <v>0</v>
      </c>
      <c r="AJ3903" s="55">
        <f t="shared" si="1436"/>
        <v>0</v>
      </c>
      <c r="AK3903" s="55">
        <f>IF($AE3903="",0,COUNTIFS(rl_key,Inputs!$J$177,$AF$3806:$AF$4045,$AF3903,$AE$3806:$AE$4045,"&lt;"&amp;$AE3903))</f>
        <v>0</v>
      </c>
      <c r="AL3903" s="55">
        <f>IF($AE3903="",0,COUNTIFS(Inputs!$J$80:$J$177,Inputs!$J$177,$AF$3806:$AF3903,$AF3903,$AE$3806:$AE3903,$AE3903))</f>
        <v>0</v>
      </c>
      <c r="AM3903" s="55">
        <f t="shared" si="1437"/>
        <v>0</v>
      </c>
    </row>
    <row r="3904" spans="1:39" x14ac:dyDescent="0.25">
      <c r="A3904" s="54" t="str">
        <f>IF(Inputs!$C$178="","",IF(Inputs!$E$178="planned",EDATE(Inputs!$C$178,N(INDEX(sc_shift,1))),Inputs!$C$178))</f>
        <v/>
      </c>
      <c r="B3904" s="54" t="str">
        <f t="shared" si="1426"/>
        <v/>
      </c>
      <c r="C3904" s="52">
        <f>IF(N(INDEX(sc_ach,1))=0,IF(Inputs!$G$178="",1,Inputs!$G$178),INDEX(sc_ach,1))</f>
        <v>1</v>
      </c>
      <c r="D3904" s="52">
        <f>IF(Inputs!$C$178="",0,IF(Inputs!$E$178="planned",(Inputs!$D$178+N(INDEX(sc_dpts,1)))*$C3904,Inputs!$D$178))</f>
        <v>0</v>
      </c>
      <c r="E3904" s="53">
        <f>IF(Inputs!$C$178="",0,IF(1+$D3904&gt;0,LN(1+$D3904),0))</f>
        <v>0</v>
      </c>
      <c r="F3904" s="55">
        <f t="shared" si="1427"/>
        <v>0</v>
      </c>
      <c r="G3904" s="55">
        <f>IF($A3904="",0,COUNTIFS(rl_key,Inputs!$J$178,$B$3806:$B$4045,$B3904,$A$3806:$A$4045,"&lt;"&amp;$A3904))</f>
        <v>0</v>
      </c>
      <c r="H3904" s="55">
        <f>IF($A3904="",0,COUNTIFS(Inputs!$J$80:$J$178,Inputs!$J$178,$B$3806:$B3904,$B3904,$A$3806:$A3904,$A3904))</f>
        <v>0</v>
      </c>
      <c r="I3904" s="55">
        <f t="shared" si="1428"/>
        <v>0</v>
      </c>
      <c r="K3904" s="54" t="str">
        <f>IF(Inputs!$C$178="","",IF(Inputs!$E$178="planned",EDATE(Inputs!$C$178,N(INDEX(sc_shift,2))),Inputs!$C$178))</f>
        <v/>
      </c>
      <c r="L3904" s="54" t="str">
        <f t="shared" si="1429"/>
        <v/>
      </c>
      <c r="M3904" s="52">
        <f>IF(N(INDEX(sc_ach,2))=0,IF(Inputs!$G$178="",1,Inputs!$G$178),INDEX(sc_ach,2))</f>
        <v>1</v>
      </c>
      <c r="N3904" s="52">
        <f>IF(Inputs!$C$178="",0,IF(Inputs!$E$178="planned",(Inputs!$D$178+N(INDEX(sc_dpts,2)))*$M3904,Inputs!$D$178))</f>
        <v>0</v>
      </c>
      <c r="O3904" s="53">
        <f>IF(Inputs!$C$178="",0,IF(1+$N3904&gt;0,LN(1+$N3904),0))</f>
        <v>0</v>
      </c>
      <c r="P3904" s="55">
        <f t="shared" si="1430"/>
        <v>0</v>
      </c>
      <c r="Q3904" s="55">
        <f>IF($K3904="",0,COUNTIFS(rl_key,Inputs!$J$178,$L$3806:$L$4045,$L3904,$K$3806:$K$4045,"&lt;"&amp;$K3904))</f>
        <v>0</v>
      </c>
      <c r="R3904" s="55">
        <f>IF($K3904="",0,COUNTIFS(Inputs!$J$80:$J$178,Inputs!$J$178,$L$3806:$L3904,$L3904,$K$3806:$K3904,$K3904))</f>
        <v>0</v>
      </c>
      <c r="S3904" s="55">
        <f t="shared" si="1431"/>
        <v>0</v>
      </c>
      <c r="U3904" s="54" t="str">
        <f>IF(Inputs!$C$178="","",IF(Inputs!$E$178="planned",EDATE(Inputs!$C$178,N(INDEX(sc_shift,3))),Inputs!$C$178))</f>
        <v/>
      </c>
      <c r="V3904" s="54" t="str">
        <f t="shared" si="1432"/>
        <v/>
      </c>
      <c r="W3904" s="52">
        <f>IF(N(INDEX(sc_ach,3))=0,IF(Inputs!$G$178="",1,Inputs!$G$178),INDEX(sc_ach,3))</f>
        <v>1</v>
      </c>
      <c r="X3904" s="52">
        <f>IF(Inputs!$C$178="",0,IF(Inputs!$E$178="planned",(Inputs!$D$178+N(INDEX(sc_dpts,3)))*$W3904,Inputs!$D$178))</f>
        <v>0</v>
      </c>
      <c r="Y3904" s="53">
        <f>IF(Inputs!$C$178="",0,IF(1+$X3904&gt;0,LN(1+$X3904),0))</f>
        <v>0</v>
      </c>
      <c r="Z3904" s="55">
        <f t="shared" si="1433"/>
        <v>0</v>
      </c>
      <c r="AA3904" s="55">
        <f>IF($U3904="",0,COUNTIFS(rl_key,Inputs!$J$178,$V$3806:$V$4045,$V3904,$U$3806:$U$4045,"&lt;"&amp;$U3904))</f>
        <v>0</v>
      </c>
      <c r="AB3904" s="55">
        <f>IF($U3904="",0,COUNTIFS(Inputs!$J$80:$J$178,Inputs!$J$178,$V$3806:$V3904,$V3904,$U$3806:$U3904,$U3904))</f>
        <v>0</v>
      </c>
      <c r="AC3904" s="55">
        <f t="shared" si="1434"/>
        <v>0</v>
      </c>
      <c r="AE3904" s="54" t="str">
        <f>IF(Inputs!$C$178="","",IF(Inputs!$E$178="planned",EDATE(Inputs!$C$178,N(INDEX(sc_shift,4))),Inputs!$C$178))</f>
        <v/>
      </c>
      <c r="AF3904" s="54" t="str">
        <f t="shared" si="1435"/>
        <v/>
      </c>
      <c r="AG3904" s="52">
        <f>IF(N(INDEX(sc_ach,4))=0,IF(Inputs!$G$178="",1,Inputs!$G$178),INDEX(sc_ach,4))</f>
        <v>1</v>
      </c>
      <c r="AH3904" s="52">
        <f>IF(Inputs!$C$178="",0,IF(Inputs!$E$178="planned",(Inputs!$D$178+N(INDEX(sc_dpts,4)))*$AG3904,Inputs!$D$178))</f>
        <v>0</v>
      </c>
      <c r="AI3904" s="53">
        <f>IF(Inputs!$C$178="",0,IF(1+$AH3904&gt;0,LN(1+$AH3904),0))</f>
        <v>0</v>
      </c>
      <c r="AJ3904" s="55">
        <f t="shared" si="1436"/>
        <v>0</v>
      </c>
      <c r="AK3904" s="55">
        <f>IF($AE3904="",0,COUNTIFS(rl_key,Inputs!$J$178,$AF$3806:$AF$4045,$AF3904,$AE$3806:$AE$4045,"&lt;"&amp;$AE3904))</f>
        <v>0</v>
      </c>
      <c r="AL3904" s="55">
        <f>IF($AE3904="",0,COUNTIFS(Inputs!$J$80:$J$178,Inputs!$J$178,$AF$3806:$AF3904,$AF3904,$AE$3806:$AE3904,$AE3904))</f>
        <v>0</v>
      </c>
      <c r="AM3904" s="55">
        <f t="shared" si="1437"/>
        <v>0</v>
      </c>
    </row>
    <row r="3905" spans="1:39" x14ac:dyDescent="0.25">
      <c r="A3905" s="54" t="str">
        <f>IF(Inputs!$C$179="","",IF(Inputs!$E$179="planned",EDATE(Inputs!$C$179,N(INDEX(sc_shift,1))),Inputs!$C$179))</f>
        <v/>
      </c>
      <c r="B3905" s="54" t="str">
        <f t="shared" si="1426"/>
        <v/>
      </c>
      <c r="C3905" s="52">
        <f>IF(N(INDEX(sc_ach,1))=0,IF(Inputs!$G$179="",1,Inputs!$G$179),INDEX(sc_ach,1))</f>
        <v>1</v>
      </c>
      <c r="D3905" s="52">
        <f>IF(Inputs!$C$179="",0,IF(Inputs!$E$179="planned",(Inputs!$D$179+N(INDEX(sc_dpts,1)))*$C3905,Inputs!$D$179))</f>
        <v>0</v>
      </c>
      <c r="E3905" s="53">
        <f>IF(Inputs!$C$179="",0,IF(1+$D3905&gt;0,LN(1+$D3905),0))</f>
        <v>0</v>
      </c>
      <c r="F3905" s="55">
        <f t="shared" si="1427"/>
        <v>0</v>
      </c>
      <c r="G3905" s="55">
        <f>IF($A3905="",0,COUNTIFS(rl_key,Inputs!$J$179,$B$3806:$B$4045,$B3905,$A$3806:$A$4045,"&lt;"&amp;$A3905))</f>
        <v>0</v>
      </c>
      <c r="H3905" s="55">
        <f>IF($A3905="",0,COUNTIFS(Inputs!$J$80:$J$179,Inputs!$J$179,$B$3806:$B3905,$B3905,$A$3806:$A3905,$A3905))</f>
        <v>0</v>
      </c>
      <c r="I3905" s="55">
        <f t="shared" si="1428"/>
        <v>0</v>
      </c>
      <c r="K3905" s="54" t="str">
        <f>IF(Inputs!$C$179="","",IF(Inputs!$E$179="planned",EDATE(Inputs!$C$179,N(INDEX(sc_shift,2))),Inputs!$C$179))</f>
        <v/>
      </c>
      <c r="L3905" s="54" t="str">
        <f t="shared" si="1429"/>
        <v/>
      </c>
      <c r="M3905" s="52">
        <f>IF(N(INDEX(sc_ach,2))=0,IF(Inputs!$G$179="",1,Inputs!$G$179),INDEX(sc_ach,2))</f>
        <v>1</v>
      </c>
      <c r="N3905" s="52">
        <f>IF(Inputs!$C$179="",0,IF(Inputs!$E$179="planned",(Inputs!$D$179+N(INDEX(sc_dpts,2)))*$M3905,Inputs!$D$179))</f>
        <v>0</v>
      </c>
      <c r="O3905" s="53">
        <f>IF(Inputs!$C$179="",0,IF(1+$N3905&gt;0,LN(1+$N3905),0))</f>
        <v>0</v>
      </c>
      <c r="P3905" s="55">
        <f t="shared" si="1430"/>
        <v>0</v>
      </c>
      <c r="Q3905" s="55">
        <f>IF($K3905="",0,COUNTIFS(rl_key,Inputs!$J$179,$L$3806:$L$4045,$L3905,$K$3806:$K$4045,"&lt;"&amp;$K3905))</f>
        <v>0</v>
      </c>
      <c r="R3905" s="55">
        <f>IF($K3905="",0,COUNTIFS(Inputs!$J$80:$J$179,Inputs!$J$179,$L$3806:$L3905,$L3905,$K$3806:$K3905,$K3905))</f>
        <v>0</v>
      </c>
      <c r="S3905" s="55">
        <f t="shared" si="1431"/>
        <v>0</v>
      </c>
      <c r="U3905" s="54" t="str">
        <f>IF(Inputs!$C$179="","",IF(Inputs!$E$179="planned",EDATE(Inputs!$C$179,N(INDEX(sc_shift,3))),Inputs!$C$179))</f>
        <v/>
      </c>
      <c r="V3905" s="54" t="str">
        <f t="shared" si="1432"/>
        <v/>
      </c>
      <c r="W3905" s="52">
        <f>IF(N(INDEX(sc_ach,3))=0,IF(Inputs!$G$179="",1,Inputs!$G$179),INDEX(sc_ach,3))</f>
        <v>1</v>
      </c>
      <c r="X3905" s="52">
        <f>IF(Inputs!$C$179="",0,IF(Inputs!$E$179="planned",(Inputs!$D$179+N(INDEX(sc_dpts,3)))*$W3905,Inputs!$D$179))</f>
        <v>0</v>
      </c>
      <c r="Y3905" s="53">
        <f>IF(Inputs!$C$179="",0,IF(1+$X3905&gt;0,LN(1+$X3905),0))</f>
        <v>0</v>
      </c>
      <c r="Z3905" s="55">
        <f t="shared" si="1433"/>
        <v>0</v>
      </c>
      <c r="AA3905" s="55">
        <f>IF($U3905="",0,COUNTIFS(rl_key,Inputs!$J$179,$V$3806:$V$4045,$V3905,$U$3806:$U$4045,"&lt;"&amp;$U3905))</f>
        <v>0</v>
      </c>
      <c r="AB3905" s="55">
        <f>IF($U3905="",0,COUNTIFS(Inputs!$J$80:$J$179,Inputs!$J$179,$V$3806:$V3905,$V3905,$U$3806:$U3905,$U3905))</f>
        <v>0</v>
      </c>
      <c r="AC3905" s="55">
        <f t="shared" si="1434"/>
        <v>0</v>
      </c>
      <c r="AE3905" s="54" t="str">
        <f>IF(Inputs!$C$179="","",IF(Inputs!$E$179="planned",EDATE(Inputs!$C$179,N(INDEX(sc_shift,4))),Inputs!$C$179))</f>
        <v/>
      </c>
      <c r="AF3905" s="54" t="str">
        <f t="shared" si="1435"/>
        <v/>
      </c>
      <c r="AG3905" s="52">
        <f>IF(N(INDEX(sc_ach,4))=0,IF(Inputs!$G$179="",1,Inputs!$G$179),INDEX(sc_ach,4))</f>
        <v>1</v>
      </c>
      <c r="AH3905" s="52">
        <f>IF(Inputs!$C$179="",0,IF(Inputs!$E$179="planned",(Inputs!$D$179+N(INDEX(sc_dpts,4)))*$AG3905,Inputs!$D$179))</f>
        <v>0</v>
      </c>
      <c r="AI3905" s="53">
        <f>IF(Inputs!$C$179="",0,IF(1+$AH3905&gt;0,LN(1+$AH3905),0))</f>
        <v>0</v>
      </c>
      <c r="AJ3905" s="55">
        <f t="shared" si="1436"/>
        <v>0</v>
      </c>
      <c r="AK3905" s="55">
        <f>IF($AE3905="",0,COUNTIFS(rl_key,Inputs!$J$179,$AF$3806:$AF$4045,$AF3905,$AE$3806:$AE$4045,"&lt;"&amp;$AE3905))</f>
        <v>0</v>
      </c>
      <c r="AL3905" s="55">
        <f>IF($AE3905="",0,COUNTIFS(Inputs!$J$80:$J$179,Inputs!$J$179,$AF$3806:$AF3905,$AF3905,$AE$3806:$AE3905,$AE3905))</f>
        <v>0</v>
      </c>
      <c r="AM3905" s="55">
        <f t="shared" si="1437"/>
        <v>0</v>
      </c>
    </row>
    <row r="3906" spans="1:39" x14ac:dyDescent="0.25">
      <c r="A3906" s="54" t="str">
        <f>IF(Inputs!$C$180="","",IF(Inputs!$E$180="planned",EDATE(Inputs!$C$180,N(INDEX(sc_shift,1))),Inputs!$C$180))</f>
        <v/>
      </c>
      <c r="B3906" s="54" t="str">
        <f t="shared" si="1426"/>
        <v/>
      </c>
      <c r="C3906" s="52">
        <f>IF(N(INDEX(sc_ach,1))=0,IF(Inputs!$G$180="",1,Inputs!$G$180),INDEX(sc_ach,1))</f>
        <v>1</v>
      </c>
      <c r="D3906" s="52">
        <f>IF(Inputs!$C$180="",0,IF(Inputs!$E$180="planned",(Inputs!$D$180+N(INDEX(sc_dpts,1)))*$C3906,Inputs!$D$180))</f>
        <v>0</v>
      </c>
      <c r="E3906" s="53">
        <f>IF(Inputs!$C$180="",0,IF(1+$D3906&gt;0,LN(1+$D3906),0))</f>
        <v>0</v>
      </c>
      <c r="F3906" s="55">
        <f t="shared" si="1427"/>
        <v>0</v>
      </c>
      <c r="G3906" s="55">
        <f>IF($A3906="",0,COUNTIFS(rl_key,Inputs!$J$180,$B$3806:$B$4045,$B3906,$A$3806:$A$4045,"&lt;"&amp;$A3906))</f>
        <v>0</v>
      </c>
      <c r="H3906" s="55">
        <f>IF($A3906="",0,COUNTIFS(Inputs!$J$80:$J$180,Inputs!$J$180,$B$3806:$B3906,$B3906,$A$3806:$A3906,$A3906))</f>
        <v>0</v>
      </c>
      <c r="I3906" s="55">
        <f t="shared" si="1428"/>
        <v>0</v>
      </c>
      <c r="K3906" s="54" t="str">
        <f>IF(Inputs!$C$180="","",IF(Inputs!$E$180="planned",EDATE(Inputs!$C$180,N(INDEX(sc_shift,2))),Inputs!$C$180))</f>
        <v/>
      </c>
      <c r="L3906" s="54" t="str">
        <f t="shared" si="1429"/>
        <v/>
      </c>
      <c r="M3906" s="52">
        <f>IF(N(INDEX(sc_ach,2))=0,IF(Inputs!$G$180="",1,Inputs!$G$180),INDEX(sc_ach,2))</f>
        <v>1</v>
      </c>
      <c r="N3906" s="52">
        <f>IF(Inputs!$C$180="",0,IF(Inputs!$E$180="planned",(Inputs!$D$180+N(INDEX(sc_dpts,2)))*$M3906,Inputs!$D$180))</f>
        <v>0</v>
      </c>
      <c r="O3906" s="53">
        <f>IF(Inputs!$C$180="",0,IF(1+$N3906&gt;0,LN(1+$N3906),0))</f>
        <v>0</v>
      </c>
      <c r="P3906" s="55">
        <f t="shared" si="1430"/>
        <v>0</v>
      </c>
      <c r="Q3906" s="55">
        <f>IF($K3906="",0,COUNTIFS(rl_key,Inputs!$J$180,$L$3806:$L$4045,$L3906,$K$3806:$K$4045,"&lt;"&amp;$K3906))</f>
        <v>0</v>
      </c>
      <c r="R3906" s="55">
        <f>IF($K3906="",0,COUNTIFS(Inputs!$J$80:$J$180,Inputs!$J$180,$L$3806:$L3906,$L3906,$K$3806:$K3906,$K3906))</f>
        <v>0</v>
      </c>
      <c r="S3906" s="55">
        <f t="shared" si="1431"/>
        <v>0</v>
      </c>
      <c r="U3906" s="54" t="str">
        <f>IF(Inputs!$C$180="","",IF(Inputs!$E$180="planned",EDATE(Inputs!$C$180,N(INDEX(sc_shift,3))),Inputs!$C$180))</f>
        <v/>
      </c>
      <c r="V3906" s="54" t="str">
        <f t="shared" si="1432"/>
        <v/>
      </c>
      <c r="W3906" s="52">
        <f>IF(N(INDEX(sc_ach,3))=0,IF(Inputs!$G$180="",1,Inputs!$G$180),INDEX(sc_ach,3))</f>
        <v>1</v>
      </c>
      <c r="X3906" s="52">
        <f>IF(Inputs!$C$180="",0,IF(Inputs!$E$180="planned",(Inputs!$D$180+N(INDEX(sc_dpts,3)))*$W3906,Inputs!$D$180))</f>
        <v>0</v>
      </c>
      <c r="Y3906" s="53">
        <f>IF(Inputs!$C$180="",0,IF(1+$X3906&gt;0,LN(1+$X3906),0))</f>
        <v>0</v>
      </c>
      <c r="Z3906" s="55">
        <f t="shared" si="1433"/>
        <v>0</v>
      </c>
      <c r="AA3906" s="55">
        <f>IF($U3906="",0,COUNTIFS(rl_key,Inputs!$J$180,$V$3806:$V$4045,$V3906,$U$3806:$U$4045,"&lt;"&amp;$U3906))</f>
        <v>0</v>
      </c>
      <c r="AB3906" s="55">
        <f>IF($U3906="",0,COUNTIFS(Inputs!$J$80:$J$180,Inputs!$J$180,$V$3806:$V3906,$V3906,$U$3806:$U3906,$U3906))</f>
        <v>0</v>
      </c>
      <c r="AC3906" s="55">
        <f t="shared" si="1434"/>
        <v>0</v>
      </c>
      <c r="AE3906" s="54" t="str">
        <f>IF(Inputs!$C$180="","",IF(Inputs!$E$180="planned",EDATE(Inputs!$C$180,N(INDEX(sc_shift,4))),Inputs!$C$180))</f>
        <v/>
      </c>
      <c r="AF3906" s="54" t="str">
        <f t="shared" si="1435"/>
        <v/>
      </c>
      <c r="AG3906" s="52">
        <f>IF(N(INDEX(sc_ach,4))=0,IF(Inputs!$G$180="",1,Inputs!$G$180),INDEX(sc_ach,4))</f>
        <v>1</v>
      </c>
      <c r="AH3906" s="52">
        <f>IF(Inputs!$C$180="",0,IF(Inputs!$E$180="planned",(Inputs!$D$180+N(INDEX(sc_dpts,4)))*$AG3906,Inputs!$D$180))</f>
        <v>0</v>
      </c>
      <c r="AI3906" s="53">
        <f>IF(Inputs!$C$180="",0,IF(1+$AH3906&gt;0,LN(1+$AH3906),0))</f>
        <v>0</v>
      </c>
      <c r="AJ3906" s="55">
        <f t="shared" si="1436"/>
        <v>0</v>
      </c>
      <c r="AK3906" s="55">
        <f>IF($AE3906="",0,COUNTIFS(rl_key,Inputs!$J$180,$AF$3806:$AF$4045,$AF3906,$AE$3806:$AE$4045,"&lt;"&amp;$AE3906))</f>
        <v>0</v>
      </c>
      <c r="AL3906" s="55">
        <f>IF($AE3906="",0,COUNTIFS(Inputs!$J$80:$J$180,Inputs!$J$180,$AF$3806:$AF3906,$AF3906,$AE$3806:$AE3906,$AE3906))</f>
        <v>0</v>
      </c>
      <c r="AM3906" s="55">
        <f t="shared" si="1437"/>
        <v>0</v>
      </c>
    </row>
    <row r="3907" spans="1:39" x14ac:dyDescent="0.25">
      <c r="A3907" s="54" t="str">
        <f>IF(Inputs!$C$181="","",IF(Inputs!$E$181="planned",EDATE(Inputs!$C$181,N(INDEX(sc_shift,1))),Inputs!$C$181))</f>
        <v/>
      </c>
      <c r="B3907" s="54" t="str">
        <f t="shared" si="1426"/>
        <v/>
      </c>
      <c r="C3907" s="52">
        <f>IF(N(INDEX(sc_ach,1))=0,IF(Inputs!$G$181="",1,Inputs!$G$181),INDEX(sc_ach,1))</f>
        <v>1</v>
      </c>
      <c r="D3907" s="52">
        <f>IF(Inputs!$C$181="",0,IF(Inputs!$E$181="planned",(Inputs!$D$181+N(INDEX(sc_dpts,1)))*$C3907,Inputs!$D$181))</f>
        <v>0</v>
      </c>
      <c r="E3907" s="53">
        <f>IF(Inputs!$C$181="",0,IF(1+$D3907&gt;0,LN(1+$D3907),0))</f>
        <v>0</v>
      </c>
      <c r="F3907" s="55">
        <f t="shared" si="1427"/>
        <v>0</v>
      </c>
      <c r="G3907" s="55">
        <f>IF($A3907="",0,COUNTIFS(rl_key,Inputs!$J$181,$B$3806:$B$4045,$B3907,$A$3806:$A$4045,"&lt;"&amp;$A3907))</f>
        <v>0</v>
      </c>
      <c r="H3907" s="55">
        <f>IF($A3907="",0,COUNTIFS(Inputs!$J$80:$J$181,Inputs!$J$181,$B$3806:$B3907,$B3907,$A$3806:$A3907,$A3907))</f>
        <v>0</v>
      </c>
      <c r="I3907" s="55">
        <f t="shared" si="1428"/>
        <v>0</v>
      </c>
      <c r="K3907" s="54" t="str">
        <f>IF(Inputs!$C$181="","",IF(Inputs!$E$181="planned",EDATE(Inputs!$C$181,N(INDEX(sc_shift,2))),Inputs!$C$181))</f>
        <v/>
      </c>
      <c r="L3907" s="54" t="str">
        <f t="shared" si="1429"/>
        <v/>
      </c>
      <c r="M3907" s="52">
        <f>IF(N(INDEX(sc_ach,2))=0,IF(Inputs!$G$181="",1,Inputs!$G$181),INDEX(sc_ach,2))</f>
        <v>1</v>
      </c>
      <c r="N3907" s="52">
        <f>IF(Inputs!$C$181="",0,IF(Inputs!$E$181="planned",(Inputs!$D$181+N(INDEX(sc_dpts,2)))*$M3907,Inputs!$D$181))</f>
        <v>0</v>
      </c>
      <c r="O3907" s="53">
        <f>IF(Inputs!$C$181="",0,IF(1+$N3907&gt;0,LN(1+$N3907),0))</f>
        <v>0</v>
      </c>
      <c r="P3907" s="55">
        <f t="shared" si="1430"/>
        <v>0</v>
      </c>
      <c r="Q3907" s="55">
        <f>IF($K3907="",0,COUNTIFS(rl_key,Inputs!$J$181,$L$3806:$L$4045,$L3907,$K$3806:$K$4045,"&lt;"&amp;$K3907))</f>
        <v>0</v>
      </c>
      <c r="R3907" s="55">
        <f>IF($K3907="",0,COUNTIFS(Inputs!$J$80:$J$181,Inputs!$J$181,$L$3806:$L3907,$L3907,$K$3806:$K3907,$K3907))</f>
        <v>0</v>
      </c>
      <c r="S3907" s="55">
        <f t="shared" si="1431"/>
        <v>0</v>
      </c>
      <c r="U3907" s="54" t="str">
        <f>IF(Inputs!$C$181="","",IF(Inputs!$E$181="planned",EDATE(Inputs!$C$181,N(INDEX(sc_shift,3))),Inputs!$C$181))</f>
        <v/>
      </c>
      <c r="V3907" s="54" t="str">
        <f t="shared" si="1432"/>
        <v/>
      </c>
      <c r="W3907" s="52">
        <f>IF(N(INDEX(sc_ach,3))=0,IF(Inputs!$G$181="",1,Inputs!$G$181),INDEX(sc_ach,3))</f>
        <v>1</v>
      </c>
      <c r="X3907" s="52">
        <f>IF(Inputs!$C$181="",0,IF(Inputs!$E$181="planned",(Inputs!$D$181+N(INDEX(sc_dpts,3)))*$W3907,Inputs!$D$181))</f>
        <v>0</v>
      </c>
      <c r="Y3907" s="53">
        <f>IF(Inputs!$C$181="",0,IF(1+$X3907&gt;0,LN(1+$X3907),0))</f>
        <v>0</v>
      </c>
      <c r="Z3907" s="55">
        <f t="shared" si="1433"/>
        <v>0</v>
      </c>
      <c r="AA3907" s="55">
        <f>IF($U3907="",0,COUNTIFS(rl_key,Inputs!$J$181,$V$3806:$V$4045,$V3907,$U$3806:$U$4045,"&lt;"&amp;$U3907))</f>
        <v>0</v>
      </c>
      <c r="AB3907" s="55">
        <f>IF($U3907="",0,COUNTIFS(Inputs!$J$80:$J$181,Inputs!$J$181,$V$3806:$V3907,$V3907,$U$3806:$U3907,$U3907))</f>
        <v>0</v>
      </c>
      <c r="AC3907" s="55">
        <f t="shared" si="1434"/>
        <v>0</v>
      </c>
      <c r="AE3907" s="54" t="str">
        <f>IF(Inputs!$C$181="","",IF(Inputs!$E$181="planned",EDATE(Inputs!$C$181,N(INDEX(sc_shift,4))),Inputs!$C$181))</f>
        <v/>
      </c>
      <c r="AF3907" s="54" t="str">
        <f t="shared" si="1435"/>
        <v/>
      </c>
      <c r="AG3907" s="52">
        <f>IF(N(INDEX(sc_ach,4))=0,IF(Inputs!$G$181="",1,Inputs!$G$181),INDEX(sc_ach,4))</f>
        <v>1</v>
      </c>
      <c r="AH3907" s="52">
        <f>IF(Inputs!$C$181="",0,IF(Inputs!$E$181="planned",(Inputs!$D$181+N(INDEX(sc_dpts,4)))*$AG3907,Inputs!$D$181))</f>
        <v>0</v>
      </c>
      <c r="AI3907" s="53">
        <f>IF(Inputs!$C$181="",0,IF(1+$AH3907&gt;0,LN(1+$AH3907),0))</f>
        <v>0</v>
      </c>
      <c r="AJ3907" s="55">
        <f t="shared" si="1436"/>
        <v>0</v>
      </c>
      <c r="AK3907" s="55">
        <f>IF($AE3907="",0,COUNTIFS(rl_key,Inputs!$J$181,$AF$3806:$AF$4045,$AF3907,$AE$3806:$AE$4045,"&lt;"&amp;$AE3907))</f>
        <v>0</v>
      </c>
      <c r="AL3907" s="55">
        <f>IF($AE3907="",0,COUNTIFS(Inputs!$J$80:$J$181,Inputs!$J$181,$AF$3806:$AF3907,$AF3907,$AE$3806:$AE3907,$AE3907))</f>
        <v>0</v>
      </c>
      <c r="AM3907" s="55">
        <f t="shared" si="1437"/>
        <v>0</v>
      </c>
    </row>
    <row r="3908" spans="1:39" x14ac:dyDescent="0.25">
      <c r="A3908" s="54" t="str">
        <f>IF(Inputs!$C$182="","",IF(Inputs!$E$182="planned",EDATE(Inputs!$C$182,N(INDEX(sc_shift,1))),Inputs!$C$182))</f>
        <v/>
      </c>
      <c r="B3908" s="54" t="str">
        <f t="shared" si="1426"/>
        <v/>
      </c>
      <c r="C3908" s="52">
        <f>IF(N(INDEX(sc_ach,1))=0,IF(Inputs!$G$182="",1,Inputs!$G$182),INDEX(sc_ach,1))</f>
        <v>1</v>
      </c>
      <c r="D3908" s="52">
        <f>IF(Inputs!$C$182="",0,IF(Inputs!$E$182="planned",(Inputs!$D$182+N(INDEX(sc_dpts,1)))*$C3908,Inputs!$D$182))</f>
        <v>0</v>
      </c>
      <c r="E3908" s="53">
        <f>IF(Inputs!$C$182="",0,IF(1+$D3908&gt;0,LN(1+$D3908),0))</f>
        <v>0</v>
      </c>
      <c r="F3908" s="55">
        <f t="shared" si="1427"/>
        <v>0</v>
      </c>
      <c r="G3908" s="55">
        <f>IF($A3908="",0,COUNTIFS(rl_key,Inputs!$J$182,$B$3806:$B$4045,$B3908,$A$3806:$A$4045,"&lt;"&amp;$A3908))</f>
        <v>0</v>
      </c>
      <c r="H3908" s="55">
        <f>IF($A3908="",0,COUNTIFS(Inputs!$J$80:$J$182,Inputs!$J$182,$B$3806:$B3908,$B3908,$A$3806:$A3908,$A3908))</f>
        <v>0</v>
      </c>
      <c r="I3908" s="55">
        <f t="shared" si="1428"/>
        <v>0</v>
      </c>
      <c r="K3908" s="54" t="str">
        <f>IF(Inputs!$C$182="","",IF(Inputs!$E$182="planned",EDATE(Inputs!$C$182,N(INDEX(sc_shift,2))),Inputs!$C$182))</f>
        <v/>
      </c>
      <c r="L3908" s="54" t="str">
        <f t="shared" si="1429"/>
        <v/>
      </c>
      <c r="M3908" s="52">
        <f>IF(N(INDEX(sc_ach,2))=0,IF(Inputs!$G$182="",1,Inputs!$G$182),INDEX(sc_ach,2))</f>
        <v>1</v>
      </c>
      <c r="N3908" s="52">
        <f>IF(Inputs!$C$182="",0,IF(Inputs!$E$182="planned",(Inputs!$D$182+N(INDEX(sc_dpts,2)))*$M3908,Inputs!$D$182))</f>
        <v>0</v>
      </c>
      <c r="O3908" s="53">
        <f>IF(Inputs!$C$182="",0,IF(1+$N3908&gt;0,LN(1+$N3908),0))</f>
        <v>0</v>
      </c>
      <c r="P3908" s="55">
        <f t="shared" si="1430"/>
        <v>0</v>
      </c>
      <c r="Q3908" s="55">
        <f>IF($K3908="",0,COUNTIFS(rl_key,Inputs!$J$182,$L$3806:$L$4045,$L3908,$K$3806:$K$4045,"&lt;"&amp;$K3908))</f>
        <v>0</v>
      </c>
      <c r="R3908" s="55">
        <f>IF($K3908="",0,COUNTIFS(Inputs!$J$80:$J$182,Inputs!$J$182,$L$3806:$L3908,$L3908,$K$3806:$K3908,$K3908))</f>
        <v>0</v>
      </c>
      <c r="S3908" s="55">
        <f t="shared" si="1431"/>
        <v>0</v>
      </c>
      <c r="U3908" s="54" t="str">
        <f>IF(Inputs!$C$182="","",IF(Inputs!$E$182="planned",EDATE(Inputs!$C$182,N(INDEX(sc_shift,3))),Inputs!$C$182))</f>
        <v/>
      </c>
      <c r="V3908" s="54" t="str">
        <f t="shared" si="1432"/>
        <v/>
      </c>
      <c r="W3908" s="52">
        <f>IF(N(INDEX(sc_ach,3))=0,IF(Inputs!$G$182="",1,Inputs!$G$182),INDEX(sc_ach,3))</f>
        <v>1</v>
      </c>
      <c r="X3908" s="52">
        <f>IF(Inputs!$C$182="",0,IF(Inputs!$E$182="planned",(Inputs!$D$182+N(INDEX(sc_dpts,3)))*$W3908,Inputs!$D$182))</f>
        <v>0</v>
      </c>
      <c r="Y3908" s="53">
        <f>IF(Inputs!$C$182="",0,IF(1+$X3908&gt;0,LN(1+$X3908),0))</f>
        <v>0</v>
      </c>
      <c r="Z3908" s="55">
        <f t="shared" si="1433"/>
        <v>0</v>
      </c>
      <c r="AA3908" s="55">
        <f>IF($U3908="",0,COUNTIFS(rl_key,Inputs!$J$182,$V$3806:$V$4045,$V3908,$U$3806:$U$4045,"&lt;"&amp;$U3908))</f>
        <v>0</v>
      </c>
      <c r="AB3908" s="55">
        <f>IF($U3908="",0,COUNTIFS(Inputs!$J$80:$J$182,Inputs!$J$182,$V$3806:$V3908,$V3908,$U$3806:$U3908,$U3908))</f>
        <v>0</v>
      </c>
      <c r="AC3908" s="55">
        <f t="shared" si="1434"/>
        <v>0</v>
      </c>
      <c r="AE3908" s="54" t="str">
        <f>IF(Inputs!$C$182="","",IF(Inputs!$E$182="planned",EDATE(Inputs!$C$182,N(INDEX(sc_shift,4))),Inputs!$C$182))</f>
        <v/>
      </c>
      <c r="AF3908" s="54" t="str">
        <f t="shared" si="1435"/>
        <v/>
      </c>
      <c r="AG3908" s="52">
        <f>IF(N(INDEX(sc_ach,4))=0,IF(Inputs!$G$182="",1,Inputs!$G$182),INDEX(sc_ach,4))</f>
        <v>1</v>
      </c>
      <c r="AH3908" s="52">
        <f>IF(Inputs!$C$182="",0,IF(Inputs!$E$182="planned",(Inputs!$D$182+N(INDEX(sc_dpts,4)))*$AG3908,Inputs!$D$182))</f>
        <v>0</v>
      </c>
      <c r="AI3908" s="53">
        <f>IF(Inputs!$C$182="",0,IF(1+$AH3908&gt;0,LN(1+$AH3908),0))</f>
        <v>0</v>
      </c>
      <c r="AJ3908" s="55">
        <f t="shared" si="1436"/>
        <v>0</v>
      </c>
      <c r="AK3908" s="55">
        <f>IF($AE3908="",0,COUNTIFS(rl_key,Inputs!$J$182,$AF$3806:$AF$4045,$AF3908,$AE$3806:$AE$4045,"&lt;"&amp;$AE3908))</f>
        <v>0</v>
      </c>
      <c r="AL3908" s="55">
        <f>IF($AE3908="",0,COUNTIFS(Inputs!$J$80:$J$182,Inputs!$J$182,$AF$3806:$AF3908,$AF3908,$AE$3806:$AE3908,$AE3908))</f>
        <v>0</v>
      </c>
      <c r="AM3908" s="55">
        <f t="shared" si="1437"/>
        <v>0</v>
      </c>
    </row>
    <row r="3909" spans="1:39" x14ac:dyDescent="0.25">
      <c r="A3909" s="54" t="str">
        <f>IF(Inputs!$C$183="","",IF(Inputs!$E$183="planned",EDATE(Inputs!$C$183,N(INDEX(sc_shift,1))),Inputs!$C$183))</f>
        <v/>
      </c>
      <c r="B3909" s="54" t="str">
        <f t="shared" si="1426"/>
        <v/>
      </c>
      <c r="C3909" s="52">
        <f>IF(N(INDEX(sc_ach,1))=0,IF(Inputs!$G$183="",1,Inputs!$G$183),INDEX(sc_ach,1))</f>
        <v>1</v>
      </c>
      <c r="D3909" s="52">
        <f>IF(Inputs!$C$183="",0,IF(Inputs!$E$183="planned",(Inputs!$D$183+N(INDEX(sc_dpts,1)))*$C3909,Inputs!$D$183))</f>
        <v>0</v>
      </c>
      <c r="E3909" s="53">
        <f>IF(Inputs!$C$183="",0,IF(1+$D3909&gt;0,LN(1+$D3909),0))</f>
        <v>0</v>
      </c>
      <c r="F3909" s="55">
        <f t="shared" si="1427"/>
        <v>0</v>
      </c>
      <c r="G3909" s="55">
        <f>IF($A3909="",0,COUNTIFS(rl_key,Inputs!$J$183,$B$3806:$B$4045,$B3909,$A$3806:$A$4045,"&lt;"&amp;$A3909))</f>
        <v>0</v>
      </c>
      <c r="H3909" s="55">
        <f>IF($A3909="",0,COUNTIFS(Inputs!$J$80:$J$183,Inputs!$J$183,$B$3806:$B3909,$B3909,$A$3806:$A3909,$A3909))</f>
        <v>0</v>
      </c>
      <c r="I3909" s="55">
        <f t="shared" si="1428"/>
        <v>0</v>
      </c>
      <c r="K3909" s="54" t="str">
        <f>IF(Inputs!$C$183="","",IF(Inputs!$E$183="planned",EDATE(Inputs!$C$183,N(INDEX(sc_shift,2))),Inputs!$C$183))</f>
        <v/>
      </c>
      <c r="L3909" s="54" t="str">
        <f t="shared" si="1429"/>
        <v/>
      </c>
      <c r="M3909" s="52">
        <f>IF(N(INDEX(sc_ach,2))=0,IF(Inputs!$G$183="",1,Inputs!$G$183),INDEX(sc_ach,2))</f>
        <v>1</v>
      </c>
      <c r="N3909" s="52">
        <f>IF(Inputs!$C$183="",0,IF(Inputs!$E$183="planned",(Inputs!$D$183+N(INDEX(sc_dpts,2)))*$M3909,Inputs!$D$183))</f>
        <v>0</v>
      </c>
      <c r="O3909" s="53">
        <f>IF(Inputs!$C$183="",0,IF(1+$N3909&gt;0,LN(1+$N3909),0))</f>
        <v>0</v>
      </c>
      <c r="P3909" s="55">
        <f t="shared" si="1430"/>
        <v>0</v>
      </c>
      <c r="Q3909" s="55">
        <f>IF($K3909="",0,COUNTIFS(rl_key,Inputs!$J$183,$L$3806:$L$4045,$L3909,$K$3806:$K$4045,"&lt;"&amp;$K3909))</f>
        <v>0</v>
      </c>
      <c r="R3909" s="55">
        <f>IF($K3909="",0,COUNTIFS(Inputs!$J$80:$J$183,Inputs!$J$183,$L$3806:$L3909,$L3909,$K$3806:$K3909,$K3909))</f>
        <v>0</v>
      </c>
      <c r="S3909" s="55">
        <f t="shared" si="1431"/>
        <v>0</v>
      </c>
      <c r="U3909" s="54" t="str">
        <f>IF(Inputs!$C$183="","",IF(Inputs!$E$183="planned",EDATE(Inputs!$C$183,N(INDEX(sc_shift,3))),Inputs!$C$183))</f>
        <v/>
      </c>
      <c r="V3909" s="54" t="str">
        <f t="shared" si="1432"/>
        <v/>
      </c>
      <c r="W3909" s="52">
        <f>IF(N(INDEX(sc_ach,3))=0,IF(Inputs!$G$183="",1,Inputs!$G$183),INDEX(sc_ach,3))</f>
        <v>1</v>
      </c>
      <c r="X3909" s="52">
        <f>IF(Inputs!$C$183="",0,IF(Inputs!$E$183="planned",(Inputs!$D$183+N(INDEX(sc_dpts,3)))*$W3909,Inputs!$D$183))</f>
        <v>0</v>
      </c>
      <c r="Y3909" s="53">
        <f>IF(Inputs!$C$183="",0,IF(1+$X3909&gt;0,LN(1+$X3909),0))</f>
        <v>0</v>
      </c>
      <c r="Z3909" s="55">
        <f t="shared" si="1433"/>
        <v>0</v>
      </c>
      <c r="AA3909" s="55">
        <f>IF($U3909="",0,COUNTIFS(rl_key,Inputs!$J$183,$V$3806:$V$4045,$V3909,$U$3806:$U$4045,"&lt;"&amp;$U3909))</f>
        <v>0</v>
      </c>
      <c r="AB3909" s="55">
        <f>IF($U3909="",0,COUNTIFS(Inputs!$J$80:$J$183,Inputs!$J$183,$V$3806:$V3909,$V3909,$U$3806:$U3909,$U3909))</f>
        <v>0</v>
      </c>
      <c r="AC3909" s="55">
        <f t="shared" si="1434"/>
        <v>0</v>
      </c>
      <c r="AE3909" s="54" t="str">
        <f>IF(Inputs!$C$183="","",IF(Inputs!$E$183="planned",EDATE(Inputs!$C$183,N(INDEX(sc_shift,4))),Inputs!$C$183))</f>
        <v/>
      </c>
      <c r="AF3909" s="54" t="str">
        <f t="shared" si="1435"/>
        <v/>
      </c>
      <c r="AG3909" s="52">
        <f>IF(N(INDEX(sc_ach,4))=0,IF(Inputs!$G$183="",1,Inputs!$G$183),INDEX(sc_ach,4))</f>
        <v>1</v>
      </c>
      <c r="AH3909" s="52">
        <f>IF(Inputs!$C$183="",0,IF(Inputs!$E$183="planned",(Inputs!$D$183+N(INDEX(sc_dpts,4)))*$AG3909,Inputs!$D$183))</f>
        <v>0</v>
      </c>
      <c r="AI3909" s="53">
        <f>IF(Inputs!$C$183="",0,IF(1+$AH3909&gt;0,LN(1+$AH3909),0))</f>
        <v>0</v>
      </c>
      <c r="AJ3909" s="55">
        <f t="shared" si="1436"/>
        <v>0</v>
      </c>
      <c r="AK3909" s="55">
        <f>IF($AE3909="",0,COUNTIFS(rl_key,Inputs!$J$183,$AF$3806:$AF$4045,$AF3909,$AE$3806:$AE$4045,"&lt;"&amp;$AE3909))</f>
        <v>0</v>
      </c>
      <c r="AL3909" s="55">
        <f>IF($AE3909="",0,COUNTIFS(Inputs!$J$80:$J$183,Inputs!$J$183,$AF$3806:$AF3909,$AF3909,$AE$3806:$AE3909,$AE3909))</f>
        <v>0</v>
      </c>
      <c r="AM3909" s="55">
        <f t="shared" si="1437"/>
        <v>0</v>
      </c>
    </row>
    <row r="3910" spans="1:39" x14ac:dyDescent="0.25">
      <c r="A3910" s="54" t="str">
        <f>IF(Inputs!$C$184="","",IF(Inputs!$E$184="planned",EDATE(Inputs!$C$184,N(INDEX(sc_shift,1))),Inputs!$C$184))</f>
        <v/>
      </c>
      <c r="B3910" s="54" t="str">
        <f t="shared" si="1426"/>
        <v/>
      </c>
      <c r="C3910" s="52">
        <f>IF(N(INDEX(sc_ach,1))=0,IF(Inputs!$G$184="",1,Inputs!$G$184),INDEX(sc_ach,1))</f>
        <v>1</v>
      </c>
      <c r="D3910" s="52">
        <f>IF(Inputs!$C$184="",0,IF(Inputs!$E$184="planned",(Inputs!$D$184+N(INDEX(sc_dpts,1)))*$C3910,Inputs!$D$184))</f>
        <v>0</v>
      </c>
      <c r="E3910" s="53">
        <f>IF(Inputs!$C$184="",0,IF(1+$D3910&gt;0,LN(1+$D3910),0))</f>
        <v>0</v>
      </c>
      <c r="F3910" s="55">
        <f t="shared" si="1427"/>
        <v>0</v>
      </c>
      <c r="G3910" s="55">
        <f>IF($A3910="",0,COUNTIFS(rl_key,Inputs!$J$184,$B$3806:$B$4045,$B3910,$A$3806:$A$4045,"&lt;"&amp;$A3910))</f>
        <v>0</v>
      </c>
      <c r="H3910" s="55">
        <f>IF($A3910="",0,COUNTIFS(Inputs!$J$80:$J$184,Inputs!$J$184,$B$3806:$B3910,$B3910,$A$3806:$A3910,$A3910))</f>
        <v>0</v>
      </c>
      <c r="I3910" s="55">
        <f t="shared" si="1428"/>
        <v>0</v>
      </c>
      <c r="K3910" s="54" t="str">
        <f>IF(Inputs!$C$184="","",IF(Inputs!$E$184="planned",EDATE(Inputs!$C$184,N(INDEX(sc_shift,2))),Inputs!$C$184))</f>
        <v/>
      </c>
      <c r="L3910" s="54" t="str">
        <f t="shared" si="1429"/>
        <v/>
      </c>
      <c r="M3910" s="52">
        <f>IF(N(INDEX(sc_ach,2))=0,IF(Inputs!$G$184="",1,Inputs!$G$184),INDEX(sc_ach,2))</f>
        <v>1</v>
      </c>
      <c r="N3910" s="52">
        <f>IF(Inputs!$C$184="",0,IF(Inputs!$E$184="planned",(Inputs!$D$184+N(INDEX(sc_dpts,2)))*$M3910,Inputs!$D$184))</f>
        <v>0</v>
      </c>
      <c r="O3910" s="53">
        <f>IF(Inputs!$C$184="",0,IF(1+$N3910&gt;0,LN(1+$N3910),0))</f>
        <v>0</v>
      </c>
      <c r="P3910" s="55">
        <f t="shared" si="1430"/>
        <v>0</v>
      </c>
      <c r="Q3910" s="55">
        <f>IF($K3910="",0,COUNTIFS(rl_key,Inputs!$J$184,$L$3806:$L$4045,$L3910,$K$3806:$K$4045,"&lt;"&amp;$K3910))</f>
        <v>0</v>
      </c>
      <c r="R3910" s="55">
        <f>IF($K3910="",0,COUNTIFS(Inputs!$J$80:$J$184,Inputs!$J$184,$L$3806:$L3910,$L3910,$K$3806:$K3910,$K3910))</f>
        <v>0</v>
      </c>
      <c r="S3910" s="55">
        <f t="shared" si="1431"/>
        <v>0</v>
      </c>
      <c r="U3910" s="54" t="str">
        <f>IF(Inputs!$C$184="","",IF(Inputs!$E$184="planned",EDATE(Inputs!$C$184,N(INDEX(sc_shift,3))),Inputs!$C$184))</f>
        <v/>
      </c>
      <c r="V3910" s="54" t="str">
        <f t="shared" si="1432"/>
        <v/>
      </c>
      <c r="W3910" s="52">
        <f>IF(N(INDEX(sc_ach,3))=0,IF(Inputs!$G$184="",1,Inputs!$G$184),INDEX(sc_ach,3))</f>
        <v>1</v>
      </c>
      <c r="X3910" s="52">
        <f>IF(Inputs!$C$184="",0,IF(Inputs!$E$184="planned",(Inputs!$D$184+N(INDEX(sc_dpts,3)))*$W3910,Inputs!$D$184))</f>
        <v>0</v>
      </c>
      <c r="Y3910" s="53">
        <f>IF(Inputs!$C$184="",0,IF(1+$X3910&gt;0,LN(1+$X3910),0))</f>
        <v>0</v>
      </c>
      <c r="Z3910" s="55">
        <f t="shared" si="1433"/>
        <v>0</v>
      </c>
      <c r="AA3910" s="55">
        <f>IF($U3910="",0,COUNTIFS(rl_key,Inputs!$J$184,$V$3806:$V$4045,$V3910,$U$3806:$U$4045,"&lt;"&amp;$U3910))</f>
        <v>0</v>
      </c>
      <c r="AB3910" s="55">
        <f>IF($U3910="",0,COUNTIFS(Inputs!$J$80:$J$184,Inputs!$J$184,$V$3806:$V3910,$V3910,$U$3806:$U3910,$U3910))</f>
        <v>0</v>
      </c>
      <c r="AC3910" s="55">
        <f t="shared" si="1434"/>
        <v>0</v>
      </c>
      <c r="AE3910" s="54" t="str">
        <f>IF(Inputs!$C$184="","",IF(Inputs!$E$184="planned",EDATE(Inputs!$C$184,N(INDEX(sc_shift,4))),Inputs!$C$184))</f>
        <v/>
      </c>
      <c r="AF3910" s="54" t="str">
        <f t="shared" si="1435"/>
        <v/>
      </c>
      <c r="AG3910" s="52">
        <f>IF(N(INDEX(sc_ach,4))=0,IF(Inputs!$G$184="",1,Inputs!$G$184),INDEX(sc_ach,4))</f>
        <v>1</v>
      </c>
      <c r="AH3910" s="52">
        <f>IF(Inputs!$C$184="",0,IF(Inputs!$E$184="planned",(Inputs!$D$184+N(INDEX(sc_dpts,4)))*$AG3910,Inputs!$D$184))</f>
        <v>0</v>
      </c>
      <c r="AI3910" s="53">
        <f>IF(Inputs!$C$184="",0,IF(1+$AH3910&gt;0,LN(1+$AH3910),0))</f>
        <v>0</v>
      </c>
      <c r="AJ3910" s="55">
        <f t="shared" si="1436"/>
        <v>0</v>
      </c>
      <c r="AK3910" s="55">
        <f>IF($AE3910="",0,COUNTIFS(rl_key,Inputs!$J$184,$AF$3806:$AF$4045,$AF3910,$AE$3806:$AE$4045,"&lt;"&amp;$AE3910))</f>
        <v>0</v>
      </c>
      <c r="AL3910" s="55">
        <f>IF($AE3910="",0,COUNTIFS(Inputs!$J$80:$J$184,Inputs!$J$184,$AF$3806:$AF3910,$AF3910,$AE$3806:$AE3910,$AE3910))</f>
        <v>0</v>
      </c>
      <c r="AM3910" s="55">
        <f t="shared" si="1437"/>
        <v>0</v>
      </c>
    </row>
    <row r="3911" spans="1:39" x14ac:dyDescent="0.25">
      <c r="A3911" s="54" t="str">
        <f>IF(Inputs!$C$185="","",IF(Inputs!$E$185="planned",EDATE(Inputs!$C$185,N(INDEX(sc_shift,1))),Inputs!$C$185))</f>
        <v/>
      </c>
      <c r="B3911" s="54" t="str">
        <f t="shared" si="1426"/>
        <v/>
      </c>
      <c r="C3911" s="52">
        <f>IF(N(INDEX(sc_ach,1))=0,IF(Inputs!$G$185="",1,Inputs!$G$185),INDEX(sc_ach,1))</f>
        <v>1</v>
      </c>
      <c r="D3911" s="52">
        <f>IF(Inputs!$C$185="",0,IF(Inputs!$E$185="planned",(Inputs!$D$185+N(INDEX(sc_dpts,1)))*$C3911,Inputs!$D$185))</f>
        <v>0</v>
      </c>
      <c r="E3911" s="53">
        <f>IF(Inputs!$C$185="",0,IF(1+$D3911&gt;0,LN(1+$D3911),0))</f>
        <v>0</v>
      </c>
      <c r="F3911" s="55">
        <f t="shared" si="1427"/>
        <v>0</v>
      </c>
      <c r="G3911" s="55">
        <f>IF($A3911="",0,COUNTIFS(rl_key,Inputs!$J$185,$B$3806:$B$4045,$B3911,$A$3806:$A$4045,"&lt;"&amp;$A3911))</f>
        <v>0</v>
      </c>
      <c r="H3911" s="55">
        <f>IF($A3911="",0,COUNTIFS(Inputs!$J$80:$J$185,Inputs!$J$185,$B$3806:$B3911,$B3911,$A$3806:$A3911,$A3911))</f>
        <v>0</v>
      </c>
      <c r="I3911" s="55">
        <f t="shared" si="1428"/>
        <v>0</v>
      </c>
      <c r="K3911" s="54" t="str">
        <f>IF(Inputs!$C$185="","",IF(Inputs!$E$185="planned",EDATE(Inputs!$C$185,N(INDEX(sc_shift,2))),Inputs!$C$185))</f>
        <v/>
      </c>
      <c r="L3911" s="54" t="str">
        <f t="shared" si="1429"/>
        <v/>
      </c>
      <c r="M3911" s="52">
        <f>IF(N(INDEX(sc_ach,2))=0,IF(Inputs!$G$185="",1,Inputs!$G$185),INDEX(sc_ach,2))</f>
        <v>1</v>
      </c>
      <c r="N3911" s="52">
        <f>IF(Inputs!$C$185="",0,IF(Inputs!$E$185="planned",(Inputs!$D$185+N(INDEX(sc_dpts,2)))*$M3911,Inputs!$D$185))</f>
        <v>0</v>
      </c>
      <c r="O3911" s="53">
        <f>IF(Inputs!$C$185="",0,IF(1+$N3911&gt;0,LN(1+$N3911),0))</f>
        <v>0</v>
      </c>
      <c r="P3911" s="55">
        <f t="shared" si="1430"/>
        <v>0</v>
      </c>
      <c r="Q3911" s="55">
        <f>IF($K3911="",0,COUNTIFS(rl_key,Inputs!$J$185,$L$3806:$L$4045,$L3911,$K$3806:$K$4045,"&lt;"&amp;$K3911))</f>
        <v>0</v>
      </c>
      <c r="R3911" s="55">
        <f>IF($K3911="",0,COUNTIFS(Inputs!$J$80:$J$185,Inputs!$J$185,$L$3806:$L3911,$L3911,$K$3806:$K3911,$K3911))</f>
        <v>0</v>
      </c>
      <c r="S3911" s="55">
        <f t="shared" si="1431"/>
        <v>0</v>
      </c>
      <c r="U3911" s="54" t="str">
        <f>IF(Inputs!$C$185="","",IF(Inputs!$E$185="planned",EDATE(Inputs!$C$185,N(INDEX(sc_shift,3))),Inputs!$C$185))</f>
        <v/>
      </c>
      <c r="V3911" s="54" t="str">
        <f t="shared" si="1432"/>
        <v/>
      </c>
      <c r="W3911" s="52">
        <f>IF(N(INDEX(sc_ach,3))=0,IF(Inputs!$G$185="",1,Inputs!$G$185),INDEX(sc_ach,3))</f>
        <v>1</v>
      </c>
      <c r="X3911" s="52">
        <f>IF(Inputs!$C$185="",0,IF(Inputs!$E$185="planned",(Inputs!$D$185+N(INDEX(sc_dpts,3)))*$W3911,Inputs!$D$185))</f>
        <v>0</v>
      </c>
      <c r="Y3911" s="53">
        <f>IF(Inputs!$C$185="",0,IF(1+$X3911&gt;0,LN(1+$X3911),0))</f>
        <v>0</v>
      </c>
      <c r="Z3911" s="55">
        <f t="shared" si="1433"/>
        <v>0</v>
      </c>
      <c r="AA3911" s="55">
        <f>IF($U3911="",0,COUNTIFS(rl_key,Inputs!$J$185,$V$3806:$V$4045,$V3911,$U$3806:$U$4045,"&lt;"&amp;$U3911))</f>
        <v>0</v>
      </c>
      <c r="AB3911" s="55">
        <f>IF($U3911="",0,COUNTIFS(Inputs!$J$80:$J$185,Inputs!$J$185,$V$3806:$V3911,$V3911,$U$3806:$U3911,$U3911))</f>
        <v>0</v>
      </c>
      <c r="AC3911" s="55">
        <f t="shared" si="1434"/>
        <v>0</v>
      </c>
      <c r="AE3911" s="54" t="str">
        <f>IF(Inputs!$C$185="","",IF(Inputs!$E$185="planned",EDATE(Inputs!$C$185,N(INDEX(sc_shift,4))),Inputs!$C$185))</f>
        <v/>
      </c>
      <c r="AF3911" s="54" t="str">
        <f t="shared" si="1435"/>
        <v/>
      </c>
      <c r="AG3911" s="52">
        <f>IF(N(INDEX(sc_ach,4))=0,IF(Inputs!$G$185="",1,Inputs!$G$185),INDEX(sc_ach,4))</f>
        <v>1</v>
      </c>
      <c r="AH3911" s="52">
        <f>IF(Inputs!$C$185="",0,IF(Inputs!$E$185="planned",(Inputs!$D$185+N(INDEX(sc_dpts,4)))*$AG3911,Inputs!$D$185))</f>
        <v>0</v>
      </c>
      <c r="AI3911" s="53">
        <f>IF(Inputs!$C$185="",0,IF(1+$AH3911&gt;0,LN(1+$AH3911),0))</f>
        <v>0</v>
      </c>
      <c r="AJ3911" s="55">
        <f t="shared" si="1436"/>
        <v>0</v>
      </c>
      <c r="AK3911" s="55">
        <f>IF($AE3911="",0,COUNTIFS(rl_key,Inputs!$J$185,$AF$3806:$AF$4045,$AF3911,$AE$3806:$AE$4045,"&lt;"&amp;$AE3911))</f>
        <v>0</v>
      </c>
      <c r="AL3911" s="55">
        <f>IF($AE3911="",0,COUNTIFS(Inputs!$J$80:$J$185,Inputs!$J$185,$AF$3806:$AF3911,$AF3911,$AE$3806:$AE3911,$AE3911))</f>
        <v>0</v>
      </c>
      <c r="AM3911" s="55">
        <f t="shared" si="1437"/>
        <v>0</v>
      </c>
    </row>
    <row r="3912" spans="1:39" x14ac:dyDescent="0.25">
      <c r="A3912" s="54" t="str">
        <f>IF(Inputs!$C$186="","",IF(Inputs!$E$186="planned",EDATE(Inputs!$C$186,N(INDEX(sc_shift,1))),Inputs!$C$186))</f>
        <v/>
      </c>
      <c r="B3912" s="54" t="str">
        <f t="shared" si="1426"/>
        <v/>
      </c>
      <c r="C3912" s="52">
        <f>IF(N(INDEX(sc_ach,1))=0,IF(Inputs!$G$186="",1,Inputs!$G$186),INDEX(sc_ach,1))</f>
        <v>1</v>
      </c>
      <c r="D3912" s="52">
        <f>IF(Inputs!$C$186="",0,IF(Inputs!$E$186="planned",(Inputs!$D$186+N(INDEX(sc_dpts,1)))*$C3912,Inputs!$D$186))</f>
        <v>0</v>
      </c>
      <c r="E3912" s="53">
        <f>IF(Inputs!$C$186="",0,IF(1+$D3912&gt;0,LN(1+$D3912),0))</f>
        <v>0</v>
      </c>
      <c r="F3912" s="55">
        <f t="shared" si="1427"/>
        <v>0</v>
      </c>
      <c r="G3912" s="55">
        <f>IF($A3912="",0,COUNTIFS(rl_key,Inputs!$J$186,$B$3806:$B$4045,$B3912,$A$3806:$A$4045,"&lt;"&amp;$A3912))</f>
        <v>0</v>
      </c>
      <c r="H3912" s="55">
        <f>IF($A3912="",0,COUNTIFS(Inputs!$J$80:$J$186,Inputs!$J$186,$B$3806:$B3912,$B3912,$A$3806:$A3912,$A3912))</f>
        <v>0</v>
      </c>
      <c r="I3912" s="55">
        <f t="shared" si="1428"/>
        <v>0</v>
      </c>
      <c r="K3912" s="54" t="str">
        <f>IF(Inputs!$C$186="","",IF(Inputs!$E$186="planned",EDATE(Inputs!$C$186,N(INDEX(sc_shift,2))),Inputs!$C$186))</f>
        <v/>
      </c>
      <c r="L3912" s="54" t="str">
        <f t="shared" si="1429"/>
        <v/>
      </c>
      <c r="M3912" s="52">
        <f>IF(N(INDEX(sc_ach,2))=0,IF(Inputs!$G$186="",1,Inputs!$G$186),INDEX(sc_ach,2))</f>
        <v>1</v>
      </c>
      <c r="N3912" s="52">
        <f>IF(Inputs!$C$186="",0,IF(Inputs!$E$186="planned",(Inputs!$D$186+N(INDEX(sc_dpts,2)))*$M3912,Inputs!$D$186))</f>
        <v>0</v>
      </c>
      <c r="O3912" s="53">
        <f>IF(Inputs!$C$186="",0,IF(1+$N3912&gt;0,LN(1+$N3912),0))</f>
        <v>0</v>
      </c>
      <c r="P3912" s="55">
        <f t="shared" si="1430"/>
        <v>0</v>
      </c>
      <c r="Q3912" s="55">
        <f>IF($K3912="",0,COUNTIFS(rl_key,Inputs!$J$186,$L$3806:$L$4045,$L3912,$K$3806:$K$4045,"&lt;"&amp;$K3912))</f>
        <v>0</v>
      </c>
      <c r="R3912" s="55">
        <f>IF($K3912="",0,COUNTIFS(Inputs!$J$80:$J$186,Inputs!$J$186,$L$3806:$L3912,$L3912,$K$3806:$K3912,$K3912))</f>
        <v>0</v>
      </c>
      <c r="S3912" s="55">
        <f t="shared" si="1431"/>
        <v>0</v>
      </c>
      <c r="U3912" s="54" t="str">
        <f>IF(Inputs!$C$186="","",IF(Inputs!$E$186="planned",EDATE(Inputs!$C$186,N(INDEX(sc_shift,3))),Inputs!$C$186))</f>
        <v/>
      </c>
      <c r="V3912" s="54" t="str">
        <f t="shared" si="1432"/>
        <v/>
      </c>
      <c r="W3912" s="52">
        <f>IF(N(INDEX(sc_ach,3))=0,IF(Inputs!$G$186="",1,Inputs!$G$186),INDEX(sc_ach,3))</f>
        <v>1</v>
      </c>
      <c r="X3912" s="52">
        <f>IF(Inputs!$C$186="",0,IF(Inputs!$E$186="planned",(Inputs!$D$186+N(INDEX(sc_dpts,3)))*$W3912,Inputs!$D$186))</f>
        <v>0</v>
      </c>
      <c r="Y3912" s="53">
        <f>IF(Inputs!$C$186="",0,IF(1+$X3912&gt;0,LN(1+$X3912),0))</f>
        <v>0</v>
      </c>
      <c r="Z3912" s="55">
        <f t="shared" si="1433"/>
        <v>0</v>
      </c>
      <c r="AA3912" s="55">
        <f>IF($U3912="",0,COUNTIFS(rl_key,Inputs!$J$186,$V$3806:$V$4045,$V3912,$U$3806:$U$4045,"&lt;"&amp;$U3912))</f>
        <v>0</v>
      </c>
      <c r="AB3912" s="55">
        <f>IF($U3912="",0,COUNTIFS(Inputs!$J$80:$J$186,Inputs!$J$186,$V$3806:$V3912,$V3912,$U$3806:$U3912,$U3912))</f>
        <v>0</v>
      </c>
      <c r="AC3912" s="55">
        <f t="shared" si="1434"/>
        <v>0</v>
      </c>
      <c r="AE3912" s="54" t="str">
        <f>IF(Inputs!$C$186="","",IF(Inputs!$E$186="planned",EDATE(Inputs!$C$186,N(INDEX(sc_shift,4))),Inputs!$C$186))</f>
        <v/>
      </c>
      <c r="AF3912" s="54" t="str">
        <f t="shared" si="1435"/>
        <v/>
      </c>
      <c r="AG3912" s="52">
        <f>IF(N(INDEX(sc_ach,4))=0,IF(Inputs!$G$186="",1,Inputs!$G$186),INDEX(sc_ach,4))</f>
        <v>1</v>
      </c>
      <c r="AH3912" s="52">
        <f>IF(Inputs!$C$186="",0,IF(Inputs!$E$186="planned",(Inputs!$D$186+N(INDEX(sc_dpts,4)))*$AG3912,Inputs!$D$186))</f>
        <v>0</v>
      </c>
      <c r="AI3912" s="53">
        <f>IF(Inputs!$C$186="",0,IF(1+$AH3912&gt;0,LN(1+$AH3912),0))</f>
        <v>0</v>
      </c>
      <c r="AJ3912" s="55">
        <f t="shared" si="1436"/>
        <v>0</v>
      </c>
      <c r="AK3912" s="55">
        <f>IF($AE3912="",0,COUNTIFS(rl_key,Inputs!$J$186,$AF$3806:$AF$4045,$AF3912,$AE$3806:$AE$4045,"&lt;"&amp;$AE3912))</f>
        <v>0</v>
      </c>
      <c r="AL3912" s="55">
        <f>IF($AE3912="",0,COUNTIFS(Inputs!$J$80:$J$186,Inputs!$J$186,$AF$3806:$AF3912,$AF3912,$AE$3806:$AE3912,$AE3912))</f>
        <v>0</v>
      </c>
      <c r="AM3912" s="55">
        <f t="shared" si="1437"/>
        <v>0</v>
      </c>
    </row>
    <row r="3913" spans="1:39" x14ac:dyDescent="0.25">
      <c r="A3913" s="54" t="str">
        <f>IF(Inputs!$C$187="","",IF(Inputs!$E$187="planned",EDATE(Inputs!$C$187,N(INDEX(sc_shift,1))),Inputs!$C$187))</f>
        <v/>
      </c>
      <c r="B3913" s="54" t="str">
        <f t="shared" si="1426"/>
        <v/>
      </c>
      <c r="C3913" s="52">
        <f>IF(N(INDEX(sc_ach,1))=0,IF(Inputs!$G$187="",1,Inputs!$G$187),INDEX(sc_ach,1))</f>
        <v>1</v>
      </c>
      <c r="D3913" s="52">
        <f>IF(Inputs!$C$187="",0,IF(Inputs!$E$187="planned",(Inputs!$D$187+N(INDEX(sc_dpts,1)))*$C3913,Inputs!$D$187))</f>
        <v>0</v>
      </c>
      <c r="E3913" s="53">
        <f>IF(Inputs!$C$187="",0,IF(1+$D3913&gt;0,LN(1+$D3913),0))</f>
        <v>0</v>
      </c>
      <c r="F3913" s="55">
        <f t="shared" si="1427"/>
        <v>0</v>
      </c>
      <c r="G3913" s="55">
        <f>IF($A3913="",0,COUNTIFS(rl_key,Inputs!$J$187,$B$3806:$B$4045,$B3913,$A$3806:$A$4045,"&lt;"&amp;$A3913))</f>
        <v>0</v>
      </c>
      <c r="H3913" s="55">
        <f>IF($A3913="",0,COUNTIFS(Inputs!$J$80:$J$187,Inputs!$J$187,$B$3806:$B3913,$B3913,$A$3806:$A3913,$A3913))</f>
        <v>0</v>
      </c>
      <c r="I3913" s="55">
        <f t="shared" si="1428"/>
        <v>0</v>
      </c>
      <c r="K3913" s="54" t="str">
        <f>IF(Inputs!$C$187="","",IF(Inputs!$E$187="planned",EDATE(Inputs!$C$187,N(INDEX(sc_shift,2))),Inputs!$C$187))</f>
        <v/>
      </c>
      <c r="L3913" s="54" t="str">
        <f t="shared" si="1429"/>
        <v/>
      </c>
      <c r="M3913" s="52">
        <f>IF(N(INDEX(sc_ach,2))=0,IF(Inputs!$G$187="",1,Inputs!$G$187),INDEX(sc_ach,2))</f>
        <v>1</v>
      </c>
      <c r="N3913" s="52">
        <f>IF(Inputs!$C$187="",0,IF(Inputs!$E$187="planned",(Inputs!$D$187+N(INDEX(sc_dpts,2)))*$M3913,Inputs!$D$187))</f>
        <v>0</v>
      </c>
      <c r="O3913" s="53">
        <f>IF(Inputs!$C$187="",0,IF(1+$N3913&gt;0,LN(1+$N3913),0))</f>
        <v>0</v>
      </c>
      <c r="P3913" s="55">
        <f t="shared" si="1430"/>
        <v>0</v>
      </c>
      <c r="Q3913" s="55">
        <f>IF($K3913="",0,COUNTIFS(rl_key,Inputs!$J$187,$L$3806:$L$4045,$L3913,$K$3806:$K$4045,"&lt;"&amp;$K3913))</f>
        <v>0</v>
      </c>
      <c r="R3913" s="55">
        <f>IF($K3913="",0,COUNTIFS(Inputs!$J$80:$J$187,Inputs!$J$187,$L$3806:$L3913,$L3913,$K$3806:$K3913,$K3913))</f>
        <v>0</v>
      </c>
      <c r="S3913" s="55">
        <f t="shared" si="1431"/>
        <v>0</v>
      </c>
      <c r="U3913" s="54" t="str">
        <f>IF(Inputs!$C$187="","",IF(Inputs!$E$187="planned",EDATE(Inputs!$C$187,N(INDEX(sc_shift,3))),Inputs!$C$187))</f>
        <v/>
      </c>
      <c r="V3913" s="54" t="str">
        <f t="shared" si="1432"/>
        <v/>
      </c>
      <c r="W3913" s="52">
        <f>IF(N(INDEX(sc_ach,3))=0,IF(Inputs!$G$187="",1,Inputs!$G$187),INDEX(sc_ach,3))</f>
        <v>1</v>
      </c>
      <c r="X3913" s="52">
        <f>IF(Inputs!$C$187="",0,IF(Inputs!$E$187="planned",(Inputs!$D$187+N(INDEX(sc_dpts,3)))*$W3913,Inputs!$D$187))</f>
        <v>0</v>
      </c>
      <c r="Y3913" s="53">
        <f>IF(Inputs!$C$187="",0,IF(1+$X3913&gt;0,LN(1+$X3913),0))</f>
        <v>0</v>
      </c>
      <c r="Z3913" s="55">
        <f t="shared" si="1433"/>
        <v>0</v>
      </c>
      <c r="AA3913" s="55">
        <f>IF($U3913="",0,COUNTIFS(rl_key,Inputs!$J$187,$V$3806:$V$4045,$V3913,$U$3806:$U$4045,"&lt;"&amp;$U3913))</f>
        <v>0</v>
      </c>
      <c r="AB3913" s="55">
        <f>IF($U3913="",0,COUNTIFS(Inputs!$J$80:$J$187,Inputs!$J$187,$V$3806:$V3913,$V3913,$U$3806:$U3913,$U3913))</f>
        <v>0</v>
      </c>
      <c r="AC3913" s="55">
        <f t="shared" si="1434"/>
        <v>0</v>
      </c>
      <c r="AE3913" s="54" t="str">
        <f>IF(Inputs!$C$187="","",IF(Inputs!$E$187="planned",EDATE(Inputs!$C$187,N(INDEX(sc_shift,4))),Inputs!$C$187))</f>
        <v/>
      </c>
      <c r="AF3913" s="54" t="str">
        <f t="shared" si="1435"/>
        <v/>
      </c>
      <c r="AG3913" s="52">
        <f>IF(N(INDEX(sc_ach,4))=0,IF(Inputs!$G$187="",1,Inputs!$G$187),INDEX(sc_ach,4))</f>
        <v>1</v>
      </c>
      <c r="AH3913" s="52">
        <f>IF(Inputs!$C$187="",0,IF(Inputs!$E$187="planned",(Inputs!$D$187+N(INDEX(sc_dpts,4)))*$AG3913,Inputs!$D$187))</f>
        <v>0</v>
      </c>
      <c r="AI3913" s="53">
        <f>IF(Inputs!$C$187="",0,IF(1+$AH3913&gt;0,LN(1+$AH3913),0))</f>
        <v>0</v>
      </c>
      <c r="AJ3913" s="55">
        <f t="shared" si="1436"/>
        <v>0</v>
      </c>
      <c r="AK3913" s="55">
        <f>IF($AE3913="",0,COUNTIFS(rl_key,Inputs!$J$187,$AF$3806:$AF$4045,$AF3913,$AE$3806:$AE$4045,"&lt;"&amp;$AE3913))</f>
        <v>0</v>
      </c>
      <c r="AL3913" s="55">
        <f>IF($AE3913="",0,COUNTIFS(Inputs!$J$80:$J$187,Inputs!$J$187,$AF$3806:$AF3913,$AF3913,$AE$3806:$AE3913,$AE3913))</f>
        <v>0</v>
      </c>
      <c r="AM3913" s="55">
        <f t="shared" si="1437"/>
        <v>0</v>
      </c>
    </row>
    <row r="3914" spans="1:39" x14ac:dyDescent="0.25">
      <c r="A3914" s="54" t="str">
        <f>IF(Inputs!$C$188="","",IF(Inputs!$E$188="planned",EDATE(Inputs!$C$188,N(INDEX(sc_shift,1))),Inputs!$C$188))</f>
        <v/>
      </c>
      <c r="B3914" s="54" t="str">
        <f t="shared" si="1426"/>
        <v/>
      </c>
      <c r="C3914" s="52">
        <f>IF(N(INDEX(sc_ach,1))=0,IF(Inputs!$G$188="",1,Inputs!$G$188),INDEX(sc_ach,1))</f>
        <v>1</v>
      </c>
      <c r="D3914" s="52">
        <f>IF(Inputs!$C$188="",0,IF(Inputs!$E$188="planned",(Inputs!$D$188+N(INDEX(sc_dpts,1)))*$C3914,Inputs!$D$188))</f>
        <v>0</v>
      </c>
      <c r="E3914" s="53">
        <f>IF(Inputs!$C$188="",0,IF(1+$D3914&gt;0,LN(1+$D3914),0))</f>
        <v>0</v>
      </c>
      <c r="F3914" s="55">
        <f t="shared" si="1427"/>
        <v>0</v>
      </c>
      <c r="G3914" s="55">
        <f>IF($A3914="",0,COUNTIFS(rl_key,Inputs!$J$188,$B$3806:$B$4045,$B3914,$A$3806:$A$4045,"&lt;"&amp;$A3914))</f>
        <v>0</v>
      </c>
      <c r="H3914" s="55">
        <f>IF($A3914="",0,COUNTIFS(Inputs!$J$80:$J$188,Inputs!$J$188,$B$3806:$B3914,$B3914,$A$3806:$A3914,$A3914))</f>
        <v>0</v>
      </c>
      <c r="I3914" s="55">
        <f t="shared" si="1428"/>
        <v>0</v>
      </c>
      <c r="K3914" s="54" t="str">
        <f>IF(Inputs!$C$188="","",IF(Inputs!$E$188="planned",EDATE(Inputs!$C$188,N(INDEX(sc_shift,2))),Inputs!$C$188))</f>
        <v/>
      </c>
      <c r="L3914" s="54" t="str">
        <f t="shared" si="1429"/>
        <v/>
      </c>
      <c r="M3914" s="52">
        <f>IF(N(INDEX(sc_ach,2))=0,IF(Inputs!$G$188="",1,Inputs!$G$188),INDEX(sc_ach,2))</f>
        <v>1</v>
      </c>
      <c r="N3914" s="52">
        <f>IF(Inputs!$C$188="",0,IF(Inputs!$E$188="planned",(Inputs!$D$188+N(INDEX(sc_dpts,2)))*$M3914,Inputs!$D$188))</f>
        <v>0</v>
      </c>
      <c r="O3914" s="53">
        <f>IF(Inputs!$C$188="",0,IF(1+$N3914&gt;0,LN(1+$N3914),0))</f>
        <v>0</v>
      </c>
      <c r="P3914" s="55">
        <f t="shared" si="1430"/>
        <v>0</v>
      </c>
      <c r="Q3914" s="55">
        <f>IF($K3914="",0,COUNTIFS(rl_key,Inputs!$J$188,$L$3806:$L$4045,$L3914,$K$3806:$K$4045,"&lt;"&amp;$K3914))</f>
        <v>0</v>
      </c>
      <c r="R3914" s="55">
        <f>IF($K3914="",0,COUNTIFS(Inputs!$J$80:$J$188,Inputs!$J$188,$L$3806:$L3914,$L3914,$K$3806:$K3914,$K3914))</f>
        <v>0</v>
      </c>
      <c r="S3914" s="55">
        <f t="shared" si="1431"/>
        <v>0</v>
      </c>
      <c r="U3914" s="54" t="str">
        <f>IF(Inputs!$C$188="","",IF(Inputs!$E$188="planned",EDATE(Inputs!$C$188,N(INDEX(sc_shift,3))),Inputs!$C$188))</f>
        <v/>
      </c>
      <c r="V3914" s="54" t="str">
        <f t="shared" si="1432"/>
        <v/>
      </c>
      <c r="W3914" s="52">
        <f>IF(N(INDEX(sc_ach,3))=0,IF(Inputs!$G$188="",1,Inputs!$G$188),INDEX(sc_ach,3))</f>
        <v>1</v>
      </c>
      <c r="X3914" s="52">
        <f>IF(Inputs!$C$188="",0,IF(Inputs!$E$188="planned",(Inputs!$D$188+N(INDEX(sc_dpts,3)))*$W3914,Inputs!$D$188))</f>
        <v>0</v>
      </c>
      <c r="Y3914" s="53">
        <f>IF(Inputs!$C$188="",0,IF(1+$X3914&gt;0,LN(1+$X3914),0))</f>
        <v>0</v>
      </c>
      <c r="Z3914" s="55">
        <f t="shared" si="1433"/>
        <v>0</v>
      </c>
      <c r="AA3914" s="55">
        <f>IF($U3914="",0,COUNTIFS(rl_key,Inputs!$J$188,$V$3806:$V$4045,$V3914,$U$3806:$U$4045,"&lt;"&amp;$U3914))</f>
        <v>0</v>
      </c>
      <c r="AB3914" s="55">
        <f>IF($U3914="",0,COUNTIFS(Inputs!$J$80:$J$188,Inputs!$J$188,$V$3806:$V3914,$V3914,$U$3806:$U3914,$U3914))</f>
        <v>0</v>
      </c>
      <c r="AC3914" s="55">
        <f t="shared" si="1434"/>
        <v>0</v>
      </c>
      <c r="AE3914" s="54" t="str">
        <f>IF(Inputs!$C$188="","",IF(Inputs!$E$188="planned",EDATE(Inputs!$C$188,N(INDEX(sc_shift,4))),Inputs!$C$188))</f>
        <v/>
      </c>
      <c r="AF3914" s="54" t="str">
        <f t="shared" si="1435"/>
        <v/>
      </c>
      <c r="AG3914" s="52">
        <f>IF(N(INDEX(sc_ach,4))=0,IF(Inputs!$G$188="",1,Inputs!$G$188),INDEX(sc_ach,4))</f>
        <v>1</v>
      </c>
      <c r="AH3914" s="52">
        <f>IF(Inputs!$C$188="",0,IF(Inputs!$E$188="planned",(Inputs!$D$188+N(INDEX(sc_dpts,4)))*$AG3914,Inputs!$D$188))</f>
        <v>0</v>
      </c>
      <c r="AI3914" s="53">
        <f>IF(Inputs!$C$188="",0,IF(1+$AH3914&gt;0,LN(1+$AH3914),0))</f>
        <v>0</v>
      </c>
      <c r="AJ3914" s="55">
        <f t="shared" si="1436"/>
        <v>0</v>
      </c>
      <c r="AK3914" s="55">
        <f>IF($AE3914="",0,COUNTIFS(rl_key,Inputs!$J$188,$AF$3806:$AF$4045,$AF3914,$AE$3806:$AE$4045,"&lt;"&amp;$AE3914))</f>
        <v>0</v>
      </c>
      <c r="AL3914" s="55">
        <f>IF($AE3914="",0,COUNTIFS(Inputs!$J$80:$J$188,Inputs!$J$188,$AF$3806:$AF3914,$AF3914,$AE$3806:$AE3914,$AE3914))</f>
        <v>0</v>
      </c>
      <c r="AM3914" s="55">
        <f t="shared" si="1437"/>
        <v>0</v>
      </c>
    </row>
    <row r="3915" spans="1:39" x14ac:dyDescent="0.25">
      <c r="A3915" s="54" t="str">
        <f>IF(Inputs!$C$189="","",IF(Inputs!$E$189="planned",EDATE(Inputs!$C$189,N(INDEX(sc_shift,1))),Inputs!$C$189))</f>
        <v/>
      </c>
      <c r="B3915" s="54" t="str">
        <f t="shared" si="1426"/>
        <v/>
      </c>
      <c r="C3915" s="52">
        <f>IF(N(INDEX(sc_ach,1))=0,IF(Inputs!$G$189="",1,Inputs!$G$189),INDEX(sc_ach,1))</f>
        <v>1</v>
      </c>
      <c r="D3915" s="52">
        <f>IF(Inputs!$C$189="",0,IF(Inputs!$E$189="planned",(Inputs!$D$189+N(INDEX(sc_dpts,1)))*$C3915,Inputs!$D$189))</f>
        <v>0</v>
      </c>
      <c r="E3915" s="53">
        <f>IF(Inputs!$C$189="",0,IF(1+$D3915&gt;0,LN(1+$D3915),0))</f>
        <v>0</v>
      </c>
      <c r="F3915" s="55">
        <f t="shared" si="1427"/>
        <v>0</v>
      </c>
      <c r="G3915" s="55">
        <f>IF($A3915="",0,COUNTIFS(rl_key,Inputs!$J$189,$B$3806:$B$4045,$B3915,$A$3806:$A$4045,"&lt;"&amp;$A3915))</f>
        <v>0</v>
      </c>
      <c r="H3915" s="55">
        <f>IF($A3915="",0,COUNTIFS(Inputs!$J$80:$J$189,Inputs!$J$189,$B$3806:$B3915,$B3915,$A$3806:$A3915,$A3915))</f>
        <v>0</v>
      </c>
      <c r="I3915" s="55">
        <f t="shared" si="1428"/>
        <v>0</v>
      </c>
      <c r="K3915" s="54" t="str">
        <f>IF(Inputs!$C$189="","",IF(Inputs!$E$189="planned",EDATE(Inputs!$C$189,N(INDEX(sc_shift,2))),Inputs!$C$189))</f>
        <v/>
      </c>
      <c r="L3915" s="54" t="str">
        <f t="shared" si="1429"/>
        <v/>
      </c>
      <c r="M3915" s="52">
        <f>IF(N(INDEX(sc_ach,2))=0,IF(Inputs!$G$189="",1,Inputs!$G$189),INDEX(sc_ach,2))</f>
        <v>1</v>
      </c>
      <c r="N3915" s="52">
        <f>IF(Inputs!$C$189="",0,IF(Inputs!$E$189="planned",(Inputs!$D$189+N(INDEX(sc_dpts,2)))*$M3915,Inputs!$D$189))</f>
        <v>0</v>
      </c>
      <c r="O3915" s="53">
        <f>IF(Inputs!$C$189="",0,IF(1+$N3915&gt;0,LN(1+$N3915),0))</f>
        <v>0</v>
      </c>
      <c r="P3915" s="55">
        <f t="shared" si="1430"/>
        <v>0</v>
      </c>
      <c r="Q3915" s="55">
        <f>IF($K3915="",0,COUNTIFS(rl_key,Inputs!$J$189,$L$3806:$L$4045,$L3915,$K$3806:$K$4045,"&lt;"&amp;$K3915))</f>
        <v>0</v>
      </c>
      <c r="R3915" s="55">
        <f>IF($K3915="",0,COUNTIFS(Inputs!$J$80:$J$189,Inputs!$J$189,$L$3806:$L3915,$L3915,$K$3806:$K3915,$K3915))</f>
        <v>0</v>
      </c>
      <c r="S3915" s="55">
        <f t="shared" si="1431"/>
        <v>0</v>
      </c>
      <c r="U3915" s="54" t="str">
        <f>IF(Inputs!$C$189="","",IF(Inputs!$E$189="planned",EDATE(Inputs!$C$189,N(INDEX(sc_shift,3))),Inputs!$C$189))</f>
        <v/>
      </c>
      <c r="V3915" s="54" t="str">
        <f t="shared" si="1432"/>
        <v/>
      </c>
      <c r="W3915" s="52">
        <f>IF(N(INDEX(sc_ach,3))=0,IF(Inputs!$G$189="",1,Inputs!$G$189),INDEX(sc_ach,3))</f>
        <v>1</v>
      </c>
      <c r="X3915" s="52">
        <f>IF(Inputs!$C$189="",0,IF(Inputs!$E$189="planned",(Inputs!$D$189+N(INDEX(sc_dpts,3)))*$W3915,Inputs!$D$189))</f>
        <v>0</v>
      </c>
      <c r="Y3915" s="53">
        <f>IF(Inputs!$C$189="",0,IF(1+$X3915&gt;0,LN(1+$X3915),0))</f>
        <v>0</v>
      </c>
      <c r="Z3915" s="55">
        <f t="shared" si="1433"/>
        <v>0</v>
      </c>
      <c r="AA3915" s="55">
        <f>IF($U3915="",0,COUNTIFS(rl_key,Inputs!$J$189,$V$3806:$V$4045,$V3915,$U$3806:$U$4045,"&lt;"&amp;$U3915))</f>
        <v>0</v>
      </c>
      <c r="AB3915" s="55">
        <f>IF($U3915="",0,COUNTIFS(Inputs!$J$80:$J$189,Inputs!$J$189,$V$3806:$V3915,$V3915,$U$3806:$U3915,$U3915))</f>
        <v>0</v>
      </c>
      <c r="AC3915" s="55">
        <f t="shared" si="1434"/>
        <v>0</v>
      </c>
      <c r="AE3915" s="54" t="str">
        <f>IF(Inputs!$C$189="","",IF(Inputs!$E$189="planned",EDATE(Inputs!$C$189,N(INDEX(sc_shift,4))),Inputs!$C$189))</f>
        <v/>
      </c>
      <c r="AF3915" s="54" t="str">
        <f t="shared" si="1435"/>
        <v/>
      </c>
      <c r="AG3915" s="52">
        <f>IF(N(INDEX(sc_ach,4))=0,IF(Inputs!$G$189="",1,Inputs!$G$189),INDEX(sc_ach,4))</f>
        <v>1</v>
      </c>
      <c r="AH3915" s="52">
        <f>IF(Inputs!$C$189="",0,IF(Inputs!$E$189="planned",(Inputs!$D$189+N(INDEX(sc_dpts,4)))*$AG3915,Inputs!$D$189))</f>
        <v>0</v>
      </c>
      <c r="AI3915" s="53">
        <f>IF(Inputs!$C$189="",0,IF(1+$AH3915&gt;0,LN(1+$AH3915),0))</f>
        <v>0</v>
      </c>
      <c r="AJ3915" s="55">
        <f t="shared" si="1436"/>
        <v>0</v>
      </c>
      <c r="AK3915" s="55">
        <f>IF($AE3915="",0,COUNTIFS(rl_key,Inputs!$J$189,$AF$3806:$AF$4045,$AF3915,$AE$3806:$AE$4045,"&lt;"&amp;$AE3915))</f>
        <v>0</v>
      </c>
      <c r="AL3915" s="55">
        <f>IF($AE3915="",0,COUNTIFS(Inputs!$J$80:$J$189,Inputs!$J$189,$AF$3806:$AF3915,$AF3915,$AE$3806:$AE3915,$AE3915))</f>
        <v>0</v>
      </c>
      <c r="AM3915" s="55">
        <f t="shared" si="1437"/>
        <v>0</v>
      </c>
    </row>
    <row r="3916" spans="1:39" x14ac:dyDescent="0.25">
      <c r="A3916" s="54" t="str">
        <f>IF(Inputs!$C$190="","",IF(Inputs!$E$190="planned",EDATE(Inputs!$C$190,N(INDEX(sc_shift,1))),Inputs!$C$190))</f>
        <v/>
      </c>
      <c r="B3916" s="54" t="str">
        <f t="shared" si="1426"/>
        <v/>
      </c>
      <c r="C3916" s="52">
        <f>IF(N(INDEX(sc_ach,1))=0,IF(Inputs!$G$190="",1,Inputs!$G$190),INDEX(sc_ach,1))</f>
        <v>1</v>
      </c>
      <c r="D3916" s="52">
        <f>IF(Inputs!$C$190="",0,IF(Inputs!$E$190="planned",(Inputs!$D$190+N(INDEX(sc_dpts,1)))*$C3916,Inputs!$D$190))</f>
        <v>0</v>
      </c>
      <c r="E3916" s="53">
        <f>IF(Inputs!$C$190="",0,IF(1+$D3916&gt;0,LN(1+$D3916),0))</f>
        <v>0</v>
      </c>
      <c r="F3916" s="55">
        <f t="shared" si="1427"/>
        <v>0</v>
      </c>
      <c r="G3916" s="55">
        <f>IF($A3916="",0,COUNTIFS(rl_key,Inputs!$J$190,$B$3806:$B$4045,$B3916,$A$3806:$A$4045,"&lt;"&amp;$A3916))</f>
        <v>0</v>
      </c>
      <c r="H3916" s="55">
        <f>IF($A3916="",0,COUNTIFS(Inputs!$J$80:$J$190,Inputs!$J$190,$B$3806:$B3916,$B3916,$A$3806:$A3916,$A3916))</f>
        <v>0</v>
      </c>
      <c r="I3916" s="55">
        <f t="shared" si="1428"/>
        <v>0</v>
      </c>
      <c r="K3916" s="54" t="str">
        <f>IF(Inputs!$C$190="","",IF(Inputs!$E$190="planned",EDATE(Inputs!$C$190,N(INDEX(sc_shift,2))),Inputs!$C$190))</f>
        <v/>
      </c>
      <c r="L3916" s="54" t="str">
        <f t="shared" si="1429"/>
        <v/>
      </c>
      <c r="M3916" s="52">
        <f>IF(N(INDEX(sc_ach,2))=0,IF(Inputs!$G$190="",1,Inputs!$G$190),INDEX(sc_ach,2))</f>
        <v>1</v>
      </c>
      <c r="N3916" s="52">
        <f>IF(Inputs!$C$190="",0,IF(Inputs!$E$190="planned",(Inputs!$D$190+N(INDEX(sc_dpts,2)))*$M3916,Inputs!$D$190))</f>
        <v>0</v>
      </c>
      <c r="O3916" s="53">
        <f>IF(Inputs!$C$190="",0,IF(1+$N3916&gt;0,LN(1+$N3916),0))</f>
        <v>0</v>
      </c>
      <c r="P3916" s="55">
        <f t="shared" si="1430"/>
        <v>0</v>
      </c>
      <c r="Q3916" s="55">
        <f>IF($K3916="",0,COUNTIFS(rl_key,Inputs!$J$190,$L$3806:$L$4045,$L3916,$K$3806:$K$4045,"&lt;"&amp;$K3916))</f>
        <v>0</v>
      </c>
      <c r="R3916" s="55">
        <f>IF($K3916="",0,COUNTIFS(Inputs!$J$80:$J$190,Inputs!$J$190,$L$3806:$L3916,$L3916,$K$3806:$K3916,$K3916))</f>
        <v>0</v>
      </c>
      <c r="S3916" s="55">
        <f t="shared" si="1431"/>
        <v>0</v>
      </c>
      <c r="U3916" s="54" t="str">
        <f>IF(Inputs!$C$190="","",IF(Inputs!$E$190="planned",EDATE(Inputs!$C$190,N(INDEX(sc_shift,3))),Inputs!$C$190))</f>
        <v/>
      </c>
      <c r="V3916" s="54" t="str">
        <f t="shared" si="1432"/>
        <v/>
      </c>
      <c r="W3916" s="52">
        <f>IF(N(INDEX(sc_ach,3))=0,IF(Inputs!$G$190="",1,Inputs!$G$190),INDEX(sc_ach,3))</f>
        <v>1</v>
      </c>
      <c r="X3916" s="52">
        <f>IF(Inputs!$C$190="",0,IF(Inputs!$E$190="planned",(Inputs!$D$190+N(INDEX(sc_dpts,3)))*$W3916,Inputs!$D$190))</f>
        <v>0</v>
      </c>
      <c r="Y3916" s="53">
        <f>IF(Inputs!$C$190="",0,IF(1+$X3916&gt;0,LN(1+$X3916),0))</f>
        <v>0</v>
      </c>
      <c r="Z3916" s="55">
        <f t="shared" si="1433"/>
        <v>0</v>
      </c>
      <c r="AA3916" s="55">
        <f>IF($U3916="",0,COUNTIFS(rl_key,Inputs!$J$190,$V$3806:$V$4045,$V3916,$U$3806:$U$4045,"&lt;"&amp;$U3916))</f>
        <v>0</v>
      </c>
      <c r="AB3916" s="55">
        <f>IF($U3916="",0,COUNTIFS(Inputs!$J$80:$J$190,Inputs!$J$190,$V$3806:$V3916,$V3916,$U$3806:$U3916,$U3916))</f>
        <v>0</v>
      </c>
      <c r="AC3916" s="55">
        <f t="shared" si="1434"/>
        <v>0</v>
      </c>
      <c r="AE3916" s="54" t="str">
        <f>IF(Inputs!$C$190="","",IF(Inputs!$E$190="planned",EDATE(Inputs!$C$190,N(INDEX(sc_shift,4))),Inputs!$C$190))</f>
        <v/>
      </c>
      <c r="AF3916" s="54" t="str">
        <f t="shared" si="1435"/>
        <v/>
      </c>
      <c r="AG3916" s="52">
        <f>IF(N(INDEX(sc_ach,4))=0,IF(Inputs!$G$190="",1,Inputs!$G$190),INDEX(sc_ach,4))</f>
        <v>1</v>
      </c>
      <c r="AH3916" s="52">
        <f>IF(Inputs!$C$190="",0,IF(Inputs!$E$190="planned",(Inputs!$D$190+N(INDEX(sc_dpts,4)))*$AG3916,Inputs!$D$190))</f>
        <v>0</v>
      </c>
      <c r="AI3916" s="53">
        <f>IF(Inputs!$C$190="",0,IF(1+$AH3916&gt;0,LN(1+$AH3916),0))</f>
        <v>0</v>
      </c>
      <c r="AJ3916" s="55">
        <f t="shared" si="1436"/>
        <v>0</v>
      </c>
      <c r="AK3916" s="55">
        <f>IF($AE3916="",0,COUNTIFS(rl_key,Inputs!$J$190,$AF$3806:$AF$4045,$AF3916,$AE$3806:$AE$4045,"&lt;"&amp;$AE3916))</f>
        <v>0</v>
      </c>
      <c r="AL3916" s="55">
        <f>IF($AE3916="",0,COUNTIFS(Inputs!$J$80:$J$190,Inputs!$J$190,$AF$3806:$AF3916,$AF3916,$AE$3806:$AE3916,$AE3916))</f>
        <v>0</v>
      </c>
      <c r="AM3916" s="55">
        <f t="shared" si="1437"/>
        <v>0</v>
      </c>
    </row>
    <row r="3917" spans="1:39" x14ac:dyDescent="0.25">
      <c r="A3917" s="54" t="str">
        <f>IF(Inputs!$C$191="","",IF(Inputs!$E$191="planned",EDATE(Inputs!$C$191,N(INDEX(sc_shift,1))),Inputs!$C$191))</f>
        <v/>
      </c>
      <c r="B3917" s="54" t="str">
        <f t="shared" si="1426"/>
        <v/>
      </c>
      <c r="C3917" s="52">
        <f>IF(N(INDEX(sc_ach,1))=0,IF(Inputs!$G$191="",1,Inputs!$G$191),INDEX(sc_ach,1))</f>
        <v>1</v>
      </c>
      <c r="D3917" s="52">
        <f>IF(Inputs!$C$191="",0,IF(Inputs!$E$191="planned",(Inputs!$D$191+N(INDEX(sc_dpts,1)))*$C3917,Inputs!$D$191))</f>
        <v>0</v>
      </c>
      <c r="E3917" s="53">
        <f>IF(Inputs!$C$191="",0,IF(1+$D3917&gt;0,LN(1+$D3917),0))</f>
        <v>0</v>
      </c>
      <c r="F3917" s="55">
        <f t="shared" si="1427"/>
        <v>0</v>
      </c>
      <c r="G3917" s="55">
        <f>IF($A3917="",0,COUNTIFS(rl_key,Inputs!$J$191,$B$3806:$B$4045,$B3917,$A$3806:$A$4045,"&lt;"&amp;$A3917))</f>
        <v>0</v>
      </c>
      <c r="H3917" s="55">
        <f>IF($A3917="",0,COUNTIFS(Inputs!$J$80:$J$191,Inputs!$J$191,$B$3806:$B3917,$B3917,$A$3806:$A3917,$A3917))</f>
        <v>0</v>
      </c>
      <c r="I3917" s="55">
        <f t="shared" si="1428"/>
        <v>0</v>
      </c>
      <c r="K3917" s="54" t="str">
        <f>IF(Inputs!$C$191="","",IF(Inputs!$E$191="planned",EDATE(Inputs!$C$191,N(INDEX(sc_shift,2))),Inputs!$C$191))</f>
        <v/>
      </c>
      <c r="L3917" s="54" t="str">
        <f t="shared" si="1429"/>
        <v/>
      </c>
      <c r="M3917" s="52">
        <f>IF(N(INDEX(sc_ach,2))=0,IF(Inputs!$G$191="",1,Inputs!$G$191),INDEX(sc_ach,2))</f>
        <v>1</v>
      </c>
      <c r="N3917" s="52">
        <f>IF(Inputs!$C$191="",0,IF(Inputs!$E$191="planned",(Inputs!$D$191+N(INDEX(sc_dpts,2)))*$M3917,Inputs!$D$191))</f>
        <v>0</v>
      </c>
      <c r="O3917" s="53">
        <f>IF(Inputs!$C$191="",0,IF(1+$N3917&gt;0,LN(1+$N3917),0))</f>
        <v>0</v>
      </c>
      <c r="P3917" s="55">
        <f t="shared" si="1430"/>
        <v>0</v>
      </c>
      <c r="Q3917" s="55">
        <f>IF($K3917="",0,COUNTIFS(rl_key,Inputs!$J$191,$L$3806:$L$4045,$L3917,$K$3806:$K$4045,"&lt;"&amp;$K3917))</f>
        <v>0</v>
      </c>
      <c r="R3917" s="55">
        <f>IF($K3917="",0,COUNTIFS(Inputs!$J$80:$J$191,Inputs!$J$191,$L$3806:$L3917,$L3917,$K$3806:$K3917,$K3917))</f>
        <v>0</v>
      </c>
      <c r="S3917" s="55">
        <f t="shared" si="1431"/>
        <v>0</v>
      </c>
      <c r="U3917" s="54" t="str">
        <f>IF(Inputs!$C$191="","",IF(Inputs!$E$191="planned",EDATE(Inputs!$C$191,N(INDEX(sc_shift,3))),Inputs!$C$191))</f>
        <v/>
      </c>
      <c r="V3917" s="54" t="str">
        <f t="shared" si="1432"/>
        <v/>
      </c>
      <c r="W3917" s="52">
        <f>IF(N(INDEX(sc_ach,3))=0,IF(Inputs!$G$191="",1,Inputs!$G$191),INDEX(sc_ach,3))</f>
        <v>1</v>
      </c>
      <c r="X3917" s="52">
        <f>IF(Inputs!$C$191="",0,IF(Inputs!$E$191="planned",(Inputs!$D$191+N(INDEX(sc_dpts,3)))*$W3917,Inputs!$D$191))</f>
        <v>0</v>
      </c>
      <c r="Y3917" s="53">
        <f>IF(Inputs!$C$191="",0,IF(1+$X3917&gt;0,LN(1+$X3917),0))</f>
        <v>0</v>
      </c>
      <c r="Z3917" s="55">
        <f t="shared" si="1433"/>
        <v>0</v>
      </c>
      <c r="AA3917" s="55">
        <f>IF($U3917="",0,COUNTIFS(rl_key,Inputs!$J$191,$V$3806:$V$4045,$V3917,$U$3806:$U$4045,"&lt;"&amp;$U3917))</f>
        <v>0</v>
      </c>
      <c r="AB3917" s="55">
        <f>IF($U3917="",0,COUNTIFS(Inputs!$J$80:$J$191,Inputs!$J$191,$V$3806:$V3917,$V3917,$U$3806:$U3917,$U3917))</f>
        <v>0</v>
      </c>
      <c r="AC3917" s="55">
        <f t="shared" si="1434"/>
        <v>0</v>
      </c>
      <c r="AE3917" s="54" t="str">
        <f>IF(Inputs!$C$191="","",IF(Inputs!$E$191="planned",EDATE(Inputs!$C$191,N(INDEX(sc_shift,4))),Inputs!$C$191))</f>
        <v/>
      </c>
      <c r="AF3917" s="54" t="str">
        <f t="shared" si="1435"/>
        <v/>
      </c>
      <c r="AG3917" s="52">
        <f>IF(N(INDEX(sc_ach,4))=0,IF(Inputs!$G$191="",1,Inputs!$G$191),INDEX(sc_ach,4))</f>
        <v>1</v>
      </c>
      <c r="AH3917" s="52">
        <f>IF(Inputs!$C$191="",0,IF(Inputs!$E$191="planned",(Inputs!$D$191+N(INDEX(sc_dpts,4)))*$AG3917,Inputs!$D$191))</f>
        <v>0</v>
      </c>
      <c r="AI3917" s="53">
        <f>IF(Inputs!$C$191="",0,IF(1+$AH3917&gt;0,LN(1+$AH3917),0))</f>
        <v>0</v>
      </c>
      <c r="AJ3917" s="55">
        <f t="shared" si="1436"/>
        <v>0</v>
      </c>
      <c r="AK3917" s="55">
        <f>IF($AE3917="",0,COUNTIFS(rl_key,Inputs!$J$191,$AF$3806:$AF$4045,$AF3917,$AE$3806:$AE$4045,"&lt;"&amp;$AE3917))</f>
        <v>0</v>
      </c>
      <c r="AL3917" s="55">
        <f>IF($AE3917="",0,COUNTIFS(Inputs!$J$80:$J$191,Inputs!$J$191,$AF$3806:$AF3917,$AF3917,$AE$3806:$AE3917,$AE3917))</f>
        <v>0</v>
      </c>
      <c r="AM3917" s="55">
        <f t="shared" si="1437"/>
        <v>0</v>
      </c>
    </row>
    <row r="3918" spans="1:39" x14ac:dyDescent="0.25">
      <c r="A3918" s="54" t="str">
        <f>IF(Inputs!$C$192="","",IF(Inputs!$E$192="planned",EDATE(Inputs!$C$192,N(INDEX(sc_shift,1))),Inputs!$C$192))</f>
        <v/>
      </c>
      <c r="B3918" s="54" t="str">
        <f t="shared" si="1426"/>
        <v/>
      </c>
      <c r="C3918" s="52">
        <f>IF(N(INDEX(sc_ach,1))=0,IF(Inputs!$G$192="",1,Inputs!$G$192),INDEX(sc_ach,1))</f>
        <v>1</v>
      </c>
      <c r="D3918" s="52">
        <f>IF(Inputs!$C$192="",0,IF(Inputs!$E$192="planned",(Inputs!$D$192+N(INDEX(sc_dpts,1)))*$C3918,Inputs!$D$192))</f>
        <v>0</v>
      </c>
      <c r="E3918" s="53">
        <f>IF(Inputs!$C$192="",0,IF(1+$D3918&gt;0,LN(1+$D3918),0))</f>
        <v>0</v>
      </c>
      <c r="F3918" s="55">
        <f t="shared" si="1427"/>
        <v>0</v>
      </c>
      <c r="G3918" s="55">
        <f>IF($A3918="",0,COUNTIFS(rl_key,Inputs!$J$192,$B$3806:$B$4045,$B3918,$A$3806:$A$4045,"&lt;"&amp;$A3918))</f>
        <v>0</v>
      </c>
      <c r="H3918" s="55">
        <f>IF($A3918="",0,COUNTIFS(Inputs!$J$80:$J$192,Inputs!$J$192,$B$3806:$B3918,$B3918,$A$3806:$A3918,$A3918))</f>
        <v>0</v>
      </c>
      <c r="I3918" s="55">
        <f t="shared" si="1428"/>
        <v>0</v>
      </c>
      <c r="K3918" s="54" t="str">
        <f>IF(Inputs!$C$192="","",IF(Inputs!$E$192="planned",EDATE(Inputs!$C$192,N(INDEX(sc_shift,2))),Inputs!$C$192))</f>
        <v/>
      </c>
      <c r="L3918" s="54" t="str">
        <f t="shared" si="1429"/>
        <v/>
      </c>
      <c r="M3918" s="52">
        <f>IF(N(INDEX(sc_ach,2))=0,IF(Inputs!$G$192="",1,Inputs!$G$192),INDEX(sc_ach,2))</f>
        <v>1</v>
      </c>
      <c r="N3918" s="52">
        <f>IF(Inputs!$C$192="",0,IF(Inputs!$E$192="planned",(Inputs!$D$192+N(INDEX(sc_dpts,2)))*$M3918,Inputs!$D$192))</f>
        <v>0</v>
      </c>
      <c r="O3918" s="53">
        <f>IF(Inputs!$C$192="",0,IF(1+$N3918&gt;0,LN(1+$N3918),0))</f>
        <v>0</v>
      </c>
      <c r="P3918" s="55">
        <f t="shared" si="1430"/>
        <v>0</v>
      </c>
      <c r="Q3918" s="55">
        <f>IF($K3918="",0,COUNTIFS(rl_key,Inputs!$J$192,$L$3806:$L$4045,$L3918,$K$3806:$K$4045,"&lt;"&amp;$K3918))</f>
        <v>0</v>
      </c>
      <c r="R3918" s="55">
        <f>IF($K3918="",0,COUNTIFS(Inputs!$J$80:$J$192,Inputs!$J$192,$L$3806:$L3918,$L3918,$K$3806:$K3918,$K3918))</f>
        <v>0</v>
      </c>
      <c r="S3918" s="55">
        <f t="shared" si="1431"/>
        <v>0</v>
      </c>
      <c r="U3918" s="54" t="str">
        <f>IF(Inputs!$C$192="","",IF(Inputs!$E$192="planned",EDATE(Inputs!$C$192,N(INDEX(sc_shift,3))),Inputs!$C$192))</f>
        <v/>
      </c>
      <c r="V3918" s="54" t="str">
        <f t="shared" si="1432"/>
        <v/>
      </c>
      <c r="W3918" s="52">
        <f>IF(N(INDEX(sc_ach,3))=0,IF(Inputs!$G$192="",1,Inputs!$G$192),INDEX(sc_ach,3))</f>
        <v>1</v>
      </c>
      <c r="X3918" s="52">
        <f>IF(Inputs!$C$192="",0,IF(Inputs!$E$192="planned",(Inputs!$D$192+N(INDEX(sc_dpts,3)))*$W3918,Inputs!$D$192))</f>
        <v>0</v>
      </c>
      <c r="Y3918" s="53">
        <f>IF(Inputs!$C$192="",0,IF(1+$X3918&gt;0,LN(1+$X3918),0))</f>
        <v>0</v>
      </c>
      <c r="Z3918" s="55">
        <f t="shared" si="1433"/>
        <v>0</v>
      </c>
      <c r="AA3918" s="55">
        <f>IF($U3918="",0,COUNTIFS(rl_key,Inputs!$J$192,$V$3806:$V$4045,$V3918,$U$3806:$U$4045,"&lt;"&amp;$U3918))</f>
        <v>0</v>
      </c>
      <c r="AB3918" s="55">
        <f>IF($U3918="",0,COUNTIFS(Inputs!$J$80:$J$192,Inputs!$J$192,$V$3806:$V3918,$V3918,$U$3806:$U3918,$U3918))</f>
        <v>0</v>
      </c>
      <c r="AC3918" s="55">
        <f t="shared" si="1434"/>
        <v>0</v>
      </c>
      <c r="AE3918" s="54" t="str">
        <f>IF(Inputs!$C$192="","",IF(Inputs!$E$192="planned",EDATE(Inputs!$C$192,N(INDEX(sc_shift,4))),Inputs!$C$192))</f>
        <v/>
      </c>
      <c r="AF3918" s="54" t="str">
        <f t="shared" si="1435"/>
        <v/>
      </c>
      <c r="AG3918" s="52">
        <f>IF(N(INDEX(sc_ach,4))=0,IF(Inputs!$G$192="",1,Inputs!$G$192),INDEX(sc_ach,4))</f>
        <v>1</v>
      </c>
      <c r="AH3918" s="52">
        <f>IF(Inputs!$C$192="",0,IF(Inputs!$E$192="planned",(Inputs!$D$192+N(INDEX(sc_dpts,4)))*$AG3918,Inputs!$D$192))</f>
        <v>0</v>
      </c>
      <c r="AI3918" s="53">
        <f>IF(Inputs!$C$192="",0,IF(1+$AH3918&gt;0,LN(1+$AH3918),0))</f>
        <v>0</v>
      </c>
      <c r="AJ3918" s="55">
        <f t="shared" si="1436"/>
        <v>0</v>
      </c>
      <c r="AK3918" s="55">
        <f>IF($AE3918="",0,COUNTIFS(rl_key,Inputs!$J$192,$AF$3806:$AF$4045,$AF3918,$AE$3806:$AE$4045,"&lt;"&amp;$AE3918))</f>
        <v>0</v>
      </c>
      <c r="AL3918" s="55">
        <f>IF($AE3918="",0,COUNTIFS(Inputs!$J$80:$J$192,Inputs!$J$192,$AF$3806:$AF3918,$AF3918,$AE$3806:$AE3918,$AE3918))</f>
        <v>0</v>
      </c>
      <c r="AM3918" s="55">
        <f t="shared" si="1437"/>
        <v>0</v>
      </c>
    </row>
    <row r="3919" spans="1:39" x14ac:dyDescent="0.25">
      <c r="A3919" s="54" t="str">
        <f>IF(Inputs!$C$193="","",IF(Inputs!$E$193="planned",EDATE(Inputs!$C$193,N(INDEX(sc_shift,1))),Inputs!$C$193))</f>
        <v/>
      </c>
      <c r="B3919" s="54" t="str">
        <f t="shared" si="1426"/>
        <v/>
      </c>
      <c r="C3919" s="52">
        <f>IF(N(INDEX(sc_ach,1))=0,IF(Inputs!$G$193="",1,Inputs!$G$193),INDEX(sc_ach,1))</f>
        <v>1</v>
      </c>
      <c r="D3919" s="52">
        <f>IF(Inputs!$C$193="",0,IF(Inputs!$E$193="planned",(Inputs!$D$193+N(INDEX(sc_dpts,1)))*$C3919,Inputs!$D$193))</f>
        <v>0</v>
      </c>
      <c r="E3919" s="53">
        <f>IF(Inputs!$C$193="",0,IF(1+$D3919&gt;0,LN(1+$D3919),0))</f>
        <v>0</v>
      </c>
      <c r="F3919" s="55">
        <f t="shared" si="1427"/>
        <v>0</v>
      </c>
      <c r="G3919" s="55">
        <f>IF($A3919="",0,COUNTIFS(rl_key,Inputs!$J$193,$B$3806:$B$4045,$B3919,$A$3806:$A$4045,"&lt;"&amp;$A3919))</f>
        <v>0</v>
      </c>
      <c r="H3919" s="55">
        <f>IF($A3919="",0,COUNTIFS(Inputs!$J$80:$J$193,Inputs!$J$193,$B$3806:$B3919,$B3919,$A$3806:$A3919,$A3919))</f>
        <v>0</v>
      </c>
      <c r="I3919" s="55">
        <f t="shared" si="1428"/>
        <v>0</v>
      </c>
      <c r="K3919" s="54" t="str">
        <f>IF(Inputs!$C$193="","",IF(Inputs!$E$193="planned",EDATE(Inputs!$C$193,N(INDEX(sc_shift,2))),Inputs!$C$193))</f>
        <v/>
      </c>
      <c r="L3919" s="54" t="str">
        <f t="shared" si="1429"/>
        <v/>
      </c>
      <c r="M3919" s="52">
        <f>IF(N(INDEX(sc_ach,2))=0,IF(Inputs!$G$193="",1,Inputs!$G$193),INDEX(sc_ach,2))</f>
        <v>1</v>
      </c>
      <c r="N3919" s="52">
        <f>IF(Inputs!$C$193="",0,IF(Inputs!$E$193="planned",(Inputs!$D$193+N(INDEX(sc_dpts,2)))*$M3919,Inputs!$D$193))</f>
        <v>0</v>
      </c>
      <c r="O3919" s="53">
        <f>IF(Inputs!$C$193="",0,IF(1+$N3919&gt;0,LN(1+$N3919),0))</f>
        <v>0</v>
      </c>
      <c r="P3919" s="55">
        <f t="shared" si="1430"/>
        <v>0</v>
      </c>
      <c r="Q3919" s="55">
        <f>IF($K3919="",0,COUNTIFS(rl_key,Inputs!$J$193,$L$3806:$L$4045,$L3919,$K$3806:$K$4045,"&lt;"&amp;$K3919))</f>
        <v>0</v>
      </c>
      <c r="R3919" s="55">
        <f>IF($K3919="",0,COUNTIFS(Inputs!$J$80:$J$193,Inputs!$J$193,$L$3806:$L3919,$L3919,$K$3806:$K3919,$K3919))</f>
        <v>0</v>
      </c>
      <c r="S3919" s="55">
        <f t="shared" si="1431"/>
        <v>0</v>
      </c>
      <c r="U3919" s="54" t="str">
        <f>IF(Inputs!$C$193="","",IF(Inputs!$E$193="planned",EDATE(Inputs!$C$193,N(INDEX(sc_shift,3))),Inputs!$C$193))</f>
        <v/>
      </c>
      <c r="V3919" s="54" t="str">
        <f t="shared" si="1432"/>
        <v/>
      </c>
      <c r="W3919" s="52">
        <f>IF(N(INDEX(sc_ach,3))=0,IF(Inputs!$G$193="",1,Inputs!$G$193),INDEX(sc_ach,3))</f>
        <v>1</v>
      </c>
      <c r="X3919" s="52">
        <f>IF(Inputs!$C$193="",0,IF(Inputs!$E$193="planned",(Inputs!$D$193+N(INDEX(sc_dpts,3)))*$W3919,Inputs!$D$193))</f>
        <v>0</v>
      </c>
      <c r="Y3919" s="53">
        <f>IF(Inputs!$C$193="",0,IF(1+$X3919&gt;0,LN(1+$X3919),0))</f>
        <v>0</v>
      </c>
      <c r="Z3919" s="55">
        <f t="shared" si="1433"/>
        <v>0</v>
      </c>
      <c r="AA3919" s="55">
        <f>IF($U3919="",0,COUNTIFS(rl_key,Inputs!$J$193,$V$3806:$V$4045,$V3919,$U$3806:$U$4045,"&lt;"&amp;$U3919))</f>
        <v>0</v>
      </c>
      <c r="AB3919" s="55">
        <f>IF($U3919="",0,COUNTIFS(Inputs!$J$80:$J$193,Inputs!$J$193,$V$3806:$V3919,$V3919,$U$3806:$U3919,$U3919))</f>
        <v>0</v>
      </c>
      <c r="AC3919" s="55">
        <f t="shared" si="1434"/>
        <v>0</v>
      </c>
      <c r="AE3919" s="54" t="str">
        <f>IF(Inputs!$C$193="","",IF(Inputs!$E$193="planned",EDATE(Inputs!$C$193,N(INDEX(sc_shift,4))),Inputs!$C$193))</f>
        <v/>
      </c>
      <c r="AF3919" s="54" t="str">
        <f t="shared" si="1435"/>
        <v/>
      </c>
      <c r="AG3919" s="52">
        <f>IF(N(INDEX(sc_ach,4))=0,IF(Inputs!$G$193="",1,Inputs!$G$193),INDEX(sc_ach,4))</f>
        <v>1</v>
      </c>
      <c r="AH3919" s="52">
        <f>IF(Inputs!$C$193="",0,IF(Inputs!$E$193="planned",(Inputs!$D$193+N(INDEX(sc_dpts,4)))*$AG3919,Inputs!$D$193))</f>
        <v>0</v>
      </c>
      <c r="AI3919" s="53">
        <f>IF(Inputs!$C$193="",0,IF(1+$AH3919&gt;0,LN(1+$AH3919),0))</f>
        <v>0</v>
      </c>
      <c r="AJ3919" s="55">
        <f t="shared" si="1436"/>
        <v>0</v>
      </c>
      <c r="AK3919" s="55">
        <f>IF($AE3919="",0,COUNTIFS(rl_key,Inputs!$J$193,$AF$3806:$AF$4045,$AF3919,$AE$3806:$AE$4045,"&lt;"&amp;$AE3919))</f>
        <v>0</v>
      </c>
      <c r="AL3919" s="55">
        <f>IF($AE3919="",0,COUNTIFS(Inputs!$J$80:$J$193,Inputs!$J$193,$AF$3806:$AF3919,$AF3919,$AE$3806:$AE3919,$AE3919))</f>
        <v>0</v>
      </c>
      <c r="AM3919" s="55">
        <f t="shared" si="1437"/>
        <v>0</v>
      </c>
    </row>
    <row r="3920" spans="1:39" x14ac:dyDescent="0.25">
      <c r="A3920" s="54" t="str">
        <f>IF(Inputs!$C$194="","",IF(Inputs!$E$194="planned",EDATE(Inputs!$C$194,N(INDEX(sc_shift,1))),Inputs!$C$194))</f>
        <v/>
      </c>
      <c r="B3920" s="54" t="str">
        <f t="shared" si="1426"/>
        <v/>
      </c>
      <c r="C3920" s="52">
        <f>IF(N(INDEX(sc_ach,1))=0,IF(Inputs!$G$194="",1,Inputs!$G$194),INDEX(sc_ach,1))</f>
        <v>1</v>
      </c>
      <c r="D3920" s="52">
        <f>IF(Inputs!$C$194="",0,IF(Inputs!$E$194="planned",(Inputs!$D$194+N(INDEX(sc_dpts,1)))*$C3920,Inputs!$D$194))</f>
        <v>0</v>
      </c>
      <c r="E3920" s="53">
        <f>IF(Inputs!$C$194="",0,IF(1+$D3920&gt;0,LN(1+$D3920),0))</f>
        <v>0</v>
      </c>
      <c r="F3920" s="55">
        <f t="shared" si="1427"/>
        <v>0</v>
      </c>
      <c r="G3920" s="55">
        <f>IF($A3920="",0,COUNTIFS(rl_key,Inputs!$J$194,$B$3806:$B$4045,$B3920,$A$3806:$A$4045,"&lt;"&amp;$A3920))</f>
        <v>0</v>
      </c>
      <c r="H3920" s="55">
        <f>IF($A3920="",0,COUNTIFS(Inputs!$J$80:$J$194,Inputs!$J$194,$B$3806:$B3920,$B3920,$A$3806:$A3920,$A3920))</f>
        <v>0</v>
      </c>
      <c r="I3920" s="55">
        <f t="shared" si="1428"/>
        <v>0</v>
      </c>
      <c r="K3920" s="54" t="str">
        <f>IF(Inputs!$C$194="","",IF(Inputs!$E$194="planned",EDATE(Inputs!$C$194,N(INDEX(sc_shift,2))),Inputs!$C$194))</f>
        <v/>
      </c>
      <c r="L3920" s="54" t="str">
        <f t="shared" si="1429"/>
        <v/>
      </c>
      <c r="M3920" s="52">
        <f>IF(N(INDEX(sc_ach,2))=0,IF(Inputs!$G$194="",1,Inputs!$G$194),INDEX(sc_ach,2))</f>
        <v>1</v>
      </c>
      <c r="N3920" s="52">
        <f>IF(Inputs!$C$194="",0,IF(Inputs!$E$194="planned",(Inputs!$D$194+N(INDEX(sc_dpts,2)))*$M3920,Inputs!$D$194))</f>
        <v>0</v>
      </c>
      <c r="O3920" s="53">
        <f>IF(Inputs!$C$194="",0,IF(1+$N3920&gt;0,LN(1+$N3920),0))</f>
        <v>0</v>
      </c>
      <c r="P3920" s="55">
        <f t="shared" si="1430"/>
        <v>0</v>
      </c>
      <c r="Q3920" s="55">
        <f>IF($K3920="",0,COUNTIFS(rl_key,Inputs!$J$194,$L$3806:$L$4045,$L3920,$K$3806:$K$4045,"&lt;"&amp;$K3920))</f>
        <v>0</v>
      </c>
      <c r="R3920" s="55">
        <f>IF($K3920="",0,COUNTIFS(Inputs!$J$80:$J$194,Inputs!$J$194,$L$3806:$L3920,$L3920,$K$3806:$K3920,$K3920))</f>
        <v>0</v>
      </c>
      <c r="S3920" s="55">
        <f t="shared" si="1431"/>
        <v>0</v>
      </c>
      <c r="U3920" s="54" t="str">
        <f>IF(Inputs!$C$194="","",IF(Inputs!$E$194="planned",EDATE(Inputs!$C$194,N(INDEX(sc_shift,3))),Inputs!$C$194))</f>
        <v/>
      </c>
      <c r="V3920" s="54" t="str">
        <f t="shared" si="1432"/>
        <v/>
      </c>
      <c r="W3920" s="52">
        <f>IF(N(INDEX(sc_ach,3))=0,IF(Inputs!$G$194="",1,Inputs!$G$194),INDEX(sc_ach,3))</f>
        <v>1</v>
      </c>
      <c r="X3920" s="52">
        <f>IF(Inputs!$C$194="",0,IF(Inputs!$E$194="planned",(Inputs!$D$194+N(INDEX(sc_dpts,3)))*$W3920,Inputs!$D$194))</f>
        <v>0</v>
      </c>
      <c r="Y3920" s="53">
        <f>IF(Inputs!$C$194="",0,IF(1+$X3920&gt;0,LN(1+$X3920),0))</f>
        <v>0</v>
      </c>
      <c r="Z3920" s="55">
        <f t="shared" si="1433"/>
        <v>0</v>
      </c>
      <c r="AA3920" s="55">
        <f>IF($U3920="",0,COUNTIFS(rl_key,Inputs!$J$194,$V$3806:$V$4045,$V3920,$U$3806:$U$4045,"&lt;"&amp;$U3920))</f>
        <v>0</v>
      </c>
      <c r="AB3920" s="55">
        <f>IF($U3920="",0,COUNTIFS(Inputs!$J$80:$J$194,Inputs!$J$194,$V$3806:$V3920,$V3920,$U$3806:$U3920,$U3920))</f>
        <v>0</v>
      </c>
      <c r="AC3920" s="55">
        <f t="shared" si="1434"/>
        <v>0</v>
      </c>
      <c r="AE3920" s="54" t="str">
        <f>IF(Inputs!$C$194="","",IF(Inputs!$E$194="planned",EDATE(Inputs!$C$194,N(INDEX(sc_shift,4))),Inputs!$C$194))</f>
        <v/>
      </c>
      <c r="AF3920" s="54" t="str">
        <f t="shared" si="1435"/>
        <v/>
      </c>
      <c r="AG3920" s="52">
        <f>IF(N(INDEX(sc_ach,4))=0,IF(Inputs!$G$194="",1,Inputs!$G$194),INDEX(sc_ach,4))</f>
        <v>1</v>
      </c>
      <c r="AH3920" s="52">
        <f>IF(Inputs!$C$194="",0,IF(Inputs!$E$194="planned",(Inputs!$D$194+N(INDEX(sc_dpts,4)))*$AG3920,Inputs!$D$194))</f>
        <v>0</v>
      </c>
      <c r="AI3920" s="53">
        <f>IF(Inputs!$C$194="",0,IF(1+$AH3920&gt;0,LN(1+$AH3920),0))</f>
        <v>0</v>
      </c>
      <c r="AJ3920" s="55">
        <f t="shared" si="1436"/>
        <v>0</v>
      </c>
      <c r="AK3920" s="55">
        <f>IF($AE3920="",0,COUNTIFS(rl_key,Inputs!$J$194,$AF$3806:$AF$4045,$AF3920,$AE$3806:$AE$4045,"&lt;"&amp;$AE3920))</f>
        <v>0</v>
      </c>
      <c r="AL3920" s="55">
        <f>IF($AE3920="",0,COUNTIFS(Inputs!$J$80:$J$194,Inputs!$J$194,$AF$3806:$AF3920,$AF3920,$AE$3806:$AE3920,$AE3920))</f>
        <v>0</v>
      </c>
      <c r="AM3920" s="55">
        <f t="shared" si="1437"/>
        <v>0</v>
      </c>
    </row>
    <row r="3921" spans="1:39" x14ac:dyDescent="0.25">
      <c r="A3921" s="54" t="str">
        <f>IF(Inputs!$C$195="","",IF(Inputs!$E$195="planned",EDATE(Inputs!$C$195,N(INDEX(sc_shift,1))),Inputs!$C$195))</f>
        <v/>
      </c>
      <c r="B3921" s="54" t="str">
        <f t="shared" si="1426"/>
        <v/>
      </c>
      <c r="C3921" s="52">
        <f>IF(N(INDEX(sc_ach,1))=0,IF(Inputs!$G$195="",1,Inputs!$G$195),INDEX(sc_ach,1))</f>
        <v>1</v>
      </c>
      <c r="D3921" s="52">
        <f>IF(Inputs!$C$195="",0,IF(Inputs!$E$195="planned",(Inputs!$D$195+N(INDEX(sc_dpts,1)))*$C3921,Inputs!$D$195))</f>
        <v>0</v>
      </c>
      <c r="E3921" s="53">
        <f>IF(Inputs!$C$195="",0,IF(1+$D3921&gt;0,LN(1+$D3921),0))</f>
        <v>0</v>
      </c>
      <c r="F3921" s="55">
        <f t="shared" si="1427"/>
        <v>0</v>
      </c>
      <c r="G3921" s="55">
        <f>IF($A3921="",0,COUNTIFS(rl_key,Inputs!$J$195,$B$3806:$B$4045,$B3921,$A$3806:$A$4045,"&lt;"&amp;$A3921))</f>
        <v>0</v>
      </c>
      <c r="H3921" s="55">
        <f>IF($A3921="",0,COUNTIFS(Inputs!$J$80:$J$195,Inputs!$J$195,$B$3806:$B3921,$B3921,$A$3806:$A3921,$A3921))</f>
        <v>0</v>
      </c>
      <c r="I3921" s="55">
        <f t="shared" si="1428"/>
        <v>0</v>
      </c>
      <c r="K3921" s="54" t="str">
        <f>IF(Inputs!$C$195="","",IF(Inputs!$E$195="planned",EDATE(Inputs!$C$195,N(INDEX(sc_shift,2))),Inputs!$C$195))</f>
        <v/>
      </c>
      <c r="L3921" s="54" t="str">
        <f t="shared" si="1429"/>
        <v/>
      </c>
      <c r="M3921" s="52">
        <f>IF(N(INDEX(sc_ach,2))=0,IF(Inputs!$G$195="",1,Inputs!$G$195),INDEX(sc_ach,2))</f>
        <v>1</v>
      </c>
      <c r="N3921" s="52">
        <f>IF(Inputs!$C$195="",0,IF(Inputs!$E$195="planned",(Inputs!$D$195+N(INDEX(sc_dpts,2)))*$M3921,Inputs!$D$195))</f>
        <v>0</v>
      </c>
      <c r="O3921" s="53">
        <f>IF(Inputs!$C$195="",0,IF(1+$N3921&gt;0,LN(1+$N3921),0))</f>
        <v>0</v>
      </c>
      <c r="P3921" s="55">
        <f t="shared" si="1430"/>
        <v>0</v>
      </c>
      <c r="Q3921" s="55">
        <f>IF($K3921="",0,COUNTIFS(rl_key,Inputs!$J$195,$L$3806:$L$4045,$L3921,$K$3806:$K$4045,"&lt;"&amp;$K3921))</f>
        <v>0</v>
      </c>
      <c r="R3921" s="55">
        <f>IF($K3921="",0,COUNTIFS(Inputs!$J$80:$J$195,Inputs!$J$195,$L$3806:$L3921,$L3921,$K$3806:$K3921,$K3921))</f>
        <v>0</v>
      </c>
      <c r="S3921" s="55">
        <f t="shared" si="1431"/>
        <v>0</v>
      </c>
      <c r="U3921" s="54" t="str">
        <f>IF(Inputs!$C$195="","",IF(Inputs!$E$195="planned",EDATE(Inputs!$C$195,N(INDEX(sc_shift,3))),Inputs!$C$195))</f>
        <v/>
      </c>
      <c r="V3921" s="54" t="str">
        <f t="shared" si="1432"/>
        <v/>
      </c>
      <c r="W3921" s="52">
        <f>IF(N(INDEX(sc_ach,3))=0,IF(Inputs!$G$195="",1,Inputs!$G$195),INDEX(sc_ach,3))</f>
        <v>1</v>
      </c>
      <c r="X3921" s="52">
        <f>IF(Inputs!$C$195="",0,IF(Inputs!$E$195="planned",(Inputs!$D$195+N(INDEX(sc_dpts,3)))*$W3921,Inputs!$D$195))</f>
        <v>0</v>
      </c>
      <c r="Y3921" s="53">
        <f>IF(Inputs!$C$195="",0,IF(1+$X3921&gt;0,LN(1+$X3921),0))</f>
        <v>0</v>
      </c>
      <c r="Z3921" s="55">
        <f t="shared" si="1433"/>
        <v>0</v>
      </c>
      <c r="AA3921" s="55">
        <f>IF($U3921="",0,COUNTIFS(rl_key,Inputs!$J$195,$V$3806:$V$4045,$V3921,$U$3806:$U$4045,"&lt;"&amp;$U3921))</f>
        <v>0</v>
      </c>
      <c r="AB3921" s="55">
        <f>IF($U3921="",0,COUNTIFS(Inputs!$J$80:$J$195,Inputs!$J$195,$V$3806:$V3921,$V3921,$U$3806:$U3921,$U3921))</f>
        <v>0</v>
      </c>
      <c r="AC3921" s="55">
        <f t="shared" si="1434"/>
        <v>0</v>
      </c>
      <c r="AE3921" s="54" t="str">
        <f>IF(Inputs!$C$195="","",IF(Inputs!$E$195="planned",EDATE(Inputs!$C$195,N(INDEX(sc_shift,4))),Inputs!$C$195))</f>
        <v/>
      </c>
      <c r="AF3921" s="54" t="str">
        <f t="shared" si="1435"/>
        <v/>
      </c>
      <c r="AG3921" s="52">
        <f>IF(N(INDEX(sc_ach,4))=0,IF(Inputs!$G$195="",1,Inputs!$G$195),INDEX(sc_ach,4))</f>
        <v>1</v>
      </c>
      <c r="AH3921" s="52">
        <f>IF(Inputs!$C$195="",0,IF(Inputs!$E$195="planned",(Inputs!$D$195+N(INDEX(sc_dpts,4)))*$AG3921,Inputs!$D$195))</f>
        <v>0</v>
      </c>
      <c r="AI3921" s="53">
        <f>IF(Inputs!$C$195="",0,IF(1+$AH3921&gt;0,LN(1+$AH3921),0))</f>
        <v>0</v>
      </c>
      <c r="AJ3921" s="55">
        <f t="shared" si="1436"/>
        <v>0</v>
      </c>
      <c r="AK3921" s="55">
        <f>IF($AE3921="",0,COUNTIFS(rl_key,Inputs!$J$195,$AF$3806:$AF$4045,$AF3921,$AE$3806:$AE$4045,"&lt;"&amp;$AE3921))</f>
        <v>0</v>
      </c>
      <c r="AL3921" s="55">
        <f>IF($AE3921="",0,COUNTIFS(Inputs!$J$80:$J$195,Inputs!$J$195,$AF$3806:$AF3921,$AF3921,$AE$3806:$AE3921,$AE3921))</f>
        <v>0</v>
      </c>
      <c r="AM3921" s="55">
        <f t="shared" si="1437"/>
        <v>0</v>
      </c>
    </row>
    <row r="3922" spans="1:39" x14ac:dyDescent="0.25">
      <c r="A3922" s="54" t="str">
        <f>IF(Inputs!$C$196="","",IF(Inputs!$E$196="planned",EDATE(Inputs!$C$196,N(INDEX(sc_shift,1))),Inputs!$C$196))</f>
        <v/>
      </c>
      <c r="B3922" s="54" t="str">
        <f t="shared" si="1426"/>
        <v/>
      </c>
      <c r="C3922" s="52">
        <f>IF(N(INDEX(sc_ach,1))=0,IF(Inputs!$G$196="",1,Inputs!$G$196),INDEX(sc_ach,1))</f>
        <v>1</v>
      </c>
      <c r="D3922" s="52">
        <f>IF(Inputs!$C$196="",0,IF(Inputs!$E$196="planned",(Inputs!$D$196+N(INDEX(sc_dpts,1)))*$C3922,Inputs!$D$196))</f>
        <v>0</v>
      </c>
      <c r="E3922" s="53">
        <f>IF(Inputs!$C$196="",0,IF(1+$D3922&gt;0,LN(1+$D3922),0))</f>
        <v>0</v>
      </c>
      <c r="F3922" s="55">
        <f t="shared" si="1427"/>
        <v>0</v>
      </c>
      <c r="G3922" s="55">
        <f>IF($A3922="",0,COUNTIFS(rl_key,Inputs!$J$196,$B$3806:$B$4045,$B3922,$A$3806:$A$4045,"&lt;"&amp;$A3922))</f>
        <v>0</v>
      </c>
      <c r="H3922" s="55">
        <f>IF($A3922="",0,COUNTIFS(Inputs!$J$80:$J$196,Inputs!$J$196,$B$3806:$B3922,$B3922,$A$3806:$A3922,$A3922))</f>
        <v>0</v>
      </c>
      <c r="I3922" s="55">
        <f t="shared" si="1428"/>
        <v>0</v>
      </c>
      <c r="K3922" s="54" t="str">
        <f>IF(Inputs!$C$196="","",IF(Inputs!$E$196="planned",EDATE(Inputs!$C$196,N(INDEX(sc_shift,2))),Inputs!$C$196))</f>
        <v/>
      </c>
      <c r="L3922" s="54" t="str">
        <f t="shared" si="1429"/>
        <v/>
      </c>
      <c r="M3922" s="52">
        <f>IF(N(INDEX(sc_ach,2))=0,IF(Inputs!$G$196="",1,Inputs!$G$196),INDEX(sc_ach,2))</f>
        <v>1</v>
      </c>
      <c r="N3922" s="52">
        <f>IF(Inputs!$C$196="",0,IF(Inputs!$E$196="planned",(Inputs!$D$196+N(INDEX(sc_dpts,2)))*$M3922,Inputs!$D$196))</f>
        <v>0</v>
      </c>
      <c r="O3922" s="53">
        <f>IF(Inputs!$C$196="",0,IF(1+$N3922&gt;0,LN(1+$N3922),0))</f>
        <v>0</v>
      </c>
      <c r="P3922" s="55">
        <f t="shared" si="1430"/>
        <v>0</v>
      </c>
      <c r="Q3922" s="55">
        <f>IF($K3922="",0,COUNTIFS(rl_key,Inputs!$J$196,$L$3806:$L$4045,$L3922,$K$3806:$K$4045,"&lt;"&amp;$K3922))</f>
        <v>0</v>
      </c>
      <c r="R3922" s="55">
        <f>IF($K3922="",0,COUNTIFS(Inputs!$J$80:$J$196,Inputs!$J$196,$L$3806:$L3922,$L3922,$K$3806:$K3922,$K3922))</f>
        <v>0</v>
      </c>
      <c r="S3922" s="55">
        <f t="shared" si="1431"/>
        <v>0</v>
      </c>
      <c r="U3922" s="54" t="str">
        <f>IF(Inputs!$C$196="","",IF(Inputs!$E$196="planned",EDATE(Inputs!$C$196,N(INDEX(sc_shift,3))),Inputs!$C$196))</f>
        <v/>
      </c>
      <c r="V3922" s="54" t="str">
        <f t="shared" si="1432"/>
        <v/>
      </c>
      <c r="W3922" s="52">
        <f>IF(N(INDEX(sc_ach,3))=0,IF(Inputs!$G$196="",1,Inputs!$G$196),INDEX(sc_ach,3))</f>
        <v>1</v>
      </c>
      <c r="X3922" s="52">
        <f>IF(Inputs!$C$196="",0,IF(Inputs!$E$196="planned",(Inputs!$D$196+N(INDEX(sc_dpts,3)))*$W3922,Inputs!$D$196))</f>
        <v>0</v>
      </c>
      <c r="Y3922" s="53">
        <f>IF(Inputs!$C$196="",0,IF(1+$X3922&gt;0,LN(1+$X3922),0))</f>
        <v>0</v>
      </c>
      <c r="Z3922" s="55">
        <f t="shared" si="1433"/>
        <v>0</v>
      </c>
      <c r="AA3922" s="55">
        <f>IF($U3922="",0,COUNTIFS(rl_key,Inputs!$J$196,$V$3806:$V$4045,$V3922,$U$3806:$U$4045,"&lt;"&amp;$U3922))</f>
        <v>0</v>
      </c>
      <c r="AB3922" s="55">
        <f>IF($U3922="",0,COUNTIFS(Inputs!$J$80:$J$196,Inputs!$J$196,$V$3806:$V3922,$V3922,$U$3806:$U3922,$U3922))</f>
        <v>0</v>
      </c>
      <c r="AC3922" s="55">
        <f t="shared" si="1434"/>
        <v>0</v>
      </c>
      <c r="AE3922" s="54" t="str">
        <f>IF(Inputs!$C$196="","",IF(Inputs!$E$196="planned",EDATE(Inputs!$C$196,N(INDEX(sc_shift,4))),Inputs!$C$196))</f>
        <v/>
      </c>
      <c r="AF3922" s="54" t="str">
        <f t="shared" si="1435"/>
        <v/>
      </c>
      <c r="AG3922" s="52">
        <f>IF(N(INDEX(sc_ach,4))=0,IF(Inputs!$G$196="",1,Inputs!$G$196),INDEX(sc_ach,4))</f>
        <v>1</v>
      </c>
      <c r="AH3922" s="52">
        <f>IF(Inputs!$C$196="",0,IF(Inputs!$E$196="planned",(Inputs!$D$196+N(INDEX(sc_dpts,4)))*$AG3922,Inputs!$D$196))</f>
        <v>0</v>
      </c>
      <c r="AI3922" s="53">
        <f>IF(Inputs!$C$196="",0,IF(1+$AH3922&gt;0,LN(1+$AH3922),0))</f>
        <v>0</v>
      </c>
      <c r="AJ3922" s="55">
        <f t="shared" si="1436"/>
        <v>0</v>
      </c>
      <c r="AK3922" s="55">
        <f>IF($AE3922="",0,COUNTIFS(rl_key,Inputs!$J$196,$AF$3806:$AF$4045,$AF3922,$AE$3806:$AE$4045,"&lt;"&amp;$AE3922))</f>
        <v>0</v>
      </c>
      <c r="AL3922" s="55">
        <f>IF($AE3922="",0,COUNTIFS(Inputs!$J$80:$J$196,Inputs!$J$196,$AF$3806:$AF3922,$AF3922,$AE$3806:$AE3922,$AE3922))</f>
        <v>0</v>
      </c>
      <c r="AM3922" s="55">
        <f t="shared" si="1437"/>
        <v>0</v>
      </c>
    </row>
    <row r="3923" spans="1:39" x14ac:dyDescent="0.25">
      <c r="A3923" s="54" t="str">
        <f>IF(Inputs!$C$197="","",IF(Inputs!$E$197="planned",EDATE(Inputs!$C$197,N(INDEX(sc_shift,1))),Inputs!$C$197))</f>
        <v/>
      </c>
      <c r="B3923" s="54" t="str">
        <f t="shared" si="1426"/>
        <v/>
      </c>
      <c r="C3923" s="52">
        <f>IF(N(INDEX(sc_ach,1))=0,IF(Inputs!$G$197="",1,Inputs!$G$197),INDEX(sc_ach,1))</f>
        <v>1</v>
      </c>
      <c r="D3923" s="52">
        <f>IF(Inputs!$C$197="",0,IF(Inputs!$E$197="planned",(Inputs!$D$197+N(INDEX(sc_dpts,1)))*$C3923,Inputs!$D$197))</f>
        <v>0</v>
      </c>
      <c r="E3923" s="53">
        <f>IF(Inputs!$C$197="",0,IF(1+$D3923&gt;0,LN(1+$D3923),0))</f>
        <v>0</v>
      </c>
      <c r="F3923" s="55">
        <f t="shared" si="1427"/>
        <v>0</v>
      </c>
      <c r="G3923" s="55">
        <f>IF($A3923="",0,COUNTIFS(rl_key,Inputs!$J$197,$B$3806:$B$4045,$B3923,$A$3806:$A$4045,"&lt;"&amp;$A3923))</f>
        <v>0</v>
      </c>
      <c r="H3923" s="55">
        <f>IF($A3923="",0,COUNTIFS(Inputs!$J$80:$J$197,Inputs!$J$197,$B$3806:$B3923,$B3923,$A$3806:$A3923,$A3923))</f>
        <v>0</v>
      </c>
      <c r="I3923" s="55">
        <f t="shared" si="1428"/>
        <v>0</v>
      </c>
      <c r="K3923" s="54" t="str">
        <f>IF(Inputs!$C$197="","",IF(Inputs!$E$197="planned",EDATE(Inputs!$C$197,N(INDEX(sc_shift,2))),Inputs!$C$197))</f>
        <v/>
      </c>
      <c r="L3923" s="54" t="str">
        <f t="shared" si="1429"/>
        <v/>
      </c>
      <c r="M3923" s="52">
        <f>IF(N(INDEX(sc_ach,2))=0,IF(Inputs!$G$197="",1,Inputs!$G$197),INDEX(sc_ach,2))</f>
        <v>1</v>
      </c>
      <c r="N3923" s="52">
        <f>IF(Inputs!$C$197="",0,IF(Inputs!$E$197="planned",(Inputs!$D$197+N(INDEX(sc_dpts,2)))*$M3923,Inputs!$D$197))</f>
        <v>0</v>
      </c>
      <c r="O3923" s="53">
        <f>IF(Inputs!$C$197="",0,IF(1+$N3923&gt;0,LN(1+$N3923),0))</f>
        <v>0</v>
      </c>
      <c r="P3923" s="55">
        <f t="shared" si="1430"/>
        <v>0</v>
      </c>
      <c r="Q3923" s="55">
        <f>IF($K3923="",0,COUNTIFS(rl_key,Inputs!$J$197,$L$3806:$L$4045,$L3923,$K$3806:$K$4045,"&lt;"&amp;$K3923))</f>
        <v>0</v>
      </c>
      <c r="R3923" s="55">
        <f>IF($K3923="",0,COUNTIFS(Inputs!$J$80:$J$197,Inputs!$J$197,$L$3806:$L3923,$L3923,$K$3806:$K3923,$K3923))</f>
        <v>0</v>
      </c>
      <c r="S3923" s="55">
        <f t="shared" si="1431"/>
        <v>0</v>
      </c>
      <c r="U3923" s="54" t="str">
        <f>IF(Inputs!$C$197="","",IF(Inputs!$E$197="planned",EDATE(Inputs!$C$197,N(INDEX(sc_shift,3))),Inputs!$C$197))</f>
        <v/>
      </c>
      <c r="V3923" s="54" t="str">
        <f t="shared" si="1432"/>
        <v/>
      </c>
      <c r="W3923" s="52">
        <f>IF(N(INDEX(sc_ach,3))=0,IF(Inputs!$G$197="",1,Inputs!$G$197),INDEX(sc_ach,3))</f>
        <v>1</v>
      </c>
      <c r="X3923" s="52">
        <f>IF(Inputs!$C$197="",0,IF(Inputs!$E$197="planned",(Inputs!$D$197+N(INDEX(sc_dpts,3)))*$W3923,Inputs!$D$197))</f>
        <v>0</v>
      </c>
      <c r="Y3923" s="53">
        <f>IF(Inputs!$C$197="",0,IF(1+$X3923&gt;0,LN(1+$X3923),0))</f>
        <v>0</v>
      </c>
      <c r="Z3923" s="55">
        <f t="shared" si="1433"/>
        <v>0</v>
      </c>
      <c r="AA3923" s="55">
        <f>IF($U3923="",0,COUNTIFS(rl_key,Inputs!$J$197,$V$3806:$V$4045,$V3923,$U$3806:$U$4045,"&lt;"&amp;$U3923))</f>
        <v>0</v>
      </c>
      <c r="AB3923" s="55">
        <f>IF($U3923="",0,COUNTIFS(Inputs!$J$80:$J$197,Inputs!$J$197,$V$3806:$V3923,$V3923,$U$3806:$U3923,$U3923))</f>
        <v>0</v>
      </c>
      <c r="AC3923" s="55">
        <f t="shared" si="1434"/>
        <v>0</v>
      </c>
      <c r="AE3923" s="54" t="str">
        <f>IF(Inputs!$C$197="","",IF(Inputs!$E$197="planned",EDATE(Inputs!$C$197,N(INDEX(sc_shift,4))),Inputs!$C$197))</f>
        <v/>
      </c>
      <c r="AF3923" s="54" t="str">
        <f t="shared" si="1435"/>
        <v/>
      </c>
      <c r="AG3923" s="52">
        <f>IF(N(INDEX(sc_ach,4))=0,IF(Inputs!$G$197="",1,Inputs!$G$197),INDEX(sc_ach,4))</f>
        <v>1</v>
      </c>
      <c r="AH3923" s="52">
        <f>IF(Inputs!$C$197="",0,IF(Inputs!$E$197="planned",(Inputs!$D$197+N(INDEX(sc_dpts,4)))*$AG3923,Inputs!$D$197))</f>
        <v>0</v>
      </c>
      <c r="AI3923" s="53">
        <f>IF(Inputs!$C$197="",0,IF(1+$AH3923&gt;0,LN(1+$AH3923),0))</f>
        <v>0</v>
      </c>
      <c r="AJ3923" s="55">
        <f t="shared" si="1436"/>
        <v>0</v>
      </c>
      <c r="AK3923" s="55">
        <f>IF($AE3923="",0,COUNTIFS(rl_key,Inputs!$J$197,$AF$3806:$AF$4045,$AF3923,$AE$3806:$AE$4045,"&lt;"&amp;$AE3923))</f>
        <v>0</v>
      </c>
      <c r="AL3923" s="55">
        <f>IF($AE3923="",0,COUNTIFS(Inputs!$J$80:$J$197,Inputs!$J$197,$AF$3806:$AF3923,$AF3923,$AE$3806:$AE3923,$AE3923))</f>
        <v>0</v>
      </c>
      <c r="AM3923" s="55">
        <f t="shared" si="1437"/>
        <v>0</v>
      </c>
    </row>
    <row r="3924" spans="1:39" x14ac:dyDescent="0.25">
      <c r="A3924" s="54" t="str">
        <f>IF(Inputs!$C$198="","",IF(Inputs!$E$198="planned",EDATE(Inputs!$C$198,N(INDEX(sc_shift,1))),Inputs!$C$198))</f>
        <v/>
      </c>
      <c r="B3924" s="54" t="str">
        <f t="shared" si="1426"/>
        <v/>
      </c>
      <c r="C3924" s="52">
        <f>IF(N(INDEX(sc_ach,1))=0,IF(Inputs!$G$198="",1,Inputs!$G$198),INDEX(sc_ach,1))</f>
        <v>1</v>
      </c>
      <c r="D3924" s="52">
        <f>IF(Inputs!$C$198="",0,IF(Inputs!$E$198="planned",(Inputs!$D$198+N(INDEX(sc_dpts,1)))*$C3924,Inputs!$D$198))</f>
        <v>0</v>
      </c>
      <c r="E3924" s="53">
        <f>IF(Inputs!$C$198="",0,IF(1+$D3924&gt;0,LN(1+$D3924),0))</f>
        <v>0</v>
      </c>
      <c r="F3924" s="55">
        <f t="shared" si="1427"/>
        <v>0</v>
      </c>
      <c r="G3924" s="55">
        <f>IF($A3924="",0,COUNTIFS(rl_key,Inputs!$J$198,$B$3806:$B$4045,$B3924,$A$3806:$A$4045,"&lt;"&amp;$A3924))</f>
        <v>0</v>
      </c>
      <c r="H3924" s="55">
        <f>IF($A3924="",0,COUNTIFS(Inputs!$J$80:$J$198,Inputs!$J$198,$B$3806:$B3924,$B3924,$A$3806:$A3924,$A3924))</f>
        <v>0</v>
      </c>
      <c r="I3924" s="55">
        <f t="shared" si="1428"/>
        <v>0</v>
      </c>
      <c r="K3924" s="54" t="str">
        <f>IF(Inputs!$C$198="","",IF(Inputs!$E$198="planned",EDATE(Inputs!$C$198,N(INDEX(sc_shift,2))),Inputs!$C$198))</f>
        <v/>
      </c>
      <c r="L3924" s="54" t="str">
        <f t="shared" si="1429"/>
        <v/>
      </c>
      <c r="M3924" s="52">
        <f>IF(N(INDEX(sc_ach,2))=0,IF(Inputs!$G$198="",1,Inputs!$G$198),INDEX(sc_ach,2))</f>
        <v>1</v>
      </c>
      <c r="N3924" s="52">
        <f>IF(Inputs!$C$198="",0,IF(Inputs!$E$198="planned",(Inputs!$D$198+N(INDEX(sc_dpts,2)))*$M3924,Inputs!$D$198))</f>
        <v>0</v>
      </c>
      <c r="O3924" s="53">
        <f>IF(Inputs!$C$198="",0,IF(1+$N3924&gt;0,LN(1+$N3924),0))</f>
        <v>0</v>
      </c>
      <c r="P3924" s="55">
        <f t="shared" si="1430"/>
        <v>0</v>
      </c>
      <c r="Q3924" s="55">
        <f>IF($K3924="",0,COUNTIFS(rl_key,Inputs!$J$198,$L$3806:$L$4045,$L3924,$K$3806:$K$4045,"&lt;"&amp;$K3924))</f>
        <v>0</v>
      </c>
      <c r="R3924" s="55">
        <f>IF($K3924="",0,COUNTIFS(Inputs!$J$80:$J$198,Inputs!$J$198,$L$3806:$L3924,$L3924,$K$3806:$K3924,$K3924))</f>
        <v>0</v>
      </c>
      <c r="S3924" s="55">
        <f t="shared" si="1431"/>
        <v>0</v>
      </c>
      <c r="U3924" s="54" t="str">
        <f>IF(Inputs!$C$198="","",IF(Inputs!$E$198="planned",EDATE(Inputs!$C$198,N(INDEX(sc_shift,3))),Inputs!$C$198))</f>
        <v/>
      </c>
      <c r="V3924" s="54" t="str">
        <f t="shared" si="1432"/>
        <v/>
      </c>
      <c r="W3924" s="52">
        <f>IF(N(INDEX(sc_ach,3))=0,IF(Inputs!$G$198="",1,Inputs!$G$198),INDEX(sc_ach,3))</f>
        <v>1</v>
      </c>
      <c r="X3924" s="52">
        <f>IF(Inputs!$C$198="",0,IF(Inputs!$E$198="planned",(Inputs!$D$198+N(INDEX(sc_dpts,3)))*$W3924,Inputs!$D$198))</f>
        <v>0</v>
      </c>
      <c r="Y3924" s="53">
        <f>IF(Inputs!$C$198="",0,IF(1+$X3924&gt;0,LN(1+$X3924),0))</f>
        <v>0</v>
      </c>
      <c r="Z3924" s="55">
        <f t="shared" si="1433"/>
        <v>0</v>
      </c>
      <c r="AA3924" s="55">
        <f>IF($U3924="",0,COUNTIFS(rl_key,Inputs!$J$198,$V$3806:$V$4045,$V3924,$U$3806:$U$4045,"&lt;"&amp;$U3924))</f>
        <v>0</v>
      </c>
      <c r="AB3924" s="55">
        <f>IF($U3924="",0,COUNTIFS(Inputs!$J$80:$J$198,Inputs!$J$198,$V$3806:$V3924,$V3924,$U$3806:$U3924,$U3924))</f>
        <v>0</v>
      </c>
      <c r="AC3924" s="55">
        <f t="shared" si="1434"/>
        <v>0</v>
      </c>
      <c r="AE3924" s="54" t="str">
        <f>IF(Inputs!$C$198="","",IF(Inputs!$E$198="planned",EDATE(Inputs!$C$198,N(INDEX(sc_shift,4))),Inputs!$C$198))</f>
        <v/>
      </c>
      <c r="AF3924" s="54" t="str">
        <f t="shared" si="1435"/>
        <v/>
      </c>
      <c r="AG3924" s="52">
        <f>IF(N(INDEX(sc_ach,4))=0,IF(Inputs!$G$198="",1,Inputs!$G$198),INDEX(sc_ach,4))</f>
        <v>1</v>
      </c>
      <c r="AH3924" s="52">
        <f>IF(Inputs!$C$198="",0,IF(Inputs!$E$198="planned",(Inputs!$D$198+N(INDEX(sc_dpts,4)))*$AG3924,Inputs!$D$198))</f>
        <v>0</v>
      </c>
      <c r="AI3924" s="53">
        <f>IF(Inputs!$C$198="",0,IF(1+$AH3924&gt;0,LN(1+$AH3924),0))</f>
        <v>0</v>
      </c>
      <c r="AJ3924" s="55">
        <f t="shared" si="1436"/>
        <v>0</v>
      </c>
      <c r="AK3924" s="55">
        <f>IF($AE3924="",0,COUNTIFS(rl_key,Inputs!$J$198,$AF$3806:$AF$4045,$AF3924,$AE$3806:$AE$4045,"&lt;"&amp;$AE3924))</f>
        <v>0</v>
      </c>
      <c r="AL3924" s="55">
        <f>IF($AE3924="",0,COUNTIFS(Inputs!$J$80:$J$198,Inputs!$J$198,$AF$3806:$AF3924,$AF3924,$AE$3806:$AE3924,$AE3924))</f>
        <v>0</v>
      </c>
      <c r="AM3924" s="55">
        <f t="shared" si="1437"/>
        <v>0</v>
      </c>
    </row>
    <row r="3925" spans="1:39" x14ac:dyDescent="0.25">
      <c r="A3925" s="54" t="str">
        <f>IF(Inputs!$C$199="","",IF(Inputs!$E$199="planned",EDATE(Inputs!$C$199,N(INDEX(sc_shift,1))),Inputs!$C$199))</f>
        <v/>
      </c>
      <c r="B3925" s="54" t="str">
        <f t="shared" si="1426"/>
        <v/>
      </c>
      <c r="C3925" s="52">
        <f>IF(N(INDEX(sc_ach,1))=0,IF(Inputs!$G$199="",1,Inputs!$G$199),INDEX(sc_ach,1))</f>
        <v>1</v>
      </c>
      <c r="D3925" s="52">
        <f>IF(Inputs!$C$199="",0,IF(Inputs!$E$199="planned",(Inputs!$D$199+N(INDEX(sc_dpts,1)))*$C3925,Inputs!$D$199))</f>
        <v>0</v>
      </c>
      <c r="E3925" s="53">
        <f>IF(Inputs!$C$199="",0,IF(1+$D3925&gt;0,LN(1+$D3925),0))</f>
        <v>0</v>
      </c>
      <c r="F3925" s="55">
        <f t="shared" si="1427"/>
        <v>0</v>
      </c>
      <c r="G3925" s="55">
        <f>IF($A3925="",0,COUNTIFS(rl_key,Inputs!$J$199,$B$3806:$B$4045,$B3925,$A$3806:$A$4045,"&lt;"&amp;$A3925))</f>
        <v>0</v>
      </c>
      <c r="H3925" s="55">
        <f>IF($A3925="",0,COUNTIFS(Inputs!$J$80:$J$199,Inputs!$J$199,$B$3806:$B3925,$B3925,$A$3806:$A3925,$A3925))</f>
        <v>0</v>
      </c>
      <c r="I3925" s="55">
        <f t="shared" si="1428"/>
        <v>0</v>
      </c>
      <c r="K3925" s="54" t="str">
        <f>IF(Inputs!$C$199="","",IF(Inputs!$E$199="planned",EDATE(Inputs!$C$199,N(INDEX(sc_shift,2))),Inputs!$C$199))</f>
        <v/>
      </c>
      <c r="L3925" s="54" t="str">
        <f t="shared" si="1429"/>
        <v/>
      </c>
      <c r="M3925" s="52">
        <f>IF(N(INDEX(sc_ach,2))=0,IF(Inputs!$G$199="",1,Inputs!$G$199),INDEX(sc_ach,2))</f>
        <v>1</v>
      </c>
      <c r="N3925" s="52">
        <f>IF(Inputs!$C$199="",0,IF(Inputs!$E$199="planned",(Inputs!$D$199+N(INDEX(sc_dpts,2)))*$M3925,Inputs!$D$199))</f>
        <v>0</v>
      </c>
      <c r="O3925" s="53">
        <f>IF(Inputs!$C$199="",0,IF(1+$N3925&gt;0,LN(1+$N3925),0))</f>
        <v>0</v>
      </c>
      <c r="P3925" s="55">
        <f t="shared" si="1430"/>
        <v>0</v>
      </c>
      <c r="Q3925" s="55">
        <f>IF($K3925="",0,COUNTIFS(rl_key,Inputs!$J$199,$L$3806:$L$4045,$L3925,$K$3806:$K$4045,"&lt;"&amp;$K3925))</f>
        <v>0</v>
      </c>
      <c r="R3925" s="55">
        <f>IF($K3925="",0,COUNTIFS(Inputs!$J$80:$J$199,Inputs!$J$199,$L$3806:$L3925,$L3925,$K$3806:$K3925,$K3925))</f>
        <v>0</v>
      </c>
      <c r="S3925" s="55">
        <f t="shared" si="1431"/>
        <v>0</v>
      </c>
      <c r="U3925" s="54" t="str">
        <f>IF(Inputs!$C$199="","",IF(Inputs!$E$199="planned",EDATE(Inputs!$C$199,N(INDEX(sc_shift,3))),Inputs!$C$199))</f>
        <v/>
      </c>
      <c r="V3925" s="54" t="str">
        <f t="shared" si="1432"/>
        <v/>
      </c>
      <c r="W3925" s="52">
        <f>IF(N(INDEX(sc_ach,3))=0,IF(Inputs!$G$199="",1,Inputs!$G$199),INDEX(sc_ach,3))</f>
        <v>1</v>
      </c>
      <c r="X3925" s="52">
        <f>IF(Inputs!$C$199="",0,IF(Inputs!$E$199="planned",(Inputs!$D$199+N(INDEX(sc_dpts,3)))*$W3925,Inputs!$D$199))</f>
        <v>0</v>
      </c>
      <c r="Y3925" s="53">
        <f>IF(Inputs!$C$199="",0,IF(1+$X3925&gt;0,LN(1+$X3925),0))</f>
        <v>0</v>
      </c>
      <c r="Z3925" s="55">
        <f t="shared" si="1433"/>
        <v>0</v>
      </c>
      <c r="AA3925" s="55">
        <f>IF($U3925="",0,COUNTIFS(rl_key,Inputs!$J$199,$V$3806:$V$4045,$V3925,$U$3806:$U$4045,"&lt;"&amp;$U3925))</f>
        <v>0</v>
      </c>
      <c r="AB3925" s="55">
        <f>IF($U3925="",0,COUNTIFS(Inputs!$J$80:$J$199,Inputs!$J$199,$V$3806:$V3925,$V3925,$U$3806:$U3925,$U3925))</f>
        <v>0</v>
      </c>
      <c r="AC3925" s="55">
        <f t="shared" si="1434"/>
        <v>0</v>
      </c>
      <c r="AE3925" s="54" t="str">
        <f>IF(Inputs!$C$199="","",IF(Inputs!$E$199="planned",EDATE(Inputs!$C$199,N(INDEX(sc_shift,4))),Inputs!$C$199))</f>
        <v/>
      </c>
      <c r="AF3925" s="54" t="str">
        <f t="shared" si="1435"/>
        <v/>
      </c>
      <c r="AG3925" s="52">
        <f>IF(N(INDEX(sc_ach,4))=0,IF(Inputs!$G$199="",1,Inputs!$G$199),INDEX(sc_ach,4))</f>
        <v>1</v>
      </c>
      <c r="AH3925" s="52">
        <f>IF(Inputs!$C$199="",0,IF(Inputs!$E$199="planned",(Inputs!$D$199+N(INDEX(sc_dpts,4)))*$AG3925,Inputs!$D$199))</f>
        <v>0</v>
      </c>
      <c r="AI3925" s="53">
        <f>IF(Inputs!$C$199="",0,IF(1+$AH3925&gt;0,LN(1+$AH3925),0))</f>
        <v>0</v>
      </c>
      <c r="AJ3925" s="55">
        <f t="shared" si="1436"/>
        <v>0</v>
      </c>
      <c r="AK3925" s="55">
        <f>IF($AE3925="",0,COUNTIFS(rl_key,Inputs!$J$199,$AF$3806:$AF$4045,$AF3925,$AE$3806:$AE$4045,"&lt;"&amp;$AE3925))</f>
        <v>0</v>
      </c>
      <c r="AL3925" s="55">
        <f>IF($AE3925="",0,COUNTIFS(Inputs!$J$80:$J$199,Inputs!$J$199,$AF$3806:$AF3925,$AF3925,$AE$3806:$AE3925,$AE3925))</f>
        <v>0</v>
      </c>
      <c r="AM3925" s="55">
        <f t="shared" si="1437"/>
        <v>0</v>
      </c>
    </row>
    <row r="3926" spans="1:39" x14ac:dyDescent="0.25">
      <c r="A3926" s="54" t="str">
        <f>IF(Inputs!$C$200="","",IF(Inputs!$E$200="planned",EDATE(Inputs!$C$200,N(INDEX(sc_shift,1))),Inputs!$C$200))</f>
        <v/>
      </c>
      <c r="B3926" s="54" t="str">
        <f t="shared" si="1426"/>
        <v/>
      </c>
      <c r="C3926" s="52">
        <f>IF(N(INDEX(sc_ach,1))=0,IF(Inputs!$G$200="",1,Inputs!$G$200),INDEX(sc_ach,1))</f>
        <v>1</v>
      </c>
      <c r="D3926" s="52">
        <f>IF(Inputs!$C$200="",0,IF(Inputs!$E$200="planned",(Inputs!$D$200+N(INDEX(sc_dpts,1)))*$C3926,Inputs!$D$200))</f>
        <v>0</v>
      </c>
      <c r="E3926" s="53">
        <f>IF(Inputs!$C$200="",0,IF(1+$D3926&gt;0,LN(1+$D3926),0))</f>
        <v>0</v>
      </c>
      <c r="F3926" s="55">
        <f t="shared" si="1427"/>
        <v>0</v>
      </c>
      <c r="G3926" s="55">
        <f>IF($A3926="",0,COUNTIFS(rl_key,Inputs!$J$200,$B$3806:$B$4045,$B3926,$A$3806:$A$4045,"&lt;"&amp;$A3926))</f>
        <v>0</v>
      </c>
      <c r="H3926" s="55">
        <f>IF($A3926="",0,COUNTIFS(Inputs!$J$80:$J$200,Inputs!$J$200,$B$3806:$B3926,$B3926,$A$3806:$A3926,$A3926))</f>
        <v>0</v>
      </c>
      <c r="I3926" s="55">
        <f t="shared" si="1428"/>
        <v>0</v>
      </c>
      <c r="K3926" s="54" t="str">
        <f>IF(Inputs!$C$200="","",IF(Inputs!$E$200="planned",EDATE(Inputs!$C$200,N(INDEX(sc_shift,2))),Inputs!$C$200))</f>
        <v/>
      </c>
      <c r="L3926" s="54" t="str">
        <f t="shared" si="1429"/>
        <v/>
      </c>
      <c r="M3926" s="52">
        <f>IF(N(INDEX(sc_ach,2))=0,IF(Inputs!$G$200="",1,Inputs!$G$200),INDEX(sc_ach,2))</f>
        <v>1</v>
      </c>
      <c r="N3926" s="52">
        <f>IF(Inputs!$C$200="",0,IF(Inputs!$E$200="planned",(Inputs!$D$200+N(INDEX(sc_dpts,2)))*$M3926,Inputs!$D$200))</f>
        <v>0</v>
      </c>
      <c r="O3926" s="53">
        <f>IF(Inputs!$C$200="",0,IF(1+$N3926&gt;0,LN(1+$N3926),0))</f>
        <v>0</v>
      </c>
      <c r="P3926" s="55">
        <f t="shared" si="1430"/>
        <v>0</v>
      </c>
      <c r="Q3926" s="55">
        <f>IF($K3926="",0,COUNTIFS(rl_key,Inputs!$J$200,$L$3806:$L$4045,$L3926,$K$3806:$K$4045,"&lt;"&amp;$K3926))</f>
        <v>0</v>
      </c>
      <c r="R3926" s="55">
        <f>IF($K3926="",0,COUNTIFS(Inputs!$J$80:$J$200,Inputs!$J$200,$L$3806:$L3926,$L3926,$K$3806:$K3926,$K3926))</f>
        <v>0</v>
      </c>
      <c r="S3926" s="55">
        <f t="shared" si="1431"/>
        <v>0</v>
      </c>
      <c r="U3926" s="54" t="str">
        <f>IF(Inputs!$C$200="","",IF(Inputs!$E$200="planned",EDATE(Inputs!$C$200,N(INDEX(sc_shift,3))),Inputs!$C$200))</f>
        <v/>
      </c>
      <c r="V3926" s="54" t="str">
        <f t="shared" si="1432"/>
        <v/>
      </c>
      <c r="W3926" s="52">
        <f>IF(N(INDEX(sc_ach,3))=0,IF(Inputs!$G$200="",1,Inputs!$G$200),INDEX(sc_ach,3))</f>
        <v>1</v>
      </c>
      <c r="X3926" s="52">
        <f>IF(Inputs!$C$200="",0,IF(Inputs!$E$200="planned",(Inputs!$D$200+N(INDEX(sc_dpts,3)))*$W3926,Inputs!$D$200))</f>
        <v>0</v>
      </c>
      <c r="Y3926" s="53">
        <f>IF(Inputs!$C$200="",0,IF(1+$X3926&gt;0,LN(1+$X3926),0))</f>
        <v>0</v>
      </c>
      <c r="Z3926" s="55">
        <f t="shared" si="1433"/>
        <v>0</v>
      </c>
      <c r="AA3926" s="55">
        <f>IF($U3926="",0,COUNTIFS(rl_key,Inputs!$J$200,$V$3806:$V$4045,$V3926,$U$3806:$U$4045,"&lt;"&amp;$U3926))</f>
        <v>0</v>
      </c>
      <c r="AB3926" s="55">
        <f>IF($U3926="",0,COUNTIFS(Inputs!$J$80:$J$200,Inputs!$J$200,$V$3806:$V3926,$V3926,$U$3806:$U3926,$U3926))</f>
        <v>0</v>
      </c>
      <c r="AC3926" s="55">
        <f t="shared" si="1434"/>
        <v>0</v>
      </c>
      <c r="AE3926" s="54" t="str">
        <f>IF(Inputs!$C$200="","",IF(Inputs!$E$200="planned",EDATE(Inputs!$C$200,N(INDEX(sc_shift,4))),Inputs!$C$200))</f>
        <v/>
      </c>
      <c r="AF3926" s="54" t="str">
        <f t="shared" si="1435"/>
        <v/>
      </c>
      <c r="AG3926" s="52">
        <f>IF(N(INDEX(sc_ach,4))=0,IF(Inputs!$G$200="",1,Inputs!$G$200),INDEX(sc_ach,4))</f>
        <v>1</v>
      </c>
      <c r="AH3926" s="52">
        <f>IF(Inputs!$C$200="",0,IF(Inputs!$E$200="planned",(Inputs!$D$200+N(INDEX(sc_dpts,4)))*$AG3926,Inputs!$D$200))</f>
        <v>0</v>
      </c>
      <c r="AI3926" s="53">
        <f>IF(Inputs!$C$200="",0,IF(1+$AH3926&gt;0,LN(1+$AH3926),0))</f>
        <v>0</v>
      </c>
      <c r="AJ3926" s="55">
        <f t="shared" si="1436"/>
        <v>0</v>
      </c>
      <c r="AK3926" s="55">
        <f>IF($AE3926="",0,COUNTIFS(rl_key,Inputs!$J$200,$AF$3806:$AF$4045,$AF3926,$AE$3806:$AE$4045,"&lt;"&amp;$AE3926))</f>
        <v>0</v>
      </c>
      <c r="AL3926" s="55">
        <f>IF($AE3926="",0,COUNTIFS(Inputs!$J$80:$J$200,Inputs!$J$200,$AF$3806:$AF3926,$AF3926,$AE$3806:$AE3926,$AE3926))</f>
        <v>0</v>
      </c>
      <c r="AM3926" s="55">
        <f t="shared" si="1437"/>
        <v>0</v>
      </c>
    </row>
    <row r="3927" spans="1:39" x14ac:dyDescent="0.25">
      <c r="A3927" s="54" t="str">
        <f>IF(Inputs!$C$201="","",IF(Inputs!$E$201="planned",EDATE(Inputs!$C$201,N(INDEX(sc_shift,1))),Inputs!$C$201))</f>
        <v/>
      </c>
      <c r="B3927" s="54" t="str">
        <f t="shared" si="1426"/>
        <v/>
      </c>
      <c r="C3927" s="52">
        <f>IF(N(INDEX(sc_ach,1))=0,IF(Inputs!$G$201="",1,Inputs!$G$201),INDEX(sc_ach,1))</f>
        <v>1</v>
      </c>
      <c r="D3927" s="52">
        <f>IF(Inputs!$C$201="",0,IF(Inputs!$E$201="planned",(Inputs!$D$201+N(INDEX(sc_dpts,1)))*$C3927,Inputs!$D$201))</f>
        <v>0</v>
      </c>
      <c r="E3927" s="53">
        <f>IF(Inputs!$C$201="",0,IF(1+$D3927&gt;0,LN(1+$D3927),0))</f>
        <v>0</v>
      </c>
      <c r="F3927" s="55">
        <f t="shared" si="1427"/>
        <v>0</v>
      </c>
      <c r="G3927" s="55">
        <f>IF($A3927="",0,COUNTIFS(rl_key,Inputs!$J$201,$B$3806:$B$4045,$B3927,$A$3806:$A$4045,"&lt;"&amp;$A3927))</f>
        <v>0</v>
      </c>
      <c r="H3927" s="55">
        <f>IF($A3927="",0,COUNTIFS(Inputs!$J$80:$J$201,Inputs!$J$201,$B$3806:$B3927,$B3927,$A$3806:$A3927,$A3927))</f>
        <v>0</v>
      </c>
      <c r="I3927" s="55">
        <f t="shared" si="1428"/>
        <v>0</v>
      </c>
      <c r="K3927" s="54" t="str">
        <f>IF(Inputs!$C$201="","",IF(Inputs!$E$201="planned",EDATE(Inputs!$C$201,N(INDEX(sc_shift,2))),Inputs!$C$201))</f>
        <v/>
      </c>
      <c r="L3927" s="54" t="str">
        <f t="shared" si="1429"/>
        <v/>
      </c>
      <c r="M3927" s="52">
        <f>IF(N(INDEX(sc_ach,2))=0,IF(Inputs!$G$201="",1,Inputs!$G$201),INDEX(sc_ach,2))</f>
        <v>1</v>
      </c>
      <c r="N3927" s="52">
        <f>IF(Inputs!$C$201="",0,IF(Inputs!$E$201="planned",(Inputs!$D$201+N(INDEX(sc_dpts,2)))*$M3927,Inputs!$D$201))</f>
        <v>0</v>
      </c>
      <c r="O3927" s="53">
        <f>IF(Inputs!$C$201="",0,IF(1+$N3927&gt;0,LN(1+$N3927),0))</f>
        <v>0</v>
      </c>
      <c r="P3927" s="55">
        <f t="shared" si="1430"/>
        <v>0</v>
      </c>
      <c r="Q3927" s="55">
        <f>IF($K3927="",0,COUNTIFS(rl_key,Inputs!$J$201,$L$3806:$L$4045,$L3927,$K$3806:$K$4045,"&lt;"&amp;$K3927))</f>
        <v>0</v>
      </c>
      <c r="R3927" s="55">
        <f>IF($K3927="",0,COUNTIFS(Inputs!$J$80:$J$201,Inputs!$J$201,$L$3806:$L3927,$L3927,$K$3806:$K3927,$K3927))</f>
        <v>0</v>
      </c>
      <c r="S3927" s="55">
        <f t="shared" si="1431"/>
        <v>0</v>
      </c>
      <c r="U3927" s="54" t="str">
        <f>IF(Inputs!$C$201="","",IF(Inputs!$E$201="planned",EDATE(Inputs!$C$201,N(INDEX(sc_shift,3))),Inputs!$C$201))</f>
        <v/>
      </c>
      <c r="V3927" s="54" t="str">
        <f t="shared" si="1432"/>
        <v/>
      </c>
      <c r="W3927" s="52">
        <f>IF(N(INDEX(sc_ach,3))=0,IF(Inputs!$G$201="",1,Inputs!$G$201),INDEX(sc_ach,3))</f>
        <v>1</v>
      </c>
      <c r="X3927" s="52">
        <f>IF(Inputs!$C$201="",0,IF(Inputs!$E$201="planned",(Inputs!$D$201+N(INDEX(sc_dpts,3)))*$W3927,Inputs!$D$201))</f>
        <v>0</v>
      </c>
      <c r="Y3927" s="53">
        <f>IF(Inputs!$C$201="",0,IF(1+$X3927&gt;0,LN(1+$X3927),0))</f>
        <v>0</v>
      </c>
      <c r="Z3927" s="55">
        <f t="shared" si="1433"/>
        <v>0</v>
      </c>
      <c r="AA3927" s="55">
        <f>IF($U3927="",0,COUNTIFS(rl_key,Inputs!$J$201,$V$3806:$V$4045,$V3927,$U$3806:$U$4045,"&lt;"&amp;$U3927))</f>
        <v>0</v>
      </c>
      <c r="AB3927" s="55">
        <f>IF($U3927="",0,COUNTIFS(Inputs!$J$80:$J$201,Inputs!$J$201,$V$3806:$V3927,$V3927,$U$3806:$U3927,$U3927))</f>
        <v>0</v>
      </c>
      <c r="AC3927" s="55">
        <f t="shared" si="1434"/>
        <v>0</v>
      </c>
      <c r="AE3927" s="54" t="str">
        <f>IF(Inputs!$C$201="","",IF(Inputs!$E$201="planned",EDATE(Inputs!$C$201,N(INDEX(sc_shift,4))),Inputs!$C$201))</f>
        <v/>
      </c>
      <c r="AF3927" s="54" t="str">
        <f t="shared" si="1435"/>
        <v/>
      </c>
      <c r="AG3927" s="52">
        <f>IF(N(INDEX(sc_ach,4))=0,IF(Inputs!$G$201="",1,Inputs!$G$201),INDEX(sc_ach,4))</f>
        <v>1</v>
      </c>
      <c r="AH3927" s="52">
        <f>IF(Inputs!$C$201="",0,IF(Inputs!$E$201="planned",(Inputs!$D$201+N(INDEX(sc_dpts,4)))*$AG3927,Inputs!$D$201))</f>
        <v>0</v>
      </c>
      <c r="AI3927" s="53">
        <f>IF(Inputs!$C$201="",0,IF(1+$AH3927&gt;0,LN(1+$AH3927),0))</f>
        <v>0</v>
      </c>
      <c r="AJ3927" s="55">
        <f t="shared" si="1436"/>
        <v>0</v>
      </c>
      <c r="AK3927" s="55">
        <f>IF($AE3927="",0,COUNTIFS(rl_key,Inputs!$J$201,$AF$3806:$AF$4045,$AF3927,$AE$3806:$AE$4045,"&lt;"&amp;$AE3927))</f>
        <v>0</v>
      </c>
      <c r="AL3927" s="55">
        <f>IF($AE3927="",0,COUNTIFS(Inputs!$J$80:$J$201,Inputs!$J$201,$AF$3806:$AF3927,$AF3927,$AE$3806:$AE3927,$AE3927))</f>
        <v>0</v>
      </c>
      <c r="AM3927" s="55">
        <f t="shared" si="1437"/>
        <v>0</v>
      </c>
    </row>
    <row r="3928" spans="1:39" x14ac:dyDescent="0.25">
      <c r="A3928" s="54" t="str">
        <f>IF(Inputs!$C$202="","",IF(Inputs!$E$202="planned",EDATE(Inputs!$C$202,N(INDEX(sc_shift,1))),Inputs!$C$202))</f>
        <v/>
      </c>
      <c r="B3928" s="54" t="str">
        <f t="shared" si="1426"/>
        <v/>
      </c>
      <c r="C3928" s="52">
        <f>IF(N(INDEX(sc_ach,1))=0,IF(Inputs!$G$202="",1,Inputs!$G$202),INDEX(sc_ach,1))</f>
        <v>1</v>
      </c>
      <c r="D3928" s="52">
        <f>IF(Inputs!$C$202="",0,IF(Inputs!$E$202="planned",(Inputs!$D$202+N(INDEX(sc_dpts,1)))*$C3928,Inputs!$D$202))</f>
        <v>0</v>
      </c>
      <c r="E3928" s="53">
        <f>IF(Inputs!$C$202="",0,IF(1+$D3928&gt;0,LN(1+$D3928),0))</f>
        <v>0</v>
      </c>
      <c r="F3928" s="55">
        <f t="shared" si="1427"/>
        <v>0</v>
      </c>
      <c r="G3928" s="55">
        <f>IF($A3928="",0,COUNTIFS(rl_key,Inputs!$J$202,$B$3806:$B$4045,$B3928,$A$3806:$A$4045,"&lt;"&amp;$A3928))</f>
        <v>0</v>
      </c>
      <c r="H3928" s="55">
        <f>IF($A3928="",0,COUNTIFS(Inputs!$J$80:$J$202,Inputs!$J$202,$B$3806:$B3928,$B3928,$A$3806:$A3928,$A3928))</f>
        <v>0</v>
      </c>
      <c r="I3928" s="55">
        <f t="shared" si="1428"/>
        <v>0</v>
      </c>
      <c r="K3928" s="54" t="str">
        <f>IF(Inputs!$C$202="","",IF(Inputs!$E$202="planned",EDATE(Inputs!$C$202,N(INDEX(sc_shift,2))),Inputs!$C$202))</f>
        <v/>
      </c>
      <c r="L3928" s="54" t="str">
        <f t="shared" si="1429"/>
        <v/>
      </c>
      <c r="M3928" s="52">
        <f>IF(N(INDEX(sc_ach,2))=0,IF(Inputs!$G$202="",1,Inputs!$G$202),INDEX(sc_ach,2))</f>
        <v>1</v>
      </c>
      <c r="N3928" s="52">
        <f>IF(Inputs!$C$202="",0,IF(Inputs!$E$202="planned",(Inputs!$D$202+N(INDEX(sc_dpts,2)))*$M3928,Inputs!$D$202))</f>
        <v>0</v>
      </c>
      <c r="O3928" s="53">
        <f>IF(Inputs!$C$202="",0,IF(1+$N3928&gt;0,LN(1+$N3928),0))</f>
        <v>0</v>
      </c>
      <c r="P3928" s="55">
        <f t="shared" si="1430"/>
        <v>0</v>
      </c>
      <c r="Q3928" s="55">
        <f>IF($K3928="",0,COUNTIFS(rl_key,Inputs!$J$202,$L$3806:$L$4045,$L3928,$K$3806:$K$4045,"&lt;"&amp;$K3928))</f>
        <v>0</v>
      </c>
      <c r="R3928" s="55">
        <f>IF($K3928="",0,COUNTIFS(Inputs!$J$80:$J$202,Inputs!$J$202,$L$3806:$L3928,$L3928,$K$3806:$K3928,$K3928))</f>
        <v>0</v>
      </c>
      <c r="S3928" s="55">
        <f t="shared" si="1431"/>
        <v>0</v>
      </c>
      <c r="U3928" s="54" t="str">
        <f>IF(Inputs!$C$202="","",IF(Inputs!$E$202="planned",EDATE(Inputs!$C$202,N(INDEX(sc_shift,3))),Inputs!$C$202))</f>
        <v/>
      </c>
      <c r="V3928" s="54" t="str">
        <f t="shared" si="1432"/>
        <v/>
      </c>
      <c r="W3928" s="52">
        <f>IF(N(INDEX(sc_ach,3))=0,IF(Inputs!$G$202="",1,Inputs!$G$202),INDEX(sc_ach,3))</f>
        <v>1</v>
      </c>
      <c r="X3928" s="52">
        <f>IF(Inputs!$C$202="",0,IF(Inputs!$E$202="planned",(Inputs!$D$202+N(INDEX(sc_dpts,3)))*$W3928,Inputs!$D$202))</f>
        <v>0</v>
      </c>
      <c r="Y3928" s="53">
        <f>IF(Inputs!$C$202="",0,IF(1+$X3928&gt;0,LN(1+$X3928),0))</f>
        <v>0</v>
      </c>
      <c r="Z3928" s="55">
        <f t="shared" si="1433"/>
        <v>0</v>
      </c>
      <c r="AA3928" s="55">
        <f>IF($U3928="",0,COUNTIFS(rl_key,Inputs!$J$202,$V$3806:$V$4045,$V3928,$U$3806:$U$4045,"&lt;"&amp;$U3928))</f>
        <v>0</v>
      </c>
      <c r="AB3928" s="55">
        <f>IF($U3928="",0,COUNTIFS(Inputs!$J$80:$J$202,Inputs!$J$202,$V$3806:$V3928,$V3928,$U$3806:$U3928,$U3928))</f>
        <v>0</v>
      </c>
      <c r="AC3928" s="55">
        <f t="shared" si="1434"/>
        <v>0</v>
      </c>
      <c r="AE3928" s="54" t="str">
        <f>IF(Inputs!$C$202="","",IF(Inputs!$E$202="planned",EDATE(Inputs!$C$202,N(INDEX(sc_shift,4))),Inputs!$C$202))</f>
        <v/>
      </c>
      <c r="AF3928" s="54" t="str">
        <f t="shared" si="1435"/>
        <v/>
      </c>
      <c r="AG3928" s="52">
        <f>IF(N(INDEX(sc_ach,4))=0,IF(Inputs!$G$202="",1,Inputs!$G$202),INDEX(sc_ach,4))</f>
        <v>1</v>
      </c>
      <c r="AH3928" s="52">
        <f>IF(Inputs!$C$202="",0,IF(Inputs!$E$202="planned",(Inputs!$D$202+N(INDEX(sc_dpts,4)))*$AG3928,Inputs!$D$202))</f>
        <v>0</v>
      </c>
      <c r="AI3928" s="53">
        <f>IF(Inputs!$C$202="",0,IF(1+$AH3928&gt;0,LN(1+$AH3928),0))</f>
        <v>0</v>
      </c>
      <c r="AJ3928" s="55">
        <f t="shared" si="1436"/>
        <v>0</v>
      </c>
      <c r="AK3928" s="55">
        <f>IF($AE3928="",0,COUNTIFS(rl_key,Inputs!$J$202,$AF$3806:$AF$4045,$AF3928,$AE$3806:$AE$4045,"&lt;"&amp;$AE3928))</f>
        <v>0</v>
      </c>
      <c r="AL3928" s="55">
        <f>IF($AE3928="",0,COUNTIFS(Inputs!$J$80:$J$202,Inputs!$J$202,$AF$3806:$AF3928,$AF3928,$AE$3806:$AE3928,$AE3928))</f>
        <v>0</v>
      </c>
      <c r="AM3928" s="55">
        <f t="shared" si="1437"/>
        <v>0</v>
      </c>
    </row>
    <row r="3929" spans="1:39" x14ac:dyDescent="0.25">
      <c r="A3929" s="54" t="str">
        <f>IF(Inputs!$C$203="","",IF(Inputs!$E$203="planned",EDATE(Inputs!$C$203,N(INDEX(sc_shift,1))),Inputs!$C$203))</f>
        <v/>
      </c>
      <c r="B3929" s="54" t="str">
        <f t="shared" si="1426"/>
        <v/>
      </c>
      <c r="C3929" s="52">
        <f>IF(N(INDEX(sc_ach,1))=0,IF(Inputs!$G$203="",1,Inputs!$G$203),INDEX(sc_ach,1))</f>
        <v>1</v>
      </c>
      <c r="D3929" s="52">
        <f>IF(Inputs!$C$203="",0,IF(Inputs!$E$203="planned",(Inputs!$D$203+N(INDEX(sc_dpts,1)))*$C3929,Inputs!$D$203))</f>
        <v>0</v>
      </c>
      <c r="E3929" s="53">
        <f>IF(Inputs!$C$203="",0,IF(1+$D3929&gt;0,LN(1+$D3929),0))</f>
        <v>0</v>
      </c>
      <c r="F3929" s="55">
        <f t="shared" si="1427"/>
        <v>0</v>
      </c>
      <c r="G3929" s="55">
        <f>IF($A3929="",0,COUNTIFS(rl_key,Inputs!$J$203,$B$3806:$B$4045,$B3929,$A$3806:$A$4045,"&lt;"&amp;$A3929))</f>
        <v>0</v>
      </c>
      <c r="H3929" s="55">
        <f>IF($A3929="",0,COUNTIFS(Inputs!$J$80:$J$203,Inputs!$J$203,$B$3806:$B3929,$B3929,$A$3806:$A3929,$A3929))</f>
        <v>0</v>
      </c>
      <c r="I3929" s="55">
        <f t="shared" si="1428"/>
        <v>0</v>
      </c>
      <c r="K3929" s="54" t="str">
        <f>IF(Inputs!$C$203="","",IF(Inputs!$E$203="planned",EDATE(Inputs!$C$203,N(INDEX(sc_shift,2))),Inputs!$C$203))</f>
        <v/>
      </c>
      <c r="L3929" s="54" t="str">
        <f t="shared" si="1429"/>
        <v/>
      </c>
      <c r="M3929" s="52">
        <f>IF(N(INDEX(sc_ach,2))=0,IF(Inputs!$G$203="",1,Inputs!$G$203),INDEX(sc_ach,2))</f>
        <v>1</v>
      </c>
      <c r="N3929" s="52">
        <f>IF(Inputs!$C$203="",0,IF(Inputs!$E$203="planned",(Inputs!$D$203+N(INDEX(sc_dpts,2)))*$M3929,Inputs!$D$203))</f>
        <v>0</v>
      </c>
      <c r="O3929" s="53">
        <f>IF(Inputs!$C$203="",0,IF(1+$N3929&gt;0,LN(1+$N3929),0))</f>
        <v>0</v>
      </c>
      <c r="P3929" s="55">
        <f t="shared" si="1430"/>
        <v>0</v>
      </c>
      <c r="Q3929" s="55">
        <f>IF($K3929="",0,COUNTIFS(rl_key,Inputs!$J$203,$L$3806:$L$4045,$L3929,$K$3806:$K$4045,"&lt;"&amp;$K3929))</f>
        <v>0</v>
      </c>
      <c r="R3929" s="55">
        <f>IF($K3929="",0,COUNTIFS(Inputs!$J$80:$J$203,Inputs!$J$203,$L$3806:$L3929,$L3929,$K$3806:$K3929,$K3929))</f>
        <v>0</v>
      </c>
      <c r="S3929" s="55">
        <f t="shared" si="1431"/>
        <v>0</v>
      </c>
      <c r="U3929" s="54" t="str">
        <f>IF(Inputs!$C$203="","",IF(Inputs!$E$203="planned",EDATE(Inputs!$C$203,N(INDEX(sc_shift,3))),Inputs!$C$203))</f>
        <v/>
      </c>
      <c r="V3929" s="54" t="str">
        <f t="shared" si="1432"/>
        <v/>
      </c>
      <c r="W3929" s="52">
        <f>IF(N(INDEX(sc_ach,3))=0,IF(Inputs!$G$203="",1,Inputs!$G$203),INDEX(sc_ach,3))</f>
        <v>1</v>
      </c>
      <c r="X3929" s="52">
        <f>IF(Inputs!$C$203="",0,IF(Inputs!$E$203="planned",(Inputs!$D$203+N(INDEX(sc_dpts,3)))*$W3929,Inputs!$D$203))</f>
        <v>0</v>
      </c>
      <c r="Y3929" s="53">
        <f>IF(Inputs!$C$203="",0,IF(1+$X3929&gt;0,LN(1+$X3929),0))</f>
        <v>0</v>
      </c>
      <c r="Z3929" s="55">
        <f t="shared" si="1433"/>
        <v>0</v>
      </c>
      <c r="AA3929" s="55">
        <f>IF($U3929="",0,COUNTIFS(rl_key,Inputs!$J$203,$V$3806:$V$4045,$V3929,$U$3806:$U$4045,"&lt;"&amp;$U3929))</f>
        <v>0</v>
      </c>
      <c r="AB3929" s="55">
        <f>IF($U3929="",0,COUNTIFS(Inputs!$J$80:$J$203,Inputs!$J$203,$V$3806:$V3929,$V3929,$U$3806:$U3929,$U3929))</f>
        <v>0</v>
      </c>
      <c r="AC3929" s="55">
        <f t="shared" si="1434"/>
        <v>0</v>
      </c>
      <c r="AE3929" s="54" t="str">
        <f>IF(Inputs!$C$203="","",IF(Inputs!$E$203="planned",EDATE(Inputs!$C$203,N(INDEX(sc_shift,4))),Inputs!$C$203))</f>
        <v/>
      </c>
      <c r="AF3929" s="54" t="str">
        <f t="shared" si="1435"/>
        <v/>
      </c>
      <c r="AG3929" s="52">
        <f>IF(N(INDEX(sc_ach,4))=0,IF(Inputs!$G$203="",1,Inputs!$G$203),INDEX(sc_ach,4))</f>
        <v>1</v>
      </c>
      <c r="AH3929" s="52">
        <f>IF(Inputs!$C$203="",0,IF(Inputs!$E$203="planned",(Inputs!$D$203+N(INDEX(sc_dpts,4)))*$AG3929,Inputs!$D$203))</f>
        <v>0</v>
      </c>
      <c r="AI3929" s="53">
        <f>IF(Inputs!$C$203="",0,IF(1+$AH3929&gt;0,LN(1+$AH3929),0))</f>
        <v>0</v>
      </c>
      <c r="AJ3929" s="55">
        <f t="shared" si="1436"/>
        <v>0</v>
      </c>
      <c r="AK3929" s="55">
        <f>IF($AE3929="",0,COUNTIFS(rl_key,Inputs!$J$203,$AF$3806:$AF$4045,$AF3929,$AE$3806:$AE$4045,"&lt;"&amp;$AE3929))</f>
        <v>0</v>
      </c>
      <c r="AL3929" s="55">
        <f>IF($AE3929="",0,COUNTIFS(Inputs!$J$80:$J$203,Inputs!$J$203,$AF$3806:$AF3929,$AF3929,$AE$3806:$AE3929,$AE3929))</f>
        <v>0</v>
      </c>
      <c r="AM3929" s="55">
        <f t="shared" si="1437"/>
        <v>0</v>
      </c>
    </row>
    <row r="3930" spans="1:39" x14ac:dyDescent="0.25">
      <c r="A3930" s="54" t="str">
        <f>IF(Inputs!$C$204="","",IF(Inputs!$E$204="planned",EDATE(Inputs!$C$204,N(INDEX(sc_shift,1))),Inputs!$C$204))</f>
        <v/>
      </c>
      <c r="B3930" s="54" t="str">
        <f t="shared" si="1426"/>
        <v/>
      </c>
      <c r="C3930" s="52">
        <f>IF(N(INDEX(sc_ach,1))=0,IF(Inputs!$G$204="",1,Inputs!$G$204),INDEX(sc_ach,1))</f>
        <v>1</v>
      </c>
      <c r="D3930" s="52">
        <f>IF(Inputs!$C$204="",0,IF(Inputs!$E$204="planned",(Inputs!$D$204+N(INDEX(sc_dpts,1)))*$C3930,Inputs!$D$204))</f>
        <v>0</v>
      </c>
      <c r="E3930" s="53">
        <f>IF(Inputs!$C$204="",0,IF(1+$D3930&gt;0,LN(1+$D3930),0))</f>
        <v>0</v>
      </c>
      <c r="F3930" s="55">
        <f t="shared" si="1427"/>
        <v>0</v>
      </c>
      <c r="G3930" s="55">
        <f>IF($A3930="",0,COUNTIFS(rl_key,Inputs!$J$204,$B$3806:$B$4045,$B3930,$A$3806:$A$4045,"&lt;"&amp;$A3930))</f>
        <v>0</v>
      </c>
      <c r="H3930" s="55">
        <f>IF($A3930="",0,COUNTIFS(Inputs!$J$80:$J$204,Inputs!$J$204,$B$3806:$B3930,$B3930,$A$3806:$A3930,$A3930))</f>
        <v>0</v>
      </c>
      <c r="I3930" s="55">
        <f t="shared" si="1428"/>
        <v>0</v>
      </c>
      <c r="K3930" s="54" t="str">
        <f>IF(Inputs!$C$204="","",IF(Inputs!$E$204="planned",EDATE(Inputs!$C$204,N(INDEX(sc_shift,2))),Inputs!$C$204))</f>
        <v/>
      </c>
      <c r="L3930" s="54" t="str">
        <f t="shared" si="1429"/>
        <v/>
      </c>
      <c r="M3930" s="52">
        <f>IF(N(INDEX(sc_ach,2))=0,IF(Inputs!$G$204="",1,Inputs!$G$204),INDEX(sc_ach,2))</f>
        <v>1</v>
      </c>
      <c r="N3930" s="52">
        <f>IF(Inputs!$C$204="",0,IF(Inputs!$E$204="planned",(Inputs!$D$204+N(INDEX(sc_dpts,2)))*$M3930,Inputs!$D$204))</f>
        <v>0</v>
      </c>
      <c r="O3930" s="53">
        <f>IF(Inputs!$C$204="",0,IF(1+$N3930&gt;0,LN(1+$N3930),0))</f>
        <v>0</v>
      </c>
      <c r="P3930" s="55">
        <f t="shared" si="1430"/>
        <v>0</v>
      </c>
      <c r="Q3930" s="55">
        <f>IF($K3930="",0,COUNTIFS(rl_key,Inputs!$J$204,$L$3806:$L$4045,$L3930,$K$3806:$K$4045,"&lt;"&amp;$K3930))</f>
        <v>0</v>
      </c>
      <c r="R3930" s="55">
        <f>IF($K3930="",0,COUNTIFS(Inputs!$J$80:$J$204,Inputs!$J$204,$L$3806:$L3930,$L3930,$K$3806:$K3930,$K3930))</f>
        <v>0</v>
      </c>
      <c r="S3930" s="55">
        <f t="shared" si="1431"/>
        <v>0</v>
      </c>
      <c r="U3930" s="54" t="str">
        <f>IF(Inputs!$C$204="","",IF(Inputs!$E$204="planned",EDATE(Inputs!$C$204,N(INDEX(sc_shift,3))),Inputs!$C$204))</f>
        <v/>
      </c>
      <c r="V3930" s="54" t="str">
        <f t="shared" si="1432"/>
        <v/>
      </c>
      <c r="W3930" s="52">
        <f>IF(N(INDEX(sc_ach,3))=0,IF(Inputs!$G$204="",1,Inputs!$G$204),INDEX(sc_ach,3))</f>
        <v>1</v>
      </c>
      <c r="X3930" s="52">
        <f>IF(Inputs!$C$204="",0,IF(Inputs!$E$204="planned",(Inputs!$D$204+N(INDEX(sc_dpts,3)))*$W3930,Inputs!$D$204))</f>
        <v>0</v>
      </c>
      <c r="Y3930" s="53">
        <f>IF(Inputs!$C$204="",0,IF(1+$X3930&gt;0,LN(1+$X3930),0))</f>
        <v>0</v>
      </c>
      <c r="Z3930" s="55">
        <f t="shared" si="1433"/>
        <v>0</v>
      </c>
      <c r="AA3930" s="55">
        <f>IF($U3930="",0,COUNTIFS(rl_key,Inputs!$J$204,$V$3806:$V$4045,$V3930,$U$3806:$U$4045,"&lt;"&amp;$U3930))</f>
        <v>0</v>
      </c>
      <c r="AB3930" s="55">
        <f>IF($U3930="",0,COUNTIFS(Inputs!$J$80:$J$204,Inputs!$J$204,$V$3806:$V3930,$V3930,$U$3806:$U3930,$U3930))</f>
        <v>0</v>
      </c>
      <c r="AC3930" s="55">
        <f t="shared" si="1434"/>
        <v>0</v>
      </c>
      <c r="AE3930" s="54" t="str">
        <f>IF(Inputs!$C$204="","",IF(Inputs!$E$204="planned",EDATE(Inputs!$C$204,N(INDEX(sc_shift,4))),Inputs!$C$204))</f>
        <v/>
      </c>
      <c r="AF3930" s="54" t="str">
        <f t="shared" si="1435"/>
        <v/>
      </c>
      <c r="AG3930" s="52">
        <f>IF(N(INDEX(sc_ach,4))=0,IF(Inputs!$G$204="",1,Inputs!$G$204),INDEX(sc_ach,4))</f>
        <v>1</v>
      </c>
      <c r="AH3930" s="52">
        <f>IF(Inputs!$C$204="",0,IF(Inputs!$E$204="planned",(Inputs!$D$204+N(INDEX(sc_dpts,4)))*$AG3930,Inputs!$D$204))</f>
        <v>0</v>
      </c>
      <c r="AI3930" s="53">
        <f>IF(Inputs!$C$204="",0,IF(1+$AH3930&gt;0,LN(1+$AH3930),0))</f>
        <v>0</v>
      </c>
      <c r="AJ3930" s="55">
        <f t="shared" si="1436"/>
        <v>0</v>
      </c>
      <c r="AK3930" s="55">
        <f>IF($AE3930="",0,COUNTIFS(rl_key,Inputs!$J$204,$AF$3806:$AF$4045,$AF3930,$AE$3806:$AE$4045,"&lt;"&amp;$AE3930))</f>
        <v>0</v>
      </c>
      <c r="AL3930" s="55">
        <f>IF($AE3930="",0,COUNTIFS(Inputs!$J$80:$J$204,Inputs!$J$204,$AF$3806:$AF3930,$AF3930,$AE$3806:$AE3930,$AE3930))</f>
        <v>0</v>
      </c>
      <c r="AM3930" s="55">
        <f t="shared" si="1437"/>
        <v>0</v>
      </c>
    </row>
    <row r="3931" spans="1:39" x14ac:dyDescent="0.25">
      <c r="A3931" s="54" t="str">
        <f>IF(Inputs!$C$205="","",IF(Inputs!$E$205="planned",EDATE(Inputs!$C$205,N(INDEX(sc_shift,1))),Inputs!$C$205))</f>
        <v/>
      </c>
      <c r="B3931" s="54" t="str">
        <f t="shared" si="1426"/>
        <v/>
      </c>
      <c r="C3931" s="52">
        <f>IF(N(INDEX(sc_ach,1))=0,IF(Inputs!$G$205="",1,Inputs!$G$205),INDEX(sc_ach,1))</f>
        <v>1</v>
      </c>
      <c r="D3931" s="52">
        <f>IF(Inputs!$C$205="",0,IF(Inputs!$E$205="planned",(Inputs!$D$205+N(INDEX(sc_dpts,1)))*$C3931,Inputs!$D$205))</f>
        <v>0</v>
      </c>
      <c r="E3931" s="53">
        <f>IF(Inputs!$C$205="",0,IF(1+$D3931&gt;0,LN(1+$D3931),0))</f>
        <v>0</v>
      </c>
      <c r="F3931" s="55">
        <f t="shared" si="1427"/>
        <v>0</v>
      </c>
      <c r="G3931" s="55">
        <f>IF($A3931="",0,COUNTIFS(rl_key,Inputs!$J$205,$B$3806:$B$4045,$B3931,$A$3806:$A$4045,"&lt;"&amp;$A3931))</f>
        <v>0</v>
      </c>
      <c r="H3931" s="55">
        <f>IF($A3931="",0,COUNTIFS(Inputs!$J$80:$J$205,Inputs!$J$205,$B$3806:$B3931,$B3931,$A$3806:$A3931,$A3931))</f>
        <v>0</v>
      </c>
      <c r="I3931" s="55">
        <f t="shared" si="1428"/>
        <v>0</v>
      </c>
      <c r="K3931" s="54" t="str">
        <f>IF(Inputs!$C$205="","",IF(Inputs!$E$205="planned",EDATE(Inputs!$C$205,N(INDEX(sc_shift,2))),Inputs!$C$205))</f>
        <v/>
      </c>
      <c r="L3931" s="54" t="str">
        <f t="shared" si="1429"/>
        <v/>
      </c>
      <c r="M3931" s="52">
        <f>IF(N(INDEX(sc_ach,2))=0,IF(Inputs!$G$205="",1,Inputs!$G$205),INDEX(sc_ach,2))</f>
        <v>1</v>
      </c>
      <c r="N3931" s="52">
        <f>IF(Inputs!$C$205="",0,IF(Inputs!$E$205="planned",(Inputs!$D$205+N(INDEX(sc_dpts,2)))*$M3931,Inputs!$D$205))</f>
        <v>0</v>
      </c>
      <c r="O3931" s="53">
        <f>IF(Inputs!$C$205="",0,IF(1+$N3931&gt;0,LN(1+$N3931),0))</f>
        <v>0</v>
      </c>
      <c r="P3931" s="55">
        <f t="shared" si="1430"/>
        <v>0</v>
      </c>
      <c r="Q3931" s="55">
        <f>IF($K3931="",0,COUNTIFS(rl_key,Inputs!$J$205,$L$3806:$L$4045,$L3931,$K$3806:$K$4045,"&lt;"&amp;$K3931))</f>
        <v>0</v>
      </c>
      <c r="R3931" s="55">
        <f>IF($K3931="",0,COUNTIFS(Inputs!$J$80:$J$205,Inputs!$J$205,$L$3806:$L3931,$L3931,$K$3806:$K3931,$K3931))</f>
        <v>0</v>
      </c>
      <c r="S3931" s="55">
        <f t="shared" si="1431"/>
        <v>0</v>
      </c>
      <c r="U3931" s="54" t="str">
        <f>IF(Inputs!$C$205="","",IF(Inputs!$E$205="planned",EDATE(Inputs!$C$205,N(INDEX(sc_shift,3))),Inputs!$C$205))</f>
        <v/>
      </c>
      <c r="V3931" s="54" t="str">
        <f t="shared" si="1432"/>
        <v/>
      </c>
      <c r="W3931" s="52">
        <f>IF(N(INDEX(sc_ach,3))=0,IF(Inputs!$G$205="",1,Inputs!$G$205),INDEX(sc_ach,3))</f>
        <v>1</v>
      </c>
      <c r="X3931" s="52">
        <f>IF(Inputs!$C$205="",0,IF(Inputs!$E$205="planned",(Inputs!$D$205+N(INDEX(sc_dpts,3)))*$W3931,Inputs!$D$205))</f>
        <v>0</v>
      </c>
      <c r="Y3931" s="53">
        <f>IF(Inputs!$C$205="",0,IF(1+$X3931&gt;0,LN(1+$X3931),0))</f>
        <v>0</v>
      </c>
      <c r="Z3931" s="55">
        <f t="shared" si="1433"/>
        <v>0</v>
      </c>
      <c r="AA3931" s="55">
        <f>IF($U3931="",0,COUNTIFS(rl_key,Inputs!$J$205,$V$3806:$V$4045,$V3931,$U$3806:$U$4045,"&lt;"&amp;$U3931))</f>
        <v>0</v>
      </c>
      <c r="AB3931" s="55">
        <f>IF($U3931="",0,COUNTIFS(Inputs!$J$80:$J$205,Inputs!$J$205,$V$3806:$V3931,$V3931,$U$3806:$U3931,$U3931))</f>
        <v>0</v>
      </c>
      <c r="AC3931" s="55">
        <f t="shared" si="1434"/>
        <v>0</v>
      </c>
      <c r="AE3931" s="54" t="str">
        <f>IF(Inputs!$C$205="","",IF(Inputs!$E$205="planned",EDATE(Inputs!$C$205,N(INDEX(sc_shift,4))),Inputs!$C$205))</f>
        <v/>
      </c>
      <c r="AF3931" s="54" t="str">
        <f t="shared" si="1435"/>
        <v/>
      </c>
      <c r="AG3931" s="52">
        <f>IF(N(INDEX(sc_ach,4))=0,IF(Inputs!$G$205="",1,Inputs!$G$205),INDEX(sc_ach,4))</f>
        <v>1</v>
      </c>
      <c r="AH3931" s="52">
        <f>IF(Inputs!$C$205="",0,IF(Inputs!$E$205="planned",(Inputs!$D$205+N(INDEX(sc_dpts,4)))*$AG3931,Inputs!$D$205))</f>
        <v>0</v>
      </c>
      <c r="AI3931" s="53">
        <f>IF(Inputs!$C$205="",0,IF(1+$AH3931&gt;0,LN(1+$AH3931),0))</f>
        <v>0</v>
      </c>
      <c r="AJ3931" s="55">
        <f t="shared" si="1436"/>
        <v>0</v>
      </c>
      <c r="AK3931" s="55">
        <f>IF($AE3931="",0,COUNTIFS(rl_key,Inputs!$J$205,$AF$3806:$AF$4045,$AF3931,$AE$3806:$AE$4045,"&lt;"&amp;$AE3931))</f>
        <v>0</v>
      </c>
      <c r="AL3931" s="55">
        <f>IF($AE3931="",0,COUNTIFS(Inputs!$J$80:$J$205,Inputs!$J$205,$AF$3806:$AF3931,$AF3931,$AE$3806:$AE3931,$AE3931))</f>
        <v>0</v>
      </c>
      <c r="AM3931" s="55">
        <f t="shared" si="1437"/>
        <v>0</v>
      </c>
    </row>
    <row r="3932" spans="1:39" x14ac:dyDescent="0.25">
      <c r="A3932" s="54" t="str">
        <f>IF(Inputs!$C$206="","",IF(Inputs!$E$206="planned",EDATE(Inputs!$C$206,N(INDEX(sc_shift,1))),Inputs!$C$206))</f>
        <v/>
      </c>
      <c r="B3932" s="54" t="str">
        <f t="shared" si="1426"/>
        <v/>
      </c>
      <c r="C3932" s="52">
        <f>IF(N(INDEX(sc_ach,1))=0,IF(Inputs!$G$206="",1,Inputs!$G$206),INDEX(sc_ach,1))</f>
        <v>1</v>
      </c>
      <c r="D3932" s="52">
        <f>IF(Inputs!$C$206="",0,IF(Inputs!$E$206="planned",(Inputs!$D$206+N(INDEX(sc_dpts,1)))*$C3932,Inputs!$D$206))</f>
        <v>0</v>
      </c>
      <c r="E3932" s="53">
        <f>IF(Inputs!$C$206="",0,IF(1+$D3932&gt;0,LN(1+$D3932),0))</f>
        <v>0</v>
      </c>
      <c r="F3932" s="55">
        <f t="shared" si="1427"/>
        <v>0</v>
      </c>
      <c r="G3932" s="55">
        <f>IF($A3932="",0,COUNTIFS(rl_key,Inputs!$J$206,$B$3806:$B$4045,$B3932,$A$3806:$A$4045,"&lt;"&amp;$A3932))</f>
        <v>0</v>
      </c>
      <c r="H3932" s="55">
        <f>IF($A3932="",0,COUNTIFS(Inputs!$J$80:$J$206,Inputs!$J$206,$B$3806:$B3932,$B3932,$A$3806:$A3932,$A3932))</f>
        <v>0</v>
      </c>
      <c r="I3932" s="55">
        <f t="shared" si="1428"/>
        <v>0</v>
      </c>
      <c r="K3932" s="54" t="str">
        <f>IF(Inputs!$C$206="","",IF(Inputs!$E$206="planned",EDATE(Inputs!$C$206,N(INDEX(sc_shift,2))),Inputs!$C$206))</f>
        <v/>
      </c>
      <c r="L3932" s="54" t="str">
        <f t="shared" si="1429"/>
        <v/>
      </c>
      <c r="M3932" s="52">
        <f>IF(N(INDEX(sc_ach,2))=0,IF(Inputs!$G$206="",1,Inputs!$G$206),INDEX(sc_ach,2))</f>
        <v>1</v>
      </c>
      <c r="N3932" s="52">
        <f>IF(Inputs!$C$206="",0,IF(Inputs!$E$206="planned",(Inputs!$D$206+N(INDEX(sc_dpts,2)))*$M3932,Inputs!$D$206))</f>
        <v>0</v>
      </c>
      <c r="O3932" s="53">
        <f>IF(Inputs!$C$206="",0,IF(1+$N3932&gt;0,LN(1+$N3932),0))</f>
        <v>0</v>
      </c>
      <c r="P3932" s="55">
        <f t="shared" si="1430"/>
        <v>0</v>
      </c>
      <c r="Q3932" s="55">
        <f>IF($K3932="",0,COUNTIFS(rl_key,Inputs!$J$206,$L$3806:$L$4045,$L3932,$K$3806:$K$4045,"&lt;"&amp;$K3932))</f>
        <v>0</v>
      </c>
      <c r="R3932" s="55">
        <f>IF($K3932="",0,COUNTIFS(Inputs!$J$80:$J$206,Inputs!$J$206,$L$3806:$L3932,$L3932,$K$3806:$K3932,$K3932))</f>
        <v>0</v>
      </c>
      <c r="S3932" s="55">
        <f t="shared" si="1431"/>
        <v>0</v>
      </c>
      <c r="U3932" s="54" t="str">
        <f>IF(Inputs!$C$206="","",IF(Inputs!$E$206="planned",EDATE(Inputs!$C$206,N(INDEX(sc_shift,3))),Inputs!$C$206))</f>
        <v/>
      </c>
      <c r="V3932" s="54" t="str">
        <f t="shared" si="1432"/>
        <v/>
      </c>
      <c r="W3932" s="52">
        <f>IF(N(INDEX(sc_ach,3))=0,IF(Inputs!$G$206="",1,Inputs!$G$206),INDEX(sc_ach,3))</f>
        <v>1</v>
      </c>
      <c r="X3932" s="52">
        <f>IF(Inputs!$C$206="",0,IF(Inputs!$E$206="planned",(Inputs!$D$206+N(INDEX(sc_dpts,3)))*$W3932,Inputs!$D$206))</f>
        <v>0</v>
      </c>
      <c r="Y3932" s="53">
        <f>IF(Inputs!$C$206="",0,IF(1+$X3932&gt;0,LN(1+$X3932),0))</f>
        <v>0</v>
      </c>
      <c r="Z3932" s="55">
        <f t="shared" si="1433"/>
        <v>0</v>
      </c>
      <c r="AA3932" s="55">
        <f>IF($U3932="",0,COUNTIFS(rl_key,Inputs!$J$206,$V$3806:$V$4045,$V3932,$U$3806:$U$4045,"&lt;"&amp;$U3932))</f>
        <v>0</v>
      </c>
      <c r="AB3932" s="55">
        <f>IF($U3932="",0,COUNTIFS(Inputs!$J$80:$J$206,Inputs!$J$206,$V$3806:$V3932,$V3932,$U$3806:$U3932,$U3932))</f>
        <v>0</v>
      </c>
      <c r="AC3932" s="55">
        <f t="shared" si="1434"/>
        <v>0</v>
      </c>
      <c r="AE3932" s="54" t="str">
        <f>IF(Inputs!$C$206="","",IF(Inputs!$E$206="planned",EDATE(Inputs!$C$206,N(INDEX(sc_shift,4))),Inputs!$C$206))</f>
        <v/>
      </c>
      <c r="AF3932" s="54" t="str">
        <f t="shared" si="1435"/>
        <v/>
      </c>
      <c r="AG3932" s="52">
        <f>IF(N(INDEX(sc_ach,4))=0,IF(Inputs!$G$206="",1,Inputs!$G$206),INDEX(sc_ach,4))</f>
        <v>1</v>
      </c>
      <c r="AH3932" s="52">
        <f>IF(Inputs!$C$206="",0,IF(Inputs!$E$206="planned",(Inputs!$D$206+N(INDEX(sc_dpts,4)))*$AG3932,Inputs!$D$206))</f>
        <v>0</v>
      </c>
      <c r="AI3932" s="53">
        <f>IF(Inputs!$C$206="",0,IF(1+$AH3932&gt;0,LN(1+$AH3932),0))</f>
        <v>0</v>
      </c>
      <c r="AJ3932" s="55">
        <f t="shared" si="1436"/>
        <v>0</v>
      </c>
      <c r="AK3932" s="55">
        <f>IF($AE3932="",0,COUNTIFS(rl_key,Inputs!$J$206,$AF$3806:$AF$4045,$AF3932,$AE$3806:$AE$4045,"&lt;"&amp;$AE3932))</f>
        <v>0</v>
      </c>
      <c r="AL3932" s="55">
        <f>IF($AE3932="",0,COUNTIFS(Inputs!$J$80:$J$206,Inputs!$J$206,$AF$3806:$AF3932,$AF3932,$AE$3806:$AE3932,$AE3932))</f>
        <v>0</v>
      </c>
      <c r="AM3932" s="55">
        <f t="shared" si="1437"/>
        <v>0</v>
      </c>
    </row>
    <row r="3933" spans="1:39" x14ac:dyDescent="0.25">
      <c r="A3933" s="54" t="str">
        <f>IF(Inputs!$C$207="","",IF(Inputs!$E$207="planned",EDATE(Inputs!$C$207,N(INDEX(sc_shift,1))),Inputs!$C$207))</f>
        <v/>
      </c>
      <c r="B3933" s="54" t="str">
        <f t="shared" si="1426"/>
        <v/>
      </c>
      <c r="C3933" s="52">
        <f>IF(N(INDEX(sc_ach,1))=0,IF(Inputs!$G$207="",1,Inputs!$G$207),INDEX(sc_ach,1))</f>
        <v>1</v>
      </c>
      <c r="D3933" s="52">
        <f>IF(Inputs!$C$207="",0,IF(Inputs!$E$207="planned",(Inputs!$D$207+N(INDEX(sc_dpts,1)))*$C3933,Inputs!$D$207))</f>
        <v>0</v>
      </c>
      <c r="E3933" s="53">
        <f>IF(Inputs!$C$207="",0,IF(1+$D3933&gt;0,LN(1+$D3933),0))</f>
        <v>0</v>
      </c>
      <c r="F3933" s="55">
        <f t="shared" si="1427"/>
        <v>0</v>
      </c>
      <c r="G3933" s="55">
        <f>IF($A3933="",0,COUNTIFS(rl_key,Inputs!$J$207,$B$3806:$B$4045,$B3933,$A$3806:$A$4045,"&lt;"&amp;$A3933))</f>
        <v>0</v>
      </c>
      <c r="H3933" s="55">
        <f>IF($A3933="",0,COUNTIFS(Inputs!$J$80:$J$207,Inputs!$J$207,$B$3806:$B3933,$B3933,$A$3806:$A3933,$A3933))</f>
        <v>0</v>
      </c>
      <c r="I3933" s="55">
        <f t="shared" si="1428"/>
        <v>0</v>
      </c>
      <c r="K3933" s="54" t="str">
        <f>IF(Inputs!$C$207="","",IF(Inputs!$E$207="planned",EDATE(Inputs!$C$207,N(INDEX(sc_shift,2))),Inputs!$C$207))</f>
        <v/>
      </c>
      <c r="L3933" s="54" t="str">
        <f t="shared" si="1429"/>
        <v/>
      </c>
      <c r="M3933" s="52">
        <f>IF(N(INDEX(sc_ach,2))=0,IF(Inputs!$G$207="",1,Inputs!$G$207),INDEX(sc_ach,2))</f>
        <v>1</v>
      </c>
      <c r="N3933" s="52">
        <f>IF(Inputs!$C$207="",0,IF(Inputs!$E$207="planned",(Inputs!$D$207+N(INDEX(sc_dpts,2)))*$M3933,Inputs!$D$207))</f>
        <v>0</v>
      </c>
      <c r="O3933" s="53">
        <f>IF(Inputs!$C$207="",0,IF(1+$N3933&gt;0,LN(1+$N3933),0))</f>
        <v>0</v>
      </c>
      <c r="P3933" s="55">
        <f t="shared" si="1430"/>
        <v>0</v>
      </c>
      <c r="Q3933" s="55">
        <f>IF($K3933="",0,COUNTIFS(rl_key,Inputs!$J$207,$L$3806:$L$4045,$L3933,$K$3806:$K$4045,"&lt;"&amp;$K3933))</f>
        <v>0</v>
      </c>
      <c r="R3933" s="55">
        <f>IF($K3933="",0,COUNTIFS(Inputs!$J$80:$J$207,Inputs!$J$207,$L$3806:$L3933,$L3933,$K$3806:$K3933,$K3933))</f>
        <v>0</v>
      </c>
      <c r="S3933" s="55">
        <f t="shared" si="1431"/>
        <v>0</v>
      </c>
      <c r="U3933" s="54" t="str">
        <f>IF(Inputs!$C$207="","",IF(Inputs!$E$207="planned",EDATE(Inputs!$C$207,N(INDEX(sc_shift,3))),Inputs!$C$207))</f>
        <v/>
      </c>
      <c r="V3933" s="54" t="str">
        <f t="shared" si="1432"/>
        <v/>
      </c>
      <c r="W3933" s="52">
        <f>IF(N(INDEX(sc_ach,3))=0,IF(Inputs!$G$207="",1,Inputs!$G$207),INDEX(sc_ach,3))</f>
        <v>1</v>
      </c>
      <c r="X3933" s="52">
        <f>IF(Inputs!$C$207="",0,IF(Inputs!$E$207="planned",(Inputs!$D$207+N(INDEX(sc_dpts,3)))*$W3933,Inputs!$D$207))</f>
        <v>0</v>
      </c>
      <c r="Y3933" s="53">
        <f>IF(Inputs!$C$207="",0,IF(1+$X3933&gt;0,LN(1+$X3933),0))</f>
        <v>0</v>
      </c>
      <c r="Z3933" s="55">
        <f t="shared" si="1433"/>
        <v>0</v>
      </c>
      <c r="AA3933" s="55">
        <f>IF($U3933="",0,COUNTIFS(rl_key,Inputs!$J$207,$V$3806:$V$4045,$V3933,$U$3806:$U$4045,"&lt;"&amp;$U3933))</f>
        <v>0</v>
      </c>
      <c r="AB3933" s="55">
        <f>IF($U3933="",0,COUNTIFS(Inputs!$J$80:$J$207,Inputs!$J$207,$V$3806:$V3933,$V3933,$U$3806:$U3933,$U3933))</f>
        <v>0</v>
      </c>
      <c r="AC3933" s="55">
        <f t="shared" si="1434"/>
        <v>0</v>
      </c>
      <c r="AE3933" s="54" t="str">
        <f>IF(Inputs!$C$207="","",IF(Inputs!$E$207="planned",EDATE(Inputs!$C$207,N(INDEX(sc_shift,4))),Inputs!$C$207))</f>
        <v/>
      </c>
      <c r="AF3933" s="54" t="str">
        <f t="shared" si="1435"/>
        <v/>
      </c>
      <c r="AG3933" s="52">
        <f>IF(N(INDEX(sc_ach,4))=0,IF(Inputs!$G$207="",1,Inputs!$G$207),INDEX(sc_ach,4))</f>
        <v>1</v>
      </c>
      <c r="AH3933" s="52">
        <f>IF(Inputs!$C$207="",0,IF(Inputs!$E$207="planned",(Inputs!$D$207+N(INDEX(sc_dpts,4)))*$AG3933,Inputs!$D$207))</f>
        <v>0</v>
      </c>
      <c r="AI3933" s="53">
        <f>IF(Inputs!$C$207="",0,IF(1+$AH3933&gt;0,LN(1+$AH3933),0))</f>
        <v>0</v>
      </c>
      <c r="AJ3933" s="55">
        <f t="shared" si="1436"/>
        <v>0</v>
      </c>
      <c r="AK3933" s="55">
        <f>IF($AE3933="",0,COUNTIFS(rl_key,Inputs!$J$207,$AF$3806:$AF$4045,$AF3933,$AE$3806:$AE$4045,"&lt;"&amp;$AE3933))</f>
        <v>0</v>
      </c>
      <c r="AL3933" s="55">
        <f>IF($AE3933="",0,COUNTIFS(Inputs!$J$80:$J$207,Inputs!$J$207,$AF$3806:$AF3933,$AF3933,$AE$3806:$AE3933,$AE3933))</f>
        <v>0</v>
      </c>
      <c r="AM3933" s="55">
        <f t="shared" si="1437"/>
        <v>0</v>
      </c>
    </row>
    <row r="3934" spans="1:39" x14ac:dyDescent="0.25">
      <c r="A3934" s="54" t="str">
        <f>IF(Inputs!$C$208="","",IF(Inputs!$E$208="planned",EDATE(Inputs!$C$208,N(INDEX(sc_shift,1))),Inputs!$C$208))</f>
        <v/>
      </c>
      <c r="B3934" s="54" t="str">
        <f t="shared" ref="B3934:B3997" si="1438">IF($A3934="","",DATE(YEAR($A3934),MONTH($A3934),1))</f>
        <v/>
      </c>
      <c r="C3934" s="52">
        <f>IF(N(INDEX(sc_ach,1))=0,IF(Inputs!$G$208="",1,Inputs!$G$208),INDEX(sc_ach,1))</f>
        <v>1</v>
      </c>
      <c r="D3934" s="52">
        <f>IF(Inputs!$C$208="",0,IF(Inputs!$E$208="planned",(Inputs!$D$208+N(INDEX(sc_dpts,1)))*$C3934,Inputs!$D$208))</f>
        <v>0</v>
      </c>
      <c r="E3934" s="53">
        <f>IF(Inputs!$C$208="",0,IF(1+$D3934&gt;0,LN(1+$D3934),0))</f>
        <v>0</v>
      </c>
      <c r="F3934" s="55">
        <f t="shared" ref="F3934:F3997" si="1439">IF($A3934="",0,EOMONTH($A3934,0)-$A3934+1)</f>
        <v>0</v>
      </c>
      <c r="G3934" s="55">
        <f>IF($A3934="",0,COUNTIFS(rl_key,Inputs!$J$208,$B$3806:$B$4045,$B3934,$A$3806:$A$4045,"&lt;"&amp;$A3934))</f>
        <v>0</v>
      </c>
      <c r="H3934" s="55">
        <f>IF($A3934="",0,COUNTIFS(Inputs!$J$80:$J$208,Inputs!$J$208,$B$3806:$B3934,$B3934,$A$3806:$A3934,$A3934))</f>
        <v>0</v>
      </c>
      <c r="I3934" s="55">
        <f t="shared" ref="I3934:I3997" si="1440">IF($A3934="",0,IF(AND($G3934=0,$H3934=1),1,0))</f>
        <v>0</v>
      </c>
      <c r="K3934" s="54" t="str">
        <f>IF(Inputs!$C$208="","",IF(Inputs!$E$208="planned",EDATE(Inputs!$C$208,N(INDEX(sc_shift,2))),Inputs!$C$208))</f>
        <v/>
      </c>
      <c r="L3934" s="54" t="str">
        <f t="shared" ref="L3934:L3997" si="1441">IF($K3934="","",DATE(YEAR($K3934),MONTH($K3934),1))</f>
        <v/>
      </c>
      <c r="M3934" s="52">
        <f>IF(N(INDEX(sc_ach,2))=0,IF(Inputs!$G$208="",1,Inputs!$G$208),INDEX(sc_ach,2))</f>
        <v>1</v>
      </c>
      <c r="N3934" s="52">
        <f>IF(Inputs!$C$208="",0,IF(Inputs!$E$208="planned",(Inputs!$D$208+N(INDEX(sc_dpts,2)))*$M3934,Inputs!$D$208))</f>
        <v>0</v>
      </c>
      <c r="O3934" s="53">
        <f>IF(Inputs!$C$208="",0,IF(1+$N3934&gt;0,LN(1+$N3934),0))</f>
        <v>0</v>
      </c>
      <c r="P3934" s="55">
        <f t="shared" ref="P3934:P3997" si="1442">IF($K3934="",0,EOMONTH($K3934,0)-$K3934+1)</f>
        <v>0</v>
      </c>
      <c r="Q3934" s="55">
        <f>IF($K3934="",0,COUNTIFS(rl_key,Inputs!$J$208,$L$3806:$L$4045,$L3934,$K$3806:$K$4045,"&lt;"&amp;$K3934))</f>
        <v>0</v>
      </c>
      <c r="R3934" s="55">
        <f>IF($K3934="",0,COUNTIFS(Inputs!$J$80:$J$208,Inputs!$J$208,$L$3806:$L3934,$L3934,$K$3806:$K3934,$K3934))</f>
        <v>0</v>
      </c>
      <c r="S3934" s="55">
        <f t="shared" ref="S3934:S3997" si="1443">IF($K3934="",0,IF(AND($Q3934=0,$R3934=1),1,0))</f>
        <v>0</v>
      </c>
      <c r="U3934" s="54" t="str">
        <f>IF(Inputs!$C$208="","",IF(Inputs!$E$208="planned",EDATE(Inputs!$C$208,N(INDEX(sc_shift,3))),Inputs!$C$208))</f>
        <v/>
      </c>
      <c r="V3934" s="54" t="str">
        <f t="shared" ref="V3934:V3997" si="1444">IF($U3934="","",DATE(YEAR($U3934),MONTH($U3934),1))</f>
        <v/>
      </c>
      <c r="W3934" s="52">
        <f>IF(N(INDEX(sc_ach,3))=0,IF(Inputs!$G$208="",1,Inputs!$G$208),INDEX(sc_ach,3))</f>
        <v>1</v>
      </c>
      <c r="X3934" s="52">
        <f>IF(Inputs!$C$208="",0,IF(Inputs!$E$208="planned",(Inputs!$D$208+N(INDEX(sc_dpts,3)))*$W3934,Inputs!$D$208))</f>
        <v>0</v>
      </c>
      <c r="Y3934" s="53">
        <f>IF(Inputs!$C$208="",0,IF(1+$X3934&gt;0,LN(1+$X3934),0))</f>
        <v>0</v>
      </c>
      <c r="Z3934" s="55">
        <f t="shared" ref="Z3934:Z3997" si="1445">IF($U3934="",0,EOMONTH($U3934,0)-$U3934+1)</f>
        <v>0</v>
      </c>
      <c r="AA3934" s="55">
        <f>IF($U3934="",0,COUNTIFS(rl_key,Inputs!$J$208,$V$3806:$V$4045,$V3934,$U$3806:$U$4045,"&lt;"&amp;$U3934))</f>
        <v>0</v>
      </c>
      <c r="AB3934" s="55">
        <f>IF($U3934="",0,COUNTIFS(Inputs!$J$80:$J$208,Inputs!$J$208,$V$3806:$V3934,$V3934,$U$3806:$U3934,$U3934))</f>
        <v>0</v>
      </c>
      <c r="AC3934" s="55">
        <f t="shared" ref="AC3934:AC3997" si="1446">IF($U3934="",0,IF(AND($AA3934=0,$AB3934=1),1,0))</f>
        <v>0</v>
      </c>
      <c r="AE3934" s="54" t="str">
        <f>IF(Inputs!$C$208="","",IF(Inputs!$E$208="planned",EDATE(Inputs!$C$208,N(INDEX(sc_shift,4))),Inputs!$C$208))</f>
        <v/>
      </c>
      <c r="AF3934" s="54" t="str">
        <f t="shared" ref="AF3934:AF3997" si="1447">IF($AE3934="","",DATE(YEAR($AE3934),MONTH($AE3934),1))</f>
        <v/>
      </c>
      <c r="AG3934" s="52">
        <f>IF(N(INDEX(sc_ach,4))=0,IF(Inputs!$G$208="",1,Inputs!$G$208),INDEX(sc_ach,4))</f>
        <v>1</v>
      </c>
      <c r="AH3934" s="52">
        <f>IF(Inputs!$C$208="",0,IF(Inputs!$E$208="planned",(Inputs!$D$208+N(INDEX(sc_dpts,4)))*$AG3934,Inputs!$D$208))</f>
        <v>0</v>
      </c>
      <c r="AI3934" s="53">
        <f>IF(Inputs!$C$208="",0,IF(1+$AH3934&gt;0,LN(1+$AH3934),0))</f>
        <v>0</v>
      </c>
      <c r="AJ3934" s="55">
        <f t="shared" ref="AJ3934:AJ3997" si="1448">IF($AE3934="",0,EOMONTH($AE3934,0)-$AE3934+1)</f>
        <v>0</v>
      </c>
      <c r="AK3934" s="55">
        <f>IF($AE3934="",0,COUNTIFS(rl_key,Inputs!$J$208,$AF$3806:$AF$4045,$AF3934,$AE$3806:$AE$4045,"&lt;"&amp;$AE3934))</f>
        <v>0</v>
      </c>
      <c r="AL3934" s="55">
        <f>IF($AE3934="",0,COUNTIFS(Inputs!$J$80:$J$208,Inputs!$J$208,$AF$3806:$AF3934,$AF3934,$AE$3806:$AE3934,$AE3934))</f>
        <v>0</v>
      </c>
      <c r="AM3934" s="55">
        <f t="shared" ref="AM3934:AM3997" si="1449">IF($AE3934="",0,IF(AND($AK3934=0,$AL3934=1),1,0))</f>
        <v>0</v>
      </c>
    </row>
    <row r="3935" spans="1:39" x14ac:dyDescent="0.25">
      <c r="A3935" s="54" t="str">
        <f>IF(Inputs!$C$209="","",IF(Inputs!$E$209="planned",EDATE(Inputs!$C$209,N(INDEX(sc_shift,1))),Inputs!$C$209))</f>
        <v/>
      </c>
      <c r="B3935" s="54" t="str">
        <f t="shared" si="1438"/>
        <v/>
      </c>
      <c r="C3935" s="52">
        <f>IF(N(INDEX(sc_ach,1))=0,IF(Inputs!$G$209="",1,Inputs!$G$209),INDEX(sc_ach,1))</f>
        <v>1</v>
      </c>
      <c r="D3935" s="52">
        <f>IF(Inputs!$C$209="",0,IF(Inputs!$E$209="planned",(Inputs!$D$209+N(INDEX(sc_dpts,1)))*$C3935,Inputs!$D$209))</f>
        <v>0</v>
      </c>
      <c r="E3935" s="53">
        <f>IF(Inputs!$C$209="",0,IF(1+$D3935&gt;0,LN(1+$D3935),0))</f>
        <v>0</v>
      </c>
      <c r="F3935" s="55">
        <f t="shared" si="1439"/>
        <v>0</v>
      </c>
      <c r="G3935" s="55">
        <f>IF($A3935="",0,COUNTIFS(rl_key,Inputs!$J$209,$B$3806:$B$4045,$B3935,$A$3806:$A$4045,"&lt;"&amp;$A3935))</f>
        <v>0</v>
      </c>
      <c r="H3935" s="55">
        <f>IF($A3935="",0,COUNTIFS(Inputs!$J$80:$J$209,Inputs!$J$209,$B$3806:$B3935,$B3935,$A$3806:$A3935,$A3935))</f>
        <v>0</v>
      </c>
      <c r="I3935" s="55">
        <f t="shared" si="1440"/>
        <v>0</v>
      </c>
      <c r="K3935" s="54" t="str">
        <f>IF(Inputs!$C$209="","",IF(Inputs!$E$209="planned",EDATE(Inputs!$C$209,N(INDEX(sc_shift,2))),Inputs!$C$209))</f>
        <v/>
      </c>
      <c r="L3935" s="54" t="str">
        <f t="shared" si="1441"/>
        <v/>
      </c>
      <c r="M3935" s="52">
        <f>IF(N(INDEX(sc_ach,2))=0,IF(Inputs!$G$209="",1,Inputs!$G$209),INDEX(sc_ach,2))</f>
        <v>1</v>
      </c>
      <c r="N3935" s="52">
        <f>IF(Inputs!$C$209="",0,IF(Inputs!$E$209="planned",(Inputs!$D$209+N(INDEX(sc_dpts,2)))*$M3935,Inputs!$D$209))</f>
        <v>0</v>
      </c>
      <c r="O3935" s="53">
        <f>IF(Inputs!$C$209="",0,IF(1+$N3935&gt;0,LN(1+$N3935),0))</f>
        <v>0</v>
      </c>
      <c r="P3935" s="55">
        <f t="shared" si="1442"/>
        <v>0</v>
      </c>
      <c r="Q3935" s="55">
        <f>IF($K3935="",0,COUNTIFS(rl_key,Inputs!$J$209,$L$3806:$L$4045,$L3935,$K$3806:$K$4045,"&lt;"&amp;$K3935))</f>
        <v>0</v>
      </c>
      <c r="R3935" s="55">
        <f>IF($K3935="",0,COUNTIFS(Inputs!$J$80:$J$209,Inputs!$J$209,$L$3806:$L3935,$L3935,$K$3806:$K3935,$K3935))</f>
        <v>0</v>
      </c>
      <c r="S3935" s="55">
        <f t="shared" si="1443"/>
        <v>0</v>
      </c>
      <c r="U3935" s="54" t="str">
        <f>IF(Inputs!$C$209="","",IF(Inputs!$E$209="planned",EDATE(Inputs!$C$209,N(INDEX(sc_shift,3))),Inputs!$C$209))</f>
        <v/>
      </c>
      <c r="V3935" s="54" t="str">
        <f t="shared" si="1444"/>
        <v/>
      </c>
      <c r="W3935" s="52">
        <f>IF(N(INDEX(sc_ach,3))=0,IF(Inputs!$G$209="",1,Inputs!$G$209),INDEX(sc_ach,3))</f>
        <v>1</v>
      </c>
      <c r="X3935" s="52">
        <f>IF(Inputs!$C$209="",0,IF(Inputs!$E$209="planned",(Inputs!$D$209+N(INDEX(sc_dpts,3)))*$W3935,Inputs!$D$209))</f>
        <v>0</v>
      </c>
      <c r="Y3935" s="53">
        <f>IF(Inputs!$C$209="",0,IF(1+$X3935&gt;0,LN(1+$X3935),0))</f>
        <v>0</v>
      </c>
      <c r="Z3935" s="55">
        <f t="shared" si="1445"/>
        <v>0</v>
      </c>
      <c r="AA3935" s="55">
        <f>IF($U3935="",0,COUNTIFS(rl_key,Inputs!$J$209,$V$3806:$V$4045,$V3935,$U$3806:$U$4045,"&lt;"&amp;$U3935))</f>
        <v>0</v>
      </c>
      <c r="AB3935" s="55">
        <f>IF($U3935="",0,COUNTIFS(Inputs!$J$80:$J$209,Inputs!$J$209,$V$3806:$V3935,$V3935,$U$3806:$U3935,$U3935))</f>
        <v>0</v>
      </c>
      <c r="AC3935" s="55">
        <f t="shared" si="1446"/>
        <v>0</v>
      </c>
      <c r="AE3935" s="54" t="str">
        <f>IF(Inputs!$C$209="","",IF(Inputs!$E$209="planned",EDATE(Inputs!$C$209,N(INDEX(sc_shift,4))),Inputs!$C$209))</f>
        <v/>
      </c>
      <c r="AF3935" s="54" t="str">
        <f t="shared" si="1447"/>
        <v/>
      </c>
      <c r="AG3935" s="52">
        <f>IF(N(INDEX(sc_ach,4))=0,IF(Inputs!$G$209="",1,Inputs!$G$209),INDEX(sc_ach,4))</f>
        <v>1</v>
      </c>
      <c r="AH3935" s="52">
        <f>IF(Inputs!$C$209="",0,IF(Inputs!$E$209="planned",(Inputs!$D$209+N(INDEX(sc_dpts,4)))*$AG3935,Inputs!$D$209))</f>
        <v>0</v>
      </c>
      <c r="AI3935" s="53">
        <f>IF(Inputs!$C$209="",0,IF(1+$AH3935&gt;0,LN(1+$AH3935),0))</f>
        <v>0</v>
      </c>
      <c r="AJ3935" s="55">
        <f t="shared" si="1448"/>
        <v>0</v>
      </c>
      <c r="AK3935" s="55">
        <f>IF($AE3935="",0,COUNTIFS(rl_key,Inputs!$J$209,$AF$3806:$AF$4045,$AF3935,$AE$3806:$AE$4045,"&lt;"&amp;$AE3935))</f>
        <v>0</v>
      </c>
      <c r="AL3935" s="55">
        <f>IF($AE3935="",0,COUNTIFS(Inputs!$J$80:$J$209,Inputs!$J$209,$AF$3806:$AF3935,$AF3935,$AE$3806:$AE3935,$AE3935))</f>
        <v>0</v>
      </c>
      <c r="AM3935" s="55">
        <f t="shared" si="1449"/>
        <v>0</v>
      </c>
    </row>
    <row r="3936" spans="1:39" x14ac:dyDescent="0.25">
      <c r="A3936" s="54" t="str">
        <f>IF(Inputs!$C$210="","",IF(Inputs!$E$210="planned",EDATE(Inputs!$C$210,N(INDEX(sc_shift,1))),Inputs!$C$210))</f>
        <v/>
      </c>
      <c r="B3936" s="54" t="str">
        <f t="shared" si="1438"/>
        <v/>
      </c>
      <c r="C3936" s="52">
        <f>IF(N(INDEX(sc_ach,1))=0,IF(Inputs!$G$210="",1,Inputs!$G$210),INDEX(sc_ach,1))</f>
        <v>1</v>
      </c>
      <c r="D3936" s="52">
        <f>IF(Inputs!$C$210="",0,IF(Inputs!$E$210="planned",(Inputs!$D$210+N(INDEX(sc_dpts,1)))*$C3936,Inputs!$D$210))</f>
        <v>0</v>
      </c>
      <c r="E3936" s="53">
        <f>IF(Inputs!$C$210="",0,IF(1+$D3936&gt;0,LN(1+$D3936),0))</f>
        <v>0</v>
      </c>
      <c r="F3936" s="55">
        <f t="shared" si="1439"/>
        <v>0</v>
      </c>
      <c r="G3936" s="55">
        <f>IF($A3936="",0,COUNTIFS(rl_key,Inputs!$J$210,$B$3806:$B$4045,$B3936,$A$3806:$A$4045,"&lt;"&amp;$A3936))</f>
        <v>0</v>
      </c>
      <c r="H3936" s="55">
        <f>IF($A3936="",0,COUNTIFS(Inputs!$J$80:$J$210,Inputs!$J$210,$B$3806:$B3936,$B3936,$A$3806:$A3936,$A3936))</f>
        <v>0</v>
      </c>
      <c r="I3936" s="55">
        <f t="shared" si="1440"/>
        <v>0</v>
      </c>
      <c r="K3936" s="54" t="str">
        <f>IF(Inputs!$C$210="","",IF(Inputs!$E$210="planned",EDATE(Inputs!$C$210,N(INDEX(sc_shift,2))),Inputs!$C$210))</f>
        <v/>
      </c>
      <c r="L3936" s="54" t="str">
        <f t="shared" si="1441"/>
        <v/>
      </c>
      <c r="M3936" s="52">
        <f>IF(N(INDEX(sc_ach,2))=0,IF(Inputs!$G$210="",1,Inputs!$G$210),INDEX(sc_ach,2))</f>
        <v>1</v>
      </c>
      <c r="N3936" s="52">
        <f>IF(Inputs!$C$210="",0,IF(Inputs!$E$210="planned",(Inputs!$D$210+N(INDEX(sc_dpts,2)))*$M3936,Inputs!$D$210))</f>
        <v>0</v>
      </c>
      <c r="O3936" s="53">
        <f>IF(Inputs!$C$210="",0,IF(1+$N3936&gt;0,LN(1+$N3936),0))</f>
        <v>0</v>
      </c>
      <c r="P3936" s="55">
        <f t="shared" si="1442"/>
        <v>0</v>
      </c>
      <c r="Q3936" s="55">
        <f>IF($K3936="",0,COUNTIFS(rl_key,Inputs!$J$210,$L$3806:$L$4045,$L3936,$K$3806:$K$4045,"&lt;"&amp;$K3936))</f>
        <v>0</v>
      </c>
      <c r="R3936" s="55">
        <f>IF($K3936="",0,COUNTIFS(Inputs!$J$80:$J$210,Inputs!$J$210,$L$3806:$L3936,$L3936,$K$3806:$K3936,$K3936))</f>
        <v>0</v>
      </c>
      <c r="S3936" s="55">
        <f t="shared" si="1443"/>
        <v>0</v>
      </c>
      <c r="U3936" s="54" t="str">
        <f>IF(Inputs!$C$210="","",IF(Inputs!$E$210="planned",EDATE(Inputs!$C$210,N(INDEX(sc_shift,3))),Inputs!$C$210))</f>
        <v/>
      </c>
      <c r="V3936" s="54" t="str">
        <f t="shared" si="1444"/>
        <v/>
      </c>
      <c r="W3936" s="52">
        <f>IF(N(INDEX(sc_ach,3))=0,IF(Inputs!$G$210="",1,Inputs!$G$210),INDEX(sc_ach,3))</f>
        <v>1</v>
      </c>
      <c r="X3936" s="52">
        <f>IF(Inputs!$C$210="",0,IF(Inputs!$E$210="planned",(Inputs!$D$210+N(INDEX(sc_dpts,3)))*$W3936,Inputs!$D$210))</f>
        <v>0</v>
      </c>
      <c r="Y3936" s="53">
        <f>IF(Inputs!$C$210="",0,IF(1+$X3936&gt;0,LN(1+$X3936),0))</f>
        <v>0</v>
      </c>
      <c r="Z3936" s="55">
        <f t="shared" si="1445"/>
        <v>0</v>
      </c>
      <c r="AA3936" s="55">
        <f>IF($U3936="",0,COUNTIFS(rl_key,Inputs!$J$210,$V$3806:$V$4045,$V3936,$U$3806:$U$4045,"&lt;"&amp;$U3936))</f>
        <v>0</v>
      </c>
      <c r="AB3936" s="55">
        <f>IF($U3936="",0,COUNTIFS(Inputs!$J$80:$J$210,Inputs!$J$210,$V$3806:$V3936,$V3936,$U$3806:$U3936,$U3936))</f>
        <v>0</v>
      </c>
      <c r="AC3936" s="55">
        <f t="shared" si="1446"/>
        <v>0</v>
      </c>
      <c r="AE3936" s="54" t="str">
        <f>IF(Inputs!$C$210="","",IF(Inputs!$E$210="planned",EDATE(Inputs!$C$210,N(INDEX(sc_shift,4))),Inputs!$C$210))</f>
        <v/>
      </c>
      <c r="AF3936" s="54" t="str">
        <f t="shared" si="1447"/>
        <v/>
      </c>
      <c r="AG3936" s="52">
        <f>IF(N(INDEX(sc_ach,4))=0,IF(Inputs!$G$210="",1,Inputs!$G$210),INDEX(sc_ach,4))</f>
        <v>1</v>
      </c>
      <c r="AH3936" s="52">
        <f>IF(Inputs!$C$210="",0,IF(Inputs!$E$210="planned",(Inputs!$D$210+N(INDEX(sc_dpts,4)))*$AG3936,Inputs!$D$210))</f>
        <v>0</v>
      </c>
      <c r="AI3936" s="53">
        <f>IF(Inputs!$C$210="",0,IF(1+$AH3936&gt;0,LN(1+$AH3936),0))</f>
        <v>0</v>
      </c>
      <c r="AJ3936" s="55">
        <f t="shared" si="1448"/>
        <v>0</v>
      </c>
      <c r="AK3936" s="55">
        <f>IF($AE3936="",0,COUNTIFS(rl_key,Inputs!$J$210,$AF$3806:$AF$4045,$AF3936,$AE$3806:$AE$4045,"&lt;"&amp;$AE3936))</f>
        <v>0</v>
      </c>
      <c r="AL3936" s="55">
        <f>IF($AE3936="",0,COUNTIFS(Inputs!$J$80:$J$210,Inputs!$J$210,$AF$3806:$AF3936,$AF3936,$AE$3806:$AE3936,$AE3936))</f>
        <v>0</v>
      </c>
      <c r="AM3936" s="55">
        <f t="shared" si="1449"/>
        <v>0</v>
      </c>
    </row>
    <row r="3937" spans="1:39" x14ac:dyDescent="0.25">
      <c r="A3937" s="54" t="str">
        <f>IF(Inputs!$C$211="","",IF(Inputs!$E$211="planned",EDATE(Inputs!$C$211,N(INDEX(sc_shift,1))),Inputs!$C$211))</f>
        <v/>
      </c>
      <c r="B3937" s="54" t="str">
        <f t="shared" si="1438"/>
        <v/>
      </c>
      <c r="C3937" s="52">
        <f>IF(N(INDEX(sc_ach,1))=0,IF(Inputs!$G$211="",1,Inputs!$G$211),INDEX(sc_ach,1))</f>
        <v>1</v>
      </c>
      <c r="D3937" s="52">
        <f>IF(Inputs!$C$211="",0,IF(Inputs!$E$211="planned",(Inputs!$D$211+N(INDEX(sc_dpts,1)))*$C3937,Inputs!$D$211))</f>
        <v>0</v>
      </c>
      <c r="E3937" s="53">
        <f>IF(Inputs!$C$211="",0,IF(1+$D3937&gt;0,LN(1+$D3937),0))</f>
        <v>0</v>
      </c>
      <c r="F3937" s="55">
        <f t="shared" si="1439"/>
        <v>0</v>
      </c>
      <c r="G3937" s="55">
        <f>IF($A3937="",0,COUNTIFS(rl_key,Inputs!$J$211,$B$3806:$B$4045,$B3937,$A$3806:$A$4045,"&lt;"&amp;$A3937))</f>
        <v>0</v>
      </c>
      <c r="H3937" s="55">
        <f>IF($A3937="",0,COUNTIFS(Inputs!$J$80:$J$211,Inputs!$J$211,$B$3806:$B3937,$B3937,$A$3806:$A3937,$A3937))</f>
        <v>0</v>
      </c>
      <c r="I3937" s="55">
        <f t="shared" si="1440"/>
        <v>0</v>
      </c>
      <c r="K3937" s="54" t="str">
        <f>IF(Inputs!$C$211="","",IF(Inputs!$E$211="planned",EDATE(Inputs!$C$211,N(INDEX(sc_shift,2))),Inputs!$C$211))</f>
        <v/>
      </c>
      <c r="L3937" s="54" t="str">
        <f t="shared" si="1441"/>
        <v/>
      </c>
      <c r="M3937" s="52">
        <f>IF(N(INDEX(sc_ach,2))=0,IF(Inputs!$G$211="",1,Inputs!$G$211),INDEX(sc_ach,2))</f>
        <v>1</v>
      </c>
      <c r="N3937" s="52">
        <f>IF(Inputs!$C$211="",0,IF(Inputs!$E$211="planned",(Inputs!$D$211+N(INDEX(sc_dpts,2)))*$M3937,Inputs!$D$211))</f>
        <v>0</v>
      </c>
      <c r="O3937" s="53">
        <f>IF(Inputs!$C$211="",0,IF(1+$N3937&gt;0,LN(1+$N3937),0))</f>
        <v>0</v>
      </c>
      <c r="P3937" s="55">
        <f t="shared" si="1442"/>
        <v>0</v>
      </c>
      <c r="Q3937" s="55">
        <f>IF($K3937="",0,COUNTIFS(rl_key,Inputs!$J$211,$L$3806:$L$4045,$L3937,$K$3806:$K$4045,"&lt;"&amp;$K3937))</f>
        <v>0</v>
      </c>
      <c r="R3937" s="55">
        <f>IF($K3937="",0,COUNTIFS(Inputs!$J$80:$J$211,Inputs!$J$211,$L$3806:$L3937,$L3937,$K$3806:$K3937,$K3937))</f>
        <v>0</v>
      </c>
      <c r="S3937" s="55">
        <f t="shared" si="1443"/>
        <v>0</v>
      </c>
      <c r="U3937" s="54" t="str">
        <f>IF(Inputs!$C$211="","",IF(Inputs!$E$211="planned",EDATE(Inputs!$C$211,N(INDEX(sc_shift,3))),Inputs!$C$211))</f>
        <v/>
      </c>
      <c r="V3937" s="54" t="str">
        <f t="shared" si="1444"/>
        <v/>
      </c>
      <c r="W3937" s="52">
        <f>IF(N(INDEX(sc_ach,3))=0,IF(Inputs!$G$211="",1,Inputs!$G$211),INDEX(sc_ach,3))</f>
        <v>1</v>
      </c>
      <c r="X3937" s="52">
        <f>IF(Inputs!$C$211="",0,IF(Inputs!$E$211="planned",(Inputs!$D$211+N(INDEX(sc_dpts,3)))*$W3937,Inputs!$D$211))</f>
        <v>0</v>
      </c>
      <c r="Y3937" s="53">
        <f>IF(Inputs!$C$211="",0,IF(1+$X3937&gt;0,LN(1+$X3937),0))</f>
        <v>0</v>
      </c>
      <c r="Z3937" s="55">
        <f t="shared" si="1445"/>
        <v>0</v>
      </c>
      <c r="AA3937" s="55">
        <f>IF($U3937="",0,COUNTIFS(rl_key,Inputs!$J$211,$V$3806:$V$4045,$V3937,$U$3806:$U$4045,"&lt;"&amp;$U3937))</f>
        <v>0</v>
      </c>
      <c r="AB3937" s="55">
        <f>IF($U3937="",0,COUNTIFS(Inputs!$J$80:$J$211,Inputs!$J$211,$V$3806:$V3937,$V3937,$U$3806:$U3937,$U3937))</f>
        <v>0</v>
      </c>
      <c r="AC3937" s="55">
        <f t="shared" si="1446"/>
        <v>0</v>
      </c>
      <c r="AE3937" s="54" t="str">
        <f>IF(Inputs!$C$211="","",IF(Inputs!$E$211="planned",EDATE(Inputs!$C$211,N(INDEX(sc_shift,4))),Inputs!$C$211))</f>
        <v/>
      </c>
      <c r="AF3937" s="54" t="str">
        <f t="shared" si="1447"/>
        <v/>
      </c>
      <c r="AG3937" s="52">
        <f>IF(N(INDEX(sc_ach,4))=0,IF(Inputs!$G$211="",1,Inputs!$G$211),INDEX(sc_ach,4))</f>
        <v>1</v>
      </c>
      <c r="AH3937" s="52">
        <f>IF(Inputs!$C$211="",0,IF(Inputs!$E$211="planned",(Inputs!$D$211+N(INDEX(sc_dpts,4)))*$AG3937,Inputs!$D$211))</f>
        <v>0</v>
      </c>
      <c r="AI3937" s="53">
        <f>IF(Inputs!$C$211="",0,IF(1+$AH3937&gt;0,LN(1+$AH3937),0))</f>
        <v>0</v>
      </c>
      <c r="AJ3937" s="55">
        <f t="shared" si="1448"/>
        <v>0</v>
      </c>
      <c r="AK3937" s="55">
        <f>IF($AE3937="",0,COUNTIFS(rl_key,Inputs!$J$211,$AF$3806:$AF$4045,$AF3937,$AE$3806:$AE$4045,"&lt;"&amp;$AE3937))</f>
        <v>0</v>
      </c>
      <c r="AL3937" s="55">
        <f>IF($AE3937="",0,COUNTIFS(Inputs!$J$80:$J$211,Inputs!$J$211,$AF$3806:$AF3937,$AF3937,$AE$3806:$AE3937,$AE3937))</f>
        <v>0</v>
      </c>
      <c r="AM3937" s="55">
        <f t="shared" si="1449"/>
        <v>0</v>
      </c>
    </row>
    <row r="3938" spans="1:39" x14ac:dyDescent="0.25">
      <c r="A3938" s="54" t="str">
        <f>IF(Inputs!$C$212="","",IF(Inputs!$E$212="planned",EDATE(Inputs!$C$212,N(INDEX(sc_shift,1))),Inputs!$C$212))</f>
        <v/>
      </c>
      <c r="B3938" s="54" t="str">
        <f t="shared" si="1438"/>
        <v/>
      </c>
      <c r="C3938" s="52">
        <f>IF(N(INDEX(sc_ach,1))=0,IF(Inputs!$G$212="",1,Inputs!$G$212),INDEX(sc_ach,1))</f>
        <v>1</v>
      </c>
      <c r="D3938" s="52">
        <f>IF(Inputs!$C$212="",0,IF(Inputs!$E$212="planned",(Inputs!$D$212+N(INDEX(sc_dpts,1)))*$C3938,Inputs!$D$212))</f>
        <v>0</v>
      </c>
      <c r="E3938" s="53">
        <f>IF(Inputs!$C$212="",0,IF(1+$D3938&gt;0,LN(1+$D3938),0))</f>
        <v>0</v>
      </c>
      <c r="F3938" s="55">
        <f t="shared" si="1439"/>
        <v>0</v>
      </c>
      <c r="G3938" s="55">
        <f>IF($A3938="",0,COUNTIFS(rl_key,Inputs!$J$212,$B$3806:$B$4045,$B3938,$A$3806:$A$4045,"&lt;"&amp;$A3938))</f>
        <v>0</v>
      </c>
      <c r="H3938" s="55">
        <f>IF($A3938="",0,COUNTIFS(Inputs!$J$80:$J$212,Inputs!$J$212,$B$3806:$B3938,$B3938,$A$3806:$A3938,$A3938))</f>
        <v>0</v>
      </c>
      <c r="I3938" s="55">
        <f t="shared" si="1440"/>
        <v>0</v>
      </c>
      <c r="K3938" s="54" t="str">
        <f>IF(Inputs!$C$212="","",IF(Inputs!$E$212="planned",EDATE(Inputs!$C$212,N(INDEX(sc_shift,2))),Inputs!$C$212))</f>
        <v/>
      </c>
      <c r="L3938" s="54" t="str">
        <f t="shared" si="1441"/>
        <v/>
      </c>
      <c r="M3938" s="52">
        <f>IF(N(INDEX(sc_ach,2))=0,IF(Inputs!$G$212="",1,Inputs!$G$212),INDEX(sc_ach,2))</f>
        <v>1</v>
      </c>
      <c r="N3938" s="52">
        <f>IF(Inputs!$C$212="",0,IF(Inputs!$E$212="planned",(Inputs!$D$212+N(INDEX(sc_dpts,2)))*$M3938,Inputs!$D$212))</f>
        <v>0</v>
      </c>
      <c r="O3938" s="53">
        <f>IF(Inputs!$C$212="",0,IF(1+$N3938&gt;0,LN(1+$N3938),0))</f>
        <v>0</v>
      </c>
      <c r="P3938" s="55">
        <f t="shared" si="1442"/>
        <v>0</v>
      </c>
      <c r="Q3938" s="55">
        <f>IF($K3938="",0,COUNTIFS(rl_key,Inputs!$J$212,$L$3806:$L$4045,$L3938,$K$3806:$K$4045,"&lt;"&amp;$K3938))</f>
        <v>0</v>
      </c>
      <c r="R3938" s="55">
        <f>IF($K3938="",0,COUNTIFS(Inputs!$J$80:$J$212,Inputs!$J$212,$L$3806:$L3938,$L3938,$K$3806:$K3938,$K3938))</f>
        <v>0</v>
      </c>
      <c r="S3938" s="55">
        <f t="shared" si="1443"/>
        <v>0</v>
      </c>
      <c r="U3938" s="54" t="str">
        <f>IF(Inputs!$C$212="","",IF(Inputs!$E$212="planned",EDATE(Inputs!$C$212,N(INDEX(sc_shift,3))),Inputs!$C$212))</f>
        <v/>
      </c>
      <c r="V3938" s="54" t="str">
        <f t="shared" si="1444"/>
        <v/>
      </c>
      <c r="W3938" s="52">
        <f>IF(N(INDEX(sc_ach,3))=0,IF(Inputs!$G$212="",1,Inputs!$G$212),INDEX(sc_ach,3))</f>
        <v>1</v>
      </c>
      <c r="X3938" s="52">
        <f>IF(Inputs!$C$212="",0,IF(Inputs!$E$212="planned",(Inputs!$D$212+N(INDEX(sc_dpts,3)))*$W3938,Inputs!$D$212))</f>
        <v>0</v>
      </c>
      <c r="Y3938" s="53">
        <f>IF(Inputs!$C$212="",0,IF(1+$X3938&gt;0,LN(1+$X3938),0))</f>
        <v>0</v>
      </c>
      <c r="Z3938" s="55">
        <f t="shared" si="1445"/>
        <v>0</v>
      </c>
      <c r="AA3938" s="55">
        <f>IF($U3938="",0,COUNTIFS(rl_key,Inputs!$J$212,$V$3806:$V$4045,$V3938,$U$3806:$U$4045,"&lt;"&amp;$U3938))</f>
        <v>0</v>
      </c>
      <c r="AB3938" s="55">
        <f>IF($U3938="",0,COUNTIFS(Inputs!$J$80:$J$212,Inputs!$J$212,$V$3806:$V3938,$V3938,$U$3806:$U3938,$U3938))</f>
        <v>0</v>
      </c>
      <c r="AC3938" s="55">
        <f t="shared" si="1446"/>
        <v>0</v>
      </c>
      <c r="AE3938" s="54" t="str">
        <f>IF(Inputs!$C$212="","",IF(Inputs!$E$212="planned",EDATE(Inputs!$C$212,N(INDEX(sc_shift,4))),Inputs!$C$212))</f>
        <v/>
      </c>
      <c r="AF3938" s="54" t="str">
        <f t="shared" si="1447"/>
        <v/>
      </c>
      <c r="AG3938" s="52">
        <f>IF(N(INDEX(sc_ach,4))=0,IF(Inputs!$G$212="",1,Inputs!$G$212),INDEX(sc_ach,4))</f>
        <v>1</v>
      </c>
      <c r="AH3938" s="52">
        <f>IF(Inputs!$C$212="",0,IF(Inputs!$E$212="planned",(Inputs!$D$212+N(INDEX(sc_dpts,4)))*$AG3938,Inputs!$D$212))</f>
        <v>0</v>
      </c>
      <c r="AI3938" s="53">
        <f>IF(Inputs!$C$212="",0,IF(1+$AH3938&gt;0,LN(1+$AH3938),0))</f>
        <v>0</v>
      </c>
      <c r="AJ3938" s="55">
        <f t="shared" si="1448"/>
        <v>0</v>
      </c>
      <c r="AK3938" s="55">
        <f>IF($AE3938="",0,COUNTIFS(rl_key,Inputs!$J$212,$AF$3806:$AF$4045,$AF3938,$AE$3806:$AE$4045,"&lt;"&amp;$AE3938))</f>
        <v>0</v>
      </c>
      <c r="AL3938" s="55">
        <f>IF($AE3938="",0,COUNTIFS(Inputs!$J$80:$J$212,Inputs!$J$212,$AF$3806:$AF3938,$AF3938,$AE$3806:$AE3938,$AE3938))</f>
        <v>0</v>
      </c>
      <c r="AM3938" s="55">
        <f t="shared" si="1449"/>
        <v>0</v>
      </c>
    </row>
    <row r="3939" spans="1:39" x14ac:dyDescent="0.25">
      <c r="A3939" s="54" t="str">
        <f>IF(Inputs!$C$213="","",IF(Inputs!$E$213="planned",EDATE(Inputs!$C$213,N(INDEX(sc_shift,1))),Inputs!$C$213))</f>
        <v/>
      </c>
      <c r="B3939" s="54" t="str">
        <f t="shared" si="1438"/>
        <v/>
      </c>
      <c r="C3939" s="52">
        <f>IF(N(INDEX(sc_ach,1))=0,IF(Inputs!$G$213="",1,Inputs!$G$213),INDEX(sc_ach,1))</f>
        <v>1</v>
      </c>
      <c r="D3939" s="52">
        <f>IF(Inputs!$C$213="",0,IF(Inputs!$E$213="planned",(Inputs!$D$213+N(INDEX(sc_dpts,1)))*$C3939,Inputs!$D$213))</f>
        <v>0</v>
      </c>
      <c r="E3939" s="53">
        <f>IF(Inputs!$C$213="",0,IF(1+$D3939&gt;0,LN(1+$D3939),0))</f>
        <v>0</v>
      </c>
      <c r="F3939" s="55">
        <f t="shared" si="1439"/>
        <v>0</v>
      </c>
      <c r="G3939" s="55">
        <f>IF($A3939="",0,COUNTIFS(rl_key,Inputs!$J$213,$B$3806:$B$4045,$B3939,$A$3806:$A$4045,"&lt;"&amp;$A3939))</f>
        <v>0</v>
      </c>
      <c r="H3939" s="55">
        <f>IF($A3939="",0,COUNTIFS(Inputs!$J$80:$J$213,Inputs!$J$213,$B$3806:$B3939,$B3939,$A$3806:$A3939,$A3939))</f>
        <v>0</v>
      </c>
      <c r="I3939" s="55">
        <f t="shared" si="1440"/>
        <v>0</v>
      </c>
      <c r="K3939" s="54" t="str">
        <f>IF(Inputs!$C$213="","",IF(Inputs!$E$213="planned",EDATE(Inputs!$C$213,N(INDEX(sc_shift,2))),Inputs!$C$213))</f>
        <v/>
      </c>
      <c r="L3939" s="54" t="str">
        <f t="shared" si="1441"/>
        <v/>
      </c>
      <c r="M3939" s="52">
        <f>IF(N(INDEX(sc_ach,2))=0,IF(Inputs!$G$213="",1,Inputs!$G$213),INDEX(sc_ach,2))</f>
        <v>1</v>
      </c>
      <c r="N3939" s="52">
        <f>IF(Inputs!$C$213="",0,IF(Inputs!$E$213="planned",(Inputs!$D$213+N(INDEX(sc_dpts,2)))*$M3939,Inputs!$D$213))</f>
        <v>0</v>
      </c>
      <c r="O3939" s="53">
        <f>IF(Inputs!$C$213="",0,IF(1+$N3939&gt;0,LN(1+$N3939),0))</f>
        <v>0</v>
      </c>
      <c r="P3939" s="55">
        <f t="shared" si="1442"/>
        <v>0</v>
      </c>
      <c r="Q3939" s="55">
        <f>IF($K3939="",0,COUNTIFS(rl_key,Inputs!$J$213,$L$3806:$L$4045,$L3939,$K$3806:$K$4045,"&lt;"&amp;$K3939))</f>
        <v>0</v>
      </c>
      <c r="R3939" s="55">
        <f>IF($K3939="",0,COUNTIFS(Inputs!$J$80:$J$213,Inputs!$J$213,$L$3806:$L3939,$L3939,$K$3806:$K3939,$K3939))</f>
        <v>0</v>
      </c>
      <c r="S3939" s="55">
        <f t="shared" si="1443"/>
        <v>0</v>
      </c>
      <c r="U3939" s="54" t="str">
        <f>IF(Inputs!$C$213="","",IF(Inputs!$E$213="planned",EDATE(Inputs!$C$213,N(INDEX(sc_shift,3))),Inputs!$C$213))</f>
        <v/>
      </c>
      <c r="V3939" s="54" t="str">
        <f t="shared" si="1444"/>
        <v/>
      </c>
      <c r="W3939" s="52">
        <f>IF(N(INDEX(sc_ach,3))=0,IF(Inputs!$G$213="",1,Inputs!$G$213),INDEX(sc_ach,3))</f>
        <v>1</v>
      </c>
      <c r="X3939" s="52">
        <f>IF(Inputs!$C$213="",0,IF(Inputs!$E$213="planned",(Inputs!$D$213+N(INDEX(sc_dpts,3)))*$W3939,Inputs!$D$213))</f>
        <v>0</v>
      </c>
      <c r="Y3939" s="53">
        <f>IF(Inputs!$C$213="",0,IF(1+$X3939&gt;0,LN(1+$X3939),0))</f>
        <v>0</v>
      </c>
      <c r="Z3939" s="55">
        <f t="shared" si="1445"/>
        <v>0</v>
      </c>
      <c r="AA3939" s="55">
        <f>IF($U3939="",0,COUNTIFS(rl_key,Inputs!$J$213,$V$3806:$V$4045,$V3939,$U$3806:$U$4045,"&lt;"&amp;$U3939))</f>
        <v>0</v>
      </c>
      <c r="AB3939" s="55">
        <f>IF($U3939="",0,COUNTIFS(Inputs!$J$80:$J$213,Inputs!$J$213,$V$3806:$V3939,$V3939,$U$3806:$U3939,$U3939))</f>
        <v>0</v>
      </c>
      <c r="AC3939" s="55">
        <f t="shared" si="1446"/>
        <v>0</v>
      </c>
      <c r="AE3939" s="54" t="str">
        <f>IF(Inputs!$C$213="","",IF(Inputs!$E$213="planned",EDATE(Inputs!$C$213,N(INDEX(sc_shift,4))),Inputs!$C$213))</f>
        <v/>
      </c>
      <c r="AF3939" s="54" t="str">
        <f t="shared" si="1447"/>
        <v/>
      </c>
      <c r="AG3939" s="52">
        <f>IF(N(INDEX(sc_ach,4))=0,IF(Inputs!$G$213="",1,Inputs!$G$213),INDEX(sc_ach,4))</f>
        <v>1</v>
      </c>
      <c r="AH3939" s="52">
        <f>IF(Inputs!$C$213="",0,IF(Inputs!$E$213="planned",(Inputs!$D$213+N(INDEX(sc_dpts,4)))*$AG3939,Inputs!$D$213))</f>
        <v>0</v>
      </c>
      <c r="AI3939" s="53">
        <f>IF(Inputs!$C$213="",0,IF(1+$AH3939&gt;0,LN(1+$AH3939),0))</f>
        <v>0</v>
      </c>
      <c r="AJ3939" s="55">
        <f t="shared" si="1448"/>
        <v>0</v>
      </c>
      <c r="AK3939" s="55">
        <f>IF($AE3939="",0,COUNTIFS(rl_key,Inputs!$J$213,$AF$3806:$AF$4045,$AF3939,$AE$3806:$AE$4045,"&lt;"&amp;$AE3939))</f>
        <v>0</v>
      </c>
      <c r="AL3939" s="55">
        <f>IF($AE3939="",0,COUNTIFS(Inputs!$J$80:$J$213,Inputs!$J$213,$AF$3806:$AF3939,$AF3939,$AE$3806:$AE3939,$AE3939))</f>
        <v>0</v>
      </c>
      <c r="AM3939" s="55">
        <f t="shared" si="1449"/>
        <v>0</v>
      </c>
    </row>
    <row r="3940" spans="1:39" x14ac:dyDescent="0.25">
      <c r="A3940" s="54" t="str">
        <f>IF(Inputs!$C$214="","",IF(Inputs!$E$214="planned",EDATE(Inputs!$C$214,N(INDEX(sc_shift,1))),Inputs!$C$214))</f>
        <v/>
      </c>
      <c r="B3940" s="54" t="str">
        <f t="shared" si="1438"/>
        <v/>
      </c>
      <c r="C3940" s="52">
        <f>IF(N(INDEX(sc_ach,1))=0,IF(Inputs!$G$214="",1,Inputs!$G$214),INDEX(sc_ach,1))</f>
        <v>1</v>
      </c>
      <c r="D3940" s="52">
        <f>IF(Inputs!$C$214="",0,IF(Inputs!$E$214="planned",(Inputs!$D$214+N(INDEX(sc_dpts,1)))*$C3940,Inputs!$D$214))</f>
        <v>0</v>
      </c>
      <c r="E3940" s="53">
        <f>IF(Inputs!$C$214="",0,IF(1+$D3940&gt;0,LN(1+$D3940),0))</f>
        <v>0</v>
      </c>
      <c r="F3940" s="55">
        <f t="shared" si="1439"/>
        <v>0</v>
      </c>
      <c r="G3940" s="55">
        <f>IF($A3940="",0,COUNTIFS(rl_key,Inputs!$J$214,$B$3806:$B$4045,$B3940,$A$3806:$A$4045,"&lt;"&amp;$A3940))</f>
        <v>0</v>
      </c>
      <c r="H3940" s="55">
        <f>IF($A3940="",0,COUNTIFS(Inputs!$J$80:$J$214,Inputs!$J$214,$B$3806:$B3940,$B3940,$A$3806:$A3940,$A3940))</f>
        <v>0</v>
      </c>
      <c r="I3940" s="55">
        <f t="shared" si="1440"/>
        <v>0</v>
      </c>
      <c r="K3940" s="54" t="str">
        <f>IF(Inputs!$C$214="","",IF(Inputs!$E$214="planned",EDATE(Inputs!$C$214,N(INDEX(sc_shift,2))),Inputs!$C$214))</f>
        <v/>
      </c>
      <c r="L3940" s="54" t="str">
        <f t="shared" si="1441"/>
        <v/>
      </c>
      <c r="M3940" s="52">
        <f>IF(N(INDEX(sc_ach,2))=0,IF(Inputs!$G$214="",1,Inputs!$G$214),INDEX(sc_ach,2))</f>
        <v>1</v>
      </c>
      <c r="N3940" s="52">
        <f>IF(Inputs!$C$214="",0,IF(Inputs!$E$214="planned",(Inputs!$D$214+N(INDEX(sc_dpts,2)))*$M3940,Inputs!$D$214))</f>
        <v>0</v>
      </c>
      <c r="O3940" s="53">
        <f>IF(Inputs!$C$214="",0,IF(1+$N3940&gt;0,LN(1+$N3940),0))</f>
        <v>0</v>
      </c>
      <c r="P3940" s="55">
        <f t="shared" si="1442"/>
        <v>0</v>
      </c>
      <c r="Q3940" s="55">
        <f>IF($K3940="",0,COUNTIFS(rl_key,Inputs!$J$214,$L$3806:$L$4045,$L3940,$K$3806:$K$4045,"&lt;"&amp;$K3940))</f>
        <v>0</v>
      </c>
      <c r="R3940" s="55">
        <f>IF($K3940="",0,COUNTIFS(Inputs!$J$80:$J$214,Inputs!$J$214,$L$3806:$L3940,$L3940,$K$3806:$K3940,$K3940))</f>
        <v>0</v>
      </c>
      <c r="S3940" s="55">
        <f t="shared" si="1443"/>
        <v>0</v>
      </c>
      <c r="U3940" s="54" t="str">
        <f>IF(Inputs!$C$214="","",IF(Inputs!$E$214="planned",EDATE(Inputs!$C$214,N(INDEX(sc_shift,3))),Inputs!$C$214))</f>
        <v/>
      </c>
      <c r="V3940" s="54" t="str">
        <f t="shared" si="1444"/>
        <v/>
      </c>
      <c r="W3940" s="52">
        <f>IF(N(INDEX(sc_ach,3))=0,IF(Inputs!$G$214="",1,Inputs!$G$214),INDEX(sc_ach,3))</f>
        <v>1</v>
      </c>
      <c r="X3940" s="52">
        <f>IF(Inputs!$C$214="",0,IF(Inputs!$E$214="planned",(Inputs!$D$214+N(INDEX(sc_dpts,3)))*$W3940,Inputs!$D$214))</f>
        <v>0</v>
      </c>
      <c r="Y3940" s="53">
        <f>IF(Inputs!$C$214="",0,IF(1+$X3940&gt;0,LN(1+$X3940),0))</f>
        <v>0</v>
      </c>
      <c r="Z3940" s="55">
        <f t="shared" si="1445"/>
        <v>0</v>
      </c>
      <c r="AA3940" s="55">
        <f>IF($U3940="",0,COUNTIFS(rl_key,Inputs!$J$214,$V$3806:$V$4045,$V3940,$U$3806:$U$4045,"&lt;"&amp;$U3940))</f>
        <v>0</v>
      </c>
      <c r="AB3940" s="55">
        <f>IF($U3940="",0,COUNTIFS(Inputs!$J$80:$J$214,Inputs!$J$214,$V$3806:$V3940,$V3940,$U$3806:$U3940,$U3940))</f>
        <v>0</v>
      </c>
      <c r="AC3940" s="55">
        <f t="shared" si="1446"/>
        <v>0</v>
      </c>
      <c r="AE3940" s="54" t="str">
        <f>IF(Inputs!$C$214="","",IF(Inputs!$E$214="planned",EDATE(Inputs!$C$214,N(INDEX(sc_shift,4))),Inputs!$C$214))</f>
        <v/>
      </c>
      <c r="AF3940" s="54" t="str">
        <f t="shared" si="1447"/>
        <v/>
      </c>
      <c r="AG3940" s="52">
        <f>IF(N(INDEX(sc_ach,4))=0,IF(Inputs!$G$214="",1,Inputs!$G$214),INDEX(sc_ach,4))</f>
        <v>1</v>
      </c>
      <c r="AH3940" s="52">
        <f>IF(Inputs!$C$214="",0,IF(Inputs!$E$214="planned",(Inputs!$D$214+N(INDEX(sc_dpts,4)))*$AG3940,Inputs!$D$214))</f>
        <v>0</v>
      </c>
      <c r="AI3940" s="53">
        <f>IF(Inputs!$C$214="",0,IF(1+$AH3940&gt;0,LN(1+$AH3940),0))</f>
        <v>0</v>
      </c>
      <c r="AJ3940" s="55">
        <f t="shared" si="1448"/>
        <v>0</v>
      </c>
      <c r="AK3940" s="55">
        <f>IF($AE3940="",0,COUNTIFS(rl_key,Inputs!$J$214,$AF$3806:$AF$4045,$AF3940,$AE$3806:$AE$4045,"&lt;"&amp;$AE3940))</f>
        <v>0</v>
      </c>
      <c r="AL3940" s="55">
        <f>IF($AE3940="",0,COUNTIFS(Inputs!$J$80:$J$214,Inputs!$J$214,$AF$3806:$AF3940,$AF3940,$AE$3806:$AE3940,$AE3940))</f>
        <v>0</v>
      </c>
      <c r="AM3940" s="55">
        <f t="shared" si="1449"/>
        <v>0</v>
      </c>
    </row>
    <row r="3941" spans="1:39" x14ac:dyDescent="0.25">
      <c r="A3941" s="54" t="str">
        <f>IF(Inputs!$C$215="","",IF(Inputs!$E$215="planned",EDATE(Inputs!$C$215,N(INDEX(sc_shift,1))),Inputs!$C$215))</f>
        <v/>
      </c>
      <c r="B3941" s="54" t="str">
        <f t="shared" si="1438"/>
        <v/>
      </c>
      <c r="C3941" s="52">
        <f>IF(N(INDEX(sc_ach,1))=0,IF(Inputs!$G$215="",1,Inputs!$G$215),INDEX(sc_ach,1))</f>
        <v>1</v>
      </c>
      <c r="D3941" s="52">
        <f>IF(Inputs!$C$215="",0,IF(Inputs!$E$215="planned",(Inputs!$D$215+N(INDEX(sc_dpts,1)))*$C3941,Inputs!$D$215))</f>
        <v>0</v>
      </c>
      <c r="E3941" s="53">
        <f>IF(Inputs!$C$215="",0,IF(1+$D3941&gt;0,LN(1+$D3941),0))</f>
        <v>0</v>
      </c>
      <c r="F3941" s="55">
        <f t="shared" si="1439"/>
        <v>0</v>
      </c>
      <c r="G3941" s="55">
        <f>IF($A3941="",0,COUNTIFS(rl_key,Inputs!$J$215,$B$3806:$B$4045,$B3941,$A$3806:$A$4045,"&lt;"&amp;$A3941))</f>
        <v>0</v>
      </c>
      <c r="H3941" s="55">
        <f>IF($A3941="",0,COUNTIFS(Inputs!$J$80:$J$215,Inputs!$J$215,$B$3806:$B3941,$B3941,$A$3806:$A3941,$A3941))</f>
        <v>0</v>
      </c>
      <c r="I3941" s="55">
        <f t="shared" si="1440"/>
        <v>0</v>
      </c>
      <c r="K3941" s="54" t="str">
        <f>IF(Inputs!$C$215="","",IF(Inputs!$E$215="planned",EDATE(Inputs!$C$215,N(INDEX(sc_shift,2))),Inputs!$C$215))</f>
        <v/>
      </c>
      <c r="L3941" s="54" t="str">
        <f t="shared" si="1441"/>
        <v/>
      </c>
      <c r="M3941" s="52">
        <f>IF(N(INDEX(sc_ach,2))=0,IF(Inputs!$G$215="",1,Inputs!$G$215),INDEX(sc_ach,2))</f>
        <v>1</v>
      </c>
      <c r="N3941" s="52">
        <f>IF(Inputs!$C$215="",0,IF(Inputs!$E$215="planned",(Inputs!$D$215+N(INDEX(sc_dpts,2)))*$M3941,Inputs!$D$215))</f>
        <v>0</v>
      </c>
      <c r="O3941" s="53">
        <f>IF(Inputs!$C$215="",0,IF(1+$N3941&gt;0,LN(1+$N3941),0))</f>
        <v>0</v>
      </c>
      <c r="P3941" s="55">
        <f t="shared" si="1442"/>
        <v>0</v>
      </c>
      <c r="Q3941" s="55">
        <f>IF($K3941="",0,COUNTIFS(rl_key,Inputs!$J$215,$L$3806:$L$4045,$L3941,$K$3806:$K$4045,"&lt;"&amp;$K3941))</f>
        <v>0</v>
      </c>
      <c r="R3941" s="55">
        <f>IF($K3941="",0,COUNTIFS(Inputs!$J$80:$J$215,Inputs!$J$215,$L$3806:$L3941,$L3941,$K$3806:$K3941,$K3941))</f>
        <v>0</v>
      </c>
      <c r="S3941" s="55">
        <f t="shared" si="1443"/>
        <v>0</v>
      </c>
      <c r="U3941" s="54" t="str">
        <f>IF(Inputs!$C$215="","",IF(Inputs!$E$215="planned",EDATE(Inputs!$C$215,N(INDEX(sc_shift,3))),Inputs!$C$215))</f>
        <v/>
      </c>
      <c r="V3941" s="54" t="str">
        <f t="shared" si="1444"/>
        <v/>
      </c>
      <c r="W3941" s="52">
        <f>IF(N(INDEX(sc_ach,3))=0,IF(Inputs!$G$215="",1,Inputs!$G$215),INDEX(sc_ach,3))</f>
        <v>1</v>
      </c>
      <c r="X3941" s="52">
        <f>IF(Inputs!$C$215="",0,IF(Inputs!$E$215="planned",(Inputs!$D$215+N(INDEX(sc_dpts,3)))*$W3941,Inputs!$D$215))</f>
        <v>0</v>
      </c>
      <c r="Y3941" s="53">
        <f>IF(Inputs!$C$215="",0,IF(1+$X3941&gt;0,LN(1+$X3941),0))</f>
        <v>0</v>
      </c>
      <c r="Z3941" s="55">
        <f t="shared" si="1445"/>
        <v>0</v>
      </c>
      <c r="AA3941" s="55">
        <f>IF($U3941="",0,COUNTIFS(rl_key,Inputs!$J$215,$V$3806:$V$4045,$V3941,$U$3806:$U$4045,"&lt;"&amp;$U3941))</f>
        <v>0</v>
      </c>
      <c r="AB3941" s="55">
        <f>IF($U3941="",0,COUNTIFS(Inputs!$J$80:$J$215,Inputs!$J$215,$V$3806:$V3941,$V3941,$U$3806:$U3941,$U3941))</f>
        <v>0</v>
      </c>
      <c r="AC3941" s="55">
        <f t="shared" si="1446"/>
        <v>0</v>
      </c>
      <c r="AE3941" s="54" t="str">
        <f>IF(Inputs!$C$215="","",IF(Inputs!$E$215="planned",EDATE(Inputs!$C$215,N(INDEX(sc_shift,4))),Inputs!$C$215))</f>
        <v/>
      </c>
      <c r="AF3941" s="54" t="str">
        <f t="shared" si="1447"/>
        <v/>
      </c>
      <c r="AG3941" s="52">
        <f>IF(N(INDEX(sc_ach,4))=0,IF(Inputs!$G$215="",1,Inputs!$G$215),INDEX(sc_ach,4))</f>
        <v>1</v>
      </c>
      <c r="AH3941" s="52">
        <f>IF(Inputs!$C$215="",0,IF(Inputs!$E$215="planned",(Inputs!$D$215+N(INDEX(sc_dpts,4)))*$AG3941,Inputs!$D$215))</f>
        <v>0</v>
      </c>
      <c r="AI3941" s="53">
        <f>IF(Inputs!$C$215="",0,IF(1+$AH3941&gt;0,LN(1+$AH3941),0))</f>
        <v>0</v>
      </c>
      <c r="AJ3941" s="55">
        <f t="shared" si="1448"/>
        <v>0</v>
      </c>
      <c r="AK3941" s="55">
        <f>IF($AE3941="",0,COUNTIFS(rl_key,Inputs!$J$215,$AF$3806:$AF$4045,$AF3941,$AE$3806:$AE$4045,"&lt;"&amp;$AE3941))</f>
        <v>0</v>
      </c>
      <c r="AL3941" s="55">
        <f>IF($AE3941="",0,COUNTIFS(Inputs!$J$80:$J$215,Inputs!$J$215,$AF$3806:$AF3941,$AF3941,$AE$3806:$AE3941,$AE3941))</f>
        <v>0</v>
      </c>
      <c r="AM3941" s="55">
        <f t="shared" si="1449"/>
        <v>0</v>
      </c>
    </row>
    <row r="3942" spans="1:39" x14ac:dyDescent="0.25">
      <c r="A3942" s="54" t="str">
        <f>IF(Inputs!$C$216="","",IF(Inputs!$E$216="planned",EDATE(Inputs!$C$216,N(INDEX(sc_shift,1))),Inputs!$C$216))</f>
        <v/>
      </c>
      <c r="B3942" s="54" t="str">
        <f t="shared" si="1438"/>
        <v/>
      </c>
      <c r="C3942" s="52">
        <f>IF(N(INDEX(sc_ach,1))=0,IF(Inputs!$G$216="",1,Inputs!$G$216),INDEX(sc_ach,1))</f>
        <v>1</v>
      </c>
      <c r="D3942" s="52">
        <f>IF(Inputs!$C$216="",0,IF(Inputs!$E$216="planned",(Inputs!$D$216+N(INDEX(sc_dpts,1)))*$C3942,Inputs!$D$216))</f>
        <v>0</v>
      </c>
      <c r="E3942" s="53">
        <f>IF(Inputs!$C$216="",0,IF(1+$D3942&gt;0,LN(1+$D3942),0))</f>
        <v>0</v>
      </c>
      <c r="F3942" s="55">
        <f t="shared" si="1439"/>
        <v>0</v>
      </c>
      <c r="G3942" s="55">
        <f>IF($A3942="",0,COUNTIFS(rl_key,Inputs!$J$216,$B$3806:$B$4045,$B3942,$A$3806:$A$4045,"&lt;"&amp;$A3942))</f>
        <v>0</v>
      </c>
      <c r="H3942" s="55">
        <f>IF($A3942="",0,COUNTIFS(Inputs!$J$80:$J$216,Inputs!$J$216,$B$3806:$B3942,$B3942,$A$3806:$A3942,$A3942))</f>
        <v>0</v>
      </c>
      <c r="I3942" s="55">
        <f t="shared" si="1440"/>
        <v>0</v>
      </c>
      <c r="K3942" s="54" t="str">
        <f>IF(Inputs!$C$216="","",IF(Inputs!$E$216="planned",EDATE(Inputs!$C$216,N(INDEX(sc_shift,2))),Inputs!$C$216))</f>
        <v/>
      </c>
      <c r="L3942" s="54" t="str">
        <f t="shared" si="1441"/>
        <v/>
      </c>
      <c r="M3942" s="52">
        <f>IF(N(INDEX(sc_ach,2))=0,IF(Inputs!$G$216="",1,Inputs!$G$216),INDEX(sc_ach,2))</f>
        <v>1</v>
      </c>
      <c r="N3942" s="52">
        <f>IF(Inputs!$C$216="",0,IF(Inputs!$E$216="planned",(Inputs!$D$216+N(INDEX(sc_dpts,2)))*$M3942,Inputs!$D$216))</f>
        <v>0</v>
      </c>
      <c r="O3942" s="53">
        <f>IF(Inputs!$C$216="",0,IF(1+$N3942&gt;0,LN(1+$N3942),0))</f>
        <v>0</v>
      </c>
      <c r="P3942" s="55">
        <f t="shared" si="1442"/>
        <v>0</v>
      </c>
      <c r="Q3942" s="55">
        <f>IF($K3942="",0,COUNTIFS(rl_key,Inputs!$J$216,$L$3806:$L$4045,$L3942,$K$3806:$K$4045,"&lt;"&amp;$K3942))</f>
        <v>0</v>
      </c>
      <c r="R3942" s="55">
        <f>IF($K3942="",0,COUNTIFS(Inputs!$J$80:$J$216,Inputs!$J$216,$L$3806:$L3942,$L3942,$K$3806:$K3942,$K3942))</f>
        <v>0</v>
      </c>
      <c r="S3942" s="55">
        <f t="shared" si="1443"/>
        <v>0</v>
      </c>
      <c r="U3942" s="54" t="str">
        <f>IF(Inputs!$C$216="","",IF(Inputs!$E$216="planned",EDATE(Inputs!$C$216,N(INDEX(sc_shift,3))),Inputs!$C$216))</f>
        <v/>
      </c>
      <c r="V3942" s="54" t="str">
        <f t="shared" si="1444"/>
        <v/>
      </c>
      <c r="W3942" s="52">
        <f>IF(N(INDEX(sc_ach,3))=0,IF(Inputs!$G$216="",1,Inputs!$G$216),INDEX(sc_ach,3))</f>
        <v>1</v>
      </c>
      <c r="X3942" s="52">
        <f>IF(Inputs!$C$216="",0,IF(Inputs!$E$216="planned",(Inputs!$D$216+N(INDEX(sc_dpts,3)))*$W3942,Inputs!$D$216))</f>
        <v>0</v>
      </c>
      <c r="Y3942" s="53">
        <f>IF(Inputs!$C$216="",0,IF(1+$X3942&gt;0,LN(1+$X3942),0))</f>
        <v>0</v>
      </c>
      <c r="Z3942" s="55">
        <f t="shared" si="1445"/>
        <v>0</v>
      </c>
      <c r="AA3942" s="55">
        <f>IF($U3942="",0,COUNTIFS(rl_key,Inputs!$J$216,$V$3806:$V$4045,$V3942,$U$3806:$U$4045,"&lt;"&amp;$U3942))</f>
        <v>0</v>
      </c>
      <c r="AB3942" s="55">
        <f>IF($U3942="",0,COUNTIFS(Inputs!$J$80:$J$216,Inputs!$J$216,$V$3806:$V3942,$V3942,$U$3806:$U3942,$U3942))</f>
        <v>0</v>
      </c>
      <c r="AC3942" s="55">
        <f t="shared" si="1446"/>
        <v>0</v>
      </c>
      <c r="AE3942" s="54" t="str">
        <f>IF(Inputs!$C$216="","",IF(Inputs!$E$216="planned",EDATE(Inputs!$C$216,N(INDEX(sc_shift,4))),Inputs!$C$216))</f>
        <v/>
      </c>
      <c r="AF3942" s="54" t="str">
        <f t="shared" si="1447"/>
        <v/>
      </c>
      <c r="AG3942" s="52">
        <f>IF(N(INDEX(sc_ach,4))=0,IF(Inputs!$G$216="",1,Inputs!$G$216),INDEX(sc_ach,4))</f>
        <v>1</v>
      </c>
      <c r="AH3942" s="52">
        <f>IF(Inputs!$C$216="",0,IF(Inputs!$E$216="planned",(Inputs!$D$216+N(INDEX(sc_dpts,4)))*$AG3942,Inputs!$D$216))</f>
        <v>0</v>
      </c>
      <c r="AI3942" s="53">
        <f>IF(Inputs!$C$216="",0,IF(1+$AH3942&gt;0,LN(1+$AH3942),0))</f>
        <v>0</v>
      </c>
      <c r="AJ3942" s="55">
        <f t="shared" si="1448"/>
        <v>0</v>
      </c>
      <c r="AK3942" s="55">
        <f>IF($AE3942="",0,COUNTIFS(rl_key,Inputs!$J$216,$AF$3806:$AF$4045,$AF3942,$AE$3806:$AE$4045,"&lt;"&amp;$AE3942))</f>
        <v>0</v>
      </c>
      <c r="AL3942" s="55">
        <f>IF($AE3942="",0,COUNTIFS(Inputs!$J$80:$J$216,Inputs!$J$216,$AF$3806:$AF3942,$AF3942,$AE$3806:$AE3942,$AE3942))</f>
        <v>0</v>
      </c>
      <c r="AM3942" s="55">
        <f t="shared" si="1449"/>
        <v>0</v>
      </c>
    </row>
    <row r="3943" spans="1:39" x14ac:dyDescent="0.25">
      <c r="A3943" s="54" t="str">
        <f>IF(Inputs!$C$217="","",IF(Inputs!$E$217="planned",EDATE(Inputs!$C$217,N(INDEX(sc_shift,1))),Inputs!$C$217))</f>
        <v/>
      </c>
      <c r="B3943" s="54" t="str">
        <f t="shared" si="1438"/>
        <v/>
      </c>
      <c r="C3943" s="52">
        <f>IF(N(INDEX(sc_ach,1))=0,IF(Inputs!$G$217="",1,Inputs!$G$217),INDEX(sc_ach,1))</f>
        <v>1</v>
      </c>
      <c r="D3943" s="52">
        <f>IF(Inputs!$C$217="",0,IF(Inputs!$E$217="planned",(Inputs!$D$217+N(INDEX(sc_dpts,1)))*$C3943,Inputs!$D$217))</f>
        <v>0</v>
      </c>
      <c r="E3943" s="53">
        <f>IF(Inputs!$C$217="",0,IF(1+$D3943&gt;0,LN(1+$D3943),0))</f>
        <v>0</v>
      </c>
      <c r="F3943" s="55">
        <f t="shared" si="1439"/>
        <v>0</v>
      </c>
      <c r="G3943" s="55">
        <f>IF($A3943="",0,COUNTIFS(rl_key,Inputs!$J$217,$B$3806:$B$4045,$B3943,$A$3806:$A$4045,"&lt;"&amp;$A3943))</f>
        <v>0</v>
      </c>
      <c r="H3943" s="55">
        <f>IF($A3943="",0,COUNTIFS(Inputs!$J$80:$J$217,Inputs!$J$217,$B$3806:$B3943,$B3943,$A$3806:$A3943,$A3943))</f>
        <v>0</v>
      </c>
      <c r="I3943" s="55">
        <f t="shared" si="1440"/>
        <v>0</v>
      </c>
      <c r="K3943" s="54" t="str">
        <f>IF(Inputs!$C$217="","",IF(Inputs!$E$217="planned",EDATE(Inputs!$C$217,N(INDEX(sc_shift,2))),Inputs!$C$217))</f>
        <v/>
      </c>
      <c r="L3943" s="54" t="str">
        <f t="shared" si="1441"/>
        <v/>
      </c>
      <c r="M3943" s="52">
        <f>IF(N(INDEX(sc_ach,2))=0,IF(Inputs!$G$217="",1,Inputs!$G$217),INDEX(sc_ach,2))</f>
        <v>1</v>
      </c>
      <c r="N3943" s="52">
        <f>IF(Inputs!$C$217="",0,IF(Inputs!$E$217="planned",(Inputs!$D$217+N(INDEX(sc_dpts,2)))*$M3943,Inputs!$D$217))</f>
        <v>0</v>
      </c>
      <c r="O3943" s="53">
        <f>IF(Inputs!$C$217="",0,IF(1+$N3943&gt;0,LN(1+$N3943),0))</f>
        <v>0</v>
      </c>
      <c r="P3943" s="55">
        <f t="shared" si="1442"/>
        <v>0</v>
      </c>
      <c r="Q3943" s="55">
        <f>IF($K3943="",0,COUNTIFS(rl_key,Inputs!$J$217,$L$3806:$L$4045,$L3943,$K$3806:$K$4045,"&lt;"&amp;$K3943))</f>
        <v>0</v>
      </c>
      <c r="R3943" s="55">
        <f>IF($K3943="",0,COUNTIFS(Inputs!$J$80:$J$217,Inputs!$J$217,$L$3806:$L3943,$L3943,$K$3806:$K3943,$K3943))</f>
        <v>0</v>
      </c>
      <c r="S3943" s="55">
        <f t="shared" si="1443"/>
        <v>0</v>
      </c>
      <c r="U3943" s="54" t="str">
        <f>IF(Inputs!$C$217="","",IF(Inputs!$E$217="planned",EDATE(Inputs!$C$217,N(INDEX(sc_shift,3))),Inputs!$C$217))</f>
        <v/>
      </c>
      <c r="V3943" s="54" t="str">
        <f t="shared" si="1444"/>
        <v/>
      </c>
      <c r="W3943" s="52">
        <f>IF(N(INDEX(sc_ach,3))=0,IF(Inputs!$G$217="",1,Inputs!$G$217),INDEX(sc_ach,3))</f>
        <v>1</v>
      </c>
      <c r="X3943" s="52">
        <f>IF(Inputs!$C$217="",0,IF(Inputs!$E$217="planned",(Inputs!$D$217+N(INDEX(sc_dpts,3)))*$W3943,Inputs!$D$217))</f>
        <v>0</v>
      </c>
      <c r="Y3943" s="53">
        <f>IF(Inputs!$C$217="",0,IF(1+$X3943&gt;0,LN(1+$X3943),0))</f>
        <v>0</v>
      </c>
      <c r="Z3943" s="55">
        <f t="shared" si="1445"/>
        <v>0</v>
      </c>
      <c r="AA3943" s="55">
        <f>IF($U3943="",0,COUNTIFS(rl_key,Inputs!$J$217,$V$3806:$V$4045,$V3943,$U$3806:$U$4045,"&lt;"&amp;$U3943))</f>
        <v>0</v>
      </c>
      <c r="AB3943" s="55">
        <f>IF($U3943="",0,COUNTIFS(Inputs!$J$80:$J$217,Inputs!$J$217,$V$3806:$V3943,$V3943,$U$3806:$U3943,$U3943))</f>
        <v>0</v>
      </c>
      <c r="AC3943" s="55">
        <f t="shared" si="1446"/>
        <v>0</v>
      </c>
      <c r="AE3943" s="54" t="str">
        <f>IF(Inputs!$C$217="","",IF(Inputs!$E$217="planned",EDATE(Inputs!$C$217,N(INDEX(sc_shift,4))),Inputs!$C$217))</f>
        <v/>
      </c>
      <c r="AF3943" s="54" t="str">
        <f t="shared" si="1447"/>
        <v/>
      </c>
      <c r="AG3943" s="52">
        <f>IF(N(INDEX(sc_ach,4))=0,IF(Inputs!$G$217="",1,Inputs!$G$217),INDEX(sc_ach,4))</f>
        <v>1</v>
      </c>
      <c r="AH3943" s="52">
        <f>IF(Inputs!$C$217="",0,IF(Inputs!$E$217="planned",(Inputs!$D$217+N(INDEX(sc_dpts,4)))*$AG3943,Inputs!$D$217))</f>
        <v>0</v>
      </c>
      <c r="AI3943" s="53">
        <f>IF(Inputs!$C$217="",0,IF(1+$AH3943&gt;0,LN(1+$AH3943),0))</f>
        <v>0</v>
      </c>
      <c r="AJ3943" s="55">
        <f t="shared" si="1448"/>
        <v>0</v>
      </c>
      <c r="AK3943" s="55">
        <f>IF($AE3943="",0,COUNTIFS(rl_key,Inputs!$J$217,$AF$3806:$AF$4045,$AF3943,$AE$3806:$AE$4045,"&lt;"&amp;$AE3943))</f>
        <v>0</v>
      </c>
      <c r="AL3943" s="55">
        <f>IF($AE3943="",0,COUNTIFS(Inputs!$J$80:$J$217,Inputs!$J$217,$AF$3806:$AF3943,$AF3943,$AE$3806:$AE3943,$AE3943))</f>
        <v>0</v>
      </c>
      <c r="AM3943" s="55">
        <f t="shared" si="1449"/>
        <v>0</v>
      </c>
    </row>
    <row r="3944" spans="1:39" x14ac:dyDescent="0.25">
      <c r="A3944" s="54" t="str">
        <f>IF(Inputs!$C$218="","",IF(Inputs!$E$218="planned",EDATE(Inputs!$C$218,N(INDEX(sc_shift,1))),Inputs!$C$218))</f>
        <v/>
      </c>
      <c r="B3944" s="54" t="str">
        <f t="shared" si="1438"/>
        <v/>
      </c>
      <c r="C3944" s="52">
        <f>IF(N(INDEX(sc_ach,1))=0,IF(Inputs!$G$218="",1,Inputs!$G$218),INDEX(sc_ach,1))</f>
        <v>1</v>
      </c>
      <c r="D3944" s="52">
        <f>IF(Inputs!$C$218="",0,IF(Inputs!$E$218="planned",(Inputs!$D$218+N(INDEX(sc_dpts,1)))*$C3944,Inputs!$D$218))</f>
        <v>0</v>
      </c>
      <c r="E3944" s="53">
        <f>IF(Inputs!$C$218="",0,IF(1+$D3944&gt;0,LN(1+$D3944),0))</f>
        <v>0</v>
      </c>
      <c r="F3944" s="55">
        <f t="shared" si="1439"/>
        <v>0</v>
      </c>
      <c r="G3944" s="55">
        <f>IF($A3944="",0,COUNTIFS(rl_key,Inputs!$J$218,$B$3806:$B$4045,$B3944,$A$3806:$A$4045,"&lt;"&amp;$A3944))</f>
        <v>0</v>
      </c>
      <c r="H3944" s="55">
        <f>IF($A3944="",0,COUNTIFS(Inputs!$J$80:$J$218,Inputs!$J$218,$B$3806:$B3944,$B3944,$A$3806:$A3944,$A3944))</f>
        <v>0</v>
      </c>
      <c r="I3944" s="55">
        <f t="shared" si="1440"/>
        <v>0</v>
      </c>
      <c r="K3944" s="54" t="str">
        <f>IF(Inputs!$C$218="","",IF(Inputs!$E$218="planned",EDATE(Inputs!$C$218,N(INDEX(sc_shift,2))),Inputs!$C$218))</f>
        <v/>
      </c>
      <c r="L3944" s="54" t="str">
        <f t="shared" si="1441"/>
        <v/>
      </c>
      <c r="M3944" s="52">
        <f>IF(N(INDEX(sc_ach,2))=0,IF(Inputs!$G$218="",1,Inputs!$G$218),INDEX(sc_ach,2))</f>
        <v>1</v>
      </c>
      <c r="N3944" s="52">
        <f>IF(Inputs!$C$218="",0,IF(Inputs!$E$218="planned",(Inputs!$D$218+N(INDEX(sc_dpts,2)))*$M3944,Inputs!$D$218))</f>
        <v>0</v>
      </c>
      <c r="O3944" s="53">
        <f>IF(Inputs!$C$218="",0,IF(1+$N3944&gt;0,LN(1+$N3944),0))</f>
        <v>0</v>
      </c>
      <c r="P3944" s="55">
        <f t="shared" si="1442"/>
        <v>0</v>
      </c>
      <c r="Q3944" s="55">
        <f>IF($K3944="",0,COUNTIFS(rl_key,Inputs!$J$218,$L$3806:$L$4045,$L3944,$K$3806:$K$4045,"&lt;"&amp;$K3944))</f>
        <v>0</v>
      </c>
      <c r="R3944" s="55">
        <f>IF($K3944="",0,COUNTIFS(Inputs!$J$80:$J$218,Inputs!$J$218,$L$3806:$L3944,$L3944,$K$3806:$K3944,$K3944))</f>
        <v>0</v>
      </c>
      <c r="S3944" s="55">
        <f t="shared" si="1443"/>
        <v>0</v>
      </c>
      <c r="U3944" s="54" t="str">
        <f>IF(Inputs!$C$218="","",IF(Inputs!$E$218="planned",EDATE(Inputs!$C$218,N(INDEX(sc_shift,3))),Inputs!$C$218))</f>
        <v/>
      </c>
      <c r="V3944" s="54" t="str">
        <f t="shared" si="1444"/>
        <v/>
      </c>
      <c r="W3944" s="52">
        <f>IF(N(INDEX(sc_ach,3))=0,IF(Inputs!$G$218="",1,Inputs!$G$218),INDEX(sc_ach,3))</f>
        <v>1</v>
      </c>
      <c r="X3944" s="52">
        <f>IF(Inputs!$C$218="",0,IF(Inputs!$E$218="planned",(Inputs!$D$218+N(INDEX(sc_dpts,3)))*$W3944,Inputs!$D$218))</f>
        <v>0</v>
      </c>
      <c r="Y3944" s="53">
        <f>IF(Inputs!$C$218="",0,IF(1+$X3944&gt;0,LN(1+$X3944),0))</f>
        <v>0</v>
      </c>
      <c r="Z3944" s="55">
        <f t="shared" si="1445"/>
        <v>0</v>
      </c>
      <c r="AA3944" s="55">
        <f>IF($U3944="",0,COUNTIFS(rl_key,Inputs!$J$218,$V$3806:$V$4045,$V3944,$U$3806:$U$4045,"&lt;"&amp;$U3944))</f>
        <v>0</v>
      </c>
      <c r="AB3944" s="55">
        <f>IF($U3944="",0,COUNTIFS(Inputs!$J$80:$J$218,Inputs!$J$218,$V$3806:$V3944,$V3944,$U$3806:$U3944,$U3944))</f>
        <v>0</v>
      </c>
      <c r="AC3944" s="55">
        <f t="shared" si="1446"/>
        <v>0</v>
      </c>
      <c r="AE3944" s="54" t="str">
        <f>IF(Inputs!$C$218="","",IF(Inputs!$E$218="planned",EDATE(Inputs!$C$218,N(INDEX(sc_shift,4))),Inputs!$C$218))</f>
        <v/>
      </c>
      <c r="AF3944" s="54" t="str">
        <f t="shared" si="1447"/>
        <v/>
      </c>
      <c r="AG3944" s="52">
        <f>IF(N(INDEX(sc_ach,4))=0,IF(Inputs!$G$218="",1,Inputs!$G$218),INDEX(sc_ach,4))</f>
        <v>1</v>
      </c>
      <c r="AH3944" s="52">
        <f>IF(Inputs!$C$218="",0,IF(Inputs!$E$218="planned",(Inputs!$D$218+N(INDEX(sc_dpts,4)))*$AG3944,Inputs!$D$218))</f>
        <v>0</v>
      </c>
      <c r="AI3944" s="53">
        <f>IF(Inputs!$C$218="",0,IF(1+$AH3944&gt;0,LN(1+$AH3944),0))</f>
        <v>0</v>
      </c>
      <c r="AJ3944" s="55">
        <f t="shared" si="1448"/>
        <v>0</v>
      </c>
      <c r="AK3944" s="55">
        <f>IF($AE3944="",0,COUNTIFS(rl_key,Inputs!$J$218,$AF$3806:$AF$4045,$AF3944,$AE$3806:$AE$4045,"&lt;"&amp;$AE3944))</f>
        <v>0</v>
      </c>
      <c r="AL3944" s="55">
        <f>IF($AE3944="",0,COUNTIFS(Inputs!$J$80:$J$218,Inputs!$J$218,$AF$3806:$AF3944,$AF3944,$AE$3806:$AE3944,$AE3944))</f>
        <v>0</v>
      </c>
      <c r="AM3944" s="55">
        <f t="shared" si="1449"/>
        <v>0</v>
      </c>
    </row>
    <row r="3945" spans="1:39" x14ac:dyDescent="0.25">
      <c r="A3945" s="54" t="str">
        <f>IF(Inputs!$C$219="","",IF(Inputs!$E$219="planned",EDATE(Inputs!$C$219,N(INDEX(sc_shift,1))),Inputs!$C$219))</f>
        <v/>
      </c>
      <c r="B3945" s="54" t="str">
        <f t="shared" si="1438"/>
        <v/>
      </c>
      <c r="C3945" s="52">
        <f>IF(N(INDEX(sc_ach,1))=0,IF(Inputs!$G$219="",1,Inputs!$G$219),INDEX(sc_ach,1))</f>
        <v>1</v>
      </c>
      <c r="D3945" s="52">
        <f>IF(Inputs!$C$219="",0,IF(Inputs!$E$219="planned",(Inputs!$D$219+N(INDEX(sc_dpts,1)))*$C3945,Inputs!$D$219))</f>
        <v>0</v>
      </c>
      <c r="E3945" s="53">
        <f>IF(Inputs!$C$219="",0,IF(1+$D3945&gt;0,LN(1+$D3945),0))</f>
        <v>0</v>
      </c>
      <c r="F3945" s="55">
        <f t="shared" si="1439"/>
        <v>0</v>
      </c>
      <c r="G3945" s="55">
        <f>IF($A3945="",0,COUNTIFS(rl_key,Inputs!$J$219,$B$3806:$B$4045,$B3945,$A$3806:$A$4045,"&lt;"&amp;$A3945))</f>
        <v>0</v>
      </c>
      <c r="H3945" s="55">
        <f>IF($A3945="",0,COUNTIFS(Inputs!$J$80:$J$219,Inputs!$J$219,$B$3806:$B3945,$B3945,$A$3806:$A3945,$A3945))</f>
        <v>0</v>
      </c>
      <c r="I3945" s="55">
        <f t="shared" si="1440"/>
        <v>0</v>
      </c>
      <c r="K3945" s="54" t="str">
        <f>IF(Inputs!$C$219="","",IF(Inputs!$E$219="planned",EDATE(Inputs!$C$219,N(INDEX(sc_shift,2))),Inputs!$C$219))</f>
        <v/>
      </c>
      <c r="L3945" s="54" t="str">
        <f t="shared" si="1441"/>
        <v/>
      </c>
      <c r="M3945" s="52">
        <f>IF(N(INDEX(sc_ach,2))=0,IF(Inputs!$G$219="",1,Inputs!$G$219),INDEX(sc_ach,2))</f>
        <v>1</v>
      </c>
      <c r="N3945" s="52">
        <f>IF(Inputs!$C$219="",0,IF(Inputs!$E$219="planned",(Inputs!$D$219+N(INDEX(sc_dpts,2)))*$M3945,Inputs!$D$219))</f>
        <v>0</v>
      </c>
      <c r="O3945" s="53">
        <f>IF(Inputs!$C$219="",0,IF(1+$N3945&gt;0,LN(1+$N3945),0))</f>
        <v>0</v>
      </c>
      <c r="P3945" s="55">
        <f t="shared" si="1442"/>
        <v>0</v>
      </c>
      <c r="Q3945" s="55">
        <f>IF($K3945="",0,COUNTIFS(rl_key,Inputs!$J$219,$L$3806:$L$4045,$L3945,$K$3806:$K$4045,"&lt;"&amp;$K3945))</f>
        <v>0</v>
      </c>
      <c r="R3945" s="55">
        <f>IF($K3945="",0,COUNTIFS(Inputs!$J$80:$J$219,Inputs!$J$219,$L$3806:$L3945,$L3945,$K$3806:$K3945,$K3945))</f>
        <v>0</v>
      </c>
      <c r="S3945" s="55">
        <f t="shared" si="1443"/>
        <v>0</v>
      </c>
      <c r="U3945" s="54" t="str">
        <f>IF(Inputs!$C$219="","",IF(Inputs!$E$219="planned",EDATE(Inputs!$C$219,N(INDEX(sc_shift,3))),Inputs!$C$219))</f>
        <v/>
      </c>
      <c r="V3945" s="54" t="str">
        <f t="shared" si="1444"/>
        <v/>
      </c>
      <c r="W3945" s="52">
        <f>IF(N(INDEX(sc_ach,3))=0,IF(Inputs!$G$219="",1,Inputs!$G$219),INDEX(sc_ach,3))</f>
        <v>1</v>
      </c>
      <c r="X3945" s="52">
        <f>IF(Inputs!$C$219="",0,IF(Inputs!$E$219="planned",(Inputs!$D$219+N(INDEX(sc_dpts,3)))*$W3945,Inputs!$D$219))</f>
        <v>0</v>
      </c>
      <c r="Y3945" s="53">
        <f>IF(Inputs!$C$219="",0,IF(1+$X3945&gt;0,LN(1+$X3945),0))</f>
        <v>0</v>
      </c>
      <c r="Z3945" s="55">
        <f t="shared" si="1445"/>
        <v>0</v>
      </c>
      <c r="AA3945" s="55">
        <f>IF($U3945="",0,COUNTIFS(rl_key,Inputs!$J$219,$V$3806:$V$4045,$V3945,$U$3806:$U$4045,"&lt;"&amp;$U3945))</f>
        <v>0</v>
      </c>
      <c r="AB3945" s="55">
        <f>IF($U3945="",0,COUNTIFS(Inputs!$J$80:$J$219,Inputs!$J$219,$V$3806:$V3945,$V3945,$U$3806:$U3945,$U3945))</f>
        <v>0</v>
      </c>
      <c r="AC3945" s="55">
        <f t="shared" si="1446"/>
        <v>0</v>
      </c>
      <c r="AE3945" s="54" t="str">
        <f>IF(Inputs!$C$219="","",IF(Inputs!$E$219="planned",EDATE(Inputs!$C$219,N(INDEX(sc_shift,4))),Inputs!$C$219))</f>
        <v/>
      </c>
      <c r="AF3945" s="54" t="str">
        <f t="shared" si="1447"/>
        <v/>
      </c>
      <c r="AG3945" s="52">
        <f>IF(N(INDEX(sc_ach,4))=0,IF(Inputs!$G$219="",1,Inputs!$G$219),INDEX(sc_ach,4))</f>
        <v>1</v>
      </c>
      <c r="AH3945" s="52">
        <f>IF(Inputs!$C$219="",0,IF(Inputs!$E$219="planned",(Inputs!$D$219+N(INDEX(sc_dpts,4)))*$AG3945,Inputs!$D$219))</f>
        <v>0</v>
      </c>
      <c r="AI3945" s="53">
        <f>IF(Inputs!$C$219="",0,IF(1+$AH3945&gt;0,LN(1+$AH3945),0))</f>
        <v>0</v>
      </c>
      <c r="AJ3945" s="55">
        <f t="shared" si="1448"/>
        <v>0</v>
      </c>
      <c r="AK3945" s="55">
        <f>IF($AE3945="",0,COUNTIFS(rl_key,Inputs!$J$219,$AF$3806:$AF$4045,$AF3945,$AE$3806:$AE$4045,"&lt;"&amp;$AE3945))</f>
        <v>0</v>
      </c>
      <c r="AL3945" s="55">
        <f>IF($AE3945="",0,COUNTIFS(Inputs!$J$80:$J$219,Inputs!$J$219,$AF$3806:$AF3945,$AF3945,$AE$3806:$AE3945,$AE3945))</f>
        <v>0</v>
      </c>
      <c r="AM3945" s="55">
        <f t="shared" si="1449"/>
        <v>0</v>
      </c>
    </row>
    <row r="3946" spans="1:39" x14ac:dyDescent="0.25">
      <c r="A3946" s="54" t="str">
        <f>IF(Inputs!$C$220="","",IF(Inputs!$E$220="planned",EDATE(Inputs!$C$220,N(INDEX(sc_shift,1))),Inputs!$C$220))</f>
        <v/>
      </c>
      <c r="B3946" s="54" t="str">
        <f t="shared" si="1438"/>
        <v/>
      </c>
      <c r="C3946" s="52">
        <f>IF(N(INDEX(sc_ach,1))=0,IF(Inputs!$G$220="",1,Inputs!$G$220),INDEX(sc_ach,1))</f>
        <v>1</v>
      </c>
      <c r="D3946" s="52">
        <f>IF(Inputs!$C$220="",0,IF(Inputs!$E$220="planned",(Inputs!$D$220+N(INDEX(sc_dpts,1)))*$C3946,Inputs!$D$220))</f>
        <v>0</v>
      </c>
      <c r="E3946" s="53">
        <f>IF(Inputs!$C$220="",0,IF(1+$D3946&gt;0,LN(1+$D3946),0))</f>
        <v>0</v>
      </c>
      <c r="F3946" s="55">
        <f t="shared" si="1439"/>
        <v>0</v>
      </c>
      <c r="G3946" s="55">
        <f>IF($A3946="",0,COUNTIFS(rl_key,Inputs!$J$220,$B$3806:$B$4045,$B3946,$A$3806:$A$4045,"&lt;"&amp;$A3946))</f>
        <v>0</v>
      </c>
      <c r="H3946" s="55">
        <f>IF($A3946="",0,COUNTIFS(Inputs!$J$80:$J$220,Inputs!$J$220,$B$3806:$B3946,$B3946,$A$3806:$A3946,$A3946))</f>
        <v>0</v>
      </c>
      <c r="I3946" s="55">
        <f t="shared" si="1440"/>
        <v>0</v>
      </c>
      <c r="K3946" s="54" t="str">
        <f>IF(Inputs!$C$220="","",IF(Inputs!$E$220="planned",EDATE(Inputs!$C$220,N(INDEX(sc_shift,2))),Inputs!$C$220))</f>
        <v/>
      </c>
      <c r="L3946" s="54" t="str">
        <f t="shared" si="1441"/>
        <v/>
      </c>
      <c r="M3946" s="52">
        <f>IF(N(INDEX(sc_ach,2))=0,IF(Inputs!$G$220="",1,Inputs!$G$220),INDEX(sc_ach,2))</f>
        <v>1</v>
      </c>
      <c r="N3946" s="52">
        <f>IF(Inputs!$C$220="",0,IF(Inputs!$E$220="planned",(Inputs!$D$220+N(INDEX(sc_dpts,2)))*$M3946,Inputs!$D$220))</f>
        <v>0</v>
      </c>
      <c r="O3946" s="53">
        <f>IF(Inputs!$C$220="",0,IF(1+$N3946&gt;0,LN(1+$N3946),0))</f>
        <v>0</v>
      </c>
      <c r="P3946" s="55">
        <f t="shared" si="1442"/>
        <v>0</v>
      </c>
      <c r="Q3946" s="55">
        <f>IF($K3946="",0,COUNTIFS(rl_key,Inputs!$J$220,$L$3806:$L$4045,$L3946,$K$3806:$K$4045,"&lt;"&amp;$K3946))</f>
        <v>0</v>
      </c>
      <c r="R3946" s="55">
        <f>IF($K3946="",0,COUNTIFS(Inputs!$J$80:$J$220,Inputs!$J$220,$L$3806:$L3946,$L3946,$K$3806:$K3946,$K3946))</f>
        <v>0</v>
      </c>
      <c r="S3946" s="55">
        <f t="shared" si="1443"/>
        <v>0</v>
      </c>
      <c r="U3946" s="54" t="str">
        <f>IF(Inputs!$C$220="","",IF(Inputs!$E$220="planned",EDATE(Inputs!$C$220,N(INDEX(sc_shift,3))),Inputs!$C$220))</f>
        <v/>
      </c>
      <c r="V3946" s="54" t="str">
        <f t="shared" si="1444"/>
        <v/>
      </c>
      <c r="W3946" s="52">
        <f>IF(N(INDEX(sc_ach,3))=0,IF(Inputs!$G$220="",1,Inputs!$G$220),INDEX(sc_ach,3))</f>
        <v>1</v>
      </c>
      <c r="X3946" s="52">
        <f>IF(Inputs!$C$220="",0,IF(Inputs!$E$220="planned",(Inputs!$D$220+N(INDEX(sc_dpts,3)))*$W3946,Inputs!$D$220))</f>
        <v>0</v>
      </c>
      <c r="Y3946" s="53">
        <f>IF(Inputs!$C$220="",0,IF(1+$X3946&gt;0,LN(1+$X3946),0))</f>
        <v>0</v>
      </c>
      <c r="Z3946" s="55">
        <f t="shared" si="1445"/>
        <v>0</v>
      </c>
      <c r="AA3946" s="55">
        <f>IF($U3946="",0,COUNTIFS(rl_key,Inputs!$J$220,$V$3806:$V$4045,$V3946,$U$3806:$U$4045,"&lt;"&amp;$U3946))</f>
        <v>0</v>
      </c>
      <c r="AB3946" s="55">
        <f>IF($U3946="",0,COUNTIFS(Inputs!$J$80:$J$220,Inputs!$J$220,$V$3806:$V3946,$V3946,$U$3806:$U3946,$U3946))</f>
        <v>0</v>
      </c>
      <c r="AC3946" s="55">
        <f t="shared" si="1446"/>
        <v>0</v>
      </c>
      <c r="AE3946" s="54" t="str">
        <f>IF(Inputs!$C$220="","",IF(Inputs!$E$220="planned",EDATE(Inputs!$C$220,N(INDEX(sc_shift,4))),Inputs!$C$220))</f>
        <v/>
      </c>
      <c r="AF3946" s="54" t="str">
        <f t="shared" si="1447"/>
        <v/>
      </c>
      <c r="AG3946" s="52">
        <f>IF(N(INDEX(sc_ach,4))=0,IF(Inputs!$G$220="",1,Inputs!$G$220),INDEX(sc_ach,4))</f>
        <v>1</v>
      </c>
      <c r="AH3946" s="52">
        <f>IF(Inputs!$C$220="",0,IF(Inputs!$E$220="planned",(Inputs!$D$220+N(INDEX(sc_dpts,4)))*$AG3946,Inputs!$D$220))</f>
        <v>0</v>
      </c>
      <c r="AI3946" s="53">
        <f>IF(Inputs!$C$220="",0,IF(1+$AH3946&gt;0,LN(1+$AH3946),0))</f>
        <v>0</v>
      </c>
      <c r="AJ3946" s="55">
        <f t="shared" si="1448"/>
        <v>0</v>
      </c>
      <c r="AK3946" s="55">
        <f>IF($AE3946="",0,COUNTIFS(rl_key,Inputs!$J$220,$AF$3806:$AF$4045,$AF3946,$AE$3806:$AE$4045,"&lt;"&amp;$AE3946))</f>
        <v>0</v>
      </c>
      <c r="AL3946" s="55">
        <f>IF($AE3946="",0,COUNTIFS(Inputs!$J$80:$J$220,Inputs!$J$220,$AF$3806:$AF3946,$AF3946,$AE$3806:$AE3946,$AE3946))</f>
        <v>0</v>
      </c>
      <c r="AM3946" s="55">
        <f t="shared" si="1449"/>
        <v>0</v>
      </c>
    </row>
    <row r="3947" spans="1:39" x14ac:dyDescent="0.25">
      <c r="A3947" s="54" t="str">
        <f>IF(Inputs!$C$221="","",IF(Inputs!$E$221="planned",EDATE(Inputs!$C$221,N(INDEX(sc_shift,1))),Inputs!$C$221))</f>
        <v/>
      </c>
      <c r="B3947" s="54" t="str">
        <f t="shared" si="1438"/>
        <v/>
      </c>
      <c r="C3947" s="52">
        <f>IF(N(INDEX(sc_ach,1))=0,IF(Inputs!$G$221="",1,Inputs!$G$221),INDEX(sc_ach,1))</f>
        <v>1</v>
      </c>
      <c r="D3947" s="52">
        <f>IF(Inputs!$C$221="",0,IF(Inputs!$E$221="planned",(Inputs!$D$221+N(INDEX(sc_dpts,1)))*$C3947,Inputs!$D$221))</f>
        <v>0</v>
      </c>
      <c r="E3947" s="53">
        <f>IF(Inputs!$C$221="",0,IF(1+$D3947&gt;0,LN(1+$D3947),0))</f>
        <v>0</v>
      </c>
      <c r="F3947" s="55">
        <f t="shared" si="1439"/>
        <v>0</v>
      </c>
      <c r="G3947" s="55">
        <f>IF($A3947="",0,COUNTIFS(rl_key,Inputs!$J$221,$B$3806:$B$4045,$B3947,$A$3806:$A$4045,"&lt;"&amp;$A3947))</f>
        <v>0</v>
      </c>
      <c r="H3947" s="55">
        <f>IF($A3947="",0,COUNTIFS(Inputs!$J$80:$J$221,Inputs!$J$221,$B$3806:$B3947,$B3947,$A$3806:$A3947,$A3947))</f>
        <v>0</v>
      </c>
      <c r="I3947" s="55">
        <f t="shared" si="1440"/>
        <v>0</v>
      </c>
      <c r="K3947" s="54" t="str">
        <f>IF(Inputs!$C$221="","",IF(Inputs!$E$221="planned",EDATE(Inputs!$C$221,N(INDEX(sc_shift,2))),Inputs!$C$221))</f>
        <v/>
      </c>
      <c r="L3947" s="54" t="str">
        <f t="shared" si="1441"/>
        <v/>
      </c>
      <c r="M3947" s="52">
        <f>IF(N(INDEX(sc_ach,2))=0,IF(Inputs!$G$221="",1,Inputs!$G$221),INDEX(sc_ach,2))</f>
        <v>1</v>
      </c>
      <c r="N3947" s="52">
        <f>IF(Inputs!$C$221="",0,IF(Inputs!$E$221="planned",(Inputs!$D$221+N(INDEX(sc_dpts,2)))*$M3947,Inputs!$D$221))</f>
        <v>0</v>
      </c>
      <c r="O3947" s="53">
        <f>IF(Inputs!$C$221="",0,IF(1+$N3947&gt;0,LN(1+$N3947),0))</f>
        <v>0</v>
      </c>
      <c r="P3947" s="55">
        <f t="shared" si="1442"/>
        <v>0</v>
      </c>
      <c r="Q3947" s="55">
        <f>IF($K3947="",0,COUNTIFS(rl_key,Inputs!$J$221,$L$3806:$L$4045,$L3947,$K$3806:$K$4045,"&lt;"&amp;$K3947))</f>
        <v>0</v>
      </c>
      <c r="R3947" s="55">
        <f>IF($K3947="",0,COUNTIFS(Inputs!$J$80:$J$221,Inputs!$J$221,$L$3806:$L3947,$L3947,$K$3806:$K3947,$K3947))</f>
        <v>0</v>
      </c>
      <c r="S3947" s="55">
        <f t="shared" si="1443"/>
        <v>0</v>
      </c>
      <c r="U3947" s="54" t="str">
        <f>IF(Inputs!$C$221="","",IF(Inputs!$E$221="planned",EDATE(Inputs!$C$221,N(INDEX(sc_shift,3))),Inputs!$C$221))</f>
        <v/>
      </c>
      <c r="V3947" s="54" t="str">
        <f t="shared" si="1444"/>
        <v/>
      </c>
      <c r="W3947" s="52">
        <f>IF(N(INDEX(sc_ach,3))=0,IF(Inputs!$G$221="",1,Inputs!$G$221),INDEX(sc_ach,3))</f>
        <v>1</v>
      </c>
      <c r="X3947" s="52">
        <f>IF(Inputs!$C$221="",0,IF(Inputs!$E$221="planned",(Inputs!$D$221+N(INDEX(sc_dpts,3)))*$W3947,Inputs!$D$221))</f>
        <v>0</v>
      </c>
      <c r="Y3947" s="53">
        <f>IF(Inputs!$C$221="",0,IF(1+$X3947&gt;0,LN(1+$X3947),0))</f>
        <v>0</v>
      </c>
      <c r="Z3947" s="55">
        <f t="shared" si="1445"/>
        <v>0</v>
      </c>
      <c r="AA3947" s="55">
        <f>IF($U3947="",0,COUNTIFS(rl_key,Inputs!$J$221,$V$3806:$V$4045,$V3947,$U$3806:$U$4045,"&lt;"&amp;$U3947))</f>
        <v>0</v>
      </c>
      <c r="AB3947" s="55">
        <f>IF($U3947="",0,COUNTIFS(Inputs!$J$80:$J$221,Inputs!$J$221,$V$3806:$V3947,$V3947,$U$3806:$U3947,$U3947))</f>
        <v>0</v>
      </c>
      <c r="AC3947" s="55">
        <f t="shared" si="1446"/>
        <v>0</v>
      </c>
      <c r="AE3947" s="54" t="str">
        <f>IF(Inputs!$C$221="","",IF(Inputs!$E$221="planned",EDATE(Inputs!$C$221,N(INDEX(sc_shift,4))),Inputs!$C$221))</f>
        <v/>
      </c>
      <c r="AF3947" s="54" t="str">
        <f t="shared" si="1447"/>
        <v/>
      </c>
      <c r="AG3947" s="52">
        <f>IF(N(INDEX(sc_ach,4))=0,IF(Inputs!$G$221="",1,Inputs!$G$221),INDEX(sc_ach,4))</f>
        <v>1</v>
      </c>
      <c r="AH3947" s="52">
        <f>IF(Inputs!$C$221="",0,IF(Inputs!$E$221="planned",(Inputs!$D$221+N(INDEX(sc_dpts,4)))*$AG3947,Inputs!$D$221))</f>
        <v>0</v>
      </c>
      <c r="AI3947" s="53">
        <f>IF(Inputs!$C$221="",0,IF(1+$AH3947&gt;0,LN(1+$AH3947),0))</f>
        <v>0</v>
      </c>
      <c r="AJ3947" s="55">
        <f t="shared" si="1448"/>
        <v>0</v>
      </c>
      <c r="AK3947" s="55">
        <f>IF($AE3947="",0,COUNTIFS(rl_key,Inputs!$J$221,$AF$3806:$AF$4045,$AF3947,$AE$3806:$AE$4045,"&lt;"&amp;$AE3947))</f>
        <v>0</v>
      </c>
      <c r="AL3947" s="55">
        <f>IF($AE3947="",0,COUNTIFS(Inputs!$J$80:$J$221,Inputs!$J$221,$AF$3806:$AF3947,$AF3947,$AE$3806:$AE3947,$AE3947))</f>
        <v>0</v>
      </c>
      <c r="AM3947" s="55">
        <f t="shared" si="1449"/>
        <v>0</v>
      </c>
    </row>
    <row r="3948" spans="1:39" x14ac:dyDescent="0.25">
      <c r="A3948" s="54" t="str">
        <f>IF(Inputs!$C$222="","",IF(Inputs!$E$222="planned",EDATE(Inputs!$C$222,N(INDEX(sc_shift,1))),Inputs!$C$222))</f>
        <v/>
      </c>
      <c r="B3948" s="54" t="str">
        <f t="shared" si="1438"/>
        <v/>
      </c>
      <c r="C3948" s="52">
        <f>IF(N(INDEX(sc_ach,1))=0,IF(Inputs!$G$222="",1,Inputs!$G$222),INDEX(sc_ach,1))</f>
        <v>1</v>
      </c>
      <c r="D3948" s="52">
        <f>IF(Inputs!$C$222="",0,IF(Inputs!$E$222="planned",(Inputs!$D$222+N(INDEX(sc_dpts,1)))*$C3948,Inputs!$D$222))</f>
        <v>0</v>
      </c>
      <c r="E3948" s="53">
        <f>IF(Inputs!$C$222="",0,IF(1+$D3948&gt;0,LN(1+$D3948),0))</f>
        <v>0</v>
      </c>
      <c r="F3948" s="55">
        <f t="shared" si="1439"/>
        <v>0</v>
      </c>
      <c r="G3948" s="55">
        <f>IF($A3948="",0,COUNTIFS(rl_key,Inputs!$J$222,$B$3806:$B$4045,$B3948,$A$3806:$A$4045,"&lt;"&amp;$A3948))</f>
        <v>0</v>
      </c>
      <c r="H3948" s="55">
        <f>IF($A3948="",0,COUNTIFS(Inputs!$J$80:$J$222,Inputs!$J$222,$B$3806:$B3948,$B3948,$A$3806:$A3948,$A3948))</f>
        <v>0</v>
      </c>
      <c r="I3948" s="55">
        <f t="shared" si="1440"/>
        <v>0</v>
      </c>
      <c r="K3948" s="54" t="str">
        <f>IF(Inputs!$C$222="","",IF(Inputs!$E$222="planned",EDATE(Inputs!$C$222,N(INDEX(sc_shift,2))),Inputs!$C$222))</f>
        <v/>
      </c>
      <c r="L3948" s="54" t="str">
        <f t="shared" si="1441"/>
        <v/>
      </c>
      <c r="M3948" s="52">
        <f>IF(N(INDEX(sc_ach,2))=0,IF(Inputs!$G$222="",1,Inputs!$G$222),INDEX(sc_ach,2))</f>
        <v>1</v>
      </c>
      <c r="N3948" s="52">
        <f>IF(Inputs!$C$222="",0,IF(Inputs!$E$222="planned",(Inputs!$D$222+N(INDEX(sc_dpts,2)))*$M3948,Inputs!$D$222))</f>
        <v>0</v>
      </c>
      <c r="O3948" s="53">
        <f>IF(Inputs!$C$222="",0,IF(1+$N3948&gt;0,LN(1+$N3948),0))</f>
        <v>0</v>
      </c>
      <c r="P3948" s="55">
        <f t="shared" si="1442"/>
        <v>0</v>
      </c>
      <c r="Q3948" s="55">
        <f>IF($K3948="",0,COUNTIFS(rl_key,Inputs!$J$222,$L$3806:$L$4045,$L3948,$K$3806:$K$4045,"&lt;"&amp;$K3948))</f>
        <v>0</v>
      </c>
      <c r="R3948" s="55">
        <f>IF($K3948="",0,COUNTIFS(Inputs!$J$80:$J$222,Inputs!$J$222,$L$3806:$L3948,$L3948,$K$3806:$K3948,$K3948))</f>
        <v>0</v>
      </c>
      <c r="S3948" s="55">
        <f t="shared" si="1443"/>
        <v>0</v>
      </c>
      <c r="U3948" s="54" t="str">
        <f>IF(Inputs!$C$222="","",IF(Inputs!$E$222="planned",EDATE(Inputs!$C$222,N(INDEX(sc_shift,3))),Inputs!$C$222))</f>
        <v/>
      </c>
      <c r="V3948" s="54" t="str">
        <f t="shared" si="1444"/>
        <v/>
      </c>
      <c r="W3948" s="52">
        <f>IF(N(INDEX(sc_ach,3))=0,IF(Inputs!$G$222="",1,Inputs!$G$222),INDEX(sc_ach,3))</f>
        <v>1</v>
      </c>
      <c r="X3948" s="52">
        <f>IF(Inputs!$C$222="",0,IF(Inputs!$E$222="planned",(Inputs!$D$222+N(INDEX(sc_dpts,3)))*$W3948,Inputs!$D$222))</f>
        <v>0</v>
      </c>
      <c r="Y3948" s="53">
        <f>IF(Inputs!$C$222="",0,IF(1+$X3948&gt;0,LN(1+$X3948),0))</f>
        <v>0</v>
      </c>
      <c r="Z3948" s="55">
        <f t="shared" si="1445"/>
        <v>0</v>
      </c>
      <c r="AA3948" s="55">
        <f>IF($U3948="",0,COUNTIFS(rl_key,Inputs!$J$222,$V$3806:$V$4045,$V3948,$U$3806:$U$4045,"&lt;"&amp;$U3948))</f>
        <v>0</v>
      </c>
      <c r="AB3948" s="55">
        <f>IF($U3948="",0,COUNTIFS(Inputs!$J$80:$J$222,Inputs!$J$222,$V$3806:$V3948,$V3948,$U$3806:$U3948,$U3948))</f>
        <v>0</v>
      </c>
      <c r="AC3948" s="55">
        <f t="shared" si="1446"/>
        <v>0</v>
      </c>
      <c r="AE3948" s="54" t="str">
        <f>IF(Inputs!$C$222="","",IF(Inputs!$E$222="planned",EDATE(Inputs!$C$222,N(INDEX(sc_shift,4))),Inputs!$C$222))</f>
        <v/>
      </c>
      <c r="AF3948" s="54" t="str">
        <f t="shared" si="1447"/>
        <v/>
      </c>
      <c r="AG3948" s="52">
        <f>IF(N(INDEX(sc_ach,4))=0,IF(Inputs!$G$222="",1,Inputs!$G$222),INDEX(sc_ach,4))</f>
        <v>1</v>
      </c>
      <c r="AH3948" s="52">
        <f>IF(Inputs!$C$222="",0,IF(Inputs!$E$222="planned",(Inputs!$D$222+N(INDEX(sc_dpts,4)))*$AG3948,Inputs!$D$222))</f>
        <v>0</v>
      </c>
      <c r="AI3948" s="53">
        <f>IF(Inputs!$C$222="",0,IF(1+$AH3948&gt;0,LN(1+$AH3948),0))</f>
        <v>0</v>
      </c>
      <c r="AJ3948" s="55">
        <f t="shared" si="1448"/>
        <v>0</v>
      </c>
      <c r="AK3948" s="55">
        <f>IF($AE3948="",0,COUNTIFS(rl_key,Inputs!$J$222,$AF$3806:$AF$4045,$AF3948,$AE$3806:$AE$4045,"&lt;"&amp;$AE3948))</f>
        <v>0</v>
      </c>
      <c r="AL3948" s="55">
        <f>IF($AE3948="",0,COUNTIFS(Inputs!$J$80:$J$222,Inputs!$J$222,$AF$3806:$AF3948,$AF3948,$AE$3806:$AE3948,$AE3948))</f>
        <v>0</v>
      </c>
      <c r="AM3948" s="55">
        <f t="shared" si="1449"/>
        <v>0</v>
      </c>
    </row>
    <row r="3949" spans="1:39" x14ac:dyDescent="0.25">
      <c r="A3949" s="54" t="str">
        <f>IF(Inputs!$C$223="","",IF(Inputs!$E$223="planned",EDATE(Inputs!$C$223,N(INDEX(sc_shift,1))),Inputs!$C$223))</f>
        <v/>
      </c>
      <c r="B3949" s="54" t="str">
        <f t="shared" si="1438"/>
        <v/>
      </c>
      <c r="C3949" s="52">
        <f>IF(N(INDEX(sc_ach,1))=0,IF(Inputs!$G$223="",1,Inputs!$G$223),INDEX(sc_ach,1))</f>
        <v>1</v>
      </c>
      <c r="D3949" s="52">
        <f>IF(Inputs!$C$223="",0,IF(Inputs!$E$223="planned",(Inputs!$D$223+N(INDEX(sc_dpts,1)))*$C3949,Inputs!$D$223))</f>
        <v>0</v>
      </c>
      <c r="E3949" s="53">
        <f>IF(Inputs!$C$223="",0,IF(1+$D3949&gt;0,LN(1+$D3949),0))</f>
        <v>0</v>
      </c>
      <c r="F3949" s="55">
        <f t="shared" si="1439"/>
        <v>0</v>
      </c>
      <c r="G3949" s="55">
        <f>IF($A3949="",0,COUNTIFS(rl_key,Inputs!$J$223,$B$3806:$B$4045,$B3949,$A$3806:$A$4045,"&lt;"&amp;$A3949))</f>
        <v>0</v>
      </c>
      <c r="H3949" s="55">
        <f>IF($A3949="",0,COUNTIFS(Inputs!$J$80:$J$223,Inputs!$J$223,$B$3806:$B3949,$B3949,$A$3806:$A3949,$A3949))</f>
        <v>0</v>
      </c>
      <c r="I3949" s="55">
        <f t="shared" si="1440"/>
        <v>0</v>
      </c>
      <c r="K3949" s="54" t="str">
        <f>IF(Inputs!$C$223="","",IF(Inputs!$E$223="planned",EDATE(Inputs!$C$223,N(INDEX(sc_shift,2))),Inputs!$C$223))</f>
        <v/>
      </c>
      <c r="L3949" s="54" t="str">
        <f t="shared" si="1441"/>
        <v/>
      </c>
      <c r="M3949" s="52">
        <f>IF(N(INDEX(sc_ach,2))=0,IF(Inputs!$G$223="",1,Inputs!$G$223),INDEX(sc_ach,2))</f>
        <v>1</v>
      </c>
      <c r="N3949" s="52">
        <f>IF(Inputs!$C$223="",0,IF(Inputs!$E$223="planned",(Inputs!$D$223+N(INDEX(sc_dpts,2)))*$M3949,Inputs!$D$223))</f>
        <v>0</v>
      </c>
      <c r="O3949" s="53">
        <f>IF(Inputs!$C$223="",0,IF(1+$N3949&gt;0,LN(1+$N3949),0))</f>
        <v>0</v>
      </c>
      <c r="P3949" s="55">
        <f t="shared" si="1442"/>
        <v>0</v>
      </c>
      <c r="Q3949" s="55">
        <f>IF($K3949="",0,COUNTIFS(rl_key,Inputs!$J$223,$L$3806:$L$4045,$L3949,$K$3806:$K$4045,"&lt;"&amp;$K3949))</f>
        <v>0</v>
      </c>
      <c r="R3949" s="55">
        <f>IF($K3949="",0,COUNTIFS(Inputs!$J$80:$J$223,Inputs!$J$223,$L$3806:$L3949,$L3949,$K$3806:$K3949,$K3949))</f>
        <v>0</v>
      </c>
      <c r="S3949" s="55">
        <f t="shared" si="1443"/>
        <v>0</v>
      </c>
      <c r="U3949" s="54" t="str">
        <f>IF(Inputs!$C$223="","",IF(Inputs!$E$223="planned",EDATE(Inputs!$C$223,N(INDEX(sc_shift,3))),Inputs!$C$223))</f>
        <v/>
      </c>
      <c r="V3949" s="54" t="str">
        <f t="shared" si="1444"/>
        <v/>
      </c>
      <c r="W3949" s="52">
        <f>IF(N(INDEX(sc_ach,3))=0,IF(Inputs!$G$223="",1,Inputs!$G$223),INDEX(sc_ach,3))</f>
        <v>1</v>
      </c>
      <c r="X3949" s="52">
        <f>IF(Inputs!$C$223="",0,IF(Inputs!$E$223="planned",(Inputs!$D$223+N(INDEX(sc_dpts,3)))*$W3949,Inputs!$D$223))</f>
        <v>0</v>
      </c>
      <c r="Y3949" s="53">
        <f>IF(Inputs!$C$223="",0,IF(1+$X3949&gt;0,LN(1+$X3949),0))</f>
        <v>0</v>
      </c>
      <c r="Z3949" s="55">
        <f t="shared" si="1445"/>
        <v>0</v>
      </c>
      <c r="AA3949" s="55">
        <f>IF($U3949="",0,COUNTIFS(rl_key,Inputs!$J$223,$V$3806:$V$4045,$V3949,$U$3806:$U$4045,"&lt;"&amp;$U3949))</f>
        <v>0</v>
      </c>
      <c r="AB3949" s="55">
        <f>IF($U3949="",0,COUNTIFS(Inputs!$J$80:$J$223,Inputs!$J$223,$V$3806:$V3949,$V3949,$U$3806:$U3949,$U3949))</f>
        <v>0</v>
      </c>
      <c r="AC3949" s="55">
        <f t="shared" si="1446"/>
        <v>0</v>
      </c>
      <c r="AE3949" s="54" t="str">
        <f>IF(Inputs!$C$223="","",IF(Inputs!$E$223="planned",EDATE(Inputs!$C$223,N(INDEX(sc_shift,4))),Inputs!$C$223))</f>
        <v/>
      </c>
      <c r="AF3949" s="54" t="str">
        <f t="shared" si="1447"/>
        <v/>
      </c>
      <c r="AG3949" s="52">
        <f>IF(N(INDEX(sc_ach,4))=0,IF(Inputs!$G$223="",1,Inputs!$G$223),INDEX(sc_ach,4))</f>
        <v>1</v>
      </c>
      <c r="AH3949" s="52">
        <f>IF(Inputs!$C$223="",0,IF(Inputs!$E$223="planned",(Inputs!$D$223+N(INDEX(sc_dpts,4)))*$AG3949,Inputs!$D$223))</f>
        <v>0</v>
      </c>
      <c r="AI3949" s="53">
        <f>IF(Inputs!$C$223="",0,IF(1+$AH3949&gt;0,LN(1+$AH3949),0))</f>
        <v>0</v>
      </c>
      <c r="AJ3949" s="55">
        <f t="shared" si="1448"/>
        <v>0</v>
      </c>
      <c r="AK3949" s="55">
        <f>IF($AE3949="",0,COUNTIFS(rl_key,Inputs!$J$223,$AF$3806:$AF$4045,$AF3949,$AE$3806:$AE$4045,"&lt;"&amp;$AE3949))</f>
        <v>0</v>
      </c>
      <c r="AL3949" s="55">
        <f>IF($AE3949="",0,COUNTIFS(Inputs!$J$80:$J$223,Inputs!$J$223,$AF$3806:$AF3949,$AF3949,$AE$3806:$AE3949,$AE3949))</f>
        <v>0</v>
      </c>
      <c r="AM3949" s="55">
        <f t="shared" si="1449"/>
        <v>0</v>
      </c>
    </row>
    <row r="3950" spans="1:39" x14ac:dyDescent="0.25">
      <c r="A3950" s="54" t="str">
        <f>IF(Inputs!$C$224="","",IF(Inputs!$E$224="planned",EDATE(Inputs!$C$224,N(INDEX(sc_shift,1))),Inputs!$C$224))</f>
        <v/>
      </c>
      <c r="B3950" s="54" t="str">
        <f t="shared" si="1438"/>
        <v/>
      </c>
      <c r="C3950" s="52">
        <f>IF(N(INDEX(sc_ach,1))=0,IF(Inputs!$G$224="",1,Inputs!$G$224),INDEX(sc_ach,1))</f>
        <v>1</v>
      </c>
      <c r="D3950" s="52">
        <f>IF(Inputs!$C$224="",0,IF(Inputs!$E$224="planned",(Inputs!$D$224+N(INDEX(sc_dpts,1)))*$C3950,Inputs!$D$224))</f>
        <v>0</v>
      </c>
      <c r="E3950" s="53">
        <f>IF(Inputs!$C$224="",0,IF(1+$D3950&gt;0,LN(1+$D3950),0))</f>
        <v>0</v>
      </c>
      <c r="F3950" s="55">
        <f t="shared" si="1439"/>
        <v>0</v>
      </c>
      <c r="G3950" s="55">
        <f>IF($A3950="",0,COUNTIFS(rl_key,Inputs!$J$224,$B$3806:$B$4045,$B3950,$A$3806:$A$4045,"&lt;"&amp;$A3950))</f>
        <v>0</v>
      </c>
      <c r="H3950" s="55">
        <f>IF($A3950="",0,COUNTIFS(Inputs!$J$80:$J$224,Inputs!$J$224,$B$3806:$B3950,$B3950,$A$3806:$A3950,$A3950))</f>
        <v>0</v>
      </c>
      <c r="I3950" s="55">
        <f t="shared" si="1440"/>
        <v>0</v>
      </c>
      <c r="K3950" s="54" t="str">
        <f>IF(Inputs!$C$224="","",IF(Inputs!$E$224="planned",EDATE(Inputs!$C$224,N(INDEX(sc_shift,2))),Inputs!$C$224))</f>
        <v/>
      </c>
      <c r="L3950" s="54" t="str">
        <f t="shared" si="1441"/>
        <v/>
      </c>
      <c r="M3950" s="52">
        <f>IF(N(INDEX(sc_ach,2))=0,IF(Inputs!$G$224="",1,Inputs!$G$224),INDEX(sc_ach,2))</f>
        <v>1</v>
      </c>
      <c r="N3950" s="52">
        <f>IF(Inputs!$C$224="",0,IF(Inputs!$E$224="planned",(Inputs!$D$224+N(INDEX(sc_dpts,2)))*$M3950,Inputs!$D$224))</f>
        <v>0</v>
      </c>
      <c r="O3950" s="53">
        <f>IF(Inputs!$C$224="",0,IF(1+$N3950&gt;0,LN(1+$N3950),0))</f>
        <v>0</v>
      </c>
      <c r="P3950" s="55">
        <f t="shared" si="1442"/>
        <v>0</v>
      </c>
      <c r="Q3950" s="55">
        <f>IF($K3950="",0,COUNTIFS(rl_key,Inputs!$J$224,$L$3806:$L$4045,$L3950,$K$3806:$K$4045,"&lt;"&amp;$K3950))</f>
        <v>0</v>
      </c>
      <c r="R3950" s="55">
        <f>IF($K3950="",0,COUNTIFS(Inputs!$J$80:$J$224,Inputs!$J$224,$L$3806:$L3950,$L3950,$K$3806:$K3950,$K3950))</f>
        <v>0</v>
      </c>
      <c r="S3950" s="55">
        <f t="shared" si="1443"/>
        <v>0</v>
      </c>
      <c r="U3950" s="54" t="str">
        <f>IF(Inputs!$C$224="","",IF(Inputs!$E$224="planned",EDATE(Inputs!$C$224,N(INDEX(sc_shift,3))),Inputs!$C$224))</f>
        <v/>
      </c>
      <c r="V3950" s="54" t="str">
        <f t="shared" si="1444"/>
        <v/>
      </c>
      <c r="W3950" s="52">
        <f>IF(N(INDEX(sc_ach,3))=0,IF(Inputs!$G$224="",1,Inputs!$G$224),INDEX(sc_ach,3))</f>
        <v>1</v>
      </c>
      <c r="X3950" s="52">
        <f>IF(Inputs!$C$224="",0,IF(Inputs!$E$224="planned",(Inputs!$D$224+N(INDEX(sc_dpts,3)))*$W3950,Inputs!$D$224))</f>
        <v>0</v>
      </c>
      <c r="Y3950" s="53">
        <f>IF(Inputs!$C$224="",0,IF(1+$X3950&gt;0,LN(1+$X3950),0))</f>
        <v>0</v>
      </c>
      <c r="Z3950" s="55">
        <f t="shared" si="1445"/>
        <v>0</v>
      </c>
      <c r="AA3950" s="55">
        <f>IF($U3950="",0,COUNTIFS(rl_key,Inputs!$J$224,$V$3806:$V$4045,$V3950,$U$3806:$U$4045,"&lt;"&amp;$U3950))</f>
        <v>0</v>
      </c>
      <c r="AB3950" s="55">
        <f>IF($U3950="",0,COUNTIFS(Inputs!$J$80:$J$224,Inputs!$J$224,$V$3806:$V3950,$V3950,$U$3806:$U3950,$U3950))</f>
        <v>0</v>
      </c>
      <c r="AC3950" s="55">
        <f t="shared" si="1446"/>
        <v>0</v>
      </c>
      <c r="AE3950" s="54" t="str">
        <f>IF(Inputs!$C$224="","",IF(Inputs!$E$224="planned",EDATE(Inputs!$C$224,N(INDEX(sc_shift,4))),Inputs!$C$224))</f>
        <v/>
      </c>
      <c r="AF3950" s="54" t="str">
        <f t="shared" si="1447"/>
        <v/>
      </c>
      <c r="AG3950" s="52">
        <f>IF(N(INDEX(sc_ach,4))=0,IF(Inputs!$G$224="",1,Inputs!$G$224),INDEX(sc_ach,4))</f>
        <v>1</v>
      </c>
      <c r="AH3950" s="52">
        <f>IF(Inputs!$C$224="",0,IF(Inputs!$E$224="planned",(Inputs!$D$224+N(INDEX(sc_dpts,4)))*$AG3950,Inputs!$D$224))</f>
        <v>0</v>
      </c>
      <c r="AI3950" s="53">
        <f>IF(Inputs!$C$224="",0,IF(1+$AH3950&gt;0,LN(1+$AH3950),0))</f>
        <v>0</v>
      </c>
      <c r="AJ3950" s="55">
        <f t="shared" si="1448"/>
        <v>0</v>
      </c>
      <c r="AK3950" s="55">
        <f>IF($AE3950="",0,COUNTIFS(rl_key,Inputs!$J$224,$AF$3806:$AF$4045,$AF3950,$AE$3806:$AE$4045,"&lt;"&amp;$AE3950))</f>
        <v>0</v>
      </c>
      <c r="AL3950" s="55">
        <f>IF($AE3950="",0,COUNTIFS(Inputs!$J$80:$J$224,Inputs!$J$224,$AF$3806:$AF3950,$AF3950,$AE$3806:$AE3950,$AE3950))</f>
        <v>0</v>
      </c>
      <c r="AM3950" s="55">
        <f t="shared" si="1449"/>
        <v>0</v>
      </c>
    </row>
    <row r="3951" spans="1:39" x14ac:dyDescent="0.25">
      <c r="A3951" s="54" t="str">
        <f>IF(Inputs!$C$225="","",IF(Inputs!$E$225="planned",EDATE(Inputs!$C$225,N(INDEX(sc_shift,1))),Inputs!$C$225))</f>
        <v/>
      </c>
      <c r="B3951" s="54" t="str">
        <f t="shared" si="1438"/>
        <v/>
      </c>
      <c r="C3951" s="52">
        <f>IF(N(INDEX(sc_ach,1))=0,IF(Inputs!$G$225="",1,Inputs!$G$225),INDEX(sc_ach,1))</f>
        <v>1</v>
      </c>
      <c r="D3951" s="52">
        <f>IF(Inputs!$C$225="",0,IF(Inputs!$E$225="planned",(Inputs!$D$225+N(INDEX(sc_dpts,1)))*$C3951,Inputs!$D$225))</f>
        <v>0</v>
      </c>
      <c r="E3951" s="53">
        <f>IF(Inputs!$C$225="",0,IF(1+$D3951&gt;0,LN(1+$D3951),0))</f>
        <v>0</v>
      </c>
      <c r="F3951" s="55">
        <f t="shared" si="1439"/>
        <v>0</v>
      </c>
      <c r="G3951" s="55">
        <f>IF($A3951="",0,COUNTIFS(rl_key,Inputs!$J$225,$B$3806:$B$4045,$B3951,$A$3806:$A$4045,"&lt;"&amp;$A3951))</f>
        <v>0</v>
      </c>
      <c r="H3951" s="55">
        <f>IF($A3951="",0,COUNTIFS(Inputs!$J$80:$J$225,Inputs!$J$225,$B$3806:$B3951,$B3951,$A$3806:$A3951,$A3951))</f>
        <v>0</v>
      </c>
      <c r="I3951" s="55">
        <f t="shared" si="1440"/>
        <v>0</v>
      </c>
      <c r="K3951" s="54" t="str">
        <f>IF(Inputs!$C$225="","",IF(Inputs!$E$225="planned",EDATE(Inputs!$C$225,N(INDEX(sc_shift,2))),Inputs!$C$225))</f>
        <v/>
      </c>
      <c r="L3951" s="54" t="str">
        <f t="shared" si="1441"/>
        <v/>
      </c>
      <c r="M3951" s="52">
        <f>IF(N(INDEX(sc_ach,2))=0,IF(Inputs!$G$225="",1,Inputs!$G$225),INDEX(sc_ach,2))</f>
        <v>1</v>
      </c>
      <c r="N3951" s="52">
        <f>IF(Inputs!$C$225="",0,IF(Inputs!$E$225="planned",(Inputs!$D$225+N(INDEX(sc_dpts,2)))*$M3951,Inputs!$D$225))</f>
        <v>0</v>
      </c>
      <c r="O3951" s="53">
        <f>IF(Inputs!$C$225="",0,IF(1+$N3951&gt;0,LN(1+$N3951),0))</f>
        <v>0</v>
      </c>
      <c r="P3951" s="55">
        <f t="shared" si="1442"/>
        <v>0</v>
      </c>
      <c r="Q3951" s="55">
        <f>IF($K3951="",0,COUNTIFS(rl_key,Inputs!$J$225,$L$3806:$L$4045,$L3951,$K$3806:$K$4045,"&lt;"&amp;$K3951))</f>
        <v>0</v>
      </c>
      <c r="R3951" s="55">
        <f>IF($K3951="",0,COUNTIFS(Inputs!$J$80:$J$225,Inputs!$J$225,$L$3806:$L3951,$L3951,$K$3806:$K3951,$K3951))</f>
        <v>0</v>
      </c>
      <c r="S3951" s="55">
        <f t="shared" si="1443"/>
        <v>0</v>
      </c>
      <c r="U3951" s="54" t="str">
        <f>IF(Inputs!$C$225="","",IF(Inputs!$E$225="planned",EDATE(Inputs!$C$225,N(INDEX(sc_shift,3))),Inputs!$C$225))</f>
        <v/>
      </c>
      <c r="V3951" s="54" t="str">
        <f t="shared" si="1444"/>
        <v/>
      </c>
      <c r="W3951" s="52">
        <f>IF(N(INDEX(sc_ach,3))=0,IF(Inputs!$G$225="",1,Inputs!$G$225),INDEX(sc_ach,3))</f>
        <v>1</v>
      </c>
      <c r="X3951" s="52">
        <f>IF(Inputs!$C$225="",0,IF(Inputs!$E$225="planned",(Inputs!$D$225+N(INDEX(sc_dpts,3)))*$W3951,Inputs!$D$225))</f>
        <v>0</v>
      </c>
      <c r="Y3951" s="53">
        <f>IF(Inputs!$C$225="",0,IF(1+$X3951&gt;0,LN(1+$X3951),0))</f>
        <v>0</v>
      </c>
      <c r="Z3951" s="55">
        <f t="shared" si="1445"/>
        <v>0</v>
      </c>
      <c r="AA3951" s="55">
        <f>IF($U3951="",0,COUNTIFS(rl_key,Inputs!$J$225,$V$3806:$V$4045,$V3951,$U$3806:$U$4045,"&lt;"&amp;$U3951))</f>
        <v>0</v>
      </c>
      <c r="AB3951" s="55">
        <f>IF($U3951="",0,COUNTIFS(Inputs!$J$80:$J$225,Inputs!$J$225,$V$3806:$V3951,$V3951,$U$3806:$U3951,$U3951))</f>
        <v>0</v>
      </c>
      <c r="AC3951" s="55">
        <f t="shared" si="1446"/>
        <v>0</v>
      </c>
      <c r="AE3951" s="54" t="str">
        <f>IF(Inputs!$C$225="","",IF(Inputs!$E$225="planned",EDATE(Inputs!$C$225,N(INDEX(sc_shift,4))),Inputs!$C$225))</f>
        <v/>
      </c>
      <c r="AF3951" s="54" t="str">
        <f t="shared" si="1447"/>
        <v/>
      </c>
      <c r="AG3951" s="52">
        <f>IF(N(INDEX(sc_ach,4))=0,IF(Inputs!$G$225="",1,Inputs!$G$225),INDEX(sc_ach,4))</f>
        <v>1</v>
      </c>
      <c r="AH3951" s="52">
        <f>IF(Inputs!$C$225="",0,IF(Inputs!$E$225="planned",(Inputs!$D$225+N(INDEX(sc_dpts,4)))*$AG3951,Inputs!$D$225))</f>
        <v>0</v>
      </c>
      <c r="AI3951" s="53">
        <f>IF(Inputs!$C$225="",0,IF(1+$AH3951&gt;0,LN(1+$AH3951),0))</f>
        <v>0</v>
      </c>
      <c r="AJ3951" s="55">
        <f t="shared" si="1448"/>
        <v>0</v>
      </c>
      <c r="AK3951" s="55">
        <f>IF($AE3951="",0,COUNTIFS(rl_key,Inputs!$J$225,$AF$3806:$AF$4045,$AF3951,$AE$3806:$AE$4045,"&lt;"&amp;$AE3951))</f>
        <v>0</v>
      </c>
      <c r="AL3951" s="55">
        <f>IF($AE3951="",0,COUNTIFS(Inputs!$J$80:$J$225,Inputs!$J$225,$AF$3806:$AF3951,$AF3951,$AE$3806:$AE3951,$AE3951))</f>
        <v>0</v>
      </c>
      <c r="AM3951" s="55">
        <f t="shared" si="1449"/>
        <v>0</v>
      </c>
    </row>
    <row r="3952" spans="1:39" x14ac:dyDescent="0.25">
      <c r="A3952" s="54" t="str">
        <f>IF(Inputs!$C$226="","",IF(Inputs!$E$226="planned",EDATE(Inputs!$C$226,N(INDEX(sc_shift,1))),Inputs!$C$226))</f>
        <v/>
      </c>
      <c r="B3952" s="54" t="str">
        <f t="shared" si="1438"/>
        <v/>
      </c>
      <c r="C3952" s="52">
        <f>IF(N(INDEX(sc_ach,1))=0,IF(Inputs!$G$226="",1,Inputs!$G$226),INDEX(sc_ach,1))</f>
        <v>1</v>
      </c>
      <c r="D3952" s="52">
        <f>IF(Inputs!$C$226="",0,IF(Inputs!$E$226="planned",(Inputs!$D$226+N(INDEX(sc_dpts,1)))*$C3952,Inputs!$D$226))</f>
        <v>0</v>
      </c>
      <c r="E3952" s="53">
        <f>IF(Inputs!$C$226="",0,IF(1+$D3952&gt;0,LN(1+$D3952),0))</f>
        <v>0</v>
      </c>
      <c r="F3952" s="55">
        <f t="shared" si="1439"/>
        <v>0</v>
      </c>
      <c r="G3952" s="55">
        <f>IF($A3952="",0,COUNTIFS(rl_key,Inputs!$J$226,$B$3806:$B$4045,$B3952,$A$3806:$A$4045,"&lt;"&amp;$A3952))</f>
        <v>0</v>
      </c>
      <c r="H3952" s="55">
        <f>IF($A3952="",0,COUNTIFS(Inputs!$J$80:$J$226,Inputs!$J$226,$B$3806:$B3952,$B3952,$A$3806:$A3952,$A3952))</f>
        <v>0</v>
      </c>
      <c r="I3952" s="55">
        <f t="shared" si="1440"/>
        <v>0</v>
      </c>
      <c r="K3952" s="54" t="str">
        <f>IF(Inputs!$C$226="","",IF(Inputs!$E$226="planned",EDATE(Inputs!$C$226,N(INDEX(sc_shift,2))),Inputs!$C$226))</f>
        <v/>
      </c>
      <c r="L3952" s="54" t="str">
        <f t="shared" si="1441"/>
        <v/>
      </c>
      <c r="M3952" s="52">
        <f>IF(N(INDEX(sc_ach,2))=0,IF(Inputs!$G$226="",1,Inputs!$G$226),INDEX(sc_ach,2))</f>
        <v>1</v>
      </c>
      <c r="N3952" s="52">
        <f>IF(Inputs!$C$226="",0,IF(Inputs!$E$226="planned",(Inputs!$D$226+N(INDEX(sc_dpts,2)))*$M3952,Inputs!$D$226))</f>
        <v>0</v>
      </c>
      <c r="O3952" s="53">
        <f>IF(Inputs!$C$226="",0,IF(1+$N3952&gt;0,LN(1+$N3952),0))</f>
        <v>0</v>
      </c>
      <c r="P3952" s="55">
        <f t="shared" si="1442"/>
        <v>0</v>
      </c>
      <c r="Q3952" s="55">
        <f>IF($K3952="",0,COUNTIFS(rl_key,Inputs!$J$226,$L$3806:$L$4045,$L3952,$K$3806:$K$4045,"&lt;"&amp;$K3952))</f>
        <v>0</v>
      </c>
      <c r="R3952" s="55">
        <f>IF($K3952="",0,COUNTIFS(Inputs!$J$80:$J$226,Inputs!$J$226,$L$3806:$L3952,$L3952,$K$3806:$K3952,$K3952))</f>
        <v>0</v>
      </c>
      <c r="S3952" s="55">
        <f t="shared" si="1443"/>
        <v>0</v>
      </c>
      <c r="U3952" s="54" t="str">
        <f>IF(Inputs!$C$226="","",IF(Inputs!$E$226="planned",EDATE(Inputs!$C$226,N(INDEX(sc_shift,3))),Inputs!$C$226))</f>
        <v/>
      </c>
      <c r="V3952" s="54" t="str">
        <f t="shared" si="1444"/>
        <v/>
      </c>
      <c r="W3952" s="52">
        <f>IF(N(INDEX(sc_ach,3))=0,IF(Inputs!$G$226="",1,Inputs!$G$226),INDEX(sc_ach,3))</f>
        <v>1</v>
      </c>
      <c r="X3952" s="52">
        <f>IF(Inputs!$C$226="",0,IF(Inputs!$E$226="planned",(Inputs!$D$226+N(INDEX(sc_dpts,3)))*$W3952,Inputs!$D$226))</f>
        <v>0</v>
      </c>
      <c r="Y3952" s="53">
        <f>IF(Inputs!$C$226="",0,IF(1+$X3952&gt;0,LN(1+$X3952),0))</f>
        <v>0</v>
      </c>
      <c r="Z3952" s="55">
        <f t="shared" si="1445"/>
        <v>0</v>
      </c>
      <c r="AA3952" s="55">
        <f>IF($U3952="",0,COUNTIFS(rl_key,Inputs!$J$226,$V$3806:$V$4045,$V3952,$U$3806:$U$4045,"&lt;"&amp;$U3952))</f>
        <v>0</v>
      </c>
      <c r="AB3952" s="55">
        <f>IF($U3952="",0,COUNTIFS(Inputs!$J$80:$J$226,Inputs!$J$226,$V$3806:$V3952,$V3952,$U$3806:$U3952,$U3952))</f>
        <v>0</v>
      </c>
      <c r="AC3952" s="55">
        <f t="shared" si="1446"/>
        <v>0</v>
      </c>
      <c r="AE3952" s="54" t="str">
        <f>IF(Inputs!$C$226="","",IF(Inputs!$E$226="planned",EDATE(Inputs!$C$226,N(INDEX(sc_shift,4))),Inputs!$C$226))</f>
        <v/>
      </c>
      <c r="AF3952" s="54" t="str">
        <f t="shared" si="1447"/>
        <v/>
      </c>
      <c r="AG3952" s="52">
        <f>IF(N(INDEX(sc_ach,4))=0,IF(Inputs!$G$226="",1,Inputs!$G$226),INDEX(sc_ach,4))</f>
        <v>1</v>
      </c>
      <c r="AH3952" s="52">
        <f>IF(Inputs!$C$226="",0,IF(Inputs!$E$226="planned",(Inputs!$D$226+N(INDEX(sc_dpts,4)))*$AG3952,Inputs!$D$226))</f>
        <v>0</v>
      </c>
      <c r="AI3952" s="53">
        <f>IF(Inputs!$C$226="",0,IF(1+$AH3952&gt;0,LN(1+$AH3952),0))</f>
        <v>0</v>
      </c>
      <c r="AJ3952" s="55">
        <f t="shared" si="1448"/>
        <v>0</v>
      </c>
      <c r="AK3952" s="55">
        <f>IF($AE3952="",0,COUNTIFS(rl_key,Inputs!$J$226,$AF$3806:$AF$4045,$AF3952,$AE$3806:$AE$4045,"&lt;"&amp;$AE3952))</f>
        <v>0</v>
      </c>
      <c r="AL3952" s="55">
        <f>IF($AE3952="",0,COUNTIFS(Inputs!$J$80:$J$226,Inputs!$J$226,$AF$3806:$AF3952,$AF3952,$AE$3806:$AE3952,$AE3952))</f>
        <v>0</v>
      </c>
      <c r="AM3952" s="55">
        <f t="shared" si="1449"/>
        <v>0</v>
      </c>
    </row>
    <row r="3953" spans="1:39" x14ac:dyDescent="0.25">
      <c r="A3953" s="54" t="str">
        <f>IF(Inputs!$C$227="","",IF(Inputs!$E$227="planned",EDATE(Inputs!$C$227,N(INDEX(sc_shift,1))),Inputs!$C$227))</f>
        <v/>
      </c>
      <c r="B3953" s="54" t="str">
        <f t="shared" si="1438"/>
        <v/>
      </c>
      <c r="C3953" s="52">
        <f>IF(N(INDEX(sc_ach,1))=0,IF(Inputs!$G$227="",1,Inputs!$G$227),INDEX(sc_ach,1))</f>
        <v>1</v>
      </c>
      <c r="D3953" s="52">
        <f>IF(Inputs!$C$227="",0,IF(Inputs!$E$227="planned",(Inputs!$D$227+N(INDEX(sc_dpts,1)))*$C3953,Inputs!$D$227))</f>
        <v>0</v>
      </c>
      <c r="E3953" s="53">
        <f>IF(Inputs!$C$227="",0,IF(1+$D3953&gt;0,LN(1+$D3953),0))</f>
        <v>0</v>
      </c>
      <c r="F3953" s="55">
        <f t="shared" si="1439"/>
        <v>0</v>
      </c>
      <c r="G3953" s="55">
        <f>IF($A3953="",0,COUNTIFS(rl_key,Inputs!$J$227,$B$3806:$B$4045,$B3953,$A$3806:$A$4045,"&lt;"&amp;$A3953))</f>
        <v>0</v>
      </c>
      <c r="H3953" s="55">
        <f>IF($A3953="",0,COUNTIFS(Inputs!$J$80:$J$227,Inputs!$J$227,$B$3806:$B3953,$B3953,$A$3806:$A3953,$A3953))</f>
        <v>0</v>
      </c>
      <c r="I3953" s="55">
        <f t="shared" si="1440"/>
        <v>0</v>
      </c>
      <c r="K3953" s="54" t="str">
        <f>IF(Inputs!$C$227="","",IF(Inputs!$E$227="planned",EDATE(Inputs!$C$227,N(INDEX(sc_shift,2))),Inputs!$C$227))</f>
        <v/>
      </c>
      <c r="L3953" s="54" t="str">
        <f t="shared" si="1441"/>
        <v/>
      </c>
      <c r="M3953" s="52">
        <f>IF(N(INDEX(sc_ach,2))=0,IF(Inputs!$G$227="",1,Inputs!$G$227),INDEX(sc_ach,2))</f>
        <v>1</v>
      </c>
      <c r="N3953" s="52">
        <f>IF(Inputs!$C$227="",0,IF(Inputs!$E$227="planned",(Inputs!$D$227+N(INDEX(sc_dpts,2)))*$M3953,Inputs!$D$227))</f>
        <v>0</v>
      </c>
      <c r="O3953" s="53">
        <f>IF(Inputs!$C$227="",0,IF(1+$N3953&gt;0,LN(1+$N3953),0))</f>
        <v>0</v>
      </c>
      <c r="P3953" s="55">
        <f t="shared" si="1442"/>
        <v>0</v>
      </c>
      <c r="Q3953" s="55">
        <f>IF($K3953="",0,COUNTIFS(rl_key,Inputs!$J$227,$L$3806:$L$4045,$L3953,$K$3806:$K$4045,"&lt;"&amp;$K3953))</f>
        <v>0</v>
      </c>
      <c r="R3953" s="55">
        <f>IF($K3953="",0,COUNTIFS(Inputs!$J$80:$J$227,Inputs!$J$227,$L$3806:$L3953,$L3953,$K$3806:$K3953,$K3953))</f>
        <v>0</v>
      </c>
      <c r="S3953" s="55">
        <f t="shared" si="1443"/>
        <v>0</v>
      </c>
      <c r="U3953" s="54" t="str">
        <f>IF(Inputs!$C$227="","",IF(Inputs!$E$227="planned",EDATE(Inputs!$C$227,N(INDEX(sc_shift,3))),Inputs!$C$227))</f>
        <v/>
      </c>
      <c r="V3953" s="54" t="str">
        <f t="shared" si="1444"/>
        <v/>
      </c>
      <c r="W3953" s="52">
        <f>IF(N(INDEX(sc_ach,3))=0,IF(Inputs!$G$227="",1,Inputs!$G$227),INDEX(sc_ach,3))</f>
        <v>1</v>
      </c>
      <c r="X3953" s="52">
        <f>IF(Inputs!$C$227="",0,IF(Inputs!$E$227="planned",(Inputs!$D$227+N(INDEX(sc_dpts,3)))*$W3953,Inputs!$D$227))</f>
        <v>0</v>
      </c>
      <c r="Y3953" s="53">
        <f>IF(Inputs!$C$227="",0,IF(1+$X3953&gt;0,LN(1+$X3953),0))</f>
        <v>0</v>
      </c>
      <c r="Z3953" s="55">
        <f t="shared" si="1445"/>
        <v>0</v>
      </c>
      <c r="AA3953" s="55">
        <f>IF($U3953="",0,COUNTIFS(rl_key,Inputs!$J$227,$V$3806:$V$4045,$V3953,$U$3806:$U$4045,"&lt;"&amp;$U3953))</f>
        <v>0</v>
      </c>
      <c r="AB3953" s="55">
        <f>IF($U3953="",0,COUNTIFS(Inputs!$J$80:$J$227,Inputs!$J$227,$V$3806:$V3953,$V3953,$U$3806:$U3953,$U3953))</f>
        <v>0</v>
      </c>
      <c r="AC3953" s="55">
        <f t="shared" si="1446"/>
        <v>0</v>
      </c>
      <c r="AE3953" s="54" t="str">
        <f>IF(Inputs!$C$227="","",IF(Inputs!$E$227="planned",EDATE(Inputs!$C$227,N(INDEX(sc_shift,4))),Inputs!$C$227))</f>
        <v/>
      </c>
      <c r="AF3953" s="54" t="str">
        <f t="shared" si="1447"/>
        <v/>
      </c>
      <c r="AG3953" s="52">
        <f>IF(N(INDEX(sc_ach,4))=0,IF(Inputs!$G$227="",1,Inputs!$G$227),INDEX(sc_ach,4))</f>
        <v>1</v>
      </c>
      <c r="AH3953" s="52">
        <f>IF(Inputs!$C$227="",0,IF(Inputs!$E$227="planned",(Inputs!$D$227+N(INDEX(sc_dpts,4)))*$AG3953,Inputs!$D$227))</f>
        <v>0</v>
      </c>
      <c r="AI3953" s="53">
        <f>IF(Inputs!$C$227="",0,IF(1+$AH3953&gt;0,LN(1+$AH3953),0))</f>
        <v>0</v>
      </c>
      <c r="AJ3953" s="55">
        <f t="shared" si="1448"/>
        <v>0</v>
      </c>
      <c r="AK3953" s="55">
        <f>IF($AE3953="",0,COUNTIFS(rl_key,Inputs!$J$227,$AF$3806:$AF$4045,$AF3953,$AE$3806:$AE$4045,"&lt;"&amp;$AE3953))</f>
        <v>0</v>
      </c>
      <c r="AL3953" s="55">
        <f>IF($AE3953="",0,COUNTIFS(Inputs!$J$80:$J$227,Inputs!$J$227,$AF$3806:$AF3953,$AF3953,$AE$3806:$AE3953,$AE3953))</f>
        <v>0</v>
      </c>
      <c r="AM3953" s="55">
        <f t="shared" si="1449"/>
        <v>0</v>
      </c>
    </row>
    <row r="3954" spans="1:39" x14ac:dyDescent="0.25">
      <c r="A3954" s="54" t="str">
        <f>IF(Inputs!$C$228="","",IF(Inputs!$E$228="planned",EDATE(Inputs!$C$228,N(INDEX(sc_shift,1))),Inputs!$C$228))</f>
        <v/>
      </c>
      <c r="B3954" s="54" t="str">
        <f t="shared" si="1438"/>
        <v/>
      </c>
      <c r="C3954" s="52">
        <f>IF(N(INDEX(sc_ach,1))=0,IF(Inputs!$G$228="",1,Inputs!$G$228),INDEX(sc_ach,1))</f>
        <v>1</v>
      </c>
      <c r="D3954" s="52">
        <f>IF(Inputs!$C$228="",0,IF(Inputs!$E$228="planned",(Inputs!$D$228+N(INDEX(sc_dpts,1)))*$C3954,Inputs!$D$228))</f>
        <v>0</v>
      </c>
      <c r="E3954" s="53">
        <f>IF(Inputs!$C$228="",0,IF(1+$D3954&gt;0,LN(1+$D3954),0))</f>
        <v>0</v>
      </c>
      <c r="F3954" s="55">
        <f t="shared" si="1439"/>
        <v>0</v>
      </c>
      <c r="G3954" s="55">
        <f>IF($A3954="",0,COUNTIFS(rl_key,Inputs!$J$228,$B$3806:$B$4045,$B3954,$A$3806:$A$4045,"&lt;"&amp;$A3954))</f>
        <v>0</v>
      </c>
      <c r="H3954" s="55">
        <f>IF($A3954="",0,COUNTIFS(Inputs!$J$80:$J$228,Inputs!$J$228,$B$3806:$B3954,$B3954,$A$3806:$A3954,$A3954))</f>
        <v>0</v>
      </c>
      <c r="I3954" s="55">
        <f t="shared" si="1440"/>
        <v>0</v>
      </c>
      <c r="K3954" s="54" t="str">
        <f>IF(Inputs!$C$228="","",IF(Inputs!$E$228="planned",EDATE(Inputs!$C$228,N(INDEX(sc_shift,2))),Inputs!$C$228))</f>
        <v/>
      </c>
      <c r="L3954" s="54" t="str">
        <f t="shared" si="1441"/>
        <v/>
      </c>
      <c r="M3954" s="52">
        <f>IF(N(INDEX(sc_ach,2))=0,IF(Inputs!$G$228="",1,Inputs!$G$228),INDEX(sc_ach,2))</f>
        <v>1</v>
      </c>
      <c r="N3954" s="52">
        <f>IF(Inputs!$C$228="",0,IF(Inputs!$E$228="planned",(Inputs!$D$228+N(INDEX(sc_dpts,2)))*$M3954,Inputs!$D$228))</f>
        <v>0</v>
      </c>
      <c r="O3954" s="53">
        <f>IF(Inputs!$C$228="",0,IF(1+$N3954&gt;0,LN(1+$N3954),0))</f>
        <v>0</v>
      </c>
      <c r="P3954" s="55">
        <f t="shared" si="1442"/>
        <v>0</v>
      </c>
      <c r="Q3954" s="55">
        <f>IF($K3954="",0,COUNTIFS(rl_key,Inputs!$J$228,$L$3806:$L$4045,$L3954,$K$3806:$K$4045,"&lt;"&amp;$K3954))</f>
        <v>0</v>
      </c>
      <c r="R3954" s="55">
        <f>IF($K3954="",0,COUNTIFS(Inputs!$J$80:$J$228,Inputs!$J$228,$L$3806:$L3954,$L3954,$K$3806:$K3954,$K3954))</f>
        <v>0</v>
      </c>
      <c r="S3954" s="55">
        <f t="shared" si="1443"/>
        <v>0</v>
      </c>
      <c r="U3954" s="54" t="str">
        <f>IF(Inputs!$C$228="","",IF(Inputs!$E$228="planned",EDATE(Inputs!$C$228,N(INDEX(sc_shift,3))),Inputs!$C$228))</f>
        <v/>
      </c>
      <c r="V3954" s="54" t="str">
        <f t="shared" si="1444"/>
        <v/>
      </c>
      <c r="W3954" s="52">
        <f>IF(N(INDEX(sc_ach,3))=0,IF(Inputs!$G$228="",1,Inputs!$G$228),INDEX(sc_ach,3))</f>
        <v>1</v>
      </c>
      <c r="X3954" s="52">
        <f>IF(Inputs!$C$228="",0,IF(Inputs!$E$228="planned",(Inputs!$D$228+N(INDEX(sc_dpts,3)))*$W3954,Inputs!$D$228))</f>
        <v>0</v>
      </c>
      <c r="Y3954" s="53">
        <f>IF(Inputs!$C$228="",0,IF(1+$X3954&gt;0,LN(1+$X3954),0))</f>
        <v>0</v>
      </c>
      <c r="Z3954" s="55">
        <f t="shared" si="1445"/>
        <v>0</v>
      </c>
      <c r="AA3954" s="55">
        <f>IF($U3954="",0,COUNTIFS(rl_key,Inputs!$J$228,$V$3806:$V$4045,$V3954,$U$3806:$U$4045,"&lt;"&amp;$U3954))</f>
        <v>0</v>
      </c>
      <c r="AB3954" s="55">
        <f>IF($U3954="",0,COUNTIFS(Inputs!$J$80:$J$228,Inputs!$J$228,$V$3806:$V3954,$V3954,$U$3806:$U3954,$U3954))</f>
        <v>0</v>
      </c>
      <c r="AC3954" s="55">
        <f t="shared" si="1446"/>
        <v>0</v>
      </c>
      <c r="AE3954" s="54" t="str">
        <f>IF(Inputs!$C$228="","",IF(Inputs!$E$228="planned",EDATE(Inputs!$C$228,N(INDEX(sc_shift,4))),Inputs!$C$228))</f>
        <v/>
      </c>
      <c r="AF3954" s="54" t="str">
        <f t="shared" si="1447"/>
        <v/>
      </c>
      <c r="AG3954" s="52">
        <f>IF(N(INDEX(sc_ach,4))=0,IF(Inputs!$G$228="",1,Inputs!$G$228),INDEX(sc_ach,4))</f>
        <v>1</v>
      </c>
      <c r="AH3954" s="52">
        <f>IF(Inputs!$C$228="",0,IF(Inputs!$E$228="planned",(Inputs!$D$228+N(INDEX(sc_dpts,4)))*$AG3954,Inputs!$D$228))</f>
        <v>0</v>
      </c>
      <c r="AI3954" s="53">
        <f>IF(Inputs!$C$228="",0,IF(1+$AH3954&gt;0,LN(1+$AH3954),0))</f>
        <v>0</v>
      </c>
      <c r="AJ3954" s="55">
        <f t="shared" si="1448"/>
        <v>0</v>
      </c>
      <c r="AK3954" s="55">
        <f>IF($AE3954="",0,COUNTIFS(rl_key,Inputs!$J$228,$AF$3806:$AF$4045,$AF3954,$AE$3806:$AE$4045,"&lt;"&amp;$AE3954))</f>
        <v>0</v>
      </c>
      <c r="AL3954" s="55">
        <f>IF($AE3954="",0,COUNTIFS(Inputs!$J$80:$J$228,Inputs!$J$228,$AF$3806:$AF3954,$AF3954,$AE$3806:$AE3954,$AE3954))</f>
        <v>0</v>
      </c>
      <c r="AM3954" s="55">
        <f t="shared" si="1449"/>
        <v>0</v>
      </c>
    </row>
    <row r="3955" spans="1:39" x14ac:dyDescent="0.25">
      <c r="A3955" s="54" t="str">
        <f>IF(Inputs!$C$229="","",IF(Inputs!$E$229="planned",EDATE(Inputs!$C$229,N(INDEX(sc_shift,1))),Inputs!$C$229))</f>
        <v/>
      </c>
      <c r="B3955" s="54" t="str">
        <f t="shared" si="1438"/>
        <v/>
      </c>
      <c r="C3955" s="52">
        <f>IF(N(INDEX(sc_ach,1))=0,IF(Inputs!$G$229="",1,Inputs!$G$229),INDEX(sc_ach,1))</f>
        <v>1</v>
      </c>
      <c r="D3955" s="52">
        <f>IF(Inputs!$C$229="",0,IF(Inputs!$E$229="planned",(Inputs!$D$229+N(INDEX(sc_dpts,1)))*$C3955,Inputs!$D$229))</f>
        <v>0</v>
      </c>
      <c r="E3955" s="53">
        <f>IF(Inputs!$C$229="",0,IF(1+$D3955&gt;0,LN(1+$D3955),0))</f>
        <v>0</v>
      </c>
      <c r="F3955" s="55">
        <f t="shared" si="1439"/>
        <v>0</v>
      </c>
      <c r="G3955" s="55">
        <f>IF($A3955="",0,COUNTIFS(rl_key,Inputs!$J$229,$B$3806:$B$4045,$B3955,$A$3806:$A$4045,"&lt;"&amp;$A3955))</f>
        <v>0</v>
      </c>
      <c r="H3955" s="55">
        <f>IF($A3955="",0,COUNTIFS(Inputs!$J$80:$J$229,Inputs!$J$229,$B$3806:$B3955,$B3955,$A$3806:$A3955,$A3955))</f>
        <v>0</v>
      </c>
      <c r="I3955" s="55">
        <f t="shared" si="1440"/>
        <v>0</v>
      </c>
      <c r="K3955" s="54" t="str">
        <f>IF(Inputs!$C$229="","",IF(Inputs!$E$229="planned",EDATE(Inputs!$C$229,N(INDEX(sc_shift,2))),Inputs!$C$229))</f>
        <v/>
      </c>
      <c r="L3955" s="54" t="str">
        <f t="shared" si="1441"/>
        <v/>
      </c>
      <c r="M3955" s="52">
        <f>IF(N(INDEX(sc_ach,2))=0,IF(Inputs!$G$229="",1,Inputs!$G$229),INDEX(sc_ach,2))</f>
        <v>1</v>
      </c>
      <c r="N3955" s="52">
        <f>IF(Inputs!$C$229="",0,IF(Inputs!$E$229="planned",(Inputs!$D$229+N(INDEX(sc_dpts,2)))*$M3955,Inputs!$D$229))</f>
        <v>0</v>
      </c>
      <c r="O3955" s="53">
        <f>IF(Inputs!$C$229="",0,IF(1+$N3955&gt;0,LN(1+$N3955),0))</f>
        <v>0</v>
      </c>
      <c r="P3955" s="55">
        <f t="shared" si="1442"/>
        <v>0</v>
      </c>
      <c r="Q3955" s="55">
        <f>IF($K3955="",0,COUNTIFS(rl_key,Inputs!$J$229,$L$3806:$L$4045,$L3955,$K$3806:$K$4045,"&lt;"&amp;$K3955))</f>
        <v>0</v>
      </c>
      <c r="R3955" s="55">
        <f>IF($K3955="",0,COUNTIFS(Inputs!$J$80:$J$229,Inputs!$J$229,$L$3806:$L3955,$L3955,$K$3806:$K3955,$K3955))</f>
        <v>0</v>
      </c>
      <c r="S3955" s="55">
        <f t="shared" si="1443"/>
        <v>0</v>
      </c>
      <c r="U3955" s="54" t="str">
        <f>IF(Inputs!$C$229="","",IF(Inputs!$E$229="planned",EDATE(Inputs!$C$229,N(INDEX(sc_shift,3))),Inputs!$C$229))</f>
        <v/>
      </c>
      <c r="V3955" s="54" t="str">
        <f t="shared" si="1444"/>
        <v/>
      </c>
      <c r="W3955" s="52">
        <f>IF(N(INDEX(sc_ach,3))=0,IF(Inputs!$G$229="",1,Inputs!$G$229),INDEX(sc_ach,3))</f>
        <v>1</v>
      </c>
      <c r="X3955" s="52">
        <f>IF(Inputs!$C$229="",0,IF(Inputs!$E$229="planned",(Inputs!$D$229+N(INDEX(sc_dpts,3)))*$W3955,Inputs!$D$229))</f>
        <v>0</v>
      </c>
      <c r="Y3955" s="53">
        <f>IF(Inputs!$C$229="",0,IF(1+$X3955&gt;0,LN(1+$X3955),0))</f>
        <v>0</v>
      </c>
      <c r="Z3955" s="55">
        <f t="shared" si="1445"/>
        <v>0</v>
      </c>
      <c r="AA3955" s="55">
        <f>IF($U3955="",0,COUNTIFS(rl_key,Inputs!$J$229,$V$3806:$V$4045,$V3955,$U$3806:$U$4045,"&lt;"&amp;$U3955))</f>
        <v>0</v>
      </c>
      <c r="AB3955" s="55">
        <f>IF($U3955="",0,COUNTIFS(Inputs!$J$80:$J$229,Inputs!$J$229,$V$3806:$V3955,$V3955,$U$3806:$U3955,$U3955))</f>
        <v>0</v>
      </c>
      <c r="AC3955" s="55">
        <f t="shared" si="1446"/>
        <v>0</v>
      </c>
      <c r="AE3955" s="54" t="str">
        <f>IF(Inputs!$C$229="","",IF(Inputs!$E$229="planned",EDATE(Inputs!$C$229,N(INDEX(sc_shift,4))),Inputs!$C$229))</f>
        <v/>
      </c>
      <c r="AF3955" s="54" t="str">
        <f t="shared" si="1447"/>
        <v/>
      </c>
      <c r="AG3955" s="52">
        <f>IF(N(INDEX(sc_ach,4))=0,IF(Inputs!$G$229="",1,Inputs!$G$229),INDEX(sc_ach,4))</f>
        <v>1</v>
      </c>
      <c r="AH3955" s="52">
        <f>IF(Inputs!$C$229="",0,IF(Inputs!$E$229="planned",(Inputs!$D$229+N(INDEX(sc_dpts,4)))*$AG3955,Inputs!$D$229))</f>
        <v>0</v>
      </c>
      <c r="AI3955" s="53">
        <f>IF(Inputs!$C$229="",0,IF(1+$AH3955&gt;0,LN(1+$AH3955),0))</f>
        <v>0</v>
      </c>
      <c r="AJ3955" s="55">
        <f t="shared" si="1448"/>
        <v>0</v>
      </c>
      <c r="AK3955" s="55">
        <f>IF($AE3955="",0,COUNTIFS(rl_key,Inputs!$J$229,$AF$3806:$AF$4045,$AF3955,$AE$3806:$AE$4045,"&lt;"&amp;$AE3955))</f>
        <v>0</v>
      </c>
      <c r="AL3955" s="55">
        <f>IF($AE3955="",0,COUNTIFS(Inputs!$J$80:$J$229,Inputs!$J$229,$AF$3806:$AF3955,$AF3955,$AE$3806:$AE3955,$AE3955))</f>
        <v>0</v>
      </c>
      <c r="AM3955" s="55">
        <f t="shared" si="1449"/>
        <v>0</v>
      </c>
    </row>
    <row r="3956" spans="1:39" x14ac:dyDescent="0.25">
      <c r="A3956" s="54" t="str">
        <f>IF(Inputs!$C$230="","",IF(Inputs!$E$230="planned",EDATE(Inputs!$C$230,N(INDEX(sc_shift,1))),Inputs!$C$230))</f>
        <v/>
      </c>
      <c r="B3956" s="54" t="str">
        <f t="shared" si="1438"/>
        <v/>
      </c>
      <c r="C3956" s="52">
        <f>IF(N(INDEX(sc_ach,1))=0,IF(Inputs!$G$230="",1,Inputs!$G$230),INDEX(sc_ach,1))</f>
        <v>1</v>
      </c>
      <c r="D3956" s="52">
        <f>IF(Inputs!$C$230="",0,IF(Inputs!$E$230="planned",(Inputs!$D$230+N(INDEX(sc_dpts,1)))*$C3956,Inputs!$D$230))</f>
        <v>0</v>
      </c>
      <c r="E3956" s="53">
        <f>IF(Inputs!$C$230="",0,IF(1+$D3956&gt;0,LN(1+$D3956),0))</f>
        <v>0</v>
      </c>
      <c r="F3956" s="55">
        <f t="shared" si="1439"/>
        <v>0</v>
      </c>
      <c r="G3956" s="55">
        <f>IF($A3956="",0,COUNTIFS(rl_key,Inputs!$J$230,$B$3806:$B$4045,$B3956,$A$3806:$A$4045,"&lt;"&amp;$A3956))</f>
        <v>0</v>
      </c>
      <c r="H3956" s="55">
        <f>IF($A3956="",0,COUNTIFS(Inputs!$J$80:$J$230,Inputs!$J$230,$B$3806:$B3956,$B3956,$A$3806:$A3956,$A3956))</f>
        <v>0</v>
      </c>
      <c r="I3956" s="55">
        <f t="shared" si="1440"/>
        <v>0</v>
      </c>
      <c r="K3956" s="54" t="str">
        <f>IF(Inputs!$C$230="","",IF(Inputs!$E$230="planned",EDATE(Inputs!$C$230,N(INDEX(sc_shift,2))),Inputs!$C$230))</f>
        <v/>
      </c>
      <c r="L3956" s="54" t="str">
        <f t="shared" si="1441"/>
        <v/>
      </c>
      <c r="M3956" s="52">
        <f>IF(N(INDEX(sc_ach,2))=0,IF(Inputs!$G$230="",1,Inputs!$G$230),INDEX(sc_ach,2))</f>
        <v>1</v>
      </c>
      <c r="N3956" s="52">
        <f>IF(Inputs!$C$230="",0,IF(Inputs!$E$230="planned",(Inputs!$D$230+N(INDEX(sc_dpts,2)))*$M3956,Inputs!$D$230))</f>
        <v>0</v>
      </c>
      <c r="O3956" s="53">
        <f>IF(Inputs!$C$230="",0,IF(1+$N3956&gt;0,LN(1+$N3956),0))</f>
        <v>0</v>
      </c>
      <c r="P3956" s="55">
        <f t="shared" si="1442"/>
        <v>0</v>
      </c>
      <c r="Q3956" s="55">
        <f>IF($K3956="",0,COUNTIFS(rl_key,Inputs!$J$230,$L$3806:$L$4045,$L3956,$K$3806:$K$4045,"&lt;"&amp;$K3956))</f>
        <v>0</v>
      </c>
      <c r="R3956" s="55">
        <f>IF($K3956="",0,COUNTIFS(Inputs!$J$80:$J$230,Inputs!$J$230,$L$3806:$L3956,$L3956,$K$3806:$K3956,$K3956))</f>
        <v>0</v>
      </c>
      <c r="S3956" s="55">
        <f t="shared" si="1443"/>
        <v>0</v>
      </c>
      <c r="U3956" s="54" t="str">
        <f>IF(Inputs!$C$230="","",IF(Inputs!$E$230="planned",EDATE(Inputs!$C$230,N(INDEX(sc_shift,3))),Inputs!$C$230))</f>
        <v/>
      </c>
      <c r="V3956" s="54" t="str">
        <f t="shared" si="1444"/>
        <v/>
      </c>
      <c r="W3956" s="52">
        <f>IF(N(INDEX(sc_ach,3))=0,IF(Inputs!$G$230="",1,Inputs!$G$230),INDEX(sc_ach,3))</f>
        <v>1</v>
      </c>
      <c r="X3956" s="52">
        <f>IF(Inputs!$C$230="",0,IF(Inputs!$E$230="planned",(Inputs!$D$230+N(INDEX(sc_dpts,3)))*$W3956,Inputs!$D$230))</f>
        <v>0</v>
      </c>
      <c r="Y3956" s="53">
        <f>IF(Inputs!$C$230="",0,IF(1+$X3956&gt;0,LN(1+$X3956),0))</f>
        <v>0</v>
      </c>
      <c r="Z3956" s="55">
        <f t="shared" si="1445"/>
        <v>0</v>
      </c>
      <c r="AA3956" s="55">
        <f>IF($U3956="",0,COUNTIFS(rl_key,Inputs!$J$230,$V$3806:$V$4045,$V3956,$U$3806:$U$4045,"&lt;"&amp;$U3956))</f>
        <v>0</v>
      </c>
      <c r="AB3956" s="55">
        <f>IF($U3956="",0,COUNTIFS(Inputs!$J$80:$J$230,Inputs!$J$230,$V$3806:$V3956,$V3956,$U$3806:$U3956,$U3956))</f>
        <v>0</v>
      </c>
      <c r="AC3956" s="55">
        <f t="shared" si="1446"/>
        <v>0</v>
      </c>
      <c r="AE3956" s="54" t="str">
        <f>IF(Inputs!$C$230="","",IF(Inputs!$E$230="planned",EDATE(Inputs!$C$230,N(INDEX(sc_shift,4))),Inputs!$C$230))</f>
        <v/>
      </c>
      <c r="AF3956" s="54" t="str">
        <f t="shared" si="1447"/>
        <v/>
      </c>
      <c r="AG3956" s="52">
        <f>IF(N(INDEX(sc_ach,4))=0,IF(Inputs!$G$230="",1,Inputs!$G$230),INDEX(sc_ach,4))</f>
        <v>1</v>
      </c>
      <c r="AH3956" s="52">
        <f>IF(Inputs!$C$230="",0,IF(Inputs!$E$230="planned",(Inputs!$D$230+N(INDEX(sc_dpts,4)))*$AG3956,Inputs!$D$230))</f>
        <v>0</v>
      </c>
      <c r="AI3956" s="53">
        <f>IF(Inputs!$C$230="",0,IF(1+$AH3956&gt;0,LN(1+$AH3956),0))</f>
        <v>0</v>
      </c>
      <c r="AJ3956" s="55">
        <f t="shared" si="1448"/>
        <v>0</v>
      </c>
      <c r="AK3956" s="55">
        <f>IF($AE3956="",0,COUNTIFS(rl_key,Inputs!$J$230,$AF$3806:$AF$4045,$AF3956,$AE$3806:$AE$4045,"&lt;"&amp;$AE3956))</f>
        <v>0</v>
      </c>
      <c r="AL3956" s="55">
        <f>IF($AE3956="",0,COUNTIFS(Inputs!$J$80:$J$230,Inputs!$J$230,$AF$3806:$AF3956,$AF3956,$AE$3806:$AE3956,$AE3956))</f>
        <v>0</v>
      </c>
      <c r="AM3956" s="55">
        <f t="shared" si="1449"/>
        <v>0</v>
      </c>
    </row>
    <row r="3957" spans="1:39" x14ac:dyDescent="0.25">
      <c r="A3957" s="54" t="str">
        <f>IF(Inputs!$C$231="","",IF(Inputs!$E$231="planned",EDATE(Inputs!$C$231,N(INDEX(sc_shift,1))),Inputs!$C$231))</f>
        <v/>
      </c>
      <c r="B3957" s="54" t="str">
        <f t="shared" si="1438"/>
        <v/>
      </c>
      <c r="C3957" s="52">
        <f>IF(N(INDEX(sc_ach,1))=0,IF(Inputs!$G$231="",1,Inputs!$G$231),INDEX(sc_ach,1))</f>
        <v>1</v>
      </c>
      <c r="D3957" s="52">
        <f>IF(Inputs!$C$231="",0,IF(Inputs!$E$231="planned",(Inputs!$D$231+N(INDEX(sc_dpts,1)))*$C3957,Inputs!$D$231))</f>
        <v>0</v>
      </c>
      <c r="E3957" s="53">
        <f>IF(Inputs!$C$231="",0,IF(1+$D3957&gt;0,LN(1+$D3957),0))</f>
        <v>0</v>
      </c>
      <c r="F3957" s="55">
        <f t="shared" si="1439"/>
        <v>0</v>
      </c>
      <c r="G3957" s="55">
        <f>IF($A3957="",0,COUNTIFS(rl_key,Inputs!$J$231,$B$3806:$B$4045,$B3957,$A$3806:$A$4045,"&lt;"&amp;$A3957))</f>
        <v>0</v>
      </c>
      <c r="H3957" s="55">
        <f>IF($A3957="",0,COUNTIFS(Inputs!$J$80:$J$231,Inputs!$J$231,$B$3806:$B3957,$B3957,$A$3806:$A3957,$A3957))</f>
        <v>0</v>
      </c>
      <c r="I3957" s="55">
        <f t="shared" si="1440"/>
        <v>0</v>
      </c>
      <c r="K3957" s="54" t="str">
        <f>IF(Inputs!$C$231="","",IF(Inputs!$E$231="planned",EDATE(Inputs!$C$231,N(INDEX(sc_shift,2))),Inputs!$C$231))</f>
        <v/>
      </c>
      <c r="L3957" s="54" t="str">
        <f t="shared" si="1441"/>
        <v/>
      </c>
      <c r="M3957" s="52">
        <f>IF(N(INDEX(sc_ach,2))=0,IF(Inputs!$G$231="",1,Inputs!$G$231),INDEX(sc_ach,2))</f>
        <v>1</v>
      </c>
      <c r="N3957" s="52">
        <f>IF(Inputs!$C$231="",0,IF(Inputs!$E$231="planned",(Inputs!$D$231+N(INDEX(sc_dpts,2)))*$M3957,Inputs!$D$231))</f>
        <v>0</v>
      </c>
      <c r="O3957" s="53">
        <f>IF(Inputs!$C$231="",0,IF(1+$N3957&gt;0,LN(1+$N3957),0))</f>
        <v>0</v>
      </c>
      <c r="P3957" s="55">
        <f t="shared" si="1442"/>
        <v>0</v>
      </c>
      <c r="Q3957" s="55">
        <f>IF($K3957="",0,COUNTIFS(rl_key,Inputs!$J$231,$L$3806:$L$4045,$L3957,$K$3806:$K$4045,"&lt;"&amp;$K3957))</f>
        <v>0</v>
      </c>
      <c r="R3957" s="55">
        <f>IF($K3957="",0,COUNTIFS(Inputs!$J$80:$J$231,Inputs!$J$231,$L$3806:$L3957,$L3957,$K$3806:$K3957,$K3957))</f>
        <v>0</v>
      </c>
      <c r="S3957" s="55">
        <f t="shared" si="1443"/>
        <v>0</v>
      </c>
      <c r="U3957" s="54" t="str">
        <f>IF(Inputs!$C$231="","",IF(Inputs!$E$231="planned",EDATE(Inputs!$C$231,N(INDEX(sc_shift,3))),Inputs!$C$231))</f>
        <v/>
      </c>
      <c r="V3957" s="54" t="str">
        <f t="shared" si="1444"/>
        <v/>
      </c>
      <c r="W3957" s="52">
        <f>IF(N(INDEX(sc_ach,3))=0,IF(Inputs!$G$231="",1,Inputs!$G$231),INDEX(sc_ach,3))</f>
        <v>1</v>
      </c>
      <c r="X3957" s="52">
        <f>IF(Inputs!$C$231="",0,IF(Inputs!$E$231="planned",(Inputs!$D$231+N(INDEX(sc_dpts,3)))*$W3957,Inputs!$D$231))</f>
        <v>0</v>
      </c>
      <c r="Y3957" s="53">
        <f>IF(Inputs!$C$231="",0,IF(1+$X3957&gt;0,LN(1+$X3957),0))</f>
        <v>0</v>
      </c>
      <c r="Z3957" s="55">
        <f t="shared" si="1445"/>
        <v>0</v>
      </c>
      <c r="AA3957" s="55">
        <f>IF($U3957="",0,COUNTIFS(rl_key,Inputs!$J$231,$V$3806:$V$4045,$V3957,$U$3806:$U$4045,"&lt;"&amp;$U3957))</f>
        <v>0</v>
      </c>
      <c r="AB3957" s="55">
        <f>IF($U3957="",0,COUNTIFS(Inputs!$J$80:$J$231,Inputs!$J$231,$V$3806:$V3957,$V3957,$U$3806:$U3957,$U3957))</f>
        <v>0</v>
      </c>
      <c r="AC3957" s="55">
        <f t="shared" si="1446"/>
        <v>0</v>
      </c>
      <c r="AE3957" s="54" t="str">
        <f>IF(Inputs!$C$231="","",IF(Inputs!$E$231="planned",EDATE(Inputs!$C$231,N(INDEX(sc_shift,4))),Inputs!$C$231))</f>
        <v/>
      </c>
      <c r="AF3957" s="54" t="str">
        <f t="shared" si="1447"/>
        <v/>
      </c>
      <c r="AG3957" s="52">
        <f>IF(N(INDEX(sc_ach,4))=0,IF(Inputs!$G$231="",1,Inputs!$G$231),INDEX(sc_ach,4))</f>
        <v>1</v>
      </c>
      <c r="AH3957" s="52">
        <f>IF(Inputs!$C$231="",0,IF(Inputs!$E$231="planned",(Inputs!$D$231+N(INDEX(sc_dpts,4)))*$AG3957,Inputs!$D$231))</f>
        <v>0</v>
      </c>
      <c r="AI3957" s="53">
        <f>IF(Inputs!$C$231="",0,IF(1+$AH3957&gt;0,LN(1+$AH3957),0))</f>
        <v>0</v>
      </c>
      <c r="AJ3957" s="55">
        <f t="shared" si="1448"/>
        <v>0</v>
      </c>
      <c r="AK3957" s="55">
        <f>IF($AE3957="",0,COUNTIFS(rl_key,Inputs!$J$231,$AF$3806:$AF$4045,$AF3957,$AE$3806:$AE$4045,"&lt;"&amp;$AE3957))</f>
        <v>0</v>
      </c>
      <c r="AL3957" s="55">
        <f>IF($AE3957="",0,COUNTIFS(Inputs!$J$80:$J$231,Inputs!$J$231,$AF$3806:$AF3957,$AF3957,$AE$3806:$AE3957,$AE3957))</f>
        <v>0</v>
      </c>
      <c r="AM3957" s="55">
        <f t="shared" si="1449"/>
        <v>0</v>
      </c>
    </row>
    <row r="3958" spans="1:39" x14ac:dyDescent="0.25">
      <c r="A3958" s="54" t="str">
        <f>IF(Inputs!$C$232="","",IF(Inputs!$E$232="planned",EDATE(Inputs!$C$232,N(INDEX(sc_shift,1))),Inputs!$C$232))</f>
        <v/>
      </c>
      <c r="B3958" s="54" t="str">
        <f t="shared" si="1438"/>
        <v/>
      </c>
      <c r="C3958" s="52">
        <f>IF(N(INDEX(sc_ach,1))=0,IF(Inputs!$G$232="",1,Inputs!$G$232),INDEX(sc_ach,1))</f>
        <v>1</v>
      </c>
      <c r="D3958" s="52">
        <f>IF(Inputs!$C$232="",0,IF(Inputs!$E$232="planned",(Inputs!$D$232+N(INDEX(sc_dpts,1)))*$C3958,Inputs!$D$232))</f>
        <v>0</v>
      </c>
      <c r="E3958" s="53">
        <f>IF(Inputs!$C$232="",0,IF(1+$D3958&gt;0,LN(1+$D3958),0))</f>
        <v>0</v>
      </c>
      <c r="F3958" s="55">
        <f t="shared" si="1439"/>
        <v>0</v>
      </c>
      <c r="G3958" s="55">
        <f>IF($A3958="",0,COUNTIFS(rl_key,Inputs!$J$232,$B$3806:$B$4045,$B3958,$A$3806:$A$4045,"&lt;"&amp;$A3958))</f>
        <v>0</v>
      </c>
      <c r="H3958" s="55">
        <f>IF($A3958="",0,COUNTIFS(Inputs!$J$80:$J$232,Inputs!$J$232,$B$3806:$B3958,$B3958,$A$3806:$A3958,$A3958))</f>
        <v>0</v>
      </c>
      <c r="I3958" s="55">
        <f t="shared" si="1440"/>
        <v>0</v>
      </c>
      <c r="K3958" s="54" t="str">
        <f>IF(Inputs!$C$232="","",IF(Inputs!$E$232="planned",EDATE(Inputs!$C$232,N(INDEX(sc_shift,2))),Inputs!$C$232))</f>
        <v/>
      </c>
      <c r="L3958" s="54" t="str">
        <f t="shared" si="1441"/>
        <v/>
      </c>
      <c r="M3958" s="52">
        <f>IF(N(INDEX(sc_ach,2))=0,IF(Inputs!$G$232="",1,Inputs!$G$232),INDEX(sc_ach,2))</f>
        <v>1</v>
      </c>
      <c r="N3958" s="52">
        <f>IF(Inputs!$C$232="",0,IF(Inputs!$E$232="planned",(Inputs!$D$232+N(INDEX(sc_dpts,2)))*$M3958,Inputs!$D$232))</f>
        <v>0</v>
      </c>
      <c r="O3958" s="53">
        <f>IF(Inputs!$C$232="",0,IF(1+$N3958&gt;0,LN(1+$N3958),0))</f>
        <v>0</v>
      </c>
      <c r="P3958" s="55">
        <f t="shared" si="1442"/>
        <v>0</v>
      </c>
      <c r="Q3958" s="55">
        <f>IF($K3958="",0,COUNTIFS(rl_key,Inputs!$J$232,$L$3806:$L$4045,$L3958,$K$3806:$K$4045,"&lt;"&amp;$K3958))</f>
        <v>0</v>
      </c>
      <c r="R3958" s="55">
        <f>IF($K3958="",0,COUNTIFS(Inputs!$J$80:$J$232,Inputs!$J$232,$L$3806:$L3958,$L3958,$K$3806:$K3958,$K3958))</f>
        <v>0</v>
      </c>
      <c r="S3958" s="55">
        <f t="shared" si="1443"/>
        <v>0</v>
      </c>
      <c r="U3958" s="54" t="str">
        <f>IF(Inputs!$C$232="","",IF(Inputs!$E$232="planned",EDATE(Inputs!$C$232,N(INDEX(sc_shift,3))),Inputs!$C$232))</f>
        <v/>
      </c>
      <c r="V3958" s="54" t="str">
        <f t="shared" si="1444"/>
        <v/>
      </c>
      <c r="W3958" s="52">
        <f>IF(N(INDEX(sc_ach,3))=0,IF(Inputs!$G$232="",1,Inputs!$G$232),INDEX(sc_ach,3))</f>
        <v>1</v>
      </c>
      <c r="X3958" s="52">
        <f>IF(Inputs!$C$232="",0,IF(Inputs!$E$232="planned",(Inputs!$D$232+N(INDEX(sc_dpts,3)))*$W3958,Inputs!$D$232))</f>
        <v>0</v>
      </c>
      <c r="Y3958" s="53">
        <f>IF(Inputs!$C$232="",0,IF(1+$X3958&gt;0,LN(1+$X3958),0))</f>
        <v>0</v>
      </c>
      <c r="Z3958" s="55">
        <f t="shared" si="1445"/>
        <v>0</v>
      </c>
      <c r="AA3958" s="55">
        <f>IF($U3958="",0,COUNTIFS(rl_key,Inputs!$J$232,$V$3806:$V$4045,$V3958,$U$3806:$U$4045,"&lt;"&amp;$U3958))</f>
        <v>0</v>
      </c>
      <c r="AB3958" s="55">
        <f>IF($U3958="",0,COUNTIFS(Inputs!$J$80:$J$232,Inputs!$J$232,$V$3806:$V3958,$V3958,$U$3806:$U3958,$U3958))</f>
        <v>0</v>
      </c>
      <c r="AC3958" s="55">
        <f t="shared" si="1446"/>
        <v>0</v>
      </c>
      <c r="AE3958" s="54" t="str">
        <f>IF(Inputs!$C$232="","",IF(Inputs!$E$232="planned",EDATE(Inputs!$C$232,N(INDEX(sc_shift,4))),Inputs!$C$232))</f>
        <v/>
      </c>
      <c r="AF3958" s="54" t="str">
        <f t="shared" si="1447"/>
        <v/>
      </c>
      <c r="AG3958" s="52">
        <f>IF(N(INDEX(sc_ach,4))=0,IF(Inputs!$G$232="",1,Inputs!$G$232),INDEX(sc_ach,4))</f>
        <v>1</v>
      </c>
      <c r="AH3958" s="52">
        <f>IF(Inputs!$C$232="",0,IF(Inputs!$E$232="planned",(Inputs!$D$232+N(INDEX(sc_dpts,4)))*$AG3958,Inputs!$D$232))</f>
        <v>0</v>
      </c>
      <c r="AI3958" s="53">
        <f>IF(Inputs!$C$232="",0,IF(1+$AH3958&gt;0,LN(1+$AH3958),0))</f>
        <v>0</v>
      </c>
      <c r="AJ3958" s="55">
        <f t="shared" si="1448"/>
        <v>0</v>
      </c>
      <c r="AK3958" s="55">
        <f>IF($AE3958="",0,COUNTIFS(rl_key,Inputs!$J$232,$AF$3806:$AF$4045,$AF3958,$AE$3806:$AE$4045,"&lt;"&amp;$AE3958))</f>
        <v>0</v>
      </c>
      <c r="AL3958" s="55">
        <f>IF($AE3958="",0,COUNTIFS(Inputs!$J$80:$J$232,Inputs!$J$232,$AF$3806:$AF3958,$AF3958,$AE$3806:$AE3958,$AE3958))</f>
        <v>0</v>
      </c>
      <c r="AM3958" s="55">
        <f t="shared" si="1449"/>
        <v>0</v>
      </c>
    </row>
    <row r="3959" spans="1:39" x14ac:dyDescent="0.25">
      <c r="A3959" s="54" t="str">
        <f>IF(Inputs!$C$233="","",IF(Inputs!$E$233="planned",EDATE(Inputs!$C$233,N(INDEX(sc_shift,1))),Inputs!$C$233))</f>
        <v/>
      </c>
      <c r="B3959" s="54" t="str">
        <f t="shared" si="1438"/>
        <v/>
      </c>
      <c r="C3959" s="52">
        <f>IF(N(INDEX(sc_ach,1))=0,IF(Inputs!$G$233="",1,Inputs!$G$233),INDEX(sc_ach,1))</f>
        <v>1</v>
      </c>
      <c r="D3959" s="52">
        <f>IF(Inputs!$C$233="",0,IF(Inputs!$E$233="planned",(Inputs!$D$233+N(INDEX(sc_dpts,1)))*$C3959,Inputs!$D$233))</f>
        <v>0</v>
      </c>
      <c r="E3959" s="53">
        <f>IF(Inputs!$C$233="",0,IF(1+$D3959&gt;0,LN(1+$D3959),0))</f>
        <v>0</v>
      </c>
      <c r="F3959" s="55">
        <f t="shared" si="1439"/>
        <v>0</v>
      </c>
      <c r="G3959" s="55">
        <f>IF($A3959="",0,COUNTIFS(rl_key,Inputs!$J$233,$B$3806:$B$4045,$B3959,$A$3806:$A$4045,"&lt;"&amp;$A3959))</f>
        <v>0</v>
      </c>
      <c r="H3959" s="55">
        <f>IF($A3959="",0,COUNTIFS(Inputs!$J$80:$J$233,Inputs!$J$233,$B$3806:$B3959,$B3959,$A$3806:$A3959,$A3959))</f>
        <v>0</v>
      </c>
      <c r="I3959" s="55">
        <f t="shared" si="1440"/>
        <v>0</v>
      </c>
      <c r="K3959" s="54" t="str">
        <f>IF(Inputs!$C$233="","",IF(Inputs!$E$233="planned",EDATE(Inputs!$C$233,N(INDEX(sc_shift,2))),Inputs!$C$233))</f>
        <v/>
      </c>
      <c r="L3959" s="54" t="str">
        <f t="shared" si="1441"/>
        <v/>
      </c>
      <c r="M3959" s="52">
        <f>IF(N(INDEX(sc_ach,2))=0,IF(Inputs!$G$233="",1,Inputs!$G$233),INDEX(sc_ach,2))</f>
        <v>1</v>
      </c>
      <c r="N3959" s="52">
        <f>IF(Inputs!$C$233="",0,IF(Inputs!$E$233="planned",(Inputs!$D$233+N(INDEX(sc_dpts,2)))*$M3959,Inputs!$D$233))</f>
        <v>0</v>
      </c>
      <c r="O3959" s="53">
        <f>IF(Inputs!$C$233="",0,IF(1+$N3959&gt;0,LN(1+$N3959),0))</f>
        <v>0</v>
      </c>
      <c r="P3959" s="55">
        <f t="shared" si="1442"/>
        <v>0</v>
      </c>
      <c r="Q3959" s="55">
        <f>IF($K3959="",0,COUNTIFS(rl_key,Inputs!$J$233,$L$3806:$L$4045,$L3959,$K$3806:$K$4045,"&lt;"&amp;$K3959))</f>
        <v>0</v>
      </c>
      <c r="R3959" s="55">
        <f>IF($K3959="",0,COUNTIFS(Inputs!$J$80:$J$233,Inputs!$J$233,$L$3806:$L3959,$L3959,$K$3806:$K3959,$K3959))</f>
        <v>0</v>
      </c>
      <c r="S3959" s="55">
        <f t="shared" si="1443"/>
        <v>0</v>
      </c>
      <c r="U3959" s="54" t="str">
        <f>IF(Inputs!$C$233="","",IF(Inputs!$E$233="planned",EDATE(Inputs!$C$233,N(INDEX(sc_shift,3))),Inputs!$C$233))</f>
        <v/>
      </c>
      <c r="V3959" s="54" t="str">
        <f t="shared" si="1444"/>
        <v/>
      </c>
      <c r="W3959" s="52">
        <f>IF(N(INDEX(sc_ach,3))=0,IF(Inputs!$G$233="",1,Inputs!$G$233),INDEX(sc_ach,3))</f>
        <v>1</v>
      </c>
      <c r="X3959" s="52">
        <f>IF(Inputs!$C$233="",0,IF(Inputs!$E$233="planned",(Inputs!$D$233+N(INDEX(sc_dpts,3)))*$W3959,Inputs!$D$233))</f>
        <v>0</v>
      </c>
      <c r="Y3959" s="53">
        <f>IF(Inputs!$C$233="",0,IF(1+$X3959&gt;0,LN(1+$X3959),0))</f>
        <v>0</v>
      </c>
      <c r="Z3959" s="55">
        <f t="shared" si="1445"/>
        <v>0</v>
      </c>
      <c r="AA3959" s="55">
        <f>IF($U3959="",0,COUNTIFS(rl_key,Inputs!$J$233,$V$3806:$V$4045,$V3959,$U$3806:$U$4045,"&lt;"&amp;$U3959))</f>
        <v>0</v>
      </c>
      <c r="AB3959" s="55">
        <f>IF($U3959="",0,COUNTIFS(Inputs!$J$80:$J$233,Inputs!$J$233,$V$3806:$V3959,$V3959,$U$3806:$U3959,$U3959))</f>
        <v>0</v>
      </c>
      <c r="AC3959" s="55">
        <f t="shared" si="1446"/>
        <v>0</v>
      </c>
      <c r="AE3959" s="54" t="str">
        <f>IF(Inputs!$C$233="","",IF(Inputs!$E$233="planned",EDATE(Inputs!$C$233,N(INDEX(sc_shift,4))),Inputs!$C$233))</f>
        <v/>
      </c>
      <c r="AF3959" s="54" t="str">
        <f t="shared" si="1447"/>
        <v/>
      </c>
      <c r="AG3959" s="52">
        <f>IF(N(INDEX(sc_ach,4))=0,IF(Inputs!$G$233="",1,Inputs!$G$233),INDEX(sc_ach,4))</f>
        <v>1</v>
      </c>
      <c r="AH3959" s="52">
        <f>IF(Inputs!$C$233="",0,IF(Inputs!$E$233="planned",(Inputs!$D$233+N(INDEX(sc_dpts,4)))*$AG3959,Inputs!$D$233))</f>
        <v>0</v>
      </c>
      <c r="AI3959" s="53">
        <f>IF(Inputs!$C$233="",0,IF(1+$AH3959&gt;0,LN(1+$AH3959),0))</f>
        <v>0</v>
      </c>
      <c r="AJ3959" s="55">
        <f t="shared" si="1448"/>
        <v>0</v>
      </c>
      <c r="AK3959" s="55">
        <f>IF($AE3959="",0,COUNTIFS(rl_key,Inputs!$J$233,$AF$3806:$AF$4045,$AF3959,$AE$3806:$AE$4045,"&lt;"&amp;$AE3959))</f>
        <v>0</v>
      </c>
      <c r="AL3959" s="55">
        <f>IF($AE3959="",0,COUNTIFS(Inputs!$J$80:$J$233,Inputs!$J$233,$AF$3806:$AF3959,$AF3959,$AE$3806:$AE3959,$AE3959))</f>
        <v>0</v>
      </c>
      <c r="AM3959" s="55">
        <f t="shared" si="1449"/>
        <v>0</v>
      </c>
    </row>
    <row r="3960" spans="1:39" x14ac:dyDescent="0.25">
      <c r="A3960" s="54" t="str">
        <f>IF(Inputs!$C$234="","",IF(Inputs!$E$234="planned",EDATE(Inputs!$C$234,N(INDEX(sc_shift,1))),Inputs!$C$234))</f>
        <v/>
      </c>
      <c r="B3960" s="54" t="str">
        <f t="shared" si="1438"/>
        <v/>
      </c>
      <c r="C3960" s="52">
        <f>IF(N(INDEX(sc_ach,1))=0,IF(Inputs!$G$234="",1,Inputs!$G$234),INDEX(sc_ach,1))</f>
        <v>1</v>
      </c>
      <c r="D3960" s="52">
        <f>IF(Inputs!$C$234="",0,IF(Inputs!$E$234="planned",(Inputs!$D$234+N(INDEX(sc_dpts,1)))*$C3960,Inputs!$D$234))</f>
        <v>0</v>
      </c>
      <c r="E3960" s="53">
        <f>IF(Inputs!$C$234="",0,IF(1+$D3960&gt;0,LN(1+$D3960),0))</f>
        <v>0</v>
      </c>
      <c r="F3960" s="55">
        <f t="shared" si="1439"/>
        <v>0</v>
      </c>
      <c r="G3960" s="55">
        <f>IF($A3960="",0,COUNTIFS(rl_key,Inputs!$J$234,$B$3806:$B$4045,$B3960,$A$3806:$A$4045,"&lt;"&amp;$A3960))</f>
        <v>0</v>
      </c>
      <c r="H3960" s="55">
        <f>IF($A3960="",0,COUNTIFS(Inputs!$J$80:$J$234,Inputs!$J$234,$B$3806:$B3960,$B3960,$A$3806:$A3960,$A3960))</f>
        <v>0</v>
      </c>
      <c r="I3960" s="55">
        <f t="shared" si="1440"/>
        <v>0</v>
      </c>
      <c r="K3960" s="54" t="str">
        <f>IF(Inputs!$C$234="","",IF(Inputs!$E$234="planned",EDATE(Inputs!$C$234,N(INDEX(sc_shift,2))),Inputs!$C$234))</f>
        <v/>
      </c>
      <c r="L3960" s="54" t="str">
        <f t="shared" si="1441"/>
        <v/>
      </c>
      <c r="M3960" s="52">
        <f>IF(N(INDEX(sc_ach,2))=0,IF(Inputs!$G$234="",1,Inputs!$G$234),INDEX(sc_ach,2))</f>
        <v>1</v>
      </c>
      <c r="N3960" s="52">
        <f>IF(Inputs!$C$234="",0,IF(Inputs!$E$234="planned",(Inputs!$D$234+N(INDEX(sc_dpts,2)))*$M3960,Inputs!$D$234))</f>
        <v>0</v>
      </c>
      <c r="O3960" s="53">
        <f>IF(Inputs!$C$234="",0,IF(1+$N3960&gt;0,LN(1+$N3960),0))</f>
        <v>0</v>
      </c>
      <c r="P3960" s="55">
        <f t="shared" si="1442"/>
        <v>0</v>
      </c>
      <c r="Q3960" s="55">
        <f>IF($K3960="",0,COUNTIFS(rl_key,Inputs!$J$234,$L$3806:$L$4045,$L3960,$K$3806:$K$4045,"&lt;"&amp;$K3960))</f>
        <v>0</v>
      </c>
      <c r="R3960" s="55">
        <f>IF($K3960="",0,COUNTIFS(Inputs!$J$80:$J$234,Inputs!$J$234,$L$3806:$L3960,$L3960,$K$3806:$K3960,$K3960))</f>
        <v>0</v>
      </c>
      <c r="S3960" s="55">
        <f t="shared" si="1443"/>
        <v>0</v>
      </c>
      <c r="U3960" s="54" t="str">
        <f>IF(Inputs!$C$234="","",IF(Inputs!$E$234="planned",EDATE(Inputs!$C$234,N(INDEX(sc_shift,3))),Inputs!$C$234))</f>
        <v/>
      </c>
      <c r="V3960" s="54" t="str">
        <f t="shared" si="1444"/>
        <v/>
      </c>
      <c r="W3960" s="52">
        <f>IF(N(INDEX(sc_ach,3))=0,IF(Inputs!$G$234="",1,Inputs!$G$234),INDEX(sc_ach,3))</f>
        <v>1</v>
      </c>
      <c r="X3960" s="52">
        <f>IF(Inputs!$C$234="",0,IF(Inputs!$E$234="planned",(Inputs!$D$234+N(INDEX(sc_dpts,3)))*$W3960,Inputs!$D$234))</f>
        <v>0</v>
      </c>
      <c r="Y3960" s="53">
        <f>IF(Inputs!$C$234="",0,IF(1+$X3960&gt;0,LN(1+$X3960),0))</f>
        <v>0</v>
      </c>
      <c r="Z3960" s="55">
        <f t="shared" si="1445"/>
        <v>0</v>
      </c>
      <c r="AA3960" s="55">
        <f>IF($U3960="",0,COUNTIFS(rl_key,Inputs!$J$234,$V$3806:$V$4045,$V3960,$U$3806:$U$4045,"&lt;"&amp;$U3960))</f>
        <v>0</v>
      </c>
      <c r="AB3960" s="55">
        <f>IF($U3960="",0,COUNTIFS(Inputs!$J$80:$J$234,Inputs!$J$234,$V$3806:$V3960,$V3960,$U$3806:$U3960,$U3960))</f>
        <v>0</v>
      </c>
      <c r="AC3960" s="55">
        <f t="shared" si="1446"/>
        <v>0</v>
      </c>
      <c r="AE3960" s="54" t="str">
        <f>IF(Inputs!$C$234="","",IF(Inputs!$E$234="planned",EDATE(Inputs!$C$234,N(INDEX(sc_shift,4))),Inputs!$C$234))</f>
        <v/>
      </c>
      <c r="AF3960" s="54" t="str">
        <f t="shared" si="1447"/>
        <v/>
      </c>
      <c r="AG3960" s="52">
        <f>IF(N(INDEX(sc_ach,4))=0,IF(Inputs!$G$234="",1,Inputs!$G$234),INDEX(sc_ach,4))</f>
        <v>1</v>
      </c>
      <c r="AH3960" s="52">
        <f>IF(Inputs!$C$234="",0,IF(Inputs!$E$234="planned",(Inputs!$D$234+N(INDEX(sc_dpts,4)))*$AG3960,Inputs!$D$234))</f>
        <v>0</v>
      </c>
      <c r="AI3960" s="53">
        <f>IF(Inputs!$C$234="",0,IF(1+$AH3960&gt;0,LN(1+$AH3960),0))</f>
        <v>0</v>
      </c>
      <c r="AJ3960" s="55">
        <f t="shared" si="1448"/>
        <v>0</v>
      </c>
      <c r="AK3960" s="55">
        <f>IF($AE3960="",0,COUNTIFS(rl_key,Inputs!$J$234,$AF$3806:$AF$4045,$AF3960,$AE$3806:$AE$4045,"&lt;"&amp;$AE3960))</f>
        <v>0</v>
      </c>
      <c r="AL3960" s="55">
        <f>IF($AE3960="",0,COUNTIFS(Inputs!$J$80:$J$234,Inputs!$J$234,$AF$3806:$AF3960,$AF3960,$AE$3806:$AE3960,$AE3960))</f>
        <v>0</v>
      </c>
      <c r="AM3960" s="55">
        <f t="shared" si="1449"/>
        <v>0</v>
      </c>
    </row>
    <row r="3961" spans="1:39" x14ac:dyDescent="0.25">
      <c r="A3961" s="54" t="str">
        <f>IF(Inputs!$C$235="","",IF(Inputs!$E$235="planned",EDATE(Inputs!$C$235,N(INDEX(sc_shift,1))),Inputs!$C$235))</f>
        <v/>
      </c>
      <c r="B3961" s="54" t="str">
        <f t="shared" si="1438"/>
        <v/>
      </c>
      <c r="C3961" s="52">
        <f>IF(N(INDEX(sc_ach,1))=0,IF(Inputs!$G$235="",1,Inputs!$G$235),INDEX(sc_ach,1))</f>
        <v>1</v>
      </c>
      <c r="D3961" s="52">
        <f>IF(Inputs!$C$235="",0,IF(Inputs!$E$235="planned",(Inputs!$D$235+N(INDEX(sc_dpts,1)))*$C3961,Inputs!$D$235))</f>
        <v>0</v>
      </c>
      <c r="E3961" s="53">
        <f>IF(Inputs!$C$235="",0,IF(1+$D3961&gt;0,LN(1+$D3961),0))</f>
        <v>0</v>
      </c>
      <c r="F3961" s="55">
        <f t="shared" si="1439"/>
        <v>0</v>
      </c>
      <c r="G3961" s="55">
        <f>IF($A3961="",0,COUNTIFS(rl_key,Inputs!$J$235,$B$3806:$B$4045,$B3961,$A$3806:$A$4045,"&lt;"&amp;$A3961))</f>
        <v>0</v>
      </c>
      <c r="H3961" s="55">
        <f>IF($A3961="",0,COUNTIFS(Inputs!$J$80:$J$235,Inputs!$J$235,$B$3806:$B3961,$B3961,$A$3806:$A3961,$A3961))</f>
        <v>0</v>
      </c>
      <c r="I3961" s="55">
        <f t="shared" si="1440"/>
        <v>0</v>
      </c>
      <c r="K3961" s="54" t="str">
        <f>IF(Inputs!$C$235="","",IF(Inputs!$E$235="planned",EDATE(Inputs!$C$235,N(INDEX(sc_shift,2))),Inputs!$C$235))</f>
        <v/>
      </c>
      <c r="L3961" s="54" t="str">
        <f t="shared" si="1441"/>
        <v/>
      </c>
      <c r="M3961" s="52">
        <f>IF(N(INDEX(sc_ach,2))=0,IF(Inputs!$G$235="",1,Inputs!$G$235),INDEX(sc_ach,2))</f>
        <v>1</v>
      </c>
      <c r="N3961" s="52">
        <f>IF(Inputs!$C$235="",0,IF(Inputs!$E$235="planned",(Inputs!$D$235+N(INDEX(sc_dpts,2)))*$M3961,Inputs!$D$235))</f>
        <v>0</v>
      </c>
      <c r="O3961" s="53">
        <f>IF(Inputs!$C$235="",0,IF(1+$N3961&gt;0,LN(1+$N3961),0))</f>
        <v>0</v>
      </c>
      <c r="P3961" s="55">
        <f t="shared" si="1442"/>
        <v>0</v>
      </c>
      <c r="Q3961" s="55">
        <f>IF($K3961="",0,COUNTIFS(rl_key,Inputs!$J$235,$L$3806:$L$4045,$L3961,$K$3806:$K$4045,"&lt;"&amp;$K3961))</f>
        <v>0</v>
      </c>
      <c r="R3961" s="55">
        <f>IF($K3961="",0,COUNTIFS(Inputs!$J$80:$J$235,Inputs!$J$235,$L$3806:$L3961,$L3961,$K$3806:$K3961,$K3961))</f>
        <v>0</v>
      </c>
      <c r="S3961" s="55">
        <f t="shared" si="1443"/>
        <v>0</v>
      </c>
      <c r="U3961" s="54" t="str">
        <f>IF(Inputs!$C$235="","",IF(Inputs!$E$235="planned",EDATE(Inputs!$C$235,N(INDEX(sc_shift,3))),Inputs!$C$235))</f>
        <v/>
      </c>
      <c r="V3961" s="54" t="str">
        <f t="shared" si="1444"/>
        <v/>
      </c>
      <c r="W3961" s="52">
        <f>IF(N(INDEX(sc_ach,3))=0,IF(Inputs!$G$235="",1,Inputs!$G$235),INDEX(sc_ach,3))</f>
        <v>1</v>
      </c>
      <c r="X3961" s="52">
        <f>IF(Inputs!$C$235="",0,IF(Inputs!$E$235="planned",(Inputs!$D$235+N(INDEX(sc_dpts,3)))*$W3961,Inputs!$D$235))</f>
        <v>0</v>
      </c>
      <c r="Y3961" s="53">
        <f>IF(Inputs!$C$235="",0,IF(1+$X3961&gt;0,LN(1+$X3961),0))</f>
        <v>0</v>
      </c>
      <c r="Z3961" s="55">
        <f t="shared" si="1445"/>
        <v>0</v>
      </c>
      <c r="AA3961" s="55">
        <f>IF($U3961="",0,COUNTIFS(rl_key,Inputs!$J$235,$V$3806:$V$4045,$V3961,$U$3806:$U$4045,"&lt;"&amp;$U3961))</f>
        <v>0</v>
      </c>
      <c r="AB3961" s="55">
        <f>IF($U3961="",0,COUNTIFS(Inputs!$J$80:$J$235,Inputs!$J$235,$V$3806:$V3961,$V3961,$U$3806:$U3961,$U3961))</f>
        <v>0</v>
      </c>
      <c r="AC3961" s="55">
        <f t="shared" si="1446"/>
        <v>0</v>
      </c>
      <c r="AE3961" s="54" t="str">
        <f>IF(Inputs!$C$235="","",IF(Inputs!$E$235="planned",EDATE(Inputs!$C$235,N(INDEX(sc_shift,4))),Inputs!$C$235))</f>
        <v/>
      </c>
      <c r="AF3961" s="54" t="str">
        <f t="shared" si="1447"/>
        <v/>
      </c>
      <c r="AG3961" s="52">
        <f>IF(N(INDEX(sc_ach,4))=0,IF(Inputs!$G$235="",1,Inputs!$G$235),INDEX(sc_ach,4))</f>
        <v>1</v>
      </c>
      <c r="AH3961" s="52">
        <f>IF(Inputs!$C$235="",0,IF(Inputs!$E$235="planned",(Inputs!$D$235+N(INDEX(sc_dpts,4)))*$AG3961,Inputs!$D$235))</f>
        <v>0</v>
      </c>
      <c r="AI3961" s="53">
        <f>IF(Inputs!$C$235="",0,IF(1+$AH3961&gt;0,LN(1+$AH3961),0))</f>
        <v>0</v>
      </c>
      <c r="AJ3961" s="55">
        <f t="shared" si="1448"/>
        <v>0</v>
      </c>
      <c r="AK3961" s="55">
        <f>IF($AE3961="",0,COUNTIFS(rl_key,Inputs!$J$235,$AF$3806:$AF$4045,$AF3961,$AE$3806:$AE$4045,"&lt;"&amp;$AE3961))</f>
        <v>0</v>
      </c>
      <c r="AL3961" s="55">
        <f>IF($AE3961="",0,COUNTIFS(Inputs!$J$80:$J$235,Inputs!$J$235,$AF$3806:$AF3961,$AF3961,$AE$3806:$AE3961,$AE3961))</f>
        <v>0</v>
      </c>
      <c r="AM3961" s="55">
        <f t="shared" si="1449"/>
        <v>0</v>
      </c>
    </row>
    <row r="3962" spans="1:39" x14ac:dyDescent="0.25">
      <c r="A3962" s="54" t="str">
        <f>IF(Inputs!$C$236="","",IF(Inputs!$E$236="planned",EDATE(Inputs!$C$236,N(INDEX(sc_shift,1))),Inputs!$C$236))</f>
        <v/>
      </c>
      <c r="B3962" s="54" t="str">
        <f t="shared" si="1438"/>
        <v/>
      </c>
      <c r="C3962" s="52">
        <f>IF(N(INDEX(sc_ach,1))=0,IF(Inputs!$G$236="",1,Inputs!$G$236),INDEX(sc_ach,1))</f>
        <v>1</v>
      </c>
      <c r="D3962" s="52">
        <f>IF(Inputs!$C$236="",0,IF(Inputs!$E$236="planned",(Inputs!$D$236+N(INDEX(sc_dpts,1)))*$C3962,Inputs!$D$236))</f>
        <v>0</v>
      </c>
      <c r="E3962" s="53">
        <f>IF(Inputs!$C$236="",0,IF(1+$D3962&gt;0,LN(1+$D3962),0))</f>
        <v>0</v>
      </c>
      <c r="F3962" s="55">
        <f t="shared" si="1439"/>
        <v>0</v>
      </c>
      <c r="G3962" s="55">
        <f>IF($A3962="",0,COUNTIFS(rl_key,Inputs!$J$236,$B$3806:$B$4045,$B3962,$A$3806:$A$4045,"&lt;"&amp;$A3962))</f>
        <v>0</v>
      </c>
      <c r="H3962" s="55">
        <f>IF($A3962="",0,COUNTIFS(Inputs!$J$80:$J$236,Inputs!$J$236,$B$3806:$B3962,$B3962,$A$3806:$A3962,$A3962))</f>
        <v>0</v>
      </c>
      <c r="I3962" s="55">
        <f t="shared" si="1440"/>
        <v>0</v>
      </c>
      <c r="K3962" s="54" t="str">
        <f>IF(Inputs!$C$236="","",IF(Inputs!$E$236="planned",EDATE(Inputs!$C$236,N(INDEX(sc_shift,2))),Inputs!$C$236))</f>
        <v/>
      </c>
      <c r="L3962" s="54" t="str">
        <f t="shared" si="1441"/>
        <v/>
      </c>
      <c r="M3962" s="52">
        <f>IF(N(INDEX(sc_ach,2))=0,IF(Inputs!$G$236="",1,Inputs!$G$236),INDEX(sc_ach,2))</f>
        <v>1</v>
      </c>
      <c r="N3962" s="52">
        <f>IF(Inputs!$C$236="",0,IF(Inputs!$E$236="planned",(Inputs!$D$236+N(INDEX(sc_dpts,2)))*$M3962,Inputs!$D$236))</f>
        <v>0</v>
      </c>
      <c r="O3962" s="53">
        <f>IF(Inputs!$C$236="",0,IF(1+$N3962&gt;0,LN(1+$N3962),0))</f>
        <v>0</v>
      </c>
      <c r="P3962" s="55">
        <f t="shared" si="1442"/>
        <v>0</v>
      </c>
      <c r="Q3962" s="55">
        <f>IF($K3962="",0,COUNTIFS(rl_key,Inputs!$J$236,$L$3806:$L$4045,$L3962,$K$3806:$K$4045,"&lt;"&amp;$K3962))</f>
        <v>0</v>
      </c>
      <c r="R3962" s="55">
        <f>IF($K3962="",0,COUNTIFS(Inputs!$J$80:$J$236,Inputs!$J$236,$L$3806:$L3962,$L3962,$K$3806:$K3962,$K3962))</f>
        <v>0</v>
      </c>
      <c r="S3962" s="55">
        <f t="shared" si="1443"/>
        <v>0</v>
      </c>
      <c r="U3962" s="54" t="str">
        <f>IF(Inputs!$C$236="","",IF(Inputs!$E$236="planned",EDATE(Inputs!$C$236,N(INDEX(sc_shift,3))),Inputs!$C$236))</f>
        <v/>
      </c>
      <c r="V3962" s="54" t="str">
        <f t="shared" si="1444"/>
        <v/>
      </c>
      <c r="W3962" s="52">
        <f>IF(N(INDEX(sc_ach,3))=0,IF(Inputs!$G$236="",1,Inputs!$G$236),INDEX(sc_ach,3))</f>
        <v>1</v>
      </c>
      <c r="X3962" s="52">
        <f>IF(Inputs!$C$236="",0,IF(Inputs!$E$236="planned",(Inputs!$D$236+N(INDEX(sc_dpts,3)))*$W3962,Inputs!$D$236))</f>
        <v>0</v>
      </c>
      <c r="Y3962" s="53">
        <f>IF(Inputs!$C$236="",0,IF(1+$X3962&gt;0,LN(1+$X3962),0))</f>
        <v>0</v>
      </c>
      <c r="Z3962" s="55">
        <f t="shared" si="1445"/>
        <v>0</v>
      </c>
      <c r="AA3962" s="55">
        <f>IF($U3962="",0,COUNTIFS(rl_key,Inputs!$J$236,$V$3806:$V$4045,$V3962,$U$3806:$U$4045,"&lt;"&amp;$U3962))</f>
        <v>0</v>
      </c>
      <c r="AB3962" s="55">
        <f>IF($U3962="",0,COUNTIFS(Inputs!$J$80:$J$236,Inputs!$J$236,$V$3806:$V3962,$V3962,$U$3806:$U3962,$U3962))</f>
        <v>0</v>
      </c>
      <c r="AC3962" s="55">
        <f t="shared" si="1446"/>
        <v>0</v>
      </c>
      <c r="AE3962" s="54" t="str">
        <f>IF(Inputs!$C$236="","",IF(Inputs!$E$236="planned",EDATE(Inputs!$C$236,N(INDEX(sc_shift,4))),Inputs!$C$236))</f>
        <v/>
      </c>
      <c r="AF3962" s="54" t="str">
        <f t="shared" si="1447"/>
        <v/>
      </c>
      <c r="AG3962" s="52">
        <f>IF(N(INDEX(sc_ach,4))=0,IF(Inputs!$G$236="",1,Inputs!$G$236),INDEX(sc_ach,4))</f>
        <v>1</v>
      </c>
      <c r="AH3962" s="52">
        <f>IF(Inputs!$C$236="",0,IF(Inputs!$E$236="planned",(Inputs!$D$236+N(INDEX(sc_dpts,4)))*$AG3962,Inputs!$D$236))</f>
        <v>0</v>
      </c>
      <c r="AI3962" s="53">
        <f>IF(Inputs!$C$236="",0,IF(1+$AH3962&gt;0,LN(1+$AH3962),0))</f>
        <v>0</v>
      </c>
      <c r="AJ3962" s="55">
        <f t="shared" si="1448"/>
        <v>0</v>
      </c>
      <c r="AK3962" s="55">
        <f>IF($AE3962="",0,COUNTIFS(rl_key,Inputs!$J$236,$AF$3806:$AF$4045,$AF3962,$AE$3806:$AE$4045,"&lt;"&amp;$AE3962))</f>
        <v>0</v>
      </c>
      <c r="AL3962" s="55">
        <f>IF($AE3962="",0,COUNTIFS(Inputs!$J$80:$J$236,Inputs!$J$236,$AF$3806:$AF3962,$AF3962,$AE$3806:$AE3962,$AE3962))</f>
        <v>0</v>
      </c>
      <c r="AM3962" s="55">
        <f t="shared" si="1449"/>
        <v>0</v>
      </c>
    </row>
    <row r="3963" spans="1:39" x14ac:dyDescent="0.25">
      <c r="A3963" s="54" t="str">
        <f>IF(Inputs!$C$237="","",IF(Inputs!$E$237="planned",EDATE(Inputs!$C$237,N(INDEX(sc_shift,1))),Inputs!$C$237))</f>
        <v/>
      </c>
      <c r="B3963" s="54" t="str">
        <f t="shared" si="1438"/>
        <v/>
      </c>
      <c r="C3963" s="52">
        <f>IF(N(INDEX(sc_ach,1))=0,IF(Inputs!$G$237="",1,Inputs!$G$237),INDEX(sc_ach,1))</f>
        <v>1</v>
      </c>
      <c r="D3963" s="52">
        <f>IF(Inputs!$C$237="",0,IF(Inputs!$E$237="planned",(Inputs!$D$237+N(INDEX(sc_dpts,1)))*$C3963,Inputs!$D$237))</f>
        <v>0</v>
      </c>
      <c r="E3963" s="53">
        <f>IF(Inputs!$C$237="",0,IF(1+$D3963&gt;0,LN(1+$D3963),0))</f>
        <v>0</v>
      </c>
      <c r="F3963" s="55">
        <f t="shared" si="1439"/>
        <v>0</v>
      </c>
      <c r="G3963" s="55">
        <f>IF($A3963="",0,COUNTIFS(rl_key,Inputs!$J$237,$B$3806:$B$4045,$B3963,$A$3806:$A$4045,"&lt;"&amp;$A3963))</f>
        <v>0</v>
      </c>
      <c r="H3963" s="55">
        <f>IF($A3963="",0,COUNTIFS(Inputs!$J$80:$J$237,Inputs!$J$237,$B$3806:$B3963,$B3963,$A$3806:$A3963,$A3963))</f>
        <v>0</v>
      </c>
      <c r="I3963" s="55">
        <f t="shared" si="1440"/>
        <v>0</v>
      </c>
      <c r="K3963" s="54" t="str">
        <f>IF(Inputs!$C$237="","",IF(Inputs!$E$237="planned",EDATE(Inputs!$C$237,N(INDEX(sc_shift,2))),Inputs!$C$237))</f>
        <v/>
      </c>
      <c r="L3963" s="54" t="str">
        <f t="shared" si="1441"/>
        <v/>
      </c>
      <c r="M3963" s="52">
        <f>IF(N(INDEX(sc_ach,2))=0,IF(Inputs!$G$237="",1,Inputs!$G$237),INDEX(sc_ach,2))</f>
        <v>1</v>
      </c>
      <c r="N3963" s="52">
        <f>IF(Inputs!$C$237="",0,IF(Inputs!$E$237="planned",(Inputs!$D$237+N(INDEX(sc_dpts,2)))*$M3963,Inputs!$D$237))</f>
        <v>0</v>
      </c>
      <c r="O3963" s="53">
        <f>IF(Inputs!$C$237="",0,IF(1+$N3963&gt;0,LN(1+$N3963),0))</f>
        <v>0</v>
      </c>
      <c r="P3963" s="55">
        <f t="shared" si="1442"/>
        <v>0</v>
      </c>
      <c r="Q3963" s="55">
        <f>IF($K3963="",0,COUNTIFS(rl_key,Inputs!$J$237,$L$3806:$L$4045,$L3963,$K$3806:$K$4045,"&lt;"&amp;$K3963))</f>
        <v>0</v>
      </c>
      <c r="R3963" s="55">
        <f>IF($K3963="",0,COUNTIFS(Inputs!$J$80:$J$237,Inputs!$J$237,$L$3806:$L3963,$L3963,$K$3806:$K3963,$K3963))</f>
        <v>0</v>
      </c>
      <c r="S3963" s="55">
        <f t="shared" si="1443"/>
        <v>0</v>
      </c>
      <c r="U3963" s="54" t="str">
        <f>IF(Inputs!$C$237="","",IF(Inputs!$E$237="planned",EDATE(Inputs!$C$237,N(INDEX(sc_shift,3))),Inputs!$C$237))</f>
        <v/>
      </c>
      <c r="V3963" s="54" t="str">
        <f t="shared" si="1444"/>
        <v/>
      </c>
      <c r="W3963" s="52">
        <f>IF(N(INDEX(sc_ach,3))=0,IF(Inputs!$G$237="",1,Inputs!$G$237),INDEX(sc_ach,3))</f>
        <v>1</v>
      </c>
      <c r="X3963" s="52">
        <f>IF(Inputs!$C$237="",0,IF(Inputs!$E$237="planned",(Inputs!$D$237+N(INDEX(sc_dpts,3)))*$W3963,Inputs!$D$237))</f>
        <v>0</v>
      </c>
      <c r="Y3963" s="53">
        <f>IF(Inputs!$C$237="",0,IF(1+$X3963&gt;0,LN(1+$X3963),0))</f>
        <v>0</v>
      </c>
      <c r="Z3963" s="55">
        <f t="shared" si="1445"/>
        <v>0</v>
      </c>
      <c r="AA3963" s="55">
        <f>IF($U3963="",0,COUNTIFS(rl_key,Inputs!$J$237,$V$3806:$V$4045,$V3963,$U$3806:$U$4045,"&lt;"&amp;$U3963))</f>
        <v>0</v>
      </c>
      <c r="AB3963" s="55">
        <f>IF($U3963="",0,COUNTIFS(Inputs!$J$80:$J$237,Inputs!$J$237,$V$3806:$V3963,$V3963,$U$3806:$U3963,$U3963))</f>
        <v>0</v>
      </c>
      <c r="AC3963" s="55">
        <f t="shared" si="1446"/>
        <v>0</v>
      </c>
      <c r="AE3963" s="54" t="str">
        <f>IF(Inputs!$C$237="","",IF(Inputs!$E$237="planned",EDATE(Inputs!$C$237,N(INDEX(sc_shift,4))),Inputs!$C$237))</f>
        <v/>
      </c>
      <c r="AF3963" s="54" t="str">
        <f t="shared" si="1447"/>
        <v/>
      </c>
      <c r="AG3963" s="52">
        <f>IF(N(INDEX(sc_ach,4))=0,IF(Inputs!$G$237="",1,Inputs!$G$237),INDEX(sc_ach,4))</f>
        <v>1</v>
      </c>
      <c r="AH3963" s="52">
        <f>IF(Inputs!$C$237="",0,IF(Inputs!$E$237="planned",(Inputs!$D$237+N(INDEX(sc_dpts,4)))*$AG3963,Inputs!$D$237))</f>
        <v>0</v>
      </c>
      <c r="AI3963" s="53">
        <f>IF(Inputs!$C$237="",0,IF(1+$AH3963&gt;0,LN(1+$AH3963),0))</f>
        <v>0</v>
      </c>
      <c r="AJ3963" s="55">
        <f t="shared" si="1448"/>
        <v>0</v>
      </c>
      <c r="AK3963" s="55">
        <f>IF($AE3963="",0,COUNTIFS(rl_key,Inputs!$J$237,$AF$3806:$AF$4045,$AF3963,$AE$3806:$AE$4045,"&lt;"&amp;$AE3963))</f>
        <v>0</v>
      </c>
      <c r="AL3963" s="55">
        <f>IF($AE3963="",0,COUNTIFS(Inputs!$J$80:$J$237,Inputs!$J$237,$AF$3806:$AF3963,$AF3963,$AE$3806:$AE3963,$AE3963))</f>
        <v>0</v>
      </c>
      <c r="AM3963" s="55">
        <f t="shared" si="1449"/>
        <v>0</v>
      </c>
    </row>
    <row r="3964" spans="1:39" x14ac:dyDescent="0.25">
      <c r="A3964" s="54" t="str">
        <f>IF(Inputs!$C$238="","",IF(Inputs!$E$238="planned",EDATE(Inputs!$C$238,N(INDEX(sc_shift,1))),Inputs!$C$238))</f>
        <v/>
      </c>
      <c r="B3964" s="54" t="str">
        <f t="shared" si="1438"/>
        <v/>
      </c>
      <c r="C3964" s="52">
        <f>IF(N(INDEX(sc_ach,1))=0,IF(Inputs!$G$238="",1,Inputs!$G$238),INDEX(sc_ach,1))</f>
        <v>1</v>
      </c>
      <c r="D3964" s="52">
        <f>IF(Inputs!$C$238="",0,IF(Inputs!$E$238="planned",(Inputs!$D$238+N(INDEX(sc_dpts,1)))*$C3964,Inputs!$D$238))</f>
        <v>0</v>
      </c>
      <c r="E3964" s="53">
        <f>IF(Inputs!$C$238="",0,IF(1+$D3964&gt;0,LN(1+$D3964),0))</f>
        <v>0</v>
      </c>
      <c r="F3964" s="55">
        <f t="shared" si="1439"/>
        <v>0</v>
      </c>
      <c r="G3964" s="55">
        <f>IF($A3964="",0,COUNTIFS(rl_key,Inputs!$J$238,$B$3806:$B$4045,$B3964,$A$3806:$A$4045,"&lt;"&amp;$A3964))</f>
        <v>0</v>
      </c>
      <c r="H3964" s="55">
        <f>IF($A3964="",0,COUNTIFS(Inputs!$J$80:$J$238,Inputs!$J$238,$B$3806:$B3964,$B3964,$A$3806:$A3964,$A3964))</f>
        <v>0</v>
      </c>
      <c r="I3964" s="55">
        <f t="shared" si="1440"/>
        <v>0</v>
      </c>
      <c r="K3964" s="54" t="str">
        <f>IF(Inputs!$C$238="","",IF(Inputs!$E$238="planned",EDATE(Inputs!$C$238,N(INDEX(sc_shift,2))),Inputs!$C$238))</f>
        <v/>
      </c>
      <c r="L3964" s="54" t="str">
        <f t="shared" si="1441"/>
        <v/>
      </c>
      <c r="M3964" s="52">
        <f>IF(N(INDEX(sc_ach,2))=0,IF(Inputs!$G$238="",1,Inputs!$G$238),INDEX(sc_ach,2))</f>
        <v>1</v>
      </c>
      <c r="N3964" s="52">
        <f>IF(Inputs!$C$238="",0,IF(Inputs!$E$238="planned",(Inputs!$D$238+N(INDEX(sc_dpts,2)))*$M3964,Inputs!$D$238))</f>
        <v>0</v>
      </c>
      <c r="O3964" s="53">
        <f>IF(Inputs!$C$238="",0,IF(1+$N3964&gt;0,LN(1+$N3964),0))</f>
        <v>0</v>
      </c>
      <c r="P3964" s="55">
        <f t="shared" si="1442"/>
        <v>0</v>
      </c>
      <c r="Q3964" s="55">
        <f>IF($K3964="",0,COUNTIFS(rl_key,Inputs!$J$238,$L$3806:$L$4045,$L3964,$K$3806:$K$4045,"&lt;"&amp;$K3964))</f>
        <v>0</v>
      </c>
      <c r="R3964" s="55">
        <f>IF($K3964="",0,COUNTIFS(Inputs!$J$80:$J$238,Inputs!$J$238,$L$3806:$L3964,$L3964,$K$3806:$K3964,$K3964))</f>
        <v>0</v>
      </c>
      <c r="S3964" s="55">
        <f t="shared" si="1443"/>
        <v>0</v>
      </c>
      <c r="U3964" s="54" t="str">
        <f>IF(Inputs!$C$238="","",IF(Inputs!$E$238="planned",EDATE(Inputs!$C$238,N(INDEX(sc_shift,3))),Inputs!$C$238))</f>
        <v/>
      </c>
      <c r="V3964" s="54" t="str">
        <f t="shared" si="1444"/>
        <v/>
      </c>
      <c r="W3964" s="52">
        <f>IF(N(INDEX(sc_ach,3))=0,IF(Inputs!$G$238="",1,Inputs!$G$238),INDEX(sc_ach,3))</f>
        <v>1</v>
      </c>
      <c r="X3964" s="52">
        <f>IF(Inputs!$C$238="",0,IF(Inputs!$E$238="planned",(Inputs!$D$238+N(INDEX(sc_dpts,3)))*$W3964,Inputs!$D$238))</f>
        <v>0</v>
      </c>
      <c r="Y3964" s="53">
        <f>IF(Inputs!$C$238="",0,IF(1+$X3964&gt;0,LN(1+$X3964),0))</f>
        <v>0</v>
      </c>
      <c r="Z3964" s="55">
        <f t="shared" si="1445"/>
        <v>0</v>
      </c>
      <c r="AA3964" s="55">
        <f>IF($U3964="",0,COUNTIFS(rl_key,Inputs!$J$238,$V$3806:$V$4045,$V3964,$U$3806:$U$4045,"&lt;"&amp;$U3964))</f>
        <v>0</v>
      </c>
      <c r="AB3964" s="55">
        <f>IF($U3964="",0,COUNTIFS(Inputs!$J$80:$J$238,Inputs!$J$238,$V$3806:$V3964,$V3964,$U$3806:$U3964,$U3964))</f>
        <v>0</v>
      </c>
      <c r="AC3964" s="55">
        <f t="shared" si="1446"/>
        <v>0</v>
      </c>
      <c r="AE3964" s="54" t="str">
        <f>IF(Inputs!$C$238="","",IF(Inputs!$E$238="planned",EDATE(Inputs!$C$238,N(INDEX(sc_shift,4))),Inputs!$C$238))</f>
        <v/>
      </c>
      <c r="AF3964" s="54" t="str">
        <f t="shared" si="1447"/>
        <v/>
      </c>
      <c r="AG3964" s="52">
        <f>IF(N(INDEX(sc_ach,4))=0,IF(Inputs!$G$238="",1,Inputs!$G$238),INDEX(sc_ach,4))</f>
        <v>1</v>
      </c>
      <c r="AH3964" s="52">
        <f>IF(Inputs!$C$238="",0,IF(Inputs!$E$238="planned",(Inputs!$D$238+N(INDEX(sc_dpts,4)))*$AG3964,Inputs!$D$238))</f>
        <v>0</v>
      </c>
      <c r="AI3964" s="53">
        <f>IF(Inputs!$C$238="",0,IF(1+$AH3964&gt;0,LN(1+$AH3964),0))</f>
        <v>0</v>
      </c>
      <c r="AJ3964" s="55">
        <f t="shared" si="1448"/>
        <v>0</v>
      </c>
      <c r="AK3964" s="55">
        <f>IF($AE3964="",0,COUNTIFS(rl_key,Inputs!$J$238,$AF$3806:$AF$4045,$AF3964,$AE$3806:$AE$4045,"&lt;"&amp;$AE3964))</f>
        <v>0</v>
      </c>
      <c r="AL3964" s="55">
        <f>IF($AE3964="",0,COUNTIFS(Inputs!$J$80:$J$238,Inputs!$J$238,$AF$3806:$AF3964,$AF3964,$AE$3806:$AE3964,$AE3964))</f>
        <v>0</v>
      </c>
      <c r="AM3964" s="55">
        <f t="shared" si="1449"/>
        <v>0</v>
      </c>
    </row>
    <row r="3965" spans="1:39" x14ac:dyDescent="0.25">
      <c r="A3965" s="54" t="str">
        <f>IF(Inputs!$C$239="","",IF(Inputs!$E$239="planned",EDATE(Inputs!$C$239,N(INDEX(sc_shift,1))),Inputs!$C$239))</f>
        <v/>
      </c>
      <c r="B3965" s="54" t="str">
        <f t="shared" si="1438"/>
        <v/>
      </c>
      <c r="C3965" s="52">
        <f>IF(N(INDEX(sc_ach,1))=0,IF(Inputs!$G$239="",1,Inputs!$G$239),INDEX(sc_ach,1))</f>
        <v>1</v>
      </c>
      <c r="D3965" s="52">
        <f>IF(Inputs!$C$239="",0,IF(Inputs!$E$239="planned",(Inputs!$D$239+N(INDEX(sc_dpts,1)))*$C3965,Inputs!$D$239))</f>
        <v>0</v>
      </c>
      <c r="E3965" s="53">
        <f>IF(Inputs!$C$239="",0,IF(1+$D3965&gt;0,LN(1+$D3965),0))</f>
        <v>0</v>
      </c>
      <c r="F3965" s="55">
        <f t="shared" si="1439"/>
        <v>0</v>
      </c>
      <c r="G3965" s="55">
        <f>IF($A3965="",0,COUNTIFS(rl_key,Inputs!$J$239,$B$3806:$B$4045,$B3965,$A$3806:$A$4045,"&lt;"&amp;$A3965))</f>
        <v>0</v>
      </c>
      <c r="H3965" s="55">
        <f>IF($A3965="",0,COUNTIFS(Inputs!$J$80:$J$239,Inputs!$J$239,$B$3806:$B3965,$B3965,$A$3806:$A3965,$A3965))</f>
        <v>0</v>
      </c>
      <c r="I3965" s="55">
        <f t="shared" si="1440"/>
        <v>0</v>
      </c>
      <c r="K3965" s="54" t="str">
        <f>IF(Inputs!$C$239="","",IF(Inputs!$E$239="planned",EDATE(Inputs!$C$239,N(INDEX(sc_shift,2))),Inputs!$C$239))</f>
        <v/>
      </c>
      <c r="L3965" s="54" t="str">
        <f t="shared" si="1441"/>
        <v/>
      </c>
      <c r="M3965" s="52">
        <f>IF(N(INDEX(sc_ach,2))=0,IF(Inputs!$G$239="",1,Inputs!$G$239),INDEX(sc_ach,2))</f>
        <v>1</v>
      </c>
      <c r="N3965" s="52">
        <f>IF(Inputs!$C$239="",0,IF(Inputs!$E$239="planned",(Inputs!$D$239+N(INDEX(sc_dpts,2)))*$M3965,Inputs!$D$239))</f>
        <v>0</v>
      </c>
      <c r="O3965" s="53">
        <f>IF(Inputs!$C$239="",0,IF(1+$N3965&gt;0,LN(1+$N3965),0))</f>
        <v>0</v>
      </c>
      <c r="P3965" s="55">
        <f t="shared" si="1442"/>
        <v>0</v>
      </c>
      <c r="Q3965" s="55">
        <f>IF($K3965="",0,COUNTIFS(rl_key,Inputs!$J$239,$L$3806:$L$4045,$L3965,$K$3806:$K$4045,"&lt;"&amp;$K3965))</f>
        <v>0</v>
      </c>
      <c r="R3965" s="55">
        <f>IF($K3965="",0,COUNTIFS(Inputs!$J$80:$J$239,Inputs!$J$239,$L$3806:$L3965,$L3965,$K$3806:$K3965,$K3965))</f>
        <v>0</v>
      </c>
      <c r="S3965" s="55">
        <f t="shared" si="1443"/>
        <v>0</v>
      </c>
      <c r="U3965" s="54" t="str">
        <f>IF(Inputs!$C$239="","",IF(Inputs!$E$239="planned",EDATE(Inputs!$C$239,N(INDEX(sc_shift,3))),Inputs!$C$239))</f>
        <v/>
      </c>
      <c r="V3965" s="54" t="str">
        <f t="shared" si="1444"/>
        <v/>
      </c>
      <c r="W3965" s="52">
        <f>IF(N(INDEX(sc_ach,3))=0,IF(Inputs!$G$239="",1,Inputs!$G$239),INDEX(sc_ach,3))</f>
        <v>1</v>
      </c>
      <c r="X3965" s="52">
        <f>IF(Inputs!$C$239="",0,IF(Inputs!$E$239="planned",(Inputs!$D$239+N(INDEX(sc_dpts,3)))*$W3965,Inputs!$D$239))</f>
        <v>0</v>
      </c>
      <c r="Y3965" s="53">
        <f>IF(Inputs!$C$239="",0,IF(1+$X3965&gt;0,LN(1+$X3965),0))</f>
        <v>0</v>
      </c>
      <c r="Z3965" s="55">
        <f t="shared" si="1445"/>
        <v>0</v>
      </c>
      <c r="AA3965" s="55">
        <f>IF($U3965="",0,COUNTIFS(rl_key,Inputs!$J$239,$V$3806:$V$4045,$V3965,$U$3806:$U$4045,"&lt;"&amp;$U3965))</f>
        <v>0</v>
      </c>
      <c r="AB3965" s="55">
        <f>IF($U3965="",0,COUNTIFS(Inputs!$J$80:$J$239,Inputs!$J$239,$V$3806:$V3965,$V3965,$U$3806:$U3965,$U3965))</f>
        <v>0</v>
      </c>
      <c r="AC3965" s="55">
        <f t="shared" si="1446"/>
        <v>0</v>
      </c>
      <c r="AE3965" s="54" t="str">
        <f>IF(Inputs!$C$239="","",IF(Inputs!$E$239="planned",EDATE(Inputs!$C$239,N(INDEX(sc_shift,4))),Inputs!$C$239))</f>
        <v/>
      </c>
      <c r="AF3965" s="54" t="str">
        <f t="shared" si="1447"/>
        <v/>
      </c>
      <c r="AG3965" s="52">
        <f>IF(N(INDEX(sc_ach,4))=0,IF(Inputs!$G$239="",1,Inputs!$G$239),INDEX(sc_ach,4))</f>
        <v>1</v>
      </c>
      <c r="AH3965" s="52">
        <f>IF(Inputs!$C$239="",0,IF(Inputs!$E$239="planned",(Inputs!$D$239+N(INDEX(sc_dpts,4)))*$AG3965,Inputs!$D$239))</f>
        <v>0</v>
      </c>
      <c r="AI3965" s="53">
        <f>IF(Inputs!$C$239="",0,IF(1+$AH3965&gt;0,LN(1+$AH3965),0))</f>
        <v>0</v>
      </c>
      <c r="AJ3965" s="55">
        <f t="shared" si="1448"/>
        <v>0</v>
      </c>
      <c r="AK3965" s="55">
        <f>IF($AE3965="",0,COUNTIFS(rl_key,Inputs!$J$239,$AF$3806:$AF$4045,$AF3965,$AE$3806:$AE$4045,"&lt;"&amp;$AE3965))</f>
        <v>0</v>
      </c>
      <c r="AL3965" s="55">
        <f>IF($AE3965="",0,COUNTIFS(Inputs!$J$80:$J$239,Inputs!$J$239,$AF$3806:$AF3965,$AF3965,$AE$3806:$AE3965,$AE3965))</f>
        <v>0</v>
      </c>
      <c r="AM3965" s="55">
        <f t="shared" si="1449"/>
        <v>0</v>
      </c>
    </row>
    <row r="3966" spans="1:39" x14ac:dyDescent="0.25">
      <c r="A3966" s="54" t="str">
        <f>IF(Inputs!$C$240="","",IF(Inputs!$E$240="planned",EDATE(Inputs!$C$240,N(INDEX(sc_shift,1))),Inputs!$C$240))</f>
        <v/>
      </c>
      <c r="B3966" s="54" t="str">
        <f t="shared" si="1438"/>
        <v/>
      </c>
      <c r="C3966" s="52">
        <f>IF(N(INDEX(sc_ach,1))=0,IF(Inputs!$G$240="",1,Inputs!$G$240),INDEX(sc_ach,1))</f>
        <v>1</v>
      </c>
      <c r="D3966" s="52">
        <f>IF(Inputs!$C$240="",0,IF(Inputs!$E$240="planned",(Inputs!$D$240+N(INDEX(sc_dpts,1)))*$C3966,Inputs!$D$240))</f>
        <v>0</v>
      </c>
      <c r="E3966" s="53">
        <f>IF(Inputs!$C$240="",0,IF(1+$D3966&gt;0,LN(1+$D3966),0))</f>
        <v>0</v>
      </c>
      <c r="F3966" s="55">
        <f t="shared" si="1439"/>
        <v>0</v>
      </c>
      <c r="G3966" s="55">
        <f>IF($A3966="",0,COUNTIFS(rl_key,Inputs!$J$240,$B$3806:$B$4045,$B3966,$A$3806:$A$4045,"&lt;"&amp;$A3966))</f>
        <v>0</v>
      </c>
      <c r="H3966" s="55">
        <f>IF($A3966="",0,COUNTIFS(Inputs!$J$80:$J$240,Inputs!$J$240,$B$3806:$B3966,$B3966,$A$3806:$A3966,$A3966))</f>
        <v>0</v>
      </c>
      <c r="I3966" s="55">
        <f t="shared" si="1440"/>
        <v>0</v>
      </c>
      <c r="K3966" s="54" t="str">
        <f>IF(Inputs!$C$240="","",IF(Inputs!$E$240="planned",EDATE(Inputs!$C$240,N(INDEX(sc_shift,2))),Inputs!$C$240))</f>
        <v/>
      </c>
      <c r="L3966" s="54" t="str">
        <f t="shared" si="1441"/>
        <v/>
      </c>
      <c r="M3966" s="52">
        <f>IF(N(INDEX(sc_ach,2))=0,IF(Inputs!$G$240="",1,Inputs!$G$240),INDEX(sc_ach,2))</f>
        <v>1</v>
      </c>
      <c r="N3966" s="52">
        <f>IF(Inputs!$C$240="",0,IF(Inputs!$E$240="planned",(Inputs!$D$240+N(INDEX(sc_dpts,2)))*$M3966,Inputs!$D$240))</f>
        <v>0</v>
      </c>
      <c r="O3966" s="53">
        <f>IF(Inputs!$C$240="",0,IF(1+$N3966&gt;0,LN(1+$N3966),0))</f>
        <v>0</v>
      </c>
      <c r="P3966" s="55">
        <f t="shared" si="1442"/>
        <v>0</v>
      </c>
      <c r="Q3966" s="55">
        <f>IF($K3966="",0,COUNTIFS(rl_key,Inputs!$J$240,$L$3806:$L$4045,$L3966,$K$3806:$K$4045,"&lt;"&amp;$K3966))</f>
        <v>0</v>
      </c>
      <c r="R3966" s="55">
        <f>IF($K3966="",0,COUNTIFS(Inputs!$J$80:$J$240,Inputs!$J$240,$L$3806:$L3966,$L3966,$K$3806:$K3966,$K3966))</f>
        <v>0</v>
      </c>
      <c r="S3966" s="55">
        <f t="shared" si="1443"/>
        <v>0</v>
      </c>
      <c r="U3966" s="54" t="str">
        <f>IF(Inputs!$C$240="","",IF(Inputs!$E$240="planned",EDATE(Inputs!$C$240,N(INDEX(sc_shift,3))),Inputs!$C$240))</f>
        <v/>
      </c>
      <c r="V3966" s="54" t="str">
        <f t="shared" si="1444"/>
        <v/>
      </c>
      <c r="W3966" s="52">
        <f>IF(N(INDEX(sc_ach,3))=0,IF(Inputs!$G$240="",1,Inputs!$G$240),INDEX(sc_ach,3))</f>
        <v>1</v>
      </c>
      <c r="X3966" s="52">
        <f>IF(Inputs!$C$240="",0,IF(Inputs!$E$240="planned",(Inputs!$D$240+N(INDEX(sc_dpts,3)))*$W3966,Inputs!$D$240))</f>
        <v>0</v>
      </c>
      <c r="Y3966" s="53">
        <f>IF(Inputs!$C$240="",0,IF(1+$X3966&gt;0,LN(1+$X3966),0))</f>
        <v>0</v>
      </c>
      <c r="Z3966" s="55">
        <f t="shared" si="1445"/>
        <v>0</v>
      </c>
      <c r="AA3966" s="55">
        <f>IF($U3966="",0,COUNTIFS(rl_key,Inputs!$J$240,$V$3806:$V$4045,$V3966,$U$3806:$U$4045,"&lt;"&amp;$U3966))</f>
        <v>0</v>
      </c>
      <c r="AB3966" s="55">
        <f>IF($U3966="",0,COUNTIFS(Inputs!$J$80:$J$240,Inputs!$J$240,$V$3806:$V3966,$V3966,$U$3806:$U3966,$U3966))</f>
        <v>0</v>
      </c>
      <c r="AC3966" s="55">
        <f t="shared" si="1446"/>
        <v>0</v>
      </c>
      <c r="AE3966" s="54" t="str">
        <f>IF(Inputs!$C$240="","",IF(Inputs!$E$240="planned",EDATE(Inputs!$C$240,N(INDEX(sc_shift,4))),Inputs!$C$240))</f>
        <v/>
      </c>
      <c r="AF3966" s="54" t="str">
        <f t="shared" si="1447"/>
        <v/>
      </c>
      <c r="AG3966" s="52">
        <f>IF(N(INDEX(sc_ach,4))=0,IF(Inputs!$G$240="",1,Inputs!$G$240),INDEX(sc_ach,4))</f>
        <v>1</v>
      </c>
      <c r="AH3966" s="52">
        <f>IF(Inputs!$C$240="",0,IF(Inputs!$E$240="planned",(Inputs!$D$240+N(INDEX(sc_dpts,4)))*$AG3966,Inputs!$D$240))</f>
        <v>0</v>
      </c>
      <c r="AI3966" s="53">
        <f>IF(Inputs!$C$240="",0,IF(1+$AH3966&gt;0,LN(1+$AH3966),0))</f>
        <v>0</v>
      </c>
      <c r="AJ3966" s="55">
        <f t="shared" si="1448"/>
        <v>0</v>
      </c>
      <c r="AK3966" s="55">
        <f>IF($AE3966="",0,COUNTIFS(rl_key,Inputs!$J$240,$AF$3806:$AF$4045,$AF3966,$AE$3806:$AE$4045,"&lt;"&amp;$AE3966))</f>
        <v>0</v>
      </c>
      <c r="AL3966" s="55">
        <f>IF($AE3966="",0,COUNTIFS(Inputs!$J$80:$J$240,Inputs!$J$240,$AF$3806:$AF3966,$AF3966,$AE$3806:$AE3966,$AE3966))</f>
        <v>0</v>
      </c>
      <c r="AM3966" s="55">
        <f t="shared" si="1449"/>
        <v>0</v>
      </c>
    </row>
    <row r="3967" spans="1:39" x14ac:dyDescent="0.25">
      <c r="A3967" s="54" t="str">
        <f>IF(Inputs!$C$241="","",IF(Inputs!$E$241="planned",EDATE(Inputs!$C$241,N(INDEX(sc_shift,1))),Inputs!$C$241))</f>
        <v/>
      </c>
      <c r="B3967" s="54" t="str">
        <f t="shared" si="1438"/>
        <v/>
      </c>
      <c r="C3967" s="52">
        <f>IF(N(INDEX(sc_ach,1))=0,IF(Inputs!$G$241="",1,Inputs!$G$241),INDEX(sc_ach,1))</f>
        <v>1</v>
      </c>
      <c r="D3967" s="52">
        <f>IF(Inputs!$C$241="",0,IF(Inputs!$E$241="planned",(Inputs!$D$241+N(INDEX(sc_dpts,1)))*$C3967,Inputs!$D$241))</f>
        <v>0</v>
      </c>
      <c r="E3967" s="53">
        <f>IF(Inputs!$C$241="",0,IF(1+$D3967&gt;0,LN(1+$D3967),0))</f>
        <v>0</v>
      </c>
      <c r="F3967" s="55">
        <f t="shared" si="1439"/>
        <v>0</v>
      </c>
      <c r="G3967" s="55">
        <f>IF($A3967="",0,COUNTIFS(rl_key,Inputs!$J$241,$B$3806:$B$4045,$B3967,$A$3806:$A$4045,"&lt;"&amp;$A3967))</f>
        <v>0</v>
      </c>
      <c r="H3967" s="55">
        <f>IF($A3967="",0,COUNTIFS(Inputs!$J$80:$J$241,Inputs!$J$241,$B$3806:$B3967,$B3967,$A$3806:$A3967,$A3967))</f>
        <v>0</v>
      </c>
      <c r="I3967" s="55">
        <f t="shared" si="1440"/>
        <v>0</v>
      </c>
      <c r="K3967" s="54" t="str">
        <f>IF(Inputs!$C$241="","",IF(Inputs!$E$241="planned",EDATE(Inputs!$C$241,N(INDEX(sc_shift,2))),Inputs!$C$241))</f>
        <v/>
      </c>
      <c r="L3967" s="54" t="str">
        <f t="shared" si="1441"/>
        <v/>
      </c>
      <c r="M3967" s="52">
        <f>IF(N(INDEX(sc_ach,2))=0,IF(Inputs!$G$241="",1,Inputs!$G$241),INDEX(sc_ach,2))</f>
        <v>1</v>
      </c>
      <c r="N3967" s="52">
        <f>IF(Inputs!$C$241="",0,IF(Inputs!$E$241="planned",(Inputs!$D$241+N(INDEX(sc_dpts,2)))*$M3967,Inputs!$D$241))</f>
        <v>0</v>
      </c>
      <c r="O3967" s="53">
        <f>IF(Inputs!$C$241="",0,IF(1+$N3967&gt;0,LN(1+$N3967),0))</f>
        <v>0</v>
      </c>
      <c r="P3967" s="55">
        <f t="shared" si="1442"/>
        <v>0</v>
      </c>
      <c r="Q3967" s="55">
        <f>IF($K3967="",0,COUNTIFS(rl_key,Inputs!$J$241,$L$3806:$L$4045,$L3967,$K$3806:$K$4045,"&lt;"&amp;$K3967))</f>
        <v>0</v>
      </c>
      <c r="R3967" s="55">
        <f>IF($K3967="",0,COUNTIFS(Inputs!$J$80:$J$241,Inputs!$J$241,$L$3806:$L3967,$L3967,$K$3806:$K3967,$K3967))</f>
        <v>0</v>
      </c>
      <c r="S3967" s="55">
        <f t="shared" si="1443"/>
        <v>0</v>
      </c>
      <c r="U3967" s="54" t="str">
        <f>IF(Inputs!$C$241="","",IF(Inputs!$E$241="planned",EDATE(Inputs!$C$241,N(INDEX(sc_shift,3))),Inputs!$C$241))</f>
        <v/>
      </c>
      <c r="V3967" s="54" t="str">
        <f t="shared" si="1444"/>
        <v/>
      </c>
      <c r="W3967" s="52">
        <f>IF(N(INDEX(sc_ach,3))=0,IF(Inputs!$G$241="",1,Inputs!$G$241),INDEX(sc_ach,3))</f>
        <v>1</v>
      </c>
      <c r="X3967" s="52">
        <f>IF(Inputs!$C$241="",0,IF(Inputs!$E$241="planned",(Inputs!$D$241+N(INDEX(sc_dpts,3)))*$W3967,Inputs!$D$241))</f>
        <v>0</v>
      </c>
      <c r="Y3967" s="53">
        <f>IF(Inputs!$C$241="",0,IF(1+$X3967&gt;0,LN(1+$X3967),0))</f>
        <v>0</v>
      </c>
      <c r="Z3967" s="55">
        <f t="shared" si="1445"/>
        <v>0</v>
      </c>
      <c r="AA3967" s="55">
        <f>IF($U3967="",0,COUNTIFS(rl_key,Inputs!$J$241,$V$3806:$V$4045,$V3967,$U$3806:$U$4045,"&lt;"&amp;$U3967))</f>
        <v>0</v>
      </c>
      <c r="AB3967" s="55">
        <f>IF($U3967="",0,COUNTIFS(Inputs!$J$80:$J$241,Inputs!$J$241,$V$3806:$V3967,$V3967,$U$3806:$U3967,$U3967))</f>
        <v>0</v>
      </c>
      <c r="AC3967" s="55">
        <f t="shared" si="1446"/>
        <v>0</v>
      </c>
      <c r="AE3967" s="54" t="str">
        <f>IF(Inputs!$C$241="","",IF(Inputs!$E$241="planned",EDATE(Inputs!$C$241,N(INDEX(sc_shift,4))),Inputs!$C$241))</f>
        <v/>
      </c>
      <c r="AF3967" s="54" t="str">
        <f t="shared" si="1447"/>
        <v/>
      </c>
      <c r="AG3967" s="52">
        <f>IF(N(INDEX(sc_ach,4))=0,IF(Inputs!$G$241="",1,Inputs!$G$241),INDEX(sc_ach,4))</f>
        <v>1</v>
      </c>
      <c r="AH3967" s="52">
        <f>IF(Inputs!$C$241="",0,IF(Inputs!$E$241="planned",(Inputs!$D$241+N(INDEX(sc_dpts,4)))*$AG3967,Inputs!$D$241))</f>
        <v>0</v>
      </c>
      <c r="AI3967" s="53">
        <f>IF(Inputs!$C$241="",0,IF(1+$AH3967&gt;0,LN(1+$AH3967),0))</f>
        <v>0</v>
      </c>
      <c r="AJ3967" s="55">
        <f t="shared" si="1448"/>
        <v>0</v>
      </c>
      <c r="AK3967" s="55">
        <f>IF($AE3967="",0,COUNTIFS(rl_key,Inputs!$J$241,$AF$3806:$AF$4045,$AF3967,$AE$3806:$AE$4045,"&lt;"&amp;$AE3967))</f>
        <v>0</v>
      </c>
      <c r="AL3967" s="55">
        <f>IF($AE3967="",0,COUNTIFS(Inputs!$J$80:$J$241,Inputs!$J$241,$AF$3806:$AF3967,$AF3967,$AE$3806:$AE3967,$AE3967))</f>
        <v>0</v>
      </c>
      <c r="AM3967" s="55">
        <f t="shared" si="1449"/>
        <v>0</v>
      </c>
    </row>
    <row r="3968" spans="1:39" x14ac:dyDescent="0.25">
      <c r="A3968" s="54" t="str">
        <f>IF(Inputs!$C$242="","",IF(Inputs!$E$242="planned",EDATE(Inputs!$C$242,N(INDEX(sc_shift,1))),Inputs!$C$242))</f>
        <v/>
      </c>
      <c r="B3968" s="54" t="str">
        <f t="shared" si="1438"/>
        <v/>
      </c>
      <c r="C3968" s="52">
        <f>IF(N(INDEX(sc_ach,1))=0,IF(Inputs!$G$242="",1,Inputs!$G$242),INDEX(sc_ach,1))</f>
        <v>1</v>
      </c>
      <c r="D3968" s="52">
        <f>IF(Inputs!$C$242="",0,IF(Inputs!$E$242="planned",(Inputs!$D$242+N(INDEX(sc_dpts,1)))*$C3968,Inputs!$D$242))</f>
        <v>0</v>
      </c>
      <c r="E3968" s="53">
        <f>IF(Inputs!$C$242="",0,IF(1+$D3968&gt;0,LN(1+$D3968),0))</f>
        <v>0</v>
      </c>
      <c r="F3968" s="55">
        <f t="shared" si="1439"/>
        <v>0</v>
      </c>
      <c r="G3968" s="55">
        <f>IF($A3968="",0,COUNTIFS(rl_key,Inputs!$J$242,$B$3806:$B$4045,$B3968,$A$3806:$A$4045,"&lt;"&amp;$A3968))</f>
        <v>0</v>
      </c>
      <c r="H3968" s="55">
        <f>IF($A3968="",0,COUNTIFS(Inputs!$J$80:$J$242,Inputs!$J$242,$B$3806:$B3968,$B3968,$A$3806:$A3968,$A3968))</f>
        <v>0</v>
      </c>
      <c r="I3968" s="55">
        <f t="shared" si="1440"/>
        <v>0</v>
      </c>
      <c r="K3968" s="54" t="str">
        <f>IF(Inputs!$C$242="","",IF(Inputs!$E$242="planned",EDATE(Inputs!$C$242,N(INDEX(sc_shift,2))),Inputs!$C$242))</f>
        <v/>
      </c>
      <c r="L3968" s="54" t="str">
        <f t="shared" si="1441"/>
        <v/>
      </c>
      <c r="M3968" s="52">
        <f>IF(N(INDEX(sc_ach,2))=0,IF(Inputs!$G$242="",1,Inputs!$G$242),INDEX(sc_ach,2))</f>
        <v>1</v>
      </c>
      <c r="N3968" s="52">
        <f>IF(Inputs!$C$242="",0,IF(Inputs!$E$242="planned",(Inputs!$D$242+N(INDEX(sc_dpts,2)))*$M3968,Inputs!$D$242))</f>
        <v>0</v>
      </c>
      <c r="O3968" s="53">
        <f>IF(Inputs!$C$242="",0,IF(1+$N3968&gt;0,LN(1+$N3968),0))</f>
        <v>0</v>
      </c>
      <c r="P3968" s="55">
        <f t="shared" si="1442"/>
        <v>0</v>
      </c>
      <c r="Q3968" s="55">
        <f>IF($K3968="",0,COUNTIFS(rl_key,Inputs!$J$242,$L$3806:$L$4045,$L3968,$K$3806:$K$4045,"&lt;"&amp;$K3968))</f>
        <v>0</v>
      </c>
      <c r="R3968" s="55">
        <f>IF($K3968="",0,COUNTIFS(Inputs!$J$80:$J$242,Inputs!$J$242,$L$3806:$L3968,$L3968,$K$3806:$K3968,$K3968))</f>
        <v>0</v>
      </c>
      <c r="S3968" s="55">
        <f t="shared" si="1443"/>
        <v>0</v>
      </c>
      <c r="U3968" s="54" t="str">
        <f>IF(Inputs!$C$242="","",IF(Inputs!$E$242="planned",EDATE(Inputs!$C$242,N(INDEX(sc_shift,3))),Inputs!$C$242))</f>
        <v/>
      </c>
      <c r="V3968" s="54" t="str">
        <f t="shared" si="1444"/>
        <v/>
      </c>
      <c r="W3968" s="52">
        <f>IF(N(INDEX(sc_ach,3))=0,IF(Inputs!$G$242="",1,Inputs!$G$242),INDEX(sc_ach,3))</f>
        <v>1</v>
      </c>
      <c r="X3968" s="52">
        <f>IF(Inputs!$C$242="",0,IF(Inputs!$E$242="planned",(Inputs!$D$242+N(INDEX(sc_dpts,3)))*$W3968,Inputs!$D$242))</f>
        <v>0</v>
      </c>
      <c r="Y3968" s="53">
        <f>IF(Inputs!$C$242="",0,IF(1+$X3968&gt;0,LN(1+$X3968),0))</f>
        <v>0</v>
      </c>
      <c r="Z3968" s="55">
        <f t="shared" si="1445"/>
        <v>0</v>
      </c>
      <c r="AA3968" s="55">
        <f>IF($U3968="",0,COUNTIFS(rl_key,Inputs!$J$242,$V$3806:$V$4045,$V3968,$U$3806:$U$4045,"&lt;"&amp;$U3968))</f>
        <v>0</v>
      </c>
      <c r="AB3968" s="55">
        <f>IF($U3968="",0,COUNTIFS(Inputs!$J$80:$J$242,Inputs!$J$242,$V$3806:$V3968,$V3968,$U$3806:$U3968,$U3968))</f>
        <v>0</v>
      </c>
      <c r="AC3968" s="55">
        <f t="shared" si="1446"/>
        <v>0</v>
      </c>
      <c r="AE3968" s="54" t="str">
        <f>IF(Inputs!$C$242="","",IF(Inputs!$E$242="planned",EDATE(Inputs!$C$242,N(INDEX(sc_shift,4))),Inputs!$C$242))</f>
        <v/>
      </c>
      <c r="AF3968" s="54" t="str">
        <f t="shared" si="1447"/>
        <v/>
      </c>
      <c r="AG3968" s="52">
        <f>IF(N(INDEX(sc_ach,4))=0,IF(Inputs!$G$242="",1,Inputs!$G$242),INDEX(sc_ach,4))</f>
        <v>1</v>
      </c>
      <c r="AH3968" s="52">
        <f>IF(Inputs!$C$242="",0,IF(Inputs!$E$242="planned",(Inputs!$D$242+N(INDEX(sc_dpts,4)))*$AG3968,Inputs!$D$242))</f>
        <v>0</v>
      </c>
      <c r="AI3968" s="53">
        <f>IF(Inputs!$C$242="",0,IF(1+$AH3968&gt;0,LN(1+$AH3968),0))</f>
        <v>0</v>
      </c>
      <c r="AJ3968" s="55">
        <f t="shared" si="1448"/>
        <v>0</v>
      </c>
      <c r="AK3968" s="55">
        <f>IF($AE3968="",0,COUNTIFS(rl_key,Inputs!$J$242,$AF$3806:$AF$4045,$AF3968,$AE$3806:$AE$4045,"&lt;"&amp;$AE3968))</f>
        <v>0</v>
      </c>
      <c r="AL3968" s="55">
        <f>IF($AE3968="",0,COUNTIFS(Inputs!$J$80:$J$242,Inputs!$J$242,$AF$3806:$AF3968,$AF3968,$AE$3806:$AE3968,$AE3968))</f>
        <v>0</v>
      </c>
      <c r="AM3968" s="55">
        <f t="shared" si="1449"/>
        <v>0</v>
      </c>
    </row>
    <row r="3969" spans="1:39" x14ac:dyDescent="0.25">
      <c r="A3969" s="54" t="str">
        <f>IF(Inputs!$C$243="","",IF(Inputs!$E$243="planned",EDATE(Inputs!$C$243,N(INDEX(sc_shift,1))),Inputs!$C$243))</f>
        <v/>
      </c>
      <c r="B3969" s="54" t="str">
        <f t="shared" si="1438"/>
        <v/>
      </c>
      <c r="C3969" s="52">
        <f>IF(N(INDEX(sc_ach,1))=0,IF(Inputs!$G$243="",1,Inputs!$G$243),INDEX(sc_ach,1))</f>
        <v>1</v>
      </c>
      <c r="D3969" s="52">
        <f>IF(Inputs!$C$243="",0,IF(Inputs!$E$243="planned",(Inputs!$D$243+N(INDEX(sc_dpts,1)))*$C3969,Inputs!$D$243))</f>
        <v>0</v>
      </c>
      <c r="E3969" s="53">
        <f>IF(Inputs!$C$243="",0,IF(1+$D3969&gt;0,LN(1+$D3969),0))</f>
        <v>0</v>
      </c>
      <c r="F3969" s="55">
        <f t="shared" si="1439"/>
        <v>0</v>
      </c>
      <c r="G3969" s="55">
        <f>IF($A3969="",0,COUNTIFS(rl_key,Inputs!$J$243,$B$3806:$B$4045,$B3969,$A$3806:$A$4045,"&lt;"&amp;$A3969))</f>
        <v>0</v>
      </c>
      <c r="H3969" s="55">
        <f>IF($A3969="",0,COUNTIFS(Inputs!$J$80:$J$243,Inputs!$J$243,$B$3806:$B3969,$B3969,$A$3806:$A3969,$A3969))</f>
        <v>0</v>
      </c>
      <c r="I3969" s="55">
        <f t="shared" si="1440"/>
        <v>0</v>
      </c>
      <c r="K3969" s="54" t="str">
        <f>IF(Inputs!$C$243="","",IF(Inputs!$E$243="planned",EDATE(Inputs!$C$243,N(INDEX(sc_shift,2))),Inputs!$C$243))</f>
        <v/>
      </c>
      <c r="L3969" s="54" t="str">
        <f t="shared" si="1441"/>
        <v/>
      </c>
      <c r="M3969" s="52">
        <f>IF(N(INDEX(sc_ach,2))=0,IF(Inputs!$G$243="",1,Inputs!$G$243),INDEX(sc_ach,2))</f>
        <v>1</v>
      </c>
      <c r="N3969" s="52">
        <f>IF(Inputs!$C$243="",0,IF(Inputs!$E$243="planned",(Inputs!$D$243+N(INDEX(sc_dpts,2)))*$M3969,Inputs!$D$243))</f>
        <v>0</v>
      </c>
      <c r="O3969" s="53">
        <f>IF(Inputs!$C$243="",0,IF(1+$N3969&gt;0,LN(1+$N3969),0))</f>
        <v>0</v>
      </c>
      <c r="P3969" s="55">
        <f t="shared" si="1442"/>
        <v>0</v>
      </c>
      <c r="Q3969" s="55">
        <f>IF($K3969="",0,COUNTIFS(rl_key,Inputs!$J$243,$L$3806:$L$4045,$L3969,$K$3806:$K$4045,"&lt;"&amp;$K3969))</f>
        <v>0</v>
      </c>
      <c r="R3969" s="55">
        <f>IF($K3969="",0,COUNTIFS(Inputs!$J$80:$J$243,Inputs!$J$243,$L$3806:$L3969,$L3969,$K$3806:$K3969,$K3969))</f>
        <v>0</v>
      </c>
      <c r="S3969" s="55">
        <f t="shared" si="1443"/>
        <v>0</v>
      </c>
      <c r="U3969" s="54" t="str">
        <f>IF(Inputs!$C$243="","",IF(Inputs!$E$243="planned",EDATE(Inputs!$C$243,N(INDEX(sc_shift,3))),Inputs!$C$243))</f>
        <v/>
      </c>
      <c r="V3969" s="54" t="str">
        <f t="shared" si="1444"/>
        <v/>
      </c>
      <c r="W3969" s="52">
        <f>IF(N(INDEX(sc_ach,3))=0,IF(Inputs!$G$243="",1,Inputs!$G$243),INDEX(sc_ach,3))</f>
        <v>1</v>
      </c>
      <c r="X3969" s="52">
        <f>IF(Inputs!$C$243="",0,IF(Inputs!$E$243="planned",(Inputs!$D$243+N(INDEX(sc_dpts,3)))*$W3969,Inputs!$D$243))</f>
        <v>0</v>
      </c>
      <c r="Y3969" s="53">
        <f>IF(Inputs!$C$243="",0,IF(1+$X3969&gt;0,LN(1+$X3969),0))</f>
        <v>0</v>
      </c>
      <c r="Z3969" s="55">
        <f t="shared" si="1445"/>
        <v>0</v>
      </c>
      <c r="AA3969" s="55">
        <f>IF($U3969="",0,COUNTIFS(rl_key,Inputs!$J$243,$V$3806:$V$4045,$V3969,$U$3806:$U$4045,"&lt;"&amp;$U3969))</f>
        <v>0</v>
      </c>
      <c r="AB3969" s="55">
        <f>IF($U3969="",0,COUNTIFS(Inputs!$J$80:$J$243,Inputs!$J$243,$V$3806:$V3969,$V3969,$U$3806:$U3969,$U3969))</f>
        <v>0</v>
      </c>
      <c r="AC3969" s="55">
        <f t="shared" si="1446"/>
        <v>0</v>
      </c>
      <c r="AE3969" s="54" t="str">
        <f>IF(Inputs!$C$243="","",IF(Inputs!$E$243="planned",EDATE(Inputs!$C$243,N(INDEX(sc_shift,4))),Inputs!$C$243))</f>
        <v/>
      </c>
      <c r="AF3969" s="54" t="str">
        <f t="shared" si="1447"/>
        <v/>
      </c>
      <c r="AG3969" s="52">
        <f>IF(N(INDEX(sc_ach,4))=0,IF(Inputs!$G$243="",1,Inputs!$G$243),INDEX(sc_ach,4))</f>
        <v>1</v>
      </c>
      <c r="AH3969" s="52">
        <f>IF(Inputs!$C$243="",0,IF(Inputs!$E$243="planned",(Inputs!$D$243+N(INDEX(sc_dpts,4)))*$AG3969,Inputs!$D$243))</f>
        <v>0</v>
      </c>
      <c r="AI3969" s="53">
        <f>IF(Inputs!$C$243="",0,IF(1+$AH3969&gt;0,LN(1+$AH3969),0))</f>
        <v>0</v>
      </c>
      <c r="AJ3969" s="55">
        <f t="shared" si="1448"/>
        <v>0</v>
      </c>
      <c r="AK3969" s="55">
        <f>IF($AE3969="",0,COUNTIFS(rl_key,Inputs!$J$243,$AF$3806:$AF$4045,$AF3969,$AE$3806:$AE$4045,"&lt;"&amp;$AE3969))</f>
        <v>0</v>
      </c>
      <c r="AL3969" s="55">
        <f>IF($AE3969="",0,COUNTIFS(Inputs!$J$80:$J$243,Inputs!$J$243,$AF$3806:$AF3969,$AF3969,$AE$3806:$AE3969,$AE3969))</f>
        <v>0</v>
      </c>
      <c r="AM3969" s="55">
        <f t="shared" si="1449"/>
        <v>0</v>
      </c>
    </row>
    <row r="3970" spans="1:39" x14ac:dyDescent="0.25">
      <c r="A3970" s="54" t="str">
        <f>IF(Inputs!$C$244="","",IF(Inputs!$E$244="planned",EDATE(Inputs!$C$244,N(INDEX(sc_shift,1))),Inputs!$C$244))</f>
        <v/>
      </c>
      <c r="B3970" s="54" t="str">
        <f t="shared" si="1438"/>
        <v/>
      </c>
      <c r="C3970" s="52">
        <f>IF(N(INDEX(sc_ach,1))=0,IF(Inputs!$G$244="",1,Inputs!$G$244),INDEX(sc_ach,1))</f>
        <v>1</v>
      </c>
      <c r="D3970" s="52">
        <f>IF(Inputs!$C$244="",0,IF(Inputs!$E$244="planned",(Inputs!$D$244+N(INDEX(sc_dpts,1)))*$C3970,Inputs!$D$244))</f>
        <v>0</v>
      </c>
      <c r="E3970" s="53">
        <f>IF(Inputs!$C$244="",0,IF(1+$D3970&gt;0,LN(1+$D3970),0))</f>
        <v>0</v>
      </c>
      <c r="F3970" s="55">
        <f t="shared" si="1439"/>
        <v>0</v>
      </c>
      <c r="G3970" s="55">
        <f>IF($A3970="",0,COUNTIFS(rl_key,Inputs!$J$244,$B$3806:$B$4045,$B3970,$A$3806:$A$4045,"&lt;"&amp;$A3970))</f>
        <v>0</v>
      </c>
      <c r="H3970" s="55">
        <f>IF($A3970="",0,COUNTIFS(Inputs!$J$80:$J$244,Inputs!$J$244,$B$3806:$B3970,$B3970,$A$3806:$A3970,$A3970))</f>
        <v>0</v>
      </c>
      <c r="I3970" s="55">
        <f t="shared" si="1440"/>
        <v>0</v>
      </c>
      <c r="K3970" s="54" t="str">
        <f>IF(Inputs!$C$244="","",IF(Inputs!$E$244="planned",EDATE(Inputs!$C$244,N(INDEX(sc_shift,2))),Inputs!$C$244))</f>
        <v/>
      </c>
      <c r="L3970" s="54" t="str">
        <f t="shared" si="1441"/>
        <v/>
      </c>
      <c r="M3970" s="52">
        <f>IF(N(INDEX(sc_ach,2))=0,IF(Inputs!$G$244="",1,Inputs!$G$244),INDEX(sc_ach,2))</f>
        <v>1</v>
      </c>
      <c r="N3970" s="52">
        <f>IF(Inputs!$C$244="",0,IF(Inputs!$E$244="planned",(Inputs!$D$244+N(INDEX(sc_dpts,2)))*$M3970,Inputs!$D$244))</f>
        <v>0</v>
      </c>
      <c r="O3970" s="53">
        <f>IF(Inputs!$C$244="",0,IF(1+$N3970&gt;0,LN(1+$N3970),0))</f>
        <v>0</v>
      </c>
      <c r="P3970" s="55">
        <f t="shared" si="1442"/>
        <v>0</v>
      </c>
      <c r="Q3970" s="55">
        <f>IF($K3970="",0,COUNTIFS(rl_key,Inputs!$J$244,$L$3806:$L$4045,$L3970,$K$3806:$K$4045,"&lt;"&amp;$K3970))</f>
        <v>0</v>
      </c>
      <c r="R3970" s="55">
        <f>IF($K3970="",0,COUNTIFS(Inputs!$J$80:$J$244,Inputs!$J$244,$L$3806:$L3970,$L3970,$K$3806:$K3970,$K3970))</f>
        <v>0</v>
      </c>
      <c r="S3970" s="55">
        <f t="shared" si="1443"/>
        <v>0</v>
      </c>
      <c r="U3970" s="54" t="str">
        <f>IF(Inputs!$C$244="","",IF(Inputs!$E$244="planned",EDATE(Inputs!$C$244,N(INDEX(sc_shift,3))),Inputs!$C$244))</f>
        <v/>
      </c>
      <c r="V3970" s="54" t="str">
        <f t="shared" si="1444"/>
        <v/>
      </c>
      <c r="W3970" s="52">
        <f>IF(N(INDEX(sc_ach,3))=0,IF(Inputs!$G$244="",1,Inputs!$G$244),INDEX(sc_ach,3))</f>
        <v>1</v>
      </c>
      <c r="X3970" s="52">
        <f>IF(Inputs!$C$244="",0,IF(Inputs!$E$244="planned",(Inputs!$D$244+N(INDEX(sc_dpts,3)))*$W3970,Inputs!$D$244))</f>
        <v>0</v>
      </c>
      <c r="Y3970" s="53">
        <f>IF(Inputs!$C$244="",0,IF(1+$X3970&gt;0,LN(1+$X3970),0))</f>
        <v>0</v>
      </c>
      <c r="Z3970" s="55">
        <f t="shared" si="1445"/>
        <v>0</v>
      </c>
      <c r="AA3970" s="55">
        <f>IF($U3970="",0,COUNTIFS(rl_key,Inputs!$J$244,$V$3806:$V$4045,$V3970,$U$3806:$U$4045,"&lt;"&amp;$U3970))</f>
        <v>0</v>
      </c>
      <c r="AB3970" s="55">
        <f>IF($U3970="",0,COUNTIFS(Inputs!$J$80:$J$244,Inputs!$J$244,$V$3806:$V3970,$V3970,$U$3806:$U3970,$U3970))</f>
        <v>0</v>
      </c>
      <c r="AC3970" s="55">
        <f t="shared" si="1446"/>
        <v>0</v>
      </c>
      <c r="AE3970" s="54" t="str">
        <f>IF(Inputs!$C$244="","",IF(Inputs!$E$244="planned",EDATE(Inputs!$C$244,N(INDEX(sc_shift,4))),Inputs!$C$244))</f>
        <v/>
      </c>
      <c r="AF3970" s="54" t="str">
        <f t="shared" si="1447"/>
        <v/>
      </c>
      <c r="AG3970" s="52">
        <f>IF(N(INDEX(sc_ach,4))=0,IF(Inputs!$G$244="",1,Inputs!$G$244),INDEX(sc_ach,4))</f>
        <v>1</v>
      </c>
      <c r="AH3970" s="52">
        <f>IF(Inputs!$C$244="",0,IF(Inputs!$E$244="planned",(Inputs!$D$244+N(INDEX(sc_dpts,4)))*$AG3970,Inputs!$D$244))</f>
        <v>0</v>
      </c>
      <c r="AI3970" s="53">
        <f>IF(Inputs!$C$244="",0,IF(1+$AH3970&gt;0,LN(1+$AH3970),0))</f>
        <v>0</v>
      </c>
      <c r="AJ3970" s="55">
        <f t="shared" si="1448"/>
        <v>0</v>
      </c>
      <c r="AK3970" s="55">
        <f>IF($AE3970="",0,COUNTIFS(rl_key,Inputs!$J$244,$AF$3806:$AF$4045,$AF3970,$AE$3806:$AE$4045,"&lt;"&amp;$AE3970))</f>
        <v>0</v>
      </c>
      <c r="AL3970" s="55">
        <f>IF($AE3970="",0,COUNTIFS(Inputs!$J$80:$J$244,Inputs!$J$244,$AF$3806:$AF3970,$AF3970,$AE$3806:$AE3970,$AE3970))</f>
        <v>0</v>
      </c>
      <c r="AM3970" s="55">
        <f t="shared" si="1449"/>
        <v>0</v>
      </c>
    </row>
    <row r="3971" spans="1:39" x14ac:dyDescent="0.25">
      <c r="A3971" s="54" t="str">
        <f>IF(Inputs!$C$245="","",IF(Inputs!$E$245="planned",EDATE(Inputs!$C$245,N(INDEX(sc_shift,1))),Inputs!$C$245))</f>
        <v/>
      </c>
      <c r="B3971" s="54" t="str">
        <f t="shared" si="1438"/>
        <v/>
      </c>
      <c r="C3971" s="52">
        <f>IF(N(INDEX(sc_ach,1))=0,IF(Inputs!$G$245="",1,Inputs!$G$245),INDEX(sc_ach,1))</f>
        <v>1</v>
      </c>
      <c r="D3971" s="52">
        <f>IF(Inputs!$C$245="",0,IF(Inputs!$E$245="planned",(Inputs!$D$245+N(INDEX(sc_dpts,1)))*$C3971,Inputs!$D$245))</f>
        <v>0</v>
      </c>
      <c r="E3971" s="53">
        <f>IF(Inputs!$C$245="",0,IF(1+$D3971&gt;0,LN(1+$D3971),0))</f>
        <v>0</v>
      </c>
      <c r="F3971" s="55">
        <f t="shared" si="1439"/>
        <v>0</v>
      </c>
      <c r="G3971" s="55">
        <f>IF($A3971="",0,COUNTIFS(rl_key,Inputs!$J$245,$B$3806:$B$4045,$B3971,$A$3806:$A$4045,"&lt;"&amp;$A3971))</f>
        <v>0</v>
      </c>
      <c r="H3971" s="55">
        <f>IF($A3971="",0,COUNTIFS(Inputs!$J$80:$J$245,Inputs!$J$245,$B$3806:$B3971,$B3971,$A$3806:$A3971,$A3971))</f>
        <v>0</v>
      </c>
      <c r="I3971" s="55">
        <f t="shared" si="1440"/>
        <v>0</v>
      </c>
      <c r="K3971" s="54" t="str">
        <f>IF(Inputs!$C$245="","",IF(Inputs!$E$245="planned",EDATE(Inputs!$C$245,N(INDEX(sc_shift,2))),Inputs!$C$245))</f>
        <v/>
      </c>
      <c r="L3971" s="54" t="str">
        <f t="shared" si="1441"/>
        <v/>
      </c>
      <c r="M3971" s="52">
        <f>IF(N(INDEX(sc_ach,2))=0,IF(Inputs!$G$245="",1,Inputs!$G$245),INDEX(sc_ach,2))</f>
        <v>1</v>
      </c>
      <c r="N3971" s="52">
        <f>IF(Inputs!$C$245="",0,IF(Inputs!$E$245="planned",(Inputs!$D$245+N(INDEX(sc_dpts,2)))*$M3971,Inputs!$D$245))</f>
        <v>0</v>
      </c>
      <c r="O3971" s="53">
        <f>IF(Inputs!$C$245="",0,IF(1+$N3971&gt;0,LN(1+$N3971),0))</f>
        <v>0</v>
      </c>
      <c r="P3971" s="55">
        <f t="shared" si="1442"/>
        <v>0</v>
      </c>
      <c r="Q3971" s="55">
        <f>IF($K3971="",0,COUNTIFS(rl_key,Inputs!$J$245,$L$3806:$L$4045,$L3971,$K$3806:$K$4045,"&lt;"&amp;$K3971))</f>
        <v>0</v>
      </c>
      <c r="R3971" s="55">
        <f>IF($K3971="",0,COUNTIFS(Inputs!$J$80:$J$245,Inputs!$J$245,$L$3806:$L3971,$L3971,$K$3806:$K3971,$K3971))</f>
        <v>0</v>
      </c>
      <c r="S3971" s="55">
        <f t="shared" si="1443"/>
        <v>0</v>
      </c>
      <c r="U3971" s="54" t="str">
        <f>IF(Inputs!$C$245="","",IF(Inputs!$E$245="planned",EDATE(Inputs!$C$245,N(INDEX(sc_shift,3))),Inputs!$C$245))</f>
        <v/>
      </c>
      <c r="V3971" s="54" t="str">
        <f t="shared" si="1444"/>
        <v/>
      </c>
      <c r="W3971" s="52">
        <f>IF(N(INDEX(sc_ach,3))=0,IF(Inputs!$G$245="",1,Inputs!$G$245),INDEX(sc_ach,3))</f>
        <v>1</v>
      </c>
      <c r="X3971" s="52">
        <f>IF(Inputs!$C$245="",0,IF(Inputs!$E$245="planned",(Inputs!$D$245+N(INDEX(sc_dpts,3)))*$W3971,Inputs!$D$245))</f>
        <v>0</v>
      </c>
      <c r="Y3971" s="53">
        <f>IF(Inputs!$C$245="",0,IF(1+$X3971&gt;0,LN(1+$X3971),0))</f>
        <v>0</v>
      </c>
      <c r="Z3971" s="55">
        <f t="shared" si="1445"/>
        <v>0</v>
      </c>
      <c r="AA3971" s="55">
        <f>IF($U3971="",0,COUNTIFS(rl_key,Inputs!$J$245,$V$3806:$V$4045,$V3971,$U$3806:$U$4045,"&lt;"&amp;$U3971))</f>
        <v>0</v>
      </c>
      <c r="AB3971" s="55">
        <f>IF($U3971="",0,COUNTIFS(Inputs!$J$80:$J$245,Inputs!$J$245,$V$3806:$V3971,$V3971,$U$3806:$U3971,$U3971))</f>
        <v>0</v>
      </c>
      <c r="AC3971" s="55">
        <f t="shared" si="1446"/>
        <v>0</v>
      </c>
      <c r="AE3971" s="54" t="str">
        <f>IF(Inputs!$C$245="","",IF(Inputs!$E$245="planned",EDATE(Inputs!$C$245,N(INDEX(sc_shift,4))),Inputs!$C$245))</f>
        <v/>
      </c>
      <c r="AF3971" s="54" t="str">
        <f t="shared" si="1447"/>
        <v/>
      </c>
      <c r="AG3971" s="52">
        <f>IF(N(INDEX(sc_ach,4))=0,IF(Inputs!$G$245="",1,Inputs!$G$245),INDEX(sc_ach,4))</f>
        <v>1</v>
      </c>
      <c r="AH3971" s="52">
        <f>IF(Inputs!$C$245="",0,IF(Inputs!$E$245="planned",(Inputs!$D$245+N(INDEX(sc_dpts,4)))*$AG3971,Inputs!$D$245))</f>
        <v>0</v>
      </c>
      <c r="AI3971" s="53">
        <f>IF(Inputs!$C$245="",0,IF(1+$AH3971&gt;0,LN(1+$AH3971),0))</f>
        <v>0</v>
      </c>
      <c r="AJ3971" s="55">
        <f t="shared" si="1448"/>
        <v>0</v>
      </c>
      <c r="AK3971" s="55">
        <f>IF($AE3971="",0,COUNTIFS(rl_key,Inputs!$J$245,$AF$3806:$AF$4045,$AF3971,$AE$3806:$AE$4045,"&lt;"&amp;$AE3971))</f>
        <v>0</v>
      </c>
      <c r="AL3971" s="55">
        <f>IF($AE3971="",0,COUNTIFS(Inputs!$J$80:$J$245,Inputs!$J$245,$AF$3806:$AF3971,$AF3971,$AE$3806:$AE3971,$AE3971))</f>
        <v>0</v>
      </c>
      <c r="AM3971" s="55">
        <f t="shared" si="1449"/>
        <v>0</v>
      </c>
    </row>
    <row r="3972" spans="1:39" x14ac:dyDescent="0.25">
      <c r="A3972" s="54" t="str">
        <f>IF(Inputs!$C$246="","",IF(Inputs!$E$246="planned",EDATE(Inputs!$C$246,N(INDEX(sc_shift,1))),Inputs!$C$246))</f>
        <v/>
      </c>
      <c r="B3972" s="54" t="str">
        <f t="shared" si="1438"/>
        <v/>
      </c>
      <c r="C3972" s="52">
        <f>IF(N(INDEX(sc_ach,1))=0,IF(Inputs!$G$246="",1,Inputs!$G$246),INDEX(sc_ach,1))</f>
        <v>1</v>
      </c>
      <c r="D3972" s="52">
        <f>IF(Inputs!$C$246="",0,IF(Inputs!$E$246="planned",(Inputs!$D$246+N(INDEX(sc_dpts,1)))*$C3972,Inputs!$D$246))</f>
        <v>0</v>
      </c>
      <c r="E3972" s="53">
        <f>IF(Inputs!$C$246="",0,IF(1+$D3972&gt;0,LN(1+$D3972),0))</f>
        <v>0</v>
      </c>
      <c r="F3972" s="55">
        <f t="shared" si="1439"/>
        <v>0</v>
      </c>
      <c r="G3972" s="55">
        <f>IF($A3972="",0,COUNTIFS(rl_key,Inputs!$J$246,$B$3806:$B$4045,$B3972,$A$3806:$A$4045,"&lt;"&amp;$A3972))</f>
        <v>0</v>
      </c>
      <c r="H3972" s="55">
        <f>IF($A3972="",0,COUNTIFS(Inputs!$J$80:$J$246,Inputs!$J$246,$B$3806:$B3972,$B3972,$A$3806:$A3972,$A3972))</f>
        <v>0</v>
      </c>
      <c r="I3972" s="55">
        <f t="shared" si="1440"/>
        <v>0</v>
      </c>
      <c r="K3972" s="54" t="str">
        <f>IF(Inputs!$C$246="","",IF(Inputs!$E$246="planned",EDATE(Inputs!$C$246,N(INDEX(sc_shift,2))),Inputs!$C$246))</f>
        <v/>
      </c>
      <c r="L3972" s="54" t="str">
        <f t="shared" si="1441"/>
        <v/>
      </c>
      <c r="M3972" s="52">
        <f>IF(N(INDEX(sc_ach,2))=0,IF(Inputs!$G$246="",1,Inputs!$G$246),INDEX(sc_ach,2))</f>
        <v>1</v>
      </c>
      <c r="N3972" s="52">
        <f>IF(Inputs!$C$246="",0,IF(Inputs!$E$246="planned",(Inputs!$D$246+N(INDEX(sc_dpts,2)))*$M3972,Inputs!$D$246))</f>
        <v>0</v>
      </c>
      <c r="O3972" s="53">
        <f>IF(Inputs!$C$246="",0,IF(1+$N3972&gt;0,LN(1+$N3972),0))</f>
        <v>0</v>
      </c>
      <c r="P3972" s="55">
        <f t="shared" si="1442"/>
        <v>0</v>
      </c>
      <c r="Q3972" s="55">
        <f>IF($K3972="",0,COUNTIFS(rl_key,Inputs!$J$246,$L$3806:$L$4045,$L3972,$K$3806:$K$4045,"&lt;"&amp;$K3972))</f>
        <v>0</v>
      </c>
      <c r="R3972" s="55">
        <f>IF($K3972="",0,COUNTIFS(Inputs!$J$80:$J$246,Inputs!$J$246,$L$3806:$L3972,$L3972,$K$3806:$K3972,$K3972))</f>
        <v>0</v>
      </c>
      <c r="S3972" s="55">
        <f t="shared" si="1443"/>
        <v>0</v>
      </c>
      <c r="U3972" s="54" t="str">
        <f>IF(Inputs!$C$246="","",IF(Inputs!$E$246="planned",EDATE(Inputs!$C$246,N(INDEX(sc_shift,3))),Inputs!$C$246))</f>
        <v/>
      </c>
      <c r="V3972" s="54" t="str">
        <f t="shared" si="1444"/>
        <v/>
      </c>
      <c r="W3972" s="52">
        <f>IF(N(INDEX(sc_ach,3))=0,IF(Inputs!$G$246="",1,Inputs!$G$246),INDEX(sc_ach,3))</f>
        <v>1</v>
      </c>
      <c r="X3972" s="52">
        <f>IF(Inputs!$C$246="",0,IF(Inputs!$E$246="planned",(Inputs!$D$246+N(INDEX(sc_dpts,3)))*$W3972,Inputs!$D$246))</f>
        <v>0</v>
      </c>
      <c r="Y3972" s="53">
        <f>IF(Inputs!$C$246="",0,IF(1+$X3972&gt;0,LN(1+$X3972),0))</f>
        <v>0</v>
      </c>
      <c r="Z3972" s="55">
        <f t="shared" si="1445"/>
        <v>0</v>
      </c>
      <c r="AA3972" s="55">
        <f>IF($U3972="",0,COUNTIFS(rl_key,Inputs!$J$246,$V$3806:$V$4045,$V3972,$U$3806:$U$4045,"&lt;"&amp;$U3972))</f>
        <v>0</v>
      </c>
      <c r="AB3972" s="55">
        <f>IF($U3972="",0,COUNTIFS(Inputs!$J$80:$J$246,Inputs!$J$246,$V$3806:$V3972,$V3972,$U$3806:$U3972,$U3972))</f>
        <v>0</v>
      </c>
      <c r="AC3972" s="55">
        <f t="shared" si="1446"/>
        <v>0</v>
      </c>
      <c r="AE3972" s="54" t="str">
        <f>IF(Inputs!$C$246="","",IF(Inputs!$E$246="planned",EDATE(Inputs!$C$246,N(INDEX(sc_shift,4))),Inputs!$C$246))</f>
        <v/>
      </c>
      <c r="AF3972" s="54" t="str">
        <f t="shared" si="1447"/>
        <v/>
      </c>
      <c r="AG3972" s="52">
        <f>IF(N(INDEX(sc_ach,4))=0,IF(Inputs!$G$246="",1,Inputs!$G$246),INDEX(sc_ach,4))</f>
        <v>1</v>
      </c>
      <c r="AH3972" s="52">
        <f>IF(Inputs!$C$246="",0,IF(Inputs!$E$246="planned",(Inputs!$D$246+N(INDEX(sc_dpts,4)))*$AG3972,Inputs!$D$246))</f>
        <v>0</v>
      </c>
      <c r="AI3972" s="53">
        <f>IF(Inputs!$C$246="",0,IF(1+$AH3972&gt;0,LN(1+$AH3972),0))</f>
        <v>0</v>
      </c>
      <c r="AJ3972" s="55">
        <f t="shared" si="1448"/>
        <v>0</v>
      </c>
      <c r="AK3972" s="55">
        <f>IF($AE3972="",0,COUNTIFS(rl_key,Inputs!$J$246,$AF$3806:$AF$4045,$AF3972,$AE$3806:$AE$4045,"&lt;"&amp;$AE3972))</f>
        <v>0</v>
      </c>
      <c r="AL3972" s="55">
        <f>IF($AE3972="",0,COUNTIFS(Inputs!$J$80:$J$246,Inputs!$J$246,$AF$3806:$AF3972,$AF3972,$AE$3806:$AE3972,$AE3972))</f>
        <v>0</v>
      </c>
      <c r="AM3972" s="55">
        <f t="shared" si="1449"/>
        <v>0</v>
      </c>
    </row>
    <row r="3973" spans="1:39" x14ac:dyDescent="0.25">
      <c r="A3973" s="54" t="str">
        <f>IF(Inputs!$C$247="","",IF(Inputs!$E$247="planned",EDATE(Inputs!$C$247,N(INDEX(sc_shift,1))),Inputs!$C$247))</f>
        <v/>
      </c>
      <c r="B3973" s="54" t="str">
        <f t="shared" si="1438"/>
        <v/>
      </c>
      <c r="C3973" s="52">
        <f>IF(N(INDEX(sc_ach,1))=0,IF(Inputs!$G$247="",1,Inputs!$G$247),INDEX(sc_ach,1))</f>
        <v>1</v>
      </c>
      <c r="D3973" s="52">
        <f>IF(Inputs!$C$247="",0,IF(Inputs!$E$247="planned",(Inputs!$D$247+N(INDEX(sc_dpts,1)))*$C3973,Inputs!$D$247))</f>
        <v>0</v>
      </c>
      <c r="E3973" s="53">
        <f>IF(Inputs!$C$247="",0,IF(1+$D3973&gt;0,LN(1+$D3973),0))</f>
        <v>0</v>
      </c>
      <c r="F3973" s="55">
        <f t="shared" si="1439"/>
        <v>0</v>
      </c>
      <c r="G3973" s="55">
        <f>IF($A3973="",0,COUNTIFS(rl_key,Inputs!$J$247,$B$3806:$B$4045,$B3973,$A$3806:$A$4045,"&lt;"&amp;$A3973))</f>
        <v>0</v>
      </c>
      <c r="H3973" s="55">
        <f>IF($A3973="",0,COUNTIFS(Inputs!$J$80:$J$247,Inputs!$J$247,$B$3806:$B3973,$B3973,$A$3806:$A3973,$A3973))</f>
        <v>0</v>
      </c>
      <c r="I3973" s="55">
        <f t="shared" si="1440"/>
        <v>0</v>
      </c>
      <c r="K3973" s="54" t="str">
        <f>IF(Inputs!$C$247="","",IF(Inputs!$E$247="planned",EDATE(Inputs!$C$247,N(INDEX(sc_shift,2))),Inputs!$C$247))</f>
        <v/>
      </c>
      <c r="L3973" s="54" t="str">
        <f t="shared" si="1441"/>
        <v/>
      </c>
      <c r="M3973" s="52">
        <f>IF(N(INDEX(sc_ach,2))=0,IF(Inputs!$G$247="",1,Inputs!$G$247),INDEX(sc_ach,2))</f>
        <v>1</v>
      </c>
      <c r="N3973" s="52">
        <f>IF(Inputs!$C$247="",0,IF(Inputs!$E$247="planned",(Inputs!$D$247+N(INDEX(sc_dpts,2)))*$M3973,Inputs!$D$247))</f>
        <v>0</v>
      </c>
      <c r="O3973" s="53">
        <f>IF(Inputs!$C$247="",0,IF(1+$N3973&gt;0,LN(1+$N3973),0))</f>
        <v>0</v>
      </c>
      <c r="P3973" s="55">
        <f t="shared" si="1442"/>
        <v>0</v>
      </c>
      <c r="Q3973" s="55">
        <f>IF($K3973="",0,COUNTIFS(rl_key,Inputs!$J$247,$L$3806:$L$4045,$L3973,$K$3806:$K$4045,"&lt;"&amp;$K3973))</f>
        <v>0</v>
      </c>
      <c r="R3973" s="55">
        <f>IF($K3973="",0,COUNTIFS(Inputs!$J$80:$J$247,Inputs!$J$247,$L$3806:$L3973,$L3973,$K$3806:$K3973,$K3973))</f>
        <v>0</v>
      </c>
      <c r="S3973" s="55">
        <f t="shared" si="1443"/>
        <v>0</v>
      </c>
      <c r="U3973" s="54" t="str">
        <f>IF(Inputs!$C$247="","",IF(Inputs!$E$247="planned",EDATE(Inputs!$C$247,N(INDEX(sc_shift,3))),Inputs!$C$247))</f>
        <v/>
      </c>
      <c r="V3973" s="54" t="str">
        <f t="shared" si="1444"/>
        <v/>
      </c>
      <c r="W3973" s="52">
        <f>IF(N(INDEX(sc_ach,3))=0,IF(Inputs!$G$247="",1,Inputs!$G$247),INDEX(sc_ach,3))</f>
        <v>1</v>
      </c>
      <c r="X3973" s="52">
        <f>IF(Inputs!$C$247="",0,IF(Inputs!$E$247="planned",(Inputs!$D$247+N(INDEX(sc_dpts,3)))*$W3973,Inputs!$D$247))</f>
        <v>0</v>
      </c>
      <c r="Y3973" s="53">
        <f>IF(Inputs!$C$247="",0,IF(1+$X3973&gt;0,LN(1+$X3973),0))</f>
        <v>0</v>
      </c>
      <c r="Z3973" s="55">
        <f t="shared" si="1445"/>
        <v>0</v>
      </c>
      <c r="AA3973" s="55">
        <f>IF($U3973="",0,COUNTIFS(rl_key,Inputs!$J$247,$V$3806:$V$4045,$V3973,$U$3806:$U$4045,"&lt;"&amp;$U3973))</f>
        <v>0</v>
      </c>
      <c r="AB3973" s="55">
        <f>IF($U3973="",0,COUNTIFS(Inputs!$J$80:$J$247,Inputs!$J$247,$V$3806:$V3973,$V3973,$U$3806:$U3973,$U3973))</f>
        <v>0</v>
      </c>
      <c r="AC3973" s="55">
        <f t="shared" si="1446"/>
        <v>0</v>
      </c>
      <c r="AE3973" s="54" t="str">
        <f>IF(Inputs!$C$247="","",IF(Inputs!$E$247="planned",EDATE(Inputs!$C$247,N(INDEX(sc_shift,4))),Inputs!$C$247))</f>
        <v/>
      </c>
      <c r="AF3973" s="54" t="str">
        <f t="shared" si="1447"/>
        <v/>
      </c>
      <c r="AG3973" s="52">
        <f>IF(N(INDEX(sc_ach,4))=0,IF(Inputs!$G$247="",1,Inputs!$G$247),INDEX(sc_ach,4))</f>
        <v>1</v>
      </c>
      <c r="AH3973" s="52">
        <f>IF(Inputs!$C$247="",0,IF(Inputs!$E$247="planned",(Inputs!$D$247+N(INDEX(sc_dpts,4)))*$AG3973,Inputs!$D$247))</f>
        <v>0</v>
      </c>
      <c r="AI3973" s="53">
        <f>IF(Inputs!$C$247="",0,IF(1+$AH3973&gt;0,LN(1+$AH3973),0))</f>
        <v>0</v>
      </c>
      <c r="AJ3973" s="55">
        <f t="shared" si="1448"/>
        <v>0</v>
      </c>
      <c r="AK3973" s="55">
        <f>IF($AE3973="",0,COUNTIFS(rl_key,Inputs!$J$247,$AF$3806:$AF$4045,$AF3973,$AE$3806:$AE$4045,"&lt;"&amp;$AE3973))</f>
        <v>0</v>
      </c>
      <c r="AL3973" s="55">
        <f>IF($AE3973="",0,COUNTIFS(Inputs!$J$80:$J$247,Inputs!$J$247,$AF$3806:$AF3973,$AF3973,$AE$3806:$AE3973,$AE3973))</f>
        <v>0</v>
      </c>
      <c r="AM3973" s="55">
        <f t="shared" si="1449"/>
        <v>0</v>
      </c>
    </row>
    <row r="3974" spans="1:39" x14ac:dyDescent="0.25">
      <c r="A3974" s="54" t="str">
        <f>IF(Inputs!$C$248="","",IF(Inputs!$E$248="planned",EDATE(Inputs!$C$248,N(INDEX(sc_shift,1))),Inputs!$C$248))</f>
        <v/>
      </c>
      <c r="B3974" s="54" t="str">
        <f t="shared" si="1438"/>
        <v/>
      </c>
      <c r="C3974" s="52">
        <f>IF(N(INDEX(sc_ach,1))=0,IF(Inputs!$G$248="",1,Inputs!$G$248),INDEX(sc_ach,1))</f>
        <v>1</v>
      </c>
      <c r="D3974" s="52">
        <f>IF(Inputs!$C$248="",0,IF(Inputs!$E$248="planned",(Inputs!$D$248+N(INDEX(sc_dpts,1)))*$C3974,Inputs!$D$248))</f>
        <v>0</v>
      </c>
      <c r="E3974" s="53">
        <f>IF(Inputs!$C$248="",0,IF(1+$D3974&gt;0,LN(1+$D3974),0))</f>
        <v>0</v>
      </c>
      <c r="F3974" s="55">
        <f t="shared" si="1439"/>
        <v>0</v>
      </c>
      <c r="G3974" s="55">
        <f>IF($A3974="",0,COUNTIFS(rl_key,Inputs!$J$248,$B$3806:$B$4045,$B3974,$A$3806:$A$4045,"&lt;"&amp;$A3974))</f>
        <v>0</v>
      </c>
      <c r="H3974" s="55">
        <f>IF($A3974="",0,COUNTIFS(Inputs!$J$80:$J$248,Inputs!$J$248,$B$3806:$B3974,$B3974,$A$3806:$A3974,$A3974))</f>
        <v>0</v>
      </c>
      <c r="I3974" s="55">
        <f t="shared" si="1440"/>
        <v>0</v>
      </c>
      <c r="K3974" s="54" t="str">
        <f>IF(Inputs!$C$248="","",IF(Inputs!$E$248="planned",EDATE(Inputs!$C$248,N(INDEX(sc_shift,2))),Inputs!$C$248))</f>
        <v/>
      </c>
      <c r="L3974" s="54" t="str">
        <f t="shared" si="1441"/>
        <v/>
      </c>
      <c r="M3974" s="52">
        <f>IF(N(INDEX(sc_ach,2))=0,IF(Inputs!$G$248="",1,Inputs!$G$248),INDEX(sc_ach,2))</f>
        <v>1</v>
      </c>
      <c r="N3974" s="52">
        <f>IF(Inputs!$C$248="",0,IF(Inputs!$E$248="planned",(Inputs!$D$248+N(INDEX(sc_dpts,2)))*$M3974,Inputs!$D$248))</f>
        <v>0</v>
      </c>
      <c r="O3974" s="53">
        <f>IF(Inputs!$C$248="",0,IF(1+$N3974&gt;0,LN(1+$N3974),0))</f>
        <v>0</v>
      </c>
      <c r="P3974" s="55">
        <f t="shared" si="1442"/>
        <v>0</v>
      </c>
      <c r="Q3974" s="55">
        <f>IF($K3974="",0,COUNTIFS(rl_key,Inputs!$J$248,$L$3806:$L$4045,$L3974,$K$3806:$K$4045,"&lt;"&amp;$K3974))</f>
        <v>0</v>
      </c>
      <c r="R3974" s="55">
        <f>IF($K3974="",0,COUNTIFS(Inputs!$J$80:$J$248,Inputs!$J$248,$L$3806:$L3974,$L3974,$K$3806:$K3974,$K3974))</f>
        <v>0</v>
      </c>
      <c r="S3974" s="55">
        <f t="shared" si="1443"/>
        <v>0</v>
      </c>
      <c r="U3974" s="54" t="str">
        <f>IF(Inputs!$C$248="","",IF(Inputs!$E$248="planned",EDATE(Inputs!$C$248,N(INDEX(sc_shift,3))),Inputs!$C$248))</f>
        <v/>
      </c>
      <c r="V3974" s="54" t="str">
        <f t="shared" si="1444"/>
        <v/>
      </c>
      <c r="W3974" s="52">
        <f>IF(N(INDEX(sc_ach,3))=0,IF(Inputs!$G$248="",1,Inputs!$G$248),INDEX(sc_ach,3))</f>
        <v>1</v>
      </c>
      <c r="X3974" s="52">
        <f>IF(Inputs!$C$248="",0,IF(Inputs!$E$248="planned",(Inputs!$D$248+N(INDEX(sc_dpts,3)))*$W3974,Inputs!$D$248))</f>
        <v>0</v>
      </c>
      <c r="Y3974" s="53">
        <f>IF(Inputs!$C$248="",0,IF(1+$X3974&gt;0,LN(1+$X3974),0))</f>
        <v>0</v>
      </c>
      <c r="Z3974" s="55">
        <f t="shared" si="1445"/>
        <v>0</v>
      </c>
      <c r="AA3974" s="55">
        <f>IF($U3974="",0,COUNTIFS(rl_key,Inputs!$J$248,$V$3806:$V$4045,$V3974,$U$3806:$U$4045,"&lt;"&amp;$U3974))</f>
        <v>0</v>
      </c>
      <c r="AB3974" s="55">
        <f>IF($U3974="",0,COUNTIFS(Inputs!$J$80:$J$248,Inputs!$J$248,$V$3806:$V3974,$V3974,$U$3806:$U3974,$U3974))</f>
        <v>0</v>
      </c>
      <c r="AC3974" s="55">
        <f t="shared" si="1446"/>
        <v>0</v>
      </c>
      <c r="AE3974" s="54" t="str">
        <f>IF(Inputs!$C$248="","",IF(Inputs!$E$248="planned",EDATE(Inputs!$C$248,N(INDEX(sc_shift,4))),Inputs!$C$248))</f>
        <v/>
      </c>
      <c r="AF3974" s="54" t="str">
        <f t="shared" si="1447"/>
        <v/>
      </c>
      <c r="AG3974" s="52">
        <f>IF(N(INDEX(sc_ach,4))=0,IF(Inputs!$G$248="",1,Inputs!$G$248),INDEX(sc_ach,4))</f>
        <v>1</v>
      </c>
      <c r="AH3974" s="52">
        <f>IF(Inputs!$C$248="",0,IF(Inputs!$E$248="planned",(Inputs!$D$248+N(INDEX(sc_dpts,4)))*$AG3974,Inputs!$D$248))</f>
        <v>0</v>
      </c>
      <c r="AI3974" s="53">
        <f>IF(Inputs!$C$248="",0,IF(1+$AH3974&gt;0,LN(1+$AH3974),0))</f>
        <v>0</v>
      </c>
      <c r="AJ3974" s="55">
        <f t="shared" si="1448"/>
        <v>0</v>
      </c>
      <c r="AK3974" s="55">
        <f>IF($AE3974="",0,COUNTIFS(rl_key,Inputs!$J$248,$AF$3806:$AF$4045,$AF3974,$AE$3806:$AE$4045,"&lt;"&amp;$AE3974))</f>
        <v>0</v>
      </c>
      <c r="AL3974" s="55">
        <f>IF($AE3974="",0,COUNTIFS(Inputs!$J$80:$J$248,Inputs!$J$248,$AF$3806:$AF3974,$AF3974,$AE$3806:$AE3974,$AE3974))</f>
        <v>0</v>
      </c>
      <c r="AM3974" s="55">
        <f t="shared" si="1449"/>
        <v>0</v>
      </c>
    </row>
    <row r="3975" spans="1:39" x14ac:dyDescent="0.25">
      <c r="A3975" s="54" t="str">
        <f>IF(Inputs!$C$249="","",IF(Inputs!$E$249="planned",EDATE(Inputs!$C$249,N(INDEX(sc_shift,1))),Inputs!$C$249))</f>
        <v/>
      </c>
      <c r="B3975" s="54" t="str">
        <f t="shared" si="1438"/>
        <v/>
      </c>
      <c r="C3975" s="52">
        <f>IF(N(INDEX(sc_ach,1))=0,IF(Inputs!$G$249="",1,Inputs!$G$249),INDEX(sc_ach,1))</f>
        <v>1</v>
      </c>
      <c r="D3975" s="52">
        <f>IF(Inputs!$C$249="",0,IF(Inputs!$E$249="planned",(Inputs!$D$249+N(INDEX(sc_dpts,1)))*$C3975,Inputs!$D$249))</f>
        <v>0</v>
      </c>
      <c r="E3975" s="53">
        <f>IF(Inputs!$C$249="",0,IF(1+$D3975&gt;0,LN(1+$D3975),0))</f>
        <v>0</v>
      </c>
      <c r="F3975" s="55">
        <f t="shared" si="1439"/>
        <v>0</v>
      </c>
      <c r="G3975" s="55">
        <f>IF($A3975="",0,COUNTIFS(rl_key,Inputs!$J$249,$B$3806:$B$4045,$B3975,$A$3806:$A$4045,"&lt;"&amp;$A3975))</f>
        <v>0</v>
      </c>
      <c r="H3975" s="55">
        <f>IF($A3975="",0,COUNTIFS(Inputs!$J$80:$J$249,Inputs!$J$249,$B$3806:$B3975,$B3975,$A$3806:$A3975,$A3975))</f>
        <v>0</v>
      </c>
      <c r="I3975" s="55">
        <f t="shared" si="1440"/>
        <v>0</v>
      </c>
      <c r="K3975" s="54" t="str">
        <f>IF(Inputs!$C$249="","",IF(Inputs!$E$249="planned",EDATE(Inputs!$C$249,N(INDEX(sc_shift,2))),Inputs!$C$249))</f>
        <v/>
      </c>
      <c r="L3975" s="54" t="str">
        <f t="shared" si="1441"/>
        <v/>
      </c>
      <c r="M3975" s="52">
        <f>IF(N(INDEX(sc_ach,2))=0,IF(Inputs!$G$249="",1,Inputs!$G$249),INDEX(sc_ach,2))</f>
        <v>1</v>
      </c>
      <c r="N3975" s="52">
        <f>IF(Inputs!$C$249="",0,IF(Inputs!$E$249="planned",(Inputs!$D$249+N(INDEX(sc_dpts,2)))*$M3975,Inputs!$D$249))</f>
        <v>0</v>
      </c>
      <c r="O3975" s="53">
        <f>IF(Inputs!$C$249="",0,IF(1+$N3975&gt;0,LN(1+$N3975),0))</f>
        <v>0</v>
      </c>
      <c r="P3975" s="55">
        <f t="shared" si="1442"/>
        <v>0</v>
      </c>
      <c r="Q3975" s="55">
        <f>IF($K3975="",0,COUNTIFS(rl_key,Inputs!$J$249,$L$3806:$L$4045,$L3975,$K$3806:$K$4045,"&lt;"&amp;$K3975))</f>
        <v>0</v>
      </c>
      <c r="R3975" s="55">
        <f>IF($K3975="",0,COUNTIFS(Inputs!$J$80:$J$249,Inputs!$J$249,$L$3806:$L3975,$L3975,$K$3806:$K3975,$K3975))</f>
        <v>0</v>
      </c>
      <c r="S3975" s="55">
        <f t="shared" si="1443"/>
        <v>0</v>
      </c>
      <c r="U3975" s="54" t="str">
        <f>IF(Inputs!$C$249="","",IF(Inputs!$E$249="planned",EDATE(Inputs!$C$249,N(INDEX(sc_shift,3))),Inputs!$C$249))</f>
        <v/>
      </c>
      <c r="V3975" s="54" t="str">
        <f t="shared" si="1444"/>
        <v/>
      </c>
      <c r="W3975" s="52">
        <f>IF(N(INDEX(sc_ach,3))=0,IF(Inputs!$G$249="",1,Inputs!$G$249),INDEX(sc_ach,3))</f>
        <v>1</v>
      </c>
      <c r="X3975" s="52">
        <f>IF(Inputs!$C$249="",0,IF(Inputs!$E$249="planned",(Inputs!$D$249+N(INDEX(sc_dpts,3)))*$W3975,Inputs!$D$249))</f>
        <v>0</v>
      </c>
      <c r="Y3975" s="53">
        <f>IF(Inputs!$C$249="",0,IF(1+$X3975&gt;0,LN(1+$X3975),0))</f>
        <v>0</v>
      </c>
      <c r="Z3975" s="55">
        <f t="shared" si="1445"/>
        <v>0</v>
      </c>
      <c r="AA3975" s="55">
        <f>IF($U3975="",0,COUNTIFS(rl_key,Inputs!$J$249,$V$3806:$V$4045,$V3975,$U$3806:$U$4045,"&lt;"&amp;$U3975))</f>
        <v>0</v>
      </c>
      <c r="AB3975" s="55">
        <f>IF($U3975="",0,COUNTIFS(Inputs!$J$80:$J$249,Inputs!$J$249,$V$3806:$V3975,$V3975,$U$3806:$U3975,$U3975))</f>
        <v>0</v>
      </c>
      <c r="AC3975" s="55">
        <f t="shared" si="1446"/>
        <v>0</v>
      </c>
      <c r="AE3975" s="54" t="str">
        <f>IF(Inputs!$C$249="","",IF(Inputs!$E$249="planned",EDATE(Inputs!$C$249,N(INDEX(sc_shift,4))),Inputs!$C$249))</f>
        <v/>
      </c>
      <c r="AF3975" s="54" t="str">
        <f t="shared" si="1447"/>
        <v/>
      </c>
      <c r="AG3975" s="52">
        <f>IF(N(INDEX(sc_ach,4))=0,IF(Inputs!$G$249="",1,Inputs!$G$249),INDEX(sc_ach,4))</f>
        <v>1</v>
      </c>
      <c r="AH3975" s="52">
        <f>IF(Inputs!$C$249="",0,IF(Inputs!$E$249="planned",(Inputs!$D$249+N(INDEX(sc_dpts,4)))*$AG3975,Inputs!$D$249))</f>
        <v>0</v>
      </c>
      <c r="AI3975" s="53">
        <f>IF(Inputs!$C$249="",0,IF(1+$AH3975&gt;0,LN(1+$AH3975),0))</f>
        <v>0</v>
      </c>
      <c r="AJ3975" s="55">
        <f t="shared" si="1448"/>
        <v>0</v>
      </c>
      <c r="AK3975" s="55">
        <f>IF($AE3975="",0,COUNTIFS(rl_key,Inputs!$J$249,$AF$3806:$AF$4045,$AF3975,$AE$3806:$AE$4045,"&lt;"&amp;$AE3975))</f>
        <v>0</v>
      </c>
      <c r="AL3975" s="55">
        <f>IF($AE3975="",0,COUNTIFS(Inputs!$J$80:$J$249,Inputs!$J$249,$AF$3806:$AF3975,$AF3975,$AE$3806:$AE3975,$AE3975))</f>
        <v>0</v>
      </c>
      <c r="AM3975" s="55">
        <f t="shared" si="1449"/>
        <v>0</v>
      </c>
    </row>
    <row r="3976" spans="1:39" x14ac:dyDescent="0.25">
      <c r="A3976" s="54" t="str">
        <f>IF(Inputs!$C$250="","",IF(Inputs!$E$250="planned",EDATE(Inputs!$C$250,N(INDEX(sc_shift,1))),Inputs!$C$250))</f>
        <v/>
      </c>
      <c r="B3976" s="54" t="str">
        <f t="shared" si="1438"/>
        <v/>
      </c>
      <c r="C3976" s="52">
        <f>IF(N(INDEX(sc_ach,1))=0,IF(Inputs!$G$250="",1,Inputs!$G$250),INDEX(sc_ach,1))</f>
        <v>1</v>
      </c>
      <c r="D3976" s="52">
        <f>IF(Inputs!$C$250="",0,IF(Inputs!$E$250="planned",(Inputs!$D$250+N(INDEX(sc_dpts,1)))*$C3976,Inputs!$D$250))</f>
        <v>0</v>
      </c>
      <c r="E3976" s="53">
        <f>IF(Inputs!$C$250="",0,IF(1+$D3976&gt;0,LN(1+$D3976),0))</f>
        <v>0</v>
      </c>
      <c r="F3976" s="55">
        <f t="shared" si="1439"/>
        <v>0</v>
      </c>
      <c r="G3976" s="55">
        <f>IF($A3976="",0,COUNTIFS(rl_key,Inputs!$J$250,$B$3806:$B$4045,$B3976,$A$3806:$A$4045,"&lt;"&amp;$A3976))</f>
        <v>0</v>
      </c>
      <c r="H3976" s="55">
        <f>IF($A3976="",0,COUNTIFS(Inputs!$J$80:$J$250,Inputs!$J$250,$B$3806:$B3976,$B3976,$A$3806:$A3976,$A3976))</f>
        <v>0</v>
      </c>
      <c r="I3976" s="55">
        <f t="shared" si="1440"/>
        <v>0</v>
      </c>
      <c r="K3976" s="54" t="str">
        <f>IF(Inputs!$C$250="","",IF(Inputs!$E$250="planned",EDATE(Inputs!$C$250,N(INDEX(sc_shift,2))),Inputs!$C$250))</f>
        <v/>
      </c>
      <c r="L3976" s="54" t="str">
        <f t="shared" si="1441"/>
        <v/>
      </c>
      <c r="M3976" s="52">
        <f>IF(N(INDEX(sc_ach,2))=0,IF(Inputs!$G$250="",1,Inputs!$G$250),INDEX(sc_ach,2))</f>
        <v>1</v>
      </c>
      <c r="N3976" s="52">
        <f>IF(Inputs!$C$250="",0,IF(Inputs!$E$250="planned",(Inputs!$D$250+N(INDEX(sc_dpts,2)))*$M3976,Inputs!$D$250))</f>
        <v>0</v>
      </c>
      <c r="O3976" s="53">
        <f>IF(Inputs!$C$250="",0,IF(1+$N3976&gt;0,LN(1+$N3976),0))</f>
        <v>0</v>
      </c>
      <c r="P3976" s="55">
        <f t="shared" si="1442"/>
        <v>0</v>
      </c>
      <c r="Q3976" s="55">
        <f>IF($K3976="",0,COUNTIFS(rl_key,Inputs!$J$250,$L$3806:$L$4045,$L3976,$K$3806:$K$4045,"&lt;"&amp;$K3976))</f>
        <v>0</v>
      </c>
      <c r="R3976" s="55">
        <f>IF($K3976="",0,COUNTIFS(Inputs!$J$80:$J$250,Inputs!$J$250,$L$3806:$L3976,$L3976,$K$3806:$K3976,$K3976))</f>
        <v>0</v>
      </c>
      <c r="S3976" s="55">
        <f t="shared" si="1443"/>
        <v>0</v>
      </c>
      <c r="U3976" s="54" t="str">
        <f>IF(Inputs!$C$250="","",IF(Inputs!$E$250="planned",EDATE(Inputs!$C$250,N(INDEX(sc_shift,3))),Inputs!$C$250))</f>
        <v/>
      </c>
      <c r="V3976" s="54" t="str">
        <f t="shared" si="1444"/>
        <v/>
      </c>
      <c r="W3976" s="52">
        <f>IF(N(INDEX(sc_ach,3))=0,IF(Inputs!$G$250="",1,Inputs!$G$250),INDEX(sc_ach,3))</f>
        <v>1</v>
      </c>
      <c r="X3976" s="52">
        <f>IF(Inputs!$C$250="",0,IF(Inputs!$E$250="planned",(Inputs!$D$250+N(INDEX(sc_dpts,3)))*$W3976,Inputs!$D$250))</f>
        <v>0</v>
      </c>
      <c r="Y3976" s="53">
        <f>IF(Inputs!$C$250="",0,IF(1+$X3976&gt;0,LN(1+$X3976),0))</f>
        <v>0</v>
      </c>
      <c r="Z3976" s="55">
        <f t="shared" si="1445"/>
        <v>0</v>
      </c>
      <c r="AA3976" s="55">
        <f>IF($U3976="",0,COUNTIFS(rl_key,Inputs!$J$250,$V$3806:$V$4045,$V3976,$U$3806:$U$4045,"&lt;"&amp;$U3976))</f>
        <v>0</v>
      </c>
      <c r="AB3976" s="55">
        <f>IF($U3976="",0,COUNTIFS(Inputs!$J$80:$J$250,Inputs!$J$250,$V$3806:$V3976,$V3976,$U$3806:$U3976,$U3976))</f>
        <v>0</v>
      </c>
      <c r="AC3976" s="55">
        <f t="shared" si="1446"/>
        <v>0</v>
      </c>
      <c r="AE3976" s="54" t="str">
        <f>IF(Inputs!$C$250="","",IF(Inputs!$E$250="planned",EDATE(Inputs!$C$250,N(INDEX(sc_shift,4))),Inputs!$C$250))</f>
        <v/>
      </c>
      <c r="AF3976" s="54" t="str">
        <f t="shared" si="1447"/>
        <v/>
      </c>
      <c r="AG3976" s="52">
        <f>IF(N(INDEX(sc_ach,4))=0,IF(Inputs!$G$250="",1,Inputs!$G$250),INDEX(sc_ach,4))</f>
        <v>1</v>
      </c>
      <c r="AH3976" s="52">
        <f>IF(Inputs!$C$250="",0,IF(Inputs!$E$250="planned",(Inputs!$D$250+N(INDEX(sc_dpts,4)))*$AG3976,Inputs!$D$250))</f>
        <v>0</v>
      </c>
      <c r="AI3976" s="53">
        <f>IF(Inputs!$C$250="",0,IF(1+$AH3976&gt;0,LN(1+$AH3976),0))</f>
        <v>0</v>
      </c>
      <c r="AJ3976" s="55">
        <f t="shared" si="1448"/>
        <v>0</v>
      </c>
      <c r="AK3976" s="55">
        <f>IF($AE3976="",0,COUNTIFS(rl_key,Inputs!$J$250,$AF$3806:$AF$4045,$AF3976,$AE$3806:$AE$4045,"&lt;"&amp;$AE3976))</f>
        <v>0</v>
      </c>
      <c r="AL3976" s="55">
        <f>IF($AE3976="",0,COUNTIFS(Inputs!$J$80:$J$250,Inputs!$J$250,$AF$3806:$AF3976,$AF3976,$AE$3806:$AE3976,$AE3976))</f>
        <v>0</v>
      </c>
      <c r="AM3976" s="55">
        <f t="shared" si="1449"/>
        <v>0</v>
      </c>
    </row>
    <row r="3977" spans="1:39" x14ac:dyDescent="0.25">
      <c r="A3977" s="54" t="str">
        <f>IF(Inputs!$C$251="","",IF(Inputs!$E$251="planned",EDATE(Inputs!$C$251,N(INDEX(sc_shift,1))),Inputs!$C$251))</f>
        <v/>
      </c>
      <c r="B3977" s="54" t="str">
        <f t="shared" si="1438"/>
        <v/>
      </c>
      <c r="C3977" s="52">
        <f>IF(N(INDEX(sc_ach,1))=0,IF(Inputs!$G$251="",1,Inputs!$G$251),INDEX(sc_ach,1))</f>
        <v>1</v>
      </c>
      <c r="D3977" s="52">
        <f>IF(Inputs!$C$251="",0,IF(Inputs!$E$251="planned",(Inputs!$D$251+N(INDEX(sc_dpts,1)))*$C3977,Inputs!$D$251))</f>
        <v>0</v>
      </c>
      <c r="E3977" s="53">
        <f>IF(Inputs!$C$251="",0,IF(1+$D3977&gt;0,LN(1+$D3977),0))</f>
        <v>0</v>
      </c>
      <c r="F3977" s="55">
        <f t="shared" si="1439"/>
        <v>0</v>
      </c>
      <c r="G3977" s="55">
        <f>IF($A3977="",0,COUNTIFS(rl_key,Inputs!$J$251,$B$3806:$B$4045,$B3977,$A$3806:$A$4045,"&lt;"&amp;$A3977))</f>
        <v>0</v>
      </c>
      <c r="H3977" s="55">
        <f>IF($A3977="",0,COUNTIFS(Inputs!$J$80:$J$251,Inputs!$J$251,$B$3806:$B3977,$B3977,$A$3806:$A3977,$A3977))</f>
        <v>0</v>
      </c>
      <c r="I3977" s="55">
        <f t="shared" si="1440"/>
        <v>0</v>
      </c>
      <c r="K3977" s="54" t="str">
        <f>IF(Inputs!$C$251="","",IF(Inputs!$E$251="planned",EDATE(Inputs!$C$251,N(INDEX(sc_shift,2))),Inputs!$C$251))</f>
        <v/>
      </c>
      <c r="L3977" s="54" t="str">
        <f t="shared" si="1441"/>
        <v/>
      </c>
      <c r="M3977" s="52">
        <f>IF(N(INDEX(sc_ach,2))=0,IF(Inputs!$G$251="",1,Inputs!$G$251),INDEX(sc_ach,2))</f>
        <v>1</v>
      </c>
      <c r="N3977" s="52">
        <f>IF(Inputs!$C$251="",0,IF(Inputs!$E$251="planned",(Inputs!$D$251+N(INDEX(sc_dpts,2)))*$M3977,Inputs!$D$251))</f>
        <v>0</v>
      </c>
      <c r="O3977" s="53">
        <f>IF(Inputs!$C$251="",0,IF(1+$N3977&gt;0,LN(1+$N3977),0))</f>
        <v>0</v>
      </c>
      <c r="P3977" s="55">
        <f t="shared" si="1442"/>
        <v>0</v>
      </c>
      <c r="Q3977" s="55">
        <f>IF($K3977="",0,COUNTIFS(rl_key,Inputs!$J$251,$L$3806:$L$4045,$L3977,$K$3806:$K$4045,"&lt;"&amp;$K3977))</f>
        <v>0</v>
      </c>
      <c r="R3977" s="55">
        <f>IF($K3977="",0,COUNTIFS(Inputs!$J$80:$J$251,Inputs!$J$251,$L$3806:$L3977,$L3977,$K$3806:$K3977,$K3977))</f>
        <v>0</v>
      </c>
      <c r="S3977" s="55">
        <f t="shared" si="1443"/>
        <v>0</v>
      </c>
      <c r="U3977" s="54" t="str">
        <f>IF(Inputs!$C$251="","",IF(Inputs!$E$251="planned",EDATE(Inputs!$C$251,N(INDEX(sc_shift,3))),Inputs!$C$251))</f>
        <v/>
      </c>
      <c r="V3977" s="54" t="str">
        <f t="shared" si="1444"/>
        <v/>
      </c>
      <c r="W3977" s="52">
        <f>IF(N(INDEX(sc_ach,3))=0,IF(Inputs!$G$251="",1,Inputs!$G$251),INDEX(sc_ach,3))</f>
        <v>1</v>
      </c>
      <c r="X3977" s="52">
        <f>IF(Inputs!$C$251="",0,IF(Inputs!$E$251="planned",(Inputs!$D$251+N(INDEX(sc_dpts,3)))*$W3977,Inputs!$D$251))</f>
        <v>0</v>
      </c>
      <c r="Y3977" s="53">
        <f>IF(Inputs!$C$251="",0,IF(1+$X3977&gt;0,LN(1+$X3977),0))</f>
        <v>0</v>
      </c>
      <c r="Z3977" s="55">
        <f t="shared" si="1445"/>
        <v>0</v>
      </c>
      <c r="AA3977" s="55">
        <f>IF($U3977="",0,COUNTIFS(rl_key,Inputs!$J$251,$V$3806:$V$4045,$V3977,$U$3806:$U$4045,"&lt;"&amp;$U3977))</f>
        <v>0</v>
      </c>
      <c r="AB3977" s="55">
        <f>IF($U3977="",0,COUNTIFS(Inputs!$J$80:$J$251,Inputs!$J$251,$V$3806:$V3977,$V3977,$U$3806:$U3977,$U3977))</f>
        <v>0</v>
      </c>
      <c r="AC3977" s="55">
        <f t="shared" si="1446"/>
        <v>0</v>
      </c>
      <c r="AE3977" s="54" t="str">
        <f>IF(Inputs!$C$251="","",IF(Inputs!$E$251="planned",EDATE(Inputs!$C$251,N(INDEX(sc_shift,4))),Inputs!$C$251))</f>
        <v/>
      </c>
      <c r="AF3977" s="54" t="str">
        <f t="shared" si="1447"/>
        <v/>
      </c>
      <c r="AG3977" s="52">
        <f>IF(N(INDEX(sc_ach,4))=0,IF(Inputs!$G$251="",1,Inputs!$G$251),INDEX(sc_ach,4))</f>
        <v>1</v>
      </c>
      <c r="AH3977" s="52">
        <f>IF(Inputs!$C$251="",0,IF(Inputs!$E$251="planned",(Inputs!$D$251+N(INDEX(sc_dpts,4)))*$AG3977,Inputs!$D$251))</f>
        <v>0</v>
      </c>
      <c r="AI3977" s="53">
        <f>IF(Inputs!$C$251="",0,IF(1+$AH3977&gt;0,LN(1+$AH3977),0))</f>
        <v>0</v>
      </c>
      <c r="AJ3977" s="55">
        <f t="shared" si="1448"/>
        <v>0</v>
      </c>
      <c r="AK3977" s="55">
        <f>IF($AE3977="",0,COUNTIFS(rl_key,Inputs!$J$251,$AF$3806:$AF$4045,$AF3977,$AE$3806:$AE$4045,"&lt;"&amp;$AE3977))</f>
        <v>0</v>
      </c>
      <c r="AL3977" s="55">
        <f>IF($AE3977="",0,COUNTIFS(Inputs!$J$80:$J$251,Inputs!$J$251,$AF$3806:$AF3977,$AF3977,$AE$3806:$AE3977,$AE3977))</f>
        <v>0</v>
      </c>
      <c r="AM3977" s="55">
        <f t="shared" si="1449"/>
        <v>0</v>
      </c>
    </row>
    <row r="3978" spans="1:39" x14ac:dyDescent="0.25">
      <c r="A3978" s="54" t="str">
        <f>IF(Inputs!$C$252="","",IF(Inputs!$E$252="planned",EDATE(Inputs!$C$252,N(INDEX(sc_shift,1))),Inputs!$C$252))</f>
        <v/>
      </c>
      <c r="B3978" s="54" t="str">
        <f t="shared" si="1438"/>
        <v/>
      </c>
      <c r="C3978" s="52">
        <f>IF(N(INDEX(sc_ach,1))=0,IF(Inputs!$G$252="",1,Inputs!$G$252),INDEX(sc_ach,1))</f>
        <v>1</v>
      </c>
      <c r="D3978" s="52">
        <f>IF(Inputs!$C$252="",0,IF(Inputs!$E$252="planned",(Inputs!$D$252+N(INDEX(sc_dpts,1)))*$C3978,Inputs!$D$252))</f>
        <v>0</v>
      </c>
      <c r="E3978" s="53">
        <f>IF(Inputs!$C$252="",0,IF(1+$D3978&gt;0,LN(1+$D3978),0))</f>
        <v>0</v>
      </c>
      <c r="F3978" s="55">
        <f t="shared" si="1439"/>
        <v>0</v>
      </c>
      <c r="G3978" s="55">
        <f>IF($A3978="",0,COUNTIFS(rl_key,Inputs!$J$252,$B$3806:$B$4045,$B3978,$A$3806:$A$4045,"&lt;"&amp;$A3978))</f>
        <v>0</v>
      </c>
      <c r="H3978" s="55">
        <f>IF($A3978="",0,COUNTIFS(Inputs!$J$80:$J$252,Inputs!$J$252,$B$3806:$B3978,$B3978,$A$3806:$A3978,$A3978))</f>
        <v>0</v>
      </c>
      <c r="I3978" s="55">
        <f t="shared" si="1440"/>
        <v>0</v>
      </c>
      <c r="K3978" s="54" t="str">
        <f>IF(Inputs!$C$252="","",IF(Inputs!$E$252="planned",EDATE(Inputs!$C$252,N(INDEX(sc_shift,2))),Inputs!$C$252))</f>
        <v/>
      </c>
      <c r="L3978" s="54" t="str">
        <f t="shared" si="1441"/>
        <v/>
      </c>
      <c r="M3978" s="52">
        <f>IF(N(INDEX(sc_ach,2))=0,IF(Inputs!$G$252="",1,Inputs!$G$252),INDEX(sc_ach,2))</f>
        <v>1</v>
      </c>
      <c r="N3978" s="52">
        <f>IF(Inputs!$C$252="",0,IF(Inputs!$E$252="planned",(Inputs!$D$252+N(INDEX(sc_dpts,2)))*$M3978,Inputs!$D$252))</f>
        <v>0</v>
      </c>
      <c r="O3978" s="53">
        <f>IF(Inputs!$C$252="",0,IF(1+$N3978&gt;0,LN(1+$N3978),0))</f>
        <v>0</v>
      </c>
      <c r="P3978" s="55">
        <f t="shared" si="1442"/>
        <v>0</v>
      </c>
      <c r="Q3978" s="55">
        <f>IF($K3978="",0,COUNTIFS(rl_key,Inputs!$J$252,$L$3806:$L$4045,$L3978,$K$3806:$K$4045,"&lt;"&amp;$K3978))</f>
        <v>0</v>
      </c>
      <c r="R3978" s="55">
        <f>IF($K3978="",0,COUNTIFS(Inputs!$J$80:$J$252,Inputs!$J$252,$L$3806:$L3978,$L3978,$K$3806:$K3978,$K3978))</f>
        <v>0</v>
      </c>
      <c r="S3978" s="55">
        <f t="shared" si="1443"/>
        <v>0</v>
      </c>
      <c r="U3978" s="54" t="str">
        <f>IF(Inputs!$C$252="","",IF(Inputs!$E$252="planned",EDATE(Inputs!$C$252,N(INDEX(sc_shift,3))),Inputs!$C$252))</f>
        <v/>
      </c>
      <c r="V3978" s="54" t="str">
        <f t="shared" si="1444"/>
        <v/>
      </c>
      <c r="W3978" s="52">
        <f>IF(N(INDEX(sc_ach,3))=0,IF(Inputs!$G$252="",1,Inputs!$G$252),INDEX(sc_ach,3))</f>
        <v>1</v>
      </c>
      <c r="X3978" s="52">
        <f>IF(Inputs!$C$252="",0,IF(Inputs!$E$252="planned",(Inputs!$D$252+N(INDEX(sc_dpts,3)))*$W3978,Inputs!$D$252))</f>
        <v>0</v>
      </c>
      <c r="Y3978" s="53">
        <f>IF(Inputs!$C$252="",0,IF(1+$X3978&gt;0,LN(1+$X3978),0))</f>
        <v>0</v>
      </c>
      <c r="Z3978" s="55">
        <f t="shared" si="1445"/>
        <v>0</v>
      </c>
      <c r="AA3978" s="55">
        <f>IF($U3978="",0,COUNTIFS(rl_key,Inputs!$J$252,$V$3806:$V$4045,$V3978,$U$3806:$U$4045,"&lt;"&amp;$U3978))</f>
        <v>0</v>
      </c>
      <c r="AB3978" s="55">
        <f>IF($U3978="",0,COUNTIFS(Inputs!$J$80:$J$252,Inputs!$J$252,$V$3806:$V3978,$V3978,$U$3806:$U3978,$U3978))</f>
        <v>0</v>
      </c>
      <c r="AC3978" s="55">
        <f t="shared" si="1446"/>
        <v>0</v>
      </c>
      <c r="AE3978" s="54" t="str">
        <f>IF(Inputs!$C$252="","",IF(Inputs!$E$252="planned",EDATE(Inputs!$C$252,N(INDEX(sc_shift,4))),Inputs!$C$252))</f>
        <v/>
      </c>
      <c r="AF3978" s="54" t="str">
        <f t="shared" si="1447"/>
        <v/>
      </c>
      <c r="AG3978" s="52">
        <f>IF(N(INDEX(sc_ach,4))=0,IF(Inputs!$G$252="",1,Inputs!$G$252),INDEX(sc_ach,4))</f>
        <v>1</v>
      </c>
      <c r="AH3978" s="52">
        <f>IF(Inputs!$C$252="",0,IF(Inputs!$E$252="planned",(Inputs!$D$252+N(INDEX(sc_dpts,4)))*$AG3978,Inputs!$D$252))</f>
        <v>0</v>
      </c>
      <c r="AI3978" s="53">
        <f>IF(Inputs!$C$252="",0,IF(1+$AH3978&gt;0,LN(1+$AH3978),0))</f>
        <v>0</v>
      </c>
      <c r="AJ3978" s="55">
        <f t="shared" si="1448"/>
        <v>0</v>
      </c>
      <c r="AK3978" s="55">
        <f>IF($AE3978="",0,COUNTIFS(rl_key,Inputs!$J$252,$AF$3806:$AF$4045,$AF3978,$AE$3806:$AE$4045,"&lt;"&amp;$AE3978))</f>
        <v>0</v>
      </c>
      <c r="AL3978" s="55">
        <f>IF($AE3978="",0,COUNTIFS(Inputs!$J$80:$J$252,Inputs!$J$252,$AF$3806:$AF3978,$AF3978,$AE$3806:$AE3978,$AE3978))</f>
        <v>0</v>
      </c>
      <c r="AM3978" s="55">
        <f t="shared" si="1449"/>
        <v>0</v>
      </c>
    </row>
    <row r="3979" spans="1:39" x14ac:dyDescent="0.25">
      <c r="A3979" s="54" t="str">
        <f>IF(Inputs!$C$253="","",IF(Inputs!$E$253="planned",EDATE(Inputs!$C$253,N(INDEX(sc_shift,1))),Inputs!$C$253))</f>
        <v/>
      </c>
      <c r="B3979" s="54" t="str">
        <f t="shared" si="1438"/>
        <v/>
      </c>
      <c r="C3979" s="52">
        <f>IF(N(INDEX(sc_ach,1))=0,IF(Inputs!$G$253="",1,Inputs!$G$253),INDEX(sc_ach,1))</f>
        <v>1</v>
      </c>
      <c r="D3979" s="52">
        <f>IF(Inputs!$C$253="",0,IF(Inputs!$E$253="planned",(Inputs!$D$253+N(INDEX(sc_dpts,1)))*$C3979,Inputs!$D$253))</f>
        <v>0</v>
      </c>
      <c r="E3979" s="53">
        <f>IF(Inputs!$C$253="",0,IF(1+$D3979&gt;0,LN(1+$D3979),0))</f>
        <v>0</v>
      </c>
      <c r="F3979" s="55">
        <f t="shared" si="1439"/>
        <v>0</v>
      </c>
      <c r="G3979" s="55">
        <f>IF($A3979="",0,COUNTIFS(rl_key,Inputs!$J$253,$B$3806:$B$4045,$B3979,$A$3806:$A$4045,"&lt;"&amp;$A3979))</f>
        <v>0</v>
      </c>
      <c r="H3979" s="55">
        <f>IF($A3979="",0,COUNTIFS(Inputs!$J$80:$J$253,Inputs!$J$253,$B$3806:$B3979,$B3979,$A$3806:$A3979,$A3979))</f>
        <v>0</v>
      </c>
      <c r="I3979" s="55">
        <f t="shared" si="1440"/>
        <v>0</v>
      </c>
      <c r="K3979" s="54" t="str">
        <f>IF(Inputs!$C$253="","",IF(Inputs!$E$253="planned",EDATE(Inputs!$C$253,N(INDEX(sc_shift,2))),Inputs!$C$253))</f>
        <v/>
      </c>
      <c r="L3979" s="54" t="str">
        <f t="shared" si="1441"/>
        <v/>
      </c>
      <c r="M3979" s="52">
        <f>IF(N(INDEX(sc_ach,2))=0,IF(Inputs!$G$253="",1,Inputs!$G$253),INDEX(sc_ach,2))</f>
        <v>1</v>
      </c>
      <c r="N3979" s="52">
        <f>IF(Inputs!$C$253="",0,IF(Inputs!$E$253="planned",(Inputs!$D$253+N(INDEX(sc_dpts,2)))*$M3979,Inputs!$D$253))</f>
        <v>0</v>
      </c>
      <c r="O3979" s="53">
        <f>IF(Inputs!$C$253="",0,IF(1+$N3979&gt;0,LN(1+$N3979),0))</f>
        <v>0</v>
      </c>
      <c r="P3979" s="55">
        <f t="shared" si="1442"/>
        <v>0</v>
      </c>
      <c r="Q3979" s="55">
        <f>IF($K3979="",0,COUNTIFS(rl_key,Inputs!$J$253,$L$3806:$L$4045,$L3979,$K$3806:$K$4045,"&lt;"&amp;$K3979))</f>
        <v>0</v>
      </c>
      <c r="R3979" s="55">
        <f>IF($K3979="",0,COUNTIFS(Inputs!$J$80:$J$253,Inputs!$J$253,$L$3806:$L3979,$L3979,$K$3806:$K3979,$K3979))</f>
        <v>0</v>
      </c>
      <c r="S3979" s="55">
        <f t="shared" si="1443"/>
        <v>0</v>
      </c>
      <c r="U3979" s="54" t="str">
        <f>IF(Inputs!$C$253="","",IF(Inputs!$E$253="planned",EDATE(Inputs!$C$253,N(INDEX(sc_shift,3))),Inputs!$C$253))</f>
        <v/>
      </c>
      <c r="V3979" s="54" t="str">
        <f t="shared" si="1444"/>
        <v/>
      </c>
      <c r="W3979" s="52">
        <f>IF(N(INDEX(sc_ach,3))=0,IF(Inputs!$G$253="",1,Inputs!$G$253),INDEX(sc_ach,3))</f>
        <v>1</v>
      </c>
      <c r="X3979" s="52">
        <f>IF(Inputs!$C$253="",0,IF(Inputs!$E$253="planned",(Inputs!$D$253+N(INDEX(sc_dpts,3)))*$W3979,Inputs!$D$253))</f>
        <v>0</v>
      </c>
      <c r="Y3979" s="53">
        <f>IF(Inputs!$C$253="",0,IF(1+$X3979&gt;0,LN(1+$X3979),0))</f>
        <v>0</v>
      </c>
      <c r="Z3979" s="55">
        <f t="shared" si="1445"/>
        <v>0</v>
      </c>
      <c r="AA3979" s="55">
        <f>IF($U3979="",0,COUNTIFS(rl_key,Inputs!$J$253,$V$3806:$V$4045,$V3979,$U$3806:$U$4045,"&lt;"&amp;$U3979))</f>
        <v>0</v>
      </c>
      <c r="AB3979" s="55">
        <f>IF($U3979="",0,COUNTIFS(Inputs!$J$80:$J$253,Inputs!$J$253,$V$3806:$V3979,$V3979,$U$3806:$U3979,$U3979))</f>
        <v>0</v>
      </c>
      <c r="AC3979" s="55">
        <f t="shared" si="1446"/>
        <v>0</v>
      </c>
      <c r="AE3979" s="54" t="str">
        <f>IF(Inputs!$C$253="","",IF(Inputs!$E$253="planned",EDATE(Inputs!$C$253,N(INDEX(sc_shift,4))),Inputs!$C$253))</f>
        <v/>
      </c>
      <c r="AF3979" s="54" t="str">
        <f t="shared" si="1447"/>
        <v/>
      </c>
      <c r="AG3979" s="52">
        <f>IF(N(INDEX(sc_ach,4))=0,IF(Inputs!$G$253="",1,Inputs!$G$253),INDEX(sc_ach,4))</f>
        <v>1</v>
      </c>
      <c r="AH3979" s="52">
        <f>IF(Inputs!$C$253="",0,IF(Inputs!$E$253="planned",(Inputs!$D$253+N(INDEX(sc_dpts,4)))*$AG3979,Inputs!$D$253))</f>
        <v>0</v>
      </c>
      <c r="AI3979" s="53">
        <f>IF(Inputs!$C$253="",0,IF(1+$AH3979&gt;0,LN(1+$AH3979),0))</f>
        <v>0</v>
      </c>
      <c r="AJ3979" s="55">
        <f t="shared" si="1448"/>
        <v>0</v>
      </c>
      <c r="AK3979" s="55">
        <f>IF($AE3979="",0,COUNTIFS(rl_key,Inputs!$J$253,$AF$3806:$AF$4045,$AF3979,$AE$3806:$AE$4045,"&lt;"&amp;$AE3979))</f>
        <v>0</v>
      </c>
      <c r="AL3979" s="55">
        <f>IF($AE3979="",0,COUNTIFS(Inputs!$J$80:$J$253,Inputs!$J$253,$AF$3806:$AF3979,$AF3979,$AE$3806:$AE3979,$AE3979))</f>
        <v>0</v>
      </c>
      <c r="AM3979" s="55">
        <f t="shared" si="1449"/>
        <v>0</v>
      </c>
    </row>
    <row r="3980" spans="1:39" x14ac:dyDescent="0.25">
      <c r="A3980" s="54" t="str">
        <f>IF(Inputs!$C$254="","",IF(Inputs!$E$254="planned",EDATE(Inputs!$C$254,N(INDEX(sc_shift,1))),Inputs!$C$254))</f>
        <v/>
      </c>
      <c r="B3980" s="54" t="str">
        <f t="shared" si="1438"/>
        <v/>
      </c>
      <c r="C3980" s="52">
        <f>IF(N(INDEX(sc_ach,1))=0,IF(Inputs!$G$254="",1,Inputs!$G$254),INDEX(sc_ach,1))</f>
        <v>1</v>
      </c>
      <c r="D3980" s="52">
        <f>IF(Inputs!$C$254="",0,IF(Inputs!$E$254="planned",(Inputs!$D$254+N(INDEX(sc_dpts,1)))*$C3980,Inputs!$D$254))</f>
        <v>0</v>
      </c>
      <c r="E3980" s="53">
        <f>IF(Inputs!$C$254="",0,IF(1+$D3980&gt;0,LN(1+$D3980),0))</f>
        <v>0</v>
      </c>
      <c r="F3980" s="55">
        <f t="shared" si="1439"/>
        <v>0</v>
      </c>
      <c r="G3980" s="55">
        <f>IF($A3980="",0,COUNTIFS(rl_key,Inputs!$J$254,$B$3806:$B$4045,$B3980,$A$3806:$A$4045,"&lt;"&amp;$A3980))</f>
        <v>0</v>
      </c>
      <c r="H3980" s="55">
        <f>IF($A3980="",0,COUNTIFS(Inputs!$J$80:$J$254,Inputs!$J$254,$B$3806:$B3980,$B3980,$A$3806:$A3980,$A3980))</f>
        <v>0</v>
      </c>
      <c r="I3980" s="55">
        <f t="shared" si="1440"/>
        <v>0</v>
      </c>
      <c r="K3980" s="54" t="str">
        <f>IF(Inputs!$C$254="","",IF(Inputs!$E$254="planned",EDATE(Inputs!$C$254,N(INDEX(sc_shift,2))),Inputs!$C$254))</f>
        <v/>
      </c>
      <c r="L3980" s="54" t="str">
        <f t="shared" si="1441"/>
        <v/>
      </c>
      <c r="M3980" s="52">
        <f>IF(N(INDEX(sc_ach,2))=0,IF(Inputs!$G$254="",1,Inputs!$G$254),INDEX(sc_ach,2))</f>
        <v>1</v>
      </c>
      <c r="N3980" s="52">
        <f>IF(Inputs!$C$254="",0,IF(Inputs!$E$254="planned",(Inputs!$D$254+N(INDEX(sc_dpts,2)))*$M3980,Inputs!$D$254))</f>
        <v>0</v>
      </c>
      <c r="O3980" s="53">
        <f>IF(Inputs!$C$254="",0,IF(1+$N3980&gt;0,LN(1+$N3980),0))</f>
        <v>0</v>
      </c>
      <c r="P3980" s="55">
        <f t="shared" si="1442"/>
        <v>0</v>
      </c>
      <c r="Q3980" s="55">
        <f>IF($K3980="",0,COUNTIFS(rl_key,Inputs!$J$254,$L$3806:$L$4045,$L3980,$K$3806:$K$4045,"&lt;"&amp;$K3980))</f>
        <v>0</v>
      </c>
      <c r="R3980" s="55">
        <f>IF($K3980="",0,COUNTIFS(Inputs!$J$80:$J$254,Inputs!$J$254,$L$3806:$L3980,$L3980,$K$3806:$K3980,$K3980))</f>
        <v>0</v>
      </c>
      <c r="S3980" s="55">
        <f t="shared" si="1443"/>
        <v>0</v>
      </c>
      <c r="U3980" s="54" t="str">
        <f>IF(Inputs!$C$254="","",IF(Inputs!$E$254="planned",EDATE(Inputs!$C$254,N(INDEX(sc_shift,3))),Inputs!$C$254))</f>
        <v/>
      </c>
      <c r="V3980" s="54" t="str">
        <f t="shared" si="1444"/>
        <v/>
      </c>
      <c r="W3980" s="52">
        <f>IF(N(INDEX(sc_ach,3))=0,IF(Inputs!$G$254="",1,Inputs!$G$254),INDEX(sc_ach,3))</f>
        <v>1</v>
      </c>
      <c r="X3980" s="52">
        <f>IF(Inputs!$C$254="",0,IF(Inputs!$E$254="planned",(Inputs!$D$254+N(INDEX(sc_dpts,3)))*$W3980,Inputs!$D$254))</f>
        <v>0</v>
      </c>
      <c r="Y3980" s="53">
        <f>IF(Inputs!$C$254="",0,IF(1+$X3980&gt;0,LN(1+$X3980),0))</f>
        <v>0</v>
      </c>
      <c r="Z3980" s="55">
        <f t="shared" si="1445"/>
        <v>0</v>
      </c>
      <c r="AA3980" s="55">
        <f>IF($U3980="",0,COUNTIFS(rl_key,Inputs!$J$254,$V$3806:$V$4045,$V3980,$U$3806:$U$4045,"&lt;"&amp;$U3980))</f>
        <v>0</v>
      </c>
      <c r="AB3980" s="55">
        <f>IF($U3980="",0,COUNTIFS(Inputs!$J$80:$J$254,Inputs!$J$254,$V$3806:$V3980,$V3980,$U$3806:$U3980,$U3980))</f>
        <v>0</v>
      </c>
      <c r="AC3980" s="55">
        <f t="shared" si="1446"/>
        <v>0</v>
      </c>
      <c r="AE3980" s="54" t="str">
        <f>IF(Inputs!$C$254="","",IF(Inputs!$E$254="planned",EDATE(Inputs!$C$254,N(INDEX(sc_shift,4))),Inputs!$C$254))</f>
        <v/>
      </c>
      <c r="AF3980" s="54" t="str">
        <f t="shared" si="1447"/>
        <v/>
      </c>
      <c r="AG3980" s="52">
        <f>IF(N(INDEX(sc_ach,4))=0,IF(Inputs!$G$254="",1,Inputs!$G$254),INDEX(sc_ach,4))</f>
        <v>1</v>
      </c>
      <c r="AH3980" s="52">
        <f>IF(Inputs!$C$254="",0,IF(Inputs!$E$254="planned",(Inputs!$D$254+N(INDEX(sc_dpts,4)))*$AG3980,Inputs!$D$254))</f>
        <v>0</v>
      </c>
      <c r="AI3980" s="53">
        <f>IF(Inputs!$C$254="",0,IF(1+$AH3980&gt;0,LN(1+$AH3980),0))</f>
        <v>0</v>
      </c>
      <c r="AJ3980" s="55">
        <f t="shared" si="1448"/>
        <v>0</v>
      </c>
      <c r="AK3980" s="55">
        <f>IF($AE3980="",0,COUNTIFS(rl_key,Inputs!$J$254,$AF$3806:$AF$4045,$AF3980,$AE$3806:$AE$4045,"&lt;"&amp;$AE3980))</f>
        <v>0</v>
      </c>
      <c r="AL3980" s="55">
        <f>IF($AE3980="",0,COUNTIFS(Inputs!$J$80:$J$254,Inputs!$J$254,$AF$3806:$AF3980,$AF3980,$AE$3806:$AE3980,$AE3980))</f>
        <v>0</v>
      </c>
      <c r="AM3980" s="55">
        <f t="shared" si="1449"/>
        <v>0</v>
      </c>
    </row>
    <row r="3981" spans="1:39" x14ac:dyDescent="0.25">
      <c r="A3981" s="54" t="str">
        <f>IF(Inputs!$C$255="","",IF(Inputs!$E$255="planned",EDATE(Inputs!$C$255,N(INDEX(sc_shift,1))),Inputs!$C$255))</f>
        <v/>
      </c>
      <c r="B3981" s="54" t="str">
        <f t="shared" si="1438"/>
        <v/>
      </c>
      <c r="C3981" s="52">
        <f>IF(N(INDEX(sc_ach,1))=0,IF(Inputs!$G$255="",1,Inputs!$G$255),INDEX(sc_ach,1))</f>
        <v>1</v>
      </c>
      <c r="D3981" s="52">
        <f>IF(Inputs!$C$255="",0,IF(Inputs!$E$255="planned",(Inputs!$D$255+N(INDEX(sc_dpts,1)))*$C3981,Inputs!$D$255))</f>
        <v>0</v>
      </c>
      <c r="E3981" s="53">
        <f>IF(Inputs!$C$255="",0,IF(1+$D3981&gt;0,LN(1+$D3981),0))</f>
        <v>0</v>
      </c>
      <c r="F3981" s="55">
        <f t="shared" si="1439"/>
        <v>0</v>
      </c>
      <c r="G3981" s="55">
        <f>IF($A3981="",0,COUNTIFS(rl_key,Inputs!$J$255,$B$3806:$B$4045,$B3981,$A$3806:$A$4045,"&lt;"&amp;$A3981))</f>
        <v>0</v>
      </c>
      <c r="H3981" s="55">
        <f>IF($A3981="",0,COUNTIFS(Inputs!$J$80:$J$255,Inputs!$J$255,$B$3806:$B3981,$B3981,$A$3806:$A3981,$A3981))</f>
        <v>0</v>
      </c>
      <c r="I3981" s="55">
        <f t="shared" si="1440"/>
        <v>0</v>
      </c>
      <c r="K3981" s="54" t="str">
        <f>IF(Inputs!$C$255="","",IF(Inputs!$E$255="planned",EDATE(Inputs!$C$255,N(INDEX(sc_shift,2))),Inputs!$C$255))</f>
        <v/>
      </c>
      <c r="L3981" s="54" t="str">
        <f t="shared" si="1441"/>
        <v/>
      </c>
      <c r="M3981" s="52">
        <f>IF(N(INDEX(sc_ach,2))=0,IF(Inputs!$G$255="",1,Inputs!$G$255),INDEX(sc_ach,2))</f>
        <v>1</v>
      </c>
      <c r="N3981" s="52">
        <f>IF(Inputs!$C$255="",0,IF(Inputs!$E$255="planned",(Inputs!$D$255+N(INDEX(sc_dpts,2)))*$M3981,Inputs!$D$255))</f>
        <v>0</v>
      </c>
      <c r="O3981" s="53">
        <f>IF(Inputs!$C$255="",0,IF(1+$N3981&gt;0,LN(1+$N3981),0))</f>
        <v>0</v>
      </c>
      <c r="P3981" s="55">
        <f t="shared" si="1442"/>
        <v>0</v>
      </c>
      <c r="Q3981" s="55">
        <f>IF($K3981="",0,COUNTIFS(rl_key,Inputs!$J$255,$L$3806:$L$4045,$L3981,$K$3806:$K$4045,"&lt;"&amp;$K3981))</f>
        <v>0</v>
      </c>
      <c r="R3981" s="55">
        <f>IF($K3981="",0,COUNTIFS(Inputs!$J$80:$J$255,Inputs!$J$255,$L$3806:$L3981,$L3981,$K$3806:$K3981,$K3981))</f>
        <v>0</v>
      </c>
      <c r="S3981" s="55">
        <f t="shared" si="1443"/>
        <v>0</v>
      </c>
      <c r="U3981" s="54" t="str">
        <f>IF(Inputs!$C$255="","",IF(Inputs!$E$255="planned",EDATE(Inputs!$C$255,N(INDEX(sc_shift,3))),Inputs!$C$255))</f>
        <v/>
      </c>
      <c r="V3981" s="54" t="str">
        <f t="shared" si="1444"/>
        <v/>
      </c>
      <c r="W3981" s="52">
        <f>IF(N(INDEX(sc_ach,3))=0,IF(Inputs!$G$255="",1,Inputs!$G$255),INDEX(sc_ach,3))</f>
        <v>1</v>
      </c>
      <c r="X3981" s="52">
        <f>IF(Inputs!$C$255="",0,IF(Inputs!$E$255="planned",(Inputs!$D$255+N(INDEX(sc_dpts,3)))*$W3981,Inputs!$D$255))</f>
        <v>0</v>
      </c>
      <c r="Y3981" s="53">
        <f>IF(Inputs!$C$255="",0,IF(1+$X3981&gt;0,LN(1+$X3981),0))</f>
        <v>0</v>
      </c>
      <c r="Z3981" s="55">
        <f t="shared" si="1445"/>
        <v>0</v>
      </c>
      <c r="AA3981" s="55">
        <f>IF($U3981="",0,COUNTIFS(rl_key,Inputs!$J$255,$V$3806:$V$4045,$V3981,$U$3806:$U$4045,"&lt;"&amp;$U3981))</f>
        <v>0</v>
      </c>
      <c r="AB3981" s="55">
        <f>IF($U3981="",0,COUNTIFS(Inputs!$J$80:$J$255,Inputs!$J$255,$V$3806:$V3981,$V3981,$U$3806:$U3981,$U3981))</f>
        <v>0</v>
      </c>
      <c r="AC3981" s="55">
        <f t="shared" si="1446"/>
        <v>0</v>
      </c>
      <c r="AE3981" s="54" t="str">
        <f>IF(Inputs!$C$255="","",IF(Inputs!$E$255="planned",EDATE(Inputs!$C$255,N(INDEX(sc_shift,4))),Inputs!$C$255))</f>
        <v/>
      </c>
      <c r="AF3981" s="54" t="str">
        <f t="shared" si="1447"/>
        <v/>
      </c>
      <c r="AG3981" s="52">
        <f>IF(N(INDEX(sc_ach,4))=0,IF(Inputs!$G$255="",1,Inputs!$G$255),INDEX(sc_ach,4))</f>
        <v>1</v>
      </c>
      <c r="AH3981" s="52">
        <f>IF(Inputs!$C$255="",0,IF(Inputs!$E$255="planned",(Inputs!$D$255+N(INDEX(sc_dpts,4)))*$AG3981,Inputs!$D$255))</f>
        <v>0</v>
      </c>
      <c r="AI3981" s="53">
        <f>IF(Inputs!$C$255="",0,IF(1+$AH3981&gt;0,LN(1+$AH3981),0))</f>
        <v>0</v>
      </c>
      <c r="AJ3981" s="55">
        <f t="shared" si="1448"/>
        <v>0</v>
      </c>
      <c r="AK3981" s="55">
        <f>IF($AE3981="",0,COUNTIFS(rl_key,Inputs!$J$255,$AF$3806:$AF$4045,$AF3981,$AE$3806:$AE$4045,"&lt;"&amp;$AE3981))</f>
        <v>0</v>
      </c>
      <c r="AL3981" s="55">
        <f>IF($AE3981="",0,COUNTIFS(Inputs!$J$80:$J$255,Inputs!$J$255,$AF$3806:$AF3981,$AF3981,$AE$3806:$AE3981,$AE3981))</f>
        <v>0</v>
      </c>
      <c r="AM3981" s="55">
        <f t="shared" si="1449"/>
        <v>0</v>
      </c>
    </row>
    <row r="3982" spans="1:39" x14ac:dyDescent="0.25">
      <c r="A3982" s="54" t="str">
        <f>IF(Inputs!$C$256="","",IF(Inputs!$E$256="planned",EDATE(Inputs!$C$256,N(INDEX(sc_shift,1))),Inputs!$C$256))</f>
        <v/>
      </c>
      <c r="B3982" s="54" t="str">
        <f t="shared" si="1438"/>
        <v/>
      </c>
      <c r="C3982" s="52">
        <f>IF(N(INDEX(sc_ach,1))=0,IF(Inputs!$G$256="",1,Inputs!$G$256),INDEX(sc_ach,1))</f>
        <v>1</v>
      </c>
      <c r="D3982" s="52">
        <f>IF(Inputs!$C$256="",0,IF(Inputs!$E$256="planned",(Inputs!$D$256+N(INDEX(sc_dpts,1)))*$C3982,Inputs!$D$256))</f>
        <v>0</v>
      </c>
      <c r="E3982" s="53">
        <f>IF(Inputs!$C$256="",0,IF(1+$D3982&gt;0,LN(1+$D3982),0))</f>
        <v>0</v>
      </c>
      <c r="F3982" s="55">
        <f t="shared" si="1439"/>
        <v>0</v>
      </c>
      <c r="G3982" s="55">
        <f>IF($A3982="",0,COUNTIFS(rl_key,Inputs!$J$256,$B$3806:$B$4045,$B3982,$A$3806:$A$4045,"&lt;"&amp;$A3982))</f>
        <v>0</v>
      </c>
      <c r="H3982" s="55">
        <f>IF($A3982="",0,COUNTIFS(Inputs!$J$80:$J$256,Inputs!$J$256,$B$3806:$B3982,$B3982,$A$3806:$A3982,$A3982))</f>
        <v>0</v>
      </c>
      <c r="I3982" s="55">
        <f t="shared" si="1440"/>
        <v>0</v>
      </c>
      <c r="K3982" s="54" t="str">
        <f>IF(Inputs!$C$256="","",IF(Inputs!$E$256="planned",EDATE(Inputs!$C$256,N(INDEX(sc_shift,2))),Inputs!$C$256))</f>
        <v/>
      </c>
      <c r="L3982" s="54" t="str">
        <f t="shared" si="1441"/>
        <v/>
      </c>
      <c r="M3982" s="52">
        <f>IF(N(INDEX(sc_ach,2))=0,IF(Inputs!$G$256="",1,Inputs!$G$256),INDEX(sc_ach,2))</f>
        <v>1</v>
      </c>
      <c r="N3982" s="52">
        <f>IF(Inputs!$C$256="",0,IF(Inputs!$E$256="planned",(Inputs!$D$256+N(INDEX(sc_dpts,2)))*$M3982,Inputs!$D$256))</f>
        <v>0</v>
      </c>
      <c r="O3982" s="53">
        <f>IF(Inputs!$C$256="",0,IF(1+$N3982&gt;0,LN(1+$N3982),0))</f>
        <v>0</v>
      </c>
      <c r="P3982" s="55">
        <f t="shared" si="1442"/>
        <v>0</v>
      </c>
      <c r="Q3982" s="55">
        <f>IF($K3982="",0,COUNTIFS(rl_key,Inputs!$J$256,$L$3806:$L$4045,$L3982,$K$3806:$K$4045,"&lt;"&amp;$K3982))</f>
        <v>0</v>
      </c>
      <c r="R3982" s="55">
        <f>IF($K3982="",0,COUNTIFS(Inputs!$J$80:$J$256,Inputs!$J$256,$L$3806:$L3982,$L3982,$K$3806:$K3982,$K3982))</f>
        <v>0</v>
      </c>
      <c r="S3982" s="55">
        <f t="shared" si="1443"/>
        <v>0</v>
      </c>
      <c r="U3982" s="54" t="str">
        <f>IF(Inputs!$C$256="","",IF(Inputs!$E$256="planned",EDATE(Inputs!$C$256,N(INDEX(sc_shift,3))),Inputs!$C$256))</f>
        <v/>
      </c>
      <c r="V3982" s="54" t="str">
        <f t="shared" si="1444"/>
        <v/>
      </c>
      <c r="W3982" s="52">
        <f>IF(N(INDEX(sc_ach,3))=0,IF(Inputs!$G$256="",1,Inputs!$G$256),INDEX(sc_ach,3))</f>
        <v>1</v>
      </c>
      <c r="X3982" s="52">
        <f>IF(Inputs!$C$256="",0,IF(Inputs!$E$256="planned",(Inputs!$D$256+N(INDEX(sc_dpts,3)))*$W3982,Inputs!$D$256))</f>
        <v>0</v>
      </c>
      <c r="Y3982" s="53">
        <f>IF(Inputs!$C$256="",0,IF(1+$X3982&gt;0,LN(1+$X3982),0))</f>
        <v>0</v>
      </c>
      <c r="Z3982" s="55">
        <f t="shared" si="1445"/>
        <v>0</v>
      </c>
      <c r="AA3982" s="55">
        <f>IF($U3982="",0,COUNTIFS(rl_key,Inputs!$J$256,$V$3806:$V$4045,$V3982,$U$3806:$U$4045,"&lt;"&amp;$U3982))</f>
        <v>0</v>
      </c>
      <c r="AB3982" s="55">
        <f>IF($U3982="",0,COUNTIFS(Inputs!$J$80:$J$256,Inputs!$J$256,$V$3806:$V3982,$V3982,$U$3806:$U3982,$U3982))</f>
        <v>0</v>
      </c>
      <c r="AC3982" s="55">
        <f t="shared" si="1446"/>
        <v>0</v>
      </c>
      <c r="AE3982" s="54" t="str">
        <f>IF(Inputs!$C$256="","",IF(Inputs!$E$256="planned",EDATE(Inputs!$C$256,N(INDEX(sc_shift,4))),Inputs!$C$256))</f>
        <v/>
      </c>
      <c r="AF3982" s="54" t="str">
        <f t="shared" si="1447"/>
        <v/>
      </c>
      <c r="AG3982" s="52">
        <f>IF(N(INDEX(sc_ach,4))=0,IF(Inputs!$G$256="",1,Inputs!$G$256),INDEX(sc_ach,4))</f>
        <v>1</v>
      </c>
      <c r="AH3982" s="52">
        <f>IF(Inputs!$C$256="",0,IF(Inputs!$E$256="planned",(Inputs!$D$256+N(INDEX(sc_dpts,4)))*$AG3982,Inputs!$D$256))</f>
        <v>0</v>
      </c>
      <c r="AI3982" s="53">
        <f>IF(Inputs!$C$256="",0,IF(1+$AH3982&gt;0,LN(1+$AH3982),0))</f>
        <v>0</v>
      </c>
      <c r="AJ3982" s="55">
        <f t="shared" si="1448"/>
        <v>0</v>
      </c>
      <c r="AK3982" s="55">
        <f>IF($AE3982="",0,COUNTIFS(rl_key,Inputs!$J$256,$AF$3806:$AF$4045,$AF3982,$AE$3806:$AE$4045,"&lt;"&amp;$AE3982))</f>
        <v>0</v>
      </c>
      <c r="AL3982" s="55">
        <f>IF($AE3982="",0,COUNTIFS(Inputs!$J$80:$J$256,Inputs!$J$256,$AF$3806:$AF3982,$AF3982,$AE$3806:$AE3982,$AE3982))</f>
        <v>0</v>
      </c>
      <c r="AM3982" s="55">
        <f t="shared" si="1449"/>
        <v>0</v>
      </c>
    </row>
    <row r="3983" spans="1:39" x14ac:dyDescent="0.25">
      <c r="A3983" s="54" t="str">
        <f>IF(Inputs!$C$257="","",IF(Inputs!$E$257="planned",EDATE(Inputs!$C$257,N(INDEX(sc_shift,1))),Inputs!$C$257))</f>
        <v/>
      </c>
      <c r="B3983" s="54" t="str">
        <f t="shared" si="1438"/>
        <v/>
      </c>
      <c r="C3983" s="52">
        <f>IF(N(INDEX(sc_ach,1))=0,IF(Inputs!$G$257="",1,Inputs!$G$257),INDEX(sc_ach,1))</f>
        <v>1</v>
      </c>
      <c r="D3983" s="52">
        <f>IF(Inputs!$C$257="",0,IF(Inputs!$E$257="planned",(Inputs!$D$257+N(INDEX(sc_dpts,1)))*$C3983,Inputs!$D$257))</f>
        <v>0</v>
      </c>
      <c r="E3983" s="53">
        <f>IF(Inputs!$C$257="",0,IF(1+$D3983&gt;0,LN(1+$D3983),0))</f>
        <v>0</v>
      </c>
      <c r="F3983" s="55">
        <f t="shared" si="1439"/>
        <v>0</v>
      </c>
      <c r="G3983" s="55">
        <f>IF($A3983="",0,COUNTIFS(rl_key,Inputs!$J$257,$B$3806:$B$4045,$B3983,$A$3806:$A$4045,"&lt;"&amp;$A3983))</f>
        <v>0</v>
      </c>
      <c r="H3983" s="55">
        <f>IF($A3983="",0,COUNTIFS(Inputs!$J$80:$J$257,Inputs!$J$257,$B$3806:$B3983,$B3983,$A$3806:$A3983,$A3983))</f>
        <v>0</v>
      </c>
      <c r="I3983" s="55">
        <f t="shared" si="1440"/>
        <v>0</v>
      </c>
      <c r="K3983" s="54" t="str">
        <f>IF(Inputs!$C$257="","",IF(Inputs!$E$257="planned",EDATE(Inputs!$C$257,N(INDEX(sc_shift,2))),Inputs!$C$257))</f>
        <v/>
      </c>
      <c r="L3983" s="54" t="str">
        <f t="shared" si="1441"/>
        <v/>
      </c>
      <c r="M3983" s="52">
        <f>IF(N(INDEX(sc_ach,2))=0,IF(Inputs!$G$257="",1,Inputs!$G$257),INDEX(sc_ach,2))</f>
        <v>1</v>
      </c>
      <c r="N3983" s="52">
        <f>IF(Inputs!$C$257="",0,IF(Inputs!$E$257="planned",(Inputs!$D$257+N(INDEX(sc_dpts,2)))*$M3983,Inputs!$D$257))</f>
        <v>0</v>
      </c>
      <c r="O3983" s="53">
        <f>IF(Inputs!$C$257="",0,IF(1+$N3983&gt;0,LN(1+$N3983),0))</f>
        <v>0</v>
      </c>
      <c r="P3983" s="55">
        <f t="shared" si="1442"/>
        <v>0</v>
      </c>
      <c r="Q3983" s="55">
        <f>IF($K3983="",0,COUNTIFS(rl_key,Inputs!$J$257,$L$3806:$L$4045,$L3983,$K$3806:$K$4045,"&lt;"&amp;$K3983))</f>
        <v>0</v>
      </c>
      <c r="R3983" s="55">
        <f>IF($K3983="",0,COUNTIFS(Inputs!$J$80:$J$257,Inputs!$J$257,$L$3806:$L3983,$L3983,$K$3806:$K3983,$K3983))</f>
        <v>0</v>
      </c>
      <c r="S3983" s="55">
        <f t="shared" si="1443"/>
        <v>0</v>
      </c>
      <c r="U3983" s="54" t="str">
        <f>IF(Inputs!$C$257="","",IF(Inputs!$E$257="planned",EDATE(Inputs!$C$257,N(INDEX(sc_shift,3))),Inputs!$C$257))</f>
        <v/>
      </c>
      <c r="V3983" s="54" t="str">
        <f t="shared" si="1444"/>
        <v/>
      </c>
      <c r="W3983" s="52">
        <f>IF(N(INDEX(sc_ach,3))=0,IF(Inputs!$G$257="",1,Inputs!$G$257),INDEX(sc_ach,3))</f>
        <v>1</v>
      </c>
      <c r="X3983" s="52">
        <f>IF(Inputs!$C$257="",0,IF(Inputs!$E$257="planned",(Inputs!$D$257+N(INDEX(sc_dpts,3)))*$W3983,Inputs!$D$257))</f>
        <v>0</v>
      </c>
      <c r="Y3983" s="53">
        <f>IF(Inputs!$C$257="",0,IF(1+$X3983&gt;0,LN(1+$X3983),0))</f>
        <v>0</v>
      </c>
      <c r="Z3983" s="55">
        <f t="shared" si="1445"/>
        <v>0</v>
      </c>
      <c r="AA3983" s="55">
        <f>IF($U3983="",0,COUNTIFS(rl_key,Inputs!$J$257,$V$3806:$V$4045,$V3983,$U$3806:$U$4045,"&lt;"&amp;$U3983))</f>
        <v>0</v>
      </c>
      <c r="AB3983" s="55">
        <f>IF($U3983="",0,COUNTIFS(Inputs!$J$80:$J$257,Inputs!$J$257,$V$3806:$V3983,$V3983,$U$3806:$U3983,$U3983))</f>
        <v>0</v>
      </c>
      <c r="AC3983" s="55">
        <f t="shared" si="1446"/>
        <v>0</v>
      </c>
      <c r="AE3983" s="54" t="str">
        <f>IF(Inputs!$C$257="","",IF(Inputs!$E$257="planned",EDATE(Inputs!$C$257,N(INDEX(sc_shift,4))),Inputs!$C$257))</f>
        <v/>
      </c>
      <c r="AF3983" s="54" t="str">
        <f t="shared" si="1447"/>
        <v/>
      </c>
      <c r="AG3983" s="52">
        <f>IF(N(INDEX(sc_ach,4))=0,IF(Inputs!$G$257="",1,Inputs!$G$257),INDEX(sc_ach,4))</f>
        <v>1</v>
      </c>
      <c r="AH3983" s="52">
        <f>IF(Inputs!$C$257="",0,IF(Inputs!$E$257="planned",(Inputs!$D$257+N(INDEX(sc_dpts,4)))*$AG3983,Inputs!$D$257))</f>
        <v>0</v>
      </c>
      <c r="AI3983" s="53">
        <f>IF(Inputs!$C$257="",0,IF(1+$AH3983&gt;0,LN(1+$AH3983),0))</f>
        <v>0</v>
      </c>
      <c r="AJ3983" s="55">
        <f t="shared" si="1448"/>
        <v>0</v>
      </c>
      <c r="AK3983" s="55">
        <f>IF($AE3983="",0,COUNTIFS(rl_key,Inputs!$J$257,$AF$3806:$AF$4045,$AF3983,$AE$3806:$AE$4045,"&lt;"&amp;$AE3983))</f>
        <v>0</v>
      </c>
      <c r="AL3983" s="55">
        <f>IF($AE3983="",0,COUNTIFS(Inputs!$J$80:$J$257,Inputs!$J$257,$AF$3806:$AF3983,$AF3983,$AE$3806:$AE3983,$AE3983))</f>
        <v>0</v>
      </c>
      <c r="AM3983" s="55">
        <f t="shared" si="1449"/>
        <v>0</v>
      </c>
    </row>
    <row r="3984" spans="1:39" x14ac:dyDescent="0.25">
      <c r="A3984" s="54" t="str">
        <f>IF(Inputs!$C$258="","",IF(Inputs!$E$258="planned",EDATE(Inputs!$C$258,N(INDEX(sc_shift,1))),Inputs!$C$258))</f>
        <v/>
      </c>
      <c r="B3984" s="54" t="str">
        <f t="shared" si="1438"/>
        <v/>
      </c>
      <c r="C3984" s="52">
        <f>IF(N(INDEX(sc_ach,1))=0,IF(Inputs!$G$258="",1,Inputs!$G$258),INDEX(sc_ach,1))</f>
        <v>1</v>
      </c>
      <c r="D3984" s="52">
        <f>IF(Inputs!$C$258="",0,IF(Inputs!$E$258="planned",(Inputs!$D$258+N(INDEX(sc_dpts,1)))*$C3984,Inputs!$D$258))</f>
        <v>0</v>
      </c>
      <c r="E3984" s="53">
        <f>IF(Inputs!$C$258="",0,IF(1+$D3984&gt;0,LN(1+$D3984),0))</f>
        <v>0</v>
      </c>
      <c r="F3984" s="55">
        <f t="shared" si="1439"/>
        <v>0</v>
      </c>
      <c r="G3984" s="55">
        <f>IF($A3984="",0,COUNTIFS(rl_key,Inputs!$J$258,$B$3806:$B$4045,$B3984,$A$3806:$A$4045,"&lt;"&amp;$A3984))</f>
        <v>0</v>
      </c>
      <c r="H3984" s="55">
        <f>IF($A3984="",0,COUNTIFS(Inputs!$J$80:$J$258,Inputs!$J$258,$B$3806:$B3984,$B3984,$A$3806:$A3984,$A3984))</f>
        <v>0</v>
      </c>
      <c r="I3984" s="55">
        <f t="shared" si="1440"/>
        <v>0</v>
      </c>
      <c r="K3984" s="54" t="str">
        <f>IF(Inputs!$C$258="","",IF(Inputs!$E$258="planned",EDATE(Inputs!$C$258,N(INDEX(sc_shift,2))),Inputs!$C$258))</f>
        <v/>
      </c>
      <c r="L3984" s="54" t="str">
        <f t="shared" si="1441"/>
        <v/>
      </c>
      <c r="M3984" s="52">
        <f>IF(N(INDEX(sc_ach,2))=0,IF(Inputs!$G$258="",1,Inputs!$G$258),INDEX(sc_ach,2))</f>
        <v>1</v>
      </c>
      <c r="N3984" s="52">
        <f>IF(Inputs!$C$258="",0,IF(Inputs!$E$258="planned",(Inputs!$D$258+N(INDEX(sc_dpts,2)))*$M3984,Inputs!$D$258))</f>
        <v>0</v>
      </c>
      <c r="O3984" s="53">
        <f>IF(Inputs!$C$258="",0,IF(1+$N3984&gt;0,LN(1+$N3984),0))</f>
        <v>0</v>
      </c>
      <c r="P3984" s="55">
        <f t="shared" si="1442"/>
        <v>0</v>
      </c>
      <c r="Q3984" s="55">
        <f>IF($K3984="",0,COUNTIFS(rl_key,Inputs!$J$258,$L$3806:$L$4045,$L3984,$K$3806:$K$4045,"&lt;"&amp;$K3984))</f>
        <v>0</v>
      </c>
      <c r="R3984" s="55">
        <f>IF($K3984="",0,COUNTIFS(Inputs!$J$80:$J$258,Inputs!$J$258,$L$3806:$L3984,$L3984,$K$3806:$K3984,$K3984))</f>
        <v>0</v>
      </c>
      <c r="S3984" s="55">
        <f t="shared" si="1443"/>
        <v>0</v>
      </c>
      <c r="U3984" s="54" t="str">
        <f>IF(Inputs!$C$258="","",IF(Inputs!$E$258="planned",EDATE(Inputs!$C$258,N(INDEX(sc_shift,3))),Inputs!$C$258))</f>
        <v/>
      </c>
      <c r="V3984" s="54" t="str">
        <f t="shared" si="1444"/>
        <v/>
      </c>
      <c r="W3984" s="52">
        <f>IF(N(INDEX(sc_ach,3))=0,IF(Inputs!$G$258="",1,Inputs!$G$258),INDEX(sc_ach,3))</f>
        <v>1</v>
      </c>
      <c r="X3984" s="52">
        <f>IF(Inputs!$C$258="",0,IF(Inputs!$E$258="planned",(Inputs!$D$258+N(INDEX(sc_dpts,3)))*$W3984,Inputs!$D$258))</f>
        <v>0</v>
      </c>
      <c r="Y3984" s="53">
        <f>IF(Inputs!$C$258="",0,IF(1+$X3984&gt;0,LN(1+$X3984),0))</f>
        <v>0</v>
      </c>
      <c r="Z3984" s="55">
        <f t="shared" si="1445"/>
        <v>0</v>
      </c>
      <c r="AA3984" s="55">
        <f>IF($U3984="",0,COUNTIFS(rl_key,Inputs!$J$258,$V$3806:$V$4045,$V3984,$U$3806:$U$4045,"&lt;"&amp;$U3984))</f>
        <v>0</v>
      </c>
      <c r="AB3984" s="55">
        <f>IF($U3984="",0,COUNTIFS(Inputs!$J$80:$J$258,Inputs!$J$258,$V$3806:$V3984,$V3984,$U$3806:$U3984,$U3984))</f>
        <v>0</v>
      </c>
      <c r="AC3984" s="55">
        <f t="shared" si="1446"/>
        <v>0</v>
      </c>
      <c r="AE3984" s="54" t="str">
        <f>IF(Inputs!$C$258="","",IF(Inputs!$E$258="planned",EDATE(Inputs!$C$258,N(INDEX(sc_shift,4))),Inputs!$C$258))</f>
        <v/>
      </c>
      <c r="AF3984" s="54" t="str">
        <f t="shared" si="1447"/>
        <v/>
      </c>
      <c r="AG3984" s="52">
        <f>IF(N(INDEX(sc_ach,4))=0,IF(Inputs!$G$258="",1,Inputs!$G$258),INDEX(sc_ach,4))</f>
        <v>1</v>
      </c>
      <c r="AH3984" s="52">
        <f>IF(Inputs!$C$258="",0,IF(Inputs!$E$258="planned",(Inputs!$D$258+N(INDEX(sc_dpts,4)))*$AG3984,Inputs!$D$258))</f>
        <v>0</v>
      </c>
      <c r="AI3984" s="53">
        <f>IF(Inputs!$C$258="",0,IF(1+$AH3984&gt;0,LN(1+$AH3984),0))</f>
        <v>0</v>
      </c>
      <c r="AJ3984" s="55">
        <f t="shared" si="1448"/>
        <v>0</v>
      </c>
      <c r="AK3984" s="55">
        <f>IF($AE3984="",0,COUNTIFS(rl_key,Inputs!$J$258,$AF$3806:$AF$4045,$AF3984,$AE$3806:$AE$4045,"&lt;"&amp;$AE3984))</f>
        <v>0</v>
      </c>
      <c r="AL3984" s="55">
        <f>IF($AE3984="",0,COUNTIFS(Inputs!$J$80:$J$258,Inputs!$J$258,$AF$3806:$AF3984,$AF3984,$AE$3806:$AE3984,$AE3984))</f>
        <v>0</v>
      </c>
      <c r="AM3984" s="55">
        <f t="shared" si="1449"/>
        <v>0</v>
      </c>
    </row>
    <row r="3985" spans="1:39" x14ac:dyDescent="0.25">
      <c r="A3985" s="54" t="str">
        <f>IF(Inputs!$C$259="","",IF(Inputs!$E$259="planned",EDATE(Inputs!$C$259,N(INDEX(sc_shift,1))),Inputs!$C$259))</f>
        <v/>
      </c>
      <c r="B3985" s="54" t="str">
        <f t="shared" si="1438"/>
        <v/>
      </c>
      <c r="C3985" s="52">
        <f>IF(N(INDEX(sc_ach,1))=0,IF(Inputs!$G$259="",1,Inputs!$G$259),INDEX(sc_ach,1))</f>
        <v>1</v>
      </c>
      <c r="D3985" s="52">
        <f>IF(Inputs!$C$259="",0,IF(Inputs!$E$259="planned",(Inputs!$D$259+N(INDEX(sc_dpts,1)))*$C3985,Inputs!$D$259))</f>
        <v>0</v>
      </c>
      <c r="E3985" s="53">
        <f>IF(Inputs!$C$259="",0,IF(1+$D3985&gt;0,LN(1+$D3985),0))</f>
        <v>0</v>
      </c>
      <c r="F3985" s="55">
        <f t="shared" si="1439"/>
        <v>0</v>
      </c>
      <c r="G3985" s="55">
        <f>IF($A3985="",0,COUNTIFS(rl_key,Inputs!$J$259,$B$3806:$B$4045,$B3985,$A$3806:$A$4045,"&lt;"&amp;$A3985))</f>
        <v>0</v>
      </c>
      <c r="H3985" s="55">
        <f>IF($A3985="",0,COUNTIFS(Inputs!$J$80:$J$259,Inputs!$J$259,$B$3806:$B3985,$B3985,$A$3806:$A3985,$A3985))</f>
        <v>0</v>
      </c>
      <c r="I3985" s="55">
        <f t="shared" si="1440"/>
        <v>0</v>
      </c>
      <c r="K3985" s="54" t="str">
        <f>IF(Inputs!$C$259="","",IF(Inputs!$E$259="planned",EDATE(Inputs!$C$259,N(INDEX(sc_shift,2))),Inputs!$C$259))</f>
        <v/>
      </c>
      <c r="L3985" s="54" t="str">
        <f t="shared" si="1441"/>
        <v/>
      </c>
      <c r="M3985" s="52">
        <f>IF(N(INDEX(sc_ach,2))=0,IF(Inputs!$G$259="",1,Inputs!$G$259),INDEX(sc_ach,2))</f>
        <v>1</v>
      </c>
      <c r="N3985" s="52">
        <f>IF(Inputs!$C$259="",0,IF(Inputs!$E$259="planned",(Inputs!$D$259+N(INDEX(sc_dpts,2)))*$M3985,Inputs!$D$259))</f>
        <v>0</v>
      </c>
      <c r="O3985" s="53">
        <f>IF(Inputs!$C$259="",0,IF(1+$N3985&gt;0,LN(1+$N3985),0))</f>
        <v>0</v>
      </c>
      <c r="P3985" s="55">
        <f t="shared" si="1442"/>
        <v>0</v>
      </c>
      <c r="Q3985" s="55">
        <f>IF($K3985="",0,COUNTIFS(rl_key,Inputs!$J$259,$L$3806:$L$4045,$L3985,$K$3806:$K$4045,"&lt;"&amp;$K3985))</f>
        <v>0</v>
      </c>
      <c r="R3985" s="55">
        <f>IF($K3985="",0,COUNTIFS(Inputs!$J$80:$J$259,Inputs!$J$259,$L$3806:$L3985,$L3985,$K$3806:$K3985,$K3985))</f>
        <v>0</v>
      </c>
      <c r="S3985" s="55">
        <f t="shared" si="1443"/>
        <v>0</v>
      </c>
      <c r="U3985" s="54" t="str">
        <f>IF(Inputs!$C$259="","",IF(Inputs!$E$259="planned",EDATE(Inputs!$C$259,N(INDEX(sc_shift,3))),Inputs!$C$259))</f>
        <v/>
      </c>
      <c r="V3985" s="54" t="str">
        <f t="shared" si="1444"/>
        <v/>
      </c>
      <c r="W3985" s="52">
        <f>IF(N(INDEX(sc_ach,3))=0,IF(Inputs!$G$259="",1,Inputs!$G$259),INDEX(sc_ach,3))</f>
        <v>1</v>
      </c>
      <c r="X3985" s="52">
        <f>IF(Inputs!$C$259="",0,IF(Inputs!$E$259="planned",(Inputs!$D$259+N(INDEX(sc_dpts,3)))*$W3985,Inputs!$D$259))</f>
        <v>0</v>
      </c>
      <c r="Y3985" s="53">
        <f>IF(Inputs!$C$259="",0,IF(1+$X3985&gt;0,LN(1+$X3985),0))</f>
        <v>0</v>
      </c>
      <c r="Z3985" s="55">
        <f t="shared" si="1445"/>
        <v>0</v>
      </c>
      <c r="AA3985" s="55">
        <f>IF($U3985="",0,COUNTIFS(rl_key,Inputs!$J$259,$V$3806:$V$4045,$V3985,$U$3806:$U$4045,"&lt;"&amp;$U3985))</f>
        <v>0</v>
      </c>
      <c r="AB3985" s="55">
        <f>IF($U3985="",0,COUNTIFS(Inputs!$J$80:$J$259,Inputs!$J$259,$V$3806:$V3985,$V3985,$U$3806:$U3985,$U3985))</f>
        <v>0</v>
      </c>
      <c r="AC3985" s="55">
        <f t="shared" si="1446"/>
        <v>0</v>
      </c>
      <c r="AE3985" s="54" t="str">
        <f>IF(Inputs!$C$259="","",IF(Inputs!$E$259="planned",EDATE(Inputs!$C$259,N(INDEX(sc_shift,4))),Inputs!$C$259))</f>
        <v/>
      </c>
      <c r="AF3985" s="54" t="str">
        <f t="shared" si="1447"/>
        <v/>
      </c>
      <c r="AG3985" s="52">
        <f>IF(N(INDEX(sc_ach,4))=0,IF(Inputs!$G$259="",1,Inputs!$G$259),INDEX(sc_ach,4))</f>
        <v>1</v>
      </c>
      <c r="AH3985" s="52">
        <f>IF(Inputs!$C$259="",0,IF(Inputs!$E$259="planned",(Inputs!$D$259+N(INDEX(sc_dpts,4)))*$AG3985,Inputs!$D$259))</f>
        <v>0</v>
      </c>
      <c r="AI3985" s="53">
        <f>IF(Inputs!$C$259="",0,IF(1+$AH3985&gt;0,LN(1+$AH3985),0))</f>
        <v>0</v>
      </c>
      <c r="AJ3985" s="55">
        <f t="shared" si="1448"/>
        <v>0</v>
      </c>
      <c r="AK3985" s="55">
        <f>IF($AE3985="",0,COUNTIFS(rl_key,Inputs!$J$259,$AF$3806:$AF$4045,$AF3985,$AE$3806:$AE$4045,"&lt;"&amp;$AE3985))</f>
        <v>0</v>
      </c>
      <c r="AL3985" s="55">
        <f>IF($AE3985="",0,COUNTIFS(Inputs!$J$80:$J$259,Inputs!$J$259,$AF$3806:$AF3985,$AF3985,$AE$3806:$AE3985,$AE3985))</f>
        <v>0</v>
      </c>
      <c r="AM3985" s="55">
        <f t="shared" si="1449"/>
        <v>0</v>
      </c>
    </row>
    <row r="3986" spans="1:39" x14ac:dyDescent="0.25">
      <c r="A3986" s="54" t="str">
        <f>IF(Inputs!$C$260="","",IF(Inputs!$E$260="planned",EDATE(Inputs!$C$260,N(INDEX(sc_shift,1))),Inputs!$C$260))</f>
        <v/>
      </c>
      <c r="B3986" s="54" t="str">
        <f t="shared" si="1438"/>
        <v/>
      </c>
      <c r="C3986" s="52">
        <f>IF(N(INDEX(sc_ach,1))=0,IF(Inputs!$G$260="",1,Inputs!$G$260),INDEX(sc_ach,1))</f>
        <v>1</v>
      </c>
      <c r="D3986" s="52">
        <f>IF(Inputs!$C$260="",0,IF(Inputs!$E$260="planned",(Inputs!$D$260+N(INDEX(sc_dpts,1)))*$C3986,Inputs!$D$260))</f>
        <v>0</v>
      </c>
      <c r="E3986" s="53">
        <f>IF(Inputs!$C$260="",0,IF(1+$D3986&gt;0,LN(1+$D3986),0))</f>
        <v>0</v>
      </c>
      <c r="F3986" s="55">
        <f t="shared" si="1439"/>
        <v>0</v>
      </c>
      <c r="G3986" s="55">
        <f>IF($A3986="",0,COUNTIFS(rl_key,Inputs!$J$260,$B$3806:$B$4045,$B3986,$A$3806:$A$4045,"&lt;"&amp;$A3986))</f>
        <v>0</v>
      </c>
      <c r="H3986" s="55">
        <f>IF($A3986="",0,COUNTIFS(Inputs!$J$80:$J$260,Inputs!$J$260,$B$3806:$B3986,$B3986,$A$3806:$A3986,$A3986))</f>
        <v>0</v>
      </c>
      <c r="I3986" s="55">
        <f t="shared" si="1440"/>
        <v>0</v>
      </c>
      <c r="K3986" s="54" t="str">
        <f>IF(Inputs!$C$260="","",IF(Inputs!$E$260="planned",EDATE(Inputs!$C$260,N(INDEX(sc_shift,2))),Inputs!$C$260))</f>
        <v/>
      </c>
      <c r="L3986" s="54" t="str">
        <f t="shared" si="1441"/>
        <v/>
      </c>
      <c r="M3986" s="52">
        <f>IF(N(INDEX(sc_ach,2))=0,IF(Inputs!$G$260="",1,Inputs!$G$260),INDEX(sc_ach,2))</f>
        <v>1</v>
      </c>
      <c r="N3986" s="52">
        <f>IF(Inputs!$C$260="",0,IF(Inputs!$E$260="planned",(Inputs!$D$260+N(INDEX(sc_dpts,2)))*$M3986,Inputs!$D$260))</f>
        <v>0</v>
      </c>
      <c r="O3986" s="53">
        <f>IF(Inputs!$C$260="",0,IF(1+$N3986&gt;0,LN(1+$N3986),0))</f>
        <v>0</v>
      </c>
      <c r="P3986" s="55">
        <f t="shared" si="1442"/>
        <v>0</v>
      </c>
      <c r="Q3986" s="55">
        <f>IF($K3986="",0,COUNTIFS(rl_key,Inputs!$J$260,$L$3806:$L$4045,$L3986,$K$3806:$K$4045,"&lt;"&amp;$K3986))</f>
        <v>0</v>
      </c>
      <c r="R3986" s="55">
        <f>IF($K3986="",0,COUNTIFS(Inputs!$J$80:$J$260,Inputs!$J$260,$L$3806:$L3986,$L3986,$K$3806:$K3986,$K3986))</f>
        <v>0</v>
      </c>
      <c r="S3986" s="55">
        <f t="shared" si="1443"/>
        <v>0</v>
      </c>
      <c r="U3986" s="54" t="str">
        <f>IF(Inputs!$C$260="","",IF(Inputs!$E$260="planned",EDATE(Inputs!$C$260,N(INDEX(sc_shift,3))),Inputs!$C$260))</f>
        <v/>
      </c>
      <c r="V3986" s="54" t="str">
        <f t="shared" si="1444"/>
        <v/>
      </c>
      <c r="W3986" s="52">
        <f>IF(N(INDEX(sc_ach,3))=0,IF(Inputs!$G$260="",1,Inputs!$G$260),INDEX(sc_ach,3))</f>
        <v>1</v>
      </c>
      <c r="X3986" s="52">
        <f>IF(Inputs!$C$260="",0,IF(Inputs!$E$260="planned",(Inputs!$D$260+N(INDEX(sc_dpts,3)))*$W3986,Inputs!$D$260))</f>
        <v>0</v>
      </c>
      <c r="Y3986" s="53">
        <f>IF(Inputs!$C$260="",0,IF(1+$X3986&gt;0,LN(1+$X3986),0))</f>
        <v>0</v>
      </c>
      <c r="Z3986" s="55">
        <f t="shared" si="1445"/>
        <v>0</v>
      </c>
      <c r="AA3986" s="55">
        <f>IF($U3986="",0,COUNTIFS(rl_key,Inputs!$J$260,$V$3806:$V$4045,$V3986,$U$3806:$U$4045,"&lt;"&amp;$U3986))</f>
        <v>0</v>
      </c>
      <c r="AB3986" s="55">
        <f>IF($U3986="",0,COUNTIFS(Inputs!$J$80:$J$260,Inputs!$J$260,$V$3806:$V3986,$V3986,$U$3806:$U3986,$U3986))</f>
        <v>0</v>
      </c>
      <c r="AC3986" s="55">
        <f t="shared" si="1446"/>
        <v>0</v>
      </c>
      <c r="AE3986" s="54" t="str">
        <f>IF(Inputs!$C$260="","",IF(Inputs!$E$260="planned",EDATE(Inputs!$C$260,N(INDEX(sc_shift,4))),Inputs!$C$260))</f>
        <v/>
      </c>
      <c r="AF3986" s="54" t="str">
        <f t="shared" si="1447"/>
        <v/>
      </c>
      <c r="AG3986" s="52">
        <f>IF(N(INDEX(sc_ach,4))=0,IF(Inputs!$G$260="",1,Inputs!$G$260),INDEX(sc_ach,4))</f>
        <v>1</v>
      </c>
      <c r="AH3986" s="52">
        <f>IF(Inputs!$C$260="",0,IF(Inputs!$E$260="planned",(Inputs!$D$260+N(INDEX(sc_dpts,4)))*$AG3986,Inputs!$D$260))</f>
        <v>0</v>
      </c>
      <c r="AI3986" s="53">
        <f>IF(Inputs!$C$260="",0,IF(1+$AH3986&gt;0,LN(1+$AH3986),0))</f>
        <v>0</v>
      </c>
      <c r="AJ3986" s="55">
        <f t="shared" si="1448"/>
        <v>0</v>
      </c>
      <c r="AK3986" s="55">
        <f>IF($AE3986="",0,COUNTIFS(rl_key,Inputs!$J$260,$AF$3806:$AF$4045,$AF3986,$AE$3806:$AE$4045,"&lt;"&amp;$AE3986))</f>
        <v>0</v>
      </c>
      <c r="AL3986" s="55">
        <f>IF($AE3986="",0,COUNTIFS(Inputs!$J$80:$J$260,Inputs!$J$260,$AF$3806:$AF3986,$AF3986,$AE$3806:$AE3986,$AE3986))</f>
        <v>0</v>
      </c>
      <c r="AM3986" s="55">
        <f t="shared" si="1449"/>
        <v>0</v>
      </c>
    </row>
    <row r="3987" spans="1:39" x14ac:dyDescent="0.25">
      <c r="A3987" s="54" t="str">
        <f>IF(Inputs!$C$261="","",IF(Inputs!$E$261="planned",EDATE(Inputs!$C$261,N(INDEX(sc_shift,1))),Inputs!$C$261))</f>
        <v/>
      </c>
      <c r="B3987" s="54" t="str">
        <f t="shared" si="1438"/>
        <v/>
      </c>
      <c r="C3987" s="52">
        <f>IF(N(INDEX(sc_ach,1))=0,IF(Inputs!$G$261="",1,Inputs!$G$261),INDEX(sc_ach,1))</f>
        <v>1</v>
      </c>
      <c r="D3987" s="52">
        <f>IF(Inputs!$C$261="",0,IF(Inputs!$E$261="planned",(Inputs!$D$261+N(INDEX(sc_dpts,1)))*$C3987,Inputs!$D$261))</f>
        <v>0</v>
      </c>
      <c r="E3987" s="53">
        <f>IF(Inputs!$C$261="",0,IF(1+$D3987&gt;0,LN(1+$D3987),0))</f>
        <v>0</v>
      </c>
      <c r="F3987" s="55">
        <f t="shared" si="1439"/>
        <v>0</v>
      </c>
      <c r="G3987" s="55">
        <f>IF($A3987="",0,COUNTIFS(rl_key,Inputs!$J$261,$B$3806:$B$4045,$B3987,$A$3806:$A$4045,"&lt;"&amp;$A3987))</f>
        <v>0</v>
      </c>
      <c r="H3987" s="55">
        <f>IF($A3987="",0,COUNTIFS(Inputs!$J$80:$J$261,Inputs!$J$261,$B$3806:$B3987,$B3987,$A$3806:$A3987,$A3987))</f>
        <v>0</v>
      </c>
      <c r="I3987" s="55">
        <f t="shared" si="1440"/>
        <v>0</v>
      </c>
      <c r="K3987" s="54" t="str">
        <f>IF(Inputs!$C$261="","",IF(Inputs!$E$261="planned",EDATE(Inputs!$C$261,N(INDEX(sc_shift,2))),Inputs!$C$261))</f>
        <v/>
      </c>
      <c r="L3987" s="54" t="str">
        <f t="shared" si="1441"/>
        <v/>
      </c>
      <c r="M3987" s="52">
        <f>IF(N(INDEX(sc_ach,2))=0,IF(Inputs!$G$261="",1,Inputs!$G$261),INDEX(sc_ach,2))</f>
        <v>1</v>
      </c>
      <c r="N3987" s="52">
        <f>IF(Inputs!$C$261="",0,IF(Inputs!$E$261="planned",(Inputs!$D$261+N(INDEX(sc_dpts,2)))*$M3987,Inputs!$D$261))</f>
        <v>0</v>
      </c>
      <c r="O3987" s="53">
        <f>IF(Inputs!$C$261="",0,IF(1+$N3987&gt;0,LN(1+$N3987),0))</f>
        <v>0</v>
      </c>
      <c r="P3987" s="55">
        <f t="shared" si="1442"/>
        <v>0</v>
      </c>
      <c r="Q3987" s="55">
        <f>IF($K3987="",0,COUNTIFS(rl_key,Inputs!$J$261,$L$3806:$L$4045,$L3987,$K$3806:$K$4045,"&lt;"&amp;$K3987))</f>
        <v>0</v>
      </c>
      <c r="R3987" s="55">
        <f>IF($K3987="",0,COUNTIFS(Inputs!$J$80:$J$261,Inputs!$J$261,$L$3806:$L3987,$L3987,$K$3806:$K3987,$K3987))</f>
        <v>0</v>
      </c>
      <c r="S3987" s="55">
        <f t="shared" si="1443"/>
        <v>0</v>
      </c>
      <c r="U3987" s="54" t="str">
        <f>IF(Inputs!$C$261="","",IF(Inputs!$E$261="planned",EDATE(Inputs!$C$261,N(INDEX(sc_shift,3))),Inputs!$C$261))</f>
        <v/>
      </c>
      <c r="V3987" s="54" t="str">
        <f t="shared" si="1444"/>
        <v/>
      </c>
      <c r="W3987" s="52">
        <f>IF(N(INDEX(sc_ach,3))=0,IF(Inputs!$G$261="",1,Inputs!$G$261),INDEX(sc_ach,3))</f>
        <v>1</v>
      </c>
      <c r="X3987" s="52">
        <f>IF(Inputs!$C$261="",0,IF(Inputs!$E$261="planned",(Inputs!$D$261+N(INDEX(sc_dpts,3)))*$W3987,Inputs!$D$261))</f>
        <v>0</v>
      </c>
      <c r="Y3987" s="53">
        <f>IF(Inputs!$C$261="",0,IF(1+$X3987&gt;0,LN(1+$X3987),0))</f>
        <v>0</v>
      </c>
      <c r="Z3987" s="55">
        <f t="shared" si="1445"/>
        <v>0</v>
      </c>
      <c r="AA3987" s="55">
        <f>IF($U3987="",0,COUNTIFS(rl_key,Inputs!$J$261,$V$3806:$V$4045,$V3987,$U$3806:$U$4045,"&lt;"&amp;$U3987))</f>
        <v>0</v>
      </c>
      <c r="AB3987" s="55">
        <f>IF($U3987="",0,COUNTIFS(Inputs!$J$80:$J$261,Inputs!$J$261,$V$3806:$V3987,$V3987,$U$3806:$U3987,$U3987))</f>
        <v>0</v>
      </c>
      <c r="AC3987" s="55">
        <f t="shared" si="1446"/>
        <v>0</v>
      </c>
      <c r="AE3987" s="54" t="str">
        <f>IF(Inputs!$C$261="","",IF(Inputs!$E$261="planned",EDATE(Inputs!$C$261,N(INDEX(sc_shift,4))),Inputs!$C$261))</f>
        <v/>
      </c>
      <c r="AF3987" s="54" t="str">
        <f t="shared" si="1447"/>
        <v/>
      </c>
      <c r="AG3987" s="52">
        <f>IF(N(INDEX(sc_ach,4))=0,IF(Inputs!$G$261="",1,Inputs!$G$261),INDEX(sc_ach,4))</f>
        <v>1</v>
      </c>
      <c r="AH3987" s="52">
        <f>IF(Inputs!$C$261="",0,IF(Inputs!$E$261="planned",(Inputs!$D$261+N(INDEX(sc_dpts,4)))*$AG3987,Inputs!$D$261))</f>
        <v>0</v>
      </c>
      <c r="AI3987" s="53">
        <f>IF(Inputs!$C$261="",0,IF(1+$AH3987&gt;0,LN(1+$AH3987),0))</f>
        <v>0</v>
      </c>
      <c r="AJ3987" s="55">
        <f t="shared" si="1448"/>
        <v>0</v>
      </c>
      <c r="AK3987" s="55">
        <f>IF($AE3987="",0,COUNTIFS(rl_key,Inputs!$J$261,$AF$3806:$AF$4045,$AF3987,$AE$3806:$AE$4045,"&lt;"&amp;$AE3987))</f>
        <v>0</v>
      </c>
      <c r="AL3987" s="55">
        <f>IF($AE3987="",0,COUNTIFS(Inputs!$J$80:$J$261,Inputs!$J$261,$AF$3806:$AF3987,$AF3987,$AE$3806:$AE3987,$AE3987))</f>
        <v>0</v>
      </c>
      <c r="AM3987" s="55">
        <f t="shared" si="1449"/>
        <v>0</v>
      </c>
    </row>
    <row r="3988" spans="1:39" x14ac:dyDescent="0.25">
      <c r="A3988" s="54" t="str">
        <f>IF(Inputs!$C$262="","",IF(Inputs!$E$262="planned",EDATE(Inputs!$C$262,N(INDEX(sc_shift,1))),Inputs!$C$262))</f>
        <v/>
      </c>
      <c r="B3988" s="54" t="str">
        <f t="shared" si="1438"/>
        <v/>
      </c>
      <c r="C3988" s="52">
        <f>IF(N(INDEX(sc_ach,1))=0,IF(Inputs!$G$262="",1,Inputs!$G$262),INDEX(sc_ach,1))</f>
        <v>1</v>
      </c>
      <c r="D3988" s="52">
        <f>IF(Inputs!$C$262="",0,IF(Inputs!$E$262="planned",(Inputs!$D$262+N(INDEX(sc_dpts,1)))*$C3988,Inputs!$D$262))</f>
        <v>0</v>
      </c>
      <c r="E3988" s="53">
        <f>IF(Inputs!$C$262="",0,IF(1+$D3988&gt;0,LN(1+$D3988),0))</f>
        <v>0</v>
      </c>
      <c r="F3988" s="55">
        <f t="shared" si="1439"/>
        <v>0</v>
      </c>
      <c r="G3988" s="55">
        <f>IF($A3988="",0,COUNTIFS(rl_key,Inputs!$J$262,$B$3806:$B$4045,$B3988,$A$3806:$A$4045,"&lt;"&amp;$A3988))</f>
        <v>0</v>
      </c>
      <c r="H3988" s="55">
        <f>IF($A3988="",0,COUNTIFS(Inputs!$J$80:$J$262,Inputs!$J$262,$B$3806:$B3988,$B3988,$A$3806:$A3988,$A3988))</f>
        <v>0</v>
      </c>
      <c r="I3988" s="55">
        <f t="shared" si="1440"/>
        <v>0</v>
      </c>
      <c r="K3988" s="54" t="str">
        <f>IF(Inputs!$C$262="","",IF(Inputs!$E$262="planned",EDATE(Inputs!$C$262,N(INDEX(sc_shift,2))),Inputs!$C$262))</f>
        <v/>
      </c>
      <c r="L3988" s="54" t="str">
        <f t="shared" si="1441"/>
        <v/>
      </c>
      <c r="M3988" s="52">
        <f>IF(N(INDEX(sc_ach,2))=0,IF(Inputs!$G$262="",1,Inputs!$G$262),INDEX(sc_ach,2))</f>
        <v>1</v>
      </c>
      <c r="N3988" s="52">
        <f>IF(Inputs!$C$262="",0,IF(Inputs!$E$262="planned",(Inputs!$D$262+N(INDEX(sc_dpts,2)))*$M3988,Inputs!$D$262))</f>
        <v>0</v>
      </c>
      <c r="O3988" s="53">
        <f>IF(Inputs!$C$262="",0,IF(1+$N3988&gt;0,LN(1+$N3988),0))</f>
        <v>0</v>
      </c>
      <c r="P3988" s="55">
        <f t="shared" si="1442"/>
        <v>0</v>
      </c>
      <c r="Q3988" s="55">
        <f>IF($K3988="",0,COUNTIFS(rl_key,Inputs!$J$262,$L$3806:$L$4045,$L3988,$K$3806:$K$4045,"&lt;"&amp;$K3988))</f>
        <v>0</v>
      </c>
      <c r="R3988" s="55">
        <f>IF($K3988="",0,COUNTIFS(Inputs!$J$80:$J$262,Inputs!$J$262,$L$3806:$L3988,$L3988,$K$3806:$K3988,$K3988))</f>
        <v>0</v>
      </c>
      <c r="S3988" s="55">
        <f t="shared" si="1443"/>
        <v>0</v>
      </c>
      <c r="U3988" s="54" t="str">
        <f>IF(Inputs!$C$262="","",IF(Inputs!$E$262="planned",EDATE(Inputs!$C$262,N(INDEX(sc_shift,3))),Inputs!$C$262))</f>
        <v/>
      </c>
      <c r="V3988" s="54" t="str">
        <f t="shared" si="1444"/>
        <v/>
      </c>
      <c r="W3988" s="52">
        <f>IF(N(INDEX(sc_ach,3))=0,IF(Inputs!$G$262="",1,Inputs!$G$262),INDEX(sc_ach,3))</f>
        <v>1</v>
      </c>
      <c r="X3988" s="52">
        <f>IF(Inputs!$C$262="",0,IF(Inputs!$E$262="planned",(Inputs!$D$262+N(INDEX(sc_dpts,3)))*$W3988,Inputs!$D$262))</f>
        <v>0</v>
      </c>
      <c r="Y3988" s="53">
        <f>IF(Inputs!$C$262="",0,IF(1+$X3988&gt;0,LN(1+$X3988),0))</f>
        <v>0</v>
      </c>
      <c r="Z3988" s="55">
        <f t="shared" si="1445"/>
        <v>0</v>
      </c>
      <c r="AA3988" s="55">
        <f>IF($U3988="",0,COUNTIFS(rl_key,Inputs!$J$262,$V$3806:$V$4045,$V3988,$U$3806:$U$4045,"&lt;"&amp;$U3988))</f>
        <v>0</v>
      </c>
      <c r="AB3988" s="55">
        <f>IF($U3988="",0,COUNTIFS(Inputs!$J$80:$J$262,Inputs!$J$262,$V$3806:$V3988,$V3988,$U$3806:$U3988,$U3988))</f>
        <v>0</v>
      </c>
      <c r="AC3988" s="55">
        <f t="shared" si="1446"/>
        <v>0</v>
      </c>
      <c r="AE3988" s="54" t="str">
        <f>IF(Inputs!$C$262="","",IF(Inputs!$E$262="planned",EDATE(Inputs!$C$262,N(INDEX(sc_shift,4))),Inputs!$C$262))</f>
        <v/>
      </c>
      <c r="AF3988" s="54" t="str">
        <f t="shared" si="1447"/>
        <v/>
      </c>
      <c r="AG3988" s="52">
        <f>IF(N(INDEX(sc_ach,4))=0,IF(Inputs!$G$262="",1,Inputs!$G$262),INDEX(sc_ach,4))</f>
        <v>1</v>
      </c>
      <c r="AH3988" s="52">
        <f>IF(Inputs!$C$262="",0,IF(Inputs!$E$262="planned",(Inputs!$D$262+N(INDEX(sc_dpts,4)))*$AG3988,Inputs!$D$262))</f>
        <v>0</v>
      </c>
      <c r="AI3988" s="53">
        <f>IF(Inputs!$C$262="",0,IF(1+$AH3988&gt;0,LN(1+$AH3988),0))</f>
        <v>0</v>
      </c>
      <c r="AJ3988" s="55">
        <f t="shared" si="1448"/>
        <v>0</v>
      </c>
      <c r="AK3988" s="55">
        <f>IF($AE3988="",0,COUNTIFS(rl_key,Inputs!$J$262,$AF$3806:$AF$4045,$AF3988,$AE$3806:$AE$4045,"&lt;"&amp;$AE3988))</f>
        <v>0</v>
      </c>
      <c r="AL3988" s="55">
        <f>IF($AE3988="",0,COUNTIFS(Inputs!$J$80:$J$262,Inputs!$J$262,$AF$3806:$AF3988,$AF3988,$AE$3806:$AE3988,$AE3988))</f>
        <v>0</v>
      </c>
      <c r="AM3988" s="55">
        <f t="shared" si="1449"/>
        <v>0</v>
      </c>
    </row>
    <row r="3989" spans="1:39" x14ac:dyDescent="0.25">
      <c r="A3989" s="54" t="str">
        <f>IF(Inputs!$C$263="","",IF(Inputs!$E$263="planned",EDATE(Inputs!$C$263,N(INDEX(sc_shift,1))),Inputs!$C$263))</f>
        <v/>
      </c>
      <c r="B3989" s="54" t="str">
        <f t="shared" si="1438"/>
        <v/>
      </c>
      <c r="C3989" s="52">
        <f>IF(N(INDEX(sc_ach,1))=0,IF(Inputs!$G$263="",1,Inputs!$G$263),INDEX(sc_ach,1))</f>
        <v>1</v>
      </c>
      <c r="D3989" s="52">
        <f>IF(Inputs!$C$263="",0,IF(Inputs!$E$263="planned",(Inputs!$D$263+N(INDEX(sc_dpts,1)))*$C3989,Inputs!$D$263))</f>
        <v>0</v>
      </c>
      <c r="E3989" s="53">
        <f>IF(Inputs!$C$263="",0,IF(1+$D3989&gt;0,LN(1+$D3989),0))</f>
        <v>0</v>
      </c>
      <c r="F3989" s="55">
        <f t="shared" si="1439"/>
        <v>0</v>
      </c>
      <c r="G3989" s="55">
        <f>IF($A3989="",0,COUNTIFS(rl_key,Inputs!$J$263,$B$3806:$B$4045,$B3989,$A$3806:$A$4045,"&lt;"&amp;$A3989))</f>
        <v>0</v>
      </c>
      <c r="H3989" s="55">
        <f>IF($A3989="",0,COUNTIFS(Inputs!$J$80:$J$263,Inputs!$J$263,$B$3806:$B3989,$B3989,$A$3806:$A3989,$A3989))</f>
        <v>0</v>
      </c>
      <c r="I3989" s="55">
        <f t="shared" si="1440"/>
        <v>0</v>
      </c>
      <c r="K3989" s="54" t="str">
        <f>IF(Inputs!$C$263="","",IF(Inputs!$E$263="planned",EDATE(Inputs!$C$263,N(INDEX(sc_shift,2))),Inputs!$C$263))</f>
        <v/>
      </c>
      <c r="L3989" s="54" t="str">
        <f t="shared" si="1441"/>
        <v/>
      </c>
      <c r="M3989" s="52">
        <f>IF(N(INDEX(sc_ach,2))=0,IF(Inputs!$G$263="",1,Inputs!$G$263),INDEX(sc_ach,2))</f>
        <v>1</v>
      </c>
      <c r="N3989" s="52">
        <f>IF(Inputs!$C$263="",0,IF(Inputs!$E$263="planned",(Inputs!$D$263+N(INDEX(sc_dpts,2)))*$M3989,Inputs!$D$263))</f>
        <v>0</v>
      </c>
      <c r="O3989" s="53">
        <f>IF(Inputs!$C$263="",0,IF(1+$N3989&gt;0,LN(1+$N3989),0))</f>
        <v>0</v>
      </c>
      <c r="P3989" s="55">
        <f t="shared" si="1442"/>
        <v>0</v>
      </c>
      <c r="Q3989" s="55">
        <f>IF($K3989="",0,COUNTIFS(rl_key,Inputs!$J$263,$L$3806:$L$4045,$L3989,$K$3806:$K$4045,"&lt;"&amp;$K3989))</f>
        <v>0</v>
      </c>
      <c r="R3989" s="55">
        <f>IF($K3989="",0,COUNTIFS(Inputs!$J$80:$J$263,Inputs!$J$263,$L$3806:$L3989,$L3989,$K$3806:$K3989,$K3989))</f>
        <v>0</v>
      </c>
      <c r="S3989" s="55">
        <f t="shared" si="1443"/>
        <v>0</v>
      </c>
      <c r="U3989" s="54" t="str">
        <f>IF(Inputs!$C$263="","",IF(Inputs!$E$263="planned",EDATE(Inputs!$C$263,N(INDEX(sc_shift,3))),Inputs!$C$263))</f>
        <v/>
      </c>
      <c r="V3989" s="54" t="str">
        <f t="shared" si="1444"/>
        <v/>
      </c>
      <c r="W3989" s="52">
        <f>IF(N(INDEX(sc_ach,3))=0,IF(Inputs!$G$263="",1,Inputs!$G$263),INDEX(sc_ach,3))</f>
        <v>1</v>
      </c>
      <c r="X3989" s="52">
        <f>IF(Inputs!$C$263="",0,IF(Inputs!$E$263="planned",(Inputs!$D$263+N(INDEX(sc_dpts,3)))*$W3989,Inputs!$D$263))</f>
        <v>0</v>
      </c>
      <c r="Y3989" s="53">
        <f>IF(Inputs!$C$263="",0,IF(1+$X3989&gt;0,LN(1+$X3989),0))</f>
        <v>0</v>
      </c>
      <c r="Z3989" s="55">
        <f t="shared" si="1445"/>
        <v>0</v>
      </c>
      <c r="AA3989" s="55">
        <f>IF($U3989="",0,COUNTIFS(rl_key,Inputs!$J$263,$V$3806:$V$4045,$V3989,$U$3806:$U$4045,"&lt;"&amp;$U3989))</f>
        <v>0</v>
      </c>
      <c r="AB3989" s="55">
        <f>IF($U3989="",0,COUNTIFS(Inputs!$J$80:$J$263,Inputs!$J$263,$V$3806:$V3989,$V3989,$U$3806:$U3989,$U3989))</f>
        <v>0</v>
      </c>
      <c r="AC3989" s="55">
        <f t="shared" si="1446"/>
        <v>0</v>
      </c>
      <c r="AE3989" s="54" t="str">
        <f>IF(Inputs!$C$263="","",IF(Inputs!$E$263="planned",EDATE(Inputs!$C$263,N(INDEX(sc_shift,4))),Inputs!$C$263))</f>
        <v/>
      </c>
      <c r="AF3989" s="54" t="str">
        <f t="shared" si="1447"/>
        <v/>
      </c>
      <c r="AG3989" s="52">
        <f>IF(N(INDEX(sc_ach,4))=0,IF(Inputs!$G$263="",1,Inputs!$G$263),INDEX(sc_ach,4))</f>
        <v>1</v>
      </c>
      <c r="AH3989" s="52">
        <f>IF(Inputs!$C$263="",0,IF(Inputs!$E$263="planned",(Inputs!$D$263+N(INDEX(sc_dpts,4)))*$AG3989,Inputs!$D$263))</f>
        <v>0</v>
      </c>
      <c r="AI3989" s="53">
        <f>IF(Inputs!$C$263="",0,IF(1+$AH3989&gt;0,LN(1+$AH3989),0))</f>
        <v>0</v>
      </c>
      <c r="AJ3989" s="55">
        <f t="shared" si="1448"/>
        <v>0</v>
      </c>
      <c r="AK3989" s="55">
        <f>IF($AE3989="",0,COUNTIFS(rl_key,Inputs!$J$263,$AF$3806:$AF$4045,$AF3989,$AE$3806:$AE$4045,"&lt;"&amp;$AE3989))</f>
        <v>0</v>
      </c>
      <c r="AL3989" s="55">
        <f>IF($AE3989="",0,COUNTIFS(Inputs!$J$80:$J$263,Inputs!$J$263,$AF$3806:$AF3989,$AF3989,$AE$3806:$AE3989,$AE3989))</f>
        <v>0</v>
      </c>
      <c r="AM3989" s="55">
        <f t="shared" si="1449"/>
        <v>0</v>
      </c>
    </row>
    <row r="3990" spans="1:39" x14ac:dyDescent="0.25">
      <c r="A3990" s="54" t="str">
        <f>IF(Inputs!$C$264="","",IF(Inputs!$E$264="planned",EDATE(Inputs!$C$264,N(INDEX(sc_shift,1))),Inputs!$C$264))</f>
        <v/>
      </c>
      <c r="B3990" s="54" t="str">
        <f t="shared" si="1438"/>
        <v/>
      </c>
      <c r="C3990" s="52">
        <f>IF(N(INDEX(sc_ach,1))=0,IF(Inputs!$G$264="",1,Inputs!$G$264),INDEX(sc_ach,1))</f>
        <v>1</v>
      </c>
      <c r="D3990" s="52">
        <f>IF(Inputs!$C$264="",0,IF(Inputs!$E$264="planned",(Inputs!$D$264+N(INDEX(sc_dpts,1)))*$C3990,Inputs!$D$264))</f>
        <v>0</v>
      </c>
      <c r="E3990" s="53">
        <f>IF(Inputs!$C$264="",0,IF(1+$D3990&gt;0,LN(1+$D3990),0))</f>
        <v>0</v>
      </c>
      <c r="F3990" s="55">
        <f t="shared" si="1439"/>
        <v>0</v>
      </c>
      <c r="G3990" s="55">
        <f>IF($A3990="",0,COUNTIFS(rl_key,Inputs!$J$264,$B$3806:$B$4045,$B3990,$A$3806:$A$4045,"&lt;"&amp;$A3990))</f>
        <v>0</v>
      </c>
      <c r="H3990" s="55">
        <f>IF($A3990="",0,COUNTIFS(Inputs!$J$80:$J$264,Inputs!$J$264,$B$3806:$B3990,$B3990,$A$3806:$A3990,$A3990))</f>
        <v>0</v>
      </c>
      <c r="I3990" s="55">
        <f t="shared" si="1440"/>
        <v>0</v>
      </c>
      <c r="K3990" s="54" t="str">
        <f>IF(Inputs!$C$264="","",IF(Inputs!$E$264="planned",EDATE(Inputs!$C$264,N(INDEX(sc_shift,2))),Inputs!$C$264))</f>
        <v/>
      </c>
      <c r="L3990" s="54" t="str">
        <f t="shared" si="1441"/>
        <v/>
      </c>
      <c r="M3990" s="52">
        <f>IF(N(INDEX(sc_ach,2))=0,IF(Inputs!$G$264="",1,Inputs!$G$264),INDEX(sc_ach,2))</f>
        <v>1</v>
      </c>
      <c r="N3990" s="52">
        <f>IF(Inputs!$C$264="",0,IF(Inputs!$E$264="planned",(Inputs!$D$264+N(INDEX(sc_dpts,2)))*$M3990,Inputs!$D$264))</f>
        <v>0</v>
      </c>
      <c r="O3990" s="53">
        <f>IF(Inputs!$C$264="",0,IF(1+$N3990&gt;0,LN(1+$N3990),0))</f>
        <v>0</v>
      </c>
      <c r="P3990" s="55">
        <f t="shared" si="1442"/>
        <v>0</v>
      </c>
      <c r="Q3990" s="55">
        <f>IF($K3990="",0,COUNTIFS(rl_key,Inputs!$J$264,$L$3806:$L$4045,$L3990,$K$3806:$K$4045,"&lt;"&amp;$K3990))</f>
        <v>0</v>
      </c>
      <c r="R3990" s="55">
        <f>IF($K3990="",0,COUNTIFS(Inputs!$J$80:$J$264,Inputs!$J$264,$L$3806:$L3990,$L3990,$K$3806:$K3990,$K3990))</f>
        <v>0</v>
      </c>
      <c r="S3990" s="55">
        <f t="shared" si="1443"/>
        <v>0</v>
      </c>
      <c r="U3990" s="54" t="str">
        <f>IF(Inputs!$C$264="","",IF(Inputs!$E$264="planned",EDATE(Inputs!$C$264,N(INDEX(sc_shift,3))),Inputs!$C$264))</f>
        <v/>
      </c>
      <c r="V3990" s="54" t="str">
        <f t="shared" si="1444"/>
        <v/>
      </c>
      <c r="W3990" s="52">
        <f>IF(N(INDEX(sc_ach,3))=0,IF(Inputs!$G$264="",1,Inputs!$G$264),INDEX(sc_ach,3))</f>
        <v>1</v>
      </c>
      <c r="X3990" s="52">
        <f>IF(Inputs!$C$264="",0,IF(Inputs!$E$264="planned",(Inputs!$D$264+N(INDEX(sc_dpts,3)))*$W3990,Inputs!$D$264))</f>
        <v>0</v>
      </c>
      <c r="Y3990" s="53">
        <f>IF(Inputs!$C$264="",0,IF(1+$X3990&gt;0,LN(1+$X3990),0))</f>
        <v>0</v>
      </c>
      <c r="Z3990" s="55">
        <f t="shared" si="1445"/>
        <v>0</v>
      </c>
      <c r="AA3990" s="55">
        <f>IF($U3990="",0,COUNTIFS(rl_key,Inputs!$J$264,$V$3806:$V$4045,$V3990,$U$3806:$U$4045,"&lt;"&amp;$U3990))</f>
        <v>0</v>
      </c>
      <c r="AB3990" s="55">
        <f>IF($U3990="",0,COUNTIFS(Inputs!$J$80:$J$264,Inputs!$J$264,$V$3806:$V3990,$V3990,$U$3806:$U3990,$U3990))</f>
        <v>0</v>
      </c>
      <c r="AC3990" s="55">
        <f t="shared" si="1446"/>
        <v>0</v>
      </c>
      <c r="AE3990" s="54" t="str">
        <f>IF(Inputs!$C$264="","",IF(Inputs!$E$264="planned",EDATE(Inputs!$C$264,N(INDEX(sc_shift,4))),Inputs!$C$264))</f>
        <v/>
      </c>
      <c r="AF3990" s="54" t="str">
        <f t="shared" si="1447"/>
        <v/>
      </c>
      <c r="AG3990" s="52">
        <f>IF(N(INDEX(sc_ach,4))=0,IF(Inputs!$G$264="",1,Inputs!$G$264),INDEX(sc_ach,4))</f>
        <v>1</v>
      </c>
      <c r="AH3990" s="52">
        <f>IF(Inputs!$C$264="",0,IF(Inputs!$E$264="planned",(Inputs!$D$264+N(INDEX(sc_dpts,4)))*$AG3990,Inputs!$D$264))</f>
        <v>0</v>
      </c>
      <c r="AI3990" s="53">
        <f>IF(Inputs!$C$264="",0,IF(1+$AH3990&gt;0,LN(1+$AH3990),0))</f>
        <v>0</v>
      </c>
      <c r="AJ3990" s="55">
        <f t="shared" si="1448"/>
        <v>0</v>
      </c>
      <c r="AK3990" s="55">
        <f>IF($AE3990="",0,COUNTIFS(rl_key,Inputs!$J$264,$AF$3806:$AF$4045,$AF3990,$AE$3806:$AE$4045,"&lt;"&amp;$AE3990))</f>
        <v>0</v>
      </c>
      <c r="AL3990" s="55">
        <f>IF($AE3990="",0,COUNTIFS(Inputs!$J$80:$J$264,Inputs!$J$264,$AF$3806:$AF3990,$AF3990,$AE$3806:$AE3990,$AE3990))</f>
        <v>0</v>
      </c>
      <c r="AM3990" s="55">
        <f t="shared" si="1449"/>
        <v>0</v>
      </c>
    </row>
    <row r="3991" spans="1:39" x14ac:dyDescent="0.25">
      <c r="A3991" s="54" t="str">
        <f>IF(Inputs!$C$265="","",IF(Inputs!$E$265="planned",EDATE(Inputs!$C$265,N(INDEX(sc_shift,1))),Inputs!$C$265))</f>
        <v/>
      </c>
      <c r="B3991" s="54" t="str">
        <f t="shared" si="1438"/>
        <v/>
      </c>
      <c r="C3991" s="52">
        <f>IF(N(INDEX(sc_ach,1))=0,IF(Inputs!$G$265="",1,Inputs!$G$265),INDEX(sc_ach,1))</f>
        <v>1</v>
      </c>
      <c r="D3991" s="52">
        <f>IF(Inputs!$C$265="",0,IF(Inputs!$E$265="planned",(Inputs!$D$265+N(INDEX(sc_dpts,1)))*$C3991,Inputs!$D$265))</f>
        <v>0</v>
      </c>
      <c r="E3991" s="53">
        <f>IF(Inputs!$C$265="",0,IF(1+$D3991&gt;0,LN(1+$D3991),0))</f>
        <v>0</v>
      </c>
      <c r="F3991" s="55">
        <f t="shared" si="1439"/>
        <v>0</v>
      </c>
      <c r="G3991" s="55">
        <f>IF($A3991="",0,COUNTIFS(rl_key,Inputs!$J$265,$B$3806:$B$4045,$B3991,$A$3806:$A$4045,"&lt;"&amp;$A3991))</f>
        <v>0</v>
      </c>
      <c r="H3991" s="55">
        <f>IF($A3991="",0,COUNTIFS(Inputs!$J$80:$J$265,Inputs!$J$265,$B$3806:$B3991,$B3991,$A$3806:$A3991,$A3991))</f>
        <v>0</v>
      </c>
      <c r="I3991" s="55">
        <f t="shared" si="1440"/>
        <v>0</v>
      </c>
      <c r="K3991" s="54" t="str">
        <f>IF(Inputs!$C$265="","",IF(Inputs!$E$265="planned",EDATE(Inputs!$C$265,N(INDEX(sc_shift,2))),Inputs!$C$265))</f>
        <v/>
      </c>
      <c r="L3991" s="54" t="str">
        <f t="shared" si="1441"/>
        <v/>
      </c>
      <c r="M3991" s="52">
        <f>IF(N(INDEX(sc_ach,2))=0,IF(Inputs!$G$265="",1,Inputs!$G$265),INDEX(sc_ach,2))</f>
        <v>1</v>
      </c>
      <c r="N3991" s="52">
        <f>IF(Inputs!$C$265="",0,IF(Inputs!$E$265="planned",(Inputs!$D$265+N(INDEX(sc_dpts,2)))*$M3991,Inputs!$D$265))</f>
        <v>0</v>
      </c>
      <c r="O3991" s="53">
        <f>IF(Inputs!$C$265="",0,IF(1+$N3991&gt;0,LN(1+$N3991),0))</f>
        <v>0</v>
      </c>
      <c r="P3991" s="55">
        <f t="shared" si="1442"/>
        <v>0</v>
      </c>
      <c r="Q3991" s="55">
        <f>IF($K3991="",0,COUNTIFS(rl_key,Inputs!$J$265,$L$3806:$L$4045,$L3991,$K$3806:$K$4045,"&lt;"&amp;$K3991))</f>
        <v>0</v>
      </c>
      <c r="R3991" s="55">
        <f>IF($K3991="",0,COUNTIFS(Inputs!$J$80:$J$265,Inputs!$J$265,$L$3806:$L3991,$L3991,$K$3806:$K3991,$K3991))</f>
        <v>0</v>
      </c>
      <c r="S3991" s="55">
        <f t="shared" si="1443"/>
        <v>0</v>
      </c>
      <c r="U3991" s="54" t="str">
        <f>IF(Inputs!$C$265="","",IF(Inputs!$E$265="planned",EDATE(Inputs!$C$265,N(INDEX(sc_shift,3))),Inputs!$C$265))</f>
        <v/>
      </c>
      <c r="V3991" s="54" t="str">
        <f t="shared" si="1444"/>
        <v/>
      </c>
      <c r="W3991" s="52">
        <f>IF(N(INDEX(sc_ach,3))=0,IF(Inputs!$G$265="",1,Inputs!$G$265),INDEX(sc_ach,3))</f>
        <v>1</v>
      </c>
      <c r="X3991" s="52">
        <f>IF(Inputs!$C$265="",0,IF(Inputs!$E$265="planned",(Inputs!$D$265+N(INDEX(sc_dpts,3)))*$W3991,Inputs!$D$265))</f>
        <v>0</v>
      </c>
      <c r="Y3991" s="53">
        <f>IF(Inputs!$C$265="",0,IF(1+$X3991&gt;0,LN(1+$X3991),0))</f>
        <v>0</v>
      </c>
      <c r="Z3991" s="55">
        <f t="shared" si="1445"/>
        <v>0</v>
      </c>
      <c r="AA3991" s="55">
        <f>IF($U3991="",0,COUNTIFS(rl_key,Inputs!$J$265,$V$3806:$V$4045,$V3991,$U$3806:$U$4045,"&lt;"&amp;$U3991))</f>
        <v>0</v>
      </c>
      <c r="AB3991" s="55">
        <f>IF($U3991="",0,COUNTIFS(Inputs!$J$80:$J$265,Inputs!$J$265,$V$3806:$V3991,$V3991,$U$3806:$U3991,$U3991))</f>
        <v>0</v>
      </c>
      <c r="AC3991" s="55">
        <f t="shared" si="1446"/>
        <v>0</v>
      </c>
      <c r="AE3991" s="54" t="str">
        <f>IF(Inputs!$C$265="","",IF(Inputs!$E$265="planned",EDATE(Inputs!$C$265,N(INDEX(sc_shift,4))),Inputs!$C$265))</f>
        <v/>
      </c>
      <c r="AF3991" s="54" t="str">
        <f t="shared" si="1447"/>
        <v/>
      </c>
      <c r="AG3991" s="52">
        <f>IF(N(INDEX(sc_ach,4))=0,IF(Inputs!$G$265="",1,Inputs!$G$265),INDEX(sc_ach,4))</f>
        <v>1</v>
      </c>
      <c r="AH3991" s="52">
        <f>IF(Inputs!$C$265="",0,IF(Inputs!$E$265="planned",(Inputs!$D$265+N(INDEX(sc_dpts,4)))*$AG3991,Inputs!$D$265))</f>
        <v>0</v>
      </c>
      <c r="AI3991" s="53">
        <f>IF(Inputs!$C$265="",0,IF(1+$AH3991&gt;0,LN(1+$AH3991),0))</f>
        <v>0</v>
      </c>
      <c r="AJ3991" s="55">
        <f t="shared" si="1448"/>
        <v>0</v>
      </c>
      <c r="AK3991" s="55">
        <f>IF($AE3991="",0,COUNTIFS(rl_key,Inputs!$J$265,$AF$3806:$AF$4045,$AF3991,$AE$3806:$AE$4045,"&lt;"&amp;$AE3991))</f>
        <v>0</v>
      </c>
      <c r="AL3991" s="55">
        <f>IF($AE3991="",0,COUNTIFS(Inputs!$J$80:$J$265,Inputs!$J$265,$AF$3806:$AF3991,$AF3991,$AE$3806:$AE3991,$AE3991))</f>
        <v>0</v>
      </c>
      <c r="AM3991" s="55">
        <f t="shared" si="1449"/>
        <v>0</v>
      </c>
    </row>
    <row r="3992" spans="1:39" x14ac:dyDescent="0.25">
      <c r="A3992" s="54" t="str">
        <f>IF(Inputs!$C$266="","",IF(Inputs!$E$266="planned",EDATE(Inputs!$C$266,N(INDEX(sc_shift,1))),Inputs!$C$266))</f>
        <v/>
      </c>
      <c r="B3992" s="54" t="str">
        <f t="shared" si="1438"/>
        <v/>
      </c>
      <c r="C3992" s="52">
        <f>IF(N(INDEX(sc_ach,1))=0,IF(Inputs!$G$266="",1,Inputs!$G$266),INDEX(sc_ach,1))</f>
        <v>1</v>
      </c>
      <c r="D3992" s="52">
        <f>IF(Inputs!$C$266="",0,IF(Inputs!$E$266="planned",(Inputs!$D$266+N(INDEX(sc_dpts,1)))*$C3992,Inputs!$D$266))</f>
        <v>0</v>
      </c>
      <c r="E3992" s="53">
        <f>IF(Inputs!$C$266="",0,IF(1+$D3992&gt;0,LN(1+$D3992),0))</f>
        <v>0</v>
      </c>
      <c r="F3992" s="55">
        <f t="shared" si="1439"/>
        <v>0</v>
      </c>
      <c r="G3992" s="55">
        <f>IF($A3992="",0,COUNTIFS(rl_key,Inputs!$J$266,$B$3806:$B$4045,$B3992,$A$3806:$A$4045,"&lt;"&amp;$A3992))</f>
        <v>0</v>
      </c>
      <c r="H3992" s="55">
        <f>IF($A3992="",0,COUNTIFS(Inputs!$J$80:$J$266,Inputs!$J$266,$B$3806:$B3992,$B3992,$A$3806:$A3992,$A3992))</f>
        <v>0</v>
      </c>
      <c r="I3992" s="55">
        <f t="shared" si="1440"/>
        <v>0</v>
      </c>
      <c r="K3992" s="54" t="str">
        <f>IF(Inputs!$C$266="","",IF(Inputs!$E$266="planned",EDATE(Inputs!$C$266,N(INDEX(sc_shift,2))),Inputs!$C$266))</f>
        <v/>
      </c>
      <c r="L3992" s="54" t="str">
        <f t="shared" si="1441"/>
        <v/>
      </c>
      <c r="M3992" s="52">
        <f>IF(N(INDEX(sc_ach,2))=0,IF(Inputs!$G$266="",1,Inputs!$G$266),INDEX(sc_ach,2))</f>
        <v>1</v>
      </c>
      <c r="N3992" s="52">
        <f>IF(Inputs!$C$266="",0,IF(Inputs!$E$266="planned",(Inputs!$D$266+N(INDEX(sc_dpts,2)))*$M3992,Inputs!$D$266))</f>
        <v>0</v>
      </c>
      <c r="O3992" s="53">
        <f>IF(Inputs!$C$266="",0,IF(1+$N3992&gt;0,LN(1+$N3992),0))</f>
        <v>0</v>
      </c>
      <c r="P3992" s="55">
        <f t="shared" si="1442"/>
        <v>0</v>
      </c>
      <c r="Q3992" s="55">
        <f>IF($K3992="",0,COUNTIFS(rl_key,Inputs!$J$266,$L$3806:$L$4045,$L3992,$K$3806:$K$4045,"&lt;"&amp;$K3992))</f>
        <v>0</v>
      </c>
      <c r="R3992" s="55">
        <f>IF($K3992="",0,COUNTIFS(Inputs!$J$80:$J$266,Inputs!$J$266,$L$3806:$L3992,$L3992,$K$3806:$K3992,$K3992))</f>
        <v>0</v>
      </c>
      <c r="S3992" s="55">
        <f t="shared" si="1443"/>
        <v>0</v>
      </c>
      <c r="U3992" s="54" t="str">
        <f>IF(Inputs!$C$266="","",IF(Inputs!$E$266="planned",EDATE(Inputs!$C$266,N(INDEX(sc_shift,3))),Inputs!$C$266))</f>
        <v/>
      </c>
      <c r="V3992" s="54" t="str">
        <f t="shared" si="1444"/>
        <v/>
      </c>
      <c r="W3992" s="52">
        <f>IF(N(INDEX(sc_ach,3))=0,IF(Inputs!$G$266="",1,Inputs!$G$266),INDEX(sc_ach,3))</f>
        <v>1</v>
      </c>
      <c r="X3992" s="52">
        <f>IF(Inputs!$C$266="",0,IF(Inputs!$E$266="planned",(Inputs!$D$266+N(INDEX(sc_dpts,3)))*$W3992,Inputs!$D$266))</f>
        <v>0</v>
      </c>
      <c r="Y3992" s="53">
        <f>IF(Inputs!$C$266="",0,IF(1+$X3992&gt;0,LN(1+$X3992),0))</f>
        <v>0</v>
      </c>
      <c r="Z3992" s="55">
        <f t="shared" si="1445"/>
        <v>0</v>
      </c>
      <c r="AA3992" s="55">
        <f>IF($U3992="",0,COUNTIFS(rl_key,Inputs!$J$266,$V$3806:$V$4045,$V3992,$U$3806:$U$4045,"&lt;"&amp;$U3992))</f>
        <v>0</v>
      </c>
      <c r="AB3992" s="55">
        <f>IF($U3992="",0,COUNTIFS(Inputs!$J$80:$J$266,Inputs!$J$266,$V$3806:$V3992,$V3992,$U$3806:$U3992,$U3992))</f>
        <v>0</v>
      </c>
      <c r="AC3992" s="55">
        <f t="shared" si="1446"/>
        <v>0</v>
      </c>
      <c r="AE3992" s="54" t="str">
        <f>IF(Inputs!$C$266="","",IF(Inputs!$E$266="planned",EDATE(Inputs!$C$266,N(INDEX(sc_shift,4))),Inputs!$C$266))</f>
        <v/>
      </c>
      <c r="AF3992" s="54" t="str">
        <f t="shared" si="1447"/>
        <v/>
      </c>
      <c r="AG3992" s="52">
        <f>IF(N(INDEX(sc_ach,4))=0,IF(Inputs!$G$266="",1,Inputs!$G$266),INDEX(sc_ach,4))</f>
        <v>1</v>
      </c>
      <c r="AH3992" s="52">
        <f>IF(Inputs!$C$266="",0,IF(Inputs!$E$266="planned",(Inputs!$D$266+N(INDEX(sc_dpts,4)))*$AG3992,Inputs!$D$266))</f>
        <v>0</v>
      </c>
      <c r="AI3992" s="53">
        <f>IF(Inputs!$C$266="",0,IF(1+$AH3992&gt;0,LN(1+$AH3992),0))</f>
        <v>0</v>
      </c>
      <c r="AJ3992" s="55">
        <f t="shared" si="1448"/>
        <v>0</v>
      </c>
      <c r="AK3992" s="55">
        <f>IF($AE3992="",0,COUNTIFS(rl_key,Inputs!$J$266,$AF$3806:$AF$4045,$AF3992,$AE$3806:$AE$4045,"&lt;"&amp;$AE3992))</f>
        <v>0</v>
      </c>
      <c r="AL3992" s="55">
        <f>IF($AE3992="",0,COUNTIFS(Inputs!$J$80:$J$266,Inputs!$J$266,$AF$3806:$AF3992,$AF3992,$AE$3806:$AE3992,$AE3992))</f>
        <v>0</v>
      </c>
      <c r="AM3992" s="55">
        <f t="shared" si="1449"/>
        <v>0</v>
      </c>
    </row>
    <row r="3993" spans="1:39" x14ac:dyDescent="0.25">
      <c r="A3993" s="54" t="str">
        <f>IF(Inputs!$C$267="","",IF(Inputs!$E$267="planned",EDATE(Inputs!$C$267,N(INDEX(sc_shift,1))),Inputs!$C$267))</f>
        <v/>
      </c>
      <c r="B3993" s="54" t="str">
        <f t="shared" si="1438"/>
        <v/>
      </c>
      <c r="C3993" s="52">
        <f>IF(N(INDEX(sc_ach,1))=0,IF(Inputs!$G$267="",1,Inputs!$G$267),INDEX(sc_ach,1))</f>
        <v>1</v>
      </c>
      <c r="D3993" s="52">
        <f>IF(Inputs!$C$267="",0,IF(Inputs!$E$267="planned",(Inputs!$D$267+N(INDEX(sc_dpts,1)))*$C3993,Inputs!$D$267))</f>
        <v>0</v>
      </c>
      <c r="E3993" s="53">
        <f>IF(Inputs!$C$267="",0,IF(1+$D3993&gt;0,LN(1+$D3993),0))</f>
        <v>0</v>
      </c>
      <c r="F3993" s="55">
        <f t="shared" si="1439"/>
        <v>0</v>
      </c>
      <c r="G3993" s="55">
        <f>IF($A3993="",0,COUNTIFS(rl_key,Inputs!$J$267,$B$3806:$B$4045,$B3993,$A$3806:$A$4045,"&lt;"&amp;$A3993))</f>
        <v>0</v>
      </c>
      <c r="H3993" s="55">
        <f>IF($A3993="",0,COUNTIFS(Inputs!$J$80:$J$267,Inputs!$J$267,$B$3806:$B3993,$B3993,$A$3806:$A3993,$A3993))</f>
        <v>0</v>
      </c>
      <c r="I3993" s="55">
        <f t="shared" si="1440"/>
        <v>0</v>
      </c>
      <c r="K3993" s="54" t="str">
        <f>IF(Inputs!$C$267="","",IF(Inputs!$E$267="planned",EDATE(Inputs!$C$267,N(INDEX(sc_shift,2))),Inputs!$C$267))</f>
        <v/>
      </c>
      <c r="L3993" s="54" t="str">
        <f t="shared" si="1441"/>
        <v/>
      </c>
      <c r="M3993" s="52">
        <f>IF(N(INDEX(sc_ach,2))=0,IF(Inputs!$G$267="",1,Inputs!$G$267),INDEX(sc_ach,2))</f>
        <v>1</v>
      </c>
      <c r="N3993" s="52">
        <f>IF(Inputs!$C$267="",0,IF(Inputs!$E$267="planned",(Inputs!$D$267+N(INDEX(sc_dpts,2)))*$M3993,Inputs!$D$267))</f>
        <v>0</v>
      </c>
      <c r="O3993" s="53">
        <f>IF(Inputs!$C$267="",0,IF(1+$N3993&gt;0,LN(1+$N3993),0))</f>
        <v>0</v>
      </c>
      <c r="P3993" s="55">
        <f t="shared" si="1442"/>
        <v>0</v>
      </c>
      <c r="Q3993" s="55">
        <f>IF($K3993="",0,COUNTIFS(rl_key,Inputs!$J$267,$L$3806:$L$4045,$L3993,$K$3806:$K$4045,"&lt;"&amp;$K3993))</f>
        <v>0</v>
      </c>
      <c r="R3993" s="55">
        <f>IF($K3993="",0,COUNTIFS(Inputs!$J$80:$J$267,Inputs!$J$267,$L$3806:$L3993,$L3993,$K$3806:$K3993,$K3993))</f>
        <v>0</v>
      </c>
      <c r="S3993" s="55">
        <f t="shared" si="1443"/>
        <v>0</v>
      </c>
      <c r="U3993" s="54" t="str">
        <f>IF(Inputs!$C$267="","",IF(Inputs!$E$267="planned",EDATE(Inputs!$C$267,N(INDEX(sc_shift,3))),Inputs!$C$267))</f>
        <v/>
      </c>
      <c r="V3993" s="54" t="str">
        <f t="shared" si="1444"/>
        <v/>
      </c>
      <c r="W3993" s="52">
        <f>IF(N(INDEX(sc_ach,3))=0,IF(Inputs!$G$267="",1,Inputs!$G$267),INDEX(sc_ach,3))</f>
        <v>1</v>
      </c>
      <c r="X3993" s="52">
        <f>IF(Inputs!$C$267="",0,IF(Inputs!$E$267="planned",(Inputs!$D$267+N(INDEX(sc_dpts,3)))*$W3993,Inputs!$D$267))</f>
        <v>0</v>
      </c>
      <c r="Y3993" s="53">
        <f>IF(Inputs!$C$267="",0,IF(1+$X3993&gt;0,LN(1+$X3993),0))</f>
        <v>0</v>
      </c>
      <c r="Z3993" s="55">
        <f t="shared" si="1445"/>
        <v>0</v>
      </c>
      <c r="AA3993" s="55">
        <f>IF($U3993="",0,COUNTIFS(rl_key,Inputs!$J$267,$V$3806:$V$4045,$V3993,$U$3806:$U$4045,"&lt;"&amp;$U3993))</f>
        <v>0</v>
      </c>
      <c r="AB3993" s="55">
        <f>IF($U3993="",0,COUNTIFS(Inputs!$J$80:$J$267,Inputs!$J$267,$V$3806:$V3993,$V3993,$U$3806:$U3993,$U3993))</f>
        <v>0</v>
      </c>
      <c r="AC3993" s="55">
        <f t="shared" si="1446"/>
        <v>0</v>
      </c>
      <c r="AE3993" s="54" t="str">
        <f>IF(Inputs!$C$267="","",IF(Inputs!$E$267="planned",EDATE(Inputs!$C$267,N(INDEX(sc_shift,4))),Inputs!$C$267))</f>
        <v/>
      </c>
      <c r="AF3993" s="54" t="str">
        <f t="shared" si="1447"/>
        <v/>
      </c>
      <c r="AG3993" s="52">
        <f>IF(N(INDEX(sc_ach,4))=0,IF(Inputs!$G$267="",1,Inputs!$G$267),INDEX(sc_ach,4))</f>
        <v>1</v>
      </c>
      <c r="AH3993" s="52">
        <f>IF(Inputs!$C$267="",0,IF(Inputs!$E$267="planned",(Inputs!$D$267+N(INDEX(sc_dpts,4)))*$AG3993,Inputs!$D$267))</f>
        <v>0</v>
      </c>
      <c r="AI3993" s="53">
        <f>IF(Inputs!$C$267="",0,IF(1+$AH3993&gt;0,LN(1+$AH3993),0))</f>
        <v>0</v>
      </c>
      <c r="AJ3993" s="55">
        <f t="shared" si="1448"/>
        <v>0</v>
      </c>
      <c r="AK3993" s="55">
        <f>IF($AE3993="",0,COUNTIFS(rl_key,Inputs!$J$267,$AF$3806:$AF$4045,$AF3993,$AE$3806:$AE$4045,"&lt;"&amp;$AE3993))</f>
        <v>0</v>
      </c>
      <c r="AL3993" s="55">
        <f>IF($AE3993="",0,COUNTIFS(Inputs!$J$80:$J$267,Inputs!$J$267,$AF$3806:$AF3993,$AF3993,$AE$3806:$AE3993,$AE3993))</f>
        <v>0</v>
      </c>
      <c r="AM3993" s="55">
        <f t="shared" si="1449"/>
        <v>0</v>
      </c>
    </row>
    <row r="3994" spans="1:39" x14ac:dyDescent="0.25">
      <c r="A3994" s="54" t="str">
        <f>IF(Inputs!$C$268="","",IF(Inputs!$E$268="planned",EDATE(Inputs!$C$268,N(INDEX(sc_shift,1))),Inputs!$C$268))</f>
        <v/>
      </c>
      <c r="B3994" s="54" t="str">
        <f t="shared" si="1438"/>
        <v/>
      </c>
      <c r="C3994" s="52">
        <f>IF(N(INDEX(sc_ach,1))=0,IF(Inputs!$G$268="",1,Inputs!$G$268),INDEX(sc_ach,1))</f>
        <v>1</v>
      </c>
      <c r="D3994" s="52">
        <f>IF(Inputs!$C$268="",0,IF(Inputs!$E$268="planned",(Inputs!$D$268+N(INDEX(sc_dpts,1)))*$C3994,Inputs!$D$268))</f>
        <v>0</v>
      </c>
      <c r="E3994" s="53">
        <f>IF(Inputs!$C$268="",0,IF(1+$D3994&gt;0,LN(1+$D3994),0))</f>
        <v>0</v>
      </c>
      <c r="F3994" s="55">
        <f t="shared" si="1439"/>
        <v>0</v>
      </c>
      <c r="G3994" s="55">
        <f>IF($A3994="",0,COUNTIFS(rl_key,Inputs!$J$268,$B$3806:$B$4045,$B3994,$A$3806:$A$4045,"&lt;"&amp;$A3994))</f>
        <v>0</v>
      </c>
      <c r="H3994" s="55">
        <f>IF($A3994="",0,COUNTIFS(Inputs!$J$80:$J$268,Inputs!$J$268,$B$3806:$B3994,$B3994,$A$3806:$A3994,$A3994))</f>
        <v>0</v>
      </c>
      <c r="I3994" s="55">
        <f t="shared" si="1440"/>
        <v>0</v>
      </c>
      <c r="K3994" s="54" t="str">
        <f>IF(Inputs!$C$268="","",IF(Inputs!$E$268="planned",EDATE(Inputs!$C$268,N(INDEX(sc_shift,2))),Inputs!$C$268))</f>
        <v/>
      </c>
      <c r="L3994" s="54" t="str">
        <f t="shared" si="1441"/>
        <v/>
      </c>
      <c r="M3994" s="52">
        <f>IF(N(INDEX(sc_ach,2))=0,IF(Inputs!$G$268="",1,Inputs!$G$268),INDEX(sc_ach,2))</f>
        <v>1</v>
      </c>
      <c r="N3994" s="52">
        <f>IF(Inputs!$C$268="",0,IF(Inputs!$E$268="planned",(Inputs!$D$268+N(INDEX(sc_dpts,2)))*$M3994,Inputs!$D$268))</f>
        <v>0</v>
      </c>
      <c r="O3994" s="53">
        <f>IF(Inputs!$C$268="",0,IF(1+$N3994&gt;0,LN(1+$N3994),0))</f>
        <v>0</v>
      </c>
      <c r="P3994" s="55">
        <f t="shared" si="1442"/>
        <v>0</v>
      </c>
      <c r="Q3994" s="55">
        <f>IF($K3994="",0,COUNTIFS(rl_key,Inputs!$J$268,$L$3806:$L$4045,$L3994,$K$3806:$K$4045,"&lt;"&amp;$K3994))</f>
        <v>0</v>
      </c>
      <c r="R3994" s="55">
        <f>IF($K3994="",0,COUNTIFS(Inputs!$J$80:$J$268,Inputs!$J$268,$L$3806:$L3994,$L3994,$K$3806:$K3994,$K3994))</f>
        <v>0</v>
      </c>
      <c r="S3994" s="55">
        <f t="shared" si="1443"/>
        <v>0</v>
      </c>
      <c r="U3994" s="54" t="str">
        <f>IF(Inputs!$C$268="","",IF(Inputs!$E$268="planned",EDATE(Inputs!$C$268,N(INDEX(sc_shift,3))),Inputs!$C$268))</f>
        <v/>
      </c>
      <c r="V3994" s="54" t="str">
        <f t="shared" si="1444"/>
        <v/>
      </c>
      <c r="W3994" s="52">
        <f>IF(N(INDEX(sc_ach,3))=0,IF(Inputs!$G$268="",1,Inputs!$G$268),INDEX(sc_ach,3))</f>
        <v>1</v>
      </c>
      <c r="X3994" s="52">
        <f>IF(Inputs!$C$268="",0,IF(Inputs!$E$268="planned",(Inputs!$D$268+N(INDEX(sc_dpts,3)))*$W3994,Inputs!$D$268))</f>
        <v>0</v>
      </c>
      <c r="Y3994" s="53">
        <f>IF(Inputs!$C$268="",0,IF(1+$X3994&gt;0,LN(1+$X3994),0))</f>
        <v>0</v>
      </c>
      <c r="Z3994" s="55">
        <f t="shared" si="1445"/>
        <v>0</v>
      </c>
      <c r="AA3994" s="55">
        <f>IF($U3994="",0,COUNTIFS(rl_key,Inputs!$J$268,$V$3806:$V$4045,$V3994,$U$3806:$U$4045,"&lt;"&amp;$U3994))</f>
        <v>0</v>
      </c>
      <c r="AB3994" s="55">
        <f>IF($U3994="",0,COUNTIFS(Inputs!$J$80:$J$268,Inputs!$J$268,$V$3806:$V3994,$V3994,$U$3806:$U3994,$U3994))</f>
        <v>0</v>
      </c>
      <c r="AC3994" s="55">
        <f t="shared" si="1446"/>
        <v>0</v>
      </c>
      <c r="AE3994" s="54" t="str">
        <f>IF(Inputs!$C$268="","",IF(Inputs!$E$268="planned",EDATE(Inputs!$C$268,N(INDEX(sc_shift,4))),Inputs!$C$268))</f>
        <v/>
      </c>
      <c r="AF3994" s="54" t="str">
        <f t="shared" si="1447"/>
        <v/>
      </c>
      <c r="AG3994" s="52">
        <f>IF(N(INDEX(sc_ach,4))=0,IF(Inputs!$G$268="",1,Inputs!$G$268),INDEX(sc_ach,4))</f>
        <v>1</v>
      </c>
      <c r="AH3994" s="52">
        <f>IF(Inputs!$C$268="",0,IF(Inputs!$E$268="planned",(Inputs!$D$268+N(INDEX(sc_dpts,4)))*$AG3994,Inputs!$D$268))</f>
        <v>0</v>
      </c>
      <c r="AI3994" s="53">
        <f>IF(Inputs!$C$268="",0,IF(1+$AH3994&gt;0,LN(1+$AH3994),0))</f>
        <v>0</v>
      </c>
      <c r="AJ3994" s="55">
        <f t="shared" si="1448"/>
        <v>0</v>
      </c>
      <c r="AK3994" s="55">
        <f>IF($AE3994="",0,COUNTIFS(rl_key,Inputs!$J$268,$AF$3806:$AF$4045,$AF3994,$AE$3806:$AE$4045,"&lt;"&amp;$AE3994))</f>
        <v>0</v>
      </c>
      <c r="AL3994" s="55">
        <f>IF($AE3994="",0,COUNTIFS(Inputs!$J$80:$J$268,Inputs!$J$268,$AF$3806:$AF3994,$AF3994,$AE$3806:$AE3994,$AE3994))</f>
        <v>0</v>
      </c>
      <c r="AM3994" s="55">
        <f t="shared" si="1449"/>
        <v>0</v>
      </c>
    </row>
    <row r="3995" spans="1:39" x14ac:dyDescent="0.25">
      <c r="A3995" s="54" t="str">
        <f>IF(Inputs!$C$269="","",IF(Inputs!$E$269="planned",EDATE(Inputs!$C$269,N(INDEX(sc_shift,1))),Inputs!$C$269))</f>
        <v/>
      </c>
      <c r="B3995" s="54" t="str">
        <f t="shared" si="1438"/>
        <v/>
      </c>
      <c r="C3995" s="52">
        <f>IF(N(INDEX(sc_ach,1))=0,IF(Inputs!$G$269="",1,Inputs!$G$269),INDEX(sc_ach,1))</f>
        <v>1</v>
      </c>
      <c r="D3995" s="52">
        <f>IF(Inputs!$C$269="",0,IF(Inputs!$E$269="planned",(Inputs!$D$269+N(INDEX(sc_dpts,1)))*$C3995,Inputs!$D$269))</f>
        <v>0</v>
      </c>
      <c r="E3995" s="53">
        <f>IF(Inputs!$C$269="",0,IF(1+$D3995&gt;0,LN(1+$D3995),0))</f>
        <v>0</v>
      </c>
      <c r="F3995" s="55">
        <f t="shared" si="1439"/>
        <v>0</v>
      </c>
      <c r="G3995" s="55">
        <f>IF($A3995="",0,COUNTIFS(rl_key,Inputs!$J$269,$B$3806:$B$4045,$B3995,$A$3806:$A$4045,"&lt;"&amp;$A3995))</f>
        <v>0</v>
      </c>
      <c r="H3995" s="55">
        <f>IF($A3995="",0,COUNTIFS(Inputs!$J$80:$J$269,Inputs!$J$269,$B$3806:$B3995,$B3995,$A$3806:$A3995,$A3995))</f>
        <v>0</v>
      </c>
      <c r="I3995" s="55">
        <f t="shared" si="1440"/>
        <v>0</v>
      </c>
      <c r="K3995" s="54" t="str">
        <f>IF(Inputs!$C$269="","",IF(Inputs!$E$269="planned",EDATE(Inputs!$C$269,N(INDEX(sc_shift,2))),Inputs!$C$269))</f>
        <v/>
      </c>
      <c r="L3995" s="54" t="str">
        <f t="shared" si="1441"/>
        <v/>
      </c>
      <c r="M3995" s="52">
        <f>IF(N(INDEX(sc_ach,2))=0,IF(Inputs!$G$269="",1,Inputs!$G$269),INDEX(sc_ach,2))</f>
        <v>1</v>
      </c>
      <c r="N3995" s="52">
        <f>IF(Inputs!$C$269="",0,IF(Inputs!$E$269="planned",(Inputs!$D$269+N(INDEX(sc_dpts,2)))*$M3995,Inputs!$D$269))</f>
        <v>0</v>
      </c>
      <c r="O3995" s="53">
        <f>IF(Inputs!$C$269="",0,IF(1+$N3995&gt;0,LN(1+$N3995),0))</f>
        <v>0</v>
      </c>
      <c r="P3995" s="55">
        <f t="shared" si="1442"/>
        <v>0</v>
      </c>
      <c r="Q3995" s="55">
        <f>IF($K3995="",0,COUNTIFS(rl_key,Inputs!$J$269,$L$3806:$L$4045,$L3995,$K$3806:$K$4045,"&lt;"&amp;$K3995))</f>
        <v>0</v>
      </c>
      <c r="R3995" s="55">
        <f>IF($K3995="",0,COUNTIFS(Inputs!$J$80:$J$269,Inputs!$J$269,$L$3806:$L3995,$L3995,$K$3806:$K3995,$K3995))</f>
        <v>0</v>
      </c>
      <c r="S3995" s="55">
        <f t="shared" si="1443"/>
        <v>0</v>
      </c>
      <c r="U3995" s="54" t="str">
        <f>IF(Inputs!$C$269="","",IF(Inputs!$E$269="planned",EDATE(Inputs!$C$269,N(INDEX(sc_shift,3))),Inputs!$C$269))</f>
        <v/>
      </c>
      <c r="V3995" s="54" t="str">
        <f t="shared" si="1444"/>
        <v/>
      </c>
      <c r="W3995" s="52">
        <f>IF(N(INDEX(sc_ach,3))=0,IF(Inputs!$G$269="",1,Inputs!$G$269),INDEX(sc_ach,3))</f>
        <v>1</v>
      </c>
      <c r="X3995" s="52">
        <f>IF(Inputs!$C$269="",0,IF(Inputs!$E$269="planned",(Inputs!$D$269+N(INDEX(sc_dpts,3)))*$W3995,Inputs!$D$269))</f>
        <v>0</v>
      </c>
      <c r="Y3995" s="53">
        <f>IF(Inputs!$C$269="",0,IF(1+$X3995&gt;0,LN(1+$X3995),0))</f>
        <v>0</v>
      </c>
      <c r="Z3995" s="55">
        <f t="shared" si="1445"/>
        <v>0</v>
      </c>
      <c r="AA3995" s="55">
        <f>IF($U3995="",0,COUNTIFS(rl_key,Inputs!$J$269,$V$3806:$V$4045,$V3995,$U$3806:$U$4045,"&lt;"&amp;$U3995))</f>
        <v>0</v>
      </c>
      <c r="AB3995" s="55">
        <f>IF($U3995="",0,COUNTIFS(Inputs!$J$80:$J$269,Inputs!$J$269,$V$3806:$V3995,$V3995,$U$3806:$U3995,$U3995))</f>
        <v>0</v>
      </c>
      <c r="AC3995" s="55">
        <f t="shared" si="1446"/>
        <v>0</v>
      </c>
      <c r="AE3995" s="54" t="str">
        <f>IF(Inputs!$C$269="","",IF(Inputs!$E$269="planned",EDATE(Inputs!$C$269,N(INDEX(sc_shift,4))),Inputs!$C$269))</f>
        <v/>
      </c>
      <c r="AF3995" s="54" t="str">
        <f t="shared" si="1447"/>
        <v/>
      </c>
      <c r="AG3995" s="52">
        <f>IF(N(INDEX(sc_ach,4))=0,IF(Inputs!$G$269="",1,Inputs!$G$269),INDEX(sc_ach,4))</f>
        <v>1</v>
      </c>
      <c r="AH3995" s="52">
        <f>IF(Inputs!$C$269="",0,IF(Inputs!$E$269="planned",(Inputs!$D$269+N(INDEX(sc_dpts,4)))*$AG3995,Inputs!$D$269))</f>
        <v>0</v>
      </c>
      <c r="AI3995" s="53">
        <f>IF(Inputs!$C$269="",0,IF(1+$AH3995&gt;0,LN(1+$AH3995),0))</f>
        <v>0</v>
      </c>
      <c r="AJ3995" s="55">
        <f t="shared" si="1448"/>
        <v>0</v>
      </c>
      <c r="AK3995" s="55">
        <f>IF($AE3995="",0,COUNTIFS(rl_key,Inputs!$J$269,$AF$3806:$AF$4045,$AF3995,$AE$3806:$AE$4045,"&lt;"&amp;$AE3995))</f>
        <v>0</v>
      </c>
      <c r="AL3995" s="55">
        <f>IF($AE3995="",0,COUNTIFS(Inputs!$J$80:$J$269,Inputs!$J$269,$AF$3806:$AF3995,$AF3995,$AE$3806:$AE3995,$AE3995))</f>
        <v>0</v>
      </c>
      <c r="AM3995" s="55">
        <f t="shared" si="1449"/>
        <v>0</v>
      </c>
    </row>
    <row r="3996" spans="1:39" x14ac:dyDescent="0.25">
      <c r="A3996" s="54" t="str">
        <f>IF(Inputs!$C$270="","",IF(Inputs!$E$270="planned",EDATE(Inputs!$C$270,N(INDEX(sc_shift,1))),Inputs!$C$270))</f>
        <v/>
      </c>
      <c r="B3996" s="54" t="str">
        <f t="shared" si="1438"/>
        <v/>
      </c>
      <c r="C3996" s="52">
        <f>IF(N(INDEX(sc_ach,1))=0,IF(Inputs!$G$270="",1,Inputs!$G$270),INDEX(sc_ach,1))</f>
        <v>1</v>
      </c>
      <c r="D3996" s="52">
        <f>IF(Inputs!$C$270="",0,IF(Inputs!$E$270="planned",(Inputs!$D$270+N(INDEX(sc_dpts,1)))*$C3996,Inputs!$D$270))</f>
        <v>0</v>
      </c>
      <c r="E3996" s="53">
        <f>IF(Inputs!$C$270="",0,IF(1+$D3996&gt;0,LN(1+$D3996),0))</f>
        <v>0</v>
      </c>
      <c r="F3996" s="55">
        <f t="shared" si="1439"/>
        <v>0</v>
      </c>
      <c r="G3996" s="55">
        <f>IF($A3996="",0,COUNTIFS(rl_key,Inputs!$J$270,$B$3806:$B$4045,$B3996,$A$3806:$A$4045,"&lt;"&amp;$A3996))</f>
        <v>0</v>
      </c>
      <c r="H3996" s="55">
        <f>IF($A3996="",0,COUNTIFS(Inputs!$J$80:$J$270,Inputs!$J$270,$B$3806:$B3996,$B3996,$A$3806:$A3996,$A3996))</f>
        <v>0</v>
      </c>
      <c r="I3996" s="55">
        <f t="shared" si="1440"/>
        <v>0</v>
      </c>
      <c r="K3996" s="54" t="str">
        <f>IF(Inputs!$C$270="","",IF(Inputs!$E$270="planned",EDATE(Inputs!$C$270,N(INDEX(sc_shift,2))),Inputs!$C$270))</f>
        <v/>
      </c>
      <c r="L3996" s="54" t="str">
        <f t="shared" si="1441"/>
        <v/>
      </c>
      <c r="M3996" s="52">
        <f>IF(N(INDEX(sc_ach,2))=0,IF(Inputs!$G$270="",1,Inputs!$G$270),INDEX(sc_ach,2))</f>
        <v>1</v>
      </c>
      <c r="N3996" s="52">
        <f>IF(Inputs!$C$270="",0,IF(Inputs!$E$270="planned",(Inputs!$D$270+N(INDEX(sc_dpts,2)))*$M3996,Inputs!$D$270))</f>
        <v>0</v>
      </c>
      <c r="O3996" s="53">
        <f>IF(Inputs!$C$270="",0,IF(1+$N3996&gt;0,LN(1+$N3996),0))</f>
        <v>0</v>
      </c>
      <c r="P3996" s="55">
        <f t="shared" si="1442"/>
        <v>0</v>
      </c>
      <c r="Q3996" s="55">
        <f>IF($K3996="",0,COUNTIFS(rl_key,Inputs!$J$270,$L$3806:$L$4045,$L3996,$K$3806:$K$4045,"&lt;"&amp;$K3996))</f>
        <v>0</v>
      </c>
      <c r="R3996" s="55">
        <f>IF($K3996="",0,COUNTIFS(Inputs!$J$80:$J$270,Inputs!$J$270,$L$3806:$L3996,$L3996,$K$3806:$K3996,$K3996))</f>
        <v>0</v>
      </c>
      <c r="S3996" s="55">
        <f t="shared" si="1443"/>
        <v>0</v>
      </c>
      <c r="U3996" s="54" t="str">
        <f>IF(Inputs!$C$270="","",IF(Inputs!$E$270="planned",EDATE(Inputs!$C$270,N(INDEX(sc_shift,3))),Inputs!$C$270))</f>
        <v/>
      </c>
      <c r="V3996" s="54" t="str">
        <f t="shared" si="1444"/>
        <v/>
      </c>
      <c r="W3996" s="52">
        <f>IF(N(INDEX(sc_ach,3))=0,IF(Inputs!$G$270="",1,Inputs!$G$270),INDEX(sc_ach,3))</f>
        <v>1</v>
      </c>
      <c r="X3996" s="52">
        <f>IF(Inputs!$C$270="",0,IF(Inputs!$E$270="planned",(Inputs!$D$270+N(INDEX(sc_dpts,3)))*$W3996,Inputs!$D$270))</f>
        <v>0</v>
      </c>
      <c r="Y3996" s="53">
        <f>IF(Inputs!$C$270="",0,IF(1+$X3996&gt;0,LN(1+$X3996),0))</f>
        <v>0</v>
      </c>
      <c r="Z3996" s="55">
        <f t="shared" si="1445"/>
        <v>0</v>
      </c>
      <c r="AA3996" s="55">
        <f>IF($U3996="",0,COUNTIFS(rl_key,Inputs!$J$270,$V$3806:$V$4045,$V3996,$U$3806:$U$4045,"&lt;"&amp;$U3996))</f>
        <v>0</v>
      </c>
      <c r="AB3996" s="55">
        <f>IF($U3996="",0,COUNTIFS(Inputs!$J$80:$J$270,Inputs!$J$270,$V$3806:$V3996,$V3996,$U$3806:$U3996,$U3996))</f>
        <v>0</v>
      </c>
      <c r="AC3996" s="55">
        <f t="shared" si="1446"/>
        <v>0</v>
      </c>
      <c r="AE3996" s="54" t="str">
        <f>IF(Inputs!$C$270="","",IF(Inputs!$E$270="planned",EDATE(Inputs!$C$270,N(INDEX(sc_shift,4))),Inputs!$C$270))</f>
        <v/>
      </c>
      <c r="AF3996" s="54" t="str">
        <f t="shared" si="1447"/>
        <v/>
      </c>
      <c r="AG3996" s="52">
        <f>IF(N(INDEX(sc_ach,4))=0,IF(Inputs!$G$270="",1,Inputs!$G$270),INDEX(sc_ach,4))</f>
        <v>1</v>
      </c>
      <c r="AH3996" s="52">
        <f>IF(Inputs!$C$270="",0,IF(Inputs!$E$270="planned",(Inputs!$D$270+N(INDEX(sc_dpts,4)))*$AG3996,Inputs!$D$270))</f>
        <v>0</v>
      </c>
      <c r="AI3996" s="53">
        <f>IF(Inputs!$C$270="",0,IF(1+$AH3996&gt;0,LN(1+$AH3996),0))</f>
        <v>0</v>
      </c>
      <c r="AJ3996" s="55">
        <f t="shared" si="1448"/>
        <v>0</v>
      </c>
      <c r="AK3996" s="55">
        <f>IF($AE3996="",0,COUNTIFS(rl_key,Inputs!$J$270,$AF$3806:$AF$4045,$AF3996,$AE$3806:$AE$4045,"&lt;"&amp;$AE3996))</f>
        <v>0</v>
      </c>
      <c r="AL3996" s="55">
        <f>IF($AE3996="",0,COUNTIFS(Inputs!$J$80:$J$270,Inputs!$J$270,$AF$3806:$AF3996,$AF3996,$AE$3806:$AE3996,$AE3996))</f>
        <v>0</v>
      </c>
      <c r="AM3996" s="55">
        <f t="shared" si="1449"/>
        <v>0</v>
      </c>
    </row>
    <row r="3997" spans="1:39" x14ac:dyDescent="0.25">
      <c r="A3997" s="54" t="str">
        <f>IF(Inputs!$C$271="","",IF(Inputs!$E$271="planned",EDATE(Inputs!$C$271,N(INDEX(sc_shift,1))),Inputs!$C$271))</f>
        <v/>
      </c>
      <c r="B3997" s="54" t="str">
        <f t="shared" si="1438"/>
        <v/>
      </c>
      <c r="C3997" s="52">
        <f>IF(N(INDEX(sc_ach,1))=0,IF(Inputs!$G$271="",1,Inputs!$G$271),INDEX(sc_ach,1))</f>
        <v>1</v>
      </c>
      <c r="D3997" s="52">
        <f>IF(Inputs!$C$271="",0,IF(Inputs!$E$271="planned",(Inputs!$D$271+N(INDEX(sc_dpts,1)))*$C3997,Inputs!$D$271))</f>
        <v>0</v>
      </c>
      <c r="E3997" s="53">
        <f>IF(Inputs!$C$271="",0,IF(1+$D3997&gt;0,LN(1+$D3997),0))</f>
        <v>0</v>
      </c>
      <c r="F3997" s="55">
        <f t="shared" si="1439"/>
        <v>0</v>
      </c>
      <c r="G3997" s="55">
        <f>IF($A3997="",0,COUNTIFS(rl_key,Inputs!$J$271,$B$3806:$B$4045,$B3997,$A$3806:$A$4045,"&lt;"&amp;$A3997))</f>
        <v>0</v>
      </c>
      <c r="H3997" s="55">
        <f>IF($A3997="",0,COUNTIFS(Inputs!$J$80:$J$271,Inputs!$J$271,$B$3806:$B3997,$B3997,$A$3806:$A3997,$A3997))</f>
        <v>0</v>
      </c>
      <c r="I3997" s="55">
        <f t="shared" si="1440"/>
        <v>0</v>
      </c>
      <c r="K3997" s="54" t="str">
        <f>IF(Inputs!$C$271="","",IF(Inputs!$E$271="planned",EDATE(Inputs!$C$271,N(INDEX(sc_shift,2))),Inputs!$C$271))</f>
        <v/>
      </c>
      <c r="L3997" s="54" t="str">
        <f t="shared" si="1441"/>
        <v/>
      </c>
      <c r="M3997" s="52">
        <f>IF(N(INDEX(sc_ach,2))=0,IF(Inputs!$G$271="",1,Inputs!$G$271),INDEX(sc_ach,2))</f>
        <v>1</v>
      </c>
      <c r="N3997" s="52">
        <f>IF(Inputs!$C$271="",0,IF(Inputs!$E$271="planned",(Inputs!$D$271+N(INDEX(sc_dpts,2)))*$M3997,Inputs!$D$271))</f>
        <v>0</v>
      </c>
      <c r="O3997" s="53">
        <f>IF(Inputs!$C$271="",0,IF(1+$N3997&gt;0,LN(1+$N3997),0))</f>
        <v>0</v>
      </c>
      <c r="P3997" s="55">
        <f t="shared" si="1442"/>
        <v>0</v>
      </c>
      <c r="Q3997" s="55">
        <f>IF($K3997="",0,COUNTIFS(rl_key,Inputs!$J$271,$L$3806:$L$4045,$L3997,$K$3806:$K$4045,"&lt;"&amp;$K3997))</f>
        <v>0</v>
      </c>
      <c r="R3997" s="55">
        <f>IF($K3997="",0,COUNTIFS(Inputs!$J$80:$J$271,Inputs!$J$271,$L$3806:$L3997,$L3997,$K$3806:$K3997,$K3997))</f>
        <v>0</v>
      </c>
      <c r="S3997" s="55">
        <f t="shared" si="1443"/>
        <v>0</v>
      </c>
      <c r="U3997" s="54" t="str">
        <f>IF(Inputs!$C$271="","",IF(Inputs!$E$271="planned",EDATE(Inputs!$C$271,N(INDEX(sc_shift,3))),Inputs!$C$271))</f>
        <v/>
      </c>
      <c r="V3997" s="54" t="str">
        <f t="shared" si="1444"/>
        <v/>
      </c>
      <c r="W3997" s="52">
        <f>IF(N(INDEX(sc_ach,3))=0,IF(Inputs!$G$271="",1,Inputs!$G$271),INDEX(sc_ach,3))</f>
        <v>1</v>
      </c>
      <c r="X3997" s="52">
        <f>IF(Inputs!$C$271="",0,IF(Inputs!$E$271="planned",(Inputs!$D$271+N(INDEX(sc_dpts,3)))*$W3997,Inputs!$D$271))</f>
        <v>0</v>
      </c>
      <c r="Y3997" s="53">
        <f>IF(Inputs!$C$271="",0,IF(1+$X3997&gt;0,LN(1+$X3997),0))</f>
        <v>0</v>
      </c>
      <c r="Z3997" s="55">
        <f t="shared" si="1445"/>
        <v>0</v>
      </c>
      <c r="AA3997" s="55">
        <f>IF($U3997="",0,COUNTIFS(rl_key,Inputs!$J$271,$V$3806:$V$4045,$V3997,$U$3806:$U$4045,"&lt;"&amp;$U3997))</f>
        <v>0</v>
      </c>
      <c r="AB3997" s="55">
        <f>IF($U3997="",0,COUNTIFS(Inputs!$J$80:$J$271,Inputs!$J$271,$V$3806:$V3997,$V3997,$U$3806:$U3997,$U3997))</f>
        <v>0</v>
      </c>
      <c r="AC3997" s="55">
        <f t="shared" si="1446"/>
        <v>0</v>
      </c>
      <c r="AE3997" s="54" t="str">
        <f>IF(Inputs!$C$271="","",IF(Inputs!$E$271="planned",EDATE(Inputs!$C$271,N(INDEX(sc_shift,4))),Inputs!$C$271))</f>
        <v/>
      </c>
      <c r="AF3997" s="54" t="str">
        <f t="shared" si="1447"/>
        <v/>
      </c>
      <c r="AG3997" s="52">
        <f>IF(N(INDEX(sc_ach,4))=0,IF(Inputs!$G$271="",1,Inputs!$G$271),INDEX(sc_ach,4))</f>
        <v>1</v>
      </c>
      <c r="AH3997" s="52">
        <f>IF(Inputs!$C$271="",0,IF(Inputs!$E$271="planned",(Inputs!$D$271+N(INDEX(sc_dpts,4)))*$AG3997,Inputs!$D$271))</f>
        <v>0</v>
      </c>
      <c r="AI3997" s="53">
        <f>IF(Inputs!$C$271="",0,IF(1+$AH3997&gt;0,LN(1+$AH3997),0))</f>
        <v>0</v>
      </c>
      <c r="AJ3997" s="55">
        <f t="shared" si="1448"/>
        <v>0</v>
      </c>
      <c r="AK3997" s="55">
        <f>IF($AE3997="",0,COUNTIFS(rl_key,Inputs!$J$271,$AF$3806:$AF$4045,$AF3997,$AE$3806:$AE$4045,"&lt;"&amp;$AE3997))</f>
        <v>0</v>
      </c>
      <c r="AL3997" s="55">
        <f>IF($AE3997="",0,COUNTIFS(Inputs!$J$80:$J$271,Inputs!$J$271,$AF$3806:$AF3997,$AF3997,$AE$3806:$AE3997,$AE3997))</f>
        <v>0</v>
      </c>
      <c r="AM3997" s="55">
        <f t="shared" si="1449"/>
        <v>0</v>
      </c>
    </row>
    <row r="3998" spans="1:39" x14ac:dyDescent="0.25">
      <c r="A3998" s="54" t="str">
        <f>IF(Inputs!$C$272="","",IF(Inputs!$E$272="planned",EDATE(Inputs!$C$272,N(INDEX(sc_shift,1))),Inputs!$C$272))</f>
        <v/>
      </c>
      <c r="B3998" s="54" t="str">
        <f t="shared" ref="B3998:B4045" si="1450">IF($A3998="","",DATE(YEAR($A3998),MONTH($A3998),1))</f>
        <v/>
      </c>
      <c r="C3998" s="52">
        <f>IF(N(INDEX(sc_ach,1))=0,IF(Inputs!$G$272="",1,Inputs!$G$272),INDEX(sc_ach,1))</f>
        <v>1</v>
      </c>
      <c r="D3998" s="52">
        <f>IF(Inputs!$C$272="",0,IF(Inputs!$E$272="planned",(Inputs!$D$272+N(INDEX(sc_dpts,1)))*$C3998,Inputs!$D$272))</f>
        <v>0</v>
      </c>
      <c r="E3998" s="53">
        <f>IF(Inputs!$C$272="",0,IF(1+$D3998&gt;0,LN(1+$D3998),0))</f>
        <v>0</v>
      </c>
      <c r="F3998" s="55">
        <f t="shared" ref="F3998:F4045" si="1451">IF($A3998="",0,EOMONTH($A3998,0)-$A3998+1)</f>
        <v>0</v>
      </c>
      <c r="G3998" s="55">
        <f>IF($A3998="",0,COUNTIFS(rl_key,Inputs!$J$272,$B$3806:$B$4045,$B3998,$A$3806:$A$4045,"&lt;"&amp;$A3998))</f>
        <v>0</v>
      </c>
      <c r="H3998" s="55">
        <f>IF($A3998="",0,COUNTIFS(Inputs!$J$80:$J$272,Inputs!$J$272,$B$3806:$B3998,$B3998,$A$3806:$A3998,$A3998))</f>
        <v>0</v>
      </c>
      <c r="I3998" s="55">
        <f t="shared" ref="I3998:I4045" si="1452">IF($A3998="",0,IF(AND($G3998=0,$H3998=1),1,0))</f>
        <v>0</v>
      </c>
      <c r="K3998" s="54" t="str">
        <f>IF(Inputs!$C$272="","",IF(Inputs!$E$272="planned",EDATE(Inputs!$C$272,N(INDEX(sc_shift,2))),Inputs!$C$272))</f>
        <v/>
      </c>
      <c r="L3998" s="54" t="str">
        <f t="shared" ref="L3998:L4045" si="1453">IF($K3998="","",DATE(YEAR($K3998),MONTH($K3998),1))</f>
        <v/>
      </c>
      <c r="M3998" s="52">
        <f>IF(N(INDEX(sc_ach,2))=0,IF(Inputs!$G$272="",1,Inputs!$G$272),INDEX(sc_ach,2))</f>
        <v>1</v>
      </c>
      <c r="N3998" s="52">
        <f>IF(Inputs!$C$272="",0,IF(Inputs!$E$272="planned",(Inputs!$D$272+N(INDEX(sc_dpts,2)))*$M3998,Inputs!$D$272))</f>
        <v>0</v>
      </c>
      <c r="O3998" s="53">
        <f>IF(Inputs!$C$272="",0,IF(1+$N3998&gt;0,LN(1+$N3998),0))</f>
        <v>0</v>
      </c>
      <c r="P3998" s="55">
        <f t="shared" ref="P3998:P4045" si="1454">IF($K3998="",0,EOMONTH($K3998,0)-$K3998+1)</f>
        <v>0</v>
      </c>
      <c r="Q3998" s="55">
        <f>IF($K3998="",0,COUNTIFS(rl_key,Inputs!$J$272,$L$3806:$L$4045,$L3998,$K$3806:$K$4045,"&lt;"&amp;$K3998))</f>
        <v>0</v>
      </c>
      <c r="R3998" s="55">
        <f>IF($K3998="",0,COUNTIFS(Inputs!$J$80:$J$272,Inputs!$J$272,$L$3806:$L3998,$L3998,$K$3806:$K3998,$K3998))</f>
        <v>0</v>
      </c>
      <c r="S3998" s="55">
        <f t="shared" ref="S3998:S4045" si="1455">IF($K3998="",0,IF(AND($Q3998=0,$R3998=1),1,0))</f>
        <v>0</v>
      </c>
      <c r="U3998" s="54" t="str">
        <f>IF(Inputs!$C$272="","",IF(Inputs!$E$272="planned",EDATE(Inputs!$C$272,N(INDEX(sc_shift,3))),Inputs!$C$272))</f>
        <v/>
      </c>
      <c r="V3998" s="54" t="str">
        <f t="shared" ref="V3998:V4045" si="1456">IF($U3998="","",DATE(YEAR($U3998),MONTH($U3998),1))</f>
        <v/>
      </c>
      <c r="W3998" s="52">
        <f>IF(N(INDEX(sc_ach,3))=0,IF(Inputs!$G$272="",1,Inputs!$G$272),INDEX(sc_ach,3))</f>
        <v>1</v>
      </c>
      <c r="X3998" s="52">
        <f>IF(Inputs!$C$272="",0,IF(Inputs!$E$272="planned",(Inputs!$D$272+N(INDEX(sc_dpts,3)))*$W3998,Inputs!$D$272))</f>
        <v>0</v>
      </c>
      <c r="Y3998" s="53">
        <f>IF(Inputs!$C$272="",0,IF(1+$X3998&gt;0,LN(1+$X3998),0))</f>
        <v>0</v>
      </c>
      <c r="Z3998" s="55">
        <f t="shared" ref="Z3998:Z4045" si="1457">IF($U3998="",0,EOMONTH($U3998,0)-$U3998+1)</f>
        <v>0</v>
      </c>
      <c r="AA3998" s="55">
        <f>IF($U3998="",0,COUNTIFS(rl_key,Inputs!$J$272,$V$3806:$V$4045,$V3998,$U$3806:$U$4045,"&lt;"&amp;$U3998))</f>
        <v>0</v>
      </c>
      <c r="AB3998" s="55">
        <f>IF($U3998="",0,COUNTIFS(Inputs!$J$80:$J$272,Inputs!$J$272,$V$3806:$V3998,$V3998,$U$3806:$U3998,$U3998))</f>
        <v>0</v>
      </c>
      <c r="AC3998" s="55">
        <f t="shared" ref="AC3998:AC4045" si="1458">IF($U3998="",0,IF(AND($AA3998=0,$AB3998=1),1,0))</f>
        <v>0</v>
      </c>
      <c r="AE3998" s="54" t="str">
        <f>IF(Inputs!$C$272="","",IF(Inputs!$E$272="planned",EDATE(Inputs!$C$272,N(INDEX(sc_shift,4))),Inputs!$C$272))</f>
        <v/>
      </c>
      <c r="AF3998" s="54" t="str">
        <f t="shared" ref="AF3998:AF4045" si="1459">IF($AE3998="","",DATE(YEAR($AE3998),MONTH($AE3998),1))</f>
        <v/>
      </c>
      <c r="AG3998" s="52">
        <f>IF(N(INDEX(sc_ach,4))=0,IF(Inputs!$G$272="",1,Inputs!$G$272),INDEX(sc_ach,4))</f>
        <v>1</v>
      </c>
      <c r="AH3998" s="52">
        <f>IF(Inputs!$C$272="",0,IF(Inputs!$E$272="planned",(Inputs!$D$272+N(INDEX(sc_dpts,4)))*$AG3998,Inputs!$D$272))</f>
        <v>0</v>
      </c>
      <c r="AI3998" s="53">
        <f>IF(Inputs!$C$272="",0,IF(1+$AH3998&gt;0,LN(1+$AH3998),0))</f>
        <v>0</v>
      </c>
      <c r="AJ3998" s="55">
        <f t="shared" ref="AJ3998:AJ4045" si="1460">IF($AE3998="",0,EOMONTH($AE3998,0)-$AE3998+1)</f>
        <v>0</v>
      </c>
      <c r="AK3998" s="55">
        <f>IF($AE3998="",0,COUNTIFS(rl_key,Inputs!$J$272,$AF$3806:$AF$4045,$AF3998,$AE$3806:$AE$4045,"&lt;"&amp;$AE3998))</f>
        <v>0</v>
      </c>
      <c r="AL3998" s="55">
        <f>IF($AE3998="",0,COUNTIFS(Inputs!$J$80:$J$272,Inputs!$J$272,$AF$3806:$AF3998,$AF3998,$AE$3806:$AE3998,$AE3998))</f>
        <v>0</v>
      </c>
      <c r="AM3998" s="55">
        <f t="shared" ref="AM3998:AM4045" si="1461">IF($AE3998="",0,IF(AND($AK3998=0,$AL3998=1),1,0))</f>
        <v>0</v>
      </c>
    </row>
    <row r="3999" spans="1:39" x14ac:dyDescent="0.25">
      <c r="A3999" s="54" t="str">
        <f>IF(Inputs!$C$273="","",IF(Inputs!$E$273="planned",EDATE(Inputs!$C$273,N(INDEX(sc_shift,1))),Inputs!$C$273))</f>
        <v/>
      </c>
      <c r="B3999" s="54" t="str">
        <f t="shared" si="1450"/>
        <v/>
      </c>
      <c r="C3999" s="52">
        <f>IF(N(INDEX(sc_ach,1))=0,IF(Inputs!$G$273="",1,Inputs!$G$273),INDEX(sc_ach,1))</f>
        <v>1</v>
      </c>
      <c r="D3999" s="52">
        <f>IF(Inputs!$C$273="",0,IF(Inputs!$E$273="planned",(Inputs!$D$273+N(INDEX(sc_dpts,1)))*$C3999,Inputs!$D$273))</f>
        <v>0</v>
      </c>
      <c r="E3999" s="53">
        <f>IF(Inputs!$C$273="",0,IF(1+$D3999&gt;0,LN(1+$D3999),0))</f>
        <v>0</v>
      </c>
      <c r="F3999" s="55">
        <f t="shared" si="1451"/>
        <v>0</v>
      </c>
      <c r="G3999" s="55">
        <f>IF($A3999="",0,COUNTIFS(rl_key,Inputs!$J$273,$B$3806:$B$4045,$B3999,$A$3806:$A$4045,"&lt;"&amp;$A3999))</f>
        <v>0</v>
      </c>
      <c r="H3999" s="55">
        <f>IF($A3999="",0,COUNTIFS(Inputs!$J$80:$J$273,Inputs!$J$273,$B$3806:$B3999,$B3999,$A$3806:$A3999,$A3999))</f>
        <v>0</v>
      </c>
      <c r="I3999" s="55">
        <f t="shared" si="1452"/>
        <v>0</v>
      </c>
      <c r="K3999" s="54" t="str">
        <f>IF(Inputs!$C$273="","",IF(Inputs!$E$273="planned",EDATE(Inputs!$C$273,N(INDEX(sc_shift,2))),Inputs!$C$273))</f>
        <v/>
      </c>
      <c r="L3999" s="54" t="str">
        <f t="shared" si="1453"/>
        <v/>
      </c>
      <c r="M3999" s="52">
        <f>IF(N(INDEX(sc_ach,2))=0,IF(Inputs!$G$273="",1,Inputs!$G$273),INDEX(sc_ach,2))</f>
        <v>1</v>
      </c>
      <c r="N3999" s="52">
        <f>IF(Inputs!$C$273="",0,IF(Inputs!$E$273="planned",(Inputs!$D$273+N(INDEX(sc_dpts,2)))*$M3999,Inputs!$D$273))</f>
        <v>0</v>
      </c>
      <c r="O3999" s="53">
        <f>IF(Inputs!$C$273="",0,IF(1+$N3999&gt;0,LN(1+$N3999),0))</f>
        <v>0</v>
      </c>
      <c r="P3999" s="55">
        <f t="shared" si="1454"/>
        <v>0</v>
      </c>
      <c r="Q3999" s="55">
        <f>IF($K3999="",0,COUNTIFS(rl_key,Inputs!$J$273,$L$3806:$L$4045,$L3999,$K$3806:$K$4045,"&lt;"&amp;$K3999))</f>
        <v>0</v>
      </c>
      <c r="R3999" s="55">
        <f>IF($K3999="",0,COUNTIFS(Inputs!$J$80:$J$273,Inputs!$J$273,$L$3806:$L3999,$L3999,$K$3806:$K3999,$K3999))</f>
        <v>0</v>
      </c>
      <c r="S3999" s="55">
        <f t="shared" si="1455"/>
        <v>0</v>
      </c>
      <c r="U3999" s="54" t="str">
        <f>IF(Inputs!$C$273="","",IF(Inputs!$E$273="planned",EDATE(Inputs!$C$273,N(INDEX(sc_shift,3))),Inputs!$C$273))</f>
        <v/>
      </c>
      <c r="V3999" s="54" t="str">
        <f t="shared" si="1456"/>
        <v/>
      </c>
      <c r="W3999" s="52">
        <f>IF(N(INDEX(sc_ach,3))=0,IF(Inputs!$G$273="",1,Inputs!$G$273),INDEX(sc_ach,3))</f>
        <v>1</v>
      </c>
      <c r="X3999" s="52">
        <f>IF(Inputs!$C$273="",0,IF(Inputs!$E$273="planned",(Inputs!$D$273+N(INDEX(sc_dpts,3)))*$W3999,Inputs!$D$273))</f>
        <v>0</v>
      </c>
      <c r="Y3999" s="53">
        <f>IF(Inputs!$C$273="",0,IF(1+$X3999&gt;0,LN(1+$X3999),0))</f>
        <v>0</v>
      </c>
      <c r="Z3999" s="55">
        <f t="shared" si="1457"/>
        <v>0</v>
      </c>
      <c r="AA3999" s="55">
        <f>IF($U3999="",0,COUNTIFS(rl_key,Inputs!$J$273,$V$3806:$V$4045,$V3999,$U$3806:$U$4045,"&lt;"&amp;$U3999))</f>
        <v>0</v>
      </c>
      <c r="AB3999" s="55">
        <f>IF($U3999="",0,COUNTIFS(Inputs!$J$80:$J$273,Inputs!$J$273,$V$3806:$V3999,$V3999,$U$3806:$U3999,$U3999))</f>
        <v>0</v>
      </c>
      <c r="AC3999" s="55">
        <f t="shared" si="1458"/>
        <v>0</v>
      </c>
      <c r="AE3999" s="54" t="str">
        <f>IF(Inputs!$C$273="","",IF(Inputs!$E$273="planned",EDATE(Inputs!$C$273,N(INDEX(sc_shift,4))),Inputs!$C$273))</f>
        <v/>
      </c>
      <c r="AF3999" s="54" t="str">
        <f t="shared" si="1459"/>
        <v/>
      </c>
      <c r="AG3999" s="52">
        <f>IF(N(INDEX(sc_ach,4))=0,IF(Inputs!$G$273="",1,Inputs!$G$273),INDEX(sc_ach,4))</f>
        <v>1</v>
      </c>
      <c r="AH3999" s="52">
        <f>IF(Inputs!$C$273="",0,IF(Inputs!$E$273="planned",(Inputs!$D$273+N(INDEX(sc_dpts,4)))*$AG3999,Inputs!$D$273))</f>
        <v>0</v>
      </c>
      <c r="AI3999" s="53">
        <f>IF(Inputs!$C$273="",0,IF(1+$AH3999&gt;0,LN(1+$AH3999),0))</f>
        <v>0</v>
      </c>
      <c r="AJ3999" s="55">
        <f t="shared" si="1460"/>
        <v>0</v>
      </c>
      <c r="AK3999" s="55">
        <f>IF($AE3999="",0,COUNTIFS(rl_key,Inputs!$J$273,$AF$3806:$AF$4045,$AF3999,$AE$3806:$AE$4045,"&lt;"&amp;$AE3999))</f>
        <v>0</v>
      </c>
      <c r="AL3999" s="55">
        <f>IF($AE3999="",0,COUNTIFS(Inputs!$J$80:$J$273,Inputs!$J$273,$AF$3806:$AF3999,$AF3999,$AE$3806:$AE3999,$AE3999))</f>
        <v>0</v>
      </c>
      <c r="AM3999" s="55">
        <f t="shared" si="1461"/>
        <v>0</v>
      </c>
    </row>
    <row r="4000" spans="1:39" x14ac:dyDescent="0.25">
      <c r="A4000" s="54" t="str">
        <f>IF(Inputs!$C$274="","",IF(Inputs!$E$274="planned",EDATE(Inputs!$C$274,N(INDEX(sc_shift,1))),Inputs!$C$274))</f>
        <v/>
      </c>
      <c r="B4000" s="54" t="str">
        <f t="shared" si="1450"/>
        <v/>
      </c>
      <c r="C4000" s="52">
        <f>IF(N(INDEX(sc_ach,1))=0,IF(Inputs!$G$274="",1,Inputs!$G$274),INDEX(sc_ach,1))</f>
        <v>1</v>
      </c>
      <c r="D4000" s="52">
        <f>IF(Inputs!$C$274="",0,IF(Inputs!$E$274="planned",(Inputs!$D$274+N(INDEX(sc_dpts,1)))*$C4000,Inputs!$D$274))</f>
        <v>0</v>
      </c>
      <c r="E4000" s="53">
        <f>IF(Inputs!$C$274="",0,IF(1+$D4000&gt;0,LN(1+$D4000),0))</f>
        <v>0</v>
      </c>
      <c r="F4000" s="55">
        <f t="shared" si="1451"/>
        <v>0</v>
      </c>
      <c r="G4000" s="55">
        <f>IF($A4000="",0,COUNTIFS(rl_key,Inputs!$J$274,$B$3806:$B$4045,$B4000,$A$3806:$A$4045,"&lt;"&amp;$A4000))</f>
        <v>0</v>
      </c>
      <c r="H4000" s="55">
        <f>IF($A4000="",0,COUNTIFS(Inputs!$J$80:$J$274,Inputs!$J$274,$B$3806:$B4000,$B4000,$A$3806:$A4000,$A4000))</f>
        <v>0</v>
      </c>
      <c r="I4000" s="55">
        <f t="shared" si="1452"/>
        <v>0</v>
      </c>
      <c r="K4000" s="54" t="str">
        <f>IF(Inputs!$C$274="","",IF(Inputs!$E$274="planned",EDATE(Inputs!$C$274,N(INDEX(sc_shift,2))),Inputs!$C$274))</f>
        <v/>
      </c>
      <c r="L4000" s="54" t="str">
        <f t="shared" si="1453"/>
        <v/>
      </c>
      <c r="M4000" s="52">
        <f>IF(N(INDEX(sc_ach,2))=0,IF(Inputs!$G$274="",1,Inputs!$G$274),INDEX(sc_ach,2))</f>
        <v>1</v>
      </c>
      <c r="N4000" s="52">
        <f>IF(Inputs!$C$274="",0,IF(Inputs!$E$274="planned",(Inputs!$D$274+N(INDEX(sc_dpts,2)))*$M4000,Inputs!$D$274))</f>
        <v>0</v>
      </c>
      <c r="O4000" s="53">
        <f>IF(Inputs!$C$274="",0,IF(1+$N4000&gt;0,LN(1+$N4000),0))</f>
        <v>0</v>
      </c>
      <c r="P4000" s="55">
        <f t="shared" si="1454"/>
        <v>0</v>
      </c>
      <c r="Q4000" s="55">
        <f>IF($K4000="",0,COUNTIFS(rl_key,Inputs!$J$274,$L$3806:$L$4045,$L4000,$K$3806:$K$4045,"&lt;"&amp;$K4000))</f>
        <v>0</v>
      </c>
      <c r="R4000" s="55">
        <f>IF($K4000="",0,COUNTIFS(Inputs!$J$80:$J$274,Inputs!$J$274,$L$3806:$L4000,$L4000,$K$3806:$K4000,$K4000))</f>
        <v>0</v>
      </c>
      <c r="S4000" s="55">
        <f t="shared" si="1455"/>
        <v>0</v>
      </c>
      <c r="U4000" s="54" t="str">
        <f>IF(Inputs!$C$274="","",IF(Inputs!$E$274="planned",EDATE(Inputs!$C$274,N(INDEX(sc_shift,3))),Inputs!$C$274))</f>
        <v/>
      </c>
      <c r="V4000" s="54" t="str">
        <f t="shared" si="1456"/>
        <v/>
      </c>
      <c r="W4000" s="52">
        <f>IF(N(INDEX(sc_ach,3))=0,IF(Inputs!$G$274="",1,Inputs!$G$274),INDEX(sc_ach,3))</f>
        <v>1</v>
      </c>
      <c r="X4000" s="52">
        <f>IF(Inputs!$C$274="",0,IF(Inputs!$E$274="planned",(Inputs!$D$274+N(INDEX(sc_dpts,3)))*$W4000,Inputs!$D$274))</f>
        <v>0</v>
      </c>
      <c r="Y4000" s="53">
        <f>IF(Inputs!$C$274="",0,IF(1+$X4000&gt;0,LN(1+$X4000),0))</f>
        <v>0</v>
      </c>
      <c r="Z4000" s="55">
        <f t="shared" si="1457"/>
        <v>0</v>
      </c>
      <c r="AA4000" s="55">
        <f>IF($U4000="",0,COUNTIFS(rl_key,Inputs!$J$274,$V$3806:$V$4045,$V4000,$U$3806:$U$4045,"&lt;"&amp;$U4000))</f>
        <v>0</v>
      </c>
      <c r="AB4000" s="55">
        <f>IF($U4000="",0,COUNTIFS(Inputs!$J$80:$J$274,Inputs!$J$274,$V$3806:$V4000,$V4000,$U$3806:$U4000,$U4000))</f>
        <v>0</v>
      </c>
      <c r="AC4000" s="55">
        <f t="shared" si="1458"/>
        <v>0</v>
      </c>
      <c r="AE4000" s="54" t="str">
        <f>IF(Inputs!$C$274="","",IF(Inputs!$E$274="planned",EDATE(Inputs!$C$274,N(INDEX(sc_shift,4))),Inputs!$C$274))</f>
        <v/>
      </c>
      <c r="AF4000" s="54" t="str">
        <f t="shared" si="1459"/>
        <v/>
      </c>
      <c r="AG4000" s="52">
        <f>IF(N(INDEX(sc_ach,4))=0,IF(Inputs!$G$274="",1,Inputs!$G$274),INDEX(sc_ach,4))</f>
        <v>1</v>
      </c>
      <c r="AH4000" s="52">
        <f>IF(Inputs!$C$274="",0,IF(Inputs!$E$274="planned",(Inputs!$D$274+N(INDEX(sc_dpts,4)))*$AG4000,Inputs!$D$274))</f>
        <v>0</v>
      </c>
      <c r="AI4000" s="53">
        <f>IF(Inputs!$C$274="",0,IF(1+$AH4000&gt;0,LN(1+$AH4000),0))</f>
        <v>0</v>
      </c>
      <c r="AJ4000" s="55">
        <f t="shared" si="1460"/>
        <v>0</v>
      </c>
      <c r="AK4000" s="55">
        <f>IF($AE4000="",0,COUNTIFS(rl_key,Inputs!$J$274,$AF$3806:$AF$4045,$AF4000,$AE$3806:$AE$4045,"&lt;"&amp;$AE4000))</f>
        <v>0</v>
      </c>
      <c r="AL4000" s="55">
        <f>IF($AE4000="",0,COUNTIFS(Inputs!$J$80:$J$274,Inputs!$J$274,$AF$3806:$AF4000,$AF4000,$AE$3806:$AE4000,$AE4000))</f>
        <v>0</v>
      </c>
      <c r="AM4000" s="55">
        <f t="shared" si="1461"/>
        <v>0</v>
      </c>
    </row>
    <row r="4001" spans="1:39" x14ac:dyDescent="0.25">
      <c r="A4001" s="54" t="str">
        <f>IF(Inputs!$C$275="","",IF(Inputs!$E$275="planned",EDATE(Inputs!$C$275,N(INDEX(sc_shift,1))),Inputs!$C$275))</f>
        <v/>
      </c>
      <c r="B4001" s="54" t="str">
        <f t="shared" si="1450"/>
        <v/>
      </c>
      <c r="C4001" s="52">
        <f>IF(N(INDEX(sc_ach,1))=0,IF(Inputs!$G$275="",1,Inputs!$G$275),INDEX(sc_ach,1))</f>
        <v>1</v>
      </c>
      <c r="D4001" s="52">
        <f>IF(Inputs!$C$275="",0,IF(Inputs!$E$275="planned",(Inputs!$D$275+N(INDEX(sc_dpts,1)))*$C4001,Inputs!$D$275))</f>
        <v>0</v>
      </c>
      <c r="E4001" s="53">
        <f>IF(Inputs!$C$275="",0,IF(1+$D4001&gt;0,LN(1+$D4001),0))</f>
        <v>0</v>
      </c>
      <c r="F4001" s="55">
        <f t="shared" si="1451"/>
        <v>0</v>
      </c>
      <c r="G4001" s="55">
        <f>IF($A4001="",0,COUNTIFS(rl_key,Inputs!$J$275,$B$3806:$B$4045,$B4001,$A$3806:$A$4045,"&lt;"&amp;$A4001))</f>
        <v>0</v>
      </c>
      <c r="H4001" s="55">
        <f>IF($A4001="",0,COUNTIFS(Inputs!$J$80:$J$275,Inputs!$J$275,$B$3806:$B4001,$B4001,$A$3806:$A4001,$A4001))</f>
        <v>0</v>
      </c>
      <c r="I4001" s="55">
        <f t="shared" si="1452"/>
        <v>0</v>
      </c>
      <c r="K4001" s="54" t="str">
        <f>IF(Inputs!$C$275="","",IF(Inputs!$E$275="planned",EDATE(Inputs!$C$275,N(INDEX(sc_shift,2))),Inputs!$C$275))</f>
        <v/>
      </c>
      <c r="L4001" s="54" t="str">
        <f t="shared" si="1453"/>
        <v/>
      </c>
      <c r="M4001" s="52">
        <f>IF(N(INDEX(sc_ach,2))=0,IF(Inputs!$G$275="",1,Inputs!$G$275),INDEX(sc_ach,2))</f>
        <v>1</v>
      </c>
      <c r="N4001" s="52">
        <f>IF(Inputs!$C$275="",0,IF(Inputs!$E$275="planned",(Inputs!$D$275+N(INDEX(sc_dpts,2)))*$M4001,Inputs!$D$275))</f>
        <v>0</v>
      </c>
      <c r="O4001" s="53">
        <f>IF(Inputs!$C$275="",0,IF(1+$N4001&gt;0,LN(1+$N4001),0))</f>
        <v>0</v>
      </c>
      <c r="P4001" s="55">
        <f t="shared" si="1454"/>
        <v>0</v>
      </c>
      <c r="Q4001" s="55">
        <f>IF($K4001="",0,COUNTIFS(rl_key,Inputs!$J$275,$L$3806:$L$4045,$L4001,$K$3806:$K$4045,"&lt;"&amp;$K4001))</f>
        <v>0</v>
      </c>
      <c r="R4001" s="55">
        <f>IF($K4001="",0,COUNTIFS(Inputs!$J$80:$J$275,Inputs!$J$275,$L$3806:$L4001,$L4001,$K$3806:$K4001,$K4001))</f>
        <v>0</v>
      </c>
      <c r="S4001" s="55">
        <f t="shared" si="1455"/>
        <v>0</v>
      </c>
      <c r="U4001" s="54" t="str">
        <f>IF(Inputs!$C$275="","",IF(Inputs!$E$275="planned",EDATE(Inputs!$C$275,N(INDEX(sc_shift,3))),Inputs!$C$275))</f>
        <v/>
      </c>
      <c r="V4001" s="54" t="str">
        <f t="shared" si="1456"/>
        <v/>
      </c>
      <c r="W4001" s="52">
        <f>IF(N(INDEX(sc_ach,3))=0,IF(Inputs!$G$275="",1,Inputs!$G$275),INDEX(sc_ach,3))</f>
        <v>1</v>
      </c>
      <c r="X4001" s="52">
        <f>IF(Inputs!$C$275="",0,IF(Inputs!$E$275="planned",(Inputs!$D$275+N(INDEX(sc_dpts,3)))*$W4001,Inputs!$D$275))</f>
        <v>0</v>
      </c>
      <c r="Y4001" s="53">
        <f>IF(Inputs!$C$275="",0,IF(1+$X4001&gt;0,LN(1+$X4001),0))</f>
        <v>0</v>
      </c>
      <c r="Z4001" s="55">
        <f t="shared" si="1457"/>
        <v>0</v>
      </c>
      <c r="AA4001" s="55">
        <f>IF($U4001="",0,COUNTIFS(rl_key,Inputs!$J$275,$V$3806:$V$4045,$V4001,$U$3806:$U$4045,"&lt;"&amp;$U4001))</f>
        <v>0</v>
      </c>
      <c r="AB4001" s="55">
        <f>IF($U4001="",0,COUNTIFS(Inputs!$J$80:$J$275,Inputs!$J$275,$V$3806:$V4001,$V4001,$U$3806:$U4001,$U4001))</f>
        <v>0</v>
      </c>
      <c r="AC4001" s="55">
        <f t="shared" si="1458"/>
        <v>0</v>
      </c>
      <c r="AE4001" s="54" t="str">
        <f>IF(Inputs!$C$275="","",IF(Inputs!$E$275="planned",EDATE(Inputs!$C$275,N(INDEX(sc_shift,4))),Inputs!$C$275))</f>
        <v/>
      </c>
      <c r="AF4001" s="54" t="str">
        <f t="shared" si="1459"/>
        <v/>
      </c>
      <c r="AG4001" s="52">
        <f>IF(N(INDEX(sc_ach,4))=0,IF(Inputs!$G$275="",1,Inputs!$G$275),INDEX(sc_ach,4))</f>
        <v>1</v>
      </c>
      <c r="AH4001" s="52">
        <f>IF(Inputs!$C$275="",0,IF(Inputs!$E$275="planned",(Inputs!$D$275+N(INDEX(sc_dpts,4)))*$AG4001,Inputs!$D$275))</f>
        <v>0</v>
      </c>
      <c r="AI4001" s="53">
        <f>IF(Inputs!$C$275="",0,IF(1+$AH4001&gt;0,LN(1+$AH4001),0))</f>
        <v>0</v>
      </c>
      <c r="AJ4001" s="55">
        <f t="shared" si="1460"/>
        <v>0</v>
      </c>
      <c r="AK4001" s="55">
        <f>IF($AE4001="",0,COUNTIFS(rl_key,Inputs!$J$275,$AF$3806:$AF$4045,$AF4001,$AE$3806:$AE$4045,"&lt;"&amp;$AE4001))</f>
        <v>0</v>
      </c>
      <c r="AL4001" s="55">
        <f>IF($AE4001="",0,COUNTIFS(Inputs!$J$80:$J$275,Inputs!$J$275,$AF$3806:$AF4001,$AF4001,$AE$3806:$AE4001,$AE4001))</f>
        <v>0</v>
      </c>
      <c r="AM4001" s="55">
        <f t="shared" si="1461"/>
        <v>0</v>
      </c>
    </row>
    <row r="4002" spans="1:39" x14ac:dyDescent="0.25">
      <c r="A4002" s="54" t="str">
        <f>IF(Inputs!$C$276="","",IF(Inputs!$E$276="planned",EDATE(Inputs!$C$276,N(INDEX(sc_shift,1))),Inputs!$C$276))</f>
        <v/>
      </c>
      <c r="B4002" s="54" t="str">
        <f t="shared" si="1450"/>
        <v/>
      </c>
      <c r="C4002" s="52">
        <f>IF(N(INDEX(sc_ach,1))=0,IF(Inputs!$G$276="",1,Inputs!$G$276),INDEX(sc_ach,1))</f>
        <v>1</v>
      </c>
      <c r="D4002" s="52">
        <f>IF(Inputs!$C$276="",0,IF(Inputs!$E$276="planned",(Inputs!$D$276+N(INDEX(sc_dpts,1)))*$C4002,Inputs!$D$276))</f>
        <v>0</v>
      </c>
      <c r="E4002" s="53">
        <f>IF(Inputs!$C$276="",0,IF(1+$D4002&gt;0,LN(1+$D4002),0))</f>
        <v>0</v>
      </c>
      <c r="F4002" s="55">
        <f t="shared" si="1451"/>
        <v>0</v>
      </c>
      <c r="G4002" s="55">
        <f>IF($A4002="",0,COUNTIFS(rl_key,Inputs!$J$276,$B$3806:$B$4045,$B4002,$A$3806:$A$4045,"&lt;"&amp;$A4002))</f>
        <v>0</v>
      </c>
      <c r="H4002" s="55">
        <f>IF($A4002="",0,COUNTIFS(Inputs!$J$80:$J$276,Inputs!$J$276,$B$3806:$B4002,$B4002,$A$3806:$A4002,$A4002))</f>
        <v>0</v>
      </c>
      <c r="I4002" s="55">
        <f t="shared" si="1452"/>
        <v>0</v>
      </c>
      <c r="K4002" s="54" t="str">
        <f>IF(Inputs!$C$276="","",IF(Inputs!$E$276="planned",EDATE(Inputs!$C$276,N(INDEX(sc_shift,2))),Inputs!$C$276))</f>
        <v/>
      </c>
      <c r="L4002" s="54" t="str">
        <f t="shared" si="1453"/>
        <v/>
      </c>
      <c r="M4002" s="52">
        <f>IF(N(INDEX(sc_ach,2))=0,IF(Inputs!$G$276="",1,Inputs!$G$276),INDEX(sc_ach,2))</f>
        <v>1</v>
      </c>
      <c r="N4002" s="52">
        <f>IF(Inputs!$C$276="",0,IF(Inputs!$E$276="planned",(Inputs!$D$276+N(INDEX(sc_dpts,2)))*$M4002,Inputs!$D$276))</f>
        <v>0</v>
      </c>
      <c r="O4002" s="53">
        <f>IF(Inputs!$C$276="",0,IF(1+$N4002&gt;0,LN(1+$N4002),0))</f>
        <v>0</v>
      </c>
      <c r="P4002" s="55">
        <f t="shared" si="1454"/>
        <v>0</v>
      </c>
      <c r="Q4002" s="55">
        <f>IF($K4002="",0,COUNTIFS(rl_key,Inputs!$J$276,$L$3806:$L$4045,$L4002,$K$3806:$K$4045,"&lt;"&amp;$K4002))</f>
        <v>0</v>
      </c>
      <c r="R4002" s="55">
        <f>IF($K4002="",0,COUNTIFS(Inputs!$J$80:$J$276,Inputs!$J$276,$L$3806:$L4002,$L4002,$K$3806:$K4002,$K4002))</f>
        <v>0</v>
      </c>
      <c r="S4002" s="55">
        <f t="shared" si="1455"/>
        <v>0</v>
      </c>
      <c r="U4002" s="54" t="str">
        <f>IF(Inputs!$C$276="","",IF(Inputs!$E$276="planned",EDATE(Inputs!$C$276,N(INDEX(sc_shift,3))),Inputs!$C$276))</f>
        <v/>
      </c>
      <c r="V4002" s="54" t="str">
        <f t="shared" si="1456"/>
        <v/>
      </c>
      <c r="W4002" s="52">
        <f>IF(N(INDEX(sc_ach,3))=0,IF(Inputs!$G$276="",1,Inputs!$G$276),INDEX(sc_ach,3))</f>
        <v>1</v>
      </c>
      <c r="X4002" s="52">
        <f>IF(Inputs!$C$276="",0,IF(Inputs!$E$276="planned",(Inputs!$D$276+N(INDEX(sc_dpts,3)))*$W4002,Inputs!$D$276))</f>
        <v>0</v>
      </c>
      <c r="Y4002" s="53">
        <f>IF(Inputs!$C$276="",0,IF(1+$X4002&gt;0,LN(1+$X4002),0))</f>
        <v>0</v>
      </c>
      <c r="Z4002" s="55">
        <f t="shared" si="1457"/>
        <v>0</v>
      </c>
      <c r="AA4002" s="55">
        <f>IF($U4002="",0,COUNTIFS(rl_key,Inputs!$J$276,$V$3806:$V$4045,$V4002,$U$3806:$U$4045,"&lt;"&amp;$U4002))</f>
        <v>0</v>
      </c>
      <c r="AB4002" s="55">
        <f>IF($U4002="",0,COUNTIFS(Inputs!$J$80:$J$276,Inputs!$J$276,$V$3806:$V4002,$V4002,$U$3806:$U4002,$U4002))</f>
        <v>0</v>
      </c>
      <c r="AC4002" s="55">
        <f t="shared" si="1458"/>
        <v>0</v>
      </c>
      <c r="AE4002" s="54" t="str">
        <f>IF(Inputs!$C$276="","",IF(Inputs!$E$276="planned",EDATE(Inputs!$C$276,N(INDEX(sc_shift,4))),Inputs!$C$276))</f>
        <v/>
      </c>
      <c r="AF4002" s="54" t="str">
        <f t="shared" si="1459"/>
        <v/>
      </c>
      <c r="AG4002" s="52">
        <f>IF(N(INDEX(sc_ach,4))=0,IF(Inputs!$G$276="",1,Inputs!$G$276),INDEX(sc_ach,4))</f>
        <v>1</v>
      </c>
      <c r="AH4002" s="52">
        <f>IF(Inputs!$C$276="",0,IF(Inputs!$E$276="planned",(Inputs!$D$276+N(INDEX(sc_dpts,4)))*$AG4002,Inputs!$D$276))</f>
        <v>0</v>
      </c>
      <c r="AI4002" s="53">
        <f>IF(Inputs!$C$276="",0,IF(1+$AH4002&gt;0,LN(1+$AH4002),0))</f>
        <v>0</v>
      </c>
      <c r="AJ4002" s="55">
        <f t="shared" si="1460"/>
        <v>0</v>
      </c>
      <c r="AK4002" s="55">
        <f>IF($AE4002="",0,COUNTIFS(rl_key,Inputs!$J$276,$AF$3806:$AF$4045,$AF4002,$AE$3806:$AE$4045,"&lt;"&amp;$AE4002))</f>
        <v>0</v>
      </c>
      <c r="AL4002" s="55">
        <f>IF($AE4002="",0,COUNTIFS(Inputs!$J$80:$J$276,Inputs!$J$276,$AF$3806:$AF4002,$AF4002,$AE$3806:$AE4002,$AE4002))</f>
        <v>0</v>
      </c>
      <c r="AM4002" s="55">
        <f t="shared" si="1461"/>
        <v>0</v>
      </c>
    </row>
    <row r="4003" spans="1:39" x14ac:dyDescent="0.25">
      <c r="A4003" s="54" t="str">
        <f>IF(Inputs!$C$277="","",IF(Inputs!$E$277="planned",EDATE(Inputs!$C$277,N(INDEX(sc_shift,1))),Inputs!$C$277))</f>
        <v/>
      </c>
      <c r="B4003" s="54" t="str">
        <f t="shared" si="1450"/>
        <v/>
      </c>
      <c r="C4003" s="52">
        <f>IF(N(INDEX(sc_ach,1))=0,IF(Inputs!$G$277="",1,Inputs!$G$277),INDEX(sc_ach,1))</f>
        <v>1</v>
      </c>
      <c r="D4003" s="52">
        <f>IF(Inputs!$C$277="",0,IF(Inputs!$E$277="planned",(Inputs!$D$277+N(INDEX(sc_dpts,1)))*$C4003,Inputs!$D$277))</f>
        <v>0</v>
      </c>
      <c r="E4003" s="53">
        <f>IF(Inputs!$C$277="",0,IF(1+$D4003&gt;0,LN(1+$D4003),0))</f>
        <v>0</v>
      </c>
      <c r="F4003" s="55">
        <f t="shared" si="1451"/>
        <v>0</v>
      </c>
      <c r="G4003" s="55">
        <f>IF($A4003="",0,COUNTIFS(rl_key,Inputs!$J$277,$B$3806:$B$4045,$B4003,$A$3806:$A$4045,"&lt;"&amp;$A4003))</f>
        <v>0</v>
      </c>
      <c r="H4003" s="55">
        <f>IF($A4003="",0,COUNTIFS(Inputs!$J$80:$J$277,Inputs!$J$277,$B$3806:$B4003,$B4003,$A$3806:$A4003,$A4003))</f>
        <v>0</v>
      </c>
      <c r="I4003" s="55">
        <f t="shared" si="1452"/>
        <v>0</v>
      </c>
      <c r="K4003" s="54" t="str">
        <f>IF(Inputs!$C$277="","",IF(Inputs!$E$277="planned",EDATE(Inputs!$C$277,N(INDEX(sc_shift,2))),Inputs!$C$277))</f>
        <v/>
      </c>
      <c r="L4003" s="54" t="str">
        <f t="shared" si="1453"/>
        <v/>
      </c>
      <c r="M4003" s="52">
        <f>IF(N(INDEX(sc_ach,2))=0,IF(Inputs!$G$277="",1,Inputs!$G$277),INDEX(sc_ach,2))</f>
        <v>1</v>
      </c>
      <c r="N4003" s="52">
        <f>IF(Inputs!$C$277="",0,IF(Inputs!$E$277="planned",(Inputs!$D$277+N(INDEX(sc_dpts,2)))*$M4003,Inputs!$D$277))</f>
        <v>0</v>
      </c>
      <c r="O4003" s="53">
        <f>IF(Inputs!$C$277="",0,IF(1+$N4003&gt;0,LN(1+$N4003),0))</f>
        <v>0</v>
      </c>
      <c r="P4003" s="55">
        <f t="shared" si="1454"/>
        <v>0</v>
      </c>
      <c r="Q4003" s="55">
        <f>IF($K4003="",0,COUNTIFS(rl_key,Inputs!$J$277,$L$3806:$L$4045,$L4003,$K$3806:$K$4045,"&lt;"&amp;$K4003))</f>
        <v>0</v>
      </c>
      <c r="R4003" s="55">
        <f>IF($K4003="",0,COUNTIFS(Inputs!$J$80:$J$277,Inputs!$J$277,$L$3806:$L4003,$L4003,$K$3806:$K4003,$K4003))</f>
        <v>0</v>
      </c>
      <c r="S4003" s="55">
        <f t="shared" si="1455"/>
        <v>0</v>
      </c>
      <c r="U4003" s="54" t="str">
        <f>IF(Inputs!$C$277="","",IF(Inputs!$E$277="planned",EDATE(Inputs!$C$277,N(INDEX(sc_shift,3))),Inputs!$C$277))</f>
        <v/>
      </c>
      <c r="V4003" s="54" t="str">
        <f t="shared" si="1456"/>
        <v/>
      </c>
      <c r="W4003" s="52">
        <f>IF(N(INDEX(sc_ach,3))=0,IF(Inputs!$G$277="",1,Inputs!$G$277),INDEX(sc_ach,3))</f>
        <v>1</v>
      </c>
      <c r="X4003" s="52">
        <f>IF(Inputs!$C$277="",0,IF(Inputs!$E$277="planned",(Inputs!$D$277+N(INDEX(sc_dpts,3)))*$W4003,Inputs!$D$277))</f>
        <v>0</v>
      </c>
      <c r="Y4003" s="53">
        <f>IF(Inputs!$C$277="",0,IF(1+$X4003&gt;0,LN(1+$X4003),0))</f>
        <v>0</v>
      </c>
      <c r="Z4003" s="55">
        <f t="shared" si="1457"/>
        <v>0</v>
      </c>
      <c r="AA4003" s="55">
        <f>IF($U4003="",0,COUNTIFS(rl_key,Inputs!$J$277,$V$3806:$V$4045,$V4003,$U$3806:$U$4045,"&lt;"&amp;$U4003))</f>
        <v>0</v>
      </c>
      <c r="AB4003" s="55">
        <f>IF($U4003="",0,COUNTIFS(Inputs!$J$80:$J$277,Inputs!$J$277,$V$3806:$V4003,$V4003,$U$3806:$U4003,$U4003))</f>
        <v>0</v>
      </c>
      <c r="AC4003" s="55">
        <f t="shared" si="1458"/>
        <v>0</v>
      </c>
      <c r="AE4003" s="54" t="str">
        <f>IF(Inputs!$C$277="","",IF(Inputs!$E$277="planned",EDATE(Inputs!$C$277,N(INDEX(sc_shift,4))),Inputs!$C$277))</f>
        <v/>
      </c>
      <c r="AF4003" s="54" t="str">
        <f t="shared" si="1459"/>
        <v/>
      </c>
      <c r="AG4003" s="52">
        <f>IF(N(INDEX(sc_ach,4))=0,IF(Inputs!$G$277="",1,Inputs!$G$277),INDEX(sc_ach,4))</f>
        <v>1</v>
      </c>
      <c r="AH4003" s="52">
        <f>IF(Inputs!$C$277="",0,IF(Inputs!$E$277="planned",(Inputs!$D$277+N(INDEX(sc_dpts,4)))*$AG4003,Inputs!$D$277))</f>
        <v>0</v>
      </c>
      <c r="AI4003" s="53">
        <f>IF(Inputs!$C$277="",0,IF(1+$AH4003&gt;0,LN(1+$AH4003),0))</f>
        <v>0</v>
      </c>
      <c r="AJ4003" s="55">
        <f t="shared" si="1460"/>
        <v>0</v>
      </c>
      <c r="AK4003" s="55">
        <f>IF($AE4003="",0,COUNTIFS(rl_key,Inputs!$J$277,$AF$3806:$AF$4045,$AF4003,$AE$3806:$AE$4045,"&lt;"&amp;$AE4003))</f>
        <v>0</v>
      </c>
      <c r="AL4003" s="55">
        <f>IF($AE4003="",0,COUNTIFS(Inputs!$J$80:$J$277,Inputs!$J$277,$AF$3806:$AF4003,$AF4003,$AE$3806:$AE4003,$AE4003))</f>
        <v>0</v>
      </c>
      <c r="AM4003" s="55">
        <f t="shared" si="1461"/>
        <v>0</v>
      </c>
    </row>
    <row r="4004" spans="1:39" x14ac:dyDescent="0.25">
      <c r="A4004" s="54" t="str">
        <f>IF(Inputs!$C$278="","",IF(Inputs!$E$278="planned",EDATE(Inputs!$C$278,N(INDEX(sc_shift,1))),Inputs!$C$278))</f>
        <v/>
      </c>
      <c r="B4004" s="54" t="str">
        <f t="shared" si="1450"/>
        <v/>
      </c>
      <c r="C4004" s="52">
        <f>IF(N(INDEX(sc_ach,1))=0,IF(Inputs!$G$278="",1,Inputs!$G$278),INDEX(sc_ach,1))</f>
        <v>1</v>
      </c>
      <c r="D4004" s="52">
        <f>IF(Inputs!$C$278="",0,IF(Inputs!$E$278="planned",(Inputs!$D$278+N(INDEX(sc_dpts,1)))*$C4004,Inputs!$D$278))</f>
        <v>0</v>
      </c>
      <c r="E4004" s="53">
        <f>IF(Inputs!$C$278="",0,IF(1+$D4004&gt;0,LN(1+$D4004),0))</f>
        <v>0</v>
      </c>
      <c r="F4004" s="55">
        <f t="shared" si="1451"/>
        <v>0</v>
      </c>
      <c r="G4004" s="55">
        <f>IF($A4004="",0,COUNTIFS(rl_key,Inputs!$J$278,$B$3806:$B$4045,$B4004,$A$3806:$A$4045,"&lt;"&amp;$A4004))</f>
        <v>0</v>
      </c>
      <c r="H4004" s="55">
        <f>IF($A4004="",0,COUNTIFS(Inputs!$J$80:$J$278,Inputs!$J$278,$B$3806:$B4004,$B4004,$A$3806:$A4004,$A4004))</f>
        <v>0</v>
      </c>
      <c r="I4004" s="55">
        <f t="shared" si="1452"/>
        <v>0</v>
      </c>
      <c r="K4004" s="54" t="str">
        <f>IF(Inputs!$C$278="","",IF(Inputs!$E$278="planned",EDATE(Inputs!$C$278,N(INDEX(sc_shift,2))),Inputs!$C$278))</f>
        <v/>
      </c>
      <c r="L4004" s="54" t="str">
        <f t="shared" si="1453"/>
        <v/>
      </c>
      <c r="M4004" s="52">
        <f>IF(N(INDEX(sc_ach,2))=0,IF(Inputs!$G$278="",1,Inputs!$G$278),INDEX(sc_ach,2))</f>
        <v>1</v>
      </c>
      <c r="N4004" s="52">
        <f>IF(Inputs!$C$278="",0,IF(Inputs!$E$278="planned",(Inputs!$D$278+N(INDEX(sc_dpts,2)))*$M4004,Inputs!$D$278))</f>
        <v>0</v>
      </c>
      <c r="O4004" s="53">
        <f>IF(Inputs!$C$278="",0,IF(1+$N4004&gt;0,LN(1+$N4004),0))</f>
        <v>0</v>
      </c>
      <c r="P4004" s="55">
        <f t="shared" si="1454"/>
        <v>0</v>
      </c>
      <c r="Q4004" s="55">
        <f>IF($K4004="",0,COUNTIFS(rl_key,Inputs!$J$278,$L$3806:$L$4045,$L4004,$K$3806:$K$4045,"&lt;"&amp;$K4004))</f>
        <v>0</v>
      </c>
      <c r="R4004" s="55">
        <f>IF($K4004="",0,COUNTIFS(Inputs!$J$80:$J$278,Inputs!$J$278,$L$3806:$L4004,$L4004,$K$3806:$K4004,$K4004))</f>
        <v>0</v>
      </c>
      <c r="S4004" s="55">
        <f t="shared" si="1455"/>
        <v>0</v>
      </c>
      <c r="U4004" s="54" t="str">
        <f>IF(Inputs!$C$278="","",IF(Inputs!$E$278="planned",EDATE(Inputs!$C$278,N(INDEX(sc_shift,3))),Inputs!$C$278))</f>
        <v/>
      </c>
      <c r="V4004" s="54" t="str">
        <f t="shared" si="1456"/>
        <v/>
      </c>
      <c r="W4004" s="52">
        <f>IF(N(INDEX(sc_ach,3))=0,IF(Inputs!$G$278="",1,Inputs!$G$278),INDEX(sc_ach,3))</f>
        <v>1</v>
      </c>
      <c r="X4004" s="52">
        <f>IF(Inputs!$C$278="",0,IF(Inputs!$E$278="planned",(Inputs!$D$278+N(INDEX(sc_dpts,3)))*$W4004,Inputs!$D$278))</f>
        <v>0</v>
      </c>
      <c r="Y4004" s="53">
        <f>IF(Inputs!$C$278="",0,IF(1+$X4004&gt;0,LN(1+$X4004),0))</f>
        <v>0</v>
      </c>
      <c r="Z4004" s="55">
        <f t="shared" si="1457"/>
        <v>0</v>
      </c>
      <c r="AA4004" s="55">
        <f>IF($U4004="",0,COUNTIFS(rl_key,Inputs!$J$278,$V$3806:$V$4045,$V4004,$U$3806:$U$4045,"&lt;"&amp;$U4004))</f>
        <v>0</v>
      </c>
      <c r="AB4004" s="55">
        <f>IF($U4004="",0,COUNTIFS(Inputs!$J$80:$J$278,Inputs!$J$278,$V$3806:$V4004,$V4004,$U$3806:$U4004,$U4004))</f>
        <v>0</v>
      </c>
      <c r="AC4004" s="55">
        <f t="shared" si="1458"/>
        <v>0</v>
      </c>
      <c r="AE4004" s="54" t="str">
        <f>IF(Inputs!$C$278="","",IF(Inputs!$E$278="planned",EDATE(Inputs!$C$278,N(INDEX(sc_shift,4))),Inputs!$C$278))</f>
        <v/>
      </c>
      <c r="AF4004" s="54" t="str">
        <f t="shared" si="1459"/>
        <v/>
      </c>
      <c r="AG4004" s="52">
        <f>IF(N(INDEX(sc_ach,4))=0,IF(Inputs!$G$278="",1,Inputs!$G$278),INDEX(sc_ach,4))</f>
        <v>1</v>
      </c>
      <c r="AH4004" s="52">
        <f>IF(Inputs!$C$278="",0,IF(Inputs!$E$278="planned",(Inputs!$D$278+N(INDEX(sc_dpts,4)))*$AG4004,Inputs!$D$278))</f>
        <v>0</v>
      </c>
      <c r="AI4004" s="53">
        <f>IF(Inputs!$C$278="",0,IF(1+$AH4004&gt;0,LN(1+$AH4004),0))</f>
        <v>0</v>
      </c>
      <c r="AJ4004" s="55">
        <f t="shared" si="1460"/>
        <v>0</v>
      </c>
      <c r="AK4004" s="55">
        <f>IF($AE4004="",0,COUNTIFS(rl_key,Inputs!$J$278,$AF$3806:$AF$4045,$AF4004,$AE$3806:$AE$4045,"&lt;"&amp;$AE4004))</f>
        <v>0</v>
      </c>
      <c r="AL4004" s="55">
        <f>IF($AE4004="",0,COUNTIFS(Inputs!$J$80:$J$278,Inputs!$J$278,$AF$3806:$AF4004,$AF4004,$AE$3806:$AE4004,$AE4004))</f>
        <v>0</v>
      </c>
      <c r="AM4004" s="55">
        <f t="shared" si="1461"/>
        <v>0</v>
      </c>
    </row>
    <row r="4005" spans="1:39" x14ac:dyDescent="0.25">
      <c r="A4005" s="54" t="str">
        <f>IF(Inputs!$C$279="","",IF(Inputs!$E$279="planned",EDATE(Inputs!$C$279,N(INDEX(sc_shift,1))),Inputs!$C$279))</f>
        <v/>
      </c>
      <c r="B4005" s="54" t="str">
        <f t="shared" si="1450"/>
        <v/>
      </c>
      <c r="C4005" s="52">
        <f>IF(N(INDEX(sc_ach,1))=0,IF(Inputs!$G$279="",1,Inputs!$G$279),INDEX(sc_ach,1))</f>
        <v>1</v>
      </c>
      <c r="D4005" s="52">
        <f>IF(Inputs!$C$279="",0,IF(Inputs!$E$279="planned",(Inputs!$D$279+N(INDEX(sc_dpts,1)))*$C4005,Inputs!$D$279))</f>
        <v>0</v>
      </c>
      <c r="E4005" s="53">
        <f>IF(Inputs!$C$279="",0,IF(1+$D4005&gt;0,LN(1+$D4005),0))</f>
        <v>0</v>
      </c>
      <c r="F4005" s="55">
        <f t="shared" si="1451"/>
        <v>0</v>
      </c>
      <c r="G4005" s="55">
        <f>IF($A4005="",0,COUNTIFS(rl_key,Inputs!$J$279,$B$3806:$B$4045,$B4005,$A$3806:$A$4045,"&lt;"&amp;$A4005))</f>
        <v>0</v>
      </c>
      <c r="H4005" s="55">
        <f>IF($A4005="",0,COUNTIFS(Inputs!$J$80:$J$279,Inputs!$J$279,$B$3806:$B4005,$B4005,$A$3806:$A4005,$A4005))</f>
        <v>0</v>
      </c>
      <c r="I4005" s="55">
        <f t="shared" si="1452"/>
        <v>0</v>
      </c>
      <c r="K4005" s="54" t="str">
        <f>IF(Inputs!$C$279="","",IF(Inputs!$E$279="planned",EDATE(Inputs!$C$279,N(INDEX(sc_shift,2))),Inputs!$C$279))</f>
        <v/>
      </c>
      <c r="L4005" s="54" t="str">
        <f t="shared" si="1453"/>
        <v/>
      </c>
      <c r="M4005" s="52">
        <f>IF(N(INDEX(sc_ach,2))=0,IF(Inputs!$G$279="",1,Inputs!$G$279),INDEX(sc_ach,2))</f>
        <v>1</v>
      </c>
      <c r="N4005" s="52">
        <f>IF(Inputs!$C$279="",0,IF(Inputs!$E$279="planned",(Inputs!$D$279+N(INDEX(sc_dpts,2)))*$M4005,Inputs!$D$279))</f>
        <v>0</v>
      </c>
      <c r="O4005" s="53">
        <f>IF(Inputs!$C$279="",0,IF(1+$N4005&gt;0,LN(1+$N4005),0))</f>
        <v>0</v>
      </c>
      <c r="P4005" s="55">
        <f t="shared" si="1454"/>
        <v>0</v>
      </c>
      <c r="Q4005" s="55">
        <f>IF($K4005="",0,COUNTIFS(rl_key,Inputs!$J$279,$L$3806:$L$4045,$L4005,$K$3806:$K$4045,"&lt;"&amp;$K4005))</f>
        <v>0</v>
      </c>
      <c r="R4005" s="55">
        <f>IF($K4005="",0,COUNTIFS(Inputs!$J$80:$J$279,Inputs!$J$279,$L$3806:$L4005,$L4005,$K$3806:$K4005,$K4005))</f>
        <v>0</v>
      </c>
      <c r="S4005" s="55">
        <f t="shared" si="1455"/>
        <v>0</v>
      </c>
      <c r="U4005" s="54" t="str">
        <f>IF(Inputs!$C$279="","",IF(Inputs!$E$279="planned",EDATE(Inputs!$C$279,N(INDEX(sc_shift,3))),Inputs!$C$279))</f>
        <v/>
      </c>
      <c r="V4005" s="54" t="str">
        <f t="shared" si="1456"/>
        <v/>
      </c>
      <c r="W4005" s="52">
        <f>IF(N(INDEX(sc_ach,3))=0,IF(Inputs!$G$279="",1,Inputs!$G$279),INDEX(sc_ach,3))</f>
        <v>1</v>
      </c>
      <c r="X4005" s="52">
        <f>IF(Inputs!$C$279="",0,IF(Inputs!$E$279="planned",(Inputs!$D$279+N(INDEX(sc_dpts,3)))*$W4005,Inputs!$D$279))</f>
        <v>0</v>
      </c>
      <c r="Y4005" s="53">
        <f>IF(Inputs!$C$279="",0,IF(1+$X4005&gt;0,LN(1+$X4005),0))</f>
        <v>0</v>
      </c>
      <c r="Z4005" s="55">
        <f t="shared" si="1457"/>
        <v>0</v>
      </c>
      <c r="AA4005" s="55">
        <f>IF($U4005="",0,COUNTIFS(rl_key,Inputs!$J$279,$V$3806:$V$4045,$V4005,$U$3806:$U$4045,"&lt;"&amp;$U4005))</f>
        <v>0</v>
      </c>
      <c r="AB4005" s="55">
        <f>IF($U4005="",0,COUNTIFS(Inputs!$J$80:$J$279,Inputs!$J$279,$V$3806:$V4005,$V4005,$U$3806:$U4005,$U4005))</f>
        <v>0</v>
      </c>
      <c r="AC4005" s="55">
        <f t="shared" si="1458"/>
        <v>0</v>
      </c>
      <c r="AE4005" s="54" t="str">
        <f>IF(Inputs!$C$279="","",IF(Inputs!$E$279="planned",EDATE(Inputs!$C$279,N(INDEX(sc_shift,4))),Inputs!$C$279))</f>
        <v/>
      </c>
      <c r="AF4005" s="54" t="str">
        <f t="shared" si="1459"/>
        <v/>
      </c>
      <c r="AG4005" s="52">
        <f>IF(N(INDEX(sc_ach,4))=0,IF(Inputs!$G$279="",1,Inputs!$G$279),INDEX(sc_ach,4))</f>
        <v>1</v>
      </c>
      <c r="AH4005" s="52">
        <f>IF(Inputs!$C$279="",0,IF(Inputs!$E$279="planned",(Inputs!$D$279+N(INDEX(sc_dpts,4)))*$AG4005,Inputs!$D$279))</f>
        <v>0</v>
      </c>
      <c r="AI4005" s="53">
        <f>IF(Inputs!$C$279="",0,IF(1+$AH4005&gt;0,LN(1+$AH4005),0))</f>
        <v>0</v>
      </c>
      <c r="AJ4005" s="55">
        <f t="shared" si="1460"/>
        <v>0</v>
      </c>
      <c r="AK4005" s="55">
        <f>IF($AE4005="",0,COUNTIFS(rl_key,Inputs!$J$279,$AF$3806:$AF$4045,$AF4005,$AE$3806:$AE$4045,"&lt;"&amp;$AE4005))</f>
        <v>0</v>
      </c>
      <c r="AL4005" s="55">
        <f>IF($AE4005="",0,COUNTIFS(Inputs!$J$80:$J$279,Inputs!$J$279,$AF$3806:$AF4005,$AF4005,$AE$3806:$AE4005,$AE4005))</f>
        <v>0</v>
      </c>
      <c r="AM4005" s="55">
        <f t="shared" si="1461"/>
        <v>0</v>
      </c>
    </row>
    <row r="4006" spans="1:39" x14ac:dyDescent="0.25">
      <c r="A4006" s="54" t="str">
        <f>IF(Inputs!$C$280="","",IF(Inputs!$E$280="planned",EDATE(Inputs!$C$280,N(INDEX(sc_shift,1))),Inputs!$C$280))</f>
        <v/>
      </c>
      <c r="B4006" s="54" t="str">
        <f t="shared" si="1450"/>
        <v/>
      </c>
      <c r="C4006" s="52">
        <f>IF(N(INDEX(sc_ach,1))=0,IF(Inputs!$G$280="",1,Inputs!$G$280),INDEX(sc_ach,1))</f>
        <v>1</v>
      </c>
      <c r="D4006" s="52">
        <f>IF(Inputs!$C$280="",0,IF(Inputs!$E$280="planned",(Inputs!$D$280+N(INDEX(sc_dpts,1)))*$C4006,Inputs!$D$280))</f>
        <v>0</v>
      </c>
      <c r="E4006" s="53">
        <f>IF(Inputs!$C$280="",0,IF(1+$D4006&gt;0,LN(1+$D4006),0))</f>
        <v>0</v>
      </c>
      <c r="F4006" s="55">
        <f t="shared" si="1451"/>
        <v>0</v>
      </c>
      <c r="G4006" s="55">
        <f>IF($A4006="",0,COUNTIFS(rl_key,Inputs!$J$280,$B$3806:$B$4045,$B4006,$A$3806:$A$4045,"&lt;"&amp;$A4006))</f>
        <v>0</v>
      </c>
      <c r="H4006" s="55">
        <f>IF($A4006="",0,COUNTIFS(Inputs!$J$80:$J$280,Inputs!$J$280,$B$3806:$B4006,$B4006,$A$3806:$A4006,$A4006))</f>
        <v>0</v>
      </c>
      <c r="I4006" s="55">
        <f t="shared" si="1452"/>
        <v>0</v>
      </c>
      <c r="K4006" s="54" t="str">
        <f>IF(Inputs!$C$280="","",IF(Inputs!$E$280="planned",EDATE(Inputs!$C$280,N(INDEX(sc_shift,2))),Inputs!$C$280))</f>
        <v/>
      </c>
      <c r="L4006" s="54" t="str">
        <f t="shared" si="1453"/>
        <v/>
      </c>
      <c r="M4006" s="52">
        <f>IF(N(INDEX(sc_ach,2))=0,IF(Inputs!$G$280="",1,Inputs!$G$280),INDEX(sc_ach,2))</f>
        <v>1</v>
      </c>
      <c r="N4006" s="52">
        <f>IF(Inputs!$C$280="",0,IF(Inputs!$E$280="planned",(Inputs!$D$280+N(INDEX(sc_dpts,2)))*$M4006,Inputs!$D$280))</f>
        <v>0</v>
      </c>
      <c r="O4006" s="53">
        <f>IF(Inputs!$C$280="",0,IF(1+$N4006&gt;0,LN(1+$N4006),0))</f>
        <v>0</v>
      </c>
      <c r="P4006" s="55">
        <f t="shared" si="1454"/>
        <v>0</v>
      </c>
      <c r="Q4006" s="55">
        <f>IF($K4006="",0,COUNTIFS(rl_key,Inputs!$J$280,$L$3806:$L$4045,$L4006,$K$3806:$K$4045,"&lt;"&amp;$K4006))</f>
        <v>0</v>
      </c>
      <c r="R4006" s="55">
        <f>IF($K4006="",0,COUNTIFS(Inputs!$J$80:$J$280,Inputs!$J$280,$L$3806:$L4006,$L4006,$K$3806:$K4006,$K4006))</f>
        <v>0</v>
      </c>
      <c r="S4006" s="55">
        <f t="shared" si="1455"/>
        <v>0</v>
      </c>
      <c r="U4006" s="54" t="str">
        <f>IF(Inputs!$C$280="","",IF(Inputs!$E$280="planned",EDATE(Inputs!$C$280,N(INDEX(sc_shift,3))),Inputs!$C$280))</f>
        <v/>
      </c>
      <c r="V4006" s="54" t="str">
        <f t="shared" si="1456"/>
        <v/>
      </c>
      <c r="W4006" s="52">
        <f>IF(N(INDEX(sc_ach,3))=0,IF(Inputs!$G$280="",1,Inputs!$G$280),INDEX(sc_ach,3))</f>
        <v>1</v>
      </c>
      <c r="X4006" s="52">
        <f>IF(Inputs!$C$280="",0,IF(Inputs!$E$280="planned",(Inputs!$D$280+N(INDEX(sc_dpts,3)))*$W4006,Inputs!$D$280))</f>
        <v>0</v>
      </c>
      <c r="Y4006" s="53">
        <f>IF(Inputs!$C$280="",0,IF(1+$X4006&gt;0,LN(1+$X4006),0))</f>
        <v>0</v>
      </c>
      <c r="Z4006" s="55">
        <f t="shared" si="1457"/>
        <v>0</v>
      </c>
      <c r="AA4006" s="55">
        <f>IF($U4006="",0,COUNTIFS(rl_key,Inputs!$J$280,$V$3806:$V$4045,$V4006,$U$3806:$U$4045,"&lt;"&amp;$U4006))</f>
        <v>0</v>
      </c>
      <c r="AB4006" s="55">
        <f>IF($U4006="",0,COUNTIFS(Inputs!$J$80:$J$280,Inputs!$J$280,$V$3806:$V4006,$V4006,$U$3806:$U4006,$U4006))</f>
        <v>0</v>
      </c>
      <c r="AC4006" s="55">
        <f t="shared" si="1458"/>
        <v>0</v>
      </c>
      <c r="AE4006" s="54" t="str">
        <f>IF(Inputs!$C$280="","",IF(Inputs!$E$280="planned",EDATE(Inputs!$C$280,N(INDEX(sc_shift,4))),Inputs!$C$280))</f>
        <v/>
      </c>
      <c r="AF4006" s="54" t="str">
        <f t="shared" si="1459"/>
        <v/>
      </c>
      <c r="AG4006" s="52">
        <f>IF(N(INDEX(sc_ach,4))=0,IF(Inputs!$G$280="",1,Inputs!$G$280),INDEX(sc_ach,4))</f>
        <v>1</v>
      </c>
      <c r="AH4006" s="52">
        <f>IF(Inputs!$C$280="",0,IF(Inputs!$E$280="planned",(Inputs!$D$280+N(INDEX(sc_dpts,4)))*$AG4006,Inputs!$D$280))</f>
        <v>0</v>
      </c>
      <c r="AI4006" s="53">
        <f>IF(Inputs!$C$280="",0,IF(1+$AH4006&gt;0,LN(1+$AH4006),0))</f>
        <v>0</v>
      </c>
      <c r="AJ4006" s="55">
        <f t="shared" si="1460"/>
        <v>0</v>
      </c>
      <c r="AK4006" s="55">
        <f>IF($AE4006="",0,COUNTIFS(rl_key,Inputs!$J$280,$AF$3806:$AF$4045,$AF4006,$AE$3806:$AE$4045,"&lt;"&amp;$AE4006))</f>
        <v>0</v>
      </c>
      <c r="AL4006" s="55">
        <f>IF($AE4006="",0,COUNTIFS(Inputs!$J$80:$J$280,Inputs!$J$280,$AF$3806:$AF4006,$AF4006,$AE$3806:$AE4006,$AE4006))</f>
        <v>0</v>
      </c>
      <c r="AM4006" s="55">
        <f t="shared" si="1461"/>
        <v>0</v>
      </c>
    </row>
    <row r="4007" spans="1:39" x14ac:dyDescent="0.25">
      <c r="A4007" s="54" t="str">
        <f>IF(Inputs!$C$281="","",IF(Inputs!$E$281="planned",EDATE(Inputs!$C$281,N(INDEX(sc_shift,1))),Inputs!$C$281))</f>
        <v/>
      </c>
      <c r="B4007" s="54" t="str">
        <f t="shared" si="1450"/>
        <v/>
      </c>
      <c r="C4007" s="52">
        <f>IF(N(INDEX(sc_ach,1))=0,IF(Inputs!$G$281="",1,Inputs!$G$281),INDEX(sc_ach,1))</f>
        <v>1</v>
      </c>
      <c r="D4007" s="52">
        <f>IF(Inputs!$C$281="",0,IF(Inputs!$E$281="planned",(Inputs!$D$281+N(INDEX(sc_dpts,1)))*$C4007,Inputs!$D$281))</f>
        <v>0</v>
      </c>
      <c r="E4007" s="53">
        <f>IF(Inputs!$C$281="",0,IF(1+$D4007&gt;0,LN(1+$D4007),0))</f>
        <v>0</v>
      </c>
      <c r="F4007" s="55">
        <f t="shared" si="1451"/>
        <v>0</v>
      </c>
      <c r="G4007" s="55">
        <f>IF($A4007="",0,COUNTIFS(rl_key,Inputs!$J$281,$B$3806:$B$4045,$B4007,$A$3806:$A$4045,"&lt;"&amp;$A4007))</f>
        <v>0</v>
      </c>
      <c r="H4007" s="55">
        <f>IF($A4007="",0,COUNTIFS(Inputs!$J$80:$J$281,Inputs!$J$281,$B$3806:$B4007,$B4007,$A$3806:$A4007,$A4007))</f>
        <v>0</v>
      </c>
      <c r="I4007" s="55">
        <f t="shared" si="1452"/>
        <v>0</v>
      </c>
      <c r="K4007" s="54" t="str">
        <f>IF(Inputs!$C$281="","",IF(Inputs!$E$281="planned",EDATE(Inputs!$C$281,N(INDEX(sc_shift,2))),Inputs!$C$281))</f>
        <v/>
      </c>
      <c r="L4007" s="54" t="str">
        <f t="shared" si="1453"/>
        <v/>
      </c>
      <c r="M4007" s="52">
        <f>IF(N(INDEX(sc_ach,2))=0,IF(Inputs!$G$281="",1,Inputs!$G$281),INDEX(sc_ach,2))</f>
        <v>1</v>
      </c>
      <c r="N4007" s="52">
        <f>IF(Inputs!$C$281="",0,IF(Inputs!$E$281="planned",(Inputs!$D$281+N(INDEX(sc_dpts,2)))*$M4007,Inputs!$D$281))</f>
        <v>0</v>
      </c>
      <c r="O4007" s="53">
        <f>IF(Inputs!$C$281="",0,IF(1+$N4007&gt;0,LN(1+$N4007),0))</f>
        <v>0</v>
      </c>
      <c r="P4007" s="55">
        <f t="shared" si="1454"/>
        <v>0</v>
      </c>
      <c r="Q4007" s="55">
        <f>IF($K4007="",0,COUNTIFS(rl_key,Inputs!$J$281,$L$3806:$L$4045,$L4007,$K$3806:$K$4045,"&lt;"&amp;$K4007))</f>
        <v>0</v>
      </c>
      <c r="R4007" s="55">
        <f>IF($K4007="",0,COUNTIFS(Inputs!$J$80:$J$281,Inputs!$J$281,$L$3806:$L4007,$L4007,$K$3806:$K4007,$K4007))</f>
        <v>0</v>
      </c>
      <c r="S4007" s="55">
        <f t="shared" si="1455"/>
        <v>0</v>
      </c>
      <c r="U4007" s="54" t="str">
        <f>IF(Inputs!$C$281="","",IF(Inputs!$E$281="planned",EDATE(Inputs!$C$281,N(INDEX(sc_shift,3))),Inputs!$C$281))</f>
        <v/>
      </c>
      <c r="V4007" s="54" t="str">
        <f t="shared" si="1456"/>
        <v/>
      </c>
      <c r="W4007" s="52">
        <f>IF(N(INDEX(sc_ach,3))=0,IF(Inputs!$G$281="",1,Inputs!$G$281),INDEX(sc_ach,3))</f>
        <v>1</v>
      </c>
      <c r="X4007" s="52">
        <f>IF(Inputs!$C$281="",0,IF(Inputs!$E$281="planned",(Inputs!$D$281+N(INDEX(sc_dpts,3)))*$W4007,Inputs!$D$281))</f>
        <v>0</v>
      </c>
      <c r="Y4007" s="53">
        <f>IF(Inputs!$C$281="",0,IF(1+$X4007&gt;0,LN(1+$X4007),0))</f>
        <v>0</v>
      </c>
      <c r="Z4007" s="55">
        <f t="shared" si="1457"/>
        <v>0</v>
      </c>
      <c r="AA4007" s="55">
        <f>IF($U4007="",0,COUNTIFS(rl_key,Inputs!$J$281,$V$3806:$V$4045,$V4007,$U$3806:$U$4045,"&lt;"&amp;$U4007))</f>
        <v>0</v>
      </c>
      <c r="AB4007" s="55">
        <f>IF($U4007="",0,COUNTIFS(Inputs!$J$80:$J$281,Inputs!$J$281,$V$3806:$V4007,$V4007,$U$3806:$U4007,$U4007))</f>
        <v>0</v>
      </c>
      <c r="AC4007" s="55">
        <f t="shared" si="1458"/>
        <v>0</v>
      </c>
      <c r="AE4007" s="54" t="str">
        <f>IF(Inputs!$C$281="","",IF(Inputs!$E$281="planned",EDATE(Inputs!$C$281,N(INDEX(sc_shift,4))),Inputs!$C$281))</f>
        <v/>
      </c>
      <c r="AF4007" s="54" t="str">
        <f t="shared" si="1459"/>
        <v/>
      </c>
      <c r="AG4007" s="52">
        <f>IF(N(INDEX(sc_ach,4))=0,IF(Inputs!$G$281="",1,Inputs!$G$281),INDEX(sc_ach,4))</f>
        <v>1</v>
      </c>
      <c r="AH4007" s="52">
        <f>IF(Inputs!$C$281="",0,IF(Inputs!$E$281="planned",(Inputs!$D$281+N(INDEX(sc_dpts,4)))*$AG4007,Inputs!$D$281))</f>
        <v>0</v>
      </c>
      <c r="AI4007" s="53">
        <f>IF(Inputs!$C$281="",0,IF(1+$AH4007&gt;0,LN(1+$AH4007),0))</f>
        <v>0</v>
      </c>
      <c r="AJ4007" s="55">
        <f t="shared" si="1460"/>
        <v>0</v>
      </c>
      <c r="AK4007" s="55">
        <f>IF($AE4007="",0,COUNTIFS(rl_key,Inputs!$J$281,$AF$3806:$AF$4045,$AF4007,$AE$3806:$AE$4045,"&lt;"&amp;$AE4007))</f>
        <v>0</v>
      </c>
      <c r="AL4007" s="55">
        <f>IF($AE4007="",0,COUNTIFS(Inputs!$J$80:$J$281,Inputs!$J$281,$AF$3806:$AF4007,$AF4007,$AE$3806:$AE4007,$AE4007))</f>
        <v>0</v>
      </c>
      <c r="AM4007" s="55">
        <f t="shared" si="1461"/>
        <v>0</v>
      </c>
    </row>
    <row r="4008" spans="1:39" x14ac:dyDescent="0.25">
      <c r="A4008" s="54" t="str">
        <f>IF(Inputs!$C$282="","",IF(Inputs!$E$282="planned",EDATE(Inputs!$C$282,N(INDEX(sc_shift,1))),Inputs!$C$282))</f>
        <v/>
      </c>
      <c r="B4008" s="54" t="str">
        <f t="shared" si="1450"/>
        <v/>
      </c>
      <c r="C4008" s="52">
        <f>IF(N(INDEX(sc_ach,1))=0,IF(Inputs!$G$282="",1,Inputs!$G$282),INDEX(sc_ach,1))</f>
        <v>1</v>
      </c>
      <c r="D4008" s="52">
        <f>IF(Inputs!$C$282="",0,IF(Inputs!$E$282="planned",(Inputs!$D$282+N(INDEX(sc_dpts,1)))*$C4008,Inputs!$D$282))</f>
        <v>0</v>
      </c>
      <c r="E4008" s="53">
        <f>IF(Inputs!$C$282="",0,IF(1+$D4008&gt;0,LN(1+$D4008),0))</f>
        <v>0</v>
      </c>
      <c r="F4008" s="55">
        <f t="shared" si="1451"/>
        <v>0</v>
      </c>
      <c r="G4008" s="55">
        <f>IF($A4008="",0,COUNTIFS(rl_key,Inputs!$J$282,$B$3806:$B$4045,$B4008,$A$3806:$A$4045,"&lt;"&amp;$A4008))</f>
        <v>0</v>
      </c>
      <c r="H4008" s="55">
        <f>IF($A4008="",0,COUNTIFS(Inputs!$J$80:$J$282,Inputs!$J$282,$B$3806:$B4008,$B4008,$A$3806:$A4008,$A4008))</f>
        <v>0</v>
      </c>
      <c r="I4008" s="55">
        <f t="shared" si="1452"/>
        <v>0</v>
      </c>
      <c r="K4008" s="54" t="str">
        <f>IF(Inputs!$C$282="","",IF(Inputs!$E$282="planned",EDATE(Inputs!$C$282,N(INDEX(sc_shift,2))),Inputs!$C$282))</f>
        <v/>
      </c>
      <c r="L4008" s="54" t="str">
        <f t="shared" si="1453"/>
        <v/>
      </c>
      <c r="M4008" s="52">
        <f>IF(N(INDEX(sc_ach,2))=0,IF(Inputs!$G$282="",1,Inputs!$G$282),INDEX(sc_ach,2))</f>
        <v>1</v>
      </c>
      <c r="N4008" s="52">
        <f>IF(Inputs!$C$282="",0,IF(Inputs!$E$282="planned",(Inputs!$D$282+N(INDEX(sc_dpts,2)))*$M4008,Inputs!$D$282))</f>
        <v>0</v>
      </c>
      <c r="O4008" s="53">
        <f>IF(Inputs!$C$282="",0,IF(1+$N4008&gt;0,LN(1+$N4008),0))</f>
        <v>0</v>
      </c>
      <c r="P4008" s="55">
        <f t="shared" si="1454"/>
        <v>0</v>
      </c>
      <c r="Q4008" s="55">
        <f>IF($K4008="",0,COUNTIFS(rl_key,Inputs!$J$282,$L$3806:$L$4045,$L4008,$K$3806:$K$4045,"&lt;"&amp;$K4008))</f>
        <v>0</v>
      </c>
      <c r="R4008" s="55">
        <f>IF($K4008="",0,COUNTIFS(Inputs!$J$80:$J$282,Inputs!$J$282,$L$3806:$L4008,$L4008,$K$3806:$K4008,$K4008))</f>
        <v>0</v>
      </c>
      <c r="S4008" s="55">
        <f t="shared" si="1455"/>
        <v>0</v>
      </c>
      <c r="U4008" s="54" t="str">
        <f>IF(Inputs!$C$282="","",IF(Inputs!$E$282="planned",EDATE(Inputs!$C$282,N(INDEX(sc_shift,3))),Inputs!$C$282))</f>
        <v/>
      </c>
      <c r="V4008" s="54" t="str">
        <f t="shared" si="1456"/>
        <v/>
      </c>
      <c r="W4008" s="52">
        <f>IF(N(INDEX(sc_ach,3))=0,IF(Inputs!$G$282="",1,Inputs!$G$282),INDEX(sc_ach,3))</f>
        <v>1</v>
      </c>
      <c r="X4008" s="52">
        <f>IF(Inputs!$C$282="",0,IF(Inputs!$E$282="planned",(Inputs!$D$282+N(INDEX(sc_dpts,3)))*$W4008,Inputs!$D$282))</f>
        <v>0</v>
      </c>
      <c r="Y4008" s="53">
        <f>IF(Inputs!$C$282="",0,IF(1+$X4008&gt;0,LN(1+$X4008),0))</f>
        <v>0</v>
      </c>
      <c r="Z4008" s="55">
        <f t="shared" si="1457"/>
        <v>0</v>
      </c>
      <c r="AA4008" s="55">
        <f>IF($U4008="",0,COUNTIFS(rl_key,Inputs!$J$282,$V$3806:$V$4045,$V4008,$U$3806:$U$4045,"&lt;"&amp;$U4008))</f>
        <v>0</v>
      </c>
      <c r="AB4008" s="55">
        <f>IF($U4008="",0,COUNTIFS(Inputs!$J$80:$J$282,Inputs!$J$282,$V$3806:$V4008,$V4008,$U$3806:$U4008,$U4008))</f>
        <v>0</v>
      </c>
      <c r="AC4008" s="55">
        <f t="shared" si="1458"/>
        <v>0</v>
      </c>
      <c r="AE4008" s="54" t="str">
        <f>IF(Inputs!$C$282="","",IF(Inputs!$E$282="planned",EDATE(Inputs!$C$282,N(INDEX(sc_shift,4))),Inputs!$C$282))</f>
        <v/>
      </c>
      <c r="AF4008" s="54" t="str">
        <f t="shared" si="1459"/>
        <v/>
      </c>
      <c r="AG4008" s="52">
        <f>IF(N(INDEX(sc_ach,4))=0,IF(Inputs!$G$282="",1,Inputs!$G$282),INDEX(sc_ach,4))</f>
        <v>1</v>
      </c>
      <c r="AH4008" s="52">
        <f>IF(Inputs!$C$282="",0,IF(Inputs!$E$282="planned",(Inputs!$D$282+N(INDEX(sc_dpts,4)))*$AG4008,Inputs!$D$282))</f>
        <v>0</v>
      </c>
      <c r="AI4008" s="53">
        <f>IF(Inputs!$C$282="",0,IF(1+$AH4008&gt;0,LN(1+$AH4008),0))</f>
        <v>0</v>
      </c>
      <c r="AJ4008" s="55">
        <f t="shared" si="1460"/>
        <v>0</v>
      </c>
      <c r="AK4008" s="55">
        <f>IF($AE4008="",0,COUNTIFS(rl_key,Inputs!$J$282,$AF$3806:$AF$4045,$AF4008,$AE$3806:$AE$4045,"&lt;"&amp;$AE4008))</f>
        <v>0</v>
      </c>
      <c r="AL4008" s="55">
        <f>IF($AE4008="",0,COUNTIFS(Inputs!$J$80:$J$282,Inputs!$J$282,$AF$3806:$AF4008,$AF4008,$AE$3806:$AE4008,$AE4008))</f>
        <v>0</v>
      </c>
      <c r="AM4008" s="55">
        <f t="shared" si="1461"/>
        <v>0</v>
      </c>
    </row>
    <row r="4009" spans="1:39" x14ac:dyDescent="0.25">
      <c r="A4009" s="54" t="str">
        <f>IF(Inputs!$C$283="","",IF(Inputs!$E$283="planned",EDATE(Inputs!$C$283,N(INDEX(sc_shift,1))),Inputs!$C$283))</f>
        <v/>
      </c>
      <c r="B4009" s="54" t="str">
        <f t="shared" si="1450"/>
        <v/>
      </c>
      <c r="C4009" s="52">
        <f>IF(N(INDEX(sc_ach,1))=0,IF(Inputs!$G$283="",1,Inputs!$G$283),INDEX(sc_ach,1))</f>
        <v>1</v>
      </c>
      <c r="D4009" s="52">
        <f>IF(Inputs!$C$283="",0,IF(Inputs!$E$283="planned",(Inputs!$D$283+N(INDEX(sc_dpts,1)))*$C4009,Inputs!$D$283))</f>
        <v>0</v>
      </c>
      <c r="E4009" s="53">
        <f>IF(Inputs!$C$283="",0,IF(1+$D4009&gt;0,LN(1+$D4009),0))</f>
        <v>0</v>
      </c>
      <c r="F4009" s="55">
        <f t="shared" si="1451"/>
        <v>0</v>
      </c>
      <c r="G4009" s="55">
        <f>IF($A4009="",0,COUNTIFS(rl_key,Inputs!$J$283,$B$3806:$B$4045,$B4009,$A$3806:$A$4045,"&lt;"&amp;$A4009))</f>
        <v>0</v>
      </c>
      <c r="H4009" s="55">
        <f>IF($A4009="",0,COUNTIFS(Inputs!$J$80:$J$283,Inputs!$J$283,$B$3806:$B4009,$B4009,$A$3806:$A4009,$A4009))</f>
        <v>0</v>
      </c>
      <c r="I4009" s="55">
        <f t="shared" si="1452"/>
        <v>0</v>
      </c>
      <c r="K4009" s="54" t="str">
        <f>IF(Inputs!$C$283="","",IF(Inputs!$E$283="planned",EDATE(Inputs!$C$283,N(INDEX(sc_shift,2))),Inputs!$C$283))</f>
        <v/>
      </c>
      <c r="L4009" s="54" t="str">
        <f t="shared" si="1453"/>
        <v/>
      </c>
      <c r="M4009" s="52">
        <f>IF(N(INDEX(sc_ach,2))=0,IF(Inputs!$G$283="",1,Inputs!$G$283),INDEX(sc_ach,2))</f>
        <v>1</v>
      </c>
      <c r="N4009" s="52">
        <f>IF(Inputs!$C$283="",0,IF(Inputs!$E$283="planned",(Inputs!$D$283+N(INDEX(sc_dpts,2)))*$M4009,Inputs!$D$283))</f>
        <v>0</v>
      </c>
      <c r="O4009" s="53">
        <f>IF(Inputs!$C$283="",0,IF(1+$N4009&gt;0,LN(1+$N4009),0))</f>
        <v>0</v>
      </c>
      <c r="P4009" s="55">
        <f t="shared" si="1454"/>
        <v>0</v>
      </c>
      <c r="Q4009" s="55">
        <f>IF($K4009="",0,COUNTIFS(rl_key,Inputs!$J$283,$L$3806:$L$4045,$L4009,$K$3806:$K$4045,"&lt;"&amp;$K4009))</f>
        <v>0</v>
      </c>
      <c r="R4009" s="55">
        <f>IF($K4009="",0,COUNTIFS(Inputs!$J$80:$J$283,Inputs!$J$283,$L$3806:$L4009,$L4009,$K$3806:$K4009,$K4009))</f>
        <v>0</v>
      </c>
      <c r="S4009" s="55">
        <f t="shared" si="1455"/>
        <v>0</v>
      </c>
      <c r="U4009" s="54" t="str">
        <f>IF(Inputs!$C$283="","",IF(Inputs!$E$283="planned",EDATE(Inputs!$C$283,N(INDEX(sc_shift,3))),Inputs!$C$283))</f>
        <v/>
      </c>
      <c r="V4009" s="54" t="str">
        <f t="shared" si="1456"/>
        <v/>
      </c>
      <c r="W4009" s="52">
        <f>IF(N(INDEX(sc_ach,3))=0,IF(Inputs!$G$283="",1,Inputs!$G$283),INDEX(sc_ach,3))</f>
        <v>1</v>
      </c>
      <c r="X4009" s="52">
        <f>IF(Inputs!$C$283="",0,IF(Inputs!$E$283="planned",(Inputs!$D$283+N(INDEX(sc_dpts,3)))*$W4009,Inputs!$D$283))</f>
        <v>0</v>
      </c>
      <c r="Y4009" s="53">
        <f>IF(Inputs!$C$283="",0,IF(1+$X4009&gt;0,LN(1+$X4009),0))</f>
        <v>0</v>
      </c>
      <c r="Z4009" s="55">
        <f t="shared" si="1457"/>
        <v>0</v>
      </c>
      <c r="AA4009" s="55">
        <f>IF($U4009="",0,COUNTIFS(rl_key,Inputs!$J$283,$V$3806:$V$4045,$V4009,$U$3806:$U$4045,"&lt;"&amp;$U4009))</f>
        <v>0</v>
      </c>
      <c r="AB4009" s="55">
        <f>IF($U4009="",0,COUNTIFS(Inputs!$J$80:$J$283,Inputs!$J$283,$V$3806:$V4009,$V4009,$U$3806:$U4009,$U4009))</f>
        <v>0</v>
      </c>
      <c r="AC4009" s="55">
        <f t="shared" si="1458"/>
        <v>0</v>
      </c>
      <c r="AE4009" s="54" t="str">
        <f>IF(Inputs!$C$283="","",IF(Inputs!$E$283="planned",EDATE(Inputs!$C$283,N(INDEX(sc_shift,4))),Inputs!$C$283))</f>
        <v/>
      </c>
      <c r="AF4009" s="54" t="str">
        <f t="shared" si="1459"/>
        <v/>
      </c>
      <c r="AG4009" s="52">
        <f>IF(N(INDEX(sc_ach,4))=0,IF(Inputs!$G$283="",1,Inputs!$G$283),INDEX(sc_ach,4))</f>
        <v>1</v>
      </c>
      <c r="AH4009" s="52">
        <f>IF(Inputs!$C$283="",0,IF(Inputs!$E$283="planned",(Inputs!$D$283+N(INDEX(sc_dpts,4)))*$AG4009,Inputs!$D$283))</f>
        <v>0</v>
      </c>
      <c r="AI4009" s="53">
        <f>IF(Inputs!$C$283="",0,IF(1+$AH4009&gt;0,LN(1+$AH4009),0))</f>
        <v>0</v>
      </c>
      <c r="AJ4009" s="55">
        <f t="shared" si="1460"/>
        <v>0</v>
      </c>
      <c r="AK4009" s="55">
        <f>IF($AE4009="",0,COUNTIFS(rl_key,Inputs!$J$283,$AF$3806:$AF$4045,$AF4009,$AE$3806:$AE$4045,"&lt;"&amp;$AE4009))</f>
        <v>0</v>
      </c>
      <c r="AL4009" s="55">
        <f>IF($AE4009="",0,COUNTIFS(Inputs!$J$80:$J$283,Inputs!$J$283,$AF$3806:$AF4009,$AF4009,$AE$3806:$AE4009,$AE4009))</f>
        <v>0</v>
      </c>
      <c r="AM4009" s="55">
        <f t="shared" si="1461"/>
        <v>0</v>
      </c>
    </row>
    <row r="4010" spans="1:39" x14ac:dyDescent="0.25">
      <c r="A4010" s="54" t="str">
        <f>IF(Inputs!$C$284="","",IF(Inputs!$E$284="planned",EDATE(Inputs!$C$284,N(INDEX(sc_shift,1))),Inputs!$C$284))</f>
        <v/>
      </c>
      <c r="B4010" s="54" t="str">
        <f t="shared" si="1450"/>
        <v/>
      </c>
      <c r="C4010" s="52">
        <f>IF(N(INDEX(sc_ach,1))=0,IF(Inputs!$G$284="",1,Inputs!$G$284),INDEX(sc_ach,1))</f>
        <v>1</v>
      </c>
      <c r="D4010" s="52">
        <f>IF(Inputs!$C$284="",0,IF(Inputs!$E$284="planned",(Inputs!$D$284+N(INDEX(sc_dpts,1)))*$C4010,Inputs!$D$284))</f>
        <v>0</v>
      </c>
      <c r="E4010" s="53">
        <f>IF(Inputs!$C$284="",0,IF(1+$D4010&gt;0,LN(1+$D4010),0))</f>
        <v>0</v>
      </c>
      <c r="F4010" s="55">
        <f t="shared" si="1451"/>
        <v>0</v>
      </c>
      <c r="G4010" s="55">
        <f>IF($A4010="",0,COUNTIFS(rl_key,Inputs!$J$284,$B$3806:$B$4045,$B4010,$A$3806:$A$4045,"&lt;"&amp;$A4010))</f>
        <v>0</v>
      </c>
      <c r="H4010" s="55">
        <f>IF($A4010="",0,COUNTIFS(Inputs!$J$80:$J$284,Inputs!$J$284,$B$3806:$B4010,$B4010,$A$3806:$A4010,$A4010))</f>
        <v>0</v>
      </c>
      <c r="I4010" s="55">
        <f t="shared" si="1452"/>
        <v>0</v>
      </c>
      <c r="K4010" s="54" t="str">
        <f>IF(Inputs!$C$284="","",IF(Inputs!$E$284="planned",EDATE(Inputs!$C$284,N(INDEX(sc_shift,2))),Inputs!$C$284))</f>
        <v/>
      </c>
      <c r="L4010" s="54" t="str">
        <f t="shared" si="1453"/>
        <v/>
      </c>
      <c r="M4010" s="52">
        <f>IF(N(INDEX(sc_ach,2))=0,IF(Inputs!$G$284="",1,Inputs!$G$284),INDEX(sc_ach,2))</f>
        <v>1</v>
      </c>
      <c r="N4010" s="52">
        <f>IF(Inputs!$C$284="",0,IF(Inputs!$E$284="planned",(Inputs!$D$284+N(INDEX(sc_dpts,2)))*$M4010,Inputs!$D$284))</f>
        <v>0</v>
      </c>
      <c r="O4010" s="53">
        <f>IF(Inputs!$C$284="",0,IF(1+$N4010&gt;0,LN(1+$N4010),0))</f>
        <v>0</v>
      </c>
      <c r="P4010" s="55">
        <f t="shared" si="1454"/>
        <v>0</v>
      </c>
      <c r="Q4010" s="55">
        <f>IF($K4010="",0,COUNTIFS(rl_key,Inputs!$J$284,$L$3806:$L$4045,$L4010,$K$3806:$K$4045,"&lt;"&amp;$K4010))</f>
        <v>0</v>
      </c>
      <c r="R4010" s="55">
        <f>IF($K4010="",0,COUNTIFS(Inputs!$J$80:$J$284,Inputs!$J$284,$L$3806:$L4010,$L4010,$K$3806:$K4010,$K4010))</f>
        <v>0</v>
      </c>
      <c r="S4010" s="55">
        <f t="shared" si="1455"/>
        <v>0</v>
      </c>
      <c r="U4010" s="54" t="str">
        <f>IF(Inputs!$C$284="","",IF(Inputs!$E$284="planned",EDATE(Inputs!$C$284,N(INDEX(sc_shift,3))),Inputs!$C$284))</f>
        <v/>
      </c>
      <c r="V4010" s="54" t="str">
        <f t="shared" si="1456"/>
        <v/>
      </c>
      <c r="W4010" s="52">
        <f>IF(N(INDEX(sc_ach,3))=0,IF(Inputs!$G$284="",1,Inputs!$G$284),INDEX(sc_ach,3))</f>
        <v>1</v>
      </c>
      <c r="X4010" s="52">
        <f>IF(Inputs!$C$284="",0,IF(Inputs!$E$284="planned",(Inputs!$D$284+N(INDEX(sc_dpts,3)))*$W4010,Inputs!$D$284))</f>
        <v>0</v>
      </c>
      <c r="Y4010" s="53">
        <f>IF(Inputs!$C$284="",0,IF(1+$X4010&gt;0,LN(1+$X4010),0))</f>
        <v>0</v>
      </c>
      <c r="Z4010" s="55">
        <f t="shared" si="1457"/>
        <v>0</v>
      </c>
      <c r="AA4010" s="55">
        <f>IF($U4010="",0,COUNTIFS(rl_key,Inputs!$J$284,$V$3806:$V$4045,$V4010,$U$3806:$U$4045,"&lt;"&amp;$U4010))</f>
        <v>0</v>
      </c>
      <c r="AB4010" s="55">
        <f>IF($U4010="",0,COUNTIFS(Inputs!$J$80:$J$284,Inputs!$J$284,$V$3806:$V4010,$V4010,$U$3806:$U4010,$U4010))</f>
        <v>0</v>
      </c>
      <c r="AC4010" s="55">
        <f t="shared" si="1458"/>
        <v>0</v>
      </c>
      <c r="AE4010" s="54" t="str">
        <f>IF(Inputs!$C$284="","",IF(Inputs!$E$284="planned",EDATE(Inputs!$C$284,N(INDEX(sc_shift,4))),Inputs!$C$284))</f>
        <v/>
      </c>
      <c r="AF4010" s="54" t="str">
        <f t="shared" si="1459"/>
        <v/>
      </c>
      <c r="AG4010" s="52">
        <f>IF(N(INDEX(sc_ach,4))=0,IF(Inputs!$G$284="",1,Inputs!$G$284),INDEX(sc_ach,4))</f>
        <v>1</v>
      </c>
      <c r="AH4010" s="52">
        <f>IF(Inputs!$C$284="",0,IF(Inputs!$E$284="planned",(Inputs!$D$284+N(INDEX(sc_dpts,4)))*$AG4010,Inputs!$D$284))</f>
        <v>0</v>
      </c>
      <c r="AI4010" s="53">
        <f>IF(Inputs!$C$284="",0,IF(1+$AH4010&gt;0,LN(1+$AH4010),0))</f>
        <v>0</v>
      </c>
      <c r="AJ4010" s="55">
        <f t="shared" si="1460"/>
        <v>0</v>
      </c>
      <c r="AK4010" s="55">
        <f>IF($AE4010="",0,COUNTIFS(rl_key,Inputs!$J$284,$AF$3806:$AF$4045,$AF4010,$AE$3806:$AE$4045,"&lt;"&amp;$AE4010))</f>
        <v>0</v>
      </c>
      <c r="AL4010" s="55">
        <f>IF($AE4010="",0,COUNTIFS(Inputs!$J$80:$J$284,Inputs!$J$284,$AF$3806:$AF4010,$AF4010,$AE$3806:$AE4010,$AE4010))</f>
        <v>0</v>
      </c>
      <c r="AM4010" s="55">
        <f t="shared" si="1461"/>
        <v>0</v>
      </c>
    </row>
    <row r="4011" spans="1:39" x14ac:dyDescent="0.25">
      <c r="A4011" s="54" t="str">
        <f>IF(Inputs!$C$285="","",IF(Inputs!$E$285="planned",EDATE(Inputs!$C$285,N(INDEX(sc_shift,1))),Inputs!$C$285))</f>
        <v/>
      </c>
      <c r="B4011" s="54" t="str">
        <f t="shared" si="1450"/>
        <v/>
      </c>
      <c r="C4011" s="52">
        <f>IF(N(INDEX(sc_ach,1))=0,IF(Inputs!$G$285="",1,Inputs!$G$285),INDEX(sc_ach,1))</f>
        <v>1</v>
      </c>
      <c r="D4011" s="52">
        <f>IF(Inputs!$C$285="",0,IF(Inputs!$E$285="planned",(Inputs!$D$285+N(INDEX(sc_dpts,1)))*$C4011,Inputs!$D$285))</f>
        <v>0</v>
      </c>
      <c r="E4011" s="53">
        <f>IF(Inputs!$C$285="",0,IF(1+$D4011&gt;0,LN(1+$D4011),0))</f>
        <v>0</v>
      </c>
      <c r="F4011" s="55">
        <f t="shared" si="1451"/>
        <v>0</v>
      </c>
      <c r="G4011" s="55">
        <f>IF($A4011="",0,COUNTIFS(rl_key,Inputs!$J$285,$B$3806:$B$4045,$B4011,$A$3806:$A$4045,"&lt;"&amp;$A4011))</f>
        <v>0</v>
      </c>
      <c r="H4011" s="55">
        <f>IF($A4011="",0,COUNTIFS(Inputs!$J$80:$J$285,Inputs!$J$285,$B$3806:$B4011,$B4011,$A$3806:$A4011,$A4011))</f>
        <v>0</v>
      </c>
      <c r="I4011" s="55">
        <f t="shared" si="1452"/>
        <v>0</v>
      </c>
      <c r="K4011" s="54" t="str">
        <f>IF(Inputs!$C$285="","",IF(Inputs!$E$285="planned",EDATE(Inputs!$C$285,N(INDEX(sc_shift,2))),Inputs!$C$285))</f>
        <v/>
      </c>
      <c r="L4011" s="54" t="str">
        <f t="shared" si="1453"/>
        <v/>
      </c>
      <c r="M4011" s="52">
        <f>IF(N(INDEX(sc_ach,2))=0,IF(Inputs!$G$285="",1,Inputs!$G$285),INDEX(sc_ach,2))</f>
        <v>1</v>
      </c>
      <c r="N4011" s="52">
        <f>IF(Inputs!$C$285="",0,IF(Inputs!$E$285="planned",(Inputs!$D$285+N(INDEX(sc_dpts,2)))*$M4011,Inputs!$D$285))</f>
        <v>0</v>
      </c>
      <c r="O4011" s="53">
        <f>IF(Inputs!$C$285="",0,IF(1+$N4011&gt;0,LN(1+$N4011),0))</f>
        <v>0</v>
      </c>
      <c r="P4011" s="55">
        <f t="shared" si="1454"/>
        <v>0</v>
      </c>
      <c r="Q4011" s="55">
        <f>IF($K4011="",0,COUNTIFS(rl_key,Inputs!$J$285,$L$3806:$L$4045,$L4011,$K$3806:$K$4045,"&lt;"&amp;$K4011))</f>
        <v>0</v>
      </c>
      <c r="R4011" s="55">
        <f>IF($K4011="",0,COUNTIFS(Inputs!$J$80:$J$285,Inputs!$J$285,$L$3806:$L4011,$L4011,$K$3806:$K4011,$K4011))</f>
        <v>0</v>
      </c>
      <c r="S4011" s="55">
        <f t="shared" si="1455"/>
        <v>0</v>
      </c>
      <c r="U4011" s="54" t="str">
        <f>IF(Inputs!$C$285="","",IF(Inputs!$E$285="planned",EDATE(Inputs!$C$285,N(INDEX(sc_shift,3))),Inputs!$C$285))</f>
        <v/>
      </c>
      <c r="V4011" s="54" t="str">
        <f t="shared" si="1456"/>
        <v/>
      </c>
      <c r="W4011" s="52">
        <f>IF(N(INDEX(sc_ach,3))=0,IF(Inputs!$G$285="",1,Inputs!$G$285),INDEX(sc_ach,3))</f>
        <v>1</v>
      </c>
      <c r="X4011" s="52">
        <f>IF(Inputs!$C$285="",0,IF(Inputs!$E$285="planned",(Inputs!$D$285+N(INDEX(sc_dpts,3)))*$W4011,Inputs!$D$285))</f>
        <v>0</v>
      </c>
      <c r="Y4011" s="53">
        <f>IF(Inputs!$C$285="",0,IF(1+$X4011&gt;0,LN(1+$X4011),0))</f>
        <v>0</v>
      </c>
      <c r="Z4011" s="55">
        <f t="shared" si="1457"/>
        <v>0</v>
      </c>
      <c r="AA4011" s="55">
        <f>IF($U4011="",0,COUNTIFS(rl_key,Inputs!$J$285,$V$3806:$V$4045,$V4011,$U$3806:$U$4045,"&lt;"&amp;$U4011))</f>
        <v>0</v>
      </c>
      <c r="AB4011" s="55">
        <f>IF($U4011="",0,COUNTIFS(Inputs!$J$80:$J$285,Inputs!$J$285,$V$3806:$V4011,$V4011,$U$3806:$U4011,$U4011))</f>
        <v>0</v>
      </c>
      <c r="AC4011" s="55">
        <f t="shared" si="1458"/>
        <v>0</v>
      </c>
      <c r="AE4011" s="54" t="str">
        <f>IF(Inputs!$C$285="","",IF(Inputs!$E$285="planned",EDATE(Inputs!$C$285,N(INDEX(sc_shift,4))),Inputs!$C$285))</f>
        <v/>
      </c>
      <c r="AF4011" s="54" t="str">
        <f t="shared" si="1459"/>
        <v/>
      </c>
      <c r="AG4011" s="52">
        <f>IF(N(INDEX(sc_ach,4))=0,IF(Inputs!$G$285="",1,Inputs!$G$285),INDEX(sc_ach,4))</f>
        <v>1</v>
      </c>
      <c r="AH4011" s="52">
        <f>IF(Inputs!$C$285="",0,IF(Inputs!$E$285="planned",(Inputs!$D$285+N(INDEX(sc_dpts,4)))*$AG4011,Inputs!$D$285))</f>
        <v>0</v>
      </c>
      <c r="AI4011" s="53">
        <f>IF(Inputs!$C$285="",0,IF(1+$AH4011&gt;0,LN(1+$AH4011),0))</f>
        <v>0</v>
      </c>
      <c r="AJ4011" s="55">
        <f t="shared" si="1460"/>
        <v>0</v>
      </c>
      <c r="AK4011" s="55">
        <f>IF($AE4011="",0,COUNTIFS(rl_key,Inputs!$J$285,$AF$3806:$AF$4045,$AF4011,$AE$3806:$AE$4045,"&lt;"&amp;$AE4011))</f>
        <v>0</v>
      </c>
      <c r="AL4011" s="55">
        <f>IF($AE4011="",0,COUNTIFS(Inputs!$J$80:$J$285,Inputs!$J$285,$AF$3806:$AF4011,$AF4011,$AE$3806:$AE4011,$AE4011))</f>
        <v>0</v>
      </c>
      <c r="AM4011" s="55">
        <f t="shared" si="1461"/>
        <v>0</v>
      </c>
    </row>
    <row r="4012" spans="1:39" x14ac:dyDescent="0.25">
      <c r="A4012" s="54" t="str">
        <f>IF(Inputs!$C$286="","",IF(Inputs!$E$286="planned",EDATE(Inputs!$C$286,N(INDEX(sc_shift,1))),Inputs!$C$286))</f>
        <v/>
      </c>
      <c r="B4012" s="54" t="str">
        <f t="shared" si="1450"/>
        <v/>
      </c>
      <c r="C4012" s="52">
        <f>IF(N(INDEX(sc_ach,1))=0,IF(Inputs!$G$286="",1,Inputs!$G$286),INDEX(sc_ach,1))</f>
        <v>1</v>
      </c>
      <c r="D4012" s="52">
        <f>IF(Inputs!$C$286="",0,IF(Inputs!$E$286="planned",(Inputs!$D$286+N(INDEX(sc_dpts,1)))*$C4012,Inputs!$D$286))</f>
        <v>0</v>
      </c>
      <c r="E4012" s="53">
        <f>IF(Inputs!$C$286="",0,IF(1+$D4012&gt;0,LN(1+$D4012),0))</f>
        <v>0</v>
      </c>
      <c r="F4012" s="55">
        <f t="shared" si="1451"/>
        <v>0</v>
      </c>
      <c r="G4012" s="55">
        <f>IF($A4012="",0,COUNTIFS(rl_key,Inputs!$J$286,$B$3806:$B$4045,$B4012,$A$3806:$A$4045,"&lt;"&amp;$A4012))</f>
        <v>0</v>
      </c>
      <c r="H4012" s="55">
        <f>IF($A4012="",0,COUNTIFS(Inputs!$J$80:$J$286,Inputs!$J$286,$B$3806:$B4012,$B4012,$A$3806:$A4012,$A4012))</f>
        <v>0</v>
      </c>
      <c r="I4012" s="55">
        <f t="shared" si="1452"/>
        <v>0</v>
      </c>
      <c r="K4012" s="54" t="str">
        <f>IF(Inputs!$C$286="","",IF(Inputs!$E$286="planned",EDATE(Inputs!$C$286,N(INDEX(sc_shift,2))),Inputs!$C$286))</f>
        <v/>
      </c>
      <c r="L4012" s="54" t="str">
        <f t="shared" si="1453"/>
        <v/>
      </c>
      <c r="M4012" s="52">
        <f>IF(N(INDEX(sc_ach,2))=0,IF(Inputs!$G$286="",1,Inputs!$G$286),INDEX(sc_ach,2))</f>
        <v>1</v>
      </c>
      <c r="N4012" s="52">
        <f>IF(Inputs!$C$286="",0,IF(Inputs!$E$286="planned",(Inputs!$D$286+N(INDEX(sc_dpts,2)))*$M4012,Inputs!$D$286))</f>
        <v>0</v>
      </c>
      <c r="O4012" s="53">
        <f>IF(Inputs!$C$286="",0,IF(1+$N4012&gt;0,LN(1+$N4012),0))</f>
        <v>0</v>
      </c>
      <c r="P4012" s="55">
        <f t="shared" si="1454"/>
        <v>0</v>
      </c>
      <c r="Q4012" s="55">
        <f>IF($K4012="",0,COUNTIFS(rl_key,Inputs!$J$286,$L$3806:$L$4045,$L4012,$K$3806:$K$4045,"&lt;"&amp;$K4012))</f>
        <v>0</v>
      </c>
      <c r="R4012" s="55">
        <f>IF($K4012="",0,COUNTIFS(Inputs!$J$80:$J$286,Inputs!$J$286,$L$3806:$L4012,$L4012,$K$3806:$K4012,$K4012))</f>
        <v>0</v>
      </c>
      <c r="S4012" s="55">
        <f t="shared" si="1455"/>
        <v>0</v>
      </c>
      <c r="U4012" s="54" t="str">
        <f>IF(Inputs!$C$286="","",IF(Inputs!$E$286="planned",EDATE(Inputs!$C$286,N(INDEX(sc_shift,3))),Inputs!$C$286))</f>
        <v/>
      </c>
      <c r="V4012" s="54" t="str">
        <f t="shared" si="1456"/>
        <v/>
      </c>
      <c r="W4012" s="52">
        <f>IF(N(INDEX(sc_ach,3))=0,IF(Inputs!$G$286="",1,Inputs!$G$286),INDEX(sc_ach,3))</f>
        <v>1</v>
      </c>
      <c r="X4012" s="52">
        <f>IF(Inputs!$C$286="",0,IF(Inputs!$E$286="planned",(Inputs!$D$286+N(INDEX(sc_dpts,3)))*$W4012,Inputs!$D$286))</f>
        <v>0</v>
      </c>
      <c r="Y4012" s="53">
        <f>IF(Inputs!$C$286="",0,IF(1+$X4012&gt;0,LN(1+$X4012),0))</f>
        <v>0</v>
      </c>
      <c r="Z4012" s="55">
        <f t="shared" si="1457"/>
        <v>0</v>
      </c>
      <c r="AA4012" s="55">
        <f>IF($U4012="",0,COUNTIFS(rl_key,Inputs!$J$286,$V$3806:$V$4045,$V4012,$U$3806:$U$4045,"&lt;"&amp;$U4012))</f>
        <v>0</v>
      </c>
      <c r="AB4012" s="55">
        <f>IF($U4012="",0,COUNTIFS(Inputs!$J$80:$J$286,Inputs!$J$286,$V$3806:$V4012,$V4012,$U$3806:$U4012,$U4012))</f>
        <v>0</v>
      </c>
      <c r="AC4012" s="55">
        <f t="shared" si="1458"/>
        <v>0</v>
      </c>
      <c r="AE4012" s="54" t="str">
        <f>IF(Inputs!$C$286="","",IF(Inputs!$E$286="planned",EDATE(Inputs!$C$286,N(INDEX(sc_shift,4))),Inputs!$C$286))</f>
        <v/>
      </c>
      <c r="AF4012" s="54" t="str">
        <f t="shared" si="1459"/>
        <v/>
      </c>
      <c r="AG4012" s="52">
        <f>IF(N(INDEX(sc_ach,4))=0,IF(Inputs!$G$286="",1,Inputs!$G$286),INDEX(sc_ach,4))</f>
        <v>1</v>
      </c>
      <c r="AH4012" s="52">
        <f>IF(Inputs!$C$286="",0,IF(Inputs!$E$286="planned",(Inputs!$D$286+N(INDEX(sc_dpts,4)))*$AG4012,Inputs!$D$286))</f>
        <v>0</v>
      </c>
      <c r="AI4012" s="53">
        <f>IF(Inputs!$C$286="",0,IF(1+$AH4012&gt;0,LN(1+$AH4012),0))</f>
        <v>0</v>
      </c>
      <c r="AJ4012" s="55">
        <f t="shared" si="1460"/>
        <v>0</v>
      </c>
      <c r="AK4012" s="55">
        <f>IF($AE4012="",0,COUNTIFS(rl_key,Inputs!$J$286,$AF$3806:$AF$4045,$AF4012,$AE$3806:$AE$4045,"&lt;"&amp;$AE4012))</f>
        <v>0</v>
      </c>
      <c r="AL4012" s="55">
        <f>IF($AE4012="",0,COUNTIFS(Inputs!$J$80:$J$286,Inputs!$J$286,$AF$3806:$AF4012,$AF4012,$AE$3806:$AE4012,$AE4012))</f>
        <v>0</v>
      </c>
      <c r="AM4012" s="55">
        <f t="shared" si="1461"/>
        <v>0</v>
      </c>
    </row>
    <row r="4013" spans="1:39" x14ac:dyDescent="0.25">
      <c r="A4013" s="54" t="str">
        <f>IF(Inputs!$C$287="","",IF(Inputs!$E$287="planned",EDATE(Inputs!$C$287,N(INDEX(sc_shift,1))),Inputs!$C$287))</f>
        <v/>
      </c>
      <c r="B4013" s="54" t="str">
        <f t="shared" si="1450"/>
        <v/>
      </c>
      <c r="C4013" s="52">
        <f>IF(N(INDEX(sc_ach,1))=0,IF(Inputs!$G$287="",1,Inputs!$G$287),INDEX(sc_ach,1))</f>
        <v>1</v>
      </c>
      <c r="D4013" s="52">
        <f>IF(Inputs!$C$287="",0,IF(Inputs!$E$287="planned",(Inputs!$D$287+N(INDEX(sc_dpts,1)))*$C4013,Inputs!$D$287))</f>
        <v>0</v>
      </c>
      <c r="E4013" s="53">
        <f>IF(Inputs!$C$287="",0,IF(1+$D4013&gt;0,LN(1+$D4013),0))</f>
        <v>0</v>
      </c>
      <c r="F4013" s="55">
        <f t="shared" si="1451"/>
        <v>0</v>
      </c>
      <c r="G4013" s="55">
        <f>IF($A4013="",0,COUNTIFS(rl_key,Inputs!$J$287,$B$3806:$B$4045,$B4013,$A$3806:$A$4045,"&lt;"&amp;$A4013))</f>
        <v>0</v>
      </c>
      <c r="H4013" s="55">
        <f>IF($A4013="",0,COUNTIFS(Inputs!$J$80:$J$287,Inputs!$J$287,$B$3806:$B4013,$B4013,$A$3806:$A4013,$A4013))</f>
        <v>0</v>
      </c>
      <c r="I4013" s="55">
        <f t="shared" si="1452"/>
        <v>0</v>
      </c>
      <c r="K4013" s="54" t="str">
        <f>IF(Inputs!$C$287="","",IF(Inputs!$E$287="planned",EDATE(Inputs!$C$287,N(INDEX(sc_shift,2))),Inputs!$C$287))</f>
        <v/>
      </c>
      <c r="L4013" s="54" t="str">
        <f t="shared" si="1453"/>
        <v/>
      </c>
      <c r="M4013" s="52">
        <f>IF(N(INDEX(sc_ach,2))=0,IF(Inputs!$G$287="",1,Inputs!$G$287),INDEX(sc_ach,2))</f>
        <v>1</v>
      </c>
      <c r="N4013" s="52">
        <f>IF(Inputs!$C$287="",0,IF(Inputs!$E$287="planned",(Inputs!$D$287+N(INDEX(sc_dpts,2)))*$M4013,Inputs!$D$287))</f>
        <v>0</v>
      </c>
      <c r="O4013" s="53">
        <f>IF(Inputs!$C$287="",0,IF(1+$N4013&gt;0,LN(1+$N4013),0))</f>
        <v>0</v>
      </c>
      <c r="P4013" s="55">
        <f t="shared" si="1454"/>
        <v>0</v>
      </c>
      <c r="Q4013" s="55">
        <f>IF($K4013="",0,COUNTIFS(rl_key,Inputs!$J$287,$L$3806:$L$4045,$L4013,$K$3806:$K$4045,"&lt;"&amp;$K4013))</f>
        <v>0</v>
      </c>
      <c r="R4013" s="55">
        <f>IF($K4013="",0,COUNTIFS(Inputs!$J$80:$J$287,Inputs!$J$287,$L$3806:$L4013,$L4013,$K$3806:$K4013,$K4013))</f>
        <v>0</v>
      </c>
      <c r="S4013" s="55">
        <f t="shared" si="1455"/>
        <v>0</v>
      </c>
      <c r="U4013" s="54" t="str">
        <f>IF(Inputs!$C$287="","",IF(Inputs!$E$287="planned",EDATE(Inputs!$C$287,N(INDEX(sc_shift,3))),Inputs!$C$287))</f>
        <v/>
      </c>
      <c r="V4013" s="54" t="str">
        <f t="shared" si="1456"/>
        <v/>
      </c>
      <c r="W4013" s="52">
        <f>IF(N(INDEX(sc_ach,3))=0,IF(Inputs!$G$287="",1,Inputs!$G$287),INDEX(sc_ach,3))</f>
        <v>1</v>
      </c>
      <c r="X4013" s="52">
        <f>IF(Inputs!$C$287="",0,IF(Inputs!$E$287="planned",(Inputs!$D$287+N(INDEX(sc_dpts,3)))*$W4013,Inputs!$D$287))</f>
        <v>0</v>
      </c>
      <c r="Y4013" s="53">
        <f>IF(Inputs!$C$287="",0,IF(1+$X4013&gt;0,LN(1+$X4013),0))</f>
        <v>0</v>
      </c>
      <c r="Z4013" s="55">
        <f t="shared" si="1457"/>
        <v>0</v>
      </c>
      <c r="AA4013" s="55">
        <f>IF($U4013="",0,COUNTIFS(rl_key,Inputs!$J$287,$V$3806:$V$4045,$V4013,$U$3806:$U$4045,"&lt;"&amp;$U4013))</f>
        <v>0</v>
      </c>
      <c r="AB4013" s="55">
        <f>IF($U4013="",0,COUNTIFS(Inputs!$J$80:$J$287,Inputs!$J$287,$V$3806:$V4013,$V4013,$U$3806:$U4013,$U4013))</f>
        <v>0</v>
      </c>
      <c r="AC4013" s="55">
        <f t="shared" si="1458"/>
        <v>0</v>
      </c>
      <c r="AE4013" s="54" t="str">
        <f>IF(Inputs!$C$287="","",IF(Inputs!$E$287="planned",EDATE(Inputs!$C$287,N(INDEX(sc_shift,4))),Inputs!$C$287))</f>
        <v/>
      </c>
      <c r="AF4013" s="54" t="str">
        <f t="shared" si="1459"/>
        <v/>
      </c>
      <c r="AG4013" s="52">
        <f>IF(N(INDEX(sc_ach,4))=0,IF(Inputs!$G$287="",1,Inputs!$G$287),INDEX(sc_ach,4))</f>
        <v>1</v>
      </c>
      <c r="AH4013" s="52">
        <f>IF(Inputs!$C$287="",0,IF(Inputs!$E$287="planned",(Inputs!$D$287+N(INDEX(sc_dpts,4)))*$AG4013,Inputs!$D$287))</f>
        <v>0</v>
      </c>
      <c r="AI4013" s="53">
        <f>IF(Inputs!$C$287="",0,IF(1+$AH4013&gt;0,LN(1+$AH4013),0))</f>
        <v>0</v>
      </c>
      <c r="AJ4013" s="55">
        <f t="shared" si="1460"/>
        <v>0</v>
      </c>
      <c r="AK4013" s="55">
        <f>IF($AE4013="",0,COUNTIFS(rl_key,Inputs!$J$287,$AF$3806:$AF$4045,$AF4013,$AE$3806:$AE$4045,"&lt;"&amp;$AE4013))</f>
        <v>0</v>
      </c>
      <c r="AL4013" s="55">
        <f>IF($AE4013="",0,COUNTIFS(Inputs!$J$80:$J$287,Inputs!$J$287,$AF$3806:$AF4013,$AF4013,$AE$3806:$AE4013,$AE4013))</f>
        <v>0</v>
      </c>
      <c r="AM4013" s="55">
        <f t="shared" si="1461"/>
        <v>0</v>
      </c>
    </row>
    <row r="4014" spans="1:39" x14ac:dyDescent="0.25">
      <c r="A4014" s="54" t="str">
        <f>IF(Inputs!$C$288="","",IF(Inputs!$E$288="planned",EDATE(Inputs!$C$288,N(INDEX(sc_shift,1))),Inputs!$C$288))</f>
        <v/>
      </c>
      <c r="B4014" s="54" t="str">
        <f t="shared" si="1450"/>
        <v/>
      </c>
      <c r="C4014" s="52">
        <f>IF(N(INDEX(sc_ach,1))=0,IF(Inputs!$G$288="",1,Inputs!$G$288),INDEX(sc_ach,1))</f>
        <v>1</v>
      </c>
      <c r="D4014" s="52">
        <f>IF(Inputs!$C$288="",0,IF(Inputs!$E$288="planned",(Inputs!$D$288+N(INDEX(sc_dpts,1)))*$C4014,Inputs!$D$288))</f>
        <v>0</v>
      </c>
      <c r="E4014" s="53">
        <f>IF(Inputs!$C$288="",0,IF(1+$D4014&gt;0,LN(1+$D4014),0))</f>
        <v>0</v>
      </c>
      <c r="F4014" s="55">
        <f t="shared" si="1451"/>
        <v>0</v>
      </c>
      <c r="G4014" s="55">
        <f>IF($A4014="",0,COUNTIFS(rl_key,Inputs!$J$288,$B$3806:$B$4045,$B4014,$A$3806:$A$4045,"&lt;"&amp;$A4014))</f>
        <v>0</v>
      </c>
      <c r="H4014" s="55">
        <f>IF($A4014="",0,COUNTIFS(Inputs!$J$80:$J$288,Inputs!$J$288,$B$3806:$B4014,$B4014,$A$3806:$A4014,$A4014))</f>
        <v>0</v>
      </c>
      <c r="I4014" s="55">
        <f t="shared" si="1452"/>
        <v>0</v>
      </c>
      <c r="K4014" s="54" t="str">
        <f>IF(Inputs!$C$288="","",IF(Inputs!$E$288="planned",EDATE(Inputs!$C$288,N(INDEX(sc_shift,2))),Inputs!$C$288))</f>
        <v/>
      </c>
      <c r="L4014" s="54" t="str">
        <f t="shared" si="1453"/>
        <v/>
      </c>
      <c r="M4014" s="52">
        <f>IF(N(INDEX(sc_ach,2))=0,IF(Inputs!$G$288="",1,Inputs!$G$288),INDEX(sc_ach,2))</f>
        <v>1</v>
      </c>
      <c r="N4014" s="52">
        <f>IF(Inputs!$C$288="",0,IF(Inputs!$E$288="planned",(Inputs!$D$288+N(INDEX(sc_dpts,2)))*$M4014,Inputs!$D$288))</f>
        <v>0</v>
      </c>
      <c r="O4014" s="53">
        <f>IF(Inputs!$C$288="",0,IF(1+$N4014&gt;0,LN(1+$N4014),0))</f>
        <v>0</v>
      </c>
      <c r="P4014" s="55">
        <f t="shared" si="1454"/>
        <v>0</v>
      </c>
      <c r="Q4014" s="55">
        <f>IF($K4014="",0,COUNTIFS(rl_key,Inputs!$J$288,$L$3806:$L$4045,$L4014,$K$3806:$K$4045,"&lt;"&amp;$K4014))</f>
        <v>0</v>
      </c>
      <c r="R4014" s="55">
        <f>IF($K4014="",0,COUNTIFS(Inputs!$J$80:$J$288,Inputs!$J$288,$L$3806:$L4014,$L4014,$K$3806:$K4014,$K4014))</f>
        <v>0</v>
      </c>
      <c r="S4014" s="55">
        <f t="shared" si="1455"/>
        <v>0</v>
      </c>
      <c r="U4014" s="54" t="str">
        <f>IF(Inputs!$C$288="","",IF(Inputs!$E$288="planned",EDATE(Inputs!$C$288,N(INDEX(sc_shift,3))),Inputs!$C$288))</f>
        <v/>
      </c>
      <c r="V4014" s="54" t="str">
        <f t="shared" si="1456"/>
        <v/>
      </c>
      <c r="W4014" s="52">
        <f>IF(N(INDEX(sc_ach,3))=0,IF(Inputs!$G$288="",1,Inputs!$G$288),INDEX(sc_ach,3))</f>
        <v>1</v>
      </c>
      <c r="X4014" s="52">
        <f>IF(Inputs!$C$288="",0,IF(Inputs!$E$288="planned",(Inputs!$D$288+N(INDEX(sc_dpts,3)))*$W4014,Inputs!$D$288))</f>
        <v>0</v>
      </c>
      <c r="Y4014" s="53">
        <f>IF(Inputs!$C$288="",0,IF(1+$X4014&gt;0,LN(1+$X4014),0))</f>
        <v>0</v>
      </c>
      <c r="Z4014" s="55">
        <f t="shared" si="1457"/>
        <v>0</v>
      </c>
      <c r="AA4014" s="55">
        <f>IF($U4014="",0,COUNTIFS(rl_key,Inputs!$J$288,$V$3806:$V$4045,$V4014,$U$3806:$U$4045,"&lt;"&amp;$U4014))</f>
        <v>0</v>
      </c>
      <c r="AB4014" s="55">
        <f>IF($U4014="",0,COUNTIFS(Inputs!$J$80:$J$288,Inputs!$J$288,$V$3806:$V4014,$V4014,$U$3806:$U4014,$U4014))</f>
        <v>0</v>
      </c>
      <c r="AC4014" s="55">
        <f t="shared" si="1458"/>
        <v>0</v>
      </c>
      <c r="AE4014" s="54" t="str">
        <f>IF(Inputs!$C$288="","",IF(Inputs!$E$288="planned",EDATE(Inputs!$C$288,N(INDEX(sc_shift,4))),Inputs!$C$288))</f>
        <v/>
      </c>
      <c r="AF4014" s="54" t="str">
        <f t="shared" si="1459"/>
        <v/>
      </c>
      <c r="AG4014" s="52">
        <f>IF(N(INDEX(sc_ach,4))=0,IF(Inputs!$G$288="",1,Inputs!$G$288),INDEX(sc_ach,4))</f>
        <v>1</v>
      </c>
      <c r="AH4014" s="52">
        <f>IF(Inputs!$C$288="",0,IF(Inputs!$E$288="planned",(Inputs!$D$288+N(INDEX(sc_dpts,4)))*$AG4014,Inputs!$D$288))</f>
        <v>0</v>
      </c>
      <c r="AI4014" s="53">
        <f>IF(Inputs!$C$288="",0,IF(1+$AH4014&gt;0,LN(1+$AH4014),0))</f>
        <v>0</v>
      </c>
      <c r="AJ4014" s="55">
        <f t="shared" si="1460"/>
        <v>0</v>
      </c>
      <c r="AK4014" s="55">
        <f>IF($AE4014="",0,COUNTIFS(rl_key,Inputs!$J$288,$AF$3806:$AF$4045,$AF4014,$AE$3806:$AE$4045,"&lt;"&amp;$AE4014))</f>
        <v>0</v>
      </c>
      <c r="AL4014" s="55">
        <f>IF($AE4014="",0,COUNTIFS(Inputs!$J$80:$J$288,Inputs!$J$288,$AF$3806:$AF4014,$AF4014,$AE$3806:$AE4014,$AE4014))</f>
        <v>0</v>
      </c>
      <c r="AM4014" s="55">
        <f t="shared" si="1461"/>
        <v>0</v>
      </c>
    </row>
    <row r="4015" spans="1:39" x14ac:dyDescent="0.25">
      <c r="A4015" s="54" t="str">
        <f>IF(Inputs!$C$289="","",IF(Inputs!$E$289="planned",EDATE(Inputs!$C$289,N(INDEX(sc_shift,1))),Inputs!$C$289))</f>
        <v/>
      </c>
      <c r="B4015" s="54" t="str">
        <f t="shared" si="1450"/>
        <v/>
      </c>
      <c r="C4015" s="52">
        <f>IF(N(INDEX(sc_ach,1))=0,IF(Inputs!$G$289="",1,Inputs!$G$289),INDEX(sc_ach,1))</f>
        <v>1</v>
      </c>
      <c r="D4015" s="52">
        <f>IF(Inputs!$C$289="",0,IF(Inputs!$E$289="planned",(Inputs!$D$289+N(INDEX(sc_dpts,1)))*$C4015,Inputs!$D$289))</f>
        <v>0</v>
      </c>
      <c r="E4015" s="53">
        <f>IF(Inputs!$C$289="",0,IF(1+$D4015&gt;0,LN(1+$D4015),0))</f>
        <v>0</v>
      </c>
      <c r="F4015" s="55">
        <f t="shared" si="1451"/>
        <v>0</v>
      </c>
      <c r="G4015" s="55">
        <f>IF($A4015="",0,COUNTIFS(rl_key,Inputs!$J$289,$B$3806:$B$4045,$B4015,$A$3806:$A$4045,"&lt;"&amp;$A4015))</f>
        <v>0</v>
      </c>
      <c r="H4015" s="55">
        <f>IF($A4015="",0,COUNTIFS(Inputs!$J$80:$J$289,Inputs!$J$289,$B$3806:$B4015,$B4015,$A$3806:$A4015,$A4015))</f>
        <v>0</v>
      </c>
      <c r="I4015" s="55">
        <f t="shared" si="1452"/>
        <v>0</v>
      </c>
      <c r="K4015" s="54" t="str">
        <f>IF(Inputs!$C$289="","",IF(Inputs!$E$289="planned",EDATE(Inputs!$C$289,N(INDEX(sc_shift,2))),Inputs!$C$289))</f>
        <v/>
      </c>
      <c r="L4015" s="54" t="str">
        <f t="shared" si="1453"/>
        <v/>
      </c>
      <c r="M4015" s="52">
        <f>IF(N(INDEX(sc_ach,2))=0,IF(Inputs!$G$289="",1,Inputs!$G$289),INDEX(sc_ach,2))</f>
        <v>1</v>
      </c>
      <c r="N4015" s="52">
        <f>IF(Inputs!$C$289="",0,IF(Inputs!$E$289="planned",(Inputs!$D$289+N(INDEX(sc_dpts,2)))*$M4015,Inputs!$D$289))</f>
        <v>0</v>
      </c>
      <c r="O4015" s="53">
        <f>IF(Inputs!$C$289="",0,IF(1+$N4015&gt;0,LN(1+$N4015),0))</f>
        <v>0</v>
      </c>
      <c r="P4015" s="55">
        <f t="shared" si="1454"/>
        <v>0</v>
      </c>
      <c r="Q4015" s="55">
        <f>IF($K4015="",0,COUNTIFS(rl_key,Inputs!$J$289,$L$3806:$L$4045,$L4015,$K$3806:$K$4045,"&lt;"&amp;$K4015))</f>
        <v>0</v>
      </c>
      <c r="R4015" s="55">
        <f>IF($K4015="",0,COUNTIFS(Inputs!$J$80:$J$289,Inputs!$J$289,$L$3806:$L4015,$L4015,$K$3806:$K4015,$K4015))</f>
        <v>0</v>
      </c>
      <c r="S4015" s="55">
        <f t="shared" si="1455"/>
        <v>0</v>
      </c>
      <c r="U4015" s="54" t="str">
        <f>IF(Inputs!$C$289="","",IF(Inputs!$E$289="planned",EDATE(Inputs!$C$289,N(INDEX(sc_shift,3))),Inputs!$C$289))</f>
        <v/>
      </c>
      <c r="V4015" s="54" t="str">
        <f t="shared" si="1456"/>
        <v/>
      </c>
      <c r="W4015" s="52">
        <f>IF(N(INDEX(sc_ach,3))=0,IF(Inputs!$G$289="",1,Inputs!$G$289),INDEX(sc_ach,3))</f>
        <v>1</v>
      </c>
      <c r="X4015" s="52">
        <f>IF(Inputs!$C$289="",0,IF(Inputs!$E$289="planned",(Inputs!$D$289+N(INDEX(sc_dpts,3)))*$W4015,Inputs!$D$289))</f>
        <v>0</v>
      </c>
      <c r="Y4015" s="53">
        <f>IF(Inputs!$C$289="",0,IF(1+$X4015&gt;0,LN(1+$X4015),0))</f>
        <v>0</v>
      </c>
      <c r="Z4015" s="55">
        <f t="shared" si="1457"/>
        <v>0</v>
      </c>
      <c r="AA4015" s="55">
        <f>IF($U4015="",0,COUNTIFS(rl_key,Inputs!$J$289,$V$3806:$V$4045,$V4015,$U$3806:$U$4045,"&lt;"&amp;$U4015))</f>
        <v>0</v>
      </c>
      <c r="AB4015" s="55">
        <f>IF($U4015="",0,COUNTIFS(Inputs!$J$80:$J$289,Inputs!$J$289,$V$3806:$V4015,$V4015,$U$3806:$U4015,$U4015))</f>
        <v>0</v>
      </c>
      <c r="AC4015" s="55">
        <f t="shared" si="1458"/>
        <v>0</v>
      </c>
      <c r="AE4015" s="54" t="str">
        <f>IF(Inputs!$C$289="","",IF(Inputs!$E$289="planned",EDATE(Inputs!$C$289,N(INDEX(sc_shift,4))),Inputs!$C$289))</f>
        <v/>
      </c>
      <c r="AF4015" s="54" t="str">
        <f t="shared" si="1459"/>
        <v/>
      </c>
      <c r="AG4015" s="52">
        <f>IF(N(INDEX(sc_ach,4))=0,IF(Inputs!$G$289="",1,Inputs!$G$289),INDEX(sc_ach,4))</f>
        <v>1</v>
      </c>
      <c r="AH4015" s="52">
        <f>IF(Inputs!$C$289="",0,IF(Inputs!$E$289="planned",(Inputs!$D$289+N(INDEX(sc_dpts,4)))*$AG4015,Inputs!$D$289))</f>
        <v>0</v>
      </c>
      <c r="AI4015" s="53">
        <f>IF(Inputs!$C$289="",0,IF(1+$AH4015&gt;0,LN(1+$AH4015),0))</f>
        <v>0</v>
      </c>
      <c r="AJ4015" s="55">
        <f t="shared" si="1460"/>
        <v>0</v>
      </c>
      <c r="AK4015" s="55">
        <f>IF($AE4015="",0,COUNTIFS(rl_key,Inputs!$J$289,$AF$3806:$AF$4045,$AF4015,$AE$3806:$AE$4045,"&lt;"&amp;$AE4015))</f>
        <v>0</v>
      </c>
      <c r="AL4015" s="55">
        <f>IF($AE4015="",0,COUNTIFS(Inputs!$J$80:$J$289,Inputs!$J$289,$AF$3806:$AF4015,$AF4015,$AE$3806:$AE4015,$AE4015))</f>
        <v>0</v>
      </c>
      <c r="AM4015" s="55">
        <f t="shared" si="1461"/>
        <v>0</v>
      </c>
    </row>
    <row r="4016" spans="1:39" x14ac:dyDescent="0.25">
      <c r="A4016" s="54" t="str">
        <f>IF(Inputs!$C$290="","",IF(Inputs!$E$290="planned",EDATE(Inputs!$C$290,N(INDEX(sc_shift,1))),Inputs!$C$290))</f>
        <v/>
      </c>
      <c r="B4016" s="54" t="str">
        <f t="shared" si="1450"/>
        <v/>
      </c>
      <c r="C4016" s="52">
        <f>IF(N(INDEX(sc_ach,1))=0,IF(Inputs!$G$290="",1,Inputs!$G$290),INDEX(sc_ach,1))</f>
        <v>1</v>
      </c>
      <c r="D4016" s="52">
        <f>IF(Inputs!$C$290="",0,IF(Inputs!$E$290="planned",(Inputs!$D$290+N(INDEX(sc_dpts,1)))*$C4016,Inputs!$D$290))</f>
        <v>0</v>
      </c>
      <c r="E4016" s="53">
        <f>IF(Inputs!$C$290="",0,IF(1+$D4016&gt;0,LN(1+$D4016),0))</f>
        <v>0</v>
      </c>
      <c r="F4016" s="55">
        <f t="shared" si="1451"/>
        <v>0</v>
      </c>
      <c r="G4016" s="55">
        <f>IF($A4016="",0,COUNTIFS(rl_key,Inputs!$J$290,$B$3806:$B$4045,$B4016,$A$3806:$A$4045,"&lt;"&amp;$A4016))</f>
        <v>0</v>
      </c>
      <c r="H4016" s="55">
        <f>IF($A4016="",0,COUNTIFS(Inputs!$J$80:$J$290,Inputs!$J$290,$B$3806:$B4016,$B4016,$A$3806:$A4016,$A4016))</f>
        <v>0</v>
      </c>
      <c r="I4016" s="55">
        <f t="shared" si="1452"/>
        <v>0</v>
      </c>
      <c r="K4016" s="54" t="str">
        <f>IF(Inputs!$C$290="","",IF(Inputs!$E$290="planned",EDATE(Inputs!$C$290,N(INDEX(sc_shift,2))),Inputs!$C$290))</f>
        <v/>
      </c>
      <c r="L4016" s="54" t="str">
        <f t="shared" si="1453"/>
        <v/>
      </c>
      <c r="M4016" s="52">
        <f>IF(N(INDEX(sc_ach,2))=0,IF(Inputs!$G$290="",1,Inputs!$G$290),INDEX(sc_ach,2))</f>
        <v>1</v>
      </c>
      <c r="N4016" s="52">
        <f>IF(Inputs!$C$290="",0,IF(Inputs!$E$290="planned",(Inputs!$D$290+N(INDEX(sc_dpts,2)))*$M4016,Inputs!$D$290))</f>
        <v>0</v>
      </c>
      <c r="O4016" s="53">
        <f>IF(Inputs!$C$290="",0,IF(1+$N4016&gt;0,LN(1+$N4016),0))</f>
        <v>0</v>
      </c>
      <c r="P4016" s="55">
        <f t="shared" si="1454"/>
        <v>0</v>
      </c>
      <c r="Q4016" s="55">
        <f>IF($K4016="",0,COUNTIFS(rl_key,Inputs!$J$290,$L$3806:$L$4045,$L4016,$K$3806:$K$4045,"&lt;"&amp;$K4016))</f>
        <v>0</v>
      </c>
      <c r="R4016" s="55">
        <f>IF($K4016="",0,COUNTIFS(Inputs!$J$80:$J$290,Inputs!$J$290,$L$3806:$L4016,$L4016,$K$3806:$K4016,$K4016))</f>
        <v>0</v>
      </c>
      <c r="S4016" s="55">
        <f t="shared" si="1455"/>
        <v>0</v>
      </c>
      <c r="U4016" s="54" t="str">
        <f>IF(Inputs!$C$290="","",IF(Inputs!$E$290="planned",EDATE(Inputs!$C$290,N(INDEX(sc_shift,3))),Inputs!$C$290))</f>
        <v/>
      </c>
      <c r="V4016" s="54" t="str">
        <f t="shared" si="1456"/>
        <v/>
      </c>
      <c r="W4016" s="52">
        <f>IF(N(INDEX(sc_ach,3))=0,IF(Inputs!$G$290="",1,Inputs!$G$290),INDEX(sc_ach,3))</f>
        <v>1</v>
      </c>
      <c r="X4016" s="52">
        <f>IF(Inputs!$C$290="",0,IF(Inputs!$E$290="planned",(Inputs!$D$290+N(INDEX(sc_dpts,3)))*$W4016,Inputs!$D$290))</f>
        <v>0</v>
      </c>
      <c r="Y4016" s="53">
        <f>IF(Inputs!$C$290="",0,IF(1+$X4016&gt;0,LN(1+$X4016),0))</f>
        <v>0</v>
      </c>
      <c r="Z4016" s="55">
        <f t="shared" si="1457"/>
        <v>0</v>
      </c>
      <c r="AA4016" s="55">
        <f>IF($U4016="",0,COUNTIFS(rl_key,Inputs!$J$290,$V$3806:$V$4045,$V4016,$U$3806:$U$4045,"&lt;"&amp;$U4016))</f>
        <v>0</v>
      </c>
      <c r="AB4016" s="55">
        <f>IF($U4016="",0,COUNTIFS(Inputs!$J$80:$J$290,Inputs!$J$290,$V$3806:$V4016,$V4016,$U$3806:$U4016,$U4016))</f>
        <v>0</v>
      </c>
      <c r="AC4016" s="55">
        <f t="shared" si="1458"/>
        <v>0</v>
      </c>
      <c r="AE4016" s="54" t="str">
        <f>IF(Inputs!$C$290="","",IF(Inputs!$E$290="planned",EDATE(Inputs!$C$290,N(INDEX(sc_shift,4))),Inputs!$C$290))</f>
        <v/>
      </c>
      <c r="AF4016" s="54" t="str">
        <f t="shared" si="1459"/>
        <v/>
      </c>
      <c r="AG4016" s="52">
        <f>IF(N(INDEX(sc_ach,4))=0,IF(Inputs!$G$290="",1,Inputs!$G$290),INDEX(sc_ach,4))</f>
        <v>1</v>
      </c>
      <c r="AH4016" s="52">
        <f>IF(Inputs!$C$290="",0,IF(Inputs!$E$290="planned",(Inputs!$D$290+N(INDEX(sc_dpts,4)))*$AG4016,Inputs!$D$290))</f>
        <v>0</v>
      </c>
      <c r="AI4016" s="53">
        <f>IF(Inputs!$C$290="",0,IF(1+$AH4016&gt;0,LN(1+$AH4016),0))</f>
        <v>0</v>
      </c>
      <c r="AJ4016" s="55">
        <f t="shared" si="1460"/>
        <v>0</v>
      </c>
      <c r="AK4016" s="55">
        <f>IF($AE4016="",0,COUNTIFS(rl_key,Inputs!$J$290,$AF$3806:$AF$4045,$AF4016,$AE$3806:$AE$4045,"&lt;"&amp;$AE4016))</f>
        <v>0</v>
      </c>
      <c r="AL4016" s="55">
        <f>IF($AE4016="",0,COUNTIFS(Inputs!$J$80:$J$290,Inputs!$J$290,$AF$3806:$AF4016,$AF4016,$AE$3806:$AE4016,$AE4016))</f>
        <v>0</v>
      </c>
      <c r="AM4016" s="55">
        <f t="shared" si="1461"/>
        <v>0</v>
      </c>
    </row>
    <row r="4017" spans="1:39" x14ac:dyDescent="0.25">
      <c r="A4017" s="54" t="str">
        <f>IF(Inputs!$C$291="","",IF(Inputs!$E$291="planned",EDATE(Inputs!$C$291,N(INDEX(sc_shift,1))),Inputs!$C$291))</f>
        <v/>
      </c>
      <c r="B4017" s="54" t="str">
        <f t="shared" si="1450"/>
        <v/>
      </c>
      <c r="C4017" s="52">
        <f>IF(N(INDEX(sc_ach,1))=0,IF(Inputs!$G$291="",1,Inputs!$G$291),INDEX(sc_ach,1))</f>
        <v>1</v>
      </c>
      <c r="D4017" s="52">
        <f>IF(Inputs!$C$291="",0,IF(Inputs!$E$291="planned",(Inputs!$D$291+N(INDEX(sc_dpts,1)))*$C4017,Inputs!$D$291))</f>
        <v>0</v>
      </c>
      <c r="E4017" s="53">
        <f>IF(Inputs!$C$291="",0,IF(1+$D4017&gt;0,LN(1+$D4017),0))</f>
        <v>0</v>
      </c>
      <c r="F4017" s="55">
        <f t="shared" si="1451"/>
        <v>0</v>
      </c>
      <c r="G4017" s="55">
        <f>IF($A4017="",0,COUNTIFS(rl_key,Inputs!$J$291,$B$3806:$B$4045,$B4017,$A$3806:$A$4045,"&lt;"&amp;$A4017))</f>
        <v>0</v>
      </c>
      <c r="H4017" s="55">
        <f>IF($A4017="",0,COUNTIFS(Inputs!$J$80:$J$291,Inputs!$J$291,$B$3806:$B4017,$B4017,$A$3806:$A4017,$A4017))</f>
        <v>0</v>
      </c>
      <c r="I4017" s="55">
        <f t="shared" si="1452"/>
        <v>0</v>
      </c>
      <c r="K4017" s="54" t="str">
        <f>IF(Inputs!$C$291="","",IF(Inputs!$E$291="planned",EDATE(Inputs!$C$291,N(INDEX(sc_shift,2))),Inputs!$C$291))</f>
        <v/>
      </c>
      <c r="L4017" s="54" t="str">
        <f t="shared" si="1453"/>
        <v/>
      </c>
      <c r="M4017" s="52">
        <f>IF(N(INDEX(sc_ach,2))=0,IF(Inputs!$G$291="",1,Inputs!$G$291),INDEX(sc_ach,2))</f>
        <v>1</v>
      </c>
      <c r="N4017" s="52">
        <f>IF(Inputs!$C$291="",0,IF(Inputs!$E$291="planned",(Inputs!$D$291+N(INDEX(sc_dpts,2)))*$M4017,Inputs!$D$291))</f>
        <v>0</v>
      </c>
      <c r="O4017" s="53">
        <f>IF(Inputs!$C$291="",0,IF(1+$N4017&gt;0,LN(1+$N4017),0))</f>
        <v>0</v>
      </c>
      <c r="P4017" s="55">
        <f t="shared" si="1454"/>
        <v>0</v>
      </c>
      <c r="Q4017" s="55">
        <f>IF($K4017="",0,COUNTIFS(rl_key,Inputs!$J$291,$L$3806:$L$4045,$L4017,$K$3806:$K$4045,"&lt;"&amp;$K4017))</f>
        <v>0</v>
      </c>
      <c r="R4017" s="55">
        <f>IF($K4017="",0,COUNTIFS(Inputs!$J$80:$J$291,Inputs!$J$291,$L$3806:$L4017,$L4017,$K$3806:$K4017,$K4017))</f>
        <v>0</v>
      </c>
      <c r="S4017" s="55">
        <f t="shared" si="1455"/>
        <v>0</v>
      </c>
      <c r="U4017" s="54" t="str">
        <f>IF(Inputs!$C$291="","",IF(Inputs!$E$291="planned",EDATE(Inputs!$C$291,N(INDEX(sc_shift,3))),Inputs!$C$291))</f>
        <v/>
      </c>
      <c r="V4017" s="54" t="str">
        <f t="shared" si="1456"/>
        <v/>
      </c>
      <c r="W4017" s="52">
        <f>IF(N(INDEX(sc_ach,3))=0,IF(Inputs!$G$291="",1,Inputs!$G$291),INDEX(sc_ach,3))</f>
        <v>1</v>
      </c>
      <c r="X4017" s="52">
        <f>IF(Inputs!$C$291="",0,IF(Inputs!$E$291="planned",(Inputs!$D$291+N(INDEX(sc_dpts,3)))*$W4017,Inputs!$D$291))</f>
        <v>0</v>
      </c>
      <c r="Y4017" s="53">
        <f>IF(Inputs!$C$291="",0,IF(1+$X4017&gt;0,LN(1+$X4017),0))</f>
        <v>0</v>
      </c>
      <c r="Z4017" s="55">
        <f t="shared" si="1457"/>
        <v>0</v>
      </c>
      <c r="AA4017" s="55">
        <f>IF($U4017="",0,COUNTIFS(rl_key,Inputs!$J$291,$V$3806:$V$4045,$V4017,$U$3806:$U$4045,"&lt;"&amp;$U4017))</f>
        <v>0</v>
      </c>
      <c r="AB4017" s="55">
        <f>IF($U4017="",0,COUNTIFS(Inputs!$J$80:$J$291,Inputs!$J$291,$V$3806:$V4017,$V4017,$U$3806:$U4017,$U4017))</f>
        <v>0</v>
      </c>
      <c r="AC4017" s="55">
        <f t="shared" si="1458"/>
        <v>0</v>
      </c>
      <c r="AE4017" s="54" t="str">
        <f>IF(Inputs!$C$291="","",IF(Inputs!$E$291="planned",EDATE(Inputs!$C$291,N(INDEX(sc_shift,4))),Inputs!$C$291))</f>
        <v/>
      </c>
      <c r="AF4017" s="54" t="str">
        <f t="shared" si="1459"/>
        <v/>
      </c>
      <c r="AG4017" s="52">
        <f>IF(N(INDEX(sc_ach,4))=0,IF(Inputs!$G$291="",1,Inputs!$G$291),INDEX(sc_ach,4))</f>
        <v>1</v>
      </c>
      <c r="AH4017" s="52">
        <f>IF(Inputs!$C$291="",0,IF(Inputs!$E$291="planned",(Inputs!$D$291+N(INDEX(sc_dpts,4)))*$AG4017,Inputs!$D$291))</f>
        <v>0</v>
      </c>
      <c r="AI4017" s="53">
        <f>IF(Inputs!$C$291="",0,IF(1+$AH4017&gt;0,LN(1+$AH4017),0))</f>
        <v>0</v>
      </c>
      <c r="AJ4017" s="55">
        <f t="shared" si="1460"/>
        <v>0</v>
      </c>
      <c r="AK4017" s="55">
        <f>IF($AE4017="",0,COUNTIFS(rl_key,Inputs!$J$291,$AF$3806:$AF$4045,$AF4017,$AE$3806:$AE$4045,"&lt;"&amp;$AE4017))</f>
        <v>0</v>
      </c>
      <c r="AL4017" s="55">
        <f>IF($AE4017="",0,COUNTIFS(Inputs!$J$80:$J$291,Inputs!$J$291,$AF$3806:$AF4017,$AF4017,$AE$3806:$AE4017,$AE4017))</f>
        <v>0</v>
      </c>
      <c r="AM4017" s="55">
        <f t="shared" si="1461"/>
        <v>0</v>
      </c>
    </row>
    <row r="4018" spans="1:39" x14ac:dyDescent="0.25">
      <c r="A4018" s="54" t="str">
        <f>IF(Inputs!$C$292="","",IF(Inputs!$E$292="planned",EDATE(Inputs!$C$292,N(INDEX(sc_shift,1))),Inputs!$C$292))</f>
        <v/>
      </c>
      <c r="B4018" s="54" t="str">
        <f t="shared" si="1450"/>
        <v/>
      </c>
      <c r="C4018" s="52">
        <f>IF(N(INDEX(sc_ach,1))=0,IF(Inputs!$G$292="",1,Inputs!$G$292),INDEX(sc_ach,1))</f>
        <v>1</v>
      </c>
      <c r="D4018" s="52">
        <f>IF(Inputs!$C$292="",0,IF(Inputs!$E$292="planned",(Inputs!$D$292+N(INDEX(sc_dpts,1)))*$C4018,Inputs!$D$292))</f>
        <v>0</v>
      </c>
      <c r="E4018" s="53">
        <f>IF(Inputs!$C$292="",0,IF(1+$D4018&gt;0,LN(1+$D4018),0))</f>
        <v>0</v>
      </c>
      <c r="F4018" s="55">
        <f t="shared" si="1451"/>
        <v>0</v>
      </c>
      <c r="G4018" s="55">
        <f>IF($A4018="",0,COUNTIFS(rl_key,Inputs!$J$292,$B$3806:$B$4045,$B4018,$A$3806:$A$4045,"&lt;"&amp;$A4018))</f>
        <v>0</v>
      </c>
      <c r="H4018" s="55">
        <f>IF($A4018="",0,COUNTIFS(Inputs!$J$80:$J$292,Inputs!$J$292,$B$3806:$B4018,$B4018,$A$3806:$A4018,$A4018))</f>
        <v>0</v>
      </c>
      <c r="I4018" s="55">
        <f t="shared" si="1452"/>
        <v>0</v>
      </c>
      <c r="K4018" s="54" t="str">
        <f>IF(Inputs!$C$292="","",IF(Inputs!$E$292="planned",EDATE(Inputs!$C$292,N(INDEX(sc_shift,2))),Inputs!$C$292))</f>
        <v/>
      </c>
      <c r="L4018" s="54" t="str">
        <f t="shared" si="1453"/>
        <v/>
      </c>
      <c r="M4018" s="52">
        <f>IF(N(INDEX(sc_ach,2))=0,IF(Inputs!$G$292="",1,Inputs!$G$292),INDEX(sc_ach,2))</f>
        <v>1</v>
      </c>
      <c r="N4018" s="52">
        <f>IF(Inputs!$C$292="",0,IF(Inputs!$E$292="planned",(Inputs!$D$292+N(INDEX(sc_dpts,2)))*$M4018,Inputs!$D$292))</f>
        <v>0</v>
      </c>
      <c r="O4018" s="53">
        <f>IF(Inputs!$C$292="",0,IF(1+$N4018&gt;0,LN(1+$N4018),0))</f>
        <v>0</v>
      </c>
      <c r="P4018" s="55">
        <f t="shared" si="1454"/>
        <v>0</v>
      </c>
      <c r="Q4018" s="55">
        <f>IF($K4018="",0,COUNTIFS(rl_key,Inputs!$J$292,$L$3806:$L$4045,$L4018,$K$3806:$K$4045,"&lt;"&amp;$K4018))</f>
        <v>0</v>
      </c>
      <c r="R4018" s="55">
        <f>IF($K4018="",0,COUNTIFS(Inputs!$J$80:$J$292,Inputs!$J$292,$L$3806:$L4018,$L4018,$K$3806:$K4018,$K4018))</f>
        <v>0</v>
      </c>
      <c r="S4018" s="55">
        <f t="shared" si="1455"/>
        <v>0</v>
      </c>
      <c r="U4018" s="54" t="str">
        <f>IF(Inputs!$C$292="","",IF(Inputs!$E$292="planned",EDATE(Inputs!$C$292,N(INDEX(sc_shift,3))),Inputs!$C$292))</f>
        <v/>
      </c>
      <c r="V4018" s="54" t="str">
        <f t="shared" si="1456"/>
        <v/>
      </c>
      <c r="W4018" s="52">
        <f>IF(N(INDEX(sc_ach,3))=0,IF(Inputs!$G$292="",1,Inputs!$G$292),INDEX(sc_ach,3))</f>
        <v>1</v>
      </c>
      <c r="X4018" s="52">
        <f>IF(Inputs!$C$292="",0,IF(Inputs!$E$292="planned",(Inputs!$D$292+N(INDEX(sc_dpts,3)))*$W4018,Inputs!$D$292))</f>
        <v>0</v>
      </c>
      <c r="Y4018" s="53">
        <f>IF(Inputs!$C$292="",0,IF(1+$X4018&gt;0,LN(1+$X4018),0))</f>
        <v>0</v>
      </c>
      <c r="Z4018" s="55">
        <f t="shared" si="1457"/>
        <v>0</v>
      </c>
      <c r="AA4018" s="55">
        <f>IF($U4018="",0,COUNTIFS(rl_key,Inputs!$J$292,$V$3806:$V$4045,$V4018,$U$3806:$U$4045,"&lt;"&amp;$U4018))</f>
        <v>0</v>
      </c>
      <c r="AB4018" s="55">
        <f>IF($U4018="",0,COUNTIFS(Inputs!$J$80:$J$292,Inputs!$J$292,$V$3806:$V4018,$V4018,$U$3806:$U4018,$U4018))</f>
        <v>0</v>
      </c>
      <c r="AC4018" s="55">
        <f t="shared" si="1458"/>
        <v>0</v>
      </c>
      <c r="AE4018" s="54" t="str">
        <f>IF(Inputs!$C$292="","",IF(Inputs!$E$292="planned",EDATE(Inputs!$C$292,N(INDEX(sc_shift,4))),Inputs!$C$292))</f>
        <v/>
      </c>
      <c r="AF4018" s="54" t="str">
        <f t="shared" si="1459"/>
        <v/>
      </c>
      <c r="AG4018" s="52">
        <f>IF(N(INDEX(sc_ach,4))=0,IF(Inputs!$G$292="",1,Inputs!$G$292),INDEX(sc_ach,4))</f>
        <v>1</v>
      </c>
      <c r="AH4018" s="52">
        <f>IF(Inputs!$C$292="",0,IF(Inputs!$E$292="planned",(Inputs!$D$292+N(INDEX(sc_dpts,4)))*$AG4018,Inputs!$D$292))</f>
        <v>0</v>
      </c>
      <c r="AI4018" s="53">
        <f>IF(Inputs!$C$292="",0,IF(1+$AH4018&gt;0,LN(1+$AH4018),0))</f>
        <v>0</v>
      </c>
      <c r="AJ4018" s="55">
        <f t="shared" si="1460"/>
        <v>0</v>
      </c>
      <c r="AK4018" s="55">
        <f>IF($AE4018="",0,COUNTIFS(rl_key,Inputs!$J$292,$AF$3806:$AF$4045,$AF4018,$AE$3806:$AE$4045,"&lt;"&amp;$AE4018))</f>
        <v>0</v>
      </c>
      <c r="AL4018" s="55">
        <f>IF($AE4018="",0,COUNTIFS(Inputs!$J$80:$J$292,Inputs!$J$292,$AF$3806:$AF4018,$AF4018,$AE$3806:$AE4018,$AE4018))</f>
        <v>0</v>
      </c>
      <c r="AM4018" s="55">
        <f t="shared" si="1461"/>
        <v>0</v>
      </c>
    </row>
    <row r="4019" spans="1:39" x14ac:dyDescent="0.25">
      <c r="A4019" s="54" t="str">
        <f>IF(Inputs!$C$293="","",IF(Inputs!$E$293="planned",EDATE(Inputs!$C$293,N(INDEX(sc_shift,1))),Inputs!$C$293))</f>
        <v/>
      </c>
      <c r="B4019" s="54" t="str">
        <f t="shared" si="1450"/>
        <v/>
      </c>
      <c r="C4019" s="52">
        <f>IF(N(INDEX(sc_ach,1))=0,IF(Inputs!$G$293="",1,Inputs!$G$293),INDEX(sc_ach,1))</f>
        <v>1</v>
      </c>
      <c r="D4019" s="52">
        <f>IF(Inputs!$C$293="",0,IF(Inputs!$E$293="planned",(Inputs!$D$293+N(INDEX(sc_dpts,1)))*$C4019,Inputs!$D$293))</f>
        <v>0</v>
      </c>
      <c r="E4019" s="53">
        <f>IF(Inputs!$C$293="",0,IF(1+$D4019&gt;0,LN(1+$D4019),0))</f>
        <v>0</v>
      </c>
      <c r="F4019" s="55">
        <f t="shared" si="1451"/>
        <v>0</v>
      </c>
      <c r="G4019" s="55">
        <f>IF($A4019="",0,COUNTIFS(rl_key,Inputs!$J$293,$B$3806:$B$4045,$B4019,$A$3806:$A$4045,"&lt;"&amp;$A4019))</f>
        <v>0</v>
      </c>
      <c r="H4019" s="55">
        <f>IF($A4019="",0,COUNTIFS(Inputs!$J$80:$J$293,Inputs!$J$293,$B$3806:$B4019,$B4019,$A$3806:$A4019,$A4019))</f>
        <v>0</v>
      </c>
      <c r="I4019" s="55">
        <f t="shared" si="1452"/>
        <v>0</v>
      </c>
      <c r="K4019" s="54" t="str">
        <f>IF(Inputs!$C$293="","",IF(Inputs!$E$293="planned",EDATE(Inputs!$C$293,N(INDEX(sc_shift,2))),Inputs!$C$293))</f>
        <v/>
      </c>
      <c r="L4019" s="54" t="str">
        <f t="shared" si="1453"/>
        <v/>
      </c>
      <c r="M4019" s="52">
        <f>IF(N(INDEX(sc_ach,2))=0,IF(Inputs!$G$293="",1,Inputs!$G$293),INDEX(sc_ach,2))</f>
        <v>1</v>
      </c>
      <c r="N4019" s="52">
        <f>IF(Inputs!$C$293="",0,IF(Inputs!$E$293="planned",(Inputs!$D$293+N(INDEX(sc_dpts,2)))*$M4019,Inputs!$D$293))</f>
        <v>0</v>
      </c>
      <c r="O4019" s="53">
        <f>IF(Inputs!$C$293="",0,IF(1+$N4019&gt;0,LN(1+$N4019),0))</f>
        <v>0</v>
      </c>
      <c r="P4019" s="55">
        <f t="shared" si="1454"/>
        <v>0</v>
      </c>
      <c r="Q4019" s="55">
        <f>IF($K4019="",0,COUNTIFS(rl_key,Inputs!$J$293,$L$3806:$L$4045,$L4019,$K$3806:$K$4045,"&lt;"&amp;$K4019))</f>
        <v>0</v>
      </c>
      <c r="R4019" s="55">
        <f>IF($K4019="",0,COUNTIFS(Inputs!$J$80:$J$293,Inputs!$J$293,$L$3806:$L4019,$L4019,$K$3806:$K4019,$K4019))</f>
        <v>0</v>
      </c>
      <c r="S4019" s="55">
        <f t="shared" si="1455"/>
        <v>0</v>
      </c>
      <c r="U4019" s="54" t="str">
        <f>IF(Inputs!$C$293="","",IF(Inputs!$E$293="planned",EDATE(Inputs!$C$293,N(INDEX(sc_shift,3))),Inputs!$C$293))</f>
        <v/>
      </c>
      <c r="V4019" s="54" t="str">
        <f t="shared" si="1456"/>
        <v/>
      </c>
      <c r="W4019" s="52">
        <f>IF(N(INDEX(sc_ach,3))=0,IF(Inputs!$G$293="",1,Inputs!$G$293),INDEX(sc_ach,3))</f>
        <v>1</v>
      </c>
      <c r="X4019" s="52">
        <f>IF(Inputs!$C$293="",0,IF(Inputs!$E$293="planned",(Inputs!$D$293+N(INDEX(sc_dpts,3)))*$W4019,Inputs!$D$293))</f>
        <v>0</v>
      </c>
      <c r="Y4019" s="53">
        <f>IF(Inputs!$C$293="",0,IF(1+$X4019&gt;0,LN(1+$X4019),0))</f>
        <v>0</v>
      </c>
      <c r="Z4019" s="55">
        <f t="shared" si="1457"/>
        <v>0</v>
      </c>
      <c r="AA4019" s="55">
        <f>IF($U4019="",0,COUNTIFS(rl_key,Inputs!$J$293,$V$3806:$V$4045,$V4019,$U$3806:$U$4045,"&lt;"&amp;$U4019))</f>
        <v>0</v>
      </c>
      <c r="AB4019" s="55">
        <f>IF($U4019="",0,COUNTIFS(Inputs!$J$80:$J$293,Inputs!$J$293,$V$3806:$V4019,$V4019,$U$3806:$U4019,$U4019))</f>
        <v>0</v>
      </c>
      <c r="AC4019" s="55">
        <f t="shared" si="1458"/>
        <v>0</v>
      </c>
      <c r="AE4019" s="54" t="str">
        <f>IF(Inputs!$C$293="","",IF(Inputs!$E$293="planned",EDATE(Inputs!$C$293,N(INDEX(sc_shift,4))),Inputs!$C$293))</f>
        <v/>
      </c>
      <c r="AF4019" s="54" t="str">
        <f t="shared" si="1459"/>
        <v/>
      </c>
      <c r="AG4019" s="52">
        <f>IF(N(INDEX(sc_ach,4))=0,IF(Inputs!$G$293="",1,Inputs!$G$293),INDEX(sc_ach,4))</f>
        <v>1</v>
      </c>
      <c r="AH4019" s="52">
        <f>IF(Inputs!$C$293="",0,IF(Inputs!$E$293="planned",(Inputs!$D$293+N(INDEX(sc_dpts,4)))*$AG4019,Inputs!$D$293))</f>
        <v>0</v>
      </c>
      <c r="AI4019" s="53">
        <f>IF(Inputs!$C$293="",0,IF(1+$AH4019&gt;0,LN(1+$AH4019),0))</f>
        <v>0</v>
      </c>
      <c r="AJ4019" s="55">
        <f t="shared" si="1460"/>
        <v>0</v>
      </c>
      <c r="AK4019" s="55">
        <f>IF($AE4019="",0,COUNTIFS(rl_key,Inputs!$J$293,$AF$3806:$AF$4045,$AF4019,$AE$3806:$AE$4045,"&lt;"&amp;$AE4019))</f>
        <v>0</v>
      </c>
      <c r="AL4019" s="55">
        <f>IF($AE4019="",0,COUNTIFS(Inputs!$J$80:$J$293,Inputs!$J$293,$AF$3806:$AF4019,$AF4019,$AE$3806:$AE4019,$AE4019))</f>
        <v>0</v>
      </c>
      <c r="AM4019" s="55">
        <f t="shared" si="1461"/>
        <v>0</v>
      </c>
    </row>
    <row r="4020" spans="1:39" x14ac:dyDescent="0.25">
      <c r="A4020" s="54" t="str">
        <f>IF(Inputs!$C$294="","",IF(Inputs!$E$294="planned",EDATE(Inputs!$C$294,N(INDEX(sc_shift,1))),Inputs!$C$294))</f>
        <v/>
      </c>
      <c r="B4020" s="54" t="str">
        <f t="shared" si="1450"/>
        <v/>
      </c>
      <c r="C4020" s="52">
        <f>IF(N(INDEX(sc_ach,1))=0,IF(Inputs!$G$294="",1,Inputs!$G$294),INDEX(sc_ach,1))</f>
        <v>1</v>
      </c>
      <c r="D4020" s="52">
        <f>IF(Inputs!$C$294="",0,IF(Inputs!$E$294="planned",(Inputs!$D$294+N(INDEX(sc_dpts,1)))*$C4020,Inputs!$D$294))</f>
        <v>0</v>
      </c>
      <c r="E4020" s="53">
        <f>IF(Inputs!$C$294="",0,IF(1+$D4020&gt;0,LN(1+$D4020),0))</f>
        <v>0</v>
      </c>
      <c r="F4020" s="55">
        <f t="shared" si="1451"/>
        <v>0</v>
      </c>
      <c r="G4020" s="55">
        <f>IF($A4020="",0,COUNTIFS(rl_key,Inputs!$J$294,$B$3806:$B$4045,$B4020,$A$3806:$A$4045,"&lt;"&amp;$A4020))</f>
        <v>0</v>
      </c>
      <c r="H4020" s="55">
        <f>IF($A4020="",0,COUNTIFS(Inputs!$J$80:$J$294,Inputs!$J$294,$B$3806:$B4020,$B4020,$A$3806:$A4020,$A4020))</f>
        <v>0</v>
      </c>
      <c r="I4020" s="55">
        <f t="shared" si="1452"/>
        <v>0</v>
      </c>
      <c r="K4020" s="54" t="str">
        <f>IF(Inputs!$C$294="","",IF(Inputs!$E$294="planned",EDATE(Inputs!$C$294,N(INDEX(sc_shift,2))),Inputs!$C$294))</f>
        <v/>
      </c>
      <c r="L4020" s="54" t="str">
        <f t="shared" si="1453"/>
        <v/>
      </c>
      <c r="M4020" s="52">
        <f>IF(N(INDEX(sc_ach,2))=0,IF(Inputs!$G$294="",1,Inputs!$G$294),INDEX(sc_ach,2))</f>
        <v>1</v>
      </c>
      <c r="N4020" s="52">
        <f>IF(Inputs!$C$294="",0,IF(Inputs!$E$294="planned",(Inputs!$D$294+N(INDEX(sc_dpts,2)))*$M4020,Inputs!$D$294))</f>
        <v>0</v>
      </c>
      <c r="O4020" s="53">
        <f>IF(Inputs!$C$294="",0,IF(1+$N4020&gt;0,LN(1+$N4020),0))</f>
        <v>0</v>
      </c>
      <c r="P4020" s="55">
        <f t="shared" si="1454"/>
        <v>0</v>
      </c>
      <c r="Q4020" s="55">
        <f>IF($K4020="",0,COUNTIFS(rl_key,Inputs!$J$294,$L$3806:$L$4045,$L4020,$K$3806:$K$4045,"&lt;"&amp;$K4020))</f>
        <v>0</v>
      </c>
      <c r="R4020" s="55">
        <f>IF($K4020="",0,COUNTIFS(Inputs!$J$80:$J$294,Inputs!$J$294,$L$3806:$L4020,$L4020,$K$3806:$K4020,$K4020))</f>
        <v>0</v>
      </c>
      <c r="S4020" s="55">
        <f t="shared" si="1455"/>
        <v>0</v>
      </c>
      <c r="U4020" s="54" t="str">
        <f>IF(Inputs!$C$294="","",IF(Inputs!$E$294="planned",EDATE(Inputs!$C$294,N(INDEX(sc_shift,3))),Inputs!$C$294))</f>
        <v/>
      </c>
      <c r="V4020" s="54" t="str">
        <f t="shared" si="1456"/>
        <v/>
      </c>
      <c r="W4020" s="52">
        <f>IF(N(INDEX(sc_ach,3))=0,IF(Inputs!$G$294="",1,Inputs!$G$294),INDEX(sc_ach,3))</f>
        <v>1</v>
      </c>
      <c r="X4020" s="52">
        <f>IF(Inputs!$C$294="",0,IF(Inputs!$E$294="planned",(Inputs!$D$294+N(INDEX(sc_dpts,3)))*$W4020,Inputs!$D$294))</f>
        <v>0</v>
      </c>
      <c r="Y4020" s="53">
        <f>IF(Inputs!$C$294="",0,IF(1+$X4020&gt;0,LN(1+$X4020),0))</f>
        <v>0</v>
      </c>
      <c r="Z4020" s="55">
        <f t="shared" si="1457"/>
        <v>0</v>
      </c>
      <c r="AA4020" s="55">
        <f>IF($U4020="",0,COUNTIFS(rl_key,Inputs!$J$294,$V$3806:$V$4045,$V4020,$U$3806:$U$4045,"&lt;"&amp;$U4020))</f>
        <v>0</v>
      </c>
      <c r="AB4020" s="55">
        <f>IF($U4020="",0,COUNTIFS(Inputs!$J$80:$J$294,Inputs!$J$294,$V$3806:$V4020,$V4020,$U$3806:$U4020,$U4020))</f>
        <v>0</v>
      </c>
      <c r="AC4020" s="55">
        <f t="shared" si="1458"/>
        <v>0</v>
      </c>
      <c r="AE4020" s="54" t="str">
        <f>IF(Inputs!$C$294="","",IF(Inputs!$E$294="planned",EDATE(Inputs!$C$294,N(INDEX(sc_shift,4))),Inputs!$C$294))</f>
        <v/>
      </c>
      <c r="AF4020" s="54" t="str">
        <f t="shared" si="1459"/>
        <v/>
      </c>
      <c r="AG4020" s="52">
        <f>IF(N(INDEX(sc_ach,4))=0,IF(Inputs!$G$294="",1,Inputs!$G$294),INDEX(sc_ach,4))</f>
        <v>1</v>
      </c>
      <c r="AH4020" s="52">
        <f>IF(Inputs!$C$294="",0,IF(Inputs!$E$294="planned",(Inputs!$D$294+N(INDEX(sc_dpts,4)))*$AG4020,Inputs!$D$294))</f>
        <v>0</v>
      </c>
      <c r="AI4020" s="53">
        <f>IF(Inputs!$C$294="",0,IF(1+$AH4020&gt;0,LN(1+$AH4020),0))</f>
        <v>0</v>
      </c>
      <c r="AJ4020" s="55">
        <f t="shared" si="1460"/>
        <v>0</v>
      </c>
      <c r="AK4020" s="55">
        <f>IF($AE4020="",0,COUNTIFS(rl_key,Inputs!$J$294,$AF$3806:$AF$4045,$AF4020,$AE$3806:$AE$4045,"&lt;"&amp;$AE4020))</f>
        <v>0</v>
      </c>
      <c r="AL4020" s="55">
        <f>IF($AE4020="",0,COUNTIFS(Inputs!$J$80:$J$294,Inputs!$J$294,$AF$3806:$AF4020,$AF4020,$AE$3806:$AE4020,$AE4020))</f>
        <v>0</v>
      </c>
      <c r="AM4020" s="55">
        <f t="shared" si="1461"/>
        <v>0</v>
      </c>
    </row>
    <row r="4021" spans="1:39" x14ac:dyDescent="0.25">
      <c r="A4021" s="54" t="str">
        <f>IF(Inputs!$C$295="","",IF(Inputs!$E$295="planned",EDATE(Inputs!$C$295,N(INDEX(sc_shift,1))),Inputs!$C$295))</f>
        <v/>
      </c>
      <c r="B4021" s="54" t="str">
        <f t="shared" si="1450"/>
        <v/>
      </c>
      <c r="C4021" s="52">
        <f>IF(N(INDEX(sc_ach,1))=0,IF(Inputs!$G$295="",1,Inputs!$G$295),INDEX(sc_ach,1))</f>
        <v>1</v>
      </c>
      <c r="D4021" s="52">
        <f>IF(Inputs!$C$295="",0,IF(Inputs!$E$295="planned",(Inputs!$D$295+N(INDEX(sc_dpts,1)))*$C4021,Inputs!$D$295))</f>
        <v>0</v>
      </c>
      <c r="E4021" s="53">
        <f>IF(Inputs!$C$295="",0,IF(1+$D4021&gt;0,LN(1+$D4021),0))</f>
        <v>0</v>
      </c>
      <c r="F4021" s="55">
        <f t="shared" si="1451"/>
        <v>0</v>
      </c>
      <c r="G4021" s="55">
        <f>IF($A4021="",0,COUNTIFS(rl_key,Inputs!$J$295,$B$3806:$B$4045,$B4021,$A$3806:$A$4045,"&lt;"&amp;$A4021))</f>
        <v>0</v>
      </c>
      <c r="H4021" s="55">
        <f>IF($A4021="",0,COUNTIFS(Inputs!$J$80:$J$295,Inputs!$J$295,$B$3806:$B4021,$B4021,$A$3806:$A4021,$A4021))</f>
        <v>0</v>
      </c>
      <c r="I4021" s="55">
        <f t="shared" si="1452"/>
        <v>0</v>
      </c>
      <c r="K4021" s="54" t="str">
        <f>IF(Inputs!$C$295="","",IF(Inputs!$E$295="planned",EDATE(Inputs!$C$295,N(INDEX(sc_shift,2))),Inputs!$C$295))</f>
        <v/>
      </c>
      <c r="L4021" s="54" t="str">
        <f t="shared" si="1453"/>
        <v/>
      </c>
      <c r="M4021" s="52">
        <f>IF(N(INDEX(sc_ach,2))=0,IF(Inputs!$G$295="",1,Inputs!$G$295),INDEX(sc_ach,2))</f>
        <v>1</v>
      </c>
      <c r="N4021" s="52">
        <f>IF(Inputs!$C$295="",0,IF(Inputs!$E$295="planned",(Inputs!$D$295+N(INDEX(sc_dpts,2)))*$M4021,Inputs!$D$295))</f>
        <v>0</v>
      </c>
      <c r="O4021" s="53">
        <f>IF(Inputs!$C$295="",0,IF(1+$N4021&gt;0,LN(1+$N4021),0))</f>
        <v>0</v>
      </c>
      <c r="P4021" s="55">
        <f t="shared" si="1454"/>
        <v>0</v>
      </c>
      <c r="Q4021" s="55">
        <f>IF($K4021="",0,COUNTIFS(rl_key,Inputs!$J$295,$L$3806:$L$4045,$L4021,$K$3806:$K$4045,"&lt;"&amp;$K4021))</f>
        <v>0</v>
      </c>
      <c r="R4021" s="55">
        <f>IF($K4021="",0,COUNTIFS(Inputs!$J$80:$J$295,Inputs!$J$295,$L$3806:$L4021,$L4021,$K$3806:$K4021,$K4021))</f>
        <v>0</v>
      </c>
      <c r="S4021" s="55">
        <f t="shared" si="1455"/>
        <v>0</v>
      </c>
      <c r="U4021" s="54" t="str">
        <f>IF(Inputs!$C$295="","",IF(Inputs!$E$295="planned",EDATE(Inputs!$C$295,N(INDEX(sc_shift,3))),Inputs!$C$295))</f>
        <v/>
      </c>
      <c r="V4021" s="54" t="str">
        <f t="shared" si="1456"/>
        <v/>
      </c>
      <c r="W4021" s="52">
        <f>IF(N(INDEX(sc_ach,3))=0,IF(Inputs!$G$295="",1,Inputs!$G$295),INDEX(sc_ach,3))</f>
        <v>1</v>
      </c>
      <c r="X4021" s="52">
        <f>IF(Inputs!$C$295="",0,IF(Inputs!$E$295="planned",(Inputs!$D$295+N(INDEX(sc_dpts,3)))*$W4021,Inputs!$D$295))</f>
        <v>0</v>
      </c>
      <c r="Y4021" s="53">
        <f>IF(Inputs!$C$295="",0,IF(1+$X4021&gt;0,LN(1+$X4021),0))</f>
        <v>0</v>
      </c>
      <c r="Z4021" s="55">
        <f t="shared" si="1457"/>
        <v>0</v>
      </c>
      <c r="AA4021" s="55">
        <f>IF($U4021="",0,COUNTIFS(rl_key,Inputs!$J$295,$V$3806:$V$4045,$V4021,$U$3806:$U$4045,"&lt;"&amp;$U4021))</f>
        <v>0</v>
      </c>
      <c r="AB4021" s="55">
        <f>IF($U4021="",0,COUNTIFS(Inputs!$J$80:$J$295,Inputs!$J$295,$V$3806:$V4021,$V4021,$U$3806:$U4021,$U4021))</f>
        <v>0</v>
      </c>
      <c r="AC4021" s="55">
        <f t="shared" si="1458"/>
        <v>0</v>
      </c>
      <c r="AE4021" s="54" t="str">
        <f>IF(Inputs!$C$295="","",IF(Inputs!$E$295="planned",EDATE(Inputs!$C$295,N(INDEX(sc_shift,4))),Inputs!$C$295))</f>
        <v/>
      </c>
      <c r="AF4021" s="54" t="str">
        <f t="shared" si="1459"/>
        <v/>
      </c>
      <c r="AG4021" s="52">
        <f>IF(N(INDEX(sc_ach,4))=0,IF(Inputs!$G$295="",1,Inputs!$G$295),INDEX(sc_ach,4))</f>
        <v>1</v>
      </c>
      <c r="AH4021" s="52">
        <f>IF(Inputs!$C$295="",0,IF(Inputs!$E$295="planned",(Inputs!$D$295+N(INDEX(sc_dpts,4)))*$AG4021,Inputs!$D$295))</f>
        <v>0</v>
      </c>
      <c r="AI4021" s="53">
        <f>IF(Inputs!$C$295="",0,IF(1+$AH4021&gt;0,LN(1+$AH4021),0))</f>
        <v>0</v>
      </c>
      <c r="AJ4021" s="55">
        <f t="shared" si="1460"/>
        <v>0</v>
      </c>
      <c r="AK4021" s="55">
        <f>IF($AE4021="",0,COUNTIFS(rl_key,Inputs!$J$295,$AF$3806:$AF$4045,$AF4021,$AE$3806:$AE$4045,"&lt;"&amp;$AE4021))</f>
        <v>0</v>
      </c>
      <c r="AL4021" s="55">
        <f>IF($AE4021="",0,COUNTIFS(Inputs!$J$80:$J$295,Inputs!$J$295,$AF$3806:$AF4021,$AF4021,$AE$3806:$AE4021,$AE4021))</f>
        <v>0</v>
      </c>
      <c r="AM4021" s="55">
        <f t="shared" si="1461"/>
        <v>0</v>
      </c>
    </row>
    <row r="4022" spans="1:39" x14ac:dyDescent="0.25">
      <c r="A4022" s="54" t="str">
        <f>IF(Inputs!$C$296="","",IF(Inputs!$E$296="planned",EDATE(Inputs!$C$296,N(INDEX(sc_shift,1))),Inputs!$C$296))</f>
        <v/>
      </c>
      <c r="B4022" s="54" t="str">
        <f t="shared" si="1450"/>
        <v/>
      </c>
      <c r="C4022" s="52">
        <f>IF(N(INDEX(sc_ach,1))=0,IF(Inputs!$G$296="",1,Inputs!$G$296),INDEX(sc_ach,1))</f>
        <v>1</v>
      </c>
      <c r="D4022" s="52">
        <f>IF(Inputs!$C$296="",0,IF(Inputs!$E$296="planned",(Inputs!$D$296+N(INDEX(sc_dpts,1)))*$C4022,Inputs!$D$296))</f>
        <v>0</v>
      </c>
      <c r="E4022" s="53">
        <f>IF(Inputs!$C$296="",0,IF(1+$D4022&gt;0,LN(1+$D4022),0))</f>
        <v>0</v>
      </c>
      <c r="F4022" s="55">
        <f t="shared" si="1451"/>
        <v>0</v>
      </c>
      <c r="G4022" s="55">
        <f>IF($A4022="",0,COUNTIFS(rl_key,Inputs!$J$296,$B$3806:$B$4045,$B4022,$A$3806:$A$4045,"&lt;"&amp;$A4022))</f>
        <v>0</v>
      </c>
      <c r="H4022" s="55">
        <f>IF($A4022="",0,COUNTIFS(Inputs!$J$80:$J$296,Inputs!$J$296,$B$3806:$B4022,$B4022,$A$3806:$A4022,$A4022))</f>
        <v>0</v>
      </c>
      <c r="I4022" s="55">
        <f t="shared" si="1452"/>
        <v>0</v>
      </c>
      <c r="K4022" s="54" t="str">
        <f>IF(Inputs!$C$296="","",IF(Inputs!$E$296="planned",EDATE(Inputs!$C$296,N(INDEX(sc_shift,2))),Inputs!$C$296))</f>
        <v/>
      </c>
      <c r="L4022" s="54" t="str">
        <f t="shared" si="1453"/>
        <v/>
      </c>
      <c r="M4022" s="52">
        <f>IF(N(INDEX(sc_ach,2))=0,IF(Inputs!$G$296="",1,Inputs!$G$296),INDEX(sc_ach,2))</f>
        <v>1</v>
      </c>
      <c r="N4022" s="52">
        <f>IF(Inputs!$C$296="",0,IF(Inputs!$E$296="planned",(Inputs!$D$296+N(INDEX(sc_dpts,2)))*$M4022,Inputs!$D$296))</f>
        <v>0</v>
      </c>
      <c r="O4022" s="53">
        <f>IF(Inputs!$C$296="",0,IF(1+$N4022&gt;0,LN(1+$N4022),0))</f>
        <v>0</v>
      </c>
      <c r="P4022" s="55">
        <f t="shared" si="1454"/>
        <v>0</v>
      </c>
      <c r="Q4022" s="55">
        <f>IF($K4022="",0,COUNTIFS(rl_key,Inputs!$J$296,$L$3806:$L$4045,$L4022,$K$3806:$K$4045,"&lt;"&amp;$K4022))</f>
        <v>0</v>
      </c>
      <c r="R4022" s="55">
        <f>IF($K4022="",0,COUNTIFS(Inputs!$J$80:$J$296,Inputs!$J$296,$L$3806:$L4022,$L4022,$K$3806:$K4022,$K4022))</f>
        <v>0</v>
      </c>
      <c r="S4022" s="55">
        <f t="shared" si="1455"/>
        <v>0</v>
      </c>
      <c r="U4022" s="54" t="str">
        <f>IF(Inputs!$C$296="","",IF(Inputs!$E$296="planned",EDATE(Inputs!$C$296,N(INDEX(sc_shift,3))),Inputs!$C$296))</f>
        <v/>
      </c>
      <c r="V4022" s="54" t="str">
        <f t="shared" si="1456"/>
        <v/>
      </c>
      <c r="W4022" s="52">
        <f>IF(N(INDEX(sc_ach,3))=0,IF(Inputs!$G$296="",1,Inputs!$G$296),INDEX(sc_ach,3))</f>
        <v>1</v>
      </c>
      <c r="X4022" s="52">
        <f>IF(Inputs!$C$296="",0,IF(Inputs!$E$296="planned",(Inputs!$D$296+N(INDEX(sc_dpts,3)))*$W4022,Inputs!$D$296))</f>
        <v>0</v>
      </c>
      <c r="Y4022" s="53">
        <f>IF(Inputs!$C$296="",0,IF(1+$X4022&gt;0,LN(1+$X4022),0))</f>
        <v>0</v>
      </c>
      <c r="Z4022" s="55">
        <f t="shared" si="1457"/>
        <v>0</v>
      </c>
      <c r="AA4022" s="55">
        <f>IF($U4022="",0,COUNTIFS(rl_key,Inputs!$J$296,$V$3806:$V$4045,$V4022,$U$3806:$U$4045,"&lt;"&amp;$U4022))</f>
        <v>0</v>
      </c>
      <c r="AB4022" s="55">
        <f>IF($U4022="",0,COUNTIFS(Inputs!$J$80:$J$296,Inputs!$J$296,$V$3806:$V4022,$V4022,$U$3806:$U4022,$U4022))</f>
        <v>0</v>
      </c>
      <c r="AC4022" s="55">
        <f t="shared" si="1458"/>
        <v>0</v>
      </c>
      <c r="AE4022" s="54" t="str">
        <f>IF(Inputs!$C$296="","",IF(Inputs!$E$296="planned",EDATE(Inputs!$C$296,N(INDEX(sc_shift,4))),Inputs!$C$296))</f>
        <v/>
      </c>
      <c r="AF4022" s="54" t="str">
        <f t="shared" si="1459"/>
        <v/>
      </c>
      <c r="AG4022" s="52">
        <f>IF(N(INDEX(sc_ach,4))=0,IF(Inputs!$G$296="",1,Inputs!$G$296),INDEX(sc_ach,4))</f>
        <v>1</v>
      </c>
      <c r="AH4022" s="52">
        <f>IF(Inputs!$C$296="",0,IF(Inputs!$E$296="planned",(Inputs!$D$296+N(INDEX(sc_dpts,4)))*$AG4022,Inputs!$D$296))</f>
        <v>0</v>
      </c>
      <c r="AI4022" s="53">
        <f>IF(Inputs!$C$296="",0,IF(1+$AH4022&gt;0,LN(1+$AH4022),0))</f>
        <v>0</v>
      </c>
      <c r="AJ4022" s="55">
        <f t="shared" si="1460"/>
        <v>0</v>
      </c>
      <c r="AK4022" s="55">
        <f>IF($AE4022="",0,COUNTIFS(rl_key,Inputs!$J$296,$AF$3806:$AF$4045,$AF4022,$AE$3806:$AE$4045,"&lt;"&amp;$AE4022))</f>
        <v>0</v>
      </c>
      <c r="AL4022" s="55">
        <f>IF($AE4022="",0,COUNTIFS(Inputs!$J$80:$J$296,Inputs!$J$296,$AF$3806:$AF4022,$AF4022,$AE$3806:$AE4022,$AE4022))</f>
        <v>0</v>
      </c>
      <c r="AM4022" s="55">
        <f t="shared" si="1461"/>
        <v>0</v>
      </c>
    </row>
    <row r="4023" spans="1:39" x14ac:dyDescent="0.25">
      <c r="A4023" s="54" t="str">
        <f>IF(Inputs!$C$297="","",IF(Inputs!$E$297="planned",EDATE(Inputs!$C$297,N(INDEX(sc_shift,1))),Inputs!$C$297))</f>
        <v/>
      </c>
      <c r="B4023" s="54" t="str">
        <f t="shared" si="1450"/>
        <v/>
      </c>
      <c r="C4023" s="52">
        <f>IF(N(INDEX(sc_ach,1))=0,IF(Inputs!$G$297="",1,Inputs!$G$297),INDEX(sc_ach,1))</f>
        <v>1</v>
      </c>
      <c r="D4023" s="52">
        <f>IF(Inputs!$C$297="",0,IF(Inputs!$E$297="planned",(Inputs!$D$297+N(INDEX(sc_dpts,1)))*$C4023,Inputs!$D$297))</f>
        <v>0</v>
      </c>
      <c r="E4023" s="53">
        <f>IF(Inputs!$C$297="",0,IF(1+$D4023&gt;0,LN(1+$D4023),0))</f>
        <v>0</v>
      </c>
      <c r="F4023" s="55">
        <f t="shared" si="1451"/>
        <v>0</v>
      </c>
      <c r="G4023" s="55">
        <f>IF($A4023="",0,COUNTIFS(rl_key,Inputs!$J$297,$B$3806:$B$4045,$B4023,$A$3806:$A$4045,"&lt;"&amp;$A4023))</f>
        <v>0</v>
      </c>
      <c r="H4023" s="55">
        <f>IF($A4023="",0,COUNTIFS(Inputs!$J$80:$J$297,Inputs!$J$297,$B$3806:$B4023,$B4023,$A$3806:$A4023,$A4023))</f>
        <v>0</v>
      </c>
      <c r="I4023" s="55">
        <f t="shared" si="1452"/>
        <v>0</v>
      </c>
      <c r="K4023" s="54" t="str">
        <f>IF(Inputs!$C$297="","",IF(Inputs!$E$297="planned",EDATE(Inputs!$C$297,N(INDEX(sc_shift,2))),Inputs!$C$297))</f>
        <v/>
      </c>
      <c r="L4023" s="54" t="str">
        <f t="shared" si="1453"/>
        <v/>
      </c>
      <c r="M4023" s="52">
        <f>IF(N(INDEX(sc_ach,2))=0,IF(Inputs!$G$297="",1,Inputs!$G$297),INDEX(sc_ach,2))</f>
        <v>1</v>
      </c>
      <c r="N4023" s="52">
        <f>IF(Inputs!$C$297="",0,IF(Inputs!$E$297="planned",(Inputs!$D$297+N(INDEX(sc_dpts,2)))*$M4023,Inputs!$D$297))</f>
        <v>0</v>
      </c>
      <c r="O4023" s="53">
        <f>IF(Inputs!$C$297="",0,IF(1+$N4023&gt;0,LN(1+$N4023),0))</f>
        <v>0</v>
      </c>
      <c r="P4023" s="55">
        <f t="shared" si="1454"/>
        <v>0</v>
      </c>
      <c r="Q4023" s="55">
        <f>IF($K4023="",0,COUNTIFS(rl_key,Inputs!$J$297,$L$3806:$L$4045,$L4023,$K$3806:$K$4045,"&lt;"&amp;$K4023))</f>
        <v>0</v>
      </c>
      <c r="R4023" s="55">
        <f>IF($K4023="",0,COUNTIFS(Inputs!$J$80:$J$297,Inputs!$J$297,$L$3806:$L4023,$L4023,$K$3806:$K4023,$K4023))</f>
        <v>0</v>
      </c>
      <c r="S4023" s="55">
        <f t="shared" si="1455"/>
        <v>0</v>
      </c>
      <c r="U4023" s="54" t="str">
        <f>IF(Inputs!$C$297="","",IF(Inputs!$E$297="planned",EDATE(Inputs!$C$297,N(INDEX(sc_shift,3))),Inputs!$C$297))</f>
        <v/>
      </c>
      <c r="V4023" s="54" t="str">
        <f t="shared" si="1456"/>
        <v/>
      </c>
      <c r="W4023" s="52">
        <f>IF(N(INDEX(sc_ach,3))=0,IF(Inputs!$G$297="",1,Inputs!$G$297),INDEX(sc_ach,3))</f>
        <v>1</v>
      </c>
      <c r="X4023" s="52">
        <f>IF(Inputs!$C$297="",0,IF(Inputs!$E$297="planned",(Inputs!$D$297+N(INDEX(sc_dpts,3)))*$W4023,Inputs!$D$297))</f>
        <v>0</v>
      </c>
      <c r="Y4023" s="53">
        <f>IF(Inputs!$C$297="",0,IF(1+$X4023&gt;0,LN(1+$X4023),0))</f>
        <v>0</v>
      </c>
      <c r="Z4023" s="55">
        <f t="shared" si="1457"/>
        <v>0</v>
      </c>
      <c r="AA4023" s="55">
        <f>IF($U4023="",0,COUNTIFS(rl_key,Inputs!$J$297,$V$3806:$V$4045,$V4023,$U$3806:$U$4045,"&lt;"&amp;$U4023))</f>
        <v>0</v>
      </c>
      <c r="AB4023" s="55">
        <f>IF($U4023="",0,COUNTIFS(Inputs!$J$80:$J$297,Inputs!$J$297,$V$3806:$V4023,$V4023,$U$3806:$U4023,$U4023))</f>
        <v>0</v>
      </c>
      <c r="AC4023" s="55">
        <f t="shared" si="1458"/>
        <v>0</v>
      </c>
      <c r="AE4023" s="54" t="str">
        <f>IF(Inputs!$C$297="","",IF(Inputs!$E$297="planned",EDATE(Inputs!$C$297,N(INDEX(sc_shift,4))),Inputs!$C$297))</f>
        <v/>
      </c>
      <c r="AF4023" s="54" t="str">
        <f t="shared" si="1459"/>
        <v/>
      </c>
      <c r="AG4023" s="52">
        <f>IF(N(INDEX(sc_ach,4))=0,IF(Inputs!$G$297="",1,Inputs!$G$297),INDEX(sc_ach,4))</f>
        <v>1</v>
      </c>
      <c r="AH4023" s="52">
        <f>IF(Inputs!$C$297="",0,IF(Inputs!$E$297="planned",(Inputs!$D$297+N(INDEX(sc_dpts,4)))*$AG4023,Inputs!$D$297))</f>
        <v>0</v>
      </c>
      <c r="AI4023" s="53">
        <f>IF(Inputs!$C$297="",0,IF(1+$AH4023&gt;0,LN(1+$AH4023),0))</f>
        <v>0</v>
      </c>
      <c r="AJ4023" s="55">
        <f t="shared" si="1460"/>
        <v>0</v>
      </c>
      <c r="AK4023" s="55">
        <f>IF($AE4023="",0,COUNTIFS(rl_key,Inputs!$J$297,$AF$3806:$AF$4045,$AF4023,$AE$3806:$AE$4045,"&lt;"&amp;$AE4023))</f>
        <v>0</v>
      </c>
      <c r="AL4023" s="55">
        <f>IF($AE4023="",0,COUNTIFS(Inputs!$J$80:$J$297,Inputs!$J$297,$AF$3806:$AF4023,$AF4023,$AE$3806:$AE4023,$AE4023))</f>
        <v>0</v>
      </c>
      <c r="AM4023" s="55">
        <f t="shared" si="1461"/>
        <v>0</v>
      </c>
    </row>
    <row r="4024" spans="1:39" x14ac:dyDescent="0.25">
      <c r="A4024" s="54" t="str">
        <f>IF(Inputs!$C$298="","",IF(Inputs!$E$298="planned",EDATE(Inputs!$C$298,N(INDEX(sc_shift,1))),Inputs!$C$298))</f>
        <v/>
      </c>
      <c r="B4024" s="54" t="str">
        <f t="shared" si="1450"/>
        <v/>
      </c>
      <c r="C4024" s="52">
        <f>IF(N(INDEX(sc_ach,1))=0,IF(Inputs!$G$298="",1,Inputs!$G$298),INDEX(sc_ach,1))</f>
        <v>1</v>
      </c>
      <c r="D4024" s="52">
        <f>IF(Inputs!$C$298="",0,IF(Inputs!$E$298="planned",(Inputs!$D$298+N(INDEX(sc_dpts,1)))*$C4024,Inputs!$D$298))</f>
        <v>0</v>
      </c>
      <c r="E4024" s="53">
        <f>IF(Inputs!$C$298="",0,IF(1+$D4024&gt;0,LN(1+$D4024),0))</f>
        <v>0</v>
      </c>
      <c r="F4024" s="55">
        <f t="shared" si="1451"/>
        <v>0</v>
      </c>
      <c r="G4024" s="55">
        <f>IF($A4024="",0,COUNTIFS(rl_key,Inputs!$J$298,$B$3806:$B$4045,$B4024,$A$3806:$A$4045,"&lt;"&amp;$A4024))</f>
        <v>0</v>
      </c>
      <c r="H4024" s="55">
        <f>IF($A4024="",0,COUNTIFS(Inputs!$J$80:$J$298,Inputs!$J$298,$B$3806:$B4024,$B4024,$A$3806:$A4024,$A4024))</f>
        <v>0</v>
      </c>
      <c r="I4024" s="55">
        <f t="shared" si="1452"/>
        <v>0</v>
      </c>
      <c r="K4024" s="54" t="str">
        <f>IF(Inputs!$C$298="","",IF(Inputs!$E$298="planned",EDATE(Inputs!$C$298,N(INDEX(sc_shift,2))),Inputs!$C$298))</f>
        <v/>
      </c>
      <c r="L4024" s="54" t="str">
        <f t="shared" si="1453"/>
        <v/>
      </c>
      <c r="M4024" s="52">
        <f>IF(N(INDEX(sc_ach,2))=0,IF(Inputs!$G$298="",1,Inputs!$G$298),INDEX(sc_ach,2))</f>
        <v>1</v>
      </c>
      <c r="N4024" s="52">
        <f>IF(Inputs!$C$298="",0,IF(Inputs!$E$298="planned",(Inputs!$D$298+N(INDEX(sc_dpts,2)))*$M4024,Inputs!$D$298))</f>
        <v>0</v>
      </c>
      <c r="O4024" s="53">
        <f>IF(Inputs!$C$298="",0,IF(1+$N4024&gt;0,LN(1+$N4024),0))</f>
        <v>0</v>
      </c>
      <c r="P4024" s="55">
        <f t="shared" si="1454"/>
        <v>0</v>
      </c>
      <c r="Q4024" s="55">
        <f>IF($K4024="",0,COUNTIFS(rl_key,Inputs!$J$298,$L$3806:$L$4045,$L4024,$K$3806:$K$4045,"&lt;"&amp;$K4024))</f>
        <v>0</v>
      </c>
      <c r="R4024" s="55">
        <f>IF($K4024="",0,COUNTIFS(Inputs!$J$80:$J$298,Inputs!$J$298,$L$3806:$L4024,$L4024,$K$3806:$K4024,$K4024))</f>
        <v>0</v>
      </c>
      <c r="S4024" s="55">
        <f t="shared" si="1455"/>
        <v>0</v>
      </c>
      <c r="U4024" s="54" t="str">
        <f>IF(Inputs!$C$298="","",IF(Inputs!$E$298="planned",EDATE(Inputs!$C$298,N(INDEX(sc_shift,3))),Inputs!$C$298))</f>
        <v/>
      </c>
      <c r="V4024" s="54" t="str">
        <f t="shared" si="1456"/>
        <v/>
      </c>
      <c r="W4024" s="52">
        <f>IF(N(INDEX(sc_ach,3))=0,IF(Inputs!$G$298="",1,Inputs!$G$298),INDEX(sc_ach,3))</f>
        <v>1</v>
      </c>
      <c r="X4024" s="52">
        <f>IF(Inputs!$C$298="",0,IF(Inputs!$E$298="planned",(Inputs!$D$298+N(INDEX(sc_dpts,3)))*$W4024,Inputs!$D$298))</f>
        <v>0</v>
      </c>
      <c r="Y4024" s="53">
        <f>IF(Inputs!$C$298="",0,IF(1+$X4024&gt;0,LN(1+$X4024),0))</f>
        <v>0</v>
      </c>
      <c r="Z4024" s="55">
        <f t="shared" si="1457"/>
        <v>0</v>
      </c>
      <c r="AA4024" s="55">
        <f>IF($U4024="",0,COUNTIFS(rl_key,Inputs!$J$298,$V$3806:$V$4045,$V4024,$U$3806:$U$4045,"&lt;"&amp;$U4024))</f>
        <v>0</v>
      </c>
      <c r="AB4024" s="55">
        <f>IF($U4024="",0,COUNTIFS(Inputs!$J$80:$J$298,Inputs!$J$298,$V$3806:$V4024,$V4024,$U$3806:$U4024,$U4024))</f>
        <v>0</v>
      </c>
      <c r="AC4024" s="55">
        <f t="shared" si="1458"/>
        <v>0</v>
      </c>
      <c r="AE4024" s="54" t="str">
        <f>IF(Inputs!$C$298="","",IF(Inputs!$E$298="planned",EDATE(Inputs!$C$298,N(INDEX(sc_shift,4))),Inputs!$C$298))</f>
        <v/>
      </c>
      <c r="AF4024" s="54" t="str">
        <f t="shared" si="1459"/>
        <v/>
      </c>
      <c r="AG4024" s="52">
        <f>IF(N(INDEX(sc_ach,4))=0,IF(Inputs!$G$298="",1,Inputs!$G$298),INDEX(sc_ach,4))</f>
        <v>1</v>
      </c>
      <c r="AH4024" s="52">
        <f>IF(Inputs!$C$298="",0,IF(Inputs!$E$298="planned",(Inputs!$D$298+N(INDEX(sc_dpts,4)))*$AG4024,Inputs!$D$298))</f>
        <v>0</v>
      </c>
      <c r="AI4024" s="53">
        <f>IF(Inputs!$C$298="",0,IF(1+$AH4024&gt;0,LN(1+$AH4024),0))</f>
        <v>0</v>
      </c>
      <c r="AJ4024" s="55">
        <f t="shared" si="1460"/>
        <v>0</v>
      </c>
      <c r="AK4024" s="55">
        <f>IF($AE4024="",0,COUNTIFS(rl_key,Inputs!$J$298,$AF$3806:$AF$4045,$AF4024,$AE$3806:$AE$4045,"&lt;"&amp;$AE4024))</f>
        <v>0</v>
      </c>
      <c r="AL4024" s="55">
        <f>IF($AE4024="",0,COUNTIFS(Inputs!$J$80:$J$298,Inputs!$J$298,$AF$3806:$AF4024,$AF4024,$AE$3806:$AE4024,$AE4024))</f>
        <v>0</v>
      </c>
      <c r="AM4024" s="55">
        <f t="shared" si="1461"/>
        <v>0</v>
      </c>
    </row>
    <row r="4025" spans="1:39" x14ac:dyDescent="0.25">
      <c r="A4025" s="54" t="str">
        <f>IF(Inputs!$C$299="","",IF(Inputs!$E$299="planned",EDATE(Inputs!$C$299,N(INDEX(sc_shift,1))),Inputs!$C$299))</f>
        <v/>
      </c>
      <c r="B4025" s="54" t="str">
        <f t="shared" si="1450"/>
        <v/>
      </c>
      <c r="C4025" s="52">
        <f>IF(N(INDEX(sc_ach,1))=0,IF(Inputs!$G$299="",1,Inputs!$G$299),INDEX(sc_ach,1))</f>
        <v>1</v>
      </c>
      <c r="D4025" s="52">
        <f>IF(Inputs!$C$299="",0,IF(Inputs!$E$299="planned",(Inputs!$D$299+N(INDEX(sc_dpts,1)))*$C4025,Inputs!$D$299))</f>
        <v>0</v>
      </c>
      <c r="E4025" s="53">
        <f>IF(Inputs!$C$299="",0,IF(1+$D4025&gt;0,LN(1+$D4025),0))</f>
        <v>0</v>
      </c>
      <c r="F4025" s="55">
        <f t="shared" si="1451"/>
        <v>0</v>
      </c>
      <c r="G4025" s="55">
        <f>IF($A4025="",0,COUNTIFS(rl_key,Inputs!$J$299,$B$3806:$B$4045,$B4025,$A$3806:$A$4045,"&lt;"&amp;$A4025))</f>
        <v>0</v>
      </c>
      <c r="H4025" s="55">
        <f>IF($A4025="",0,COUNTIFS(Inputs!$J$80:$J$299,Inputs!$J$299,$B$3806:$B4025,$B4025,$A$3806:$A4025,$A4025))</f>
        <v>0</v>
      </c>
      <c r="I4025" s="55">
        <f t="shared" si="1452"/>
        <v>0</v>
      </c>
      <c r="K4025" s="54" t="str">
        <f>IF(Inputs!$C$299="","",IF(Inputs!$E$299="planned",EDATE(Inputs!$C$299,N(INDEX(sc_shift,2))),Inputs!$C$299))</f>
        <v/>
      </c>
      <c r="L4025" s="54" t="str">
        <f t="shared" si="1453"/>
        <v/>
      </c>
      <c r="M4025" s="52">
        <f>IF(N(INDEX(sc_ach,2))=0,IF(Inputs!$G$299="",1,Inputs!$G$299),INDEX(sc_ach,2))</f>
        <v>1</v>
      </c>
      <c r="N4025" s="52">
        <f>IF(Inputs!$C$299="",0,IF(Inputs!$E$299="planned",(Inputs!$D$299+N(INDEX(sc_dpts,2)))*$M4025,Inputs!$D$299))</f>
        <v>0</v>
      </c>
      <c r="O4025" s="53">
        <f>IF(Inputs!$C$299="",0,IF(1+$N4025&gt;0,LN(1+$N4025),0))</f>
        <v>0</v>
      </c>
      <c r="P4025" s="55">
        <f t="shared" si="1454"/>
        <v>0</v>
      </c>
      <c r="Q4025" s="55">
        <f>IF($K4025="",0,COUNTIFS(rl_key,Inputs!$J$299,$L$3806:$L$4045,$L4025,$K$3806:$K$4045,"&lt;"&amp;$K4025))</f>
        <v>0</v>
      </c>
      <c r="R4025" s="55">
        <f>IF($K4025="",0,COUNTIFS(Inputs!$J$80:$J$299,Inputs!$J$299,$L$3806:$L4025,$L4025,$K$3806:$K4025,$K4025))</f>
        <v>0</v>
      </c>
      <c r="S4025" s="55">
        <f t="shared" si="1455"/>
        <v>0</v>
      </c>
      <c r="U4025" s="54" t="str">
        <f>IF(Inputs!$C$299="","",IF(Inputs!$E$299="planned",EDATE(Inputs!$C$299,N(INDEX(sc_shift,3))),Inputs!$C$299))</f>
        <v/>
      </c>
      <c r="V4025" s="54" t="str">
        <f t="shared" si="1456"/>
        <v/>
      </c>
      <c r="W4025" s="52">
        <f>IF(N(INDEX(sc_ach,3))=0,IF(Inputs!$G$299="",1,Inputs!$G$299),INDEX(sc_ach,3))</f>
        <v>1</v>
      </c>
      <c r="X4025" s="52">
        <f>IF(Inputs!$C$299="",0,IF(Inputs!$E$299="planned",(Inputs!$D$299+N(INDEX(sc_dpts,3)))*$W4025,Inputs!$D$299))</f>
        <v>0</v>
      </c>
      <c r="Y4025" s="53">
        <f>IF(Inputs!$C$299="",0,IF(1+$X4025&gt;0,LN(1+$X4025),0))</f>
        <v>0</v>
      </c>
      <c r="Z4025" s="55">
        <f t="shared" si="1457"/>
        <v>0</v>
      </c>
      <c r="AA4025" s="55">
        <f>IF($U4025="",0,COUNTIFS(rl_key,Inputs!$J$299,$V$3806:$V$4045,$V4025,$U$3806:$U$4045,"&lt;"&amp;$U4025))</f>
        <v>0</v>
      </c>
      <c r="AB4025" s="55">
        <f>IF($U4025="",0,COUNTIFS(Inputs!$J$80:$J$299,Inputs!$J$299,$V$3806:$V4025,$V4025,$U$3806:$U4025,$U4025))</f>
        <v>0</v>
      </c>
      <c r="AC4025" s="55">
        <f t="shared" si="1458"/>
        <v>0</v>
      </c>
      <c r="AE4025" s="54" t="str">
        <f>IF(Inputs!$C$299="","",IF(Inputs!$E$299="planned",EDATE(Inputs!$C$299,N(INDEX(sc_shift,4))),Inputs!$C$299))</f>
        <v/>
      </c>
      <c r="AF4025" s="54" t="str">
        <f t="shared" si="1459"/>
        <v/>
      </c>
      <c r="AG4025" s="52">
        <f>IF(N(INDEX(sc_ach,4))=0,IF(Inputs!$G$299="",1,Inputs!$G$299),INDEX(sc_ach,4))</f>
        <v>1</v>
      </c>
      <c r="AH4025" s="52">
        <f>IF(Inputs!$C$299="",0,IF(Inputs!$E$299="planned",(Inputs!$D$299+N(INDEX(sc_dpts,4)))*$AG4025,Inputs!$D$299))</f>
        <v>0</v>
      </c>
      <c r="AI4025" s="53">
        <f>IF(Inputs!$C$299="",0,IF(1+$AH4025&gt;0,LN(1+$AH4025),0))</f>
        <v>0</v>
      </c>
      <c r="AJ4025" s="55">
        <f t="shared" si="1460"/>
        <v>0</v>
      </c>
      <c r="AK4025" s="55">
        <f>IF($AE4025="",0,COUNTIFS(rl_key,Inputs!$J$299,$AF$3806:$AF$4045,$AF4025,$AE$3806:$AE$4045,"&lt;"&amp;$AE4025))</f>
        <v>0</v>
      </c>
      <c r="AL4025" s="55">
        <f>IF($AE4025="",0,COUNTIFS(Inputs!$J$80:$J$299,Inputs!$J$299,$AF$3806:$AF4025,$AF4025,$AE$3806:$AE4025,$AE4025))</f>
        <v>0</v>
      </c>
      <c r="AM4025" s="55">
        <f t="shared" si="1461"/>
        <v>0</v>
      </c>
    </row>
    <row r="4026" spans="1:39" x14ac:dyDescent="0.25">
      <c r="A4026" s="54" t="str">
        <f>IF(Inputs!$C$300="","",IF(Inputs!$E$300="planned",EDATE(Inputs!$C$300,N(INDEX(sc_shift,1))),Inputs!$C$300))</f>
        <v/>
      </c>
      <c r="B4026" s="54" t="str">
        <f t="shared" si="1450"/>
        <v/>
      </c>
      <c r="C4026" s="52">
        <f>IF(N(INDEX(sc_ach,1))=0,IF(Inputs!$G$300="",1,Inputs!$G$300),INDEX(sc_ach,1))</f>
        <v>1</v>
      </c>
      <c r="D4026" s="52">
        <f>IF(Inputs!$C$300="",0,IF(Inputs!$E$300="planned",(Inputs!$D$300+N(INDEX(sc_dpts,1)))*$C4026,Inputs!$D$300))</f>
        <v>0</v>
      </c>
      <c r="E4026" s="53">
        <f>IF(Inputs!$C$300="",0,IF(1+$D4026&gt;0,LN(1+$D4026),0))</f>
        <v>0</v>
      </c>
      <c r="F4026" s="55">
        <f t="shared" si="1451"/>
        <v>0</v>
      </c>
      <c r="G4026" s="55">
        <f>IF($A4026="",0,COUNTIFS(rl_key,Inputs!$J$300,$B$3806:$B$4045,$B4026,$A$3806:$A$4045,"&lt;"&amp;$A4026))</f>
        <v>0</v>
      </c>
      <c r="H4026" s="55">
        <f>IF($A4026="",0,COUNTIFS(Inputs!$J$80:$J$300,Inputs!$J$300,$B$3806:$B4026,$B4026,$A$3806:$A4026,$A4026))</f>
        <v>0</v>
      </c>
      <c r="I4026" s="55">
        <f t="shared" si="1452"/>
        <v>0</v>
      </c>
      <c r="K4026" s="54" t="str">
        <f>IF(Inputs!$C$300="","",IF(Inputs!$E$300="planned",EDATE(Inputs!$C$300,N(INDEX(sc_shift,2))),Inputs!$C$300))</f>
        <v/>
      </c>
      <c r="L4026" s="54" t="str">
        <f t="shared" si="1453"/>
        <v/>
      </c>
      <c r="M4026" s="52">
        <f>IF(N(INDEX(sc_ach,2))=0,IF(Inputs!$G$300="",1,Inputs!$G$300),INDEX(sc_ach,2))</f>
        <v>1</v>
      </c>
      <c r="N4026" s="52">
        <f>IF(Inputs!$C$300="",0,IF(Inputs!$E$300="planned",(Inputs!$D$300+N(INDEX(sc_dpts,2)))*$M4026,Inputs!$D$300))</f>
        <v>0</v>
      </c>
      <c r="O4026" s="53">
        <f>IF(Inputs!$C$300="",0,IF(1+$N4026&gt;0,LN(1+$N4026),0))</f>
        <v>0</v>
      </c>
      <c r="P4026" s="55">
        <f t="shared" si="1454"/>
        <v>0</v>
      </c>
      <c r="Q4026" s="55">
        <f>IF($K4026="",0,COUNTIFS(rl_key,Inputs!$J$300,$L$3806:$L$4045,$L4026,$K$3806:$K$4045,"&lt;"&amp;$K4026))</f>
        <v>0</v>
      </c>
      <c r="R4026" s="55">
        <f>IF($K4026="",0,COUNTIFS(Inputs!$J$80:$J$300,Inputs!$J$300,$L$3806:$L4026,$L4026,$K$3806:$K4026,$K4026))</f>
        <v>0</v>
      </c>
      <c r="S4026" s="55">
        <f t="shared" si="1455"/>
        <v>0</v>
      </c>
      <c r="U4026" s="54" t="str">
        <f>IF(Inputs!$C$300="","",IF(Inputs!$E$300="planned",EDATE(Inputs!$C$300,N(INDEX(sc_shift,3))),Inputs!$C$300))</f>
        <v/>
      </c>
      <c r="V4026" s="54" t="str">
        <f t="shared" si="1456"/>
        <v/>
      </c>
      <c r="W4026" s="52">
        <f>IF(N(INDEX(sc_ach,3))=0,IF(Inputs!$G$300="",1,Inputs!$G$300),INDEX(sc_ach,3))</f>
        <v>1</v>
      </c>
      <c r="X4026" s="52">
        <f>IF(Inputs!$C$300="",0,IF(Inputs!$E$300="planned",(Inputs!$D$300+N(INDEX(sc_dpts,3)))*$W4026,Inputs!$D$300))</f>
        <v>0</v>
      </c>
      <c r="Y4026" s="53">
        <f>IF(Inputs!$C$300="",0,IF(1+$X4026&gt;0,LN(1+$X4026),0))</f>
        <v>0</v>
      </c>
      <c r="Z4026" s="55">
        <f t="shared" si="1457"/>
        <v>0</v>
      </c>
      <c r="AA4026" s="55">
        <f>IF($U4026="",0,COUNTIFS(rl_key,Inputs!$J$300,$V$3806:$V$4045,$V4026,$U$3806:$U$4045,"&lt;"&amp;$U4026))</f>
        <v>0</v>
      </c>
      <c r="AB4026" s="55">
        <f>IF($U4026="",0,COUNTIFS(Inputs!$J$80:$J$300,Inputs!$J$300,$V$3806:$V4026,$V4026,$U$3806:$U4026,$U4026))</f>
        <v>0</v>
      </c>
      <c r="AC4026" s="55">
        <f t="shared" si="1458"/>
        <v>0</v>
      </c>
      <c r="AE4026" s="54" t="str">
        <f>IF(Inputs!$C$300="","",IF(Inputs!$E$300="planned",EDATE(Inputs!$C$300,N(INDEX(sc_shift,4))),Inputs!$C$300))</f>
        <v/>
      </c>
      <c r="AF4026" s="54" t="str">
        <f t="shared" si="1459"/>
        <v/>
      </c>
      <c r="AG4026" s="52">
        <f>IF(N(INDEX(sc_ach,4))=0,IF(Inputs!$G$300="",1,Inputs!$G$300),INDEX(sc_ach,4))</f>
        <v>1</v>
      </c>
      <c r="AH4026" s="52">
        <f>IF(Inputs!$C$300="",0,IF(Inputs!$E$300="planned",(Inputs!$D$300+N(INDEX(sc_dpts,4)))*$AG4026,Inputs!$D$300))</f>
        <v>0</v>
      </c>
      <c r="AI4026" s="53">
        <f>IF(Inputs!$C$300="",0,IF(1+$AH4026&gt;0,LN(1+$AH4026),0))</f>
        <v>0</v>
      </c>
      <c r="AJ4026" s="55">
        <f t="shared" si="1460"/>
        <v>0</v>
      </c>
      <c r="AK4026" s="55">
        <f>IF($AE4026="",0,COUNTIFS(rl_key,Inputs!$J$300,$AF$3806:$AF$4045,$AF4026,$AE$3806:$AE$4045,"&lt;"&amp;$AE4026))</f>
        <v>0</v>
      </c>
      <c r="AL4026" s="55">
        <f>IF($AE4026="",0,COUNTIFS(Inputs!$J$80:$J$300,Inputs!$J$300,$AF$3806:$AF4026,$AF4026,$AE$3806:$AE4026,$AE4026))</f>
        <v>0</v>
      </c>
      <c r="AM4026" s="55">
        <f t="shared" si="1461"/>
        <v>0</v>
      </c>
    </row>
    <row r="4027" spans="1:39" x14ac:dyDescent="0.25">
      <c r="A4027" s="54" t="str">
        <f>IF(Inputs!$C$301="","",IF(Inputs!$E$301="planned",EDATE(Inputs!$C$301,N(INDEX(sc_shift,1))),Inputs!$C$301))</f>
        <v/>
      </c>
      <c r="B4027" s="54" t="str">
        <f t="shared" si="1450"/>
        <v/>
      </c>
      <c r="C4027" s="52">
        <f>IF(N(INDEX(sc_ach,1))=0,IF(Inputs!$G$301="",1,Inputs!$G$301),INDEX(sc_ach,1))</f>
        <v>1</v>
      </c>
      <c r="D4027" s="52">
        <f>IF(Inputs!$C$301="",0,IF(Inputs!$E$301="planned",(Inputs!$D$301+N(INDEX(sc_dpts,1)))*$C4027,Inputs!$D$301))</f>
        <v>0</v>
      </c>
      <c r="E4027" s="53">
        <f>IF(Inputs!$C$301="",0,IF(1+$D4027&gt;0,LN(1+$D4027),0))</f>
        <v>0</v>
      </c>
      <c r="F4027" s="55">
        <f t="shared" si="1451"/>
        <v>0</v>
      </c>
      <c r="G4027" s="55">
        <f>IF($A4027="",0,COUNTIFS(rl_key,Inputs!$J$301,$B$3806:$B$4045,$B4027,$A$3806:$A$4045,"&lt;"&amp;$A4027))</f>
        <v>0</v>
      </c>
      <c r="H4027" s="55">
        <f>IF($A4027="",0,COUNTIFS(Inputs!$J$80:$J$301,Inputs!$J$301,$B$3806:$B4027,$B4027,$A$3806:$A4027,$A4027))</f>
        <v>0</v>
      </c>
      <c r="I4027" s="55">
        <f t="shared" si="1452"/>
        <v>0</v>
      </c>
      <c r="K4027" s="54" t="str">
        <f>IF(Inputs!$C$301="","",IF(Inputs!$E$301="planned",EDATE(Inputs!$C$301,N(INDEX(sc_shift,2))),Inputs!$C$301))</f>
        <v/>
      </c>
      <c r="L4027" s="54" t="str">
        <f t="shared" si="1453"/>
        <v/>
      </c>
      <c r="M4027" s="52">
        <f>IF(N(INDEX(sc_ach,2))=0,IF(Inputs!$G$301="",1,Inputs!$G$301),INDEX(sc_ach,2))</f>
        <v>1</v>
      </c>
      <c r="N4027" s="52">
        <f>IF(Inputs!$C$301="",0,IF(Inputs!$E$301="planned",(Inputs!$D$301+N(INDEX(sc_dpts,2)))*$M4027,Inputs!$D$301))</f>
        <v>0</v>
      </c>
      <c r="O4027" s="53">
        <f>IF(Inputs!$C$301="",0,IF(1+$N4027&gt;0,LN(1+$N4027),0))</f>
        <v>0</v>
      </c>
      <c r="P4027" s="55">
        <f t="shared" si="1454"/>
        <v>0</v>
      </c>
      <c r="Q4027" s="55">
        <f>IF($K4027="",0,COUNTIFS(rl_key,Inputs!$J$301,$L$3806:$L$4045,$L4027,$K$3806:$K$4045,"&lt;"&amp;$K4027))</f>
        <v>0</v>
      </c>
      <c r="R4027" s="55">
        <f>IF($K4027="",0,COUNTIFS(Inputs!$J$80:$J$301,Inputs!$J$301,$L$3806:$L4027,$L4027,$K$3806:$K4027,$K4027))</f>
        <v>0</v>
      </c>
      <c r="S4027" s="55">
        <f t="shared" si="1455"/>
        <v>0</v>
      </c>
      <c r="U4027" s="54" t="str">
        <f>IF(Inputs!$C$301="","",IF(Inputs!$E$301="planned",EDATE(Inputs!$C$301,N(INDEX(sc_shift,3))),Inputs!$C$301))</f>
        <v/>
      </c>
      <c r="V4027" s="54" t="str">
        <f t="shared" si="1456"/>
        <v/>
      </c>
      <c r="W4027" s="52">
        <f>IF(N(INDEX(sc_ach,3))=0,IF(Inputs!$G$301="",1,Inputs!$G$301),INDEX(sc_ach,3))</f>
        <v>1</v>
      </c>
      <c r="X4027" s="52">
        <f>IF(Inputs!$C$301="",0,IF(Inputs!$E$301="planned",(Inputs!$D$301+N(INDEX(sc_dpts,3)))*$W4027,Inputs!$D$301))</f>
        <v>0</v>
      </c>
      <c r="Y4027" s="53">
        <f>IF(Inputs!$C$301="",0,IF(1+$X4027&gt;0,LN(1+$X4027),0))</f>
        <v>0</v>
      </c>
      <c r="Z4027" s="55">
        <f t="shared" si="1457"/>
        <v>0</v>
      </c>
      <c r="AA4027" s="55">
        <f>IF($U4027="",0,COUNTIFS(rl_key,Inputs!$J$301,$V$3806:$V$4045,$V4027,$U$3806:$U$4045,"&lt;"&amp;$U4027))</f>
        <v>0</v>
      </c>
      <c r="AB4027" s="55">
        <f>IF($U4027="",0,COUNTIFS(Inputs!$J$80:$J$301,Inputs!$J$301,$V$3806:$V4027,$V4027,$U$3806:$U4027,$U4027))</f>
        <v>0</v>
      </c>
      <c r="AC4027" s="55">
        <f t="shared" si="1458"/>
        <v>0</v>
      </c>
      <c r="AE4027" s="54" t="str">
        <f>IF(Inputs!$C$301="","",IF(Inputs!$E$301="planned",EDATE(Inputs!$C$301,N(INDEX(sc_shift,4))),Inputs!$C$301))</f>
        <v/>
      </c>
      <c r="AF4027" s="54" t="str">
        <f t="shared" si="1459"/>
        <v/>
      </c>
      <c r="AG4027" s="52">
        <f>IF(N(INDEX(sc_ach,4))=0,IF(Inputs!$G$301="",1,Inputs!$G$301),INDEX(sc_ach,4))</f>
        <v>1</v>
      </c>
      <c r="AH4027" s="52">
        <f>IF(Inputs!$C$301="",0,IF(Inputs!$E$301="planned",(Inputs!$D$301+N(INDEX(sc_dpts,4)))*$AG4027,Inputs!$D$301))</f>
        <v>0</v>
      </c>
      <c r="AI4027" s="53">
        <f>IF(Inputs!$C$301="",0,IF(1+$AH4027&gt;0,LN(1+$AH4027),0))</f>
        <v>0</v>
      </c>
      <c r="AJ4027" s="55">
        <f t="shared" si="1460"/>
        <v>0</v>
      </c>
      <c r="AK4027" s="55">
        <f>IF($AE4027="",0,COUNTIFS(rl_key,Inputs!$J$301,$AF$3806:$AF$4045,$AF4027,$AE$3806:$AE$4045,"&lt;"&amp;$AE4027))</f>
        <v>0</v>
      </c>
      <c r="AL4027" s="55">
        <f>IF($AE4027="",0,COUNTIFS(Inputs!$J$80:$J$301,Inputs!$J$301,$AF$3806:$AF4027,$AF4027,$AE$3806:$AE4027,$AE4027))</f>
        <v>0</v>
      </c>
      <c r="AM4027" s="55">
        <f t="shared" si="1461"/>
        <v>0</v>
      </c>
    </row>
    <row r="4028" spans="1:39" x14ac:dyDescent="0.25">
      <c r="A4028" s="54" t="str">
        <f>IF(Inputs!$C$302="","",IF(Inputs!$E$302="planned",EDATE(Inputs!$C$302,N(INDEX(sc_shift,1))),Inputs!$C$302))</f>
        <v/>
      </c>
      <c r="B4028" s="54" t="str">
        <f t="shared" si="1450"/>
        <v/>
      </c>
      <c r="C4028" s="52">
        <f>IF(N(INDEX(sc_ach,1))=0,IF(Inputs!$G$302="",1,Inputs!$G$302),INDEX(sc_ach,1))</f>
        <v>1</v>
      </c>
      <c r="D4028" s="52">
        <f>IF(Inputs!$C$302="",0,IF(Inputs!$E$302="planned",(Inputs!$D$302+N(INDEX(sc_dpts,1)))*$C4028,Inputs!$D$302))</f>
        <v>0</v>
      </c>
      <c r="E4028" s="53">
        <f>IF(Inputs!$C$302="",0,IF(1+$D4028&gt;0,LN(1+$D4028),0))</f>
        <v>0</v>
      </c>
      <c r="F4028" s="55">
        <f t="shared" si="1451"/>
        <v>0</v>
      </c>
      <c r="G4028" s="55">
        <f>IF($A4028="",0,COUNTIFS(rl_key,Inputs!$J$302,$B$3806:$B$4045,$B4028,$A$3806:$A$4045,"&lt;"&amp;$A4028))</f>
        <v>0</v>
      </c>
      <c r="H4028" s="55">
        <f>IF($A4028="",0,COUNTIFS(Inputs!$J$80:$J$302,Inputs!$J$302,$B$3806:$B4028,$B4028,$A$3806:$A4028,$A4028))</f>
        <v>0</v>
      </c>
      <c r="I4028" s="55">
        <f t="shared" si="1452"/>
        <v>0</v>
      </c>
      <c r="K4028" s="54" t="str">
        <f>IF(Inputs!$C$302="","",IF(Inputs!$E$302="planned",EDATE(Inputs!$C$302,N(INDEX(sc_shift,2))),Inputs!$C$302))</f>
        <v/>
      </c>
      <c r="L4028" s="54" t="str">
        <f t="shared" si="1453"/>
        <v/>
      </c>
      <c r="M4028" s="52">
        <f>IF(N(INDEX(sc_ach,2))=0,IF(Inputs!$G$302="",1,Inputs!$G$302),INDEX(sc_ach,2))</f>
        <v>1</v>
      </c>
      <c r="N4028" s="52">
        <f>IF(Inputs!$C$302="",0,IF(Inputs!$E$302="planned",(Inputs!$D$302+N(INDEX(sc_dpts,2)))*$M4028,Inputs!$D$302))</f>
        <v>0</v>
      </c>
      <c r="O4028" s="53">
        <f>IF(Inputs!$C$302="",0,IF(1+$N4028&gt;0,LN(1+$N4028),0))</f>
        <v>0</v>
      </c>
      <c r="P4028" s="55">
        <f t="shared" si="1454"/>
        <v>0</v>
      </c>
      <c r="Q4028" s="55">
        <f>IF($K4028="",0,COUNTIFS(rl_key,Inputs!$J$302,$L$3806:$L$4045,$L4028,$K$3806:$K$4045,"&lt;"&amp;$K4028))</f>
        <v>0</v>
      </c>
      <c r="R4028" s="55">
        <f>IF($K4028="",0,COUNTIFS(Inputs!$J$80:$J$302,Inputs!$J$302,$L$3806:$L4028,$L4028,$K$3806:$K4028,$K4028))</f>
        <v>0</v>
      </c>
      <c r="S4028" s="55">
        <f t="shared" si="1455"/>
        <v>0</v>
      </c>
      <c r="U4028" s="54" t="str">
        <f>IF(Inputs!$C$302="","",IF(Inputs!$E$302="planned",EDATE(Inputs!$C$302,N(INDEX(sc_shift,3))),Inputs!$C$302))</f>
        <v/>
      </c>
      <c r="V4028" s="54" t="str">
        <f t="shared" si="1456"/>
        <v/>
      </c>
      <c r="W4028" s="52">
        <f>IF(N(INDEX(sc_ach,3))=0,IF(Inputs!$G$302="",1,Inputs!$G$302),INDEX(sc_ach,3))</f>
        <v>1</v>
      </c>
      <c r="X4028" s="52">
        <f>IF(Inputs!$C$302="",0,IF(Inputs!$E$302="planned",(Inputs!$D$302+N(INDEX(sc_dpts,3)))*$W4028,Inputs!$D$302))</f>
        <v>0</v>
      </c>
      <c r="Y4028" s="53">
        <f>IF(Inputs!$C$302="",0,IF(1+$X4028&gt;0,LN(1+$X4028),0))</f>
        <v>0</v>
      </c>
      <c r="Z4028" s="55">
        <f t="shared" si="1457"/>
        <v>0</v>
      </c>
      <c r="AA4028" s="55">
        <f>IF($U4028="",0,COUNTIFS(rl_key,Inputs!$J$302,$V$3806:$V$4045,$V4028,$U$3806:$U$4045,"&lt;"&amp;$U4028))</f>
        <v>0</v>
      </c>
      <c r="AB4028" s="55">
        <f>IF($U4028="",0,COUNTIFS(Inputs!$J$80:$J$302,Inputs!$J$302,$V$3806:$V4028,$V4028,$U$3806:$U4028,$U4028))</f>
        <v>0</v>
      </c>
      <c r="AC4028" s="55">
        <f t="shared" si="1458"/>
        <v>0</v>
      </c>
      <c r="AE4028" s="54" t="str">
        <f>IF(Inputs!$C$302="","",IF(Inputs!$E$302="planned",EDATE(Inputs!$C$302,N(INDEX(sc_shift,4))),Inputs!$C$302))</f>
        <v/>
      </c>
      <c r="AF4028" s="54" t="str">
        <f t="shared" si="1459"/>
        <v/>
      </c>
      <c r="AG4028" s="52">
        <f>IF(N(INDEX(sc_ach,4))=0,IF(Inputs!$G$302="",1,Inputs!$G$302),INDEX(sc_ach,4))</f>
        <v>1</v>
      </c>
      <c r="AH4028" s="52">
        <f>IF(Inputs!$C$302="",0,IF(Inputs!$E$302="planned",(Inputs!$D$302+N(INDEX(sc_dpts,4)))*$AG4028,Inputs!$D$302))</f>
        <v>0</v>
      </c>
      <c r="AI4028" s="53">
        <f>IF(Inputs!$C$302="",0,IF(1+$AH4028&gt;0,LN(1+$AH4028),0))</f>
        <v>0</v>
      </c>
      <c r="AJ4028" s="55">
        <f t="shared" si="1460"/>
        <v>0</v>
      </c>
      <c r="AK4028" s="55">
        <f>IF($AE4028="",0,COUNTIFS(rl_key,Inputs!$J$302,$AF$3806:$AF$4045,$AF4028,$AE$3806:$AE$4045,"&lt;"&amp;$AE4028))</f>
        <v>0</v>
      </c>
      <c r="AL4028" s="55">
        <f>IF($AE4028="",0,COUNTIFS(Inputs!$J$80:$J$302,Inputs!$J$302,$AF$3806:$AF4028,$AF4028,$AE$3806:$AE4028,$AE4028))</f>
        <v>0</v>
      </c>
      <c r="AM4028" s="55">
        <f t="shared" si="1461"/>
        <v>0</v>
      </c>
    </row>
    <row r="4029" spans="1:39" x14ac:dyDescent="0.25">
      <c r="A4029" s="54" t="str">
        <f>IF(Inputs!$C$303="","",IF(Inputs!$E$303="planned",EDATE(Inputs!$C$303,N(INDEX(sc_shift,1))),Inputs!$C$303))</f>
        <v/>
      </c>
      <c r="B4029" s="54" t="str">
        <f t="shared" si="1450"/>
        <v/>
      </c>
      <c r="C4029" s="52">
        <f>IF(N(INDEX(sc_ach,1))=0,IF(Inputs!$G$303="",1,Inputs!$G$303),INDEX(sc_ach,1))</f>
        <v>1</v>
      </c>
      <c r="D4029" s="52">
        <f>IF(Inputs!$C$303="",0,IF(Inputs!$E$303="planned",(Inputs!$D$303+N(INDEX(sc_dpts,1)))*$C4029,Inputs!$D$303))</f>
        <v>0</v>
      </c>
      <c r="E4029" s="53">
        <f>IF(Inputs!$C$303="",0,IF(1+$D4029&gt;0,LN(1+$D4029),0))</f>
        <v>0</v>
      </c>
      <c r="F4029" s="55">
        <f t="shared" si="1451"/>
        <v>0</v>
      </c>
      <c r="G4029" s="55">
        <f>IF($A4029="",0,COUNTIFS(rl_key,Inputs!$J$303,$B$3806:$B$4045,$B4029,$A$3806:$A$4045,"&lt;"&amp;$A4029))</f>
        <v>0</v>
      </c>
      <c r="H4029" s="55">
        <f>IF($A4029="",0,COUNTIFS(Inputs!$J$80:$J$303,Inputs!$J$303,$B$3806:$B4029,$B4029,$A$3806:$A4029,$A4029))</f>
        <v>0</v>
      </c>
      <c r="I4029" s="55">
        <f t="shared" si="1452"/>
        <v>0</v>
      </c>
      <c r="K4029" s="54" t="str">
        <f>IF(Inputs!$C$303="","",IF(Inputs!$E$303="planned",EDATE(Inputs!$C$303,N(INDEX(sc_shift,2))),Inputs!$C$303))</f>
        <v/>
      </c>
      <c r="L4029" s="54" t="str">
        <f t="shared" si="1453"/>
        <v/>
      </c>
      <c r="M4029" s="52">
        <f>IF(N(INDEX(sc_ach,2))=0,IF(Inputs!$G$303="",1,Inputs!$G$303),INDEX(sc_ach,2))</f>
        <v>1</v>
      </c>
      <c r="N4029" s="52">
        <f>IF(Inputs!$C$303="",0,IF(Inputs!$E$303="planned",(Inputs!$D$303+N(INDEX(sc_dpts,2)))*$M4029,Inputs!$D$303))</f>
        <v>0</v>
      </c>
      <c r="O4029" s="53">
        <f>IF(Inputs!$C$303="",0,IF(1+$N4029&gt;0,LN(1+$N4029),0))</f>
        <v>0</v>
      </c>
      <c r="P4029" s="55">
        <f t="shared" si="1454"/>
        <v>0</v>
      </c>
      <c r="Q4029" s="55">
        <f>IF($K4029="",0,COUNTIFS(rl_key,Inputs!$J$303,$L$3806:$L$4045,$L4029,$K$3806:$K$4045,"&lt;"&amp;$K4029))</f>
        <v>0</v>
      </c>
      <c r="R4029" s="55">
        <f>IF($K4029="",0,COUNTIFS(Inputs!$J$80:$J$303,Inputs!$J$303,$L$3806:$L4029,$L4029,$K$3806:$K4029,$K4029))</f>
        <v>0</v>
      </c>
      <c r="S4029" s="55">
        <f t="shared" si="1455"/>
        <v>0</v>
      </c>
      <c r="U4029" s="54" t="str">
        <f>IF(Inputs!$C$303="","",IF(Inputs!$E$303="planned",EDATE(Inputs!$C$303,N(INDEX(sc_shift,3))),Inputs!$C$303))</f>
        <v/>
      </c>
      <c r="V4029" s="54" t="str">
        <f t="shared" si="1456"/>
        <v/>
      </c>
      <c r="W4029" s="52">
        <f>IF(N(INDEX(sc_ach,3))=0,IF(Inputs!$G$303="",1,Inputs!$G$303),INDEX(sc_ach,3))</f>
        <v>1</v>
      </c>
      <c r="X4029" s="52">
        <f>IF(Inputs!$C$303="",0,IF(Inputs!$E$303="planned",(Inputs!$D$303+N(INDEX(sc_dpts,3)))*$W4029,Inputs!$D$303))</f>
        <v>0</v>
      </c>
      <c r="Y4029" s="53">
        <f>IF(Inputs!$C$303="",0,IF(1+$X4029&gt;0,LN(1+$X4029),0))</f>
        <v>0</v>
      </c>
      <c r="Z4029" s="55">
        <f t="shared" si="1457"/>
        <v>0</v>
      </c>
      <c r="AA4029" s="55">
        <f>IF($U4029="",0,COUNTIFS(rl_key,Inputs!$J$303,$V$3806:$V$4045,$V4029,$U$3806:$U$4045,"&lt;"&amp;$U4029))</f>
        <v>0</v>
      </c>
      <c r="AB4029" s="55">
        <f>IF($U4029="",0,COUNTIFS(Inputs!$J$80:$J$303,Inputs!$J$303,$V$3806:$V4029,$V4029,$U$3806:$U4029,$U4029))</f>
        <v>0</v>
      </c>
      <c r="AC4029" s="55">
        <f t="shared" si="1458"/>
        <v>0</v>
      </c>
      <c r="AE4029" s="54" t="str">
        <f>IF(Inputs!$C$303="","",IF(Inputs!$E$303="planned",EDATE(Inputs!$C$303,N(INDEX(sc_shift,4))),Inputs!$C$303))</f>
        <v/>
      </c>
      <c r="AF4029" s="54" t="str">
        <f t="shared" si="1459"/>
        <v/>
      </c>
      <c r="AG4029" s="52">
        <f>IF(N(INDEX(sc_ach,4))=0,IF(Inputs!$G$303="",1,Inputs!$G$303),INDEX(sc_ach,4))</f>
        <v>1</v>
      </c>
      <c r="AH4029" s="52">
        <f>IF(Inputs!$C$303="",0,IF(Inputs!$E$303="planned",(Inputs!$D$303+N(INDEX(sc_dpts,4)))*$AG4029,Inputs!$D$303))</f>
        <v>0</v>
      </c>
      <c r="AI4029" s="53">
        <f>IF(Inputs!$C$303="",0,IF(1+$AH4029&gt;0,LN(1+$AH4029),0))</f>
        <v>0</v>
      </c>
      <c r="AJ4029" s="55">
        <f t="shared" si="1460"/>
        <v>0</v>
      </c>
      <c r="AK4029" s="55">
        <f>IF($AE4029="",0,COUNTIFS(rl_key,Inputs!$J$303,$AF$3806:$AF$4045,$AF4029,$AE$3806:$AE$4045,"&lt;"&amp;$AE4029))</f>
        <v>0</v>
      </c>
      <c r="AL4029" s="55">
        <f>IF($AE4029="",0,COUNTIFS(Inputs!$J$80:$J$303,Inputs!$J$303,$AF$3806:$AF4029,$AF4029,$AE$3806:$AE4029,$AE4029))</f>
        <v>0</v>
      </c>
      <c r="AM4029" s="55">
        <f t="shared" si="1461"/>
        <v>0</v>
      </c>
    </row>
    <row r="4030" spans="1:39" x14ac:dyDescent="0.25">
      <c r="A4030" s="54" t="str">
        <f>IF(Inputs!$C$304="","",IF(Inputs!$E$304="planned",EDATE(Inputs!$C$304,N(INDEX(sc_shift,1))),Inputs!$C$304))</f>
        <v/>
      </c>
      <c r="B4030" s="54" t="str">
        <f t="shared" si="1450"/>
        <v/>
      </c>
      <c r="C4030" s="52">
        <f>IF(N(INDEX(sc_ach,1))=0,IF(Inputs!$G$304="",1,Inputs!$G$304),INDEX(sc_ach,1))</f>
        <v>1</v>
      </c>
      <c r="D4030" s="52">
        <f>IF(Inputs!$C$304="",0,IF(Inputs!$E$304="planned",(Inputs!$D$304+N(INDEX(sc_dpts,1)))*$C4030,Inputs!$D$304))</f>
        <v>0</v>
      </c>
      <c r="E4030" s="53">
        <f>IF(Inputs!$C$304="",0,IF(1+$D4030&gt;0,LN(1+$D4030),0))</f>
        <v>0</v>
      </c>
      <c r="F4030" s="55">
        <f t="shared" si="1451"/>
        <v>0</v>
      </c>
      <c r="G4030" s="55">
        <f>IF($A4030="",0,COUNTIFS(rl_key,Inputs!$J$304,$B$3806:$B$4045,$B4030,$A$3806:$A$4045,"&lt;"&amp;$A4030))</f>
        <v>0</v>
      </c>
      <c r="H4030" s="55">
        <f>IF($A4030="",0,COUNTIFS(Inputs!$J$80:$J$304,Inputs!$J$304,$B$3806:$B4030,$B4030,$A$3806:$A4030,$A4030))</f>
        <v>0</v>
      </c>
      <c r="I4030" s="55">
        <f t="shared" si="1452"/>
        <v>0</v>
      </c>
      <c r="K4030" s="54" t="str">
        <f>IF(Inputs!$C$304="","",IF(Inputs!$E$304="planned",EDATE(Inputs!$C$304,N(INDEX(sc_shift,2))),Inputs!$C$304))</f>
        <v/>
      </c>
      <c r="L4030" s="54" t="str">
        <f t="shared" si="1453"/>
        <v/>
      </c>
      <c r="M4030" s="52">
        <f>IF(N(INDEX(sc_ach,2))=0,IF(Inputs!$G$304="",1,Inputs!$G$304),INDEX(sc_ach,2))</f>
        <v>1</v>
      </c>
      <c r="N4030" s="52">
        <f>IF(Inputs!$C$304="",0,IF(Inputs!$E$304="planned",(Inputs!$D$304+N(INDEX(sc_dpts,2)))*$M4030,Inputs!$D$304))</f>
        <v>0</v>
      </c>
      <c r="O4030" s="53">
        <f>IF(Inputs!$C$304="",0,IF(1+$N4030&gt;0,LN(1+$N4030),0))</f>
        <v>0</v>
      </c>
      <c r="P4030" s="55">
        <f t="shared" si="1454"/>
        <v>0</v>
      </c>
      <c r="Q4030" s="55">
        <f>IF($K4030="",0,COUNTIFS(rl_key,Inputs!$J$304,$L$3806:$L$4045,$L4030,$K$3806:$K$4045,"&lt;"&amp;$K4030))</f>
        <v>0</v>
      </c>
      <c r="R4030" s="55">
        <f>IF($K4030="",0,COUNTIFS(Inputs!$J$80:$J$304,Inputs!$J$304,$L$3806:$L4030,$L4030,$K$3806:$K4030,$K4030))</f>
        <v>0</v>
      </c>
      <c r="S4030" s="55">
        <f t="shared" si="1455"/>
        <v>0</v>
      </c>
      <c r="U4030" s="54" t="str">
        <f>IF(Inputs!$C$304="","",IF(Inputs!$E$304="planned",EDATE(Inputs!$C$304,N(INDEX(sc_shift,3))),Inputs!$C$304))</f>
        <v/>
      </c>
      <c r="V4030" s="54" t="str">
        <f t="shared" si="1456"/>
        <v/>
      </c>
      <c r="W4030" s="52">
        <f>IF(N(INDEX(sc_ach,3))=0,IF(Inputs!$G$304="",1,Inputs!$G$304),INDEX(sc_ach,3))</f>
        <v>1</v>
      </c>
      <c r="X4030" s="52">
        <f>IF(Inputs!$C$304="",0,IF(Inputs!$E$304="planned",(Inputs!$D$304+N(INDEX(sc_dpts,3)))*$W4030,Inputs!$D$304))</f>
        <v>0</v>
      </c>
      <c r="Y4030" s="53">
        <f>IF(Inputs!$C$304="",0,IF(1+$X4030&gt;0,LN(1+$X4030),0))</f>
        <v>0</v>
      </c>
      <c r="Z4030" s="55">
        <f t="shared" si="1457"/>
        <v>0</v>
      </c>
      <c r="AA4030" s="55">
        <f>IF($U4030="",0,COUNTIFS(rl_key,Inputs!$J$304,$V$3806:$V$4045,$V4030,$U$3806:$U$4045,"&lt;"&amp;$U4030))</f>
        <v>0</v>
      </c>
      <c r="AB4030" s="55">
        <f>IF($U4030="",0,COUNTIFS(Inputs!$J$80:$J$304,Inputs!$J$304,$V$3806:$V4030,$V4030,$U$3806:$U4030,$U4030))</f>
        <v>0</v>
      </c>
      <c r="AC4030" s="55">
        <f t="shared" si="1458"/>
        <v>0</v>
      </c>
      <c r="AE4030" s="54" t="str">
        <f>IF(Inputs!$C$304="","",IF(Inputs!$E$304="planned",EDATE(Inputs!$C$304,N(INDEX(sc_shift,4))),Inputs!$C$304))</f>
        <v/>
      </c>
      <c r="AF4030" s="54" t="str">
        <f t="shared" si="1459"/>
        <v/>
      </c>
      <c r="AG4030" s="52">
        <f>IF(N(INDEX(sc_ach,4))=0,IF(Inputs!$G$304="",1,Inputs!$G$304),INDEX(sc_ach,4))</f>
        <v>1</v>
      </c>
      <c r="AH4030" s="52">
        <f>IF(Inputs!$C$304="",0,IF(Inputs!$E$304="planned",(Inputs!$D$304+N(INDEX(sc_dpts,4)))*$AG4030,Inputs!$D$304))</f>
        <v>0</v>
      </c>
      <c r="AI4030" s="53">
        <f>IF(Inputs!$C$304="",0,IF(1+$AH4030&gt;0,LN(1+$AH4030),0))</f>
        <v>0</v>
      </c>
      <c r="AJ4030" s="55">
        <f t="shared" si="1460"/>
        <v>0</v>
      </c>
      <c r="AK4030" s="55">
        <f>IF($AE4030="",0,COUNTIFS(rl_key,Inputs!$J$304,$AF$3806:$AF$4045,$AF4030,$AE$3806:$AE$4045,"&lt;"&amp;$AE4030))</f>
        <v>0</v>
      </c>
      <c r="AL4030" s="55">
        <f>IF($AE4030="",0,COUNTIFS(Inputs!$J$80:$J$304,Inputs!$J$304,$AF$3806:$AF4030,$AF4030,$AE$3806:$AE4030,$AE4030))</f>
        <v>0</v>
      </c>
      <c r="AM4030" s="55">
        <f t="shared" si="1461"/>
        <v>0</v>
      </c>
    </row>
    <row r="4031" spans="1:39" x14ac:dyDescent="0.25">
      <c r="A4031" s="54" t="str">
        <f>IF(Inputs!$C$305="","",IF(Inputs!$E$305="planned",EDATE(Inputs!$C$305,N(INDEX(sc_shift,1))),Inputs!$C$305))</f>
        <v/>
      </c>
      <c r="B4031" s="54" t="str">
        <f t="shared" si="1450"/>
        <v/>
      </c>
      <c r="C4031" s="52">
        <f>IF(N(INDEX(sc_ach,1))=0,IF(Inputs!$G$305="",1,Inputs!$G$305),INDEX(sc_ach,1))</f>
        <v>1</v>
      </c>
      <c r="D4031" s="52">
        <f>IF(Inputs!$C$305="",0,IF(Inputs!$E$305="planned",(Inputs!$D$305+N(INDEX(sc_dpts,1)))*$C4031,Inputs!$D$305))</f>
        <v>0</v>
      </c>
      <c r="E4031" s="53">
        <f>IF(Inputs!$C$305="",0,IF(1+$D4031&gt;0,LN(1+$D4031),0))</f>
        <v>0</v>
      </c>
      <c r="F4031" s="55">
        <f t="shared" si="1451"/>
        <v>0</v>
      </c>
      <c r="G4031" s="55">
        <f>IF($A4031="",0,COUNTIFS(rl_key,Inputs!$J$305,$B$3806:$B$4045,$B4031,$A$3806:$A$4045,"&lt;"&amp;$A4031))</f>
        <v>0</v>
      </c>
      <c r="H4031" s="55">
        <f>IF($A4031="",0,COUNTIFS(Inputs!$J$80:$J$305,Inputs!$J$305,$B$3806:$B4031,$B4031,$A$3806:$A4031,$A4031))</f>
        <v>0</v>
      </c>
      <c r="I4031" s="55">
        <f t="shared" si="1452"/>
        <v>0</v>
      </c>
      <c r="K4031" s="54" t="str">
        <f>IF(Inputs!$C$305="","",IF(Inputs!$E$305="planned",EDATE(Inputs!$C$305,N(INDEX(sc_shift,2))),Inputs!$C$305))</f>
        <v/>
      </c>
      <c r="L4031" s="54" t="str">
        <f t="shared" si="1453"/>
        <v/>
      </c>
      <c r="M4031" s="52">
        <f>IF(N(INDEX(sc_ach,2))=0,IF(Inputs!$G$305="",1,Inputs!$G$305),INDEX(sc_ach,2))</f>
        <v>1</v>
      </c>
      <c r="N4031" s="52">
        <f>IF(Inputs!$C$305="",0,IF(Inputs!$E$305="planned",(Inputs!$D$305+N(INDEX(sc_dpts,2)))*$M4031,Inputs!$D$305))</f>
        <v>0</v>
      </c>
      <c r="O4031" s="53">
        <f>IF(Inputs!$C$305="",0,IF(1+$N4031&gt;0,LN(1+$N4031),0))</f>
        <v>0</v>
      </c>
      <c r="P4031" s="55">
        <f t="shared" si="1454"/>
        <v>0</v>
      </c>
      <c r="Q4031" s="55">
        <f>IF($K4031="",0,COUNTIFS(rl_key,Inputs!$J$305,$L$3806:$L$4045,$L4031,$K$3806:$K$4045,"&lt;"&amp;$K4031))</f>
        <v>0</v>
      </c>
      <c r="R4031" s="55">
        <f>IF($K4031="",0,COUNTIFS(Inputs!$J$80:$J$305,Inputs!$J$305,$L$3806:$L4031,$L4031,$K$3806:$K4031,$K4031))</f>
        <v>0</v>
      </c>
      <c r="S4031" s="55">
        <f t="shared" si="1455"/>
        <v>0</v>
      </c>
      <c r="U4031" s="54" t="str">
        <f>IF(Inputs!$C$305="","",IF(Inputs!$E$305="planned",EDATE(Inputs!$C$305,N(INDEX(sc_shift,3))),Inputs!$C$305))</f>
        <v/>
      </c>
      <c r="V4031" s="54" t="str">
        <f t="shared" si="1456"/>
        <v/>
      </c>
      <c r="W4031" s="52">
        <f>IF(N(INDEX(sc_ach,3))=0,IF(Inputs!$G$305="",1,Inputs!$G$305),INDEX(sc_ach,3))</f>
        <v>1</v>
      </c>
      <c r="X4031" s="52">
        <f>IF(Inputs!$C$305="",0,IF(Inputs!$E$305="planned",(Inputs!$D$305+N(INDEX(sc_dpts,3)))*$W4031,Inputs!$D$305))</f>
        <v>0</v>
      </c>
      <c r="Y4031" s="53">
        <f>IF(Inputs!$C$305="",0,IF(1+$X4031&gt;0,LN(1+$X4031),0))</f>
        <v>0</v>
      </c>
      <c r="Z4031" s="55">
        <f t="shared" si="1457"/>
        <v>0</v>
      </c>
      <c r="AA4031" s="55">
        <f>IF($U4031="",0,COUNTIFS(rl_key,Inputs!$J$305,$V$3806:$V$4045,$V4031,$U$3806:$U$4045,"&lt;"&amp;$U4031))</f>
        <v>0</v>
      </c>
      <c r="AB4031" s="55">
        <f>IF($U4031="",0,COUNTIFS(Inputs!$J$80:$J$305,Inputs!$J$305,$V$3806:$V4031,$V4031,$U$3806:$U4031,$U4031))</f>
        <v>0</v>
      </c>
      <c r="AC4031" s="55">
        <f t="shared" si="1458"/>
        <v>0</v>
      </c>
      <c r="AE4031" s="54" t="str">
        <f>IF(Inputs!$C$305="","",IF(Inputs!$E$305="planned",EDATE(Inputs!$C$305,N(INDEX(sc_shift,4))),Inputs!$C$305))</f>
        <v/>
      </c>
      <c r="AF4031" s="54" t="str">
        <f t="shared" si="1459"/>
        <v/>
      </c>
      <c r="AG4031" s="52">
        <f>IF(N(INDEX(sc_ach,4))=0,IF(Inputs!$G$305="",1,Inputs!$G$305),INDEX(sc_ach,4))</f>
        <v>1</v>
      </c>
      <c r="AH4031" s="52">
        <f>IF(Inputs!$C$305="",0,IF(Inputs!$E$305="planned",(Inputs!$D$305+N(INDEX(sc_dpts,4)))*$AG4031,Inputs!$D$305))</f>
        <v>0</v>
      </c>
      <c r="AI4031" s="53">
        <f>IF(Inputs!$C$305="",0,IF(1+$AH4031&gt;0,LN(1+$AH4031),0))</f>
        <v>0</v>
      </c>
      <c r="AJ4031" s="55">
        <f t="shared" si="1460"/>
        <v>0</v>
      </c>
      <c r="AK4031" s="55">
        <f>IF($AE4031="",0,COUNTIFS(rl_key,Inputs!$J$305,$AF$3806:$AF$4045,$AF4031,$AE$3806:$AE$4045,"&lt;"&amp;$AE4031))</f>
        <v>0</v>
      </c>
      <c r="AL4031" s="55">
        <f>IF($AE4031="",0,COUNTIFS(Inputs!$J$80:$J$305,Inputs!$J$305,$AF$3806:$AF4031,$AF4031,$AE$3806:$AE4031,$AE4031))</f>
        <v>0</v>
      </c>
      <c r="AM4031" s="55">
        <f t="shared" si="1461"/>
        <v>0</v>
      </c>
    </row>
    <row r="4032" spans="1:39" x14ac:dyDescent="0.25">
      <c r="A4032" s="54" t="str">
        <f>IF(Inputs!$C$306="","",IF(Inputs!$E$306="planned",EDATE(Inputs!$C$306,N(INDEX(sc_shift,1))),Inputs!$C$306))</f>
        <v/>
      </c>
      <c r="B4032" s="54" t="str">
        <f t="shared" si="1450"/>
        <v/>
      </c>
      <c r="C4032" s="52">
        <f>IF(N(INDEX(sc_ach,1))=0,IF(Inputs!$G$306="",1,Inputs!$G$306),INDEX(sc_ach,1))</f>
        <v>1</v>
      </c>
      <c r="D4032" s="52">
        <f>IF(Inputs!$C$306="",0,IF(Inputs!$E$306="planned",(Inputs!$D$306+N(INDEX(sc_dpts,1)))*$C4032,Inputs!$D$306))</f>
        <v>0</v>
      </c>
      <c r="E4032" s="53">
        <f>IF(Inputs!$C$306="",0,IF(1+$D4032&gt;0,LN(1+$D4032),0))</f>
        <v>0</v>
      </c>
      <c r="F4032" s="55">
        <f t="shared" si="1451"/>
        <v>0</v>
      </c>
      <c r="G4032" s="55">
        <f>IF($A4032="",0,COUNTIFS(rl_key,Inputs!$J$306,$B$3806:$B$4045,$B4032,$A$3806:$A$4045,"&lt;"&amp;$A4032))</f>
        <v>0</v>
      </c>
      <c r="H4032" s="55">
        <f>IF($A4032="",0,COUNTIFS(Inputs!$J$80:$J$306,Inputs!$J$306,$B$3806:$B4032,$B4032,$A$3806:$A4032,$A4032))</f>
        <v>0</v>
      </c>
      <c r="I4032" s="55">
        <f t="shared" si="1452"/>
        <v>0</v>
      </c>
      <c r="K4032" s="54" t="str">
        <f>IF(Inputs!$C$306="","",IF(Inputs!$E$306="planned",EDATE(Inputs!$C$306,N(INDEX(sc_shift,2))),Inputs!$C$306))</f>
        <v/>
      </c>
      <c r="L4032" s="54" t="str">
        <f t="shared" si="1453"/>
        <v/>
      </c>
      <c r="M4032" s="52">
        <f>IF(N(INDEX(sc_ach,2))=0,IF(Inputs!$G$306="",1,Inputs!$G$306),INDEX(sc_ach,2))</f>
        <v>1</v>
      </c>
      <c r="N4032" s="52">
        <f>IF(Inputs!$C$306="",0,IF(Inputs!$E$306="planned",(Inputs!$D$306+N(INDEX(sc_dpts,2)))*$M4032,Inputs!$D$306))</f>
        <v>0</v>
      </c>
      <c r="O4032" s="53">
        <f>IF(Inputs!$C$306="",0,IF(1+$N4032&gt;0,LN(1+$N4032),0))</f>
        <v>0</v>
      </c>
      <c r="P4032" s="55">
        <f t="shared" si="1454"/>
        <v>0</v>
      </c>
      <c r="Q4032" s="55">
        <f>IF($K4032="",0,COUNTIFS(rl_key,Inputs!$J$306,$L$3806:$L$4045,$L4032,$K$3806:$K$4045,"&lt;"&amp;$K4032))</f>
        <v>0</v>
      </c>
      <c r="R4032" s="55">
        <f>IF($K4032="",0,COUNTIFS(Inputs!$J$80:$J$306,Inputs!$J$306,$L$3806:$L4032,$L4032,$K$3806:$K4032,$K4032))</f>
        <v>0</v>
      </c>
      <c r="S4032" s="55">
        <f t="shared" si="1455"/>
        <v>0</v>
      </c>
      <c r="U4032" s="54" t="str">
        <f>IF(Inputs!$C$306="","",IF(Inputs!$E$306="planned",EDATE(Inputs!$C$306,N(INDEX(sc_shift,3))),Inputs!$C$306))</f>
        <v/>
      </c>
      <c r="V4032" s="54" t="str">
        <f t="shared" si="1456"/>
        <v/>
      </c>
      <c r="W4032" s="52">
        <f>IF(N(INDEX(sc_ach,3))=0,IF(Inputs!$G$306="",1,Inputs!$G$306),INDEX(sc_ach,3))</f>
        <v>1</v>
      </c>
      <c r="X4032" s="52">
        <f>IF(Inputs!$C$306="",0,IF(Inputs!$E$306="planned",(Inputs!$D$306+N(INDEX(sc_dpts,3)))*$W4032,Inputs!$D$306))</f>
        <v>0</v>
      </c>
      <c r="Y4032" s="53">
        <f>IF(Inputs!$C$306="",0,IF(1+$X4032&gt;0,LN(1+$X4032),0))</f>
        <v>0</v>
      </c>
      <c r="Z4032" s="55">
        <f t="shared" si="1457"/>
        <v>0</v>
      </c>
      <c r="AA4032" s="55">
        <f>IF($U4032="",0,COUNTIFS(rl_key,Inputs!$J$306,$V$3806:$V$4045,$V4032,$U$3806:$U$4045,"&lt;"&amp;$U4032))</f>
        <v>0</v>
      </c>
      <c r="AB4032" s="55">
        <f>IF($U4032="",0,COUNTIFS(Inputs!$J$80:$J$306,Inputs!$J$306,$V$3806:$V4032,$V4032,$U$3806:$U4032,$U4032))</f>
        <v>0</v>
      </c>
      <c r="AC4032" s="55">
        <f t="shared" si="1458"/>
        <v>0</v>
      </c>
      <c r="AE4032" s="54" t="str">
        <f>IF(Inputs!$C$306="","",IF(Inputs!$E$306="planned",EDATE(Inputs!$C$306,N(INDEX(sc_shift,4))),Inputs!$C$306))</f>
        <v/>
      </c>
      <c r="AF4032" s="54" t="str">
        <f t="shared" si="1459"/>
        <v/>
      </c>
      <c r="AG4032" s="52">
        <f>IF(N(INDEX(sc_ach,4))=0,IF(Inputs!$G$306="",1,Inputs!$G$306),INDEX(sc_ach,4))</f>
        <v>1</v>
      </c>
      <c r="AH4032" s="52">
        <f>IF(Inputs!$C$306="",0,IF(Inputs!$E$306="planned",(Inputs!$D$306+N(INDEX(sc_dpts,4)))*$AG4032,Inputs!$D$306))</f>
        <v>0</v>
      </c>
      <c r="AI4032" s="53">
        <f>IF(Inputs!$C$306="",0,IF(1+$AH4032&gt;0,LN(1+$AH4032),0))</f>
        <v>0</v>
      </c>
      <c r="AJ4032" s="55">
        <f t="shared" si="1460"/>
        <v>0</v>
      </c>
      <c r="AK4032" s="55">
        <f>IF($AE4032="",0,COUNTIFS(rl_key,Inputs!$J$306,$AF$3806:$AF$4045,$AF4032,$AE$3806:$AE$4045,"&lt;"&amp;$AE4032))</f>
        <v>0</v>
      </c>
      <c r="AL4032" s="55">
        <f>IF($AE4032="",0,COUNTIFS(Inputs!$J$80:$J$306,Inputs!$J$306,$AF$3806:$AF4032,$AF4032,$AE$3806:$AE4032,$AE4032))</f>
        <v>0</v>
      </c>
      <c r="AM4032" s="55">
        <f t="shared" si="1461"/>
        <v>0</v>
      </c>
    </row>
    <row r="4033" spans="1:39" x14ac:dyDescent="0.25">
      <c r="A4033" s="54" t="str">
        <f>IF(Inputs!$C$307="","",IF(Inputs!$E$307="planned",EDATE(Inputs!$C$307,N(INDEX(sc_shift,1))),Inputs!$C$307))</f>
        <v/>
      </c>
      <c r="B4033" s="54" t="str">
        <f t="shared" si="1450"/>
        <v/>
      </c>
      <c r="C4033" s="52">
        <f>IF(N(INDEX(sc_ach,1))=0,IF(Inputs!$G$307="",1,Inputs!$G$307),INDEX(sc_ach,1))</f>
        <v>1</v>
      </c>
      <c r="D4033" s="52">
        <f>IF(Inputs!$C$307="",0,IF(Inputs!$E$307="planned",(Inputs!$D$307+N(INDEX(sc_dpts,1)))*$C4033,Inputs!$D$307))</f>
        <v>0</v>
      </c>
      <c r="E4033" s="53">
        <f>IF(Inputs!$C$307="",0,IF(1+$D4033&gt;0,LN(1+$D4033),0))</f>
        <v>0</v>
      </c>
      <c r="F4033" s="55">
        <f t="shared" si="1451"/>
        <v>0</v>
      </c>
      <c r="G4033" s="55">
        <f>IF($A4033="",0,COUNTIFS(rl_key,Inputs!$J$307,$B$3806:$B$4045,$B4033,$A$3806:$A$4045,"&lt;"&amp;$A4033))</f>
        <v>0</v>
      </c>
      <c r="H4033" s="55">
        <f>IF($A4033="",0,COUNTIFS(Inputs!$J$80:$J$307,Inputs!$J$307,$B$3806:$B4033,$B4033,$A$3806:$A4033,$A4033))</f>
        <v>0</v>
      </c>
      <c r="I4033" s="55">
        <f t="shared" si="1452"/>
        <v>0</v>
      </c>
      <c r="K4033" s="54" t="str">
        <f>IF(Inputs!$C$307="","",IF(Inputs!$E$307="planned",EDATE(Inputs!$C$307,N(INDEX(sc_shift,2))),Inputs!$C$307))</f>
        <v/>
      </c>
      <c r="L4033" s="54" t="str">
        <f t="shared" si="1453"/>
        <v/>
      </c>
      <c r="M4033" s="52">
        <f>IF(N(INDEX(sc_ach,2))=0,IF(Inputs!$G$307="",1,Inputs!$G$307),INDEX(sc_ach,2))</f>
        <v>1</v>
      </c>
      <c r="N4033" s="52">
        <f>IF(Inputs!$C$307="",0,IF(Inputs!$E$307="planned",(Inputs!$D$307+N(INDEX(sc_dpts,2)))*$M4033,Inputs!$D$307))</f>
        <v>0</v>
      </c>
      <c r="O4033" s="53">
        <f>IF(Inputs!$C$307="",0,IF(1+$N4033&gt;0,LN(1+$N4033),0))</f>
        <v>0</v>
      </c>
      <c r="P4033" s="55">
        <f t="shared" si="1454"/>
        <v>0</v>
      </c>
      <c r="Q4033" s="55">
        <f>IF($K4033="",0,COUNTIFS(rl_key,Inputs!$J$307,$L$3806:$L$4045,$L4033,$K$3806:$K$4045,"&lt;"&amp;$K4033))</f>
        <v>0</v>
      </c>
      <c r="R4033" s="55">
        <f>IF($K4033="",0,COUNTIFS(Inputs!$J$80:$J$307,Inputs!$J$307,$L$3806:$L4033,$L4033,$K$3806:$K4033,$K4033))</f>
        <v>0</v>
      </c>
      <c r="S4033" s="55">
        <f t="shared" si="1455"/>
        <v>0</v>
      </c>
      <c r="U4033" s="54" t="str">
        <f>IF(Inputs!$C$307="","",IF(Inputs!$E$307="planned",EDATE(Inputs!$C$307,N(INDEX(sc_shift,3))),Inputs!$C$307))</f>
        <v/>
      </c>
      <c r="V4033" s="54" t="str">
        <f t="shared" si="1456"/>
        <v/>
      </c>
      <c r="W4033" s="52">
        <f>IF(N(INDEX(sc_ach,3))=0,IF(Inputs!$G$307="",1,Inputs!$G$307),INDEX(sc_ach,3))</f>
        <v>1</v>
      </c>
      <c r="X4033" s="52">
        <f>IF(Inputs!$C$307="",0,IF(Inputs!$E$307="planned",(Inputs!$D$307+N(INDEX(sc_dpts,3)))*$W4033,Inputs!$D$307))</f>
        <v>0</v>
      </c>
      <c r="Y4033" s="53">
        <f>IF(Inputs!$C$307="",0,IF(1+$X4033&gt;0,LN(1+$X4033),0))</f>
        <v>0</v>
      </c>
      <c r="Z4033" s="55">
        <f t="shared" si="1457"/>
        <v>0</v>
      </c>
      <c r="AA4033" s="55">
        <f>IF($U4033="",0,COUNTIFS(rl_key,Inputs!$J$307,$V$3806:$V$4045,$V4033,$U$3806:$U$4045,"&lt;"&amp;$U4033))</f>
        <v>0</v>
      </c>
      <c r="AB4033" s="55">
        <f>IF($U4033="",0,COUNTIFS(Inputs!$J$80:$J$307,Inputs!$J$307,$V$3806:$V4033,$V4033,$U$3806:$U4033,$U4033))</f>
        <v>0</v>
      </c>
      <c r="AC4033" s="55">
        <f t="shared" si="1458"/>
        <v>0</v>
      </c>
      <c r="AE4033" s="54" t="str">
        <f>IF(Inputs!$C$307="","",IF(Inputs!$E$307="planned",EDATE(Inputs!$C$307,N(INDEX(sc_shift,4))),Inputs!$C$307))</f>
        <v/>
      </c>
      <c r="AF4033" s="54" t="str">
        <f t="shared" si="1459"/>
        <v/>
      </c>
      <c r="AG4033" s="52">
        <f>IF(N(INDEX(sc_ach,4))=0,IF(Inputs!$G$307="",1,Inputs!$G$307),INDEX(sc_ach,4))</f>
        <v>1</v>
      </c>
      <c r="AH4033" s="52">
        <f>IF(Inputs!$C$307="",0,IF(Inputs!$E$307="planned",(Inputs!$D$307+N(INDEX(sc_dpts,4)))*$AG4033,Inputs!$D$307))</f>
        <v>0</v>
      </c>
      <c r="AI4033" s="53">
        <f>IF(Inputs!$C$307="",0,IF(1+$AH4033&gt;0,LN(1+$AH4033),0))</f>
        <v>0</v>
      </c>
      <c r="AJ4033" s="55">
        <f t="shared" si="1460"/>
        <v>0</v>
      </c>
      <c r="AK4033" s="55">
        <f>IF($AE4033="",0,COUNTIFS(rl_key,Inputs!$J$307,$AF$3806:$AF$4045,$AF4033,$AE$3806:$AE$4045,"&lt;"&amp;$AE4033))</f>
        <v>0</v>
      </c>
      <c r="AL4033" s="55">
        <f>IF($AE4033="",0,COUNTIFS(Inputs!$J$80:$J$307,Inputs!$J$307,$AF$3806:$AF4033,$AF4033,$AE$3806:$AE4033,$AE4033))</f>
        <v>0</v>
      </c>
      <c r="AM4033" s="55">
        <f t="shared" si="1461"/>
        <v>0</v>
      </c>
    </row>
    <row r="4034" spans="1:39" x14ac:dyDescent="0.25">
      <c r="A4034" s="54" t="str">
        <f>IF(Inputs!$C$308="","",IF(Inputs!$E$308="planned",EDATE(Inputs!$C$308,N(INDEX(sc_shift,1))),Inputs!$C$308))</f>
        <v/>
      </c>
      <c r="B4034" s="54" t="str">
        <f t="shared" si="1450"/>
        <v/>
      </c>
      <c r="C4034" s="52">
        <f>IF(N(INDEX(sc_ach,1))=0,IF(Inputs!$G$308="",1,Inputs!$G$308),INDEX(sc_ach,1))</f>
        <v>1</v>
      </c>
      <c r="D4034" s="52">
        <f>IF(Inputs!$C$308="",0,IF(Inputs!$E$308="planned",(Inputs!$D$308+N(INDEX(sc_dpts,1)))*$C4034,Inputs!$D$308))</f>
        <v>0</v>
      </c>
      <c r="E4034" s="53">
        <f>IF(Inputs!$C$308="",0,IF(1+$D4034&gt;0,LN(1+$D4034),0))</f>
        <v>0</v>
      </c>
      <c r="F4034" s="55">
        <f t="shared" si="1451"/>
        <v>0</v>
      </c>
      <c r="G4034" s="55">
        <f>IF($A4034="",0,COUNTIFS(rl_key,Inputs!$J$308,$B$3806:$B$4045,$B4034,$A$3806:$A$4045,"&lt;"&amp;$A4034))</f>
        <v>0</v>
      </c>
      <c r="H4034" s="55">
        <f>IF($A4034="",0,COUNTIFS(Inputs!$J$80:$J$308,Inputs!$J$308,$B$3806:$B4034,$B4034,$A$3806:$A4034,$A4034))</f>
        <v>0</v>
      </c>
      <c r="I4034" s="55">
        <f t="shared" si="1452"/>
        <v>0</v>
      </c>
      <c r="K4034" s="54" t="str">
        <f>IF(Inputs!$C$308="","",IF(Inputs!$E$308="planned",EDATE(Inputs!$C$308,N(INDEX(sc_shift,2))),Inputs!$C$308))</f>
        <v/>
      </c>
      <c r="L4034" s="54" t="str">
        <f t="shared" si="1453"/>
        <v/>
      </c>
      <c r="M4034" s="52">
        <f>IF(N(INDEX(sc_ach,2))=0,IF(Inputs!$G$308="",1,Inputs!$G$308),INDEX(sc_ach,2))</f>
        <v>1</v>
      </c>
      <c r="N4034" s="52">
        <f>IF(Inputs!$C$308="",0,IF(Inputs!$E$308="planned",(Inputs!$D$308+N(INDEX(sc_dpts,2)))*$M4034,Inputs!$D$308))</f>
        <v>0</v>
      </c>
      <c r="O4034" s="53">
        <f>IF(Inputs!$C$308="",0,IF(1+$N4034&gt;0,LN(1+$N4034),0))</f>
        <v>0</v>
      </c>
      <c r="P4034" s="55">
        <f t="shared" si="1454"/>
        <v>0</v>
      </c>
      <c r="Q4034" s="55">
        <f>IF($K4034="",0,COUNTIFS(rl_key,Inputs!$J$308,$L$3806:$L$4045,$L4034,$K$3806:$K$4045,"&lt;"&amp;$K4034))</f>
        <v>0</v>
      </c>
      <c r="R4034" s="55">
        <f>IF($K4034="",0,COUNTIFS(Inputs!$J$80:$J$308,Inputs!$J$308,$L$3806:$L4034,$L4034,$K$3806:$K4034,$K4034))</f>
        <v>0</v>
      </c>
      <c r="S4034" s="55">
        <f t="shared" si="1455"/>
        <v>0</v>
      </c>
      <c r="U4034" s="54" t="str">
        <f>IF(Inputs!$C$308="","",IF(Inputs!$E$308="planned",EDATE(Inputs!$C$308,N(INDEX(sc_shift,3))),Inputs!$C$308))</f>
        <v/>
      </c>
      <c r="V4034" s="54" t="str">
        <f t="shared" si="1456"/>
        <v/>
      </c>
      <c r="W4034" s="52">
        <f>IF(N(INDEX(sc_ach,3))=0,IF(Inputs!$G$308="",1,Inputs!$G$308),INDEX(sc_ach,3))</f>
        <v>1</v>
      </c>
      <c r="X4034" s="52">
        <f>IF(Inputs!$C$308="",0,IF(Inputs!$E$308="planned",(Inputs!$D$308+N(INDEX(sc_dpts,3)))*$W4034,Inputs!$D$308))</f>
        <v>0</v>
      </c>
      <c r="Y4034" s="53">
        <f>IF(Inputs!$C$308="",0,IF(1+$X4034&gt;0,LN(1+$X4034),0))</f>
        <v>0</v>
      </c>
      <c r="Z4034" s="55">
        <f t="shared" si="1457"/>
        <v>0</v>
      </c>
      <c r="AA4034" s="55">
        <f>IF($U4034="",0,COUNTIFS(rl_key,Inputs!$J$308,$V$3806:$V$4045,$V4034,$U$3806:$U$4045,"&lt;"&amp;$U4034))</f>
        <v>0</v>
      </c>
      <c r="AB4034" s="55">
        <f>IF($U4034="",0,COUNTIFS(Inputs!$J$80:$J$308,Inputs!$J$308,$V$3806:$V4034,$V4034,$U$3806:$U4034,$U4034))</f>
        <v>0</v>
      </c>
      <c r="AC4034" s="55">
        <f t="shared" si="1458"/>
        <v>0</v>
      </c>
      <c r="AE4034" s="54" t="str">
        <f>IF(Inputs!$C$308="","",IF(Inputs!$E$308="planned",EDATE(Inputs!$C$308,N(INDEX(sc_shift,4))),Inputs!$C$308))</f>
        <v/>
      </c>
      <c r="AF4034" s="54" t="str">
        <f t="shared" si="1459"/>
        <v/>
      </c>
      <c r="AG4034" s="52">
        <f>IF(N(INDEX(sc_ach,4))=0,IF(Inputs!$G$308="",1,Inputs!$G$308),INDEX(sc_ach,4))</f>
        <v>1</v>
      </c>
      <c r="AH4034" s="52">
        <f>IF(Inputs!$C$308="",0,IF(Inputs!$E$308="planned",(Inputs!$D$308+N(INDEX(sc_dpts,4)))*$AG4034,Inputs!$D$308))</f>
        <v>0</v>
      </c>
      <c r="AI4034" s="53">
        <f>IF(Inputs!$C$308="",0,IF(1+$AH4034&gt;0,LN(1+$AH4034),0))</f>
        <v>0</v>
      </c>
      <c r="AJ4034" s="55">
        <f t="shared" si="1460"/>
        <v>0</v>
      </c>
      <c r="AK4034" s="55">
        <f>IF($AE4034="",0,COUNTIFS(rl_key,Inputs!$J$308,$AF$3806:$AF$4045,$AF4034,$AE$3806:$AE$4045,"&lt;"&amp;$AE4034))</f>
        <v>0</v>
      </c>
      <c r="AL4034" s="55">
        <f>IF($AE4034="",0,COUNTIFS(Inputs!$J$80:$J$308,Inputs!$J$308,$AF$3806:$AF4034,$AF4034,$AE$3806:$AE4034,$AE4034))</f>
        <v>0</v>
      </c>
      <c r="AM4034" s="55">
        <f t="shared" si="1461"/>
        <v>0</v>
      </c>
    </row>
    <row r="4035" spans="1:39" x14ac:dyDescent="0.25">
      <c r="A4035" s="54" t="str">
        <f>IF(Inputs!$C$309="","",IF(Inputs!$E$309="planned",EDATE(Inputs!$C$309,N(INDEX(sc_shift,1))),Inputs!$C$309))</f>
        <v/>
      </c>
      <c r="B4035" s="54" t="str">
        <f t="shared" si="1450"/>
        <v/>
      </c>
      <c r="C4035" s="52">
        <f>IF(N(INDEX(sc_ach,1))=0,IF(Inputs!$G$309="",1,Inputs!$G$309),INDEX(sc_ach,1))</f>
        <v>1</v>
      </c>
      <c r="D4035" s="52">
        <f>IF(Inputs!$C$309="",0,IF(Inputs!$E$309="planned",(Inputs!$D$309+N(INDEX(sc_dpts,1)))*$C4035,Inputs!$D$309))</f>
        <v>0</v>
      </c>
      <c r="E4035" s="53">
        <f>IF(Inputs!$C$309="",0,IF(1+$D4035&gt;0,LN(1+$D4035),0))</f>
        <v>0</v>
      </c>
      <c r="F4035" s="55">
        <f t="shared" si="1451"/>
        <v>0</v>
      </c>
      <c r="G4035" s="55">
        <f>IF($A4035="",0,COUNTIFS(rl_key,Inputs!$J$309,$B$3806:$B$4045,$B4035,$A$3806:$A$4045,"&lt;"&amp;$A4035))</f>
        <v>0</v>
      </c>
      <c r="H4035" s="55">
        <f>IF($A4035="",0,COUNTIFS(Inputs!$J$80:$J$309,Inputs!$J$309,$B$3806:$B4035,$B4035,$A$3806:$A4035,$A4035))</f>
        <v>0</v>
      </c>
      <c r="I4035" s="55">
        <f t="shared" si="1452"/>
        <v>0</v>
      </c>
      <c r="K4035" s="54" t="str">
        <f>IF(Inputs!$C$309="","",IF(Inputs!$E$309="planned",EDATE(Inputs!$C$309,N(INDEX(sc_shift,2))),Inputs!$C$309))</f>
        <v/>
      </c>
      <c r="L4035" s="54" t="str">
        <f t="shared" si="1453"/>
        <v/>
      </c>
      <c r="M4035" s="52">
        <f>IF(N(INDEX(sc_ach,2))=0,IF(Inputs!$G$309="",1,Inputs!$G$309),INDEX(sc_ach,2))</f>
        <v>1</v>
      </c>
      <c r="N4035" s="52">
        <f>IF(Inputs!$C$309="",0,IF(Inputs!$E$309="planned",(Inputs!$D$309+N(INDEX(sc_dpts,2)))*$M4035,Inputs!$D$309))</f>
        <v>0</v>
      </c>
      <c r="O4035" s="53">
        <f>IF(Inputs!$C$309="",0,IF(1+$N4035&gt;0,LN(1+$N4035),0))</f>
        <v>0</v>
      </c>
      <c r="P4035" s="55">
        <f t="shared" si="1454"/>
        <v>0</v>
      </c>
      <c r="Q4035" s="55">
        <f>IF($K4035="",0,COUNTIFS(rl_key,Inputs!$J$309,$L$3806:$L$4045,$L4035,$K$3806:$K$4045,"&lt;"&amp;$K4035))</f>
        <v>0</v>
      </c>
      <c r="R4035" s="55">
        <f>IF($K4035="",0,COUNTIFS(Inputs!$J$80:$J$309,Inputs!$J$309,$L$3806:$L4035,$L4035,$K$3806:$K4035,$K4035))</f>
        <v>0</v>
      </c>
      <c r="S4035" s="55">
        <f t="shared" si="1455"/>
        <v>0</v>
      </c>
      <c r="U4035" s="54" t="str">
        <f>IF(Inputs!$C$309="","",IF(Inputs!$E$309="planned",EDATE(Inputs!$C$309,N(INDEX(sc_shift,3))),Inputs!$C$309))</f>
        <v/>
      </c>
      <c r="V4035" s="54" t="str">
        <f t="shared" si="1456"/>
        <v/>
      </c>
      <c r="W4035" s="52">
        <f>IF(N(INDEX(sc_ach,3))=0,IF(Inputs!$G$309="",1,Inputs!$G$309),INDEX(sc_ach,3))</f>
        <v>1</v>
      </c>
      <c r="X4035" s="52">
        <f>IF(Inputs!$C$309="",0,IF(Inputs!$E$309="planned",(Inputs!$D$309+N(INDEX(sc_dpts,3)))*$W4035,Inputs!$D$309))</f>
        <v>0</v>
      </c>
      <c r="Y4035" s="53">
        <f>IF(Inputs!$C$309="",0,IF(1+$X4035&gt;0,LN(1+$X4035),0))</f>
        <v>0</v>
      </c>
      <c r="Z4035" s="55">
        <f t="shared" si="1457"/>
        <v>0</v>
      </c>
      <c r="AA4035" s="55">
        <f>IF($U4035="",0,COUNTIFS(rl_key,Inputs!$J$309,$V$3806:$V$4045,$V4035,$U$3806:$U$4045,"&lt;"&amp;$U4035))</f>
        <v>0</v>
      </c>
      <c r="AB4035" s="55">
        <f>IF($U4035="",0,COUNTIFS(Inputs!$J$80:$J$309,Inputs!$J$309,$V$3806:$V4035,$V4035,$U$3806:$U4035,$U4035))</f>
        <v>0</v>
      </c>
      <c r="AC4035" s="55">
        <f t="shared" si="1458"/>
        <v>0</v>
      </c>
      <c r="AE4035" s="54" t="str">
        <f>IF(Inputs!$C$309="","",IF(Inputs!$E$309="planned",EDATE(Inputs!$C$309,N(INDEX(sc_shift,4))),Inputs!$C$309))</f>
        <v/>
      </c>
      <c r="AF4035" s="54" t="str">
        <f t="shared" si="1459"/>
        <v/>
      </c>
      <c r="AG4035" s="52">
        <f>IF(N(INDEX(sc_ach,4))=0,IF(Inputs!$G$309="",1,Inputs!$G$309),INDEX(sc_ach,4))</f>
        <v>1</v>
      </c>
      <c r="AH4035" s="52">
        <f>IF(Inputs!$C$309="",0,IF(Inputs!$E$309="planned",(Inputs!$D$309+N(INDEX(sc_dpts,4)))*$AG4035,Inputs!$D$309))</f>
        <v>0</v>
      </c>
      <c r="AI4035" s="53">
        <f>IF(Inputs!$C$309="",0,IF(1+$AH4035&gt;0,LN(1+$AH4035),0))</f>
        <v>0</v>
      </c>
      <c r="AJ4035" s="55">
        <f t="shared" si="1460"/>
        <v>0</v>
      </c>
      <c r="AK4035" s="55">
        <f>IF($AE4035="",0,COUNTIFS(rl_key,Inputs!$J$309,$AF$3806:$AF$4045,$AF4035,$AE$3806:$AE$4045,"&lt;"&amp;$AE4035))</f>
        <v>0</v>
      </c>
      <c r="AL4035" s="55">
        <f>IF($AE4035="",0,COUNTIFS(Inputs!$J$80:$J$309,Inputs!$J$309,$AF$3806:$AF4035,$AF4035,$AE$3806:$AE4035,$AE4035))</f>
        <v>0</v>
      </c>
      <c r="AM4035" s="55">
        <f t="shared" si="1461"/>
        <v>0</v>
      </c>
    </row>
    <row r="4036" spans="1:39" x14ac:dyDescent="0.25">
      <c r="A4036" s="54" t="str">
        <f>IF(Inputs!$C$310="","",IF(Inputs!$E$310="planned",EDATE(Inputs!$C$310,N(INDEX(sc_shift,1))),Inputs!$C$310))</f>
        <v/>
      </c>
      <c r="B4036" s="54" t="str">
        <f t="shared" si="1450"/>
        <v/>
      </c>
      <c r="C4036" s="52">
        <f>IF(N(INDEX(sc_ach,1))=0,IF(Inputs!$G$310="",1,Inputs!$G$310),INDEX(sc_ach,1))</f>
        <v>1</v>
      </c>
      <c r="D4036" s="52">
        <f>IF(Inputs!$C$310="",0,IF(Inputs!$E$310="planned",(Inputs!$D$310+N(INDEX(sc_dpts,1)))*$C4036,Inputs!$D$310))</f>
        <v>0</v>
      </c>
      <c r="E4036" s="53">
        <f>IF(Inputs!$C$310="",0,IF(1+$D4036&gt;0,LN(1+$D4036),0))</f>
        <v>0</v>
      </c>
      <c r="F4036" s="55">
        <f t="shared" si="1451"/>
        <v>0</v>
      </c>
      <c r="G4036" s="55">
        <f>IF($A4036="",0,COUNTIFS(rl_key,Inputs!$J$310,$B$3806:$B$4045,$B4036,$A$3806:$A$4045,"&lt;"&amp;$A4036))</f>
        <v>0</v>
      </c>
      <c r="H4036" s="55">
        <f>IF($A4036="",0,COUNTIFS(Inputs!$J$80:$J$310,Inputs!$J$310,$B$3806:$B4036,$B4036,$A$3806:$A4036,$A4036))</f>
        <v>0</v>
      </c>
      <c r="I4036" s="55">
        <f t="shared" si="1452"/>
        <v>0</v>
      </c>
      <c r="K4036" s="54" t="str">
        <f>IF(Inputs!$C$310="","",IF(Inputs!$E$310="planned",EDATE(Inputs!$C$310,N(INDEX(sc_shift,2))),Inputs!$C$310))</f>
        <v/>
      </c>
      <c r="L4036" s="54" t="str">
        <f t="shared" si="1453"/>
        <v/>
      </c>
      <c r="M4036" s="52">
        <f>IF(N(INDEX(sc_ach,2))=0,IF(Inputs!$G$310="",1,Inputs!$G$310),INDEX(sc_ach,2))</f>
        <v>1</v>
      </c>
      <c r="N4036" s="52">
        <f>IF(Inputs!$C$310="",0,IF(Inputs!$E$310="planned",(Inputs!$D$310+N(INDEX(sc_dpts,2)))*$M4036,Inputs!$D$310))</f>
        <v>0</v>
      </c>
      <c r="O4036" s="53">
        <f>IF(Inputs!$C$310="",0,IF(1+$N4036&gt;0,LN(1+$N4036),0))</f>
        <v>0</v>
      </c>
      <c r="P4036" s="55">
        <f t="shared" si="1454"/>
        <v>0</v>
      </c>
      <c r="Q4036" s="55">
        <f>IF($K4036="",0,COUNTIFS(rl_key,Inputs!$J$310,$L$3806:$L$4045,$L4036,$K$3806:$K$4045,"&lt;"&amp;$K4036))</f>
        <v>0</v>
      </c>
      <c r="R4036" s="55">
        <f>IF($K4036="",0,COUNTIFS(Inputs!$J$80:$J$310,Inputs!$J$310,$L$3806:$L4036,$L4036,$K$3806:$K4036,$K4036))</f>
        <v>0</v>
      </c>
      <c r="S4036" s="55">
        <f t="shared" si="1455"/>
        <v>0</v>
      </c>
      <c r="U4036" s="54" t="str">
        <f>IF(Inputs!$C$310="","",IF(Inputs!$E$310="planned",EDATE(Inputs!$C$310,N(INDEX(sc_shift,3))),Inputs!$C$310))</f>
        <v/>
      </c>
      <c r="V4036" s="54" t="str">
        <f t="shared" si="1456"/>
        <v/>
      </c>
      <c r="W4036" s="52">
        <f>IF(N(INDEX(sc_ach,3))=0,IF(Inputs!$G$310="",1,Inputs!$G$310),INDEX(sc_ach,3))</f>
        <v>1</v>
      </c>
      <c r="X4036" s="52">
        <f>IF(Inputs!$C$310="",0,IF(Inputs!$E$310="planned",(Inputs!$D$310+N(INDEX(sc_dpts,3)))*$W4036,Inputs!$D$310))</f>
        <v>0</v>
      </c>
      <c r="Y4036" s="53">
        <f>IF(Inputs!$C$310="",0,IF(1+$X4036&gt;0,LN(1+$X4036),0))</f>
        <v>0</v>
      </c>
      <c r="Z4036" s="55">
        <f t="shared" si="1457"/>
        <v>0</v>
      </c>
      <c r="AA4036" s="55">
        <f>IF($U4036="",0,COUNTIFS(rl_key,Inputs!$J$310,$V$3806:$V$4045,$V4036,$U$3806:$U$4045,"&lt;"&amp;$U4036))</f>
        <v>0</v>
      </c>
      <c r="AB4036" s="55">
        <f>IF($U4036="",0,COUNTIFS(Inputs!$J$80:$J$310,Inputs!$J$310,$V$3806:$V4036,$V4036,$U$3806:$U4036,$U4036))</f>
        <v>0</v>
      </c>
      <c r="AC4036" s="55">
        <f t="shared" si="1458"/>
        <v>0</v>
      </c>
      <c r="AE4036" s="54" t="str">
        <f>IF(Inputs!$C$310="","",IF(Inputs!$E$310="planned",EDATE(Inputs!$C$310,N(INDEX(sc_shift,4))),Inputs!$C$310))</f>
        <v/>
      </c>
      <c r="AF4036" s="54" t="str">
        <f t="shared" si="1459"/>
        <v/>
      </c>
      <c r="AG4036" s="52">
        <f>IF(N(INDEX(sc_ach,4))=0,IF(Inputs!$G$310="",1,Inputs!$G$310),INDEX(sc_ach,4))</f>
        <v>1</v>
      </c>
      <c r="AH4036" s="52">
        <f>IF(Inputs!$C$310="",0,IF(Inputs!$E$310="planned",(Inputs!$D$310+N(INDEX(sc_dpts,4)))*$AG4036,Inputs!$D$310))</f>
        <v>0</v>
      </c>
      <c r="AI4036" s="53">
        <f>IF(Inputs!$C$310="",0,IF(1+$AH4036&gt;0,LN(1+$AH4036),0))</f>
        <v>0</v>
      </c>
      <c r="AJ4036" s="55">
        <f t="shared" si="1460"/>
        <v>0</v>
      </c>
      <c r="AK4036" s="55">
        <f>IF($AE4036="",0,COUNTIFS(rl_key,Inputs!$J$310,$AF$3806:$AF$4045,$AF4036,$AE$3806:$AE$4045,"&lt;"&amp;$AE4036))</f>
        <v>0</v>
      </c>
      <c r="AL4036" s="55">
        <f>IF($AE4036="",0,COUNTIFS(Inputs!$J$80:$J$310,Inputs!$J$310,$AF$3806:$AF4036,$AF4036,$AE$3806:$AE4036,$AE4036))</f>
        <v>0</v>
      </c>
      <c r="AM4036" s="55">
        <f t="shared" si="1461"/>
        <v>0</v>
      </c>
    </row>
    <row r="4037" spans="1:39" x14ac:dyDescent="0.25">
      <c r="A4037" s="54" t="str">
        <f>IF(Inputs!$C$311="","",IF(Inputs!$E$311="planned",EDATE(Inputs!$C$311,N(INDEX(sc_shift,1))),Inputs!$C$311))</f>
        <v/>
      </c>
      <c r="B4037" s="54" t="str">
        <f t="shared" si="1450"/>
        <v/>
      </c>
      <c r="C4037" s="52">
        <f>IF(N(INDEX(sc_ach,1))=0,IF(Inputs!$G$311="",1,Inputs!$G$311),INDEX(sc_ach,1))</f>
        <v>1</v>
      </c>
      <c r="D4037" s="52">
        <f>IF(Inputs!$C$311="",0,IF(Inputs!$E$311="planned",(Inputs!$D$311+N(INDEX(sc_dpts,1)))*$C4037,Inputs!$D$311))</f>
        <v>0</v>
      </c>
      <c r="E4037" s="53">
        <f>IF(Inputs!$C$311="",0,IF(1+$D4037&gt;0,LN(1+$D4037),0))</f>
        <v>0</v>
      </c>
      <c r="F4037" s="55">
        <f t="shared" si="1451"/>
        <v>0</v>
      </c>
      <c r="G4037" s="55">
        <f>IF($A4037="",0,COUNTIFS(rl_key,Inputs!$J$311,$B$3806:$B$4045,$B4037,$A$3806:$A$4045,"&lt;"&amp;$A4037))</f>
        <v>0</v>
      </c>
      <c r="H4037" s="55">
        <f>IF($A4037="",0,COUNTIFS(Inputs!$J$80:$J$311,Inputs!$J$311,$B$3806:$B4037,$B4037,$A$3806:$A4037,$A4037))</f>
        <v>0</v>
      </c>
      <c r="I4037" s="55">
        <f t="shared" si="1452"/>
        <v>0</v>
      </c>
      <c r="K4037" s="54" t="str">
        <f>IF(Inputs!$C$311="","",IF(Inputs!$E$311="planned",EDATE(Inputs!$C$311,N(INDEX(sc_shift,2))),Inputs!$C$311))</f>
        <v/>
      </c>
      <c r="L4037" s="54" t="str">
        <f t="shared" si="1453"/>
        <v/>
      </c>
      <c r="M4037" s="52">
        <f>IF(N(INDEX(sc_ach,2))=0,IF(Inputs!$G$311="",1,Inputs!$G$311),INDEX(sc_ach,2))</f>
        <v>1</v>
      </c>
      <c r="N4037" s="52">
        <f>IF(Inputs!$C$311="",0,IF(Inputs!$E$311="planned",(Inputs!$D$311+N(INDEX(sc_dpts,2)))*$M4037,Inputs!$D$311))</f>
        <v>0</v>
      </c>
      <c r="O4037" s="53">
        <f>IF(Inputs!$C$311="",0,IF(1+$N4037&gt;0,LN(1+$N4037),0))</f>
        <v>0</v>
      </c>
      <c r="P4037" s="55">
        <f t="shared" si="1454"/>
        <v>0</v>
      </c>
      <c r="Q4037" s="55">
        <f>IF($K4037="",0,COUNTIFS(rl_key,Inputs!$J$311,$L$3806:$L$4045,$L4037,$K$3806:$K$4045,"&lt;"&amp;$K4037))</f>
        <v>0</v>
      </c>
      <c r="R4037" s="55">
        <f>IF($K4037="",0,COUNTIFS(Inputs!$J$80:$J$311,Inputs!$J$311,$L$3806:$L4037,$L4037,$K$3806:$K4037,$K4037))</f>
        <v>0</v>
      </c>
      <c r="S4037" s="55">
        <f t="shared" si="1455"/>
        <v>0</v>
      </c>
      <c r="U4037" s="54" t="str">
        <f>IF(Inputs!$C$311="","",IF(Inputs!$E$311="planned",EDATE(Inputs!$C$311,N(INDEX(sc_shift,3))),Inputs!$C$311))</f>
        <v/>
      </c>
      <c r="V4037" s="54" t="str">
        <f t="shared" si="1456"/>
        <v/>
      </c>
      <c r="W4037" s="52">
        <f>IF(N(INDEX(sc_ach,3))=0,IF(Inputs!$G$311="",1,Inputs!$G$311),INDEX(sc_ach,3))</f>
        <v>1</v>
      </c>
      <c r="X4037" s="52">
        <f>IF(Inputs!$C$311="",0,IF(Inputs!$E$311="planned",(Inputs!$D$311+N(INDEX(sc_dpts,3)))*$W4037,Inputs!$D$311))</f>
        <v>0</v>
      </c>
      <c r="Y4037" s="53">
        <f>IF(Inputs!$C$311="",0,IF(1+$X4037&gt;0,LN(1+$X4037),0))</f>
        <v>0</v>
      </c>
      <c r="Z4037" s="55">
        <f t="shared" si="1457"/>
        <v>0</v>
      </c>
      <c r="AA4037" s="55">
        <f>IF($U4037="",0,COUNTIFS(rl_key,Inputs!$J$311,$V$3806:$V$4045,$V4037,$U$3806:$U$4045,"&lt;"&amp;$U4037))</f>
        <v>0</v>
      </c>
      <c r="AB4037" s="55">
        <f>IF($U4037="",0,COUNTIFS(Inputs!$J$80:$J$311,Inputs!$J$311,$V$3806:$V4037,$V4037,$U$3806:$U4037,$U4037))</f>
        <v>0</v>
      </c>
      <c r="AC4037" s="55">
        <f t="shared" si="1458"/>
        <v>0</v>
      </c>
      <c r="AE4037" s="54" t="str">
        <f>IF(Inputs!$C$311="","",IF(Inputs!$E$311="planned",EDATE(Inputs!$C$311,N(INDEX(sc_shift,4))),Inputs!$C$311))</f>
        <v/>
      </c>
      <c r="AF4037" s="54" t="str">
        <f t="shared" si="1459"/>
        <v/>
      </c>
      <c r="AG4037" s="52">
        <f>IF(N(INDEX(sc_ach,4))=0,IF(Inputs!$G$311="",1,Inputs!$G$311),INDEX(sc_ach,4))</f>
        <v>1</v>
      </c>
      <c r="AH4037" s="52">
        <f>IF(Inputs!$C$311="",0,IF(Inputs!$E$311="planned",(Inputs!$D$311+N(INDEX(sc_dpts,4)))*$AG4037,Inputs!$D$311))</f>
        <v>0</v>
      </c>
      <c r="AI4037" s="53">
        <f>IF(Inputs!$C$311="",0,IF(1+$AH4037&gt;0,LN(1+$AH4037),0))</f>
        <v>0</v>
      </c>
      <c r="AJ4037" s="55">
        <f t="shared" si="1460"/>
        <v>0</v>
      </c>
      <c r="AK4037" s="55">
        <f>IF($AE4037="",0,COUNTIFS(rl_key,Inputs!$J$311,$AF$3806:$AF$4045,$AF4037,$AE$3806:$AE$4045,"&lt;"&amp;$AE4037))</f>
        <v>0</v>
      </c>
      <c r="AL4037" s="55">
        <f>IF($AE4037="",0,COUNTIFS(Inputs!$J$80:$J$311,Inputs!$J$311,$AF$3806:$AF4037,$AF4037,$AE$3806:$AE4037,$AE4037))</f>
        <v>0</v>
      </c>
      <c r="AM4037" s="55">
        <f t="shared" si="1461"/>
        <v>0</v>
      </c>
    </row>
    <row r="4038" spans="1:39" x14ac:dyDescent="0.25">
      <c r="A4038" s="54" t="str">
        <f>IF(Inputs!$C$312="","",IF(Inputs!$E$312="planned",EDATE(Inputs!$C$312,N(INDEX(sc_shift,1))),Inputs!$C$312))</f>
        <v/>
      </c>
      <c r="B4038" s="54" t="str">
        <f t="shared" si="1450"/>
        <v/>
      </c>
      <c r="C4038" s="52">
        <f>IF(N(INDEX(sc_ach,1))=0,IF(Inputs!$G$312="",1,Inputs!$G$312),INDEX(sc_ach,1))</f>
        <v>1</v>
      </c>
      <c r="D4038" s="52">
        <f>IF(Inputs!$C$312="",0,IF(Inputs!$E$312="planned",(Inputs!$D$312+N(INDEX(sc_dpts,1)))*$C4038,Inputs!$D$312))</f>
        <v>0</v>
      </c>
      <c r="E4038" s="53">
        <f>IF(Inputs!$C$312="",0,IF(1+$D4038&gt;0,LN(1+$D4038),0))</f>
        <v>0</v>
      </c>
      <c r="F4038" s="55">
        <f t="shared" si="1451"/>
        <v>0</v>
      </c>
      <c r="G4038" s="55">
        <f>IF($A4038="",0,COUNTIFS(rl_key,Inputs!$J$312,$B$3806:$B$4045,$B4038,$A$3806:$A$4045,"&lt;"&amp;$A4038))</f>
        <v>0</v>
      </c>
      <c r="H4038" s="55">
        <f>IF($A4038="",0,COUNTIFS(Inputs!$J$80:$J$312,Inputs!$J$312,$B$3806:$B4038,$B4038,$A$3806:$A4038,$A4038))</f>
        <v>0</v>
      </c>
      <c r="I4038" s="55">
        <f t="shared" si="1452"/>
        <v>0</v>
      </c>
      <c r="K4038" s="54" t="str">
        <f>IF(Inputs!$C$312="","",IF(Inputs!$E$312="planned",EDATE(Inputs!$C$312,N(INDEX(sc_shift,2))),Inputs!$C$312))</f>
        <v/>
      </c>
      <c r="L4038" s="54" t="str">
        <f t="shared" si="1453"/>
        <v/>
      </c>
      <c r="M4038" s="52">
        <f>IF(N(INDEX(sc_ach,2))=0,IF(Inputs!$G$312="",1,Inputs!$G$312),INDEX(sc_ach,2))</f>
        <v>1</v>
      </c>
      <c r="N4038" s="52">
        <f>IF(Inputs!$C$312="",0,IF(Inputs!$E$312="planned",(Inputs!$D$312+N(INDEX(sc_dpts,2)))*$M4038,Inputs!$D$312))</f>
        <v>0</v>
      </c>
      <c r="O4038" s="53">
        <f>IF(Inputs!$C$312="",0,IF(1+$N4038&gt;0,LN(1+$N4038),0))</f>
        <v>0</v>
      </c>
      <c r="P4038" s="55">
        <f t="shared" si="1454"/>
        <v>0</v>
      </c>
      <c r="Q4038" s="55">
        <f>IF($K4038="",0,COUNTIFS(rl_key,Inputs!$J$312,$L$3806:$L$4045,$L4038,$K$3806:$K$4045,"&lt;"&amp;$K4038))</f>
        <v>0</v>
      </c>
      <c r="R4038" s="55">
        <f>IF($K4038="",0,COUNTIFS(Inputs!$J$80:$J$312,Inputs!$J$312,$L$3806:$L4038,$L4038,$K$3806:$K4038,$K4038))</f>
        <v>0</v>
      </c>
      <c r="S4038" s="55">
        <f t="shared" si="1455"/>
        <v>0</v>
      </c>
      <c r="U4038" s="54" t="str">
        <f>IF(Inputs!$C$312="","",IF(Inputs!$E$312="planned",EDATE(Inputs!$C$312,N(INDEX(sc_shift,3))),Inputs!$C$312))</f>
        <v/>
      </c>
      <c r="V4038" s="54" t="str">
        <f t="shared" si="1456"/>
        <v/>
      </c>
      <c r="W4038" s="52">
        <f>IF(N(INDEX(sc_ach,3))=0,IF(Inputs!$G$312="",1,Inputs!$G$312),INDEX(sc_ach,3))</f>
        <v>1</v>
      </c>
      <c r="X4038" s="52">
        <f>IF(Inputs!$C$312="",0,IF(Inputs!$E$312="planned",(Inputs!$D$312+N(INDEX(sc_dpts,3)))*$W4038,Inputs!$D$312))</f>
        <v>0</v>
      </c>
      <c r="Y4038" s="53">
        <f>IF(Inputs!$C$312="",0,IF(1+$X4038&gt;0,LN(1+$X4038),0))</f>
        <v>0</v>
      </c>
      <c r="Z4038" s="55">
        <f t="shared" si="1457"/>
        <v>0</v>
      </c>
      <c r="AA4038" s="55">
        <f>IF($U4038="",0,COUNTIFS(rl_key,Inputs!$J$312,$V$3806:$V$4045,$V4038,$U$3806:$U$4045,"&lt;"&amp;$U4038))</f>
        <v>0</v>
      </c>
      <c r="AB4038" s="55">
        <f>IF($U4038="",0,COUNTIFS(Inputs!$J$80:$J$312,Inputs!$J$312,$V$3806:$V4038,$V4038,$U$3806:$U4038,$U4038))</f>
        <v>0</v>
      </c>
      <c r="AC4038" s="55">
        <f t="shared" si="1458"/>
        <v>0</v>
      </c>
      <c r="AE4038" s="54" t="str">
        <f>IF(Inputs!$C$312="","",IF(Inputs!$E$312="planned",EDATE(Inputs!$C$312,N(INDEX(sc_shift,4))),Inputs!$C$312))</f>
        <v/>
      </c>
      <c r="AF4038" s="54" t="str">
        <f t="shared" si="1459"/>
        <v/>
      </c>
      <c r="AG4038" s="52">
        <f>IF(N(INDEX(sc_ach,4))=0,IF(Inputs!$G$312="",1,Inputs!$G$312),INDEX(sc_ach,4))</f>
        <v>1</v>
      </c>
      <c r="AH4038" s="52">
        <f>IF(Inputs!$C$312="",0,IF(Inputs!$E$312="planned",(Inputs!$D$312+N(INDEX(sc_dpts,4)))*$AG4038,Inputs!$D$312))</f>
        <v>0</v>
      </c>
      <c r="AI4038" s="53">
        <f>IF(Inputs!$C$312="",0,IF(1+$AH4038&gt;0,LN(1+$AH4038),0))</f>
        <v>0</v>
      </c>
      <c r="AJ4038" s="55">
        <f t="shared" si="1460"/>
        <v>0</v>
      </c>
      <c r="AK4038" s="55">
        <f>IF($AE4038="",0,COUNTIFS(rl_key,Inputs!$J$312,$AF$3806:$AF$4045,$AF4038,$AE$3806:$AE$4045,"&lt;"&amp;$AE4038))</f>
        <v>0</v>
      </c>
      <c r="AL4038" s="55">
        <f>IF($AE4038="",0,COUNTIFS(Inputs!$J$80:$J$312,Inputs!$J$312,$AF$3806:$AF4038,$AF4038,$AE$3806:$AE4038,$AE4038))</f>
        <v>0</v>
      </c>
      <c r="AM4038" s="55">
        <f t="shared" si="1461"/>
        <v>0</v>
      </c>
    </row>
    <row r="4039" spans="1:39" x14ac:dyDescent="0.25">
      <c r="A4039" s="54" t="str">
        <f>IF(Inputs!$C$313="","",IF(Inputs!$E$313="planned",EDATE(Inputs!$C$313,N(INDEX(sc_shift,1))),Inputs!$C$313))</f>
        <v/>
      </c>
      <c r="B4039" s="54" t="str">
        <f t="shared" si="1450"/>
        <v/>
      </c>
      <c r="C4039" s="52">
        <f>IF(N(INDEX(sc_ach,1))=0,IF(Inputs!$G$313="",1,Inputs!$G$313),INDEX(sc_ach,1))</f>
        <v>1</v>
      </c>
      <c r="D4039" s="52">
        <f>IF(Inputs!$C$313="",0,IF(Inputs!$E$313="planned",(Inputs!$D$313+N(INDEX(sc_dpts,1)))*$C4039,Inputs!$D$313))</f>
        <v>0</v>
      </c>
      <c r="E4039" s="53">
        <f>IF(Inputs!$C$313="",0,IF(1+$D4039&gt;0,LN(1+$D4039),0))</f>
        <v>0</v>
      </c>
      <c r="F4039" s="55">
        <f t="shared" si="1451"/>
        <v>0</v>
      </c>
      <c r="G4039" s="55">
        <f>IF($A4039="",0,COUNTIFS(rl_key,Inputs!$J$313,$B$3806:$B$4045,$B4039,$A$3806:$A$4045,"&lt;"&amp;$A4039))</f>
        <v>0</v>
      </c>
      <c r="H4039" s="55">
        <f>IF($A4039="",0,COUNTIFS(Inputs!$J$80:$J$313,Inputs!$J$313,$B$3806:$B4039,$B4039,$A$3806:$A4039,$A4039))</f>
        <v>0</v>
      </c>
      <c r="I4039" s="55">
        <f t="shared" si="1452"/>
        <v>0</v>
      </c>
      <c r="K4039" s="54" t="str">
        <f>IF(Inputs!$C$313="","",IF(Inputs!$E$313="planned",EDATE(Inputs!$C$313,N(INDEX(sc_shift,2))),Inputs!$C$313))</f>
        <v/>
      </c>
      <c r="L4039" s="54" t="str">
        <f t="shared" si="1453"/>
        <v/>
      </c>
      <c r="M4039" s="52">
        <f>IF(N(INDEX(sc_ach,2))=0,IF(Inputs!$G$313="",1,Inputs!$G$313),INDEX(sc_ach,2))</f>
        <v>1</v>
      </c>
      <c r="N4039" s="52">
        <f>IF(Inputs!$C$313="",0,IF(Inputs!$E$313="planned",(Inputs!$D$313+N(INDEX(sc_dpts,2)))*$M4039,Inputs!$D$313))</f>
        <v>0</v>
      </c>
      <c r="O4039" s="53">
        <f>IF(Inputs!$C$313="",0,IF(1+$N4039&gt;0,LN(1+$N4039),0))</f>
        <v>0</v>
      </c>
      <c r="P4039" s="55">
        <f t="shared" si="1454"/>
        <v>0</v>
      </c>
      <c r="Q4039" s="55">
        <f>IF($K4039="",0,COUNTIFS(rl_key,Inputs!$J$313,$L$3806:$L$4045,$L4039,$K$3806:$K$4045,"&lt;"&amp;$K4039))</f>
        <v>0</v>
      </c>
      <c r="R4039" s="55">
        <f>IF($K4039="",0,COUNTIFS(Inputs!$J$80:$J$313,Inputs!$J$313,$L$3806:$L4039,$L4039,$K$3806:$K4039,$K4039))</f>
        <v>0</v>
      </c>
      <c r="S4039" s="55">
        <f t="shared" si="1455"/>
        <v>0</v>
      </c>
      <c r="U4039" s="54" t="str">
        <f>IF(Inputs!$C$313="","",IF(Inputs!$E$313="planned",EDATE(Inputs!$C$313,N(INDEX(sc_shift,3))),Inputs!$C$313))</f>
        <v/>
      </c>
      <c r="V4039" s="54" t="str">
        <f t="shared" si="1456"/>
        <v/>
      </c>
      <c r="W4039" s="52">
        <f>IF(N(INDEX(sc_ach,3))=0,IF(Inputs!$G$313="",1,Inputs!$G$313),INDEX(sc_ach,3))</f>
        <v>1</v>
      </c>
      <c r="X4039" s="52">
        <f>IF(Inputs!$C$313="",0,IF(Inputs!$E$313="planned",(Inputs!$D$313+N(INDEX(sc_dpts,3)))*$W4039,Inputs!$D$313))</f>
        <v>0</v>
      </c>
      <c r="Y4039" s="53">
        <f>IF(Inputs!$C$313="",0,IF(1+$X4039&gt;0,LN(1+$X4039),0))</f>
        <v>0</v>
      </c>
      <c r="Z4039" s="55">
        <f t="shared" si="1457"/>
        <v>0</v>
      </c>
      <c r="AA4039" s="55">
        <f>IF($U4039="",0,COUNTIFS(rl_key,Inputs!$J$313,$V$3806:$V$4045,$V4039,$U$3806:$U$4045,"&lt;"&amp;$U4039))</f>
        <v>0</v>
      </c>
      <c r="AB4039" s="55">
        <f>IF($U4039="",0,COUNTIFS(Inputs!$J$80:$J$313,Inputs!$J$313,$V$3806:$V4039,$V4039,$U$3806:$U4039,$U4039))</f>
        <v>0</v>
      </c>
      <c r="AC4039" s="55">
        <f t="shared" si="1458"/>
        <v>0</v>
      </c>
      <c r="AE4039" s="54" t="str">
        <f>IF(Inputs!$C$313="","",IF(Inputs!$E$313="planned",EDATE(Inputs!$C$313,N(INDEX(sc_shift,4))),Inputs!$C$313))</f>
        <v/>
      </c>
      <c r="AF4039" s="54" t="str">
        <f t="shared" si="1459"/>
        <v/>
      </c>
      <c r="AG4039" s="52">
        <f>IF(N(INDEX(sc_ach,4))=0,IF(Inputs!$G$313="",1,Inputs!$G$313),INDEX(sc_ach,4))</f>
        <v>1</v>
      </c>
      <c r="AH4039" s="52">
        <f>IF(Inputs!$C$313="",0,IF(Inputs!$E$313="planned",(Inputs!$D$313+N(INDEX(sc_dpts,4)))*$AG4039,Inputs!$D$313))</f>
        <v>0</v>
      </c>
      <c r="AI4039" s="53">
        <f>IF(Inputs!$C$313="",0,IF(1+$AH4039&gt;0,LN(1+$AH4039),0))</f>
        <v>0</v>
      </c>
      <c r="AJ4039" s="55">
        <f t="shared" si="1460"/>
        <v>0</v>
      </c>
      <c r="AK4039" s="55">
        <f>IF($AE4039="",0,COUNTIFS(rl_key,Inputs!$J$313,$AF$3806:$AF$4045,$AF4039,$AE$3806:$AE$4045,"&lt;"&amp;$AE4039))</f>
        <v>0</v>
      </c>
      <c r="AL4039" s="55">
        <f>IF($AE4039="",0,COUNTIFS(Inputs!$J$80:$J$313,Inputs!$J$313,$AF$3806:$AF4039,$AF4039,$AE$3806:$AE4039,$AE4039))</f>
        <v>0</v>
      </c>
      <c r="AM4039" s="55">
        <f t="shared" si="1461"/>
        <v>0</v>
      </c>
    </row>
    <row r="4040" spans="1:39" x14ac:dyDescent="0.25">
      <c r="A4040" s="54" t="str">
        <f>IF(Inputs!$C$314="","",IF(Inputs!$E$314="planned",EDATE(Inputs!$C$314,N(INDEX(sc_shift,1))),Inputs!$C$314))</f>
        <v/>
      </c>
      <c r="B4040" s="54" t="str">
        <f t="shared" si="1450"/>
        <v/>
      </c>
      <c r="C4040" s="52">
        <f>IF(N(INDEX(sc_ach,1))=0,IF(Inputs!$G$314="",1,Inputs!$G$314),INDEX(sc_ach,1))</f>
        <v>1</v>
      </c>
      <c r="D4040" s="52">
        <f>IF(Inputs!$C$314="",0,IF(Inputs!$E$314="planned",(Inputs!$D$314+N(INDEX(sc_dpts,1)))*$C4040,Inputs!$D$314))</f>
        <v>0</v>
      </c>
      <c r="E4040" s="53">
        <f>IF(Inputs!$C$314="",0,IF(1+$D4040&gt;0,LN(1+$D4040),0))</f>
        <v>0</v>
      </c>
      <c r="F4040" s="55">
        <f t="shared" si="1451"/>
        <v>0</v>
      </c>
      <c r="G4040" s="55">
        <f>IF($A4040="",0,COUNTIFS(rl_key,Inputs!$J$314,$B$3806:$B$4045,$B4040,$A$3806:$A$4045,"&lt;"&amp;$A4040))</f>
        <v>0</v>
      </c>
      <c r="H4040" s="55">
        <f>IF($A4040="",0,COUNTIFS(Inputs!$J$80:$J$314,Inputs!$J$314,$B$3806:$B4040,$B4040,$A$3806:$A4040,$A4040))</f>
        <v>0</v>
      </c>
      <c r="I4040" s="55">
        <f t="shared" si="1452"/>
        <v>0</v>
      </c>
      <c r="K4040" s="54" t="str">
        <f>IF(Inputs!$C$314="","",IF(Inputs!$E$314="planned",EDATE(Inputs!$C$314,N(INDEX(sc_shift,2))),Inputs!$C$314))</f>
        <v/>
      </c>
      <c r="L4040" s="54" t="str">
        <f t="shared" si="1453"/>
        <v/>
      </c>
      <c r="M4040" s="52">
        <f>IF(N(INDEX(sc_ach,2))=0,IF(Inputs!$G$314="",1,Inputs!$G$314),INDEX(sc_ach,2))</f>
        <v>1</v>
      </c>
      <c r="N4040" s="52">
        <f>IF(Inputs!$C$314="",0,IF(Inputs!$E$314="planned",(Inputs!$D$314+N(INDEX(sc_dpts,2)))*$M4040,Inputs!$D$314))</f>
        <v>0</v>
      </c>
      <c r="O4040" s="53">
        <f>IF(Inputs!$C$314="",0,IF(1+$N4040&gt;0,LN(1+$N4040),0))</f>
        <v>0</v>
      </c>
      <c r="P4040" s="55">
        <f t="shared" si="1454"/>
        <v>0</v>
      </c>
      <c r="Q4040" s="55">
        <f>IF($K4040="",0,COUNTIFS(rl_key,Inputs!$J$314,$L$3806:$L$4045,$L4040,$K$3806:$K$4045,"&lt;"&amp;$K4040))</f>
        <v>0</v>
      </c>
      <c r="R4040" s="55">
        <f>IF($K4040="",0,COUNTIFS(Inputs!$J$80:$J$314,Inputs!$J$314,$L$3806:$L4040,$L4040,$K$3806:$K4040,$K4040))</f>
        <v>0</v>
      </c>
      <c r="S4040" s="55">
        <f t="shared" si="1455"/>
        <v>0</v>
      </c>
      <c r="U4040" s="54" t="str">
        <f>IF(Inputs!$C$314="","",IF(Inputs!$E$314="planned",EDATE(Inputs!$C$314,N(INDEX(sc_shift,3))),Inputs!$C$314))</f>
        <v/>
      </c>
      <c r="V4040" s="54" t="str">
        <f t="shared" si="1456"/>
        <v/>
      </c>
      <c r="W4040" s="52">
        <f>IF(N(INDEX(sc_ach,3))=0,IF(Inputs!$G$314="",1,Inputs!$G$314),INDEX(sc_ach,3))</f>
        <v>1</v>
      </c>
      <c r="X4040" s="52">
        <f>IF(Inputs!$C$314="",0,IF(Inputs!$E$314="planned",(Inputs!$D$314+N(INDEX(sc_dpts,3)))*$W4040,Inputs!$D$314))</f>
        <v>0</v>
      </c>
      <c r="Y4040" s="53">
        <f>IF(Inputs!$C$314="",0,IF(1+$X4040&gt;0,LN(1+$X4040),0))</f>
        <v>0</v>
      </c>
      <c r="Z4040" s="55">
        <f t="shared" si="1457"/>
        <v>0</v>
      </c>
      <c r="AA4040" s="55">
        <f>IF($U4040="",0,COUNTIFS(rl_key,Inputs!$J$314,$V$3806:$V$4045,$V4040,$U$3806:$U$4045,"&lt;"&amp;$U4040))</f>
        <v>0</v>
      </c>
      <c r="AB4040" s="55">
        <f>IF($U4040="",0,COUNTIFS(Inputs!$J$80:$J$314,Inputs!$J$314,$V$3806:$V4040,$V4040,$U$3806:$U4040,$U4040))</f>
        <v>0</v>
      </c>
      <c r="AC4040" s="55">
        <f t="shared" si="1458"/>
        <v>0</v>
      </c>
      <c r="AE4040" s="54" t="str">
        <f>IF(Inputs!$C$314="","",IF(Inputs!$E$314="planned",EDATE(Inputs!$C$314,N(INDEX(sc_shift,4))),Inputs!$C$314))</f>
        <v/>
      </c>
      <c r="AF4040" s="54" t="str">
        <f t="shared" si="1459"/>
        <v/>
      </c>
      <c r="AG4040" s="52">
        <f>IF(N(INDEX(sc_ach,4))=0,IF(Inputs!$G$314="",1,Inputs!$G$314),INDEX(sc_ach,4))</f>
        <v>1</v>
      </c>
      <c r="AH4040" s="52">
        <f>IF(Inputs!$C$314="",0,IF(Inputs!$E$314="planned",(Inputs!$D$314+N(INDEX(sc_dpts,4)))*$AG4040,Inputs!$D$314))</f>
        <v>0</v>
      </c>
      <c r="AI4040" s="53">
        <f>IF(Inputs!$C$314="",0,IF(1+$AH4040&gt;0,LN(1+$AH4040),0))</f>
        <v>0</v>
      </c>
      <c r="AJ4040" s="55">
        <f t="shared" si="1460"/>
        <v>0</v>
      </c>
      <c r="AK4040" s="55">
        <f>IF($AE4040="",0,COUNTIFS(rl_key,Inputs!$J$314,$AF$3806:$AF$4045,$AF4040,$AE$3806:$AE$4045,"&lt;"&amp;$AE4040))</f>
        <v>0</v>
      </c>
      <c r="AL4040" s="55">
        <f>IF($AE4040="",0,COUNTIFS(Inputs!$J$80:$J$314,Inputs!$J$314,$AF$3806:$AF4040,$AF4040,$AE$3806:$AE4040,$AE4040))</f>
        <v>0</v>
      </c>
      <c r="AM4040" s="55">
        <f t="shared" si="1461"/>
        <v>0</v>
      </c>
    </row>
    <row r="4041" spans="1:39" x14ac:dyDescent="0.25">
      <c r="A4041" s="54" t="str">
        <f>IF(Inputs!$C$315="","",IF(Inputs!$E$315="planned",EDATE(Inputs!$C$315,N(INDEX(sc_shift,1))),Inputs!$C$315))</f>
        <v/>
      </c>
      <c r="B4041" s="54" t="str">
        <f t="shared" si="1450"/>
        <v/>
      </c>
      <c r="C4041" s="52">
        <f>IF(N(INDEX(sc_ach,1))=0,IF(Inputs!$G$315="",1,Inputs!$G$315),INDEX(sc_ach,1))</f>
        <v>1</v>
      </c>
      <c r="D4041" s="52">
        <f>IF(Inputs!$C$315="",0,IF(Inputs!$E$315="planned",(Inputs!$D$315+N(INDEX(sc_dpts,1)))*$C4041,Inputs!$D$315))</f>
        <v>0</v>
      </c>
      <c r="E4041" s="53">
        <f>IF(Inputs!$C$315="",0,IF(1+$D4041&gt;0,LN(1+$D4041),0))</f>
        <v>0</v>
      </c>
      <c r="F4041" s="55">
        <f t="shared" si="1451"/>
        <v>0</v>
      </c>
      <c r="G4041" s="55">
        <f>IF($A4041="",0,COUNTIFS(rl_key,Inputs!$J$315,$B$3806:$B$4045,$B4041,$A$3806:$A$4045,"&lt;"&amp;$A4041))</f>
        <v>0</v>
      </c>
      <c r="H4041" s="55">
        <f>IF($A4041="",0,COUNTIFS(Inputs!$J$80:$J$315,Inputs!$J$315,$B$3806:$B4041,$B4041,$A$3806:$A4041,$A4041))</f>
        <v>0</v>
      </c>
      <c r="I4041" s="55">
        <f t="shared" si="1452"/>
        <v>0</v>
      </c>
      <c r="K4041" s="54" t="str">
        <f>IF(Inputs!$C$315="","",IF(Inputs!$E$315="planned",EDATE(Inputs!$C$315,N(INDEX(sc_shift,2))),Inputs!$C$315))</f>
        <v/>
      </c>
      <c r="L4041" s="54" t="str">
        <f t="shared" si="1453"/>
        <v/>
      </c>
      <c r="M4041" s="52">
        <f>IF(N(INDEX(sc_ach,2))=0,IF(Inputs!$G$315="",1,Inputs!$G$315),INDEX(sc_ach,2))</f>
        <v>1</v>
      </c>
      <c r="N4041" s="52">
        <f>IF(Inputs!$C$315="",0,IF(Inputs!$E$315="planned",(Inputs!$D$315+N(INDEX(sc_dpts,2)))*$M4041,Inputs!$D$315))</f>
        <v>0</v>
      </c>
      <c r="O4041" s="53">
        <f>IF(Inputs!$C$315="",0,IF(1+$N4041&gt;0,LN(1+$N4041),0))</f>
        <v>0</v>
      </c>
      <c r="P4041" s="55">
        <f t="shared" si="1454"/>
        <v>0</v>
      </c>
      <c r="Q4041" s="55">
        <f>IF($K4041="",0,COUNTIFS(rl_key,Inputs!$J$315,$L$3806:$L$4045,$L4041,$K$3806:$K$4045,"&lt;"&amp;$K4041))</f>
        <v>0</v>
      </c>
      <c r="R4041" s="55">
        <f>IF($K4041="",0,COUNTIFS(Inputs!$J$80:$J$315,Inputs!$J$315,$L$3806:$L4041,$L4041,$K$3806:$K4041,$K4041))</f>
        <v>0</v>
      </c>
      <c r="S4041" s="55">
        <f t="shared" si="1455"/>
        <v>0</v>
      </c>
      <c r="U4041" s="54" t="str">
        <f>IF(Inputs!$C$315="","",IF(Inputs!$E$315="planned",EDATE(Inputs!$C$315,N(INDEX(sc_shift,3))),Inputs!$C$315))</f>
        <v/>
      </c>
      <c r="V4041" s="54" t="str">
        <f t="shared" si="1456"/>
        <v/>
      </c>
      <c r="W4041" s="52">
        <f>IF(N(INDEX(sc_ach,3))=0,IF(Inputs!$G$315="",1,Inputs!$G$315),INDEX(sc_ach,3))</f>
        <v>1</v>
      </c>
      <c r="X4041" s="52">
        <f>IF(Inputs!$C$315="",0,IF(Inputs!$E$315="planned",(Inputs!$D$315+N(INDEX(sc_dpts,3)))*$W4041,Inputs!$D$315))</f>
        <v>0</v>
      </c>
      <c r="Y4041" s="53">
        <f>IF(Inputs!$C$315="",0,IF(1+$X4041&gt;0,LN(1+$X4041),0))</f>
        <v>0</v>
      </c>
      <c r="Z4041" s="55">
        <f t="shared" si="1457"/>
        <v>0</v>
      </c>
      <c r="AA4041" s="55">
        <f>IF($U4041="",0,COUNTIFS(rl_key,Inputs!$J$315,$V$3806:$V$4045,$V4041,$U$3806:$U$4045,"&lt;"&amp;$U4041))</f>
        <v>0</v>
      </c>
      <c r="AB4041" s="55">
        <f>IF($U4041="",0,COUNTIFS(Inputs!$J$80:$J$315,Inputs!$J$315,$V$3806:$V4041,$V4041,$U$3806:$U4041,$U4041))</f>
        <v>0</v>
      </c>
      <c r="AC4041" s="55">
        <f t="shared" si="1458"/>
        <v>0</v>
      </c>
      <c r="AE4041" s="54" t="str">
        <f>IF(Inputs!$C$315="","",IF(Inputs!$E$315="planned",EDATE(Inputs!$C$315,N(INDEX(sc_shift,4))),Inputs!$C$315))</f>
        <v/>
      </c>
      <c r="AF4041" s="54" t="str">
        <f t="shared" si="1459"/>
        <v/>
      </c>
      <c r="AG4041" s="52">
        <f>IF(N(INDEX(sc_ach,4))=0,IF(Inputs!$G$315="",1,Inputs!$G$315),INDEX(sc_ach,4))</f>
        <v>1</v>
      </c>
      <c r="AH4041" s="52">
        <f>IF(Inputs!$C$315="",0,IF(Inputs!$E$315="planned",(Inputs!$D$315+N(INDEX(sc_dpts,4)))*$AG4041,Inputs!$D$315))</f>
        <v>0</v>
      </c>
      <c r="AI4041" s="53">
        <f>IF(Inputs!$C$315="",0,IF(1+$AH4041&gt;0,LN(1+$AH4041),0))</f>
        <v>0</v>
      </c>
      <c r="AJ4041" s="55">
        <f t="shared" si="1460"/>
        <v>0</v>
      </c>
      <c r="AK4041" s="55">
        <f>IF($AE4041="",0,COUNTIFS(rl_key,Inputs!$J$315,$AF$3806:$AF$4045,$AF4041,$AE$3806:$AE$4045,"&lt;"&amp;$AE4041))</f>
        <v>0</v>
      </c>
      <c r="AL4041" s="55">
        <f>IF($AE4041="",0,COUNTIFS(Inputs!$J$80:$J$315,Inputs!$J$315,$AF$3806:$AF4041,$AF4041,$AE$3806:$AE4041,$AE4041))</f>
        <v>0</v>
      </c>
      <c r="AM4041" s="55">
        <f t="shared" si="1461"/>
        <v>0</v>
      </c>
    </row>
    <row r="4042" spans="1:39" x14ac:dyDescent="0.25">
      <c r="A4042" s="54" t="str">
        <f>IF(Inputs!$C$316="","",IF(Inputs!$E$316="planned",EDATE(Inputs!$C$316,N(INDEX(sc_shift,1))),Inputs!$C$316))</f>
        <v/>
      </c>
      <c r="B4042" s="54" t="str">
        <f t="shared" si="1450"/>
        <v/>
      </c>
      <c r="C4042" s="52">
        <f>IF(N(INDEX(sc_ach,1))=0,IF(Inputs!$G$316="",1,Inputs!$G$316),INDEX(sc_ach,1))</f>
        <v>1</v>
      </c>
      <c r="D4042" s="52">
        <f>IF(Inputs!$C$316="",0,IF(Inputs!$E$316="planned",(Inputs!$D$316+N(INDEX(sc_dpts,1)))*$C4042,Inputs!$D$316))</f>
        <v>0</v>
      </c>
      <c r="E4042" s="53">
        <f>IF(Inputs!$C$316="",0,IF(1+$D4042&gt;0,LN(1+$D4042),0))</f>
        <v>0</v>
      </c>
      <c r="F4042" s="55">
        <f t="shared" si="1451"/>
        <v>0</v>
      </c>
      <c r="G4042" s="55">
        <f>IF($A4042="",0,COUNTIFS(rl_key,Inputs!$J$316,$B$3806:$B$4045,$B4042,$A$3806:$A$4045,"&lt;"&amp;$A4042))</f>
        <v>0</v>
      </c>
      <c r="H4042" s="55">
        <f>IF($A4042="",0,COUNTIFS(Inputs!$J$80:$J$316,Inputs!$J$316,$B$3806:$B4042,$B4042,$A$3806:$A4042,$A4042))</f>
        <v>0</v>
      </c>
      <c r="I4042" s="55">
        <f t="shared" si="1452"/>
        <v>0</v>
      </c>
      <c r="K4042" s="54" t="str">
        <f>IF(Inputs!$C$316="","",IF(Inputs!$E$316="planned",EDATE(Inputs!$C$316,N(INDEX(sc_shift,2))),Inputs!$C$316))</f>
        <v/>
      </c>
      <c r="L4042" s="54" t="str">
        <f t="shared" si="1453"/>
        <v/>
      </c>
      <c r="M4042" s="52">
        <f>IF(N(INDEX(sc_ach,2))=0,IF(Inputs!$G$316="",1,Inputs!$G$316),INDEX(sc_ach,2))</f>
        <v>1</v>
      </c>
      <c r="N4042" s="52">
        <f>IF(Inputs!$C$316="",0,IF(Inputs!$E$316="planned",(Inputs!$D$316+N(INDEX(sc_dpts,2)))*$M4042,Inputs!$D$316))</f>
        <v>0</v>
      </c>
      <c r="O4042" s="53">
        <f>IF(Inputs!$C$316="",0,IF(1+$N4042&gt;0,LN(1+$N4042),0))</f>
        <v>0</v>
      </c>
      <c r="P4042" s="55">
        <f t="shared" si="1454"/>
        <v>0</v>
      </c>
      <c r="Q4042" s="55">
        <f>IF($K4042="",0,COUNTIFS(rl_key,Inputs!$J$316,$L$3806:$L$4045,$L4042,$K$3806:$K$4045,"&lt;"&amp;$K4042))</f>
        <v>0</v>
      </c>
      <c r="R4042" s="55">
        <f>IF($K4042="",0,COUNTIFS(Inputs!$J$80:$J$316,Inputs!$J$316,$L$3806:$L4042,$L4042,$K$3806:$K4042,$K4042))</f>
        <v>0</v>
      </c>
      <c r="S4042" s="55">
        <f t="shared" si="1455"/>
        <v>0</v>
      </c>
      <c r="U4042" s="54" t="str">
        <f>IF(Inputs!$C$316="","",IF(Inputs!$E$316="planned",EDATE(Inputs!$C$316,N(INDEX(sc_shift,3))),Inputs!$C$316))</f>
        <v/>
      </c>
      <c r="V4042" s="54" t="str">
        <f t="shared" si="1456"/>
        <v/>
      </c>
      <c r="W4042" s="52">
        <f>IF(N(INDEX(sc_ach,3))=0,IF(Inputs!$G$316="",1,Inputs!$G$316),INDEX(sc_ach,3))</f>
        <v>1</v>
      </c>
      <c r="X4042" s="52">
        <f>IF(Inputs!$C$316="",0,IF(Inputs!$E$316="planned",(Inputs!$D$316+N(INDEX(sc_dpts,3)))*$W4042,Inputs!$D$316))</f>
        <v>0</v>
      </c>
      <c r="Y4042" s="53">
        <f>IF(Inputs!$C$316="",0,IF(1+$X4042&gt;0,LN(1+$X4042),0))</f>
        <v>0</v>
      </c>
      <c r="Z4042" s="55">
        <f t="shared" si="1457"/>
        <v>0</v>
      </c>
      <c r="AA4042" s="55">
        <f>IF($U4042="",0,COUNTIFS(rl_key,Inputs!$J$316,$V$3806:$V$4045,$V4042,$U$3806:$U$4045,"&lt;"&amp;$U4042))</f>
        <v>0</v>
      </c>
      <c r="AB4042" s="55">
        <f>IF($U4042="",0,COUNTIFS(Inputs!$J$80:$J$316,Inputs!$J$316,$V$3806:$V4042,$V4042,$U$3806:$U4042,$U4042))</f>
        <v>0</v>
      </c>
      <c r="AC4042" s="55">
        <f t="shared" si="1458"/>
        <v>0</v>
      </c>
      <c r="AE4042" s="54" t="str">
        <f>IF(Inputs!$C$316="","",IF(Inputs!$E$316="planned",EDATE(Inputs!$C$316,N(INDEX(sc_shift,4))),Inputs!$C$316))</f>
        <v/>
      </c>
      <c r="AF4042" s="54" t="str">
        <f t="shared" si="1459"/>
        <v/>
      </c>
      <c r="AG4042" s="52">
        <f>IF(N(INDEX(sc_ach,4))=0,IF(Inputs!$G$316="",1,Inputs!$G$316),INDEX(sc_ach,4))</f>
        <v>1</v>
      </c>
      <c r="AH4042" s="52">
        <f>IF(Inputs!$C$316="",0,IF(Inputs!$E$316="planned",(Inputs!$D$316+N(INDEX(sc_dpts,4)))*$AG4042,Inputs!$D$316))</f>
        <v>0</v>
      </c>
      <c r="AI4042" s="53">
        <f>IF(Inputs!$C$316="",0,IF(1+$AH4042&gt;0,LN(1+$AH4042),0))</f>
        <v>0</v>
      </c>
      <c r="AJ4042" s="55">
        <f t="shared" si="1460"/>
        <v>0</v>
      </c>
      <c r="AK4042" s="55">
        <f>IF($AE4042="",0,COUNTIFS(rl_key,Inputs!$J$316,$AF$3806:$AF$4045,$AF4042,$AE$3806:$AE$4045,"&lt;"&amp;$AE4042))</f>
        <v>0</v>
      </c>
      <c r="AL4042" s="55">
        <f>IF($AE4042="",0,COUNTIFS(Inputs!$J$80:$J$316,Inputs!$J$316,$AF$3806:$AF4042,$AF4042,$AE$3806:$AE4042,$AE4042))</f>
        <v>0</v>
      </c>
      <c r="AM4042" s="55">
        <f t="shared" si="1461"/>
        <v>0</v>
      </c>
    </row>
    <row r="4043" spans="1:39" x14ac:dyDescent="0.25">
      <c r="A4043" s="54" t="str">
        <f>IF(Inputs!$C$317="","",IF(Inputs!$E$317="planned",EDATE(Inputs!$C$317,N(INDEX(sc_shift,1))),Inputs!$C$317))</f>
        <v/>
      </c>
      <c r="B4043" s="54" t="str">
        <f t="shared" si="1450"/>
        <v/>
      </c>
      <c r="C4043" s="52">
        <f>IF(N(INDEX(sc_ach,1))=0,IF(Inputs!$G$317="",1,Inputs!$G$317),INDEX(sc_ach,1))</f>
        <v>1</v>
      </c>
      <c r="D4043" s="52">
        <f>IF(Inputs!$C$317="",0,IF(Inputs!$E$317="planned",(Inputs!$D$317+N(INDEX(sc_dpts,1)))*$C4043,Inputs!$D$317))</f>
        <v>0</v>
      </c>
      <c r="E4043" s="53">
        <f>IF(Inputs!$C$317="",0,IF(1+$D4043&gt;0,LN(1+$D4043),0))</f>
        <v>0</v>
      </c>
      <c r="F4043" s="55">
        <f t="shared" si="1451"/>
        <v>0</v>
      </c>
      <c r="G4043" s="55">
        <f>IF($A4043="",0,COUNTIFS(rl_key,Inputs!$J$317,$B$3806:$B$4045,$B4043,$A$3806:$A$4045,"&lt;"&amp;$A4043))</f>
        <v>0</v>
      </c>
      <c r="H4043" s="55">
        <f>IF($A4043="",0,COUNTIFS(Inputs!$J$80:$J$317,Inputs!$J$317,$B$3806:$B4043,$B4043,$A$3806:$A4043,$A4043))</f>
        <v>0</v>
      </c>
      <c r="I4043" s="55">
        <f t="shared" si="1452"/>
        <v>0</v>
      </c>
      <c r="K4043" s="54" t="str">
        <f>IF(Inputs!$C$317="","",IF(Inputs!$E$317="planned",EDATE(Inputs!$C$317,N(INDEX(sc_shift,2))),Inputs!$C$317))</f>
        <v/>
      </c>
      <c r="L4043" s="54" t="str">
        <f t="shared" si="1453"/>
        <v/>
      </c>
      <c r="M4043" s="52">
        <f>IF(N(INDEX(sc_ach,2))=0,IF(Inputs!$G$317="",1,Inputs!$G$317),INDEX(sc_ach,2))</f>
        <v>1</v>
      </c>
      <c r="N4043" s="52">
        <f>IF(Inputs!$C$317="",0,IF(Inputs!$E$317="planned",(Inputs!$D$317+N(INDEX(sc_dpts,2)))*$M4043,Inputs!$D$317))</f>
        <v>0</v>
      </c>
      <c r="O4043" s="53">
        <f>IF(Inputs!$C$317="",0,IF(1+$N4043&gt;0,LN(1+$N4043),0))</f>
        <v>0</v>
      </c>
      <c r="P4043" s="55">
        <f t="shared" si="1454"/>
        <v>0</v>
      </c>
      <c r="Q4043" s="55">
        <f>IF($K4043="",0,COUNTIFS(rl_key,Inputs!$J$317,$L$3806:$L$4045,$L4043,$K$3806:$K$4045,"&lt;"&amp;$K4043))</f>
        <v>0</v>
      </c>
      <c r="R4043" s="55">
        <f>IF($K4043="",0,COUNTIFS(Inputs!$J$80:$J$317,Inputs!$J$317,$L$3806:$L4043,$L4043,$K$3806:$K4043,$K4043))</f>
        <v>0</v>
      </c>
      <c r="S4043" s="55">
        <f t="shared" si="1455"/>
        <v>0</v>
      </c>
      <c r="U4043" s="54" t="str">
        <f>IF(Inputs!$C$317="","",IF(Inputs!$E$317="planned",EDATE(Inputs!$C$317,N(INDEX(sc_shift,3))),Inputs!$C$317))</f>
        <v/>
      </c>
      <c r="V4043" s="54" t="str">
        <f t="shared" si="1456"/>
        <v/>
      </c>
      <c r="W4043" s="52">
        <f>IF(N(INDEX(sc_ach,3))=0,IF(Inputs!$G$317="",1,Inputs!$G$317),INDEX(sc_ach,3))</f>
        <v>1</v>
      </c>
      <c r="X4043" s="52">
        <f>IF(Inputs!$C$317="",0,IF(Inputs!$E$317="planned",(Inputs!$D$317+N(INDEX(sc_dpts,3)))*$W4043,Inputs!$D$317))</f>
        <v>0</v>
      </c>
      <c r="Y4043" s="53">
        <f>IF(Inputs!$C$317="",0,IF(1+$X4043&gt;0,LN(1+$X4043),0))</f>
        <v>0</v>
      </c>
      <c r="Z4043" s="55">
        <f t="shared" si="1457"/>
        <v>0</v>
      </c>
      <c r="AA4043" s="55">
        <f>IF($U4043="",0,COUNTIFS(rl_key,Inputs!$J$317,$V$3806:$V$4045,$V4043,$U$3806:$U$4045,"&lt;"&amp;$U4043))</f>
        <v>0</v>
      </c>
      <c r="AB4043" s="55">
        <f>IF($U4043="",0,COUNTIFS(Inputs!$J$80:$J$317,Inputs!$J$317,$V$3806:$V4043,$V4043,$U$3806:$U4043,$U4043))</f>
        <v>0</v>
      </c>
      <c r="AC4043" s="55">
        <f t="shared" si="1458"/>
        <v>0</v>
      </c>
      <c r="AE4043" s="54" t="str">
        <f>IF(Inputs!$C$317="","",IF(Inputs!$E$317="planned",EDATE(Inputs!$C$317,N(INDEX(sc_shift,4))),Inputs!$C$317))</f>
        <v/>
      </c>
      <c r="AF4043" s="54" t="str">
        <f t="shared" si="1459"/>
        <v/>
      </c>
      <c r="AG4043" s="52">
        <f>IF(N(INDEX(sc_ach,4))=0,IF(Inputs!$G$317="",1,Inputs!$G$317),INDEX(sc_ach,4))</f>
        <v>1</v>
      </c>
      <c r="AH4043" s="52">
        <f>IF(Inputs!$C$317="",0,IF(Inputs!$E$317="planned",(Inputs!$D$317+N(INDEX(sc_dpts,4)))*$AG4043,Inputs!$D$317))</f>
        <v>0</v>
      </c>
      <c r="AI4043" s="53">
        <f>IF(Inputs!$C$317="",0,IF(1+$AH4043&gt;0,LN(1+$AH4043),0))</f>
        <v>0</v>
      </c>
      <c r="AJ4043" s="55">
        <f t="shared" si="1460"/>
        <v>0</v>
      </c>
      <c r="AK4043" s="55">
        <f>IF($AE4043="",0,COUNTIFS(rl_key,Inputs!$J$317,$AF$3806:$AF$4045,$AF4043,$AE$3806:$AE$4045,"&lt;"&amp;$AE4043))</f>
        <v>0</v>
      </c>
      <c r="AL4043" s="55">
        <f>IF($AE4043="",0,COUNTIFS(Inputs!$J$80:$J$317,Inputs!$J$317,$AF$3806:$AF4043,$AF4043,$AE$3806:$AE4043,$AE4043))</f>
        <v>0</v>
      </c>
      <c r="AM4043" s="55">
        <f t="shared" si="1461"/>
        <v>0</v>
      </c>
    </row>
    <row r="4044" spans="1:39" x14ac:dyDescent="0.25">
      <c r="A4044" s="54" t="str">
        <f>IF(Inputs!$C$318="","",IF(Inputs!$E$318="planned",EDATE(Inputs!$C$318,N(INDEX(sc_shift,1))),Inputs!$C$318))</f>
        <v/>
      </c>
      <c r="B4044" s="54" t="str">
        <f t="shared" si="1450"/>
        <v/>
      </c>
      <c r="C4044" s="52">
        <f>IF(N(INDEX(sc_ach,1))=0,IF(Inputs!$G$318="",1,Inputs!$G$318),INDEX(sc_ach,1))</f>
        <v>1</v>
      </c>
      <c r="D4044" s="52">
        <f>IF(Inputs!$C$318="",0,IF(Inputs!$E$318="planned",(Inputs!$D$318+N(INDEX(sc_dpts,1)))*$C4044,Inputs!$D$318))</f>
        <v>0</v>
      </c>
      <c r="E4044" s="53">
        <f>IF(Inputs!$C$318="",0,IF(1+$D4044&gt;0,LN(1+$D4044),0))</f>
        <v>0</v>
      </c>
      <c r="F4044" s="55">
        <f t="shared" si="1451"/>
        <v>0</v>
      </c>
      <c r="G4044" s="55">
        <f>IF($A4044="",0,COUNTIFS(rl_key,Inputs!$J$318,$B$3806:$B$4045,$B4044,$A$3806:$A$4045,"&lt;"&amp;$A4044))</f>
        <v>0</v>
      </c>
      <c r="H4044" s="55">
        <f>IF($A4044="",0,COUNTIFS(Inputs!$J$80:$J$318,Inputs!$J$318,$B$3806:$B4044,$B4044,$A$3806:$A4044,$A4044))</f>
        <v>0</v>
      </c>
      <c r="I4044" s="55">
        <f t="shared" si="1452"/>
        <v>0</v>
      </c>
      <c r="K4044" s="54" t="str">
        <f>IF(Inputs!$C$318="","",IF(Inputs!$E$318="planned",EDATE(Inputs!$C$318,N(INDEX(sc_shift,2))),Inputs!$C$318))</f>
        <v/>
      </c>
      <c r="L4044" s="54" t="str">
        <f t="shared" si="1453"/>
        <v/>
      </c>
      <c r="M4044" s="52">
        <f>IF(N(INDEX(sc_ach,2))=0,IF(Inputs!$G$318="",1,Inputs!$G$318),INDEX(sc_ach,2))</f>
        <v>1</v>
      </c>
      <c r="N4044" s="52">
        <f>IF(Inputs!$C$318="",0,IF(Inputs!$E$318="planned",(Inputs!$D$318+N(INDEX(sc_dpts,2)))*$M4044,Inputs!$D$318))</f>
        <v>0</v>
      </c>
      <c r="O4044" s="53">
        <f>IF(Inputs!$C$318="",0,IF(1+$N4044&gt;0,LN(1+$N4044),0))</f>
        <v>0</v>
      </c>
      <c r="P4044" s="55">
        <f t="shared" si="1454"/>
        <v>0</v>
      </c>
      <c r="Q4044" s="55">
        <f>IF($K4044="",0,COUNTIFS(rl_key,Inputs!$J$318,$L$3806:$L$4045,$L4044,$K$3806:$K$4045,"&lt;"&amp;$K4044))</f>
        <v>0</v>
      </c>
      <c r="R4044" s="55">
        <f>IF($K4044="",0,COUNTIFS(Inputs!$J$80:$J$318,Inputs!$J$318,$L$3806:$L4044,$L4044,$K$3806:$K4044,$K4044))</f>
        <v>0</v>
      </c>
      <c r="S4044" s="55">
        <f t="shared" si="1455"/>
        <v>0</v>
      </c>
      <c r="U4044" s="54" t="str">
        <f>IF(Inputs!$C$318="","",IF(Inputs!$E$318="planned",EDATE(Inputs!$C$318,N(INDEX(sc_shift,3))),Inputs!$C$318))</f>
        <v/>
      </c>
      <c r="V4044" s="54" t="str">
        <f t="shared" si="1456"/>
        <v/>
      </c>
      <c r="W4044" s="52">
        <f>IF(N(INDEX(sc_ach,3))=0,IF(Inputs!$G$318="",1,Inputs!$G$318),INDEX(sc_ach,3))</f>
        <v>1</v>
      </c>
      <c r="X4044" s="52">
        <f>IF(Inputs!$C$318="",0,IF(Inputs!$E$318="planned",(Inputs!$D$318+N(INDEX(sc_dpts,3)))*$W4044,Inputs!$D$318))</f>
        <v>0</v>
      </c>
      <c r="Y4044" s="53">
        <f>IF(Inputs!$C$318="",0,IF(1+$X4044&gt;0,LN(1+$X4044),0))</f>
        <v>0</v>
      </c>
      <c r="Z4044" s="55">
        <f t="shared" si="1457"/>
        <v>0</v>
      </c>
      <c r="AA4044" s="55">
        <f>IF($U4044="",0,COUNTIFS(rl_key,Inputs!$J$318,$V$3806:$V$4045,$V4044,$U$3806:$U$4045,"&lt;"&amp;$U4044))</f>
        <v>0</v>
      </c>
      <c r="AB4044" s="55">
        <f>IF($U4044="",0,COUNTIFS(Inputs!$J$80:$J$318,Inputs!$J$318,$V$3806:$V4044,$V4044,$U$3806:$U4044,$U4044))</f>
        <v>0</v>
      </c>
      <c r="AC4044" s="55">
        <f t="shared" si="1458"/>
        <v>0</v>
      </c>
      <c r="AE4044" s="54" t="str">
        <f>IF(Inputs!$C$318="","",IF(Inputs!$E$318="planned",EDATE(Inputs!$C$318,N(INDEX(sc_shift,4))),Inputs!$C$318))</f>
        <v/>
      </c>
      <c r="AF4044" s="54" t="str">
        <f t="shared" si="1459"/>
        <v/>
      </c>
      <c r="AG4044" s="52">
        <f>IF(N(INDEX(sc_ach,4))=0,IF(Inputs!$G$318="",1,Inputs!$G$318),INDEX(sc_ach,4))</f>
        <v>1</v>
      </c>
      <c r="AH4044" s="52">
        <f>IF(Inputs!$C$318="",0,IF(Inputs!$E$318="planned",(Inputs!$D$318+N(INDEX(sc_dpts,4)))*$AG4044,Inputs!$D$318))</f>
        <v>0</v>
      </c>
      <c r="AI4044" s="53">
        <f>IF(Inputs!$C$318="",0,IF(1+$AH4044&gt;0,LN(1+$AH4044),0))</f>
        <v>0</v>
      </c>
      <c r="AJ4044" s="55">
        <f t="shared" si="1460"/>
        <v>0</v>
      </c>
      <c r="AK4044" s="55">
        <f>IF($AE4044="",0,COUNTIFS(rl_key,Inputs!$J$318,$AF$3806:$AF$4045,$AF4044,$AE$3806:$AE$4045,"&lt;"&amp;$AE4044))</f>
        <v>0</v>
      </c>
      <c r="AL4044" s="55">
        <f>IF($AE4044="",0,COUNTIFS(Inputs!$J$80:$J$318,Inputs!$J$318,$AF$3806:$AF4044,$AF4044,$AE$3806:$AE4044,$AE4044))</f>
        <v>0</v>
      </c>
      <c r="AM4044" s="55">
        <f t="shared" si="1461"/>
        <v>0</v>
      </c>
    </row>
    <row r="4045" spans="1:39" x14ac:dyDescent="0.25">
      <c r="A4045" s="54" t="str">
        <f>IF(Inputs!$C$319="","",IF(Inputs!$E$319="planned",EDATE(Inputs!$C$319,N(INDEX(sc_shift,1))),Inputs!$C$319))</f>
        <v/>
      </c>
      <c r="B4045" s="54" t="str">
        <f t="shared" si="1450"/>
        <v/>
      </c>
      <c r="C4045" s="52">
        <f>IF(N(INDEX(sc_ach,1))=0,IF(Inputs!$G$319="",1,Inputs!$G$319),INDEX(sc_ach,1))</f>
        <v>1</v>
      </c>
      <c r="D4045" s="52">
        <f>IF(Inputs!$C$319="",0,IF(Inputs!$E$319="planned",(Inputs!$D$319+N(INDEX(sc_dpts,1)))*$C4045,Inputs!$D$319))</f>
        <v>0</v>
      </c>
      <c r="E4045" s="53">
        <f>IF(Inputs!$C$319="",0,IF(1+$D4045&gt;0,LN(1+$D4045),0))</f>
        <v>0</v>
      </c>
      <c r="F4045" s="55">
        <f t="shared" si="1451"/>
        <v>0</v>
      </c>
      <c r="G4045" s="55">
        <f>IF($A4045="",0,COUNTIFS(rl_key,Inputs!$J$319,$B$3806:$B$4045,$B4045,$A$3806:$A$4045,"&lt;"&amp;$A4045))</f>
        <v>0</v>
      </c>
      <c r="H4045" s="55">
        <f>IF($A4045="",0,COUNTIFS(Inputs!$J$80:$J$319,Inputs!$J$319,$B$3806:$B4045,$B4045,$A$3806:$A4045,$A4045))</f>
        <v>0</v>
      </c>
      <c r="I4045" s="55">
        <f t="shared" si="1452"/>
        <v>0</v>
      </c>
      <c r="K4045" s="54" t="str">
        <f>IF(Inputs!$C$319="","",IF(Inputs!$E$319="planned",EDATE(Inputs!$C$319,N(INDEX(sc_shift,2))),Inputs!$C$319))</f>
        <v/>
      </c>
      <c r="L4045" s="54" t="str">
        <f t="shared" si="1453"/>
        <v/>
      </c>
      <c r="M4045" s="52">
        <f>IF(N(INDEX(sc_ach,2))=0,IF(Inputs!$G$319="",1,Inputs!$G$319),INDEX(sc_ach,2))</f>
        <v>1</v>
      </c>
      <c r="N4045" s="52">
        <f>IF(Inputs!$C$319="",0,IF(Inputs!$E$319="planned",(Inputs!$D$319+N(INDEX(sc_dpts,2)))*$M4045,Inputs!$D$319))</f>
        <v>0</v>
      </c>
      <c r="O4045" s="53">
        <f>IF(Inputs!$C$319="",0,IF(1+$N4045&gt;0,LN(1+$N4045),0))</f>
        <v>0</v>
      </c>
      <c r="P4045" s="55">
        <f t="shared" si="1454"/>
        <v>0</v>
      </c>
      <c r="Q4045" s="55">
        <f>IF($K4045="",0,COUNTIFS(rl_key,Inputs!$J$319,$L$3806:$L$4045,$L4045,$K$3806:$K$4045,"&lt;"&amp;$K4045))</f>
        <v>0</v>
      </c>
      <c r="R4045" s="55">
        <f>IF($K4045="",0,COUNTIFS(Inputs!$J$80:$J$319,Inputs!$J$319,$L$3806:$L4045,$L4045,$K$3806:$K4045,$K4045))</f>
        <v>0</v>
      </c>
      <c r="S4045" s="55">
        <f t="shared" si="1455"/>
        <v>0</v>
      </c>
      <c r="U4045" s="54" t="str">
        <f>IF(Inputs!$C$319="","",IF(Inputs!$E$319="planned",EDATE(Inputs!$C$319,N(INDEX(sc_shift,3))),Inputs!$C$319))</f>
        <v/>
      </c>
      <c r="V4045" s="54" t="str">
        <f t="shared" si="1456"/>
        <v/>
      </c>
      <c r="W4045" s="52">
        <f>IF(N(INDEX(sc_ach,3))=0,IF(Inputs!$G$319="",1,Inputs!$G$319),INDEX(sc_ach,3))</f>
        <v>1</v>
      </c>
      <c r="X4045" s="52">
        <f>IF(Inputs!$C$319="",0,IF(Inputs!$E$319="planned",(Inputs!$D$319+N(INDEX(sc_dpts,3)))*$W4045,Inputs!$D$319))</f>
        <v>0</v>
      </c>
      <c r="Y4045" s="53">
        <f>IF(Inputs!$C$319="",0,IF(1+$X4045&gt;0,LN(1+$X4045),0))</f>
        <v>0</v>
      </c>
      <c r="Z4045" s="55">
        <f t="shared" si="1457"/>
        <v>0</v>
      </c>
      <c r="AA4045" s="55">
        <f>IF($U4045="",0,COUNTIFS(rl_key,Inputs!$J$319,$V$3806:$V$4045,$V4045,$U$3806:$U$4045,"&lt;"&amp;$U4045))</f>
        <v>0</v>
      </c>
      <c r="AB4045" s="55">
        <f>IF($U4045="",0,COUNTIFS(Inputs!$J$80:$J$319,Inputs!$J$319,$V$3806:$V4045,$V4045,$U$3806:$U4045,$U4045))</f>
        <v>0</v>
      </c>
      <c r="AC4045" s="55">
        <f t="shared" si="1458"/>
        <v>0</v>
      </c>
      <c r="AE4045" s="54" t="str">
        <f>IF(Inputs!$C$319="","",IF(Inputs!$E$319="planned",EDATE(Inputs!$C$319,N(INDEX(sc_shift,4))),Inputs!$C$319))</f>
        <v/>
      </c>
      <c r="AF4045" s="54" t="str">
        <f t="shared" si="1459"/>
        <v/>
      </c>
      <c r="AG4045" s="52">
        <f>IF(N(INDEX(sc_ach,4))=0,IF(Inputs!$G$319="",1,Inputs!$G$319),INDEX(sc_ach,4))</f>
        <v>1</v>
      </c>
      <c r="AH4045" s="52">
        <f>IF(Inputs!$C$319="",0,IF(Inputs!$E$319="planned",(Inputs!$D$319+N(INDEX(sc_dpts,4)))*$AG4045,Inputs!$D$319))</f>
        <v>0</v>
      </c>
      <c r="AI4045" s="53">
        <f>IF(Inputs!$C$319="",0,IF(1+$AH4045&gt;0,LN(1+$AH4045),0))</f>
        <v>0</v>
      </c>
      <c r="AJ4045" s="55">
        <f t="shared" si="1460"/>
        <v>0</v>
      </c>
      <c r="AK4045" s="55">
        <f>IF($AE4045="",0,COUNTIFS(rl_key,Inputs!$J$319,$AF$3806:$AF$4045,$AF4045,$AE$3806:$AE$4045,"&lt;"&amp;$AE4045))</f>
        <v>0</v>
      </c>
      <c r="AL4045" s="55">
        <f>IF($AE4045="",0,COUNTIFS(Inputs!$J$80:$J$319,Inputs!$J$319,$AF$3806:$AF4045,$AF4045,$AE$3806:$AE4045,$AE4045))</f>
        <v>0</v>
      </c>
      <c r="AM4045" s="55">
        <f t="shared" si="1461"/>
        <v>0</v>
      </c>
    </row>
    <row r="4048" spans="1:39" x14ac:dyDescent="0.25">
      <c r="A4048" s="188" t="s">
        <v>1225</v>
      </c>
    </row>
    <row r="4049" spans="1:21" x14ac:dyDescent="0.25">
      <c r="A4049" s="81">
        <f>EDATE(nr_M0Asof,-12)+1</f>
        <v>45931</v>
      </c>
      <c r="B4049" s="81">
        <f>nr_M0Asof+1</f>
        <v>46296</v>
      </c>
      <c r="C4049" s="81">
        <f>DATE(nr_PlanYear,12,31)+1</f>
        <v>46753</v>
      </c>
      <c r="D4049" s="81">
        <f>DATE(nr_PlanYear+1,12,31)+1</f>
        <v>47119</v>
      </c>
      <c r="E4049" s="81">
        <f>IF(N(nr_MPrior)=0,$F$4049-($G$4049-$F$4049)/($C$4049-$B$4049)*($B$4049-$A$4049),nr_MPrior)</f>
        <v>0.83603938730853389</v>
      </c>
      <c r="F4049" s="81">
        <f>nr_M0</f>
        <v>0.86</v>
      </c>
      <c r="G4049" s="81">
        <f>nr_M1+N(INDEX(sc_dm1,1))</f>
        <v>0.89</v>
      </c>
      <c r="H4049" s="81">
        <f>IF(N(nr_M2)=0,nr_M1,nr_M2)+N(INDEX(sc_dm1,1))</f>
        <v>0.89</v>
      </c>
      <c r="I4049" s="81">
        <f>($F$4049-$E$4049)/($B$4049-$A$4049)</f>
        <v>6.5645514223194786E-5</v>
      </c>
      <c r="J4049" s="81">
        <f>($G$4049-$F$4049)/($C$4049-$B$4049)</f>
        <v>6.5645514223194813E-5</v>
      </c>
      <c r="K4049" s="81">
        <f>($H$4049-$G$4049)/($D$4049-$C$4049)</f>
        <v>0</v>
      </c>
    </row>
    <row r="4050" spans="1:21" ht="36" x14ac:dyDescent="0.25">
      <c r="A4050" s="50" t="s">
        <v>211</v>
      </c>
      <c r="B4050" s="50" t="s">
        <v>212</v>
      </c>
      <c r="C4050" s="50" t="s">
        <v>213</v>
      </c>
      <c r="D4050" s="50" t="s">
        <v>214</v>
      </c>
      <c r="E4050" s="50" t="s">
        <v>215</v>
      </c>
      <c r="F4050" s="50" t="s">
        <v>216</v>
      </c>
      <c r="G4050" s="50" t="s">
        <v>217</v>
      </c>
      <c r="H4050" s="50" t="s">
        <v>218</v>
      </c>
      <c r="I4050" s="50" t="s">
        <v>219</v>
      </c>
      <c r="J4050" s="50" t="s">
        <v>220</v>
      </c>
      <c r="K4050" s="50" t="s">
        <v>221</v>
      </c>
      <c r="L4050" s="50" t="s">
        <v>222</v>
      </c>
      <c r="M4050" s="50" t="s">
        <v>223</v>
      </c>
      <c r="N4050" s="50" t="s">
        <v>224</v>
      </c>
      <c r="O4050" s="50" t="s">
        <v>225</v>
      </c>
      <c r="P4050" s="50" t="s">
        <v>226</v>
      </c>
      <c r="Q4050" s="50" t="s">
        <v>227</v>
      </c>
      <c r="R4050" s="50" t="s">
        <v>228</v>
      </c>
      <c r="S4050" s="50" t="s">
        <v>229</v>
      </c>
      <c r="T4050" s="50" t="s">
        <v>230</v>
      </c>
      <c r="U4050" s="50" t="s">
        <v>231</v>
      </c>
    </row>
    <row r="4051" spans="1:21" x14ac:dyDescent="0.25">
      <c r="A4051" s="71">
        <v>1</v>
      </c>
      <c r="B4051" s="72">
        <f>DATE(nr_PlanYear-2,1,1)</f>
        <v>45658</v>
      </c>
      <c r="C4051" s="73">
        <f t="shared" ref="C4051:C4098" si="1462">EOMONTH($B4051,0)</f>
        <v>45688</v>
      </c>
      <c r="D4051" s="67">
        <f t="shared" ref="D4051:D4098" si="1463">$C4051-$B4051+1</f>
        <v>31</v>
      </c>
      <c r="E4051" s="67">
        <f t="shared" ref="E4051:E4098" si="1464">MONTH($B4051)</f>
        <v>1</v>
      </c>
      <c r="F4051" s="74">
        <f t="shared" ref="F4051:F4098" si="1465">($B4051+$C4051+1)/2</f>
        <v>45673.5</v>
      </c>
      <c r="G4051" s="67">
        <f t="shared" ref="G4051:G4098" si="1466">YEAR($B4051)*12+MONTH($B4051)-1</f>
        <v>24300</v>
      </c>
      <c r="H4051" s="75">
        <f t="shared" ref="H4051:H4098" si="1467">IF(OR(nr_SeasonOn="OFF",re_srow=0,re_ssum=0),1,12*INDEX(se_block,re_srow,$E4051)/re_ssum)</f>
        <v>1</v>
      </c>
      <c r="I4051" s="76">
        <f t="shared" ref="I4051:I4098" si="1468">EXP(SUMPRODUCT(($A$3806:$A$4045&lt;$B4051)*(rl_key=nr_SelKey)*$E$3806:$E$4045))</f>
        <v>1</v>
      </c>
      <c r="J4051" s="76">
        <f t="shared" ref="J4051:J4098" si="1469">EXP(SUMPRODUCT(($A$3806:$A$4045&lt;=$C4051)*(rl_key=nr_SelKey)*$E$3806:$E$4045))</f>
        <v>1</v>
      </c>
      <c r="K4051" s="67">
        <f t="shared" ref="K4051:K4098" si="1470">COUNTIFS(rl_key,nr_SelKey,$A$3806:$A$4045,"&gt;="&amp;$B4051,$A$3806:$A$4045,"&lt;="&amp;$C4051)</f>
        <v>0</v>
      </c>
      <c r="L4051" s="67">
        <f t="shared" ref="L4051:L4098" si="1471">SUMIFS($F$3806:$F$4045,rl_key,nr_SelKey,$B$3806:$B$4045,$B4051,$I$3806:$I$4045,1)</f>
        <v>0</v>
      </c>
      <c r="M4051" s="77">
        <f t="shared" ref="M4051:M4098" si="1472">IF($K4051=0,0,MIN(1,$L4051/$D4051))</f>
        <v>0</v>
      </c>
      <c r="N4051" s="76">
        <f t="shared" ref="N4051:N4098" si="1473">IF($K4051=0,$J4051,(1-$M4051)*$I4051+$M4051*$J4051)</f>
        <v>1</v>
      </c>
      <c r="O4051" s="77">
        <f t="shared" ref="O4051:O4098" si="1474">IF($F4051&lt;$B$4049,$E$4049+$I$4049*($F4051-$A$4049),IF($F4051&lt;$C$4049,$F$4049+$J$4049*($F4051-$B$4049),$G$4049+$K$4049*($F4051-$C$4049)))</f>
        <v>0.81913566739606125</v>
      </c>
      <c r="P4051" s="76">
        <f t="shared" ref="P4051:P4098" si="1475">MIN(1,MAX(0,(nr_MEndPm1-$G4051+0.5)/nr_TermMonths))-MIN(1,MAX(0,(nr_MStartPm1-1-$G4051+0.5)/nr_TermMonths))</f>
        <v>0</v>
      </c>
      <c r="Q4051" s="76">
        <f t="shared" ref="Q4051:Q4098" si="1476">MIN(1,MAX(0,(nr_MEndP-$G4051+0.5)/nr_TermMonths))-MIN(1,MAX(0,(nr_MStartP-1-$G4051+0.5)/nr_TermMonths))</f>
        <v>0</v>
      </c>
      <c r="R4051" s="76">
        <f t="shared" ref="R4051:R4098" si="1477">MIN(1,MAX(0,(nr_MEndP1-$G4051+0.5)/nr_TermMonths))-MIN(1,MAX(0,(nr_MStartP1-1-$G4051+0.5)/nr_TermMonths))</f>
        <v>0</v>
      </c>
      <c r="S4051" s="76">
        <f t="shared" ref="S4051:S4098" si="1478">$N4051*IF(nr_ModAdjEff="ON",$O4051/nr_MInd,1)</f>
        <v>0.96368902046595439</v>
      </c>
      <c r="T4051" s="76">
        <f t="shared" ref="T4051:T4098" si="1479">IF($G4051&lt;nr_MStartP,$S4051,$T4039*(1+IF($G4051&lt;nr_MStartP1,(nr_NetSelP+N(INDEX(sc_dnet,1))),(nr_NetSelP1+N(INDEX(sc_dnet,1))))))</f>
        <v>0.96368902046595439</v>
      </c>
      <c r="U4051" s="76">
        <f t="shared" ref="U4051:U4098" si="1480">IF(nr_NetMode,$T4051,$N4051)</f>
        <v>1</v>
      </c>
    </row>
    <row r="4052" spans="1:21" x14ac:dyDescent="0.25">
      <c r="A4052" s="71">
        <v>2</v>
      </c>
      <c r="B4052" s="72">
        <f t="shared" ref="B4052:B4098" si="1481">EDATE($B4051,1)</f>
        <v>45689</v>
      </c>
      <c r="C4052" s="73">
        <f t="shared" si="1462"/>
        <v>45716</v>
      </c>
      <c r="D4052" s="67">
        <f t="shared" si="1463"/>
        <v>28</v>
      </c>
      <c r="E4052" s="67">
        <f t="shared" si="1464"/>
        <v>2</v>
      </c>
      <c r="F4052" s="74">
        <f t="shared" si="1465"/>
        <v>45703</v>
      </c>
      <c r="G4052" s="67">
        <f t="shared" si="1466"/>
        <v>24301</v>
      </c>
      <c r="H4052" s="75">
        <f t="shared" si="1467"/>
        <v>1</v>
      </c>
      <c r="I4052" s="76">
        <f t="shared" si="1468"/>
        <v>1</v>
      </c>
      <c r="J4052" s="76">
        <f t="shared" si="1469"/>
        <v>1</v>
      </c>
      <c r="K4052" s="67">
        <f t="shared" si="1470"/>
        <v>0</v>
      </c>
      <c r="L4052" s="67">
        <f t="shared" si="1471"/>
        <v>0</v>
      </c>
      <c r="M4052" s="77">
        <f t="shared" si="1472"/>
        <v>0</v>
      </c>
      <c r="N4052" s="76">
        <f t="shared" si="1473"/>
        <v>1</v>
      </c>
      <c r="O4052" s="77">
        <f t="shared" si="1474"/>
        <v>0.82107221006564546</v>
      </c>
      <c r="P4052" s="76">
        <f t="shared" si="1475"/>
        <v>0</v>
      </c>
      <c r="Q4052" s="76">
        <f t="shared" si="1476"/>
        <v>0</v>
      </c>
      <c r="R4052" s="76">
        <f t="shared" si="1477"/>
        <v>0</v>
      </c>
      <c r="S4052" s="76">
        <f t="shared" si="1478"/>
        <v>0.96596730595958291</v>
      </c>
      <c r="T4052" s="76">
        <f t="shared" si="1479"/>
        <v>0.96596730595958291</v>
      </c>
      <c r="U4052" s="76">
        <f t="shared" si="1480"/>
        <v>1</v>
      </c>
    </row>
    <row r="4053" spans="1:21" x14ac:dyDescent="0.25">
      <c r="A4053" s="71">
        <v>3</v>
      </c>
      <c r="B4053" s="72">
        <f t="shared" si="1481"/>
        <v>45717</v>
      </c>
      <c r="C4053" s="73">
        <f t="shared" si="1462"/>
        <v>45747</v>
      </c>
      <c r="D4053" s="67">
        <f t="shared" si="1463"/>
        <v>31</v>
      </c>
      <c r="E4053" s="67">
        <f t="shared" si="1464"/>
        <v>3</v>
      </c>
      <c r="F4053" s="74">
        <f t="shared" si="1465"/>
        <v>45732.5</v>
      </c>
      <c r="G4053" s="67">
        <f t="shared" si="1466"/>
        <v>24302</v>
      </c>
      <c r="H4053" s="75">
        <f t="shared" si="1467"/>
        <v>1</v>
      </c>
      <c r="I4053" s="76">
        <f t="shared" si="1468"/>
        <v>1</v>
      </c>
      <c r="J4053" s="76">
        <f t="shared" si="1469"/>
        <v>1</v>
      </c>
      <c r="K4053" s="67">
        <f t="shared" si="1470"/>
        <v>0</v>
      </c>
      <c r="L4053" s="67">
        <f t="shared" si="1471"/>
        <v>0</v>
      </c>
      <c r="M4053" s="77">
        <f t="shared" si="1472"/>
        <v>0</v>
      </c>
      <c r="N4053" s="76">
        <f t="shared" si="1473"/>
        <v>1</v>
      </c>
      <c r="O4053" s="77">
        <f t="shared" si="1474"/>
        <v>0.82300875273522978</v>
      </c>
      <c r="P4053" s="76">
        <f t="shared" si="1475"/>
        <v>0</v>
      </c>
      <c r="Q4053" s="76">
        <f t="shared" si="1476"/>
        <v>0</v>
      </c>
      <c r="R4053" s="76">
        <f t="shared" si="1477"/>
        <v>0</v>
      </c>
      <c r="S4053" s="76">
        <f t="shared" si="1478"/>
        <v>0.96824559145321154</v>
      </c>
      <c r="T4053" s="76">
        <f t="shared" si="1479"/>
        <v>0.96824559145321154</v>
      </c>
      <c r="U4053" s="76">
        <f t="shared" si="1480"/>
        <v>1</v>
      </c>
    </row>
    <row r="4054" spans="1:21" x14ac:dyDescent="0.25">
      <c r="A4054" s="71">
        <v>4</v>
      </c>
      <c r="B4054" s="72">
        <f t="shared" si="1481"/>
        <v>45748</v>
      </c>
      <c r="C4054" s="73">
        <f t="shared" si="1462"/>
        <v>45777</v>
      </c>
      <c r="D4054" s="67">
        <f t="shared" si="1463"/>
        <v>30</v>
      </c>
      <c r="E4054" s="67">
        <f t="shared" si="1464"/>
        <v>4</v>
      </c>
      <c r="F4054" s="74">
        <f t="shared" si="1465"/>
        <v>45763</v>
      </c>
      <c r="G4054" s="67">
        <f t="shared" si="1466"/>
        <v>24303</v>
      </c>
      <c r="H4054" s="75">
        <f t="shared" si="1467"/>
        <v>1</v>
      </c>
      <c r="I4054" s="76">
        <f t="shared" si="1468"/>
        <v>1</v>
      </c>
      <c r="J4054" s="76">
        <f t="shared" si="1469"/>
        <v>1</v>
      </c>
      <c r="K4054" s="67">
        <f t="shared" si="1470"/>
        <v>0</v>
      </c>
      <c r="L4054" s="67">
        <f t="shared" si="1471"/>
        <v>0</v>
      </c>
      <c r="M4054" s="77">
        <f t="shared" si="1472"/>
        <v>0</v>
      </c>
      <c r="N4054" s="76">
        <f t="shared" si="1473"/>
        <v>1</v>
      </c>
      <c r="O4054" s="77">
        <f t="shared" si="1474"/>
        <v>0.82501094091903715</v>
      </c>
      <c r="P4054" s="76">
        <f t="shared" si="1475"/>
        <v>0</v>
      </c>
      <c r="Q4054" s="76">
        <f t="shared" si="1476"/>
        <v>0</v>
      </c>
      <c r="R4054" s="76">
        <f t="shared" si="1477"/>
        <v>0</v>
      </c>
      <c r="S4054" s="76">
        <f t="shared" si="1478"/>
        <v>0.97060110696357316</v>
      </c>
      <c r="T4054" s="76">
        <f t="shared" si="1479"/>
        <v>0.97060110696357316</v>
      </c>
      <c r="U4054" s="76">
        <f t="shared" si="1480"/>
        <v>1</v>
      </c>
    </row>
    <row r="4055" spans="1:21" x14ac:dyDescent="0.25">
      <c r="A4055" s="71">
        <v>5</v>
      </c>
      <c r="B4055" s="72">
        <f t="shared" si="1481"/>
        <v>45778</v>
      </c>
      <c r="C4055" s="73">
        <f t="shared" si="1462"/>
        <v>45808</v>
      </c>
      <c r="D4055" s="67">
        <f t="shared" si="1463"/>
        <v>31</v>
      </c>
      <c r="E4055" s="67">
        <f t="shared" si="1464"/>
        <v>5</v>
      </c>
      <c r="F4055" s="74">
        <f t="shared" si="1465"/>
        <v>45793.5</v>
      </c>
      <c r="G4055" s="67">
        <f t="shared" si="1466"/>
        <v>24304</v>
      </c>
      <c r="H4055" s="75">
        <f t="shared" si="1467"/>
        <v>1</v>
      </c>
      <c r="I4055" s="76">
        <f t="shared" si="1468"/>
        <v>1</v>
      </c>
      <c r="J4055" s="76">
        <f t="shared" si="1469"/>
        <v>1</v>
      </c>
      <c r="K4055" s="67">
        <f t="shared" si="1470"/>
        <v>0</v>
      </c>
      <c r="L4055" s="67">
        <f t="shared" si="1471"/>
        <v>0</v>
      </c>
      <c r="M4055" s="77">
        <f t="shared" si="1472"/>
        <v>0</v>
      </c>
      <c r="N4055" s="76">
        <f t="shared" si="1473"/>
        <v>1</v>
      </c>
      <c r="O4055" s="77">
        <f t="shared" si="1474"/>
        <v>0.82701312910284464</v>
      </c>
      <c r="P4055" s="76">
        <f t="shared" si="1475"/>
        <v>0</v>
      </c>
      <c r="Q4055" s="76">
        <f t="shared" si="1476"/>
        <v>0</v>
      </c>
      <c r="R4055" s="76">
        <f t="shared" si="1477"/>
        <v>0</v>
      </c>
      <c r="S4055" s="76">
        <f t="shared" si="1478"/>
        <v>0.97295662247393488</v>
      </c>
      <c r="T4055" s="76">
        <f t="shared" si="1479"/>
        <v>0.97295662247393488</v>
      </c>
      <c r="U4055" s="76">
        <f t="shared" si="1480"/>
        <v>1</v>
      </c>
    </row>
    <row r="4056" spans="1:21" x14ac:dyDescent="0.25">
      <c r="A4056" s="71">
        <v>6</v>
      </c>
      <c r="B4056" s="72">
        <f t="shared" si="1481"/>
        <v>45809</v>
      </c>
      <c r="C4056" s="73">
        <f t="shared" si="1462"/>
        <v>45838</v>
      </c>
      <c r="D4056" s="67">
        <f t="shared" si="1463"/>
        <v>30</v>
      </c>
      <c r="E4056" s="67">
        <f t="shared" si="1464"/>
        <v>6</v>
      </c>
      <c r="F4056" s="74">
        <f t="shared" si="1465"/>
        <v>45824</v>
      </c>
      <c r="G4056" s="67">
        <f t="shared" si="1466"/>
        <v>24305</v>
      </c>
      <c r="H4056" s="75">
        <f t="shared" si="1467"/>
        <v>1</v>
      </c>
      <c r="I4056" s="76">
        <f t="shared" si="1468"/>
        <v>1</v>
      </c>
      <c r="J4056" s="76">
        <f t="shared" si="1469"/>
        <v>1</v>
      </c>
      <c r="K4056" s="67">
        <f t="shared" si="1470"/>
        <v>0</v>
      </c>
      <c r="L4056" s="67">
        <f t="shared" si="1471"/>
        <v>0</v>
      </c>
      <c r="M4056" s="77">
        <f t="shared" si="1472"/>
        <v>0</v>
      </c>
      <c r="N4056" s="76">
        <f t="shared" si="1473"/>
        <v>1</v>
      </c>
      <c r="O4056" s="77">
        <f t="shared" si="1474"/>
        <v>0.82901531728665201</v>
      </c>
      <c r="P4056" s="76">
        <f t="shared" si="1475"/>
        <v>0</v>
      </c>
      <c r="Q4056" s="76">
        <f t="shared" si="1476"/>
        <v>0</v>
      </c>
      <c r="R4056" s="76">
        <f t="shared" si="1477"/>
        <v>0</v>
      </c>
      <c r="S4056" s="76">
        <f t="shared" si="1478"/>
        <v>0.9753121379842965</v>
      </c>
      <c r="T4056" s="76">
        <f t="shared" si="1479"/>
        <v>0.9753121379842965</v>
      </c>
      <c r="U4056" s="76">
        <f t="shared" si="1480"/>
        <v>1</v>
      </c>
    </row>
    <row r="4057" spans="1:21" x14ac:dyDescent="0.25">
      <c r="A4057" s="71">
        <v>7</v>
      </c>
      <c r="B4057" s="72">
        <f t="shared" si="1481"/>
        <v>45839</v>
      </c>
      <c r="C4057" s="73">
        <f t="shared" si="1462"/>
        <v>45869</v>
      </c>
      <c r="D4057" s="67">
        <f t="shared" si="1463"/>
        <v>31</v>
      </c>
      <c r="E4057" s="67">
        <f t="shared" si="1464"/>
        <v>7</v>
      </c>
      <c r="F4057" s="74">
        <f t="shared" si="1465"/>
        <v>45854.5</v>
      </c>
      <c r="G4057" s="67">
        <f t="shared" si="1466"/>
        <v>24306</v>
      </c>
      <c r="H4057" s="75">
        <f t="shared" si="1467"/>
        <v>1</v>
      </c>
      <c r="I4057" s="76">
        <f t="shared" si="1468"/>
        <v>1</v>
      </c>
      <c r="J4057" s="76">
        <f t="shared" si="1469"/>
        <v>1.04</v>
      </c>
      <c r="K4057" s="67">
        <f t="shared" si="1470"/>
        <v>1</v>
      </c>
      <c r="L4057" s="67">
        <f t="shared" si="1471"/>
        <v>31</v>
      </c>
      <c r="M4057" s="77">
        <f t="shared" si="1472"/>
        <v>1</v>
      </c>
      <c r="N4057" s="76">
        <f t="shared" si="1473"/>
        <v>1.04</v>
      </c>
      <c r="O4057" s="77">
        <f t="shared" si="1474"/>
        <v>0.83101750547045949</v>
      </c>
      <c r="P4057" s="76">
        <f t="shared" si="1475"/>
        <v>8.333333333333337E-2</v>
      </c>
      <c r="Q4057" s="76">
        <f t="shared" si="1476"/>
        <v>0</v>
      </c>
      <c r="R4057" s="76">
        <f t="shared" si="1477"/>
        <v>0</v>
      </c>
      <c r="S4057" s="76">
        <f t="shared" si="1478"/>
        <v>1.0167743596344445</v>
      </c>
      <c r="T4057" s="76">
        <f t="shared" si="1479"/>
        <v>1.0167743596344445</v>
      </c>
      <c r="U4057" s="76">
        <f t="shared" si="1480"/>
        <v>1.04</v>
      </c>
    </row>
    <row r="4058" spans="1:21" x14ac:dyDescent="0.25">
      <c r="A4058" s="71">
        <v>8</v>
      </c>
      <c r="B4058" s="72">
        <f t="shared" si="1481"/>
        <v>45870</v>
      </c>
      <c r="C4058" s="73">
        <f t="shared" si="1462"/>
        <v>45900</v>
      </c>
      <c r="D4058" s="67">
        <f t="shared" si="1463"/>
        <v>31</v>
      </c>
      <c r="E4058" s="67">
        <f t="shared" si="1464"/>
        <v>8</v>
      </c>
      <c r="F4058" s="74">
        <f t="shared" si="1465"/>
        <v>45885.5</v>
      </c>
      <c r="G4058" s="67">
        <f t="shared" si="1466"/>
        <v>24307</v>
      </c>
      <c r="H4058" s="75">
        <f t="shared" si="1467"/>
        <v>1</v>
      </c>
      <c r="I4058" s="76">
        <f t="shared" si="1468"/>
        <v>1.04</v>
      </c>
      <c r="J4058" s="76">
        <f t="shared" si="1469"/>
        <v>1.04</v>
      </c>
      <c r="K4058" s="67">
        <f t="shared" si="1470"/>
        <v>0</v>
      </c>
      <c r="L4058" s="67">
        <f t="shared" si="1471"/>
        <v>0</v>
      </c>
      <c r="M4058" s="77">
        <f t="shared" si="1472"/>
        <v>0</v>
      </c>
      <c r="N4058" s="76">
        <f t="shared" si="1473"/>
        <v>1.04</v>
      </c>
      <c r="O4058" s="77">
        <f t="shared" si="1474"/>
        <v>0.83305251641137856</v>
      </c>
      <c r="P4058" s="76">
        <f t="shared" si="1475"/>
        <v>0.25</v>
      </c>
      <c r="Q4058" s="76">
        <f t="shared" si="1476"/>
        <v>0</v>
      </c>
      <c r="R4058" s="76">
        <f t="shared" si="1477"/>
        <v>0</v>
      </c>
      <c r="S4058" s="76">
        <f t="shared" si="1478"/>
        <v>1.0192642553739222</v>
      </c>
      <c r="T4058" s="76">
        <f t="shared" si="1479"/>
        <v>1.0192642553739222</v>
      </c>
      <c r="U4058" s="76">
        <f t="shared" si="1480"/>
        <v>1.04</v>
      </c>
    </row>
    <row r="4059" spans="1:21" x14ac:dyDescent="0.25">
      <c r="A4059" s="71">
        <v>9</v>
      </c>
      <c r="B4059" s="72">
        <f t="shared" si="1481"/>
        <v>45901</v>
      </c>
      <c r="C4059" s="73">
        <f t="shared" si="1462"/>
        <v>45930</v>
      </c>
      <c r="D4059" s="67">
        <f t="shared" si="1463"/>
        <v>30</v>
      </c>
      <c r="E4059" s="67">
        <f t="shared" si="1464"/>
        <v>9</v>
      </c>
      <c r="F4059" s="74">
        <f t="shared" si="1465"/>
        <v>45916</v>
      </c>
      <c r="G4059" s="67">
        <f t="shared" si="1466"/>
        <v>24308</v>
      </c>
      <c r="H4059" s="75">
        <f t="shared" si="1467"/>
        <v>1</v>
      </c>
      <c r="I4059" s="76">
        <f t="shared" si="1468"/>
        <v>1.04</v>
      </c>
      <c r="J4059" s="76">
        <f t="shared" si="1469"/>
        <v>1.04</v>
      </c>
      <c r="K4059" s="67">
        <f t="shared" si="1470"/>
        <v>0</v>
      </c>
      <c r="L4059" s="67">
        <f t="shared" si="1471"/>
        <v>0</v>
      </c>
      <c r="M4059" s="77">
        <f t="shared" si="1472"/>
        <v>0</v>
      </c>
      <c r="N4059" s="76">
        <f t="shared" si="1473"/>
        <v>1.04</v>
      </c>
      <c r="O4059" s="77">
        <f t="shared" si="1474"/>
        <v>0.83505470459518594</v>
      </c>
      <c r="P4059" s="76">
        <f t="shared" si="1475"/>
        <v>0.41666666666666663</v>
      </c>
      <c r="Q4059" s="76">
        <f t="shared" si="1476"/>
        <v>0</v>
      </c>
      <c r="R4059" s="76">
        <f t="shared" si="1477"/>
        <v>0</v>
      </c>
      <c r="S4059" s="76">
        <f t="shared" si="1478"/>
        <v>1.0217139915046982</v>
      </c>
      <c r="T4059" s="76">
        <f t="shared" si="1479"/>
        <v>1.0217139915046982</v>
      </c>
      <c r="U4059" s="76">
        <f t="shared" si="1480"/>
        <v>1.04</v>
      </c>
    </row>
    <row r="4060" spans="1:21" x14ac:dyDescent="0.25">
      <c r="A4060" s="71">
        <v>10</v>
      </c>
      <c r="B4060" s="72">
        <f t="shared" si="1481"/>
        <v>45931</v>
      </c>
      <c r="C4060" s="73">
        <f t="shared" si="1462"/>
        <v>45961</v>
      </c>
      <c r="D4060" s="67">
        <f t="shared" si="1463"/>
        <v>31</v>
      </c>
      <c r="E4060" s="67">
        <f t="shared" si="1464"/>
        <v>10</v>
      </c>
      <c r="F4060" s="74">
        <f t="shared" si="1465"/>
        <v>45946.5</v>
      </c>
      <c r="G4060" s="67">
        <f t="shared" si="1466"/>
        <v>24309</v>
      </c>
      <c r="H4060" s="75">
        <f t="shared" si="1467"/>
        <v>1</v>
      </c>
      <c r="I4060" s="76">
        <f t="shared" si="1468"/>
        <v>1.04</v>
      </c>
      <c r="J4060" s="76">
        <f t="shared" si="1469"/>
        <v>1.04</v>
      </c>
      <c r="K4060" s="67">
        <f t="shared" si="1470"/>
        <v>0</v>
      </c>
      <c r="L4060" s="67">
        <f t="shared" si="1471"/>
        <v>0</v>
      </c>
      <c r="M4060" s="77">
        <f t="shared" si="1472"/>
        <v>0</v>
      </c>
      <c r="N4060" s="76">
        <f t="shared" si="1473"/>
        <v>1.04</v>
      </c>
      <c r="O4060" s="77">
        <f t="shared" si="1474"/>
        <v>0.83705689277899342</v>
      </c>
      <c r="P4060" s="76">
        <f t="shared" si="1475"/>
        <v>0.58333333333333326</v>
      </c>
      <c r="Q4060" s="76">
        <f t="shared" si="1476"/>
        <v>0</v>
      </c>
      <c r="R4060" s="76">
        <f t="shared" si="1477"/>
        <v>0</v>
      </c>
      <c r="S4060" s="76">
        <f t="shared" si="1478"/>
        <v>1.0241637276354745</v>
      </c>
      <c r="T4060" s="76">
        <f t="shared" si="1479"/>
        <v>1.0241637276354745</v>
      </c>
      <c r="U4060" s="76">
        <f t="shared" si="1480"/>
        <v>1.04</v>
      </c>
    </row>
    <row r="4061" spans="1:21" x14ac:dyDescent="0.25">
      <c r="A4061" s="71">
        <v>11</v>
      </c>
      <c r="B4061" s="72">
        <f t="shared" si="1481"/>
        <v>45962</v>
      </c>
      <c r="C4061" s="73">
        <f t="shared" si="1462"/>
        <v>45991</v>
      </c>
      <c r="D4061" s="67">
        <f t="shared" si="1463"/>
        <v>30</v>
      </c>
      <c r="E4061" s="67">
        <f t="shared" si="1464"/>
        <v>11</v>
      </c>
      <c r="F4061" s="74">
        <f t="shared" si="1465"/>
        <v>45977</v>
      </c>
      <c r="G4061" s="67">
        <f t="shared" si="1466"/>
        <v>24310</v>
      </c>
      <c r="H4061" s="75">
        <f t="shared" si="1467"/>
        <v>1</v>
      </c>
      <c r="I4061" s="76">
        <f t="shared" si="1468"/>
        <v>1.04</v>
      </c>
      <c r="J4061" s="76">
        <f t="shared" si="1469"/>
        <v>1.04</v>
      </c>
      <c r="K4061" s="67">
        <f t="shared" si="1470"/>
        <v>0</v>
      </c>
      <c r="L4061" s="67">
        <f t="shared" si="1471"/>
        <v>0</v>
      </c>
      <c r="M4061" s="77">
        <f t="shared" si="1472"/>
        <v>0</v>
      </c>
      <c r="N4061" s="76">
        <f t="shared" si="1473"/>
        <v>1.04</v>
      </c>
      <c r="O4061" s="77">
        <f t="shared" si="1474"/>
        <v>0.8390590809628008</v>
      </c>
      <c r="P4061" s="76">
        <f t="shared" si="1475"/>
        <v>0.75</v>
      </c>
      <c r="Q4061" s="76">
        <f t="shared" si="1476"/>
        <v>0</v>
      </c>
      <c r="R4061" s="76">
        <f t="shared" si="1477"/>
        <v>0</v>
      </c>
      <c r="S4061" s="76">
        <f t="shared" si="1478"/>
        <v>1.0266134637662505</v>
      </c>
      <c r="T4061" s="76">
        <f t="shared" si="1479"/>
        <v>1.0266134637662505</v>
      </c>
      <c r="U4061" s="76">
        <f t="shared" si="1480"/>
        <v>1.04</v>
      </c>
    </row>
    <row r="4062" spans="1:21" x14ac:dyDescent="0.25">
      <c r="A4062" s="71">
        <v>12</v>
      </c>
      <c r="B4062" s="72">
        <f t="shared" si="1481"/>
        <v>45992</v>
      </c>
      <c r="C4062" s="73">
        <f t="shared" si="1462"/>
        <v>46022</v>
      </c>
      <c r="D4062" s="67">
        <f t="shared" si="1463"/>
        <v>31</v>
      </c>
      <c r="E4062" s="67">
        <f t="shared" si="1464"/>
        <v>12</v>
      </c>
      <c r="F4062" s="74">
        <f t="shared" si="1465"/>
        <v>46007.5</v>
      </c>
      <c r="G4062" s="67">
        <f t="shared" si="1466"/>
        <v>24311</v>
      </c>
      <c r="H4062" s="75">
        <f t="shared" si="1467"/>
        <v>1</v>
      </c>
      <c r="I4062" s="76">
        <f t="shared" si="1468"/>
        <v>1.04</v>
      </c>
      <c r="J4062" s="76">
        <f t="shared" si="1469"/>
        <v>1.04</v>
      </c>
      <c r="K4062" s="67">
        <f t="shared" si="1470"/>
        <v>0</v>
      </c>
      <c r="L4062" s="67">
        <f t="shared" si="1471"/>
        <v>0</v>
      </c>
      <c r="M4062" s="77">
        <f t="shared" si="1472"/>
        <v>0</v>
      </c>
      <c r="N4062" s="76">
        <f t="shared" si="1473"/>
        <v>1.04</v>
      </c>
      <c r="O4062" s="77">
        <f t="shared" si="1474"/>
        <v>0.84106126914660828</v>
      </c>
      <c r="P4062" s="76">
        <f t="shared" si="1475"/>
        <v>0.91666666666666663</v>
      </c>
      <c r="Q4062" s="76">
        <f t="shared" si="1476"/>
        <v>0</v>
      </c>
      <c r="R4062" s="76">
        <f t="shared" si="1477"/>
        <v>0</v>
      </c>
      <c r="S4062" s="76">
        <f t="shared" si="1478"/>
        <v>1.0290631998970268</v>
      </c>
      <c r="T4062" s="76">
        <f t="shared" si="1479"/>
        <v>1.0290631998970268</v>
      </c>
      <c r="U4062" s="76">
        <f t="shared" si="1480"/>
        <v>1.04</v>
      </c>
    </row>
    <row r="4063" spans="1:21" x14ac:dyDescent="0.25">
      <c r="A4063" s="71">
        <v>13</v>
      </c>
      <c r="B4063" s="72">
        <f t="shared" si="1481"/>
        <v>46023</v>
      </c>
      <c r="C4063" s="73">
        <f t="shared" si="1462"/>
        <v>46053</v>
      </c>
      <c r="D4063" s="67">
        <f t="shared" si="1463"/>
        <v>31</v>
      </c>
      <c r="E4063" s="67">
        <f t="shared" si="1464"/>
        <v>1</v>
      </c>
      <c r="F4063" s="74">
        <f t="shared" si="1465"/>
        <v>46038.5</v>
      </c>
      <c r="G4063" s="67">
        <f t="shared" si="1466"/>
        <v>24312</v>
      </c>
      <c r="H4063" s="75">
        <f t="shared" si="1467"/>
        <v>1</v>
      </c>
      <c r="I4063" s="76">
        <f t="shared" si="1468"/>
        <v>1.04</v>
      </c>
      <c r="J4063" s="76">
        <f t="shared" si="1469"/>
        <v>1.04</v>
      </c>
      <c r="K4063" s="67">
        <f t="shared" si="1470"/>
        <v>0</v>
      </c>
      <c r="L4063" s="67">
        <f t="shared" si="1471"/>
        <v>0</v>
      </c>
      <c r="M4063" s="77">
        <f t="shared" si="1472"/>
        <v>0</v>
      </c>
      <c r="N4063" s="76">
        <f t="shared" si="1473"/>
        <v>1.04</v>
      </c>
      <c r="O4063" s="77">
        <f t="shared" si="1474"/>
        <v>0.84309628008752735</v>
      </c>
      <c r="P4063" s="76">
        <f t="shared" si="1475"/>
        <v>1</v>
      </c>
      <c r="Q4063" s="76">
        <f t="shared" si="1476"/>
        <v>0</v>
      </c>
      <c r="R4063" s="76">
        <f t="shared" si="1477"/>
        <v>0</v>
      </c>
      <c r="S4063" s="76">
        <f t="shared" si="1478"/>
        <v>1.031553095636504</v>
      </c>
      <c r="T4063" s="76">
        <f t="shared" si="1479"/>
        <v>1.031553095636504</v>
      </c>
      <c r="U4063" s="76">
        <f t="shared" si="1480"/>
        <v>1.04</v>
      </c>
    </row>
    <row r="4064" spans="1:21" x14ac:dyDescent="0.25">
      <c r="A4064" s="71">
        <v>14</v>
      </c>
      <c r="B4064" s="72">
        <f t="shared" si="1481"/>
        <v>46054</v>
      </c>
      <c r="C4064" s="73">
        <f t="shared" si="1462"/>
        <v>46081</v>
      </c>
      <c r="D4064" s="67">
        <f t="shared" si="1463"/>
        <v>28</v>
      </c>
      <c r="E4064" s="67">
        <f t="shared" si="1464"/>
        <v>2</v>
      </c>
      <c r="F4064" s="74">
        <f t="shared" si="1465"/>
        <v>46068</v>
      </c>
      <c r="G4064" s="67">
        <f t="shared" si="1466"/>
        <v>24313</v>
      </c>
      <c r="H4064" s="75">
        <f t="shared" si="1467"/>
        <v>1</v>
      </c>
      <c r="I4064" s="76">
        <f t="shared" si="1468"/>
        <v>1.04</v>
      </c>
      <c r="J4064" s="76">
        <f t="shared" si="1469"/>
        <v>1.04</v>
      </c>
      <c r="K4064" s="67">
        <f t="shared" si="1470"/>
        <v>0</v>
      </c>
      <c r="L4064" s="67">
        <f t="shared" si="1471"/>
        <v>0</v>
      </c>
      <c r="M4064" s="77">
        <f t="shared" si="1472"/>
        <v>0</v>
      </c>
      <c r="N4064" s="76">
        <f t="shared" si="1473"/>
        <v>1.04</v>
      </c>
      <c r="O4064" s="77">
        <f t="shared" si="1474"/>
        <v>0.84503282275711156</v>
      </c>
      <c r="P4064" s="76">
        <f t="shared" si="1475"/>
        <v>1</v>
      </c>
      <c r="Q4064" s="76">
        <f t="shared" si="1476"/>
        <v>0</v>
      </c>
      <c r="R4064" s="76">
        <f t="shared" si="1477"/>
        <v>0</v>
      </c>
      <c r="S4064" s="76">
        <f t="shared" si="1478"/>
        <v>1.0339225125498777</v>
      </c>
      <c r="T4064" s="76">
        <f t="shared" si="1479"/>
        <v>1.0339225125498777</v>
      </c>
      <c r="U4064" s="76">
        <f t="shared" si="1480"/>
        <v>1.04</v>
      </c>
    </row>
    <row r="4065" spans="1:21" x14ac:dyDescent="0.25">
      <c r="A4065" s="71">
        <v>15</v>
      </c>
      <c r="B4065" s="72">
        <f t="shared" si="1481"/>
        <v>46082</v>
      </c>
      <c r="C4065" s="73">
        <f t="shared" si="1462"/>
        <v>46112</v>
      </c>
      <c r="D4065" s="67">
        <f t="shared" si="1463"/>
        <v>31</v>
      </c>
      <c r="E4065" s="67">
        <f t="shared" si="1464"/>
        <v>3</v>
      </c>
      <c r="F4065" s="74">
        <f t="shared" si="1465"/>
        <v>46097.5</v>
      </c>
      <c r="G4065" s="67">
        <f t="shared" si="1466"/>
        <v>24314</v>
      </c>
      <c r="H4065" s="75">
        <f t="shared" si="1467"/>
        <v>1</v>
      </c>
      <c r="I4065" s="76">
        <f t="shared" si="1468"/>
        <v>1.04</v>
      </c>
      <c r="J4065" s="76">
        <f t="shared" si="1469"/>
        <v>1.04</v>
      </c>
      <c r="K4065" s="67">
        <f t="shared" si="1470"/>
        <v>0</v>
      </c>
      <c r="L4065" s="67">
        <f t="shared" si="1471"/>
        <v>0</v>
      </c>
      <c r="M4065" s="77">
        <f t="shared" si="1472"/>
        <v>0</v>
      </c>
      <c r="N4065" s="76">
        <f t="shared" si="1473"/>
        <v>1.04</v>
      </c>
      <c r="O4065" s="77">
        <f t="shared" si="1474"/>
        <v>0.84696936542669587</v>
      </c>
      <c r="P4065" s="76">
        <f t="shared" si="1475"/>
        <v>1</v>
      </c>
      <c r="Q4065" s="76">
        <f t="shared" si="1476"/>
        <v>0</v>
      </c>
      <c r="R4065" s="76">
        <f t="shared" si="1477"/>
        <v>0</v>
      </c>
      <c r="S4065" s="76">
        <f t="shared" si="1478"/>
        <v>1.0362919294632515</v>
      </c>
      <c r="T4065" s="76">
        <f t="shared" si="1479"/>
        <v>1.0362919294632515</v>
      </c>
      <c r="U4065" s="76">
        <f t="shared" si="1480"/>
        <v>1.04</v>
      </c>
    </row>
    <row r="4066" spans="1:21" x14ac:dyDescent="0.25">
      <c r="A4066" s="71">
        <v>16</v>
      </c>
      <c r="B4066" s="72">
        <f t="shared" si="1481"/>
        <v>46113</v>
      </c>
      <c r="C4066" s="73">
        <f t="shared" si="1462"/>
        <v>46142</v>
      </c>
      <c r="D4066" s="67">
        <f t="shared" si="1463"/>
        <v>30</v>
      </c>
      <c r="E4066" s="67">
        <f t="shared" si="1464"/>
        <v>4</v>
      </c>
      <c r="F4066" s="74">
        <f t="shared" si="1465"/>
        <v>46128</v>
      </c>
      <c r="G4066" s="67">
        <f t="shared" si="1466"/>
        <v>24315</v>
      </c>
      <c r="H4066" s="75">
        <f t="shared" si="1467"/>
        <v>1</v>
      </c>
      <c r="I4066" s="76">
        <f t="shared" si="1468"/>
        <v>1.04</v>
      </c>
      <c r="J4066" s="76">
        <f t="shared" si="1469"/>
        <v>1.04</v>
      </c>
      <c r="K4066" s="67">
        <f t="shared" si="1470"/>
        <v>0</v>
      </c>
      <c r="L4066" s="67">
        <f t="shared" si="1471"/>
        <v>0</v>
      </c>
      <c r="M4066" s="77">
        <f t="shared" si="1472"/>
        <v>0</v>
      </c>
      <c r="N4066" s="76">
        <f t="shared" si="1473"/>
        <v>1.04</v>
      </c>
      <c r="O4066" s="77">
        <f t="shared" si="1474"/>
        <v>0.84897155361050325</v>
      </c>
      <c r="P4066" s="76">
        <f t="shared" si="1475"/>
        <v>1</v>
      </c>
      <c r="Q4066" s="76">
        <f t="shared" si="1476"/>
        <v>0</v>
      </c>
      <c r="R4066" s="76">
        <f t="shared" si="1477"/>
        <v>0</v>
      </c>
      <c r="S4066" s="76">
        <f t="shared" si="1478"/>
        <v>1.0387416655940276</v>
      </c>
      <c r="T4066" s="76">
        <f t="shared" si="1479"/>
        <v>1.0387416655940276</v>
      </c>
      <c r="U4066" s="76">
        <f t="shared" si="1480"/>
        <v>1.04</v>
      </c>
    </row>
    <row r="4067" spans="1:21" x14ac:dyDescent="0.25">
      <c r="A4067" s="71">
        <v>17</v>
      </c>
      <c r="B4067" s="72">
        <f t="shared" si="1481"/>
        <v>46143</v>
      </c>
      <c r="C4067" s="73">
        <f t="shared" si="1462"/>
        <v>46173</v>
      </c>
      <c r="D4067" s="67">
        <f t="shared" si="1463"/>
        <v>31</v>
      </c>
      <c r="E4067" s="67">
        <f t="shared" si="1464"/>
        <v>5</v>
      </c>
      <c r="F4067" s="74">
        <f t="shared" si="1465"/>
        <v>46158.5</v>
      </c>
      <c r="G4067" s="67">
        <f t="shared" si="1466"/>
        <v>24316</v>
      </c>
      <c r="H4067" s="75">
        <f t="shared" si="1467"/>
        <v>1</v>
      </c>
      <c r="I4067" s="76">
        <f t="shared" si="1468"/>
        <v>1.04</v>
      </c>
      <c r="J4067" s="76">
        <f t="shared" si="1469"/>
        <v>1.04</v>
      </c>
      <c r="K4067" s="67">
        <f t="shared" si="1470"/>
        <v>0</v>
      </c>
      <c r="L4067" s="67">
        <f t="shared" si="1471"/>
        <v>0</v>
      </c>
      <c r="M4067" s="77">
        <f t="shared" si="1472"/>
        <v>0</v>
      </c>
      <c r="N4067" s="76">
        <f t="shared" si="1473"/>
        <v>1.04</v>
      </c>
      <c r="O4067" s="77">
        <f t="shared" si="1474"/>
        <v>0.85097374179431073</v>
      </c>
      <c r="P4067" s="76">
        <f t="shared" si="1475"/>
        <v>1</v>
      </c>
      <c r="Q4067" s="76">
        <f t="shared" si="1476"/>
        <v>0</v>
      </c>
      <c r="R4067" s="76">
        <f t="shared" si="1477"/>
        <v>0</v>
      </c>
      <c r="S4067" s="76">
        <f t="shared" si="1478"/>
        <v>1.0411914017248036</v>
      </c>
      <c r="T4067" s="76">
        <f t="shared" si="1479"/>
        <v>1.0411914017248036</v>
      </c>
      <c r="U4067" s="76">
        <f t="shared" si="1480"/>
        <v>1.04</v>
      </c>
    </row>
    <row r="4068" spans="1:21" x14ac:dyDescent="0.25">
      <c r="A4068" s="71">
        <v>18</v>
      </c>
      <c r="B4068" s="72">
        <f t="shared" si="1481"/>
        <v>46174</v>
      </c>
      <c r="C4068" s="73">
        <f t="shared" si="1462"/>
        <v>46203</v>
      </c>
      <c r="D4068" s="67">
        <f t="shared" si="1463"/>
        <v>30</v>
      </c>
      <c r="E4068" s="67">
        <f t="shared" si="1464"/>
        <v>6</v>
      </c>
      <c r="F4068" s="74">
        <f t="shared" si="1465"/>
        <v>46189</v>
      </c>
      <c r="G4068" s="67">
        <f t="shared" si="1466"/>
        <v>24317</v>
      </c>
      <c r="H4068" s="75">
        <f t="shared" si="1467"/>
        <v>1</v>
      </c>
      <c r="I4068" s="76">
        <f t="shared" si="1468"/>
        <v>1.04</v>
      </c>
      <c r="J4068" s="76">
        <f t="shared" si="1469"/>
        <v>1.04</v>
      </c>
      <c r="K4068" s="67">
        <f t="shared" si="1470"/>
        <v>0</v>
      </c>
      <c r="L4068" s="67">
        <f t="shared" si="1471"/>
        <v>0</v>
      </c>
      <c r="M4068" s="77">
        <f t="shared" si="1472"/>
        <v>0</v>
      </c>
      <c r="N4068" s="76">
        <f t="shared" si="1473"/>
        <v>1.04</v>
      </c>
      <c r="O4068" s="77">
        <f t="shared" si="1474"/>
        <v>0.85297592997811811</v>
      </c>
      <c r="P4068" s="76">
        <f t="shared" si="1475"/>
        <v>1</v>
      </c>
      <c r="Q4068" s="76">
        <f t="shared" si="1476"/>
        <v>0</v>
      </c>
      <c r="R4068" s="76">
        <f t="shared" si="1477"/>
        <v>0</v>
      </c>
      <c r="S4068" s="76">
        <f t="shared" si="1478"/>
        <v>1.0436411378555797</v>
      </c>
      <c r="T4068" s="76">
        <f t="shared" si="1479"/>
        <v>1.0436411378555797</v>
      </c>
      <c r="U4068" s="76">
        <f t="shared" si="1480"/>
        <v>1.04</v>
      </c>
    </row>
    <row r="4069" spans="1:21" x14ac:dyDescent="0.25">
      <c r="A4069" s="71">
        <v>19</v>
      </c>
      <c r="B4069" s="72">
        <f t="shared" si="1481"/>
        <v>46204</v>
      </c>
      <c r="C4069" s="73">
        <f t="shared" si="1462"/>
        <v>46234</v>
      </c>
      <c r="D4069" s="67">
        <f t="shared" si="1463"/>
        <v>31</v>
      </c>
      <c r="E4069" s="67">
        <f t="shared" si="1464"/>
        <v>7</v>
      </c>
      <c r="F4069" s="74">
        <f t="shared" si="1465"/>
        <v>46219.5</v>
      </c>
      <c r="G4069" s="67">
        <f t="shared" si="1466"/>
        <v>24318</v>
      </c>
      <c r="H4069" s="75">
        <f t="shared" si="1467"/>
        <v>1</v>
      </c>
      <c r="I4069" s="76">
        <f t="shared" si="1468"/>
        <v>1.04</v>
      </c>
      <c r="J4069" s="76">
        <f t="shared" si="1469"/>
        <v>1.1024</v>
      </c>
      <c r="K4069" s="67">
        <f t="shared" si="1470"/>
        <v>1</v>
      </c>
      <c r="L4069" s="67">
        <f t="shared" si="1471"/>
        <v>31</v>
      </c>
      <c r="M4069" s="77">
        <f t="shared" si="1472"/>
        <v>1</v>
      </c>
      <c r="N4069" s="76">
        <f t="shared" si="1473"/>
        <v>1.1024</v>
      </c>
      <c r="O4069" s="77">
        <f t="shared" si="1474"/>
        <v>0.85497811816192559</v>
      </c>
      <c r="P4069" s="76">
        <f t="shared" si="1475"/>
        <v>0.91666666666666663</v>
      </c>
      <c r="Q4069" s="76">
        <f t="shared" si="1476"/>
        <v>8.333333333333337E-2</v>
      </c>
      <c r="R4069" s="76">
        <f t="shared" si="1477"/>
        <v>0</v>
      </c>
      <c r="S4069" s="76">
        <f t="shared" si="1478"/>
        <v>1.1088563264255376</v>
      </c>
      <c r="T4069" s="76">
        <f t="shared" si="1479"/>
        <v>1.1088563264255376</v>
      </c>
      <c r="U4069" s="76">
        <f t="shared" si="1480"/>
        <v>1.1024</v>
      </c>
    </row>
    <row r="4070" spans="1:21" x14ac:dyDescent="0.25">
      <c r="A4070" s="71">
        <v>20</v>
      </c>
      <c r="B4070" s="72">
        <f t="shared" si="1481"/>
        <v>46235</v>
      </c>
      <c r="C4070" s="73">
        <f t="shared" si="1462"/>
        <v>46265</v>
      </c>
      <c r="D4070" s="67">
        <f t="shared" si="1463"/>
        <v>31</v>
      </c>
      <c r="E4070" s="67">
        <f t="shared" si="1464"/>
        <v>8</v>
      </c>
      <c r="F4070" s="74">
        <f t="shared" si="1465"/>
        <v>46250.5</v>
      </c>
      <c r="G4070" s="67">
        <f t="shared" si="1466"/>
        <v>24319</v>
      </c>
      <c r="H4070" s="75">
        <f t="shared" si="1467"/>
        <v>1</v>
      </c>
      <c r="I4070" s="76">
        <f t="shared" si="1468"/>
        <v>1.1024</v>
      </c>
      <c r="J4070" s="76">
        <f t="shared" si="1469"/>
        <v>1.1024</v>
      </c>
      <c r="K4070" s="67">
        <f t="shared" si="1470"/>
        <v>0</v>
      </c>
      <c r="L4070" s="67">
        <f t="shared" si="1471"/>
        <v>0</v>
      </c>
      <c r="M4070" s="77">
        <f t="shared" si="1472"/>
        <v>0</v>
      </c>
      <c r="N4070" s="76">
        <f t="shared" si="1473"/>
        <v>1.1024</v>
      </c>
      <c r="O4070" s="77">
        <f t="shared" si="1474"/>
        <v>0.85701312910284466</v>
      </c>
      <c r="P4070" s="76">
        <f t="shared" si="1475"/>
        <v>0.75</v>
      </c>
      <c r="Q4070" s="76">
        <f t="shared" si="1476"/>
        <v>0.25</v>
      </c>
      <c r="R4070" s="76">
        <f t="shared" si="1477"/>
        <v>0</v>
      </c>
      <c r="S4070" s="76">
        <f t="shared" si="1478"/>
        <v>1.1114956159093834</v>
      </c>
      <c r="T4070" s="76">
        <f t="shared" si="1479"/>
        <v>1.1114956159093834</v>
      </c>
      <c r="U4070" s="76">
        <f t="shared" si="1480"/>
        <v>1.1024</v>
      </c>
    </row>
    <row r="4071" spans="1:21" x14ac:dyDescent="0.25">
      <c r="A4071" s="71">
        <v>21</v>
      </c>
      <c r="B4071" s="72">
        <f t="shared" si="1481"/>
        <v>46266</v>
      </c>
      <c r="C4071" s="73">
        <f t="shared" si="1462"/>
        <v>46295</v>
      </c>
      <c r="D4071" s="67">
        <f t="shared" si="1463"/>
        <v>30</v>
      </c>
      <c r="E4071" s="67">
        <f t="shared" si="1464"/>
        <v>9</v>
      </c>
      <c r="F4071" s="74">
        <f t="shared" si="1465"/>
        <v>46281</v>
      </c>
      <c r="G4071" s="67">
        <f t="shared" si="1466"/>
        <v>24320</v>
      </c>
      <c r="H4071" s="75">
        <f t="shared" si="1467"/>
        <v>1</v>
      </c>
      <c r="I4071" s="76">
        <f t="shared" si="1468"/>
        <v>1.1024</v>
      </c>
      <c r="J4071" s="76">
        <f t="shared" si="1469"/>
        <v>1.1024</v>
      </c>
      <c r="K4071" s="67">
        <f t="shared" si="1470"/>
        <v>0</v>
      </c>
      <c r="L4071" s="67">
        <f t="shared" si="1471"/>
        <v>0</v>
      </c>
      <c r="M4071" s="77">
        <f t="shared" si="1472"/>
        <v>0</v>
      </c>
      <c r="N4071" s="76">
        <f t="shared" si="1473"/>
        <v>1.1024</v>
      </c>
      <c r="O4071" s="77">
        <f t="shared" si="1474"/>
        <v>0.85901531728665204</v>
      </c>
      <c r="P4071" s="76">
        <f t="shared" si="1475"/>
        <v>0.58333333333333337</v>
      </c>
      <c r="Q4071" s="76">
        <f t="shared" si="1476"/>
        <v>0.41666666666666663</v>
      </c>
      <c r="R4071" s="76">
        <f t="shared" si="1477"/>
        <v>0</v>
      </c>
      <c r="S4071" s="76">
        <f t="shared" si="1478"/>
        <v>1.1140923362080062</v>
      </c>
      <c r="T4071" s="76">
        <f t="shared" si="1479"/>
        <v>1.1140923362080062</v>
      </c>
      <c r="U4071" s="76">
        <f t="shared" si="1480"/>
        <v>1.1024</v>
      </c>
    </row>
    <row r="4072" spans="1:21" x14ac:dyDescent="0.25">
      <c r="A4072" s="71">
        <v>22</v>
      </c>
      <c r="B4072" s="72">
        <f t="shared" si="1481"/>
        <v>46296</v>
      </c>
      <c r="C4072" s="73">
        <f t="shared" si="1462"/>
        <v>46326</v>
      </c>
      <c r="D4072" s="67">
        <f t="shared" si="1463"/>
        <v>31</v>
      </c>
      <c r="E4072" s="67">
        <f t="shared" si="1464"/>
        <v>10</v>
      </c>
      <c r="F4072" s="74">
        <f t="shared" si="1465"/>
        <v>46311.5</v>
      </c>
      <c r="G4072" s="67">
        <f t="shared" si="1466"/>
        <v>24321</v>
      </c>
      <c r="H4072" s="75">
        <f t="shared" si="1467"/>
        <v>1</v>
      </c>
      <c r="I4072" s="76">
        <f t="shared" si="1468"/>
        <v>1.1024</v>
      </c>
      <c r="J4072" s="76">
        <f t="shared" si="1469"/>
        <v>1.1024</v>
      </c>
      <c r="K4072" s="67">
        <f t="shared" si="1470"/>
        <v>0</v>
      </c>
      <c r="L4072" s="67">
        <f t="shared" si="1471"/>
        <v>0</v>
      </c>
      <c r="M4072" s="77">
        <f t="shared" si="1472"/>
        <v>0</v>
      </c>
      <c r="N4072" s="76">
        <f t="shared" si="1473"/>
        <v>1.1024</v>
      </c>
      <c r="O4072" s="77">
        <f t="shared" si="1474"/>
        <v>0.86101750547045952</v>
      </c>
      <c r="P4072" s="76">
        <f t="shared" si="1475"/>
        <v>0.41666666666666669</v>
      </c>
      <c r="Q4072" s="76">
        <f t="shared" si="1476"/>
        <v>0.58333333333333326</v>
      </c>
      <c r="R4072" s="76">
        <f t="shared" si="1477"/>
        <v>0</v>
      </c>
      <c r="S4072" s="76">
        <f t="shared" si="1478"/>
        <v>1.116689056506629</v>
      </c>
      <c r="T4072" s="76">
        <f t="shared" si="1479"/>
        <v>1.116689056506629</v>
      </c>
      <c r="U4072" s="76">
        <f t="shared" si="1480"/>
        <v>1.1024</v>
      </c>
    </row>
    <row r="4073" spans="1:21" x14ac:dyDescent="0.25">
      <c r="A4073" s="71">
        <v>23</v>
      </c>
      <c r="B4073" s="72">
        <f t="shared" si="1481"/>
        <v>46327</v>
      </c>
      <c r="C4073" s="73">
        <f t="shared" si="1462"/>
        <v>46356</v>
      </c>
      <c r="D4073" s="67">
        <f t="shared" si="1463"/>
        <v>30</v>
      </c>
      <c r="E4073" s="67">
        <f t="shared" si="1464"/>
        <v>11</v>
      </c>
      <c r="F4073" s="74">
        <f t="shared" si="1465"/>
        <v>46342</v>
      </c>
      <c r="G4073" s="67">
        <f t="shared" si="1466"/>
        <v>24322</v>
      </c>
      <c r="H4073" s="75">
        <f t="shared" si="1467"/>
        <v>1</v>
      </c>
      <c r="I4073" s="76">
        <f t="shared" si="1468"/>
        <v>1.1024</v>
      </c>
      <c r="J4073" s="76">
        <f t="shared" si="1469"/>
        <v>1.1024</v>
      </c>
      <c r="K4073" s="67">
        <f t="shared" si="1470"/>
        <v>0</v>
      </c>
      <c r="L4073" s="67">
        <f t="shared" si="1471"/>
        <v>0</v>
      </c>
      <c r="M4073" s="77">
        <f t="shared" si="1472"/>
        <v>0</v>
      </c>
      <c r="N4073" s="76">
        <f t="shared" si="1473"/>
        <v>1.1024</v>
      </c>
      <c r="O4073" s="77">
        <f t="shared" si="1474"/>
        <v>0.8630196936542669</v>
      </c>
      <c r="P4073" s="76">
        <f t="shared" si="1475"/>
        <v>0.25</v>
      </c>
      <c r="Q4073" s="76">
        <f t="shared" si="1476"/>
        <v>0.75</v>
      </c>
      <c r="R4073" s="76">
        <f t="shared" si="1477"/>
        <v>0</v>
      </c>
      <c r="S4073" s="76">
        <f t="shared" si="1478"/>
        <v>1.1192857768052518</v>
      </c>
      <c r="T4073" s="76">
        <f t="shared" si="1479"/>
        <v>1.1192857768052518</v>
      </c>
      <c r="U4073" s="76">
        <f t="shared" si="1480"/>
        <v>1.1024</v>
      </c>
    </row>
    <row r="4074" spans="1:21" x14ac:dyDescent="0.25">
      <c r="A4074" s="71">
        <v>24</v>
      </c>
      <c r="B4074" s="72">
        <f t="shared" si="1481"/>
        <v>46357</v>
      </c>
      <c r="C4074" s="73">
        <f t="shared" si="1462"/>
        <v>46387</v>
      </c>
      <c r="D4074" s="67">
        <f t="shared" si="1463"/>
        <v>31</v>
      </c>
      <c r="E4074" s="67">
        <f t="shared" si="1464"/>
        <v>12</v>
      </c>
      <c r="F4074" s="74">
        <f t="shared" si="1465"/>
        <v>46372.5</v>
      </c>
      <c r="G4074" s="67">
        <f t="shared" si="1466"/>
        <v>24323</v>
      </c>
      <c r="H4074" s="75">
        <f t="shared" si="1467"/>
        <v>1</v>
      </c>
      <c r="I4074" s="76">
        <f t="shared" si="1468"/>
        <v>1.1024</v>
      </c>
      <c r="J4074" s="76">
        <f t="shared" si="1469"/>
        <v>1.1024</v>
      </c>
      <c r="K4074" s="67">
        <f t="shared" si="1470"/>
        <v>0</v>
      </c>
      <c r="L4074" s="67">
        <f t="shared" si="1471"/>
        <v>0</v>
      </c>
      <c r="M4074" s="77">
        <f t="shared" si="1472"/>
        <v>0</v>
      </c>
      <c r="N4074" s="76">
        <f t="shared" si="1473"/>
        <v>1.1024</v>
      </c>
      <c r="O4074" s="77">
        <f t="shared" si="1474"/>
        <v>0.86502188183807438</v>
      </c>
      <c r="P4074" s="76">
        <f t="shared" si="1475"/>
        <v>8.3333333333333329E-2</v>
      </c>
      <c r="Q4074" s="76">
        <f t="shared" si="1476"/>
        <v>0.91666666666666663</v>
      </c>
      <c r="R4074" s="76">
        <f t="shared" si="1477"/>
        <v>0</v>
      </c>
      <c r="S4074" s="76">
        <f t="shared" si="1478"/>
        <v>1.1218824971038743</v>
      </c>
      <c r="T4074" s="76">
        <f t="shared" si="1479"/>
        <v>1.1218824971038743</v>
      </c>
      <c r="U4074" s="76">
        <f t="shared" si="1480"/>
        <v>1.1024</v>
      </c>
    </row>
    <row r="4075" spans="1:21" x14ac:dyDescent="0.25">
      <c r="A4075" s="71">
        <v>25</v>
      </c>
      <c r="B4075" s="72">
        <f t="shared" si="1481"/>
        <v>46388</v>
      </c>
      <c r="C4075" s="73">
        <f t="shared" si="1462"/>
        <v>46418</v>
      </c>
      <c r="D4075" s="67">
        <f t="shared" si="1463"/>
        <v>31</v>
      </c>
      <c r="E4075" s="67">
        <f t="shared" si="1464"/>
        <v>1</v>
      </c>
      <c r="F4075" s="74">
        <f t="shared" si="1465"/>
        <v>46403.5</v>
      </c>
      <c r="G4075" s="67">
        <f t="shared" si="1466"/>
        <v>24324</v>
      </c>
      <c r="H4075" s="75">
        <f t="shared" si="1467"/>
        <v>1</v>
      </c>
      <c r="I4075" s="76">
        <f t="shared" si="1468"/>
        <v>1.1024</v>
      </c>
      <c r="J4075" s="76">
        <f t="shared" si="1469"/>
        <v>1.1024</v>
      </c>
      <c r="K4075" s="67">
        <f t="shared" si="1470"/>
        <v>0</v>
      </c>
      <c r="L4075" s="67">
        <f t="shared" si="1471"/>
        <v>0</v>
      </c>
      <c r="M4075" s="77">
        <f t="shared" si="1472"/>
        <v>0</v>
      </c>
      <c r="N4075" s="76">
        <f t="shared" si="1473"/>
        <v>1.1024</v>
      </c>
      <c r="O4075" s="77">
        <f t="shared" si="1474"/>
        <v>0.86705689277899345</v>
      </c>
      <c r="P4075" s="76">
        <f t="shared" si="1475"/>
        <v>0</v>
      </c>
      <c r="Q4075" s="76">
        <f t="shared" si="1476"/>
        <v>1</v>
      </c>
      <c r="R4075" s="76">
        <f t="shared" si="1477"/>
        <v>0</v>
      </c>
      <c r="S4075" s="76">
        <f t="shared" si="1478"/>
        <v>1.1245217865877206</v>
      </c>
      <c r="T4075" s="76">
        <f t="shared" si="1479"/>
        <v>1.031553095636504</v>
      </c>
      <c r="U4075" s="76">
        <f t="shared" si="1480"/>
        <v>1.1024</v>
      </c>
    </row>
    <row r="4076" spans="1:21" x14ac:dyDescent="0.25">
      <c r="A4076" s="71">
        <v>26</v>
      </c>
      <c r="B4076" s="72">
        <f t="shared" si="1481"/>
        <v>46419</v>
      </c>
      <c r="C4076" s="73">
        <f t="shared" si="1462"/>
        <v>46446</v>
      </c>
      <c r="D4076" s="67">
        <f t="shared" si="1463"/>
        <v>28</v>
      </c>
      <c r="E4076" s="67">
        <f t="shared" si="1464"/>
        <v>2</v>
      </c>
      <c r="F4076" s="74">
        <f t="shared" si="1465"/>
        <v>46433</v>
      </c>
      <c r="G4076" s="67">
        <f t="shared" si="1466"/>
        <v>24325</v>
      </c>
      <c r="H4076" s="75">
        <f t="shared" si="1467"/>
        <v>1</v>
      </c>
      <c r="I4076" s="76">
        <f t="shared" si="1468"/>
        <v>1.1024</v>
      </c>
      <c r="J4076" s="76">
        <f t="shared" si="1469"/>
        <v>1.1024</v>
      </c>
      <c r="K4076" s="67">
        <f t="shared" si="1470"/>
        <v>0</v>
      </c>
      <c r="L4076" s="67">
        <f t="shared" si="1471"/>
        <v>0</v>
      </c>
      <c r="M4076" s="77">
        <f t="shared" si="1472"/>
        <v>0</v>
      </c>
      <c r="N4076" s="76">
        <f t="shared" si="1473"/>
        <v>1.1024</v>
      </c>
      <c r="O4076" s="77">
        <f t="shared" si="1474"/>
        <v>0.86899343544857766</v>
      </c>
      <c r="P4076" s="76">
        <f t="shared" si="1475"/>
        <v>0</v>
      </c>
      <c r="Q4076" s="76">
        <f t="shared" si="1476"/>
        <v>1</v>
      </c>
      <c r="R4076" s="76">
        <f t="shared" si="1477"/>
        <v>0</v>
      </c>
      <c r="S4076" s="76">
        <f t="shared" si="1478"/>
        <v>1.1270333685158964</v>
      </c>
      <c r="T4076" s="76">
        <f t="shared" si="1479"/>
        <v>1.0339225125498777</v>
      </c>
      <c r="U4076" s="76">
        <f t="shared" si="1480"/>
        <v>1.1024</v>
      </c>
    </row>
    <row r="4077" spans="1:21" x14ac:dyDescent="0.25">
      <c r="A4077" s="71">
        <v>27</v>
      </c>
      <c r="B4077" s="72">
        <f t="shared" si="1481"/>
        <v>46447</v>
      </c>
      <c r="C4077" s="73">
        <f t="shared" si="1462"/>
        <v>46477</v>
      </c>
      <c r="D4077" s="67">
        <f t="shared" si="1463"/>
        <v>31</v>
      </c>
      <c r="E4077" s="67">
        <f t="shared" si="1464"/>
        <v>3</v>
      </c>
      <c r="F4077" s="74">
        <f t="shared" si="1465"/>
        <v>46462.5</v>
      </c>
      <c r="G4077" s="67">
        <f t="shared" si="1466"/>
        <v>24326</v>
      </c>
      <c r="H4077" s="75">
        <f t="shared" si="1467"/>
        <v>1</v>
      </c>
      <c r="I4077" s="76">
        <f t="shared" si="1468"/>
        <v>1.1024</v>
      </c>
      <c r="J4077" s="76">
        <f t="shared" si="1469"/>
        <v>1.1024</v>
      </c>
      <c r="K4077" s="67">
        <f t="shared" si="1470"/>
        <v>0</v>
      </c>
      <c r="L4077" s="67">
        <f t="shared" si="1471"/>
        <v>0</v>
      </c>
      <c r="M4077" s="77">
        <f t="shared" si="1472"/>
        <v>0</v>
      </c>
      <c r="N4077" s="76">
        <f t="shared" si="1473"/>
        <v>1.1024</v>
      </c>
      <c r="O4077" s="77">
        <f t="shared" si="1474"/>
        <v>0.87092997811816197</v>
      </c>
      <c r="P4077" s="76">
        <f t="shared" si="1475"/>
        <v>0</v>
      </c>
      <c r="Q4077" s="76">
        <f t="shared" si="1476"/>
        <v>1</v>
      </c>
      <c r="R4077" s="76">
        <f t="shared" si="1477"/>
        <v>0</v>
      </c>
      <c r="S4077" s="76">
        <f t="shared" si="1478"/>
        <v>1.1295449504440729</v>
      </c>
      <c r="T4077" s="76">
        <f t="shared" si="1479"/>
        <v>1.0362919294632515</v>
      </c>
      <c r="U4077" s="76">
        <f t="shared" si="1480"/>
        <v>1.1024</v>
      </c>
    </row>
    <row r="4078" spans="1:21" x14ac:dyDescent="0.25">
      <c r="A4078" s="71">
        <v>28</v>
      </c>
      <c r="B4078" s="72">
        <f t="shared" si="1481"/>
        <v>46478</v>
      </c>
      <c r="C4078" s="73">
        <f t="shared" si="1462"/>
        <v>46507</v>
      </c>
      <c r="D4078" s="67">
        <f t="shared" si="1463"/>
        <v>30</v>
      </c>
      <c r="E4078" s="67">
        <f t="shared" si="1464"/>
        <v>4</v>
      </c>
      <c r="F4078" s="74">
        <f t="shared" si="1465"/>
        <v>46493</v>
      </c>
      <c r="G4078" s="67">
        <f t="shared" si="1466"/>
        <v>24327</v>
      </c>
      <c r="H4078" s="75">
        <f t="shared" si="1467"/>
        <v>1</v>
      </c>
      <c r="I4078" s="76">
        <f t="shared" si="1468"/>
        <v>1.1024</v>
      </c>
      <c r="J4078" s="76">
        <f t="shared" si="1469"/>
        <v>1.1575200000000001</v>
      </c>
      <c r="K4078" s="67">
        <f t="shared" si="1470"/>
        <v>1</v>
      </c>
      <c r="L4078" s="67">
        <f t="shared" si="1471"/>
        <v>30</v>
      </c>
      <c r="M4078" s="77">
        <f t="shared" si="1472"/>
        <v>1</v>
      </c>
      <c r="N4078" s="76">
        <f t="shared" si="1473"/>
        <v>1.1575200000000001</v>
      </c>
      <c r="O4078" s="77">
        <f t="shared" si="1474"/>
        <v>0.87293216630196935</v>
      </c>
      <c r="P4078" s="76">
        <f t="shared" si="1475"/>
        <v>0</v>
      </c>
      <c r="Q4078" s="76">
        <f t="shared" si="1476"/>
        <v>1</v>
      </c>
      <c r="R4078" s="76">
        <f t="shared" si="1477"/>
        <v>0</v>
      </c>
      <c r="S4078" s="76">
        <f t="shared" si="1478"/>
        <v>1.1887487542798303</v>
      </c>
      <c r="T4078" s="76">
        <f t="shared" si="1479"/>
        <v>1.0387416655940276</v>
      </c>
      <c r="U4078" s="76">
        <f t="shared" si="1480"/>
        <v>1.1575200000000001</v>
      </c>
    </row>
    <row r="4079" spans="1:21" x14ac:dyDescent="0.25">
      <c r="A4079" s="71">
        <v>29</v>
      </c>
      <c r="B4079" s="72">
        <f t="shared" si="1481"/>
        <v>46508</v>
      </c>
      <c r="C4079" s="73">
        <f t="shared" si="1462"/>
        <v>46538</v>
      </c>
      <c r="D4079" s="67">
        <f t="shared" si="1463"/>
        <v>31</v>
      </c>
      <c r="E4079" s="67">
        <f t="shared" si="1464"/>
        <v>5</v>
      </c>
      <c r="F4079" s="74">
        <f t="shared" si="1465"/>
        <v>46523.5</v>
      </c>
      <c r="G4079" s="67">
        <f t="shared" si="1466"/>
        <v>24328</v>
      </c>
      <c r="H4079" s="75">
        <f t="shared" si="1467"/>
        <v>1</v>
      </c>
      <c r="I4079" s="76">
        <f t="shared" si="1468"/>
        <v>1.1575200000000001</v>
      </c>
      <c r="J4079" s="76">
        <f t="shared" si="1469"/>
        <v>1.1575200000000001</v>
      </c>
      <c r="K4079" s="67">
        <f t="shared" si="1470"/>
        <v>0</v>
      </c>
      <c r="L4079" s="67">
        <f t="shared" si="1471"/>
        <v>0</v>
      </c>
      <c r="M4079" s="77">
        <f t="shared" si="1472"/>
        <v>0</v>
      </c>
      <c r="N4079" s="76">
        <f t="shared" si="1473"/>
        <v>1.1575200000000001</v>
      </c>
      <c r="O4079" s="77">
        <f t="shared" si="1474"/>
        <v>0.87493435448577683</v>
      </c>
      <c r="P4079" s="76">
        <f t="shared" si="1475"/>
        <v>0</v>
      </c>
      <c r="Q4079" s="76">
        <f t="shared" si="1476"/>
        <v>1</v>
      </c>
      <c r="R4079" s="76">
        <f t="shared" si="1477"/>
        <v>0</v>
      </c>
      <c r="S4079" s="76">
        <f t="shared" si="1478"/>
        <v>1.191475310593384</v>
      </c>
      <c r="T4079" s="76">
        <f t="shared" si="1479"/>
        <v>1.0411914017248036</v>
      </c>
      <c r="U4079" s="76">
        <f t="shared" si="1480"/>
        <v>1.1575200000000001</v>
      </c>
    </row>
    <row r="4080" spans="1:21" x14ac:dyDescent="0.25">
      <c r="A4080" s="71">
        <v>30</v>
      </c>
      <c r="B4080" s="72">
        <f t="shared" si="1481"/>
        <v>46539</v>
      </c>
      <c r="C4080" s="73">
        <f t="shared" si="1462"/>
        <v>46568</v>
      </c>
      <c r="D4080" s="67">
        <f t="shared" si="1463"/>
        <v>30</v>
      </c>
      <c r="E4080" s="67">
        <f t="shared" si="1464"/>
        <v>6</v>
      </c>
      <c r="F4080" s="74">
        <f t="shared" si="1465"/>
        <v>46554</v>
      </c>
      <c r="G4080" s="67">
        <f t="shared" si="1466"/>
        <v>24329</v>
      </c>
      <c r="H4080" s="75">
        <f t="shared" si="1467"/>
        <v>1</v>
      </c>
      <c r="I4080" s="76">
        <f t="shared" si="1468"/>
        <v>1.1575200000000001</v>
      </c>
      <c r="J4080" s="76">
        <f t="shared" si="1469"/>
        <v>1.1575200000000001</v>
      </c>
      <c r="K4080" s="67">
        <f t="shared" si="1470"/>
        <v>0</v>
      </c>
      <c r="L4080" s="67">
        <f t="shared" si="1471"/>
        <v>0</v>
      </c>
      <c r="M4080" s="77">
        <f t="shared" si="1472"/>
        <v>0</v>
      </c>
      <c r="N4080" s="76">
        <f t="shared" si="1473"/>
        <v>1.1575200000000001</v>
      </c>
      <c r="O4080" s="77">
        <f t="shared" si="1474"/>
        <v>0.87693654266958421</v>
      </c>
      <c r="P4080" s="76">
        <f t="shared" si="1475"/>
        <v>0</v>
      </c>
      <c r="Q4080" s="76">
        <f t="shared" si="1476"/>
        <v>1</v>
      </c>
      <c r="R4080" s="76">
        <f t="shared" si="1477"/>
        <v>0</v>
      </c>
      <c r="S4080" s="76">
        <f t="shared" si="1478"/>
        <v>1.1942018669069379</v>
      </c>
      <c r="T4080" s="76">
        <f t="shared" si="1479"/>
        <v>1.0436411378555797</v>
      </c>
      <c r="U4080" s="76">
        <f t="shared" si="1480"/>
        <v>1.1575200000000001</v>
      </c>
    </row>
    <row r="4081" spans="1:21" x14ac:dyDescent="0.25">
      <c r="A4081" s="71">
        <v>31</v>
      </c>
      <c r="B4081" s="72">
        <f t="shared" si="1481"/>
        <v>46569</v>
      </c>
      <c r="C4081" s="73">
        <f t="shared" si="1462"/>
        <v>46599</v>
      </c>
      <c r="D4081" s="67">
        <f t="shared" si="1463"/>
        <v>31</v>
      </c>
      <c r="E4081" s="67">
        <f t="shared" si="1464"/>
        <v>7</v>
      </c>
      <c r="F4081" s="74">
        <f t="shared" si="1465"/>
        <v>46584.5</v>
      </c>
      <c r="G4081" s="67">
        <f t="shared" si="1466"/>
        <v>24330</v>
      </c>
      <c r="H4081" s="75">
        <f t="shared" si="1467"/>
        <v>1</v>
      </c>
      <c r="I4081" s="76">
        <f t="shared" si="1468"/>
        <v>1.1575200000000001</v>
      </c>
      <c r="J4081" s="76">
        <f t="shared" si="1469"/>
        <v>1.1575200000000001</v>
      </c>
      <c r="K4081" s="67">
        <f t="shared" si="1470"/>
        <v>0</v>
      </c>
      <c r="L4081" s="67">
        <f t="shared" si="1471"/>
        <v>0</v>
      </c>
      <c r="M4081" s="77">
        <f t="shared" si="1472"/>
        <v>0</v>
      </c>
      <c r="N4081" s="76">
        <f t="shared" si="1473"/>
        <v>1.1575200000000001</v>
      </c>
      <c r="O4081" s="77">
        <f t="shared" si="1474"/>
        <v>0.87893873085339169</v>
      </c>
      <c r="P4081" s="76">
        <f t="shared" si="1475"/>
        <v>0</v>
      </c>
      <c r="Q4081" s="76">
        <f t="shared" si="1476"/>
        <v>0.91666666666666663</v>
      </c>
      <c r="R4081" s="76">
        <f t="shared" si="1477"/>
        <v>8.333333333333337E-2</v>
      </c>
      <c r="S4081" s="76">
        <f t="shared" si="1478"/>
        <v>1.1969284232204918</v>
      </c>
      <c r="T4081" s="76">
        <f t="shared" si="1479"/>
        <v>1.1088563264255376</v>
      </c>
      <c r="U4081" s="76">
        <f t="shared" si="1480"/>
        <v>1.1575200000000001</v>
      </c>
    </row>
    <row r="4082" spans="1:21" x14ac:dyDescent="0.25">
      <c r="A4082" s="71">
        <v>32</v>
      </c>
      <c r="B4082" s="72">
        <f t="shared" si="1481"/>
        <v>46600</v>
      </c>
      <c r="C4082" s="73">
        <f t="shared" si="1462"/>
        <v>46630</v>
      </c>
      <c r="D4082" s="67">
        <f t="shared" si="1463"/>
        <v>31</v>
      </c>
      <c r="E4082" s="67">
        <f t="shared" si="1464"/>
        <v>8</v>
      </c>
      <c r="F4082" s="74">
        <f t="shared" si="1465"/>
        <v>46615.5</v>
      </c>
      <c r="G4082" s="67">
        <f t="shared" si="1466"/>
        <v>24331</v>
      </c>
      <c r="H4082" s="75">
        <f t="shared" si="1467"/>
        <v>1</v>
      </c>
      <c r="I4082" s="76">
        <f t="shared" si="1468"/>
        <v>1.1575200000000001</v>
      </c>
      <c r="J4082" s="76">
        <f t="shared" si="1469"/>
        <v>1.1575200000000001</v>
      </c>
      <c r="K4082" s="67">
        <f t="shared" si="1470"/>
        <v>0</v>
      </c>
      <c r="L4082" s="67">
        <f t="shared" si="1471"/>
        <v>0</v>
      </c>
      <c r="M4082" s="77">
        <f t="shared" si="1472"/>
        <v>0</v>
      </c>
      <c r="N4082" s="76">
        <f t="shared" si="1473"/>
        <v>1.1575200000000001</v>
      </c>
      <c r="O4082" s="77">
        <f t="shared" si="1474"/>
        <v>0.88097374179431076</v>
      </c>
      <c r="P4082" s="76">
        <f t="shared" si="1475"/>
        <v>0</v>
      </c>
      <c r="Q4082" s="76">
        <f t="shared" si="1476"/>
        <v>0.75</v>
      </c>
      <c r="R4082" s="76">
        <f t="shared" si="1477"/>
        <v>0.25</v>
      </c>
      <c r="S4082" s="76">
        <f t="shared" si="1478"/>
        <v>1.1996996771785302</v>
      </c>
      <c r="T4082" s="76">
        <f t="shared" si="1479"/>
        <v>1.1114956159093834</v>
      </c>
      <c r="U4082" s="76">
        <f t="shared" si="1480"/>
        <v>1.1575200000000001</v>
      </c>
    </row>
    <row r="4083" spans="1:21" x14ac:dyDescent="0.25">
      <c r="A4083" s="71">
        <v>33</v>
      </c>
      <c r="B4083" s="72">
        <f t="shared" si="1481"/>
        <v>46631</v>
      </c>
      <c r="C4083" s="73">
        <f t="shared" si="1462"/>
        <v>46660</v>
      </c>
      <c r="D4083" s="67">
        <f t="shared" si="1463"/>
        <v>30</v>
      </c>
      <c r="E4083" s="67">
        <f t="shared" si="1464"/>
        <v>9</v>
      </c>
      <c r="F4083" s="74">
        <f t="shared" si="1465"/>
        <v>46646</v>
      </c>
      <c r="G4083" s="67">
        <f t="shared" si="1466"/>
        <v>24332</v>
      </c>
      <c r="H4083" s="75">
        <f t="shared" si="1467"/>
        <v>1</v>
      </c>
      <c r="I4083" s="76">
        <f t="shared" si="1468"/>
        <v>1.1575200000000001</v>
      </c>
      <c r="J4083" s="76">
        <f t="shared" si="1469"/>
        <v>1.1575200000000001</v>
      </c>
      <c r="K4083" s="67">
        <f t="shared" si="1470"/>
        <v>0</v>
      </c>
      <c r="L4083" s="67">
        <f t="shared" si="1471"/>
        <v>0</v>
      </c>
      <c r="M4083" s="77">
        <f t="shared" si="1472"/>
        <v>0</v>
      </c>
      <c r="N4083" s="76">
        <f t="shared" si="1473"/>
        <v>1.1575200000000001</v>
      </c>
      <c r="O4083" s="77">
        <f t="shared" si="1474"/>
        <v>0.88297592997811813</v>
      </c>
      <c r="P4083" s="76">
        <f t="shared" si="1475"/>
        <v>0</v>
      </c>
      <c r="Q4083" s="76">
        <f t="shared" si="1476"/>
        <v>0.58333333333333337</v>
      </c>
      <c r="R4083" s="76">
        <f t="shared" si="1477"/>
        <v>0.41666666666666663</v>
      </c>
      <c r="S4083" s="76">
        <f t="shared" si="1478"/>
        <v>1.2024262334920839</v>
      </c>
      <c r="T4083" s="76">
        <f t="shared" si="1479"/>
        <v>1.1140923362080062</v>
      </c>
      <c r="U4083" s="76">
        <f t="shared" si="1480"/>
        <v>1.1575200000000001</v>
      </c>
    </row>
    <row r="4084" spans="1:21" x14ac:dyDescent="0.25">
      <c r="A4084" s="71">
        <v>34</v>
      </c>
      <c r="B4084" s="72">
        <f t="shared" si="1481"/>
        <v>46661</v>
      </c>
      <c r="C4084" s="73">
        <f t="shared" si="1462"/>
        <v>46691</v>
      </c>
      <c r="D4084" s="67">
        <f t="shared" si="1463"/>
        <v>31</v>
      </c>
      <c r="E4084" s="67">
        <f t="shared" si="1464"/>
        <v>10</v>
      </c>
      <c r="F4084" s="74">
        <f t="shared" si="1465"/>
        <v>46676.5</v>
      </c>
      <c r="G4084" s="67">
        <f t="shared" si="1466"/>
        <v>24333</v>
      </c>
      <c r="H4084" s="75">
        <f t="shared" si="1467"/>
        <v>1</v>
      </c>
      <c r="I4084" s="76">
        <f t="shared" si="1468"/>
        <v>1.1575200000000001</v>
      </c>
      <c r="J4084" s="76">
        <f t="shared" si="1469"/>
        <v>1.1575200000000001</v>
      </c>
      <c r="K4084" s="67">
        <f t="shared" si="1470"/>
        <v>0</v>
      </c>
      <c r="L4084" s="67">
        <f t="shared" si="1471"/>
        <v>0</v>
      </c>
      <c r="M4084" s="77">
        <f t="shared" si="1472"/>
        <v>0</v>
      </c>
      <c r="N4084" s="76">
        <f t="shared" si="1473"/>
        <v>1.1575200000000001</v>
      </c>
      <c r="O4084" s="77">
        <f t="shared" si="1474"/>
        <v>0.88497811816192562</v>
      </c>
      <c r="P4084" s="76">
        <f t="shared" si="1475"/>
        <v>0</v>
      </c>
      <c r="Q4084" s="76">
        <f t="shared" si="1476"/>
        <v>0.41666666666666669</v>
      </c>
      <c r="R4084" s="76">
        <f t="shared" si="1477"/>
        <v>0.58333333333333326</v>
      </c>
      <c r="S4084" s="76">
        <f t="shared" si="1478"/>
        <v>1.205152789805638</v>
      </c>
      <c r="T4084" s="76">
        <f t="shared" si="1479"/>
        <v>1.116689056506629</v>
      </c>
      <c r="U4084" s="76">
        <f t="shared" si="1480"/>
        <v>1.1575200000000001</v>
      </c>
    </row>
    <row r="4085" spans="1:21" x14ac:dyDescent="0.25">
      <c r="A4085" s="71">
        <v>35</v>
      </c>
      <c r="B4085" s="72">
        <f t="shared" si="1481"/>
        <v>46692</v>
      </c>
      <c r="C4085" s="73">
        <f t="shared" si="1462"/>
        <v>46721</v>
      </c>
      <c r="D4085" s="67">
        <f t="shared" si="1463"/>
        <v>30</v>
      </c>
      <c r="E4085" s="67">
        <f t="shared" si="1464"/>
        <v>11</v>
      </c>
      <c r="F4085" s="74">
        <f t="shared" si="1465"/>
        <v>46707</v>
      </c>
      <c r="G4085" s="67">
        <f t="shared" si="1466"/>
        <v>24334</v>
      </c>
      <c r="H4085" s="75">
        <f t="shared" si="1467"/>
        <v>1</v>
      </c>
      <c r="I4085" s="76">
        <f t="shared" si="1468"/>
        <v>1.1575200000000001</v>
      </c>
      <c r="J4085" s="76">
        <f t="shared" si="1469"/>
        <v>1.1575200000000001</v>
      </c>
      <c r="K4085" s="67">
        <f t="shared" si="1470"/>
        <v>0</v>
      </c>
      <c r="L4085" s="67">
        <f t="shared" si="1471"/>
        <v>0</v>
      </c>
      <c r="M4085" s="77">
        <f t="shared" si="1472"/>
        <v>0</v>
      </c>
      <c r="N4085" s="76">
        <f t="shared" si="1473"/>
        <v>1.1575200000000001</v>
      </c>
      <c r="O4085" s="77">
        <f t="shared" si="1474"/>
        <v>0.8869803063457331</v>
      </c>
      <c r="P4085" s="76">
        <f t="shared" si="1475"/>
        <v>0</v>
      </c>
      <c r="Q4085" s="76">
        <f t="shared" si="1476"/>
        <v>0.25</v>
      </c>
      <c r="R4085" s="76">
        <f t="shared" si="1477"/>
        <v>0.75</v>
      </c>
      <c r="S4085" s="76">
        <f t="shared" si="1478"/>
        <v>1.2078793461191919</v>
      </c>
      <c r="T4085" s="76">
        <f t="shared" si="1479"/>
        <v>1.1192857768052518</v>
      </c>
      <c r="U4085" s="76">
        <f t="shared" si="1480"/>
        <v>1.1575200000000001</v>
      </c>
    </row>
    <row r="4086" spans="1:21" x14ac:dyDescent="0.25">
      <c r="A4086" s="71">
        <v>36</v>
      </c>
      <c r="B4086" s="72">
        <f t="shared" si="1481"/>
        <v>46722</v>
      </c>
      <c r="C4086" s="73">
        <f t="shared" si="1462"/>
        <v>46752</v>
      </c>
      <c r="D4086" s="67">
        <f t="shared" si="1463"/>
        <v>31</v>
      </c>
      <c r="E4086" s="67">
        <f t="shared" si="1464"/>
        <v>12</v>
      </c>
      <c r="F4086" s="74">
        <f t="shared" si="1465"/>
        <v>46737.5</v>
      </c>
      <c r="G4086" s="67">
        <f t="shared" si="1466"/>
        <v>24335</v>
      </c>
      <c r="H4086" s="75">
        <f t="shared" si="1467"/>
        <v>1</v>
      </c>
      <c r="I4086" s="76">
        <f t="shared" si="1468"/>
        <v>1.1575200000000001</v>
      </c>
      <c r="J4086" s="76">
        <f t="shared" si="1469"/>
        <v>1.1575200000000001</v>
      </c>
      <c r="K4086" s="67">
        <f t="shared" si="1470"/>
        <v>0</v>
      </c>
      <c r="L4086" s="67">
        <f t="shared" si="1471"/>
        <v>0</v>
      </c>
      <c r="M4086" s="77">
        <f t="shared" si="1472"/>
        <v>0</v>
      </c>
      <c r="N4086" s="76">
        <f t="shared" si="1473"/>
        <v>1.1575200000000001</v>
      </c>
      <c r="O4086" s="77">
        <f t="shared" si="1474"/>
        <v>0.88898249452954048</v>
      </c>
      <c r="P4086" s="76">
        <f t="shared" si="1475"/>
        <v>0</v>
      </c>
      <c r="Q4086" s="76">
        <f t="shared" si="1476"/>
        <v>8.3333333333333329E-2</v>
      </c>
      <c r="R4086" s="76">
        <f t="shared" si="1477"/>
        <v>0.91666666666666663</v>
      </c>
      <c r="S4086" s="76">
        <f t="shared" si="1478"/>
        <v>1.2106059024327456</v>
      </c>
      <c r="T4086" s="76">
        <f t="shared" si="1479"/>
        <v>1.1218824971038743</v>
      </c>
      <c r="U4086" s="76">
        <f t="shared" si="1480"/>
        <v>1.1575200000000001</v>
      </c>
    </row>
    <row r="4087" spans="1:21" x14ac:dyDescent="0.25">
      <c r="A4087" s="71">
        <v>37</v>
      </c>
      <c r="B4087" s="72">
        <f t="shared" si="1481"/>
        <v>46753</v>
      </c>
      <c r="C4087" s="73">
        <f t="shared" si="1462"/>
        <v>46783</v>
      </c>
      <c r="D4087" s="67">
        <f t="shared" si="1463"/>
        <v>31</v>
      </c>
      <c r="E4087" s="67">
        <f t="shared" si="1464"/>
        <v>1</v>
      </c>
      <c r="F4087" s="74">
        <f t="shared" si="1465"/>
        <v>46768.5</v>
      </c>
      <c r="G4087" s="67">
        <f t="shared" si="1466"/>
        <v>24336</v>
      </c>
      <c r="H4087" s="75">
        <f t="shared" si="1467"/>
        <v>1</v>
      </c>
      <c r="I4087" s="76">
        <f t="shared" si="1468"/>
        <v>1.1575200000000001</v>
      </c>
      <c r="J4087" s="76">
        <f t="shared" si="1469"/>
        <v>1.1575200000000001</v>
      </c>
      <c r="K4087" s="67">
        <f t="shared" si="1470"/>
        <v>0</v>
      </c>
      <c r="L4087" s="67">
        <f t="shared" si="1471"/>
        <v>0</v>
      </c>
      <c r="M4087" s="77">
        <f t="shared" si="1472"/>
        <v>0</v>
      </c>
      <c r="N4087" s="76">
        <f t="shared" si="1473"/>
        <v>1.1575200000000001</v>
      </c>
      <c r="O4087" s="77">
        <f t="shared" si="1474"/>
        <v>0.89</v>
      </c>
      <c r="P4087" s="76">
        <f t="shared" si="1475"/>
        <v>0</v>
      </c>
      <c r="Q4087" s="76">
        <f t="shared" si="1476"/>
        <v>0</v>
      </c>
      <c r="R4087" s="76">
        <f t="shared" si="1477"/>
        <v>1</v>
      </c>
      <c r="S4087" s="76">
        <f t="shared" si="1478"/>
        <v>1.2119915294117649</v>
      </c>
      <c r="T4087" s="76">
        <f t="shared" si="1479"/>
        <v>1.031553095636504</v>
      </c>
      <c r="U4087" s="76">
        <f t="shared" si="1480"/>
        <v>1.1575200000000001</v>
      </c>
    </row>
    <row r="4088" spans="1:21" x14ac:dyDescent="0.25">
      <c r="A4088" s="71">
        <v>38</v>
      </c>
      <c r="B4088" s="72">
        <f t="shared" si="1481"/>
        <v>46784</v>
      </c>
      <c r="C4088" s="73">
        <f t="shared" si="1462"/>
        <v>46812</v>
      </c>
      <c r="D4088" s="67">
        <f t="shared" si="1463"/>
        <v>29</v>
      </c>
      <c r="E4088" s="67">
        <f t="shared" si="1464"/>
        <v>2</v>
      </c>
      <c r="F4088" s="74">
        <f t="shared" si="1465"/>
        <v>46798.5</v>
      </c>
      <c r="G4088" s="67">
        <f t="shared" si="1466"/>
        <v>24337</v>
      </c>
      <c r="H4088" s="75">
        <f t="shared" si="1467"/>
        <v>1</v>
      </c>
      <c r="I4088" s="76">
        <f t="shared" si="1468"/>
        <v>1.1575200000000001</v>
      </c>
      <c r="J4088" s="76">
        <f t="shared" si="1469"/>
        <v>1.1575200000000001</v>
      </c>
      <c r="K4088" s="67">
        <f t="shared" si="1470"/>
        <v>0</v>
      </c>
      <c r="L4088" s="67">
        <f t="shared" si="1471"/>
        <v>0</v>
      </c>
      <c r="M4088" s="77">
        <f t="shared" si="1472"/>
        <v>0</v>
      </c>
      <c r="N4088" s="76">
        <f t="shared" si="1473"/>
        <v>1.1575200000000001</v>
      </c>
      <c r="O4088" s="77">
        <f t="shared" si="1474"/>
        <v>0.89</v>
      </c>
      <c r="P4088" s="76">
        <f t="shared" si="1475"/>
        <v>0</v>
      </c>
      <c r="Q4088" s="76">
        <f t="shared" si="1476"/>
        <v>0</v>
      </c>
      <c r="R4088" s="76">
        <f t="shared" si="1477"/>
        <v>1</v>
      </c>
      <c r="S4088" s="76">
        <f t="shared" si="1478"/>
        <v>1.2119915294117649</v>
      </c>
      <c r="T4088" s="76">
        <f t="shared" si="1479"/>
        <v>1.0339225125498777</v>
      </c>
      <c r="U4088" s="76">
        <f t="shared" si="1480"/>
        <v>1.1575200000000001</v>
      </c>
    </row>
    <row r="4089" spans="1:21" x14ac:dyDescent="0.25">
      <c r="A4089" s="71">
        <v>39</v>
      </c>
      <c r="B4089" s="72">
        <f t="shared" si="1481"/>
        <v>46813</v>
      </c>
      <c r="C4089" s="73">
        <f t="shared" si="1462"/>
        <v>46843</v>
      </c>
      <c r="D4089" s="67">
        <f t="shared" si="1463"/>
        <v>31</v>
      </c>
      <c r="E4089" s="67">
        <f t="shared" si="1464"/>
        <v>3</v>
      </c>
      <c r="F4089" s="74">
        <f t="shared" si="1465"/>
        <v>46828.5</v>
      </c>
      <c r="G4089" s="67">
        <f t="shared" si="1466"/>
        <v>24338</v>
      </c>
      <c r="H4089" s="75">
        <f t="shared" si="1467"/>
        <v>1</v>
      </c>
      <c r="I4089" s="76">
        <f t="shared" si="1468"/>
        <v>1.1575200000000001</v>
      </c>
      <c r="J4089" s="76">
        <f t="shared" si="1469"/>
        <v>1.1575200000000001</v>
      </c>
      <c r="K4089" s="67">
        <f t="shared" si="1470"/>
        <v>0</v>
      </c>
      <c r="L4089" s="67">
        <f t="shared" si="1471"/>
        <v>0</v>
      </c>
      <c r="M4089" s="77">
        <f t="shared" si="1472"/>
        <v>0</v>
      </c>
      <c r="N4089" s="76">
        <f t="shared" si="1473"/>
        <v>1.1575200000000001</v>
      </c>
      <c r="O4089" s="77">
        <f t="shared" si="1474"/>
        <v>0.89</v>
      </c>
      <c r="P4089" s="76">
        <f t="shared" si="1475"/>
        <v>0</v>
      </c>
      <c r="Q4089" s="76">
        <f t="shared" si="1476"/>
        <v>0</v>
      </c>
      <c r="R4089" s="76">
        <f t="shared" si="1477"/>
        <v>1</v>
      </c>
      <c r="S4089" s="76">
        <f t="shared" si="1478"/>
        <v>1.2119915294117649</v>
      </c>
      <c r="T4089" s="76">
        <f t="shared" si="1479"/>
        <v>1.0362919294632515</v>
      </c>
      <c r="U4089" s="76">
        <f t="shared" si="1480"/>
        <v>1.1575200000000001</v>
      </c>
    </row>
    <row r="4090" spans="1:21" x14ac:dyDescent="0.25">
      <c r="A4090" s="71">
        <v>40</v>
      </c>
      <c r="B4090" s="72">
        <f t="shared" si="1481"/>
        <v>46844</v>
      </c>
      <c r="C4090" s="73">
        <f t="shared" si="1462"/>
        <v>46873</v>
      </c>
      <c r="D4090" s="67">
        <f t="shared" si="1463"/>
        <v>30</v>
      </c>
      <c r="E4090" s="67">
        <f t="shared" si="1464"/>
        <v>4</v>
      </c>
      <c r="F4090" s="74">
        <f t="shared" si="1465"/>
        <v>46859</v>
      </c>
      <c r="G4090" s="67">
        <f t="shared" si="1466"/>
        <v>24339</v>
      </c>
      <c r="H4090" s="75">
        <f t="shared" si="1467"/>
        <v>1</v>
      </c>
      <c r="I4090" s="76">
        <f t="shared" si="1468"/>
        <v>1.1575200000000001</v>
      </c>
      <c r="J4090" s="76">
        <f t="shared" si="1469"/>
        <v>1.1575200000000001</v>
      </c>
      <c r="K4090" s="67">
        <f t="shared" si="1470"/>
        <v>0</v>
      </c>
      <c r="L4090" s="67">
        <f t="shared" si="1471"/>
        <v>0</v>
      </c>
      <c r="M4090" s="77">
        <f t="shared" si="1472"/>
        <v>0</v>
      </c>
      <c r="N4090" s="76">
        <f t="shared" si="1473"/>
        <v>1.1575200000000001</v>
      </c>
      <c r="O4090" s="77">
        <f t="shared" si="1474"/>
        <v>0.89</v>
      </c>
      <c r="P4090" s="76">
        <f t="shared" si="1475"/>
        <v>0</v>
      </c>
      <c r="Q4090" s="76">
        <f t="shared" si="1476"/>
        <v>0</v>
      </c>
      <c r="R4090" s="76">
        <f t="shared" si="1477"/>
        <v>1</v>
      </c>
      <c r="S4090" s="76">
        <f t="shared" si="1478"/>
        <v>1.2119915294117649</v>
      </c>
      <c r="T4090" s="76">
        <f t="shared" si="1479"/>
        <v>1.0387416655940276</v>
      </c>
      <c r="U4090" s="76">
        <f t="shared" si="1480"/>
        <v>1.1575200000000001</v>
      </c>
    </row>
    <row r="4091" spans="1:21" x14ac:dyDescent="0.25">
      <c r="A4091" s="71">
        <v>41</v>
      </c>
      <c r="B4091" s="72">
        <f t="shared" si="1481"/>
        <v>46874</v>
      </c>
      <c r="C4091" s="73">
        <f t="shared" si="1462"/>
        <v>46904</v>
      </c>
      <c r="D4091" s="67">
        <f t="shared" si="1463"/>
        <v>31</v>
      </c>
      <c r="E4091" s="67">
        <f t="shared" si="1464"/>
        <v>5</v>
      </c>
      <c r="F4091" s="74">
        <f t="shared" si="1465"/>
        <v>46889.5</v>
      </c>
      <c r="G4091" s="67">
        <f t="shared" si="1466"/>
        <v>24340</v>
      </c>
      <c r="H4091" s="75">
        <f t="shared" si="1467"/>
        <v>1</v>
      </c>
      <c r="I4091" s="76">
        <f t="shared" si="1468"/>
        <v>1.1575200000000001</v>
      </c>
      <c r="J4091" s="76">
        <f t="shared" si="1469"/>
        <v>1.1575200000000001</v>
      </c>
      <c r="K4091" s="67">
        <f t="shared" si="1470"/>
        <v>0</v>
      </c>
      <c r="L4091" s="67">
        <f t="shared" si="1471"/>
        <v>0</v>
      </c>
      <c r="M4091" s="77">
        <f t="shared" si="1472"/>
        <v>0</v>
      </c>
      <c r="N4091" s="76">
        <f t="shared" si="1473"/>
        <v>1.1575200000000001</v>
      </c>
      <c r="O4091" s="77">
        <f t="shared" si="1474"/>
        <v>0.89</v>
      </c>
      <c r="P4091" s="76">
        <f t="shared" si="1475"/>
        <v>0</v>
      </c>
      <c r="Q4091" s="76">
        <f t="shared" si="1476"/>
        <v>0</v>
      </c>
      <c r="R4091" s="76">
        <f t="shared" si="1477"/>
        <v>1</v>
      </c>
      <c r="S4091" s="76">
        <f t="shared" si="1478"/>
        <v>1.2119915294117649</v>
      </c>
      <c r="T4091" s="76">
        <f t="shared" si="1479"/>
        <v>1.0411914017248036</v>
      </c>
      <c r="U4091" s="76">
        <f t="shared" si="1480"/>
        <v>1.1575200000000001</v>
      </c>
    </row>
    <row r="4092" spans="1:21" x14ac:dyDescent="0.25">
      <c r="A4092" s="71">
        <v>42</v>
      </c>
      <c r="B4092" s="72">
        <f t="shared" si="1481"/>
        <v>46905</v>
      </c>
      <c r="C4092" s="73">
        <f t="shared" si="1462"/>
        <v>46934</v>
      </c>
      <c r="D4092" s="67">
        <f t="shared" si="1463"/>
        <v>30</v>
      </c>
      <c r="E4092" s="67">
        <f t="shared" si="1464"/>
        <v>6</v>
      </c>
      <c r="F4092" s="74">
        <f t="shared" si="1465"/>
        <v>46920</v>
      </c>
      <c r="G4092" s="67">
        <f t="shared" si="1466"/>
        <v>24341</v>
      </c>
      <c r="H4092" s="75">
        <f t="shared" si="1467"/>
        <v>1</v>
      </c>
      <c r="I4092" s="76">
        <f t="shared" si="1468"/>
        <v>1.1575200000000001</v>
      </c>
      <c r="J4092" s="76">
        <f t="shared" si="1469"/>
        <v>1.1575200000000001</v>
      </c>
      <c r="K4092" s="67">
        <f t="shared" si="1470"/>
        <v>0</v>
      </c>
      <c r="L4092" s="67">
        <f t="shared" si="1471"/>
        <v>0</v>
      </c>
      <c r="M4092" s="77">
        <f t="shared" si="1472"/>
        <v>0</v>
      </c>
      <c r="N4092" s="76">
        <f t="shared" si="1473"/>
        <v>1.1575200000000001</v>
      </c>
      <c r="O4092" s="77">
        <f t="shared" si="1474"/>
        <v>0.89</v>
      </c>
      <c r="P4092" s="76">
        <f t="shared" si="1475"/>
        <v>0</v>
      </c>
      <c r="Q4092" s="76">
        <f t="shared" si="1476"/>
        <v>0</v>
      </c>
      <c r="R4092" s="76">
        <f t="shared" si="1477"/>
        <v>1</v>
      </c>
      <c r="S4092" s="76">
        <f t="shared" si="1478"/>
        <v>1.2119915294117649</v>
      </c>
      <c r="T4092" s="76">
        <f t="shared" si="1479"/>
        <v>1.0436411378555797</v>
      </c>
      <c r="U4092" s="76">
        <f t="shared" si="1480"/>
        <v>1.1575200000000001</v>
      </c>
    </row>
    <row r="4093" spans="1:21" x14ac:dyDescent="0.25">
      <c r="A4093" s="71">
        <v>43</v>
      </c>
      <c r="B4093" s="72">
        <f t="shared" si="1481"/>
        <v>46935</v>
      </c>
      <c r="C4093" s="73">
        <f t="shared" si="1462"/>
        <v>46965</v>
      </c>
      <c r="D4093" s="67">
        <f t="shared" si="1463"/>
        <v>31</v>
      </c>
      <c r="E4093" s="67">
        <f t="shared" si="1464"/>
        <v>7</v>
      </c>
      <c r="F4093" s="74">
        <f t="shared" si="1465"/>
        <v>46950.5</v>
      </c>
      <c r="G4093" s="67">
        <f t="shared" si="1466"/>
        <v>24342</v>
      </c>
      <c r="H4093" s="75">
        <f t="shared" si="1467"/>
        <v>1</v>
      </c>
      <c r="I4093" s="76">
        <f t="shared" si="1468"/>
        <v>1.1575200000000001</v>
      </c>
      <c r="J4093" s="76">
        <f t="shared" si="1469"/>
        <v>1.1575200000000001</v>
      </c>
      <c r="K4093" s="67">
        <f t="shared" si="1470"/>
        <v>0</v>
      </c>
      <c r="L4093" s="67">
        <f t="shared" si="1471"/>
        <v>0</v>
      </c>
      <c r="M4093" s="77">
        <f t="shared" si="1472"/>
        <v>0</v>
      </c>
      <c r="N4093" s="76">
        <f t="shared" si="1473"/>
        <v>1.1575200000000001</v>
      </c>
      <c r="O4093" s="77">
        <f t="shared" si="1474"/>
        <v>0.89</v>
      </c>
      <c r="P4093" s="76">
        <f t="shared" si="1475"/>
        <v>0</v>
      </c>
      <c r="Q4093" s="76">
        <f t="shared" si="1476"/>
        <v>0</v>
      </c>
      <c r="R4093" s="76">
        <f t="shared" si="1477"/>
        <v>0.91666666666666663</v>
      </c>
      <c r="S4093" s="76">
        <f t="shared" si="1478"/>
        <v>1.2119915294117649</v>
      </c>
      <c r="T4093" s="76">
        <f t="shared" si="1479"/>
        <v>1.1088563264255376</v>
      </c>
      <c r="U4093" s="76">
        <f t="shared" si="1480"/>
        <v>1.1575200000000001</v>
      </c>
    </row>
    <row r="4094" spans="1:21" x14ac:dyDescent="0.25">
      <c r="A4094" s="71">
        <v>44</v>
      </c>
      <c r="B4094" s="72">
        <f t="shared" si="1481"/>
        <v>46966</v>
      </c>
      <c r="C4094" s="73">
        <f t="shared" si="1462"/>
        <v>46996</v>
      </c>
      <c r="D4094" s="67">
        <f t="shared" si="1463"/>
        <v>31</v>
      </c>
      <c r="E4094" s="67">
        <f t="shared" si="1464"/>
        <v>8</v>
      </c>
      <c r="F4094" s="74">
        <f t="shared" si="1465"/>
        <v>46981.5</v>
      </c>
      <c r="G4094" s="67">
        <f t="shared" si="1466"/>
        <v>24343</v>
      </c>
      <c r="H4094" s="75">
        <f t="shared" si="1467"/>
        <v>1</v>
      </c>
      <c r="I4094" s="76">
        <f t="shared" si="1468"/>
        <v>1.1575200000000001</v>
      </c>
      <c r="J4094" s="76">
        <f t="shared" si="1469"/>
        <v>1.1575200000000001</v>
      </c>
      <c r="K4094" s="67">
        <f t="shared" si="1470"/>
        <v>0</v>
      </c>
      <c r="L4094" s="67">
        <f t="shared" si="1471"/>
        <v>0</v>
      </c>
      <c r="M4094" s="77">
        <f t="shared" si="1472"/>
        <v>0</v>
      </c>
      <c r="N4094" s="76">
        <f t="shared" si="1473"/>
        <v>1.1575200000000001</v>
      </c>
      <c r="O4094" s="77">
        <f t="shared" si="1474"/>
        <v>0.89</v>
      </c>
      <c r="P4094" s="76">
        <f t="shared" si="1475"/>
        <v>0</v>
      </c>
      <c r="Q4094" s="76">
        <f t="shared" si="1476"/>
        <v>0</v>
      </c>
      <c r="R4094" s="76">
        <f t="shared" si="1477"/>
        <v>0.75</v>
      </c>
      <c r="S4094" s="76">
        <f t="shared" si="1478"/>
        <v>1.2119915294117649</v>
      </c>
      <c r="T4094" s="76">
        <f t="shared" si="1479"/>
        <v>1.1114956159093834</v>
      </c>
      <c r="U4094" s="76">
        <f t="shared" si="1480"/>
        <v>1.1575200000000001</v>
      </c>
    </row>
    <row r="4095" spans="1:21" x14ac:dyDescent="0.25">
      <c r="A4095" s="71">
        <v>45</v>
      </c>
      <c r="B4095" s="72">
        <f t="shared" si="1481"/>
        <v>46997</v>
      </c>
      <c r="C4095" s="73">
        <f t="shared" si="1462"/>
        <v>47026</v>
      </c>
      <c r="D4095" s="67">
        <f t="shared" si="1463"/>
        <v>30</v>
      </c>
      <c r="E4095" s="67">
        <f t="shared" si="1464"/>
        <v>9</v>
      </c>
      <c r="F4095" s="74">
        <f t="shared" si="1465"/>
        <v>47012</v>
      </c>
      <c r="G4095" s="67">
        <f t="shared" si="1466"/>
        <v>24344</v>
      </c>
      <c r="H4095" s="75">
        <f t="shared" si="1467"/>
        <v>1</v>
      </c>
      <c r="I4095" s="76">
        <f t="shared" si="1468"/>
        <v>1.1575200000000001</v>
      </c>
      <c r="J4095" s="76">
        <f t="shared" si="1469"/>
        <v>1.1575200000000001</v>
      </c>
      <c r="K4095" s="67">
        <f t="shared" si="1470"/>
        <v>0</v>
      </c>
      <c r="L4095" s="67">
        <f t="shared" si="1471"/>
        <v>0</v>
      </c>
      <c r="M4095" s="77">
        <f t="shared" si="1472"/>
        <v>0</v>
      </c>
      <c r="N4095" s="76">
        <f t="shared" si="1473"/>
        <v>1.1575200000000001</v>
      </c>
      <c r="O4095" s="77">
        <f t="shared" si="1474"/>
        <v>0.89</v>
      </c>
      <c r="P4095" s="76">
        <f t="shared" si="1475"/>
        <v>0</v>
      </c>
      <c r="Q4095" s="76">
        <f t="shared" si="1476"/>
        <v>0</v>
      </c>
      <c r="R4095" s="76">
        <f t="shared" si="1477"/>
        <v>0.58333333333333337</v>
      </c>
      <c r="S4095" s="76">
        <f t="shared" si="1478"/>
        <v>1.2119915294117649</v>
      </c>
      <c r="T4095" s="76">
        <f t="shared" si="1479"/>
        <v>1.1140923362080062</v>
      </c>
      <c r="U4095" s="76">
        <f t="shared" si="1480"/>
        <v>1.1575200000000001</v>
      </c>
    </row>
    <row r="4096" spans="1:21" x14ac:dyDescent="0.25">
      <c r="A4096" s="71">
        <v>46</v>
      </c>
      <c r="B4096" s="72">
        <f t="shared" si="1481"/>
        <v>47027</v>
      </c>
      <c r="C4096" s="73">
        <f t="shared" si="1462"/>
        <v>47057</v>
      </c>
      <c r="D4096" s="67">
        <f t="shared" si="1463"/>
        <v>31</v>
      </c>
      <c r="E4096" s="67">
        <f t="shared" si="1464"/>
        <v>10</v>
      </c>
      <c r="F4096" s="74">
        <f t="shared" si="1465"/>
        <v>47042.5</v>
      </c>
      <c r="G4096" s="67">
        <f t="shared" si="1466"/>
        <v>24345</v>
      </c>
      <c r="H4096" s="75">
        <f t="shared" si="1467"/>
        <v>1</v>
      </c>
      <c r="I4096" s="76">
        <f t="shared" si="1468"/>
        <v>1.1575200000000001</v>
      </c>
      <c r="J4096" s="76">
        <f t="shared" si="1469"/>
        <v>1.1575200000000001</v>
      </c>
      <c r="K4096" s="67">
        <f t="shared" si="1470"/>
        <v>0</v>
      </c>
      <c r="L4096" s="67">
        <f t="shared" si="1471"/>
        <v>0</v>
      </c>
      <c r="M4096" s="77">
        <f t="shared" si="1472"/>
        <v>0</v>
      </c>
      <c r="N4096" s="76">
        <f t="shared" si="1473"/>
        <v>1.1575200000000001</v>
      </c>
      <c r="O4096" s="77">
        <f t="shared" si="1474"/>
        <v>0.89</v>
      </c>
      <c r="P4096" s="76">
        <f t="shared" si="1475"/>
        <v>0</v>
      </c>
      <c r="Q4096" s="76">
        <f t="shared" si="1476"/>
        <v>0</v>
      </c>
      <c r="R4096" s="76">
        <f t="shared" si="1477"/>
        <v>0.41666666666666669</v>
      </c>
      <c r="S4096" s="76">
        <f t="shared" si="1478"/>
        <v>1.2119915294117649</v>
      </c>
      <c r="T4096" s="76">
        <f t="shared" si="1479"/>
        <v>1.116689056506629</v>
      </c>
      <c r="U4096" s="76">
        <f t="shared" si="1480"/>
        <v>1.1575200000000001</v>
      </c>
    </row>
    <row r="4097" spans="1:21" x14ac:dyDescent="0.25">
      <c r="A4097" s="71">
        <v>47</v>
      </c>
      <c r="B4097" s="72">
        <f t="shared" si="1481"/>
        <v>47058</v>
      </c>
      <c r="C4097" s="73">
        <f t="shared" si="1462"/>
        <v>47087</v>
      </c>
      <c r="D4097" s="67">
        <f t="shared" si="1463"/>
        <v>30</v>
      </c>
      <c r="E4097" s="67">
        <f t="shared" si="1464"/>
        <v>11</v>
      </c>
      <c r="F4097" s="74">
        <f t="shared" si="1465"/>
        <v>47073</v>
      </c>
      <c r="G4097" s="67">
        <f t="shared" si="1466"/>
        <v>24346</v>
      </c>
      <c r="H4097" s="75">
        <f t="shared" si="1467"/>
        <v>1</v>
      </c>
      <c r="I4097" s="76">
        <f t="shared" si="1468"/>
        <v>1.1575200000000001</v>
      </c>
      <c r="J4097" s="76">
        <f t="shared" si="1469"/>
        <v>1.1575200000000001</v>
      </c>
      <c r="K4097" s="67">
        <f t="shared" si="1470"/>
        <v>0</v>
      </c>
      <c r="L4097" s="67">
        <f t="shared" si="1471"/>
        <v>0</v>
      </c>
      <c r="M4097" s="77">
        <f t="shared" si="1472"/>
        <v>0</v>
      </c>
      <c r="N4097" s="76">
        <f t="shared" si="1473"/>
        <v>1.1575200000000001</v>
      </c>
      <c r="O4097" s="77">
        <f t="shared" si="1474"/>
        <v>0.89</v>
      </c>
      <c r="P4097" s="76">
        <f t="shared" si="1475"/>
        <v>0</v>
      </c>
      <c r="Q4097" s="76">
        <f t="shared" si="1476"/>
        <v>0</v>
      </c>
      <c r="R4097" s="76">
        <f t="shared" si="1477"/>
        <v>0.25</v>
      </c>
      <c r="S4097" s="76">
        <f t="shared" si="1478"/>
        <v>1.2119915294117649</v>
      </c>
      <c r="T4097" s="76">
        <f t="shared" si="1479"/>
        <v>1.1192857768052518</v>
      </c>
      <c r="U4097" s="76">
        <f t="shared" si="1480"/>
        <v>1.1575200000000001</v>
      </c>
    </row>
    <row r="4098" spans="1:21" x14ac:dyDescent="0.25">
      <c r="A4098" s="71">
        <v>48</v>
      </c>
      <c r="B4098" s="72">
        <f t="shared" si="1481"/>
        <v>47088</v>
      </c>
      <c r="C4098" s="73">
        <f t="shared" si="1462"/>
        <v>47118</v>
      </c>
      <c r="D4098" s="67">
        <f t="shared" si="1463"/>
        <v>31</v>
      </c>
      <c r="E4098" s="67">
        <f t="shared" si="1464"/>
        <v>12</v>
      </c>
      <c r="F4098" s="74">
        <f t="shared" si="1465"/>
        <v>47103.5</v>
      </c>
      <c r="G4098" s="67">
        <f t="shared" si="1466"/>
        <v>24347</v>
      </c>
      <c r="H4098" s="75">
        <f t="shared" si="1467"/>
        <v>1</v>
      </c>
      <c r="I4098" s="76">
        <f t="shared" si="1468"/>
        <v>1.1575200000000001</v>
      </c>
      <c r="J4098" s="76">
        <f t="shared" si="1469"/>
        <v>1.1575200000000001</v>
      </c>
      <c r="K4098" s="67">
        <f t="shared" si="1470"/>
        <v>0</v>
      </c>
      <c r="L4098" s="67">
        <f t="shared" si="1471"/>
        <v>0</v>
      </c>
      <c r="M4098" s="77">
        <f t="shared" si="1472"/>
        <v>0</v>
      </c>
      <c r="N4098" s="76">
        <f t="shared" si="1473"/>
        <v>1.1575200000000001</v>
      </c>
      <c r="O4098" s="77">
        <f t="shared" si="1474"/>
        <v>0.89</v>
      </c>
      <c r="P4098" s="76">
        <f t="shared" si="1475"/>
        <v>0</v>
      </c>
      <c r="Q4098" s="76">
        <f t="shared" si="1476"/>
        <v>0</v>
      </c>
      <c r="R4098" s="76">
        <f t="shared" si="1477"/>
        <v>8.3333333333333329E-2</v>
      </c>
      <c r="S4098" s="76">
        <f t="shared" si="1478"/>
        <v>1.2119915294117649</v>
      </c>
      <c r="T4098" s="76">
        <f t="shared" si="1479"/>
        <v>1.1218824971038743</v>
      </c>
      <c r="U4098" s="76">
        <f t="shared" si="1480"/>
        <v>1.1575200000000001</v>
      </c>
    </row>
    <row r="4099" spans="1:21" x14ac:dyDescent="0.25">
      <c r="A4099" s="81" t="s">
        <v>1226</v>
      </c>
      <c r="B4099" s="53">
        <f>SUMPRODUCT($H$4051:$H$4098,$Q$4051:$Q$4098,$U$4051:$U$4098)/SUMPRODUCT($H$4051:$H$4098,$Q$4051:$Q$4098)</f>
        <v>1.1299600000000001</v>
      </c>
      <c r="C4099" s="53">
        <f>SUMPRODUCT($H$4051:$H$4098,$R$4051:$R$4098,$U$4051:$U$4098)/SUMPRODUCT($H$4051:$H$4098,$R$4051:$R$4098)</f>
        <v>1.1575200000000001</v>
      </c>
      <c r="D4099" s="172">
        <f>SUMPRODUCT($H$4051:$H$4098,$Q$4051:$Q$4098,$O$4051:$O$4098)/SUMPRODUCT($H$4051:$H$4098,$Q$4051:$Q$4098)</f>
        <v>0.87197757111597374</v>
      </c>
    </row>
    <row r="4102" spans="1:21" x14ac:dyDescent="0.25">
      <c r="A4102" s="188" t="s">
        <v>1227</v>
      </c>
    </row>
    <row r="4103" spans="1:21" x14ac:dyDescent="0.25">
      <c r="A4103" s="81">
        <f>EDATE(nr_M0Asof,-12)+1</f>
        <v>45931</v>
      </c>
      <c r="B4103" s="81">
        <f>nr_M0Asof+1</f>
        <v>46296</v>
      </c>
      <c r="C4103" s="81">
        <f>DATE(nr_PlanYear,12,31)+1</f>
        <v>46753</v>
      </c>
      <c r="D4103" s="81">
        <f>DATE(nr_PlanYear+1,12,31)+1</f>
        <v>47119</v>
      </c>
      <c r="E4103" s="81">
        <f>IF(N(nr_MPrior)=0,$F$4103-($G$4103-$F$4103)/($C$4103-$B$4103)*($B$4103-$A$4103),nr_MPrior)</f>
        <v>0.83603938730853389</v>
      </c>
      <c r="F4103" s="81">
        <f>nr_M0</f>
        <v>0.86</v>
      </c>
      <c r="G4103" s="81">
        <f>nr_M1+N(INDEX(sc_dm1,2))</f>
        <v>0.89</v>
      </c>
      <c r="H4103" s="81">
        <f>IF(N(nr_M2)=0,nr_M1,nr_M2)+N(INDEX(sc_dm1,2))</f>
        <v>0.89</v>
      </c>
      <c r="I4103" s="81">
        <f>($F$4103-$E$4103)/($B$4103-$A$4103)</f>
        <v>6.5645514223194786E-5</v>
      </c>
      <c r="J4103" s="81">
        <f>($G$4103-$F$4103)/($C$4103-$B$4103)</f>
        <v>6.5645514223194813E-5</v>
      </c>
      <c r="K4103" s="81">
        <f>($H$4103-$G$4103)/($D$4103-$C$4103)</f>
        <v>0</v>
      </c>
    </row>
    <row r="4104" spans="1:21" ht="36" x14ac:dyDescent="0.25">
      <c r="A4104" s="50" t="s">
        <v>211</v>
      </c>
      <c r="B4104" s="50" t="s">
        <v>212</v>
      </c>
      <c r="C4104" s="50" t="s">
        <v>213</v>
      </c>
      <c r="D4104" s="50" t="s">
        <v>214</v>
      </c>
      <c r="E4104" s="50" t="s">
        <v>215</v>
      </c>
      <c r="F4104" s="50" t="s">
        <v>216</v>
      </c>
      <c r="G4104" s="50" t="s">
        <v>217</v>
      </c>
      <c r="H4104" s="50" t="s">
        <v>218</v>
      </c>
      <c r="I4104" s="50" t="s">
        <v>219</v>
      </c>
      <c r="J4104" s="50" t="s">
        <v>220</v>
      </c>
      <c r="K4104" s="50" t="s">
        <v>221</v>
      </c>
      <c r="L4104" s="50" t="s">
        <v>222</v>
      </c>
      <c r="M4104" s="50" t="s">
        <v>223</v>
      </c>
      <c r="N4104" s="50" t="s">
        <v>224</v>
      </c>
      <c r="O4104" s="50" t="s">
        <v>225</v>
      </c>
      <c r="P4104" s="50" t="s">
        <v>226</v>
      </c>
      <c r="Q4104" s="50" t="s">
        <v>227</v>
      </c>
      <c r="R4104" s="50" t="s">
        <v>228</v>
      </c>
      <c r="S4104" s="50" t="s">
        <v>229</v>
      </c>
      <c r="T4104" s="50" t="s">
        <v>230</v>
      </c>
      <c r="U4104" s="50" t="s">
        <v>231</v>
      </c>
    </row>
    <row r="4105" spans="1:21" x14ac:dyDescent="0.25">
      <c r="A4105" s="71">
        <v>1</v>
      </c>
      <c r="B4105" s="72">
        <f>DATE(nr_PlanYear-2,1,1)</f>
        <v>45658</v>
      </c>
      <c r="C4105" s="73">
        <f t="shared" ref="C4105:C4152" si="1482">EOMONTH($B4105,0)</f>
        <v>45688</v>
      </c>
      <c r="D4105" s="67">
        <f t="shared" ref="D4105:D4152" si="1483">$C4105-$B4105+1</f>
        <v>31</v>
      </c>
      <c r="E4105" s="67">
        <f t="shared" ref="E4105:E4152" si="1484">MONTH($B4105)</f>
        <v>1</v>
      </c>
      <c r="F4105" s="74">
        <f t="shared" ref="F4105:F4152" si="1485">($B4105+$C4105+1)/2</f>
        <v>45673.5</v>
      </c>
      <c r="G4105" s="67">
        <f t="shared" ref="G4105:G4152" si="1486">YEAR($B4105)*12+MONTH($B4105)-1</f>
        <v>24300</v>
      </c>
      <c r="H4105" s="75">
        <f t="shared" ref="H4105:H4152" si="1487">IF(OR(nr_SeasonOn="OFF",re_srow=0,re_ssum=0),1,12*INDEX(se_block,re_srow,$E4105)/re_ssum)</f>
        <v>1</v>
      </c>
      <c r="I4105" s="76">
        <f t="shared" ref="I4105:I4152" si="1488">EXP(SUMPRODUCT(($K$3806:$K$4045&lt;$B4105)*(rl_key=nr_SelKey)*$O$3806:$O$4045))</f>
        <v>1</v>
      </c>
      <c r="J4105" s="76">
        <f t="shared" ref="J4105:J4152" si="1489">EXP(SUMPRODUCT(($K$3806:$K$4045&lt;=$C4105)*(rl_key=nr_SelKey)*$O$3806:$O$4045))</f>
        <v>1</v>
      </c>
      <c r="K4105" s="67">
        <f t="shared" ref="K4105:K4152" si="1490">COUNTIFS(rl_key,nr_SelKey,$K$3806:$K$4045,"&gt;="&amp;$B4105,$K$3806:$K$4045,"&lt;="&amp;$C4105)</f>
        <v>0</v>
      </c>
      <c r="L4105" s="67">
        <f t="shared" ref="L4105:L4152" si="1491">SUMIFS($P$3806:$P$4045,rl_key,nr_SelKey,$L$3806:$L$4045,$B4105,$S$3806:$S$4045,1)</f>
        <v>0</v>
      </c>
      <c r="M4105" s="77">
        <f t="shared" ref="M4105:M4152" si="1492">IF($K4105=0,0,MIN(1,$L4105/$D4105))</f>
        <v>0</v>
      </c>
      <c r="N4105" s="76">
        <f t="shared" ref="N4105:N4152" si="1493">IF($K4105=0,$J4105,(1-$M4105)*$I4105+$M4105*$J4105)</f>
        <v>1</v>
      </c>
      <c r="O4105" s="77">
        <f t="shared" ref="O4105:O4152" si="1494">IF($F4105&lt;$B$4103,$E$4103+$I$4103*($F4105-$A$4103),IF($F4105&lt;$C$4103,$F$4103+$J$4103*($F4105-$B$4103),$G$4103+$K$4103*($F4105-$C$4103)))</f>
        <v>0.81913566739606125</v>
      </c>
      <c r="P4105" s="76">
        <f t="shared" ref="P4105:P4152" si="1495">MIN(1,MAX(0,(nr_MEndPm1-$G4105+0.5)/nr_TermMonths))-MIN(1,MAX(0,(nr_MStartPm1-1-$G4105+0.5)/nr_TermMonths))</f>
        <v>0</v>
      </c>
      <c r="Q4105" s="76">
        <f t="shared" ref="Q4105:Q4152" si="1496">MIN(1,MAX(0,(nr_MEndP-$G4105+0.5)/nr_TermMonths))-MIN(1,MAX(0,(nr_MStartP-1-$G4105+0.5)/nr_TermMonths))</f>
        <v>0</v>
      </c>
      <c r="R4105" s="76">
        <f t="shared" ref="R4105:R4152" si="1497">MIN(1,MAX(0,(nr_MEndP1-$G4105+0.5)/nr_TermMonths))-MIN(1,MAX(0,(nr_MStartP1-1-$G4105+0.5)/nr_TermMonths))</f>
        <v>0</v>
      </c>
      <c r="S4105" s="76">
        <f t="shared" ref="S4105:S4152" si="1498">$N4105*IF(nr_ModAdjEff="ON",$O4105/nr_MInd,1)</f>
        <v>0.96368902046595439</v>
      </c>
      <c r="T4105" s="76">
        <f t="shared" ref="T4105:T4152" si="1499">IF($G4105&lt;nr_MStartP,$S4105,$T4093*(1+IF($G4105&lt;nr_MStartP1,(nr_NetSelP+N(INDEX(sc_dnet,2))),(nr_NetSelP1+N(INDEX(sc_dnet,2))))))</f>
        <v>0.96368902046595439</v>
      </c>
      <c r="U4105" s="76">
        <f t="shared" ref="U4105:U4152" si="1500">IF(nr_NetMode,$T4105,$N4105)</f>
        <v>1</v>
      </c>
    </row>
    <row r="4106" spans="1:21" x14ac:dyDescent="0.25">
      <c r="A4106" s="71">
        <v>2</v>
      </c>
      <c r="B4106" s="72">
        <f t="shared" ref="B4106:B4152" si="1501">EDATE($B4105,1)</f>
        <v>45689</v>
      </c>
      <c r="C4106" s="73">
        <f t="shared" si="1482"/>
        <v>45716</v>
      </c>
      <c r="D4106" s="67">
        <f t="shared" si="1483"/>
        <v>28</v>
      </c>
      <c r="E4106" s="67">
        <f t="shared" si="1484"/>
        <v>2</v>
      </c>
      <c r="F4106" s="74">
        <f t="shared" si="1485"/>
        <v>45703</v>
      </c>
      <c r="G4106" s="67">
        <f t="shared" si="1486"/>
        <v>24301</v>
      </c>
      <c r="H4106" s="75">
        <f t="shared" si="1487"/>
        <v>1</v>
      </c>
      <c r="I4106" s="76">
        <f t="shared" si="1488"/>
        <v>1</v>
      </c>
      <c r="J4106" s="76">
        <f t="shared" si="1489"/>
        <v>1</v>
      </c>
      <c r="K4106" s="67">
        <f t="shared" si="1490"/>
        <v>0</v>
      </c>
      <c r="L4106" s="67">
        <f t="shared" si="1491"/>
        <v>0</v>
      </c>
      <c r="M4106" s="77">
        <f t="shared" si="1492"/>
        <v>0</v>
      </c>
      <c r="N4106" s="76">
        <f t="shared" si="1493"/>
        <v>1</v>
      </c>
      <c r="O4106" s="77">
        <f t="shared" si="1494"/>
        <v>0.82107221006564546</v>
      </c>
      <c r="P4106" s="76">
        <f t="shared" si="1495"/>
        <v>0</v>
      </c>
      <c r="Q4106" s="76">
        <f t="shared" si="1496"/>
        <v>0</v>
      </c>
      <c r="R4106" s="76">
        <f t="shared" si="1497"/>
        <v>0</v>
      </c>
      <c r="S4106" s="76">
        <f t="shared" si="1498"/>
        <v>0.96596730595958291</v>
      </c>
      <c r="T4106" s="76">
        <f t="shared" si="1499"/>
        <v>0.96596730595958291</v>
      </c>
      <c r="U4106" s="76">
        <f t="shared" si="1500"/>
        <v>1</v>
      </c>
    </row>
    <row r="4107" spans="1:21" x14ac:dyDescent="0.25">
      <c r="A4107" s="71">
        <v>3</v>
      </c>
      <c r="B4107" s="72">
        <f t="shared" si="1501"/>
        <v>45717</v>
      </c>
      <c r="C4107" s="73">
        <f t="shared" si="1482"/>
        <v>45747</v>
      </c>
      <c r="D4107" s="67">
        <f t="shared" si="1483"/>
        <v>31</v>
      </c>
      <c r="E4107" s="67">
        <f t="shared" si="1484"/>
        <v>3</v>
      </c>
      <c r="F4107" s="74">
        <f t="shared" si="1485"/>
        <v>45732.5</v>
      </c>
      <c r="G4107" s="67">
        <f t="shared" si="1486"/>
        <v>24302</v>
      </c>
      <c r="H4107" s="75">
        <f t="shared" si="1487"/>
        <v>1</v>
      </c>
      <c r="I4107" s="76">
        <f t="shared" si="1488"/>
        <v>1</v>
      </c>
      <c r="J4107" s="76">
        <f t="shared" si="1489"/>
        <v>1</v>
      </c>
      <c r="K4107" s="67">
        <f t="shared" si="1490"/>
        <v>0</v>
      </c>
      <c r="L4107" s="67">
        <f t="shared" si="1491"/>
        <v>0</v>
      </c>
      <c r="M4107" s="77">
        <f t="shared" si="1492"/>
        <v>0</v>
      </c>
      <c r="N4107" s="76">
        <f t="shared" si="1493"/>
        <v>1</v>
      </c>
      <c r="O4107" s="77">
        <f t="shared" si="1494"/>
        <v>0.82300875273522978</v>
      </c>
      <c r="P4107" s="76">
        <f t="shared" si="1495"/>
        <v>0</v>
      </c>
      <c r="Q4107" s="76">
        <f t="shared" si="1496"/>
        <v>0</v>
      </c>
      <c r="R4107" s="76">
        <f t="shared" si="1497"/>
        <v>0</v>
      </c>
      <c r="S4107" s="76">
        <f t="shared" si="1498"/>
        <v>0.96824559145321154</v>
      </c>
      <c r="T4107" s="76">
        <f t="shared" si="1499"/>
        <v>0.96824559145321154</v>
      </c>
      <c r="U4107" s="76">
        <f t="shared" si="1500"/>
        <v>1</v>
      </c>
    </row>
    <row r="4108" spans="1:21" x14ac:dyDescent="0.25">
      <c r="A4108" s="71">
        <v>4</v>
      </c>
      <c r="B4108" s="72">
        <f t="shared" si="1501"/>
        <v>45748</v>
      </c>
      <c r="C4108" s="73">
        <f t="shared" si="1482"/>
        <v>45777</v>
      </c>
      <c r="D4108" s="67">
        <f t="shared" si="1483"/>
        <v>30</v>
      </c>
      <c r="E4108" s="67">
        <f t="shared" si="1484"/>
        <v>4</v>
      </c>
      <c r="F4108" s="74">
        <f t="shared" si="1485"/>
        <v>45763</v>
      </c>
      <c r="G4108" s="67">
        <f t="shared" si="1486"/>
        <v>24303</v>
      </c>
      <c r="H4108" s="75">
        <f t="shared" si="1487"/>
        <v>1</v>
      </c>
      <c r="I4108" s="76">
        <f t="shared" si="1488"/>
        <v>1</v>
      </c>
      <c r="J4108" s="76">
        <f t="shared" si="1489"/>
        <v>1</v>
      </c>
      <c r="K4108" s="67">
        <f t="shared" si="1490"/>
        <v>0</v>
      </c>
      <c r="L4108" s="67">
        <f t="shared" si="1491"/>
        <v>0</v>
      </c>
      <c r="M4108" s="77">
        <f t="shared" si="1492"/>
        <v>0</v>
      </c>
      <c r="N4108" s="76">
        <f t="shared" si="1493"/>
        <v>1</v>
      </c>
      <c r="O4108" s="77">
        <f t="shared" si="1494"/>
        <v>0.82501094091903715</v>
      </c>
      <c r="P4108" s="76">
        <f t="shared" si="1495"/>
        <v>0</v>
      </c>
      <c r="Q4108" s="76">
        <f t="shared" si="1496"/>
        <v>0</v>
      </c>
      <c r="R4108" s="76">
        <f t="shared" si="1497"/>
        <v>0</v>
      </c>
      <c r="S4108" s="76">
        <f t="shared" si="1498"/>
        <v>0.97060110696357316</v>
      </c>
      <c r="T4108" s="76">
        <f t="shared" si="1499"/>
        <v>0.97060110696357316</v>
      </c>
      <c r="U4108" s="76">
        <f t="shared" si="1500"/>
        <v>1</v>
      </c>
    </row>
    <row r="4109" spans="1:21" x14ac:dyDescent="0.25">
      <c r="A4109" s="71">
        <v>5</v>
      </c>
      <c r="B4109" s="72">
        <f t="shared" si="1501"/>
        <v>45778</v>
      </c>
      <c r="C4109" s="73">
        <f t="shared" si="1482"/>
        <v>45808</v>
      </c>
      <c r="D4109" s="67">
        <f t="shared" si="1483"/>
        <v>31</v>
      </c>
      <c r="E4109" s="67">
        <f t="shared" si="1484"/>
        <v>5</v>
      </c>
      <c r="F4109" s="74">
        <f t="shared" si="1485"/>
        <v>45793.5</v>
      </c>
      <c r="G4109" s="67">
        <f t="shared" si="1486"/>
        <v>24304</v>
      </c>
      <c r="H4109" s="75">
        <f t="shared" si="1487"/>
        <v>1</v>
      </c>
      <c r="I4109" s="76">
        <f t="shared" si="1488"/>
        <v>1</v>
      </c>
      <c r="J4109" s="76">
        <f t="shared" si="1489"/>
        <v>1</v>
      </c>
      <c r="K4109" s="67">
        <f t="shared" si="1490"/>
        <v>0</v>
      </c>
      <c r="L4109" s="67">
        <f t="shared" si="1491"/>
        <v>0</v>
      </c>
      <c r="M4109" s="77">
        <f t="shared" si="1492"/>
        <v>0</v>
      </c>
      <c r="N4109" s="76">
        <f t="shared" si="1493"/>
        <v>1</v>
      </c>
      <c r="O4109" s="77">
        <f t="shared" si="1494"/>
        <v>0.82701312910284464</v>
      </c>
      <c r="P4109" s="76">
        <f t="shared" si="1495"/>
        <v>0</v>
      </c>
      <c r="Q4109" s="76">
        <f t="shared" si="1496"/>
        <v>0</v>
      </c>
      <c r="R4109" s="76">
        <f t="shared" si="1497"/>
        <v>0</v>
      </c>
      <c r="S4109" s="76">
        <f t="shared" si="1498"/>
        <v>0.97295662247393488</v>
      </c>
      <c r="T4109" s="76">
        <f t="shared" si="1499"/>
        <v>0.97295662247393488</v>
      </c>
      <c r="U4109" s="76">
        <f t="shared" si="1500"/>
        <v>1</v>
      </c>
    </row>
    <row r="4110" spans="1:21" x14ac:dyDescent="0.25">
      <c r="A4110" s="71">
        <v>6</v>
      </c>
      <c r="B4110" s="72">
        <f t="shared" si="1501"/>
        <v>45809</v>
      </c>
      <c r="C4110" s="73">
        <f t="shared" si="1482"/>
        <v>45838</v>
      </c>
      <c r="D4110" s="67">
        <f t="shared" si="1483"/>
        <v>30</v>
      </c>
      <c r="E4110" s="67">
        <f t="shared" si="1484"/>
        <v>6</v>
      </c>
      <c r="F4110" s="74">
        <f t="shared" si="1485"/>
        <v>45824</v>
      </c>
      <c r="G4110" s="67">
        <f t="shared" si="1486"/>
        <v>24305</v>
      </c>
      <c r="H4110" s="75">
        <f t="shared" si="1487"/>
        <v>1</v>
      </c>
      <c r="I4110" s="76">
        <f t="shared" si="1488"/>
        <v>1</v>
      </c>
      <c r="J4110" s="76">
        <f t="shared" si="1489"/>
        <v>1</v>
      </c>
      <c r="K4110" s="67">
        <f t="shared" si="1490"/>
        <v>0</v>
      </c>
      <c r="L4110" s="67">
        <f t="shared" si="1491"/>
        <v>0</v>
      </c>
      <c r="M4110" s="77">
        <f t="shared" si="1492"/>
        <v>0</v>
      </c>
      <c r="N4110" s="76">
        <f t="shared" si="1493"/>
        <v>1</v>
      </c>
      <c r="O4110" s="77">
        <f t="shared" si="1494"/>
        <v>0.82901531728665201</v>
      </c>
      <c r="P4110" s="76">
        <f t="shared" si="1495"/>
        <v>0</v>
      </c>
      <c r="Q4110" s="76">
        <f t="shared" si="1496"/>
        <v>0</v>
      </c>
      <c r="R4110" s="76">
        <f t="shared" si="1497"/>
        <v>0</v>
      </c>
      <c r="S4110" s="76">
        <f t="shared" si="1498"/>
        <v>0.9753121379842965</v>
      </c>
      <c r="T4110" s="76">
        <f t="shared" si="1499"/>
        <v>0.9753121379842965</v>
      </c>
      <c r="U4110" s="76">
        <f t="shared" si="1500"/>
        <v>1</v>
      </c>
    </row>
    <row r="4111" spans="1:21" x14ac:dyDescent="0.25">
      <c r="A4111" s="71">
        <v>7</v>
      </c>
      <c r="B4111" s="72">
        <f t="shared" si="1501"/>
        <v>45839</v>
      </c>
      <c r="C4111" s="73">
        <f t="shared" si="1482"/>
        <v>45869</v>
      </c>
      <c r="D4111" s="67">
        <f t="shared" si="1483"/>
        <v>31</v>
      </c>
      <c r="E4111" s="67">
        <f t="shared" si="1484"/>
        <v>7</v>
      </c>
      <c r="F4111" s="74">
        <f t="shared" si="1485"/>
        <v>45854.5</v>
      </c>
      <c r="G4111" s="67">
        <f t="shared" si="1486"/>
        <v>24306</v>
      </c>
      <c r="H4111" s="75">
        <f t="shared" si="1487"/>
        <v>1</v>
      </c>
      <c r="I4111" s="76">
        <f t="shared" si="1488"/>
        <v>1</v>
      </c>
      <c r="J4111" s="76">
        <f t="shared" si="1489"/>
        <v>1.04</v>
      </c>
      <c r="K4111" s="67">
        <f t="shared" si="1490"/>
        <v>1</v>
      </c>
      <c r="L4111" s="67">
        <f t="shared" si="1491"/>
        <v>31</v>
      </c>
      <c r="M4111" s="77">
        <f t="shared" si="1492"/>
        <v>1</v>
      </c>
      <c r="N4111" s="76">
        <f t="shared" si="1493"/>
        <v>1.04</v>
      </c>
      <c r="O4111" s="77">
        <f t="shared" si="1494"/>
        <v>0.83101750547045949</v>
      </c>
      <c r="P4111" s="76">
        <f t="shared" si="1495"/>
        <v>8.333333333333337E-2</v>
      </c>
      <c r="Q4111" s="76">
        <f t="shared" si="1496"/>
        <v>0</v>
      </c>
      <c r="R4111" s="76">
        <f t="shared" si="1497"/>
        <v>0</v>
      </c>
      <c r="S4111" s="76">
        <f t="shared" si="1498"/>
        <v>1.0167743596344445</v>
      </c>
      <c r="T4111" s="76">
        <f t="shared" si="1499"/>
        <v>1.0167743596344445</v>
      </c>
      <c r="U4111" s="76">
        <f t="shared" si="1500"/>
        <v>1.04</v>
      </c>
    </row>
    <row r="4112" spans="1:21" x14ac:dyDescent="0.25">
      <c r="A4112" s="71">
        <v>8</v>
      </c>
      <c r="B4112" s="72">
        <f t="shared" si="1501"/>
        <v>45870</v>
      </c>
      <c r="C4112" s="73">
        <f t="shared" si="1482"/>
        <v>45900</v>
      </c>
      <c r="D4112" s="67">
        <f t="shared" si="1483"/>
        <v>31</v>
      </c>
      <c r="E4112" s="67">
        <f t="shared" si="1484"/>
        <v>8</v>
      </c>
      <c r="F4112" s="74">
        <f t="shared" si="1485"/>
        <v>45885.5</v>
      </c>
      <c r="G4112" s="67">
        <f t="shared" si="1486"/>
        <v>24307</v>
      </c>
      <c r="H4112" s="75">
        <f t="shared" si="1487"/>
        <v>1</v>
      </c>
      <c r="I4112" s="76">
        <f t="shared" si="1488"/>
        <v>1.04</v>
      </c>
      <c r="J4112" s="76">
        <f t="shared" si="1489"/>
        <v>1.04</v>
      </c>
      <c r="K4112" s="67">
        <f t="shared" si="1490"/>
        <v>0</v>
      </c>
      <c r="L4112" s="67">
        <f t="shared" si="1491"/>
        <v>0</v>
      </c>
      <c r="M4112" s="77">
        <f t="shared" si="1492"/>
        <v>0</v>
      </c>
      <c r="N4112" s="76">
        <f t="shared" si="1493"/>
        <v>1.04</v>
      </c>
      <c r="O4112" s="77">
        <f t="shared" si="1494"/>
        <v>0.83305251641137856</v>
      </c>
      <c r="P4112" s="76">
        <f t="shared" si="1495"/>
        <v>0.25</v>
      </c>
      <c r="Q4112" s="76">
        <f t="shared" si="1496"/>
        <v>0</v>
      </c>
      <c r="R4112" s="76">
        <f t="shared" si="1497"/>
        <v>0</v>
      </c>
      <c r="S4112" s="76">
        <f t="shared" si="1498"/>
        <v>1.0192642553739222</v>
      </c>
      <c r="T4112" s="76">
        <f t="shared" si="1499"/>
        <v>1.0192642553739222</v>
      </c>
      <c r="U4112" s="76">
        <f t="shared" si="1500"/>
        <v>1.04</v>
      </c>
    </row>
    <row r="4113" spans="1:21" x14ac:dyDescent="0.25">
      <c r="A4113" s="71">
        <v>9</v>
      </c>
      <c r="B4113" s="72">
        <f t="shared" si="1501"/>
        <v>45901</v>
      </c>
      <c r="C4113" s="73">
        <f t="shared" si="1482"/>
        <v>45930</v>
      </c>
      <c r="D4113" s="67">
        <f t="shared" si="1483"/>
        <v>30</v>
      </c>
      <c r="E4113" s="67">
        <f t="shared" si="1484"/>
        <v>9</v>
      </c>
      <c r="F4113" s="74">
        <f t="shared" si="1485"/>
        <v>45916</v>
      </c>
      <c r="G4113" s="67">
        <f t="shared" si="1486"/>
        <v>24308</v>
      </c>
      <c r="H4113" s="75">
        <f t="shared" si="1487"/>
        <v>1</v>
      </c>
      <c r="I4113" s="76">
        <f t="shared" si="1488"/>
        <v>1.04</v>
      </c>
      <c r="J4113" s="76">
        <f t="shared" si="1489"/>
        <v>1.04</v>
      </c>
      <c r="K4113" s="67">
        <f t="shared" si="1490"/>
        <v>0</v>
      </c>
      <c r="L4113" s="67">
        <f t="shared" si="1491"/>
        <v>0</v>
      </c>
      <c r="M4113" s="77">
        <f t="shared" si="1492"/>
        <v>0</v>
      </c>
      <c r="N4113" s="76">
        <f t="shared" si="1493"/>
        <v>1.04</v>
      </c>
      <c r="O4113" s="77">
        <f t="shared" si="1494"/>
        <v>0.83505470459518594</v>
      </c>
      <c r="P4113" s="76">
        <f t="shared" si="1495"/>
        <v>0.41666666666666663</v>
      </c>
      <c r="Q4113" s="76">
        <f t="shared" si="1496"/>
        <v>0</v>
      </c>
      <c r="R4113" s="76">
        <f t="shared" si="1497"/>
        <v>0</v>
      </c>
      <c r="S4113" s="76">
        <f t="shared" si="1498"/>
        <v>1.0217139915046982</v>
      </c>
      <c r="T4113" s="76">
        <f t="shared" si="1499"/>
        <v>1.0217139915046982</v>
      </c>
      <c r="U4113" s="76">
        <f t="shared" si="1500"/>
        <v>1.04</v>
      </c>
    </row>
    <row r="4114" spans="1:21" x14ac:dyDescent="0.25">
      <c r="A4114" s="71">
        <v>10</v>
      </c>
      <c r="B4114" s="72">
        <f t="shared" si="1501"/>
        <v>45931</v>
      </c>
      <c r="C4114" s="73">
        <f t="shared" si="1482"/>
        <v>45961</v>
      </c>
      <c r="D4114" s="67">
        <f t="shared" si="1483"/>
        <v>31</v>
      </c>
      <c r="E4114" s="67">
        <f t="shared" si="1484"/>
        <v>10</v>
      </c>
      <c r="F4114" s="74">
        <f t="shared" si="1485"/>
        <v>45946.5</v>
      </c>
      <c r="G4114" s="67">
        <f t="shared" si="1486"/>
        <v>24309</v>
      </c>
      <c r="H4114" s="75">
        <f t="shared" si="1487"/>
        <v>1</v>
      </c>
      <c r="I4114" s="76">
        <f t="shared" si="1488"/>
        <v>1.04</v>
      </c>
      <c r="J4114" s="76">
        <f t="shared" si="1489"/>
        <v>1.04</v>
      </c>
      <c r="K4114" s="67">
        <f t="shared" si="1490"/>
        <v>0</v>
      </c>
      <c r="L4114" s="67">
        <f t="shared" si="1491"/>
        <v>0</v>
      </c>
      <c r="M4114" s="77">
        <f t="shared" si="1492"/>
        <v>0</v>
      </c>
      <c r="N4114" s="76">
        <f t="shared" si="1493"/>
        <v>1.04</v>
      </c>
      <c r="O4114" s="77">
        <f t="shared" si="1494"/>
        <v>0.83705689277899342</v>
      </c>
      <c r="P4114" s="76">
        <f t="shared" si="1495"/>
        <v>0.58333333333333326</v>
      </c>
      <c r="Q4114" s="76">
        <f t="shared" si="1496"/>
        <v>0</v>
      </c>
      <c r="R4114" s="76">
        <f t="shared" si="1497"/>
        <v>0</v>
      </c>
      <c r="S4114" s="76">
        <f t="shared" si="1498"/>
        <v>1.0241637276354745</v>
      </c>
      <c r="T4114" s="76">
        <f t="shared" si="1499"/>
        <v>1.0241637276354745</v>
      </c>
      <c r="U4114" s="76">
        <f t="shared" si="1500"/>
        <v>1.04</v>
      </c>
    </row>
    <row r="4115" spans="1:21" x14ac:dyDescent="0.25">
      <c r="A4115" s="71">
        <v>11</v>
      </c>
      <c r="B4115" s="72">
        <f t="shared" si="1501"/>
        <v>45962</v>
      </c>
      <c r="C4115" s="73">
        <f t="shared" si="1482"/>
        <v>45991</v>
      </c>
      <c r="D4115" s="67">
        <f t="shared" si="1483"/>
        <v>30</v>
      </c>
      <c r="E4115" s="67">
        <f t="shared" si="1484"/>
        <v>11</v>
      </c>
      <c r="F4115" s="74">
        <f t="shared" si="1485"/>
        <v>45977</v>
      </c>
      <c r="G4115" s="67">
        <f t="shared" si="1486"/>
        <v>24310</v>
      </c>
      <c r="H4115" s="75">
        <f t="shared" si="1487"/>
        <v>1</v>
      </c>
      <c r="I4115" s="76">
        <f t="shared" si="1488"/>
        <v>1.04</v>
      </c>
      <c r="J4115" s="76">
        <f t="shared" si="1489"/>
        <v>1.04</v>
      </c>
      <c r="K4115" s="67">
        <f t="shared" si="1490"/>
        <v>0</v>
      </c>
      <c r="L4115" s="67">
        <f t="shared" si="1491"/>
        <v>0</v>
      </c>
      <c r="M4115" s="77">
        <f t="shared" si="1492"/>
        <v>0</v>
      </c>
      <c r="N4115" s="76">
        <f t="shared" si="1493"/>
        <v>1.04</v>
      </c>
      <c r="O4115" s="77">
        <f t="shared" si="1494"/>
        <v>0.8390590809628008</v>
      </c>
      <c r="P4115" s="76">
        <f t="shared" si="1495"/>
        <v>0.75</v>
      </c>
      <c r="Q4115" s="76">
        <f t="shared" si="1496"/>
        <v>0</v>
      </c>
      <c r="R4115" s="76">
        <f t="shared" si="1497"/>
        <v>0</v>
      </c>
      <c r="S4115" s="76">
        <f t="shared" si="1498"/>
        <v>1.0266134637662505</v>
      </c>
      <c r="T4115" s="76">
        <f t="shared" si="1499"/>
        <v>1.0266134637662505</v>
      </c>
      <c r="U4115" s="76">
        <f t="shared" si="1500"/>
        <v>1.04</v>
      </c>
    </row>
    <row r="4116" spans="1:21" x14ac:dyDescent="0.25">
      <c r="A4116" s="71">
        <v>12</v>
      </c>
      <c r="B4116" s="72">
        <f t="shared" si="1501"/>
        <v>45992</v>
      </c>
      <c r="C4116" s="73">
        <f t="shared" si="1482"/>
        <v>46022</v>
      </c>
      <c r="D4116" s="67">
        <f t="shared" si="1483"/>
        <v>31</v>
      </c>
      <c r="E4116" s="67">
        <f t="shared" si="1484"/>
        <v>12</v>
      </c>
      <c r="F4116" s="74">
        <f t="shared" si="1485"/>
        <v>46007.5</v>
      </c>
      <c r="G4116" s="67">
        <f t="shared" si="1486"/>
        <v>24311</v>
      </c>
      <c r="H4116" s="75">
        <f t="shared" si="1487"/>
        <v>1</v>
      </c>
      <c r="I4116" s="76">
        <f t="shared" si="1488"/>
        <v>1.04</v>
      </c>
      <c r="J4116" s="76">
        <f t="shared" si="1489"/>
        <v>1.04</v>
      </c>
      <c r="K4116" s="67">
        <f t="shared" si="1490"/>
        <v>0</v>
      </c>
      <c r="L4116" s="67">
        <f t="shared" si="1491"/>
        <v>0</v>
      </c>
      <c r="M4116" s="77">
        <f t="shared" si="1492"/>
        <v>0</v>
      </c>
      <c r="N4116" s="76">
        <f t="shared" si="1493"/>
        <v>1.04</v>
      </c>
      <c r="O4116" s="77">
        <f t="shared" si="1494"/>
        <v>0.84106126914660828</v>
      </c>
      <c r="P4116" s="76">
        <f t="shared" si="1495"/>
        <v>0.91666666666666663</v>
      </c>
      <c r="Q4116" s="76">
        <f t="shared" si="1496"/>
        <v>0</v>
      </c>
      <c r="R4116" s="76">
        <f t="shared" si="1497"/>
        <v>0</v>
      </c>
      <c r="S4116" s="76">
        <f t="shared" si="1498"/>
        <v>1.0290631998970268</v>
      </c>
      <c r="T4116" s="76">
        <f t="shared" si="1499"/>
        <v>1.0290631998970268</v>
      </c>
      <c r="U4116" s="76">
        <f t="shared" si="1500"/>
        <v>1.04</v>
      </c>
    </row>
    <row r="4117" spans="1:21" x14ac:dyDescent="0.25">
      <c r="A4117" s="71">
        <v>13</v>
      </c>
      <c r="B4117" s="72">
        <f t="shared" si="1501"/>
        <v>46023</v>
      </c>
      <c r="C4117" s="73">
        <f t="shared" si="1482"/>
        <v>46053</v>
      </c>
      <c r="D4117" s="67">
        <f t="shared" si="1483"/>
        <v>31</v>
      </c>
      <c r="E4117" s="67">
        <f t="shared" si="1484"/>
        <v>1</v>
      </c>
      <c r="F4117" s="74">
        <f t="shared" si="1485"/>
        <v>46038.5</v>
      </c>
      <c r="G4117" s="67">
        <f t="shared" si="1486"/>
        <v>24312</v>
      </c>
      <c r="H4117" s="75">
        <f t="shared" si="1487"/>
        <v>1</v>
      </c>
      <c r="I4117" s="76">
        <f t="shared" si="1488"/>
        <v>1.04</v>
      </c>
      <c r="J4117" s="76">
        <f t="shared" si="1489"/>
        <v>1.04</v>
      </c>
      <c r="K4117" s="67">
        <f t="shared" si="1490"/>
        <v>0</v>
      </c>
      <c r="L4117" s="67">
        <f t="shared" si="1491"/>
        <v>0</v>
      </c>
      <c r="M4117" s="77">
        <f t="shared" si="1492"/>
        <v>0</v>
      </c>
      <c r="N4117" s="76">
        <f t="shared" si="1493"/>
        <v>1.04</v>
      </c>
      <c r="O4117" s="77">
        <f t="shared" si="1494"/>
        <v>0.84309628008752735</v>
      </c>
      <c r="P4117" s="76">
        <f t="shared" si="1495"/>
        <v>1</v>
      </c>
      <c r="Q4117" s="76">
        <f t="shared" si="1496"/>
        <v>0</v>
      </c>
      <c r="R4117" s="76">
        <f t="shared" si="1497"/>
        <v>0</v>
      </c>
      <c r="S4117" s="76">
        <f t="shared" si="1498"/>
        <v>1.031553095636504</v>
      </c>
      <c r="T4117" s="76">
        <f t="shared" si="1499"/>
        <v>1.031553095636504</v>
      </c>
      <c r="U4117" s="76">
        <f t="shared" si="1500"/>
        <v>1.04</v>
      </c>
    </row>
    <row r="4118" spans="1:21" x14ac:dyDescent="0.25">
      <c r="A4118" s="71">
        <v>14</v>
      </c>
      <c r="B4118" s="72">
        <f t="shared" si="1501"/>
        <v>46054</v>
      </c>
      <c r="C4118" s="73">
        <f t="shared" si="1482"/>
        <v>46081</v>
      </c>
      <c r="D4118" s="67">
        <f t="shared" si="1483"/>
        <v>28</v>
      </c>
      <c r="E4118" s="67">
        <f t="shared" si="1484"/>
        <v>2</v>
      </c>
      <c r="F4118" s="74">
        <f t="shared" si="1485"/>
        <v>46068</v>
      </c>
      <c r="G4118" s="67">
        <f t="shared" si="1486"/>
        <v>24313</v>
      </c>
      <c r="H4118" s="75">
        <f t="shared" si="1487"/>
        <v>1</v>
      </c>
      <c r="I4118" s="76">
        <f t="shared" si="1488"/>
        <v>1.04</v>
      </c>
      <c r="J4118" s="76">
        <f t="shared" si="1489"/>
        <v>1.04</v>
      </c>
      <c r="K4118" s="67">
        <f t="shared" si="1490"/>
        <v>0</v>
      </c>
      <c r="L4118" s="67">
        <f t="shared" si="1491"/>
        <v>0</v>
      </c>
      <c r="M4118" s="77">
        <f t="shared" si="1492"/>
        <v>0</v>
      </c>
      <c r="N4118" s="76">
        <f t="shared" si="1493"/>
        <v>1.04</v>
      </c>
      <c r="O4118" s="77">
        <f t="shared" si="1494"/>
        <v>0.84503282275711156</v>
      </c>
      <c r="P4118" s="76">
        <f t="shared" si="1495"/>
        <v>1</v>
      </c>
      <c r="Q4118" s="76">
        <f t="shared" si="1496"/>
        <v>0</v>
      </c>
      <c r="R4118" s="76">
        <f t="shared" si="1497"/>
        <v>0</v>
      </c>
      <c r="S4118" s="76">
        <f t="shared" si="1498"/>
        <v>1.0339225125498777</v>
      </c>
      <c r="T4118" s="76">
        <f t="shared" si="1499"/>
        <v>1.0339225125498777</v>
      </c>
      <c r="U4118" s="76">
        <f t="shared" si="1500"/>
        <v>1.04</v>
      </c>
    </row>
    <row r="4119" spans="1:21" x14ac:dyDescent="0.25">
      <c r="A4119" s="71">
        <v>15</v>
      </c>
      <c r="B4119" s="72">
        <f t="shared" si="1501"/>
        <v>46082</v>
      </c>
      <c r="C4119" s="73">
        <f t="shared" si="1482"/>
        <v>46112</v>
      </c>
      <c r="D4119" s="67">
        <f t="shared" si="1483"/>
        <v>31</v>
      </c>
      <c r="E4119" s="67">
        <f t="shared" si="1484"/>
        <v>3</v>
      </c>
      <c r="F4119" s="74">
        <f t="shared" si="1485"/>
        <v>46097.5</v>
      </c>
      <c r="G4119" s="67">
        <f t="shared" si="1486"/>
        <v>24314</v>
      </c>
      <c r="H4119" s="75">
        <f t="shared" si="1487"/>
        <v>1</v>
      </c>
      <c r="I4119" s="76">
        <f t="shared" si="1488"/>
        <v>1.04</v>
      </c>
      <c r="J4119" s="76">
        <f t="shared" si="1489"/>
        <v>1.04</v>
      </c>
      <c r="K4119" s="67">
        <f t="shared" si="1490"/>
        <v>0</v>
      </c>
      <c r="L4119" s="67">
        <f t="shared" si="1491"/>
        <v>0</v>
      </c>
      <c r="M4119" s="77">
        <f t="shared" si="1492"/>
        <v>0</v>
      </c>
      <c r="N4119" s="76">
        <f t="shared" si="1493"/>
        <v>1.04</v>
      </c>
      <c r="O4119" s="77">
        <f t="shared" si="1494"/>
        <v>0.84696936542669587</v>
      </c>
      <c r="P4119" s="76">
        <f t="shared" si="1495"/>
        <v>1</v>
      </c>
      <c r="Q4119" s="76">
        <f t="shared" si="1496"/>
        <v>0</v>
      </c>
      <c r="R4119" s="76">
        <f t="shared" si="1497"/>
        <v>0</v>
      </c>
      <c r="S4119" s="76">
        <f t="shared" si="1498"/>
        <v>1.0362919294632515</v>
      </c>
      <c r="T4119" s="76">
        <f t="shared" si="1499"/>
        <v>1.0362919294632515</v>
      </c>
      <c r="U4119" s="76">
        <f t="shared" si="1500"/>
        <v>1.04</v>
      </c>
    </row>
    <row r="4120" spans="1:21" x14ac:dyDescent="0.25">
      <c r="A4120" s="71">
        <v>16</v>
      </c>
      <c r="B4120" s="72">
        <f t="shared" si="1501"/>
        <v>46113</v>
      </c>
      <c r="C4120" s="73">
        <f t="shared" si="1482"/>
        <v>46142</v>
      </c>
      <c r="D4120" s="67">
        <f t="shared" si="1483"/>
        <v>30</v>
      </c>
      <c r="E4120" s="67">
        <f t="shared" si="1484"/>
        <v>4</v>
      </c>
      <c r="F4120" s="74">
        <f t="shared" si="1485"/>
        <v>46128</v>
      </c>
      <c r="G4120" s="67">
        <f t="shared" si="1486"/>
        <v>24315</v>
      </c>
      <c r="H4120" s="75">
        <f t="shared" si="1487"/>
        <v>1</v>
      </c>
      <c r="I4120" s="76">
        <f t="shared" si="1488"/>
        <v>1.04</v>
      </c>
      <c r="J4120" s="76">
        <f t="shared" si="1489"/>
        <v>1.04</v>
      </c>
      <c r="K4120" s="67">
        <f t="shared" si="1490"/>
        <v>0</v>
      </c>
      <c r="L4120" s="67">
        <f t="shared" si="1491"/>
        <v>0</v>
      </c>
      <c r="M4120" s="77">
        <f t="shared" si="1492"/>
        <v>0</v>
      </c>
      <c r="N4120" s="76">
        <f t="shared" si="1493"/>
        <v>1.04</v>
      </c>
      <c r="O4120" s="77">
        <f t="shared" si="1494"/>
        <v>0.84897155361050325</v>
      </c>
      <c r="P4120" s="76">
        <f t="shared" si="1495"/>
        <v>1</v>
      </c>
      <c r="Q4120" s="76">
        <f t="shared" si="1496"/>
        <v>0</v>
      </c>
      <c r="R4120" s="76">
        <f t="shared" si="1497"/>
        <v>0</v>
      </c>
      <c r="S4120" s="76">
        <f t="shared" si="1498"/>
        <v>1.0387416655940276</v>
      </c>
      <c r="T4120" s="76">
        <f t="shared" si="1499"/>
        <v>1.0387416655940276</v>
      </c>
      <c r="U4120" s="76">
        <f t="shared" si="1500"/>
        <v>1.04</v>
      </c>
    </row>
    <row r="4121" spans="1:21" x14ac:dyDescent="0.25">
      <c r="A4121" s="71">
        <v>17</v>
      </c>
      <c r="B4121" s="72">
        <f t="shared" si="1501"/>
        <v>46143</v>
      </c>
      <c r="C4121" s="73">
        <f t="shared" si="1482"/>
        <v>46173</v>
      </c>
      <c r="D4121" s="67">
        <f t="shared" si="1483"/>
        <v>31</v>
      </c>
      <c r="E4121" s="67">
        <f t="shared" si="1484"/>
        <v>5</v>
      </c>
      <c r="F4121" s="74">
        <f t="shared" si="1485"/>
        <v>46158.5</v>
      </c>
      <c r="G4121" s="67">
        <f t="shared" si="1486"/>
        <v>24316</v>
      </c>
      <c r="H4121" s="75">
        <f t="shared" si="1487"/>
        <v>1</v>
      </c>
      <c r="I4121" s="76">
        <f t="shared" si="1488"/>
        <v>1.04</v>
      </c>
      <c r="J4121" s="76">
        <f t="shared" si="1489"/>
        <v>1.04</v>
      </c>
      <c r="K4121" s="67">
        <f t="shared" si="1490"/>
        <v>0</v>
      </c>
      <c r="L4121" s="67">
        <f t="shared" si="1491"/>
        <v>0</v>
      </c>
      <c r="M4121" s="77">
        <f t="shared" si="1492"/>
        <v>0</v>
      </c>
      <c r="N4121" s="76">
        <f t="shared" si="1493"/>
        <v>1.04</v>
      </c>
      <c r="O4121" s="77">
        <f t="shared" si="1494"/>
        <v>0.85097374179431073</v>
      </c>
      <c r="P4121" s="76">
        <f t="shared" si="1495"/>
        <v>1</v>
      </c>
      <c r="Q4121" s="76">
        <f t="shared" si="1496"/>
        <v>0</v>
      </c>
      <c r="R4121" s="76">
        <f t="shared" si="1497"/>
        <v>0</v>
      </c>
      <c r="S4121" s="76">
        <f t="shared" si="1498"/>
        <v>1.0411914017248036</v>
      </c>
      <c r="T4121" s="76">
        <f t="shared" si="1499"/>
        <v>1.0411914017248036</v>
      </c>
      <c r="U4121" s="76">
        <f t="shared" si="1500"/>
        <v>1.04</v>
      </c>
    </row>
    <row r="4122" spans="1:21" x14ac:dyDescent="0.25">
      <c r="A4122" s="71">
        <v>18</v>
      </c>
      <c r="B4122" s="72">
        <f t="shared" si="1501"/>
        <v>46174</v>
      </c>
      <c r="C4122" s="73">
        <f t="shared" si="1482"/>
        <v>46203</v>
      </c>
      <c r="D4122" s="67">
        <f t="shared" si="1483"/>
        <v>30</v>
      </c>
      <c r="E4122" s="67">
        <f t="shared" si="1484"/>
        <v>6</v>
      </c>
      <c r="F4122" s="74">
        <f t="shared" si="1485"/>
        <v>46189</v>
      </c>
      <c r="G4122" s="67">
        <f t="shared" si="1486"/>
        <v>24317</v>
      </c>
      <c r="H4122" s="75">
        <f t="shared" si="1487"/>
        <v>1</v>
      </c>
      <c r="I4122" s="76">
        <f t="shared" si="1488"/>
        <v>1.04</v>
      </c>
      <c r="J4122" s="76">
        <f t="shared" si="1489"/>
        <v>1.04</v>
      </c>
      <c r="K4122" s="67">
        <f t="shared" si="1490"/>
        <v>0</v>
      </c>
      <c r="L4122" s="67">
        <f t="shared" si="1491"/>
        <v>0</v>
      </c>
      <c r="M4122" s="77">
        <f t="shared" si="1492"/>
        <v>0</v>
      </c>
      <c r="N4122" s="76">
        <f t="shared" si="1493"/>
        <v>1.04</v>
      </c>
      <c r="O4122" s="77">
        <f t="shared" si="1494"/>
        <v>0.85297592997811811</v>
      </c>
      <c r="P4122" s="76">
        <f t="shared" si="1495"/>
        <v>1</v>
      </c>
      <c r="Q4122" s="76">
        <f t="shared" si="1496"/>
        <v>0</v>
      </c>
      <c r="R4122" s="76">
        <f t="shared" si="1497"/>
        <v>0</v>
      </c>
      <c r="S4122" s="76">
        <f t="shared" si="1498"/>
        <v>1.0436411378555797</v>
      </c>
      <c r="T4122" s="76">
        <f t="shared" si="1499"/>
        <v>1.0436411378555797</v>
      </c>
      <c r="U4122" s="76">
        <f t="shared" si="1500"/>
        <v>1.04</v>
      </c>
    </row>
    <row r="4123" spans="1:21" x14ac:dyDescent="0.25">
      <c r="A4123" s="71">
        <v>19</v>
      </c>
      <c r="B4123" s="72">
        <f t="shared" si="1501"/>
        <v>46204</v>
      </c>
      <c r="C4123" s="73">
        <f t="shared" si="1482"/>
        <v>46234</v>
      </c>
      <c r="D4123" s="67">
        <f t="shared" si="1483"/>
        <v>31</v>
      </c>
      <c r="E4123" s="67">
        <f t="shared" si="1484"/>
        <v>7</v>
      </c>
      <c r="F4123" s="74">
        <f t="shared" si="1485"/>
        <v>46219.5</v>
      </c>
      <c r="G4123" s="67">
        <f t="shared" si="1486"/>
        <v>24318</v>
      </c>
      <c r="H4123" s="75">
        <f t="shared" si="1487"/>
        <v>1</v>
      </c>
      <c r="I4123" s="76">
        <f t="shared" si="1488"/>
        <v>1.04</v>
      </c>
      <c r="J4123" s="76">
        <f t="shared" si="1489"/>
        <v>1.1024</v>
      </c>
      <c r="K4123" s="67">
        <f t="shared" si="1490"/>
        <v>1</v>
      </c>
      <c r="L4123" s="67">
        <f t="shared" si="1491"/>
        <v>31</v>
      </c>
      <c r="M4123" s="77">
        <f t="shared" si="1492"/>
        <v>1</v>
      </c>
      <c r="N4123" s="76">
        <f t="shared" si="1493"/>
        <v>1.1024</v>
      </c>
      <c r="O4123" s="77">
        <f t="shared" si="1494"/>
        <v>0.85497811816192559</v>
      </c>
      <c r="P4123" s="76">
        <f t="shared" si="1495"/>
        <v>0.91666666666666663</v>
      </c>
      <c r="Q4123" s="76">
        <f t="shared" si="1496"/>
        <v>8.333333333333337E-2</v>
      </c>
      <c r="R4123" s="76">
        <f t="shared" si="1497"/>
        <v>0</v>
      </c>
      <c r="S4123" s="76">
        <f t="shared" si="1498"/>
        <v>1.1088563264255376</v>
      </c>
      <c r="T4123" s="76">
        <f t="shared" si="1499"/>
        <v>1.1088563264255376</v>
      </c>
      <c r="U4123" s="76">
        <f t="shared" si="1500"/>
        <v>1.1024</v>
      </c>
    </row>
    <row r="4124" spans="1:21" x14ac:dyDescent="0.25">
      <c r="A4124" s="71">
        <v>20</v>
      </c>
      <c r="B4124" s="72">
        <f t="shared" si="1501"/>
        <v>46235</v>
      </c>
      <c r="C4124" s="73">
        <f t="shared" si="1482"/>
        <v>46265</v>
      </c>
      <c r="D4124" s="67">
        <f t="shared" si="1483"/>
        <v>31</v>
      </c>
      <c r="E4124" s="67">
        <f t="shared" si="1484"/>
        <v>8</v>
      </c>
      <c r="F4124" s="74">
        <f t="shared" si="1485"/>
        <v>46250.5</v>
      </c>
      <c r="G4124" s="67">
        <f t="shared" si="1486"/>
        <v>24319</v>
      </c>
      <c r="H4124" s="75">
        <f t="shared" si="1487"/>
        <v>1</v>
      </c>
      <c r="I4124" s="76">
        <f t="shared" si="1488"/>
        <v>1.1024</v>
      </c>
      <c r="J4124" s="76">
        <f t="shared" si="1489"/>
        <v>1.1024</v>
      </c>
      <c r="K4124" s="67">
        <f t="shared" si="1490"/>
        <v>0</v>
      </c>
      <c r="L4124" s="67">
        <f t="shared" si="1491"/>
        <v>0</v>
      </c>
      <c r="M4124" s="77">
        <f t="shared" si="1492"/>
        <v>0</v>
      </c>
      <c r="N4124" s="76">
        <f t="shared" si="1493"/>
        <v>1.1024</v>
      </c>
      <c r="O4124" s="77">
        <f t="shared" si="1494"/>
        <v>0.85701312910284466</v>
      </c>
      <c r="P4124" s="76">
        <f t="shared" si="1495"/>
        <v>0.75</v>
      </c>
      <c r="Q4124" s="76">
        <f t="shared" si="1496"/>
        <v>0.25</v>
      </c>
      <c r="R4124" s="76">
        <f t="shared" si="1497"/>
        <v>0</v>
      </c>
      <c r="S4124" s="76">
        <f t="shared" si="1498"/>
        <v>1.1114956159093834</v>
      </c>
      <c r="T4124" s="76">
        <f t="shared" si="1499"/>
        <v>1.1114956159093834</v>
      </c>
      <c r="U4124" s="76">
        <f t="shared" si="1500"/>
        <v>1.1024</v>
      </c>
    </row>
    <row r="4125" spans="1:21" x14ac:dyDescent="0.25">
      <c r="A4125" s="71">
        <v>21</v>
      </c>
      <c r="B4125" s="72">
        <f t="shared" si="1501"/>
        <v>46266</v>
      </c>
      <c r="C4125" s="73">
        <f t="shared" si="1482"/>
        <v>46295</v>
      </c>
      <c r="D4125" s="67">
        <f t="shared" si="1483"/>
        <v>30</v>
      </c>
      <c r="E4125" s="67">
        <f t="shared" si="1484"/>
        <v>9</v>
      </c>
      <c r="F4125" s="74">
        <f t="shared" si="1485"/>
        <v>46281</v>
      </c>
      <c r="G4125" s="67">
        <f t="shared" si="1486"/>
        <v>24320</v>
      </c>
      <c r="H4125" s="75">
        <f t="shared" si="1487"/>
        <v>1</v>
      </c>
      <c r="I4125" s="76">
        <f t="shared" si="1488"/>
        <v>1.1024</v>
      </c>
      <c r="J4125" s="76">
        <f t="shared" si="1489"/>
        <v>1.1024</v>
      </c>
      <c r="K4125" s="67">
        <f t="shared" si="1490"/>
        <v>0</v>
      </c>
      <c r="L4125" s="67">
        <f t="shared" si="1491"/>
        <v>0</v>
      </c>
      <c r="M4125" s="77">
        <f t="shared" si="1492"/>
        <v>0</v>
      </c>
      <c r="N4125" s="76">
        <f t="shared" si="1493"/>
        <v>1.1024</v>
      </c>
      <c r="O4125" s="77">
        <f t="shared" si="1494"/>
        <v>0.85901531728665204</v>
      </c>
      <c r="P4125" s="76">
        <f t="shared" si="1495"/>
        <v>0.58333333333333337</v>
      </c>
      <c r="Q4125" s="76">
        <f t="shared" si="1496"/>
        <v>0.41666666666666663</v>
      </c>
      <c r="R4125" s="76">
        <f t="shared" si="1497"/>
        <v>0</v>
      </c>
      <c r="S4125" s="76">
        <f t="shared" si="1498"/>
        <v>1.1140923362080062</v>
      </c>
      <c r="T4125" s="76">
        <f t="shared" si="1499"/>
        <v>1.1140923362080062</v>
      </c>
      <c r="U4125" s="76">
        <f t="shared" si="1500"/>
        <v>1.1024</v>
      </c>
    </row>
    <row r="4126" spans="1:21" x14ac:dyDescent="0.25">
      <c r="A4126" s="71">
        <v>22</v>
      </c>
      <c r="B4126" s="72">
        <f t="shared" si="1501"/>
        <v>46296</v>
      </c>
      <c r="C4126" s="73">
        <f t="shared" si="1482"/>
        <v>46326</v>
      </c>
      <c r="D4126" s="67">
        <f t="shared" si="1483"/>
        <v>31</v>
      </c>
      <c r="E4126" s="67">
        <f t="shared" si="1484"/>
        <v>10</v>
      </c>
      <c r="F4126" s="74">
        <f t="shared" si="1485"/>
        <v>46311.5</v>
      </c>
      <c r="G4126" s="67">
        <f t="shared" si="1486"/>
        <v>24321</v>
      </c>
      <c r="H4126" s="75">
        <f t="shared" si="1487"/>
        <v>1</v>
      </c>
      <c r="I4126" s="76">
        <f t="shared" si="1488"/>
        <v>1.1024</v>
      </c>
      <c r="J4126" s="76">
        <f t="shared" si="1489"/>
        <v>1.1024</v>
      </c>
      <c r="K4126" s="67">
        <f t="shared" si="1490"/>
        <v>0</v>
      </c>
      <c r="L4126" s="67">
        <f t="shared" si="1491"/>
        <v>0</v>
      </c>
      <c r="M4126" s="77">
        <f t="shared" si="1492"/>
        <v>0</v>
      </c>
      <c r="N4126" s="76">
        <f t="shared" si="1493"/>
        <v>1.1024</v>
      </c>
      <c r="O4126" s="77">
        <f t="shared" si="1494"/>
        <v>0.86101750547045952</v>
      </c>
      <c r="P4126" s="76">
        <f t="shared" si="1495"/>
        <v>0.41666666666666669</v>
      </c>
      <c r="Q4126" s="76">
        <f t="shared" si="1496"/>
        <v>0.58333333333333326</v>
      </c>
      <c r="R4126" s="76">
        <f t="shared" si="1497"/>
        <v>0</v>
      </c>
      <c r="S4126" s="76">
        <f t="shared" si="1498"/>
        <v>1.116689056506629</v>
      </c>
      <c r="T4126" s="76">
        <f t="shared" si="1499"/>
        <v>1.116689056506629</v>
      </c>
      <c r="U4126" s="76">
        <f t="shared" si="1500"/>
        <v>1.1024</v>
      </c>
    </row>
    <row r="4127" spans="1:21" x14ac:dyDescent="0.25">
      <c r="A4127" s="71">
        <v>23</v>
      </c>
      <c r="B4127" s="72">
        <f t="shared" si="1501"/>
        <v>46327</v>
      </c>
      <c r="C4127" s="73">
        <f t="shared" si="1482"/>
        <v>46356</v>
      </c>
      <c r="D4127" s="67">
        <f t="shared" si="1483"/>
        <v>30</v>
      </c>
      <c r="E4127" s="67">
        <f t="shared" si="1484"/>
        <v>11</v>
      </c>
      <c r="F4127" s="74">
        <f t="shared" si="1485"/>
        <v>46342</v>
      </c>
      <c r="G4127" s="67">
        <f t="shared" si="1486"/>
        <v>24322</v>
      </c>
      <c r="H4127" s="75">
        <f t="shared" si="1487"/>
        <v>1</v>
      </c>
      <c r="I4127" s="76">
        <f t="shared" si="1488"/>
        <v>1.1024</v>
      </c>
      <c r="J4127" s="76">
        <f t="shared" si="1489"/>
        <v>1.1024</v>
      </c>
      <c r="K4127" s="67">
        <f t="shared" si="1490"/>
        <v>0</v>
      </c>
      <c r="L4127" s="67">
        <f t="shared" si="1491"/>
        <v>0</v>
      </c>
      <c r="M4127" s="77">
        <f t="shared" si="1492"/>
        <v>0</v>
      </c>
      <c r="N4127" s="76">
        <f t="shared" si="1493"/>
        <v>1.1024</v>
      </c>
      <c r="O4127" s="77">
        <f t="shared" si="1494"/>
        <v>0.8630196936542669</v>
      </c>
      <c r="P4127" s="76">
        <f t="shared" si="1495"/>
        <v>0.25</v>
      </c>
      <c r="Q4127" s="76">
        <f t="shared" si="1496"/>
        <v>0.75</v>
      </c>
      <c r="R4127" s="76">
        <f t="shared" si="1497"/>
        <v>0</v>
      </c>
      <c r="S4127" s="76">
        <f t="shared" si="1498"/>
        <v>1.1192857768052518</v>
      </c>
      <c r="T4127" s="76">
        <f t="shared" si="1499"/>
        <v>1.1192857768052518</v>
      </c>
      <c r="U4127" s="76">
        <f t="shared" si="1500"/>
        <v>1.1024</v>
      </c>
    </row>
    <row r="4128" spans="1:21" x14ac:dyDescent="0.25">
      <c r="A4128" s="71">
        <v>24</v>
      </c>
      <c r="B4128" s="72">
        <f t="shared" si="1501"/>
        <v>46357</v>
      </c>
      <c r="C4128" s="73">
        <f t="shared" si="1482"/>
        <v>46387</v>
      </c>
      <c r="D4128" s="67">
        <f t="shared" si="1483"/>
        <v>31</v>
      </c>
      <c r="E4128" s="67">
        <f t="shared" si="1484"/>
        <v>12</v>
      </c>
      <c r="F4128" s="74">
        <f t="shared" si="1485"/>
        <v>46372.5</v>
      </c>
      <c r="G4128" s="67">
        <f t="shared" si="1486"/>
        <v>24323</v>
      </c>
      <c r="H4128" s="75">
        <f t="shared" si="1487"/>
        <v>1</v>
      </c>
      <c r="I4128" s="76">
        <f t="shared" si="1488"/>
        <v>1.1024</v>
      </c>
      <c r="J4128" s="76">
        <f t="shared" si="1489"/>
        <v>1.1024</v>
      </c>
      <c r="K4128" s="67">
        <f t="shared" si="1490"/>
        <v>0</v>
      </c>
      <c r="L4128" s="67">
        <f t="shared" si="1491"/>
        <v>0</v>
      </c>
      <c r="M4128" s="77">
        <f t="shared" si="1492"/>
        <v>0</v>
      </c>
      <c r="N4128" s="76">
        <f t="shared" si="1493"/>
        <v>1.1024</v>
      </c>
      <c r="O4128" s="77">
        <f t="shared" si="1494"/>
        <v>0.86502188183807438</v>
      </c>
      <c r="P4128" s="76">
        <f t="shared" si="1495"/>
        <v>8.3333333333333329E-2</v>
      </c>
      <c r="Q4128" s="76">
        <f t="shared" si="1496"/>
        <v>0.91666666666666663</v>
      </c>
      <c r="R4128" s="76">
        <f t="shared" si="1497"/>
        <v>0</v>
      </c>
      <c r="S4128" s="76">
        <f t="shared" si="1498"/>
        <v>1.1218824971038743</v>
      </c>
      <c r="T4128" s="76">
        <f t="shared" si="1499"/>
        <v>1.1218824971038743</v>
      </c>
      <c r="U4128" s="76">
        <f t="shared" si="1500"/>
        <v>1.1024</v>
      </c>
    </row>
    <row r="4129" spans="1:21" x14ac:dyDescent="0.25">
      <c r="A4129" s="71">
        <v>25</v>
      </c>
      <c r="B4129" s="72">
        <f t="shared" si="1501"/>
        <v>46388</v>
      </c>
      <c r="C4129" s="73">
        <f t="shared" si="1482"/>
        <v>46418</v>
      </c>
      <c r="D4129" s="67">
        <f t="shared" si="1483"/>
        <v>31</v>
      </c>
      <c r="E4129" s="67">
        <f t="shared" si="1484"/>
        <v>1</v>
      </c>
      <c r="F4129" s="74">
        <f t="shared" si="1485"/>
        <v>46403.5</v>
      </c>
      <c r="G4129" s="67">
        <f t="shared" si="1486"/>
        <v>24324</v>
      </c>
      <c r="H4129" s="75">
        <f t="shared" si="1487"/>
        <v>1</v>
      </c>
      <c r="I4129" s="76">
        <f t="shared" si="1488"/>
        <v>1.1024</v>
      </c>
      <c r="J4129" s="76">
        <f t="shared" si="1489"/>
        <v>1.1024</v>
      </c>
      <c r="K4129" s="67">
        <f t="shared" si="1490"/>
        <v>0</v>
      </c>
      <c r="L4129" s="67">
        <f t="shared" si="1491"/>
        <v>0</v>
      </c>
      <c r="M4129" s="77">
        <f t="shared" si="1492"/>
        <v>0</v>
      </c>
      <c r="N4129" s="76">
        <f t="shared" si="1493"/>
        <v>1.1024</v>
      </c>
      <c r="O4129" s="77">
        <f t="shared" si="1494"/>
        <v>0.86705689277899345</v>
      </c>
      <c r="P4129" s="76">
        <f t="shared" si="1495"/>
        <v>0</v>
      </c>
      <c r="Q4129" s="76">
        <f t="shared" si="1496"/>
        <v>1</v>
      </c>
      <c r="R4129" s="76">
        <f t="shared" si="1497"/>
        <v>0</v>
      </c>
      <c r="S4129" s="76">
        <f t="shared" si="1498"/>
        <v>1.1245217865877206</v>
      </c>
      <c r="T4129" s="76">
        <f t="shared" si="1499"/>
        <v>1.031553095636504</v>
      </c>
      <c r="U4129" s="76">
        <f t="shared" si="1500"/>
        <v>1.1024</v>
      </c>
    </row>
    <row r="4130" spans="1:21" x14ac:dyDescent="0.25">
      <c r="A4130" s="71">
        <v>26</v>
      </c>
      <c r="B4130" s="72">
        <f t="shared" si="1501"/>
        <v>46419</v>
      </c>
      <c r="C4130" s="73">
        <f t="shared" si="1482"/>
        <v>46446</v>
      </c>
      <c r="D4130" s="67">
        <f t="shared" si="1483"/>
        <v>28</v>
      </c>
      <c r="E4130" s="67">
        <f t="shared" si="1484"/>
        <v>2</v>
      </c>
      <c r="F4130" s="74">
        <f t="shared" si="1485"/>
        <v>46433</v>
      </c>
      <c r="G4130" s="67">
        <f t="shared" si="1486"/>
        <v>24325</v>
      </c>
      <c r="H4130" s="75">
        <f t="shared" si="1487"/>
        <v>1</v>
      </c>
      <c r="I4130" s="76">
        <f t="shared" si="1488"/>
        <v>1.1024</v>
      </c>
      <c r="J4130" s="76">
        <f t="shared" si="1489"/>
        <v>1.1024</v>
      </c>
      <c r="K4130" s="67">
        <f t="shared" si="1490"/>
        <v>0</v>
      </c>
      <c r="L4130" s="67">
        <f t="shared" si="1491"/>
        <v>0</v>
      </c>
      <c r="M4130" s="77">
        <f t="shared" si="1492"/>
        <v>0</v>
      </c>
      <c r="N4130" s="76">
        <f t="shared" si="1493"/>
        <v>1.1024</v>
      </c>
      <c r="O4130" s="77">
        <f t="shared" si="1494"/>
        <v>0.86899343544857766</v>
      </c>
      <c r="P4130" s="76">
        <f t="shared" si="1495"/>
        <v>0</v>
      </c>
      <c r="Q4130" s="76">
        <f t="shared" si="1496"/>
        <v>1</v>
      </c>
      <c r="R4130" s="76">
        <f t="shared" si="1497"/>
        <v>0</v>
      </c>
      <c r="S4130" s="76">
        <f t="shared" si="1498"/>
        <v>1.1270333685158964</v>
      </c>
      <c r="T4130" s="76">
        <f t="shared" si="1499"/>
        <v>1.0339225125498777</v>
      </c>
      <c r="U4130" s="76">
        <f t="shared" si="1500"/>
        <v>1.1024</v>
      </c>
    </row>
    <row r="4131" spans="1:21" x14ac:dyDescent="0.25">
      <c r="A4131" s="71">
        <v>27</v>
      </c>
      <c r="B4131" s="72">
        <f t="shared" si="1501"/>
        <v>46447</v>
      </c>
      <c r="C4131" s="73">
        <f t="shared" si="1482"/>
        <v>46477</v>
      </c>
      <c r="D4131" s="67">
        <f t="shared" si="1483"/>
        <v>31</v>
      </c>
      <c r="E4131" s="67">
        <f t="shared" si="1484"/>
        <v>3</v>
      </c>
      <c r="F4131" s="74">
        <f t="shared" si="1485"/>
        <v>46462.5</v>
      </c>
      <c r="G4131" s="67">
        <f t="shared" si="1486"/>
        <v>24326</v>
      </c>
      <c r="H4131" s="75">
        <f t="shared" si="1487"/>
        <v>1</v>
      </c>
      <c r="I4131" s="76">
        <f t="shared" si="1488"/>
        <v>1.1024</v>
      </c>
      <c r="J4131" s="76">
        <f t="shared" si="1489"/>
        <v>1.1024</v>
      </c>
      <c r="K4131" s="67">
        <f t="shared" si="1490"/>
        <v>0</v>
      </c>
      <c r="L4131" s="67">
        <f t="shared" si="1491"/>
        <v>0</v>
      </c>
      <c r="M4131" s="77">
        <f t="shared" si="1492"/>
        <v>0</v>
      </c>
      <c r="N4131" s="76">
        <f t="shared" si="1493"/>
        <v>1.1024</v>
      </c>
      <c r="O4131" s="77">
        <f t="shared" si="1494"/>
        <v>0.87092997811816197</v>
      </c>
      <c r="P4131" s="76">
        <f t="shared" si="1495"/>
        <v>0</v>
      </c>
      <c r="Q4131" s="76">
        <f t="shared" si="1496"/>
        <v>1</v>
      </c>
      <c r="R4131" s="76">
        <f t="shared" si="1497"/>
        <v>0</v>
      </c>
      <c r="S4131" s="76">
        <f t="shared" si="1498"/>
        <v>1.1295449504440729</v>
      </c>
      <c r="T4131" s="76">
        <f t="shared" si="1499"/>
        <v>1.0362919294632515</v>
      </c>
      <c r="U4131" s="76">
        <f t="shared" si="1500"/>
        <v>1.1024</v>
      </c>
    </row>
    <row r="4132" spans="1:21" x14ac:dyDescent="0.25">
      <c r="A4132" s="71">
        <v>28</v>
      </c>
      <c r="B4132" s="72">
        <f t="shared" si="1501"/>
        <v>46478</v>
      </c>
      <c r="C4132" s="73">
        <f t="shared" si="1482"/>
        <v>46507</v>
      </c>
      <c r="D4132" s="67">
        <f t="shared" si="1483"/>
        <v>30</v>
      </c>
      <c r="E4132" s="67">
        <f t="shared" si="1484"/>
        <v>4</v>
      </c>
      <c r="F4132" s="74">
        <f t="shared" si="1485"/>
        <v>46493</v>
      </c>
      <c r="G4132" s="67">
        <f t="shared" si="1486"/>
        <v>24327</v>
      </c>
      <c r="H4132" s="75">
        <f t="shared" si="1487"/>
        <v>1</v>
      </c>
      <c r="I4132" s="76">
        <f t="shared" si="1488"/>
        <v>1.1024</v>
      </c>
      <c r="J4132" s="76">
        <f t="shared" si="1489"/>
        <v>1.1575200000000001</v>
      </c>
      <c r="K4132" s="67">
        <f t="shared" si="1490"/>
        <v>1</v>
      </c>
      <c r="L4132" s="67">
        <f t="shared" si="1491"/>
        <v>30</v>
      </c>
      <c r="M4132" s="77">
        <f t="shared" si="1492"/>
        <v>1</v>
      </c>
      <c r="N4132" s="76">
        <f t="shared" si="1493"/>
        <v>1.1575200000000001</v>
      </c>
      <c r="O4132" s="77">
        <f t="shared" si="1494"/>
        <v>0.87293216630196935</v>
      </c>
      <c r="P4132" s="76">
        <f t="shared" si="1495"/>
        <v>0</v>
      </c>
      <c r="Q4132" s="76">
        <f t="shared" si="1496"/>
        <v>1</v>
      </c>
      <c r="R4132" s="76">
        <f t="shared" si="1497"/>
        <v>0</v>
      </c>
      <c r="S4132" s="76">
        <f t="shared" si="1498"/>
        <v>1.1887487542798303</v>
      </c>
      <c r="T4132" s="76">
        <f t="shared" si="1499"/>
        <v>1.0387416655940276</v>
      </c>
      <c r="U4132" s="76">
        <f t="shared" si="1500"/>
        <v>1.1575200000000001</v>
      </c>
    </row>
    <row r="4133" spans="1:21" x14ac:dyDescent="0.25">
      <c r="A4133" s="71">
        <v>29</v>
      </c>
      <c r="B4133" s="72">
        <f t="shared" si="1501"/>
        <v>46508</v>
      </c>
      <c r="C4133" s="73">
        <f t="shared" si="1482"/>
        <v>46538</v>
      </c>
      <c r="D4133" s="67">
        <f t="shared" si="1483"/>
        <v>31</v>
      </c>
      <c r="E4133" s="67">
        <f t="shared" si="1484"/>
        <v>5</v>
      </c>
      <c r="F4133" s="74">
        <f t="shared" si="1485"/>
        <v>46523.5</v>
      </c>
      <c r="G4133" s="67">
        <f t="shared" si="1486"/>
        <v>24328</v>
      </c>
      <c r="H4133" s="75">
        <f t="shared" si="1487"/>
        <v>1</v>
      </c>
      <c r="I4133" s="76">
        <f t="shared" si="1488"/>
        <v>1.1575200000000001</v>
      </c>
      <c r="J4133" s="76">
        <f t="shared" si="1489"/>
        <v>1.1575200000000001</v>
      </c>
      <c r="K4133" s="67">
        <f t="shared" si="1490"/>
        <v>0</v>
      </c>
      <c r="L4133" s="67">
        <f t="shared" si="1491"/>
        <v>0</v>
      </c>
      <c r="M4133" s="77">
        <f t="shared" si="1492"/>
        <v>0</v>
      </c>
      <c r="N4133" s="76">
        <f t="shared" si="1493"/>
        <v>1.1575200000000001</v>
      </c>
      <c r="O4133" s="77">
        <f t="shared" si="1494"/>
        <v>0.87493435448577683</v>
      </c>
      <c r="P4133" s="76">
        <f t="shared" si="1495"/>
        <v>0</v>
      </c>
      <c r="Q4133" s="76">
        <f t="shared" si="1496"/>
        <v>1</v>
      </c>
      <c r="R4133" s="76">
        <f t="shared" si="1497"/>
        <v>0</v>
      </c>
      <c r="S4133" s="76">
        <f t="shared" si="1498"/>
        <v>1.191475310593384</v>
      </c>
      <c r="T4133" s="76">
        <f t="shared" si="1499"/>
        <v>1.0411914017248036</v>
      </c>
      <c r="U4133" s="76">
        <f t="shared" si="1500"/>
        <v>1.1575200000000001</v>
      </c>
    </row>
    <row r="4134" spans="1:21" x14ac:dyDescent="0.25">
      <c r="A4134" s="71">
        <v>30</v>
      </c>
      <c r="B4134" s="72">
        <f t="shared" si="1501"/>
        <v>46539</v>
      </c>
      <c r="C4134" s="73">
        <f t="shared" si="1482"/>
        <v>46568</v>
      </c>
      <c r="D4134" s="67">
        <f t="shared" si="1483"/>
        <v>30</v>
      </c>
      <c r="E4134" s="67">
        <f t="shared" si="1484"/>
        <v>6</v>
      </c>
      <c r="F4134" s="74">
        <f t="shared" si="1485"/>
        <v>46554</v>
      </c>
      <c r="G4134" s="67">
        <f t="shared" si="1486"/>
        <v>24329</v>
      </c>
      <c r="H4134" s="75">
        <f t="shared" si="1487"/>
        <v>1</v>
      </c>
      <c r="I4134" s="76">
        <f t="shared" si="1488"/>
        <v>1.1575200000000001</v>
      </c>
      <c r="J4134" s="76">
        <f t="shared" si="1489"/>
        <v>1.1575200000000001</v>
      </c>
      <c r="K4134" s="67">
        <f t="shared" si="1490"/>
        <v>0</v>
      </c>
      <c r="L4134" s="67">
        <f t="shared" si="1491"/>
        <v>0</v>
      </c>
      <c r="M4134" s="77">
        <f t="shared" si="1492"/>
        <v>0</v>
      </c>
      <c r="N4134" s="76">
        <f t="shared" si="1493"/>
        <v>1.1575200000000001</v>
      </c>
      <c r="O4134" s="77">
        <f t="shared" si="1494"/>
        <v>0.87693654266958421</v>
      </c>
      <c r="P4134" s="76">
        <f t="shared" si="1495"/>
        <v>0</v>
      </c>
      <c r="Q4134" s="76">
        <f t="shared" si="1496"/>
        <v>1</v>
      </c>
      <c r="R4134" s="76">
        <f t="shared" si="1497"/>
        <v>0</v>
      </c>
      <c r="S4134" s="76">
        <f t="shared" si="1498"/>
        <v>1.1942018669069379</v>
      </c>
      <c r="T4134" s="76">
        <f t="shared" si="1499"/>
        <v>1.0436411378555797</v>
      </c>
      <c r="U4134" s="76">
        <f t="shared" si="1500"/>
        <v>1.1575200000000001</v>
      </c>
    </row>
    <row r="4135" spans="1:21" x14ac:dyDescent="0.25">
      <c r="A4135" s="71">
        <v>31</v>
      </c>
      <c r="B4135" s="72">
        <f t="shared" si="1501"/>
        <v>46569</v>
      </c>
      <c r="C4135" s="73">
        <f t="shared" si="1482"/>
        <v>46599</v>
      </c>
      <c r="D4135" s="67">
        <f t="shared" si="1483"/>
        <v>31</v>
      </c>
      <c r="E4135" s="67">
        <f t="shared" si="1484"/>
        <v>7</v>
      </c>
      <c r="F4135" s="74">
        <f t="shared" si="1485"/>
        <v>46584.5</v>
      </c>
      <c r="G4135" s="67">
        <f t="shared" si="1486"/>
        <v>24330</v>
      </c>
      <c r="H4135" s="75">
        <f t="shared" si="1487"/>
        <v>1</v>
      </c>
      <c r="I4135" s="76">
        <f t="shared" si="1488"/>
        <v>1.1575200000000001</v>
      </c>
      <c r="J4135" s="76">
        <f t="shared" si="1489"/>
        <v>1.1575200000000001</v>
      </c>
      <c r="K4135" s="67">
        <f t="shared" si="1490"/>
        <v>0</v>
      </c>
      <c r="L4135" s="67">
        <f t="shared" si="1491"/>
        <v>0</v>
      </c>
      <c r="M4135" s="77">
        <f t="shared" si="1492"/>
        <v>0</v>
      </c>
      <c r="N4135" s="76">
        <f t="shared" si="1493"/>
        <v>1.1575200000000001</v>
      </c>
      <c r="O4135" s="77">
        <f t="shared" si="1494"/>
        <v>0.87893873085339169</v>
      </c>
      <c r="P4135" s="76">
        <f t="shared" si="1495"/>
        <v>0</v>
      </c>
      <c r="Q4135" s="76">
        <f t="shared" si="1496"/>
        <v>0.91666666666666663</v>
      </c>
      <c r="R4135" s="76">
        <f t="shared" si="1497"/>
        <v>8.333333333333337E-2</v>
      </c>
      <c r="S4135" s="76">
        <f t="shared" si="1498"/>
        <v>1.1969284232204918</v>
      </c>
      <c r="T4135" s="76">
        <f t="shared" si="1499"/>
        <v>1.1088563264255376</v>
      </c>
      <c r="U4135" s="76">
        <f t="shared" si="1500"/>
        <v>1.1575200000000001</v>
      </c>
    </row>
    <row r="4136" spans="1:21" x14ac:dyDescent="0.25">
      <c r="A4136" s="71">
        <v>32</v>
      </c>
      <c r="B4136" s="72">
        <f t="shared" si="1501"/>
        <v>46600</v>
      </c>
      <c r="C4136" s="73">
        <f t="shared" si="1482"/>
        <v>46630</v>
      </c>
      <c r="D4136" s="67">
        <f t="shared" si="1483"/>
        <v>31</v>
      </c>
      <c r="E4136" s="67">
        <f t="shared" si="1484"/>
        <v>8</v>
      </c>
      <c r="F4136" s="74">
        <f t="shared" si="1485"/>
        <v>46615.5</v>
      </c>
      <c r="G4136" s="67">
        <f t="shared" si="1486"/>
        <v>24331</v>
      </c>
      <c r="H4136" s="75">
        <f t="shared" si="1487"/>
        <v>1</v>
      </c>
      <c r="I4136" s="76">
        <f t="shared" si="1488"/>
        <v>1.1575200000000001</v>
      </c>
      <c r="J4136" s="76">
        <f t="shared" si="1489"/>
        <v>1.1575200000000001</v>
      </c>
      <c r="K4136" s="67">
        <f t="shared" si="1490"/>
        <v>0</v>
      </c>
      <c r="L4136" s="67">
        <f t="shared" si="1491"/>
        <v>0</v>
      </c>
      <c r="M4136" s="77">
        <f t="shared" si="1492"/>
        <v>0</v>
      </c>
      <c r="N4136" s="76">
        <f t="shared" si="1493"/>
        <v>1.1575200000000001</v>
      </c>
      <c r="O4136" s="77">
        <f t="shared" si="1494"/>
        <v>0.88097374179431076</v>
      </c>
      <c r="P4136" s="76">
        <f t="shared" si="1495"/>
        <v>0</v>
      </c>
      <c r="Q4136" s="76">
        <f t="shared" si="1496"/>
        <v>0.75</v>
      </c>
      <c r="R4136" s="76">
        <f t="shared" si="1497"/>
        <v>0.25</v>
      </c>
      <c r="S4136" s="76">
        <f t="shared" si="1498"/>
        <v>1.1996996771785302</v>
      </c>
      <c r="T4136" s="76">
        <f t="shared" si="1499"/>
        <v>1.1114956159093834</v>
      </c>
      <c r="U4136" s="76">
        <f t="shared" si="1500"/>
        <v>1.1575200000000001</v>
      </c>
    </row>
    <row r="4137" spans="1:21" x14ac:dyDescent="0.25">
      <c r="A4137" s="71">
        <v>33</v>
      </c>
      <c r="B4137" s="72">
        <f t="shared" si="1501"/>
        <v>46631</v>
      </c>
      <c r="C4137" s="73">
        <f t="shared" si="1482"/>
        <v>46660</v>
      </c>
      <c r="D4137" s="67">
        <f t="shared" si="1483"/>
        <v>30</v>
      </c>
      <c r="E4137" s="67">
        <f t="shared" si="1484"/>
        <v>9</v>
      </c>
      <c r="F4137" s="74">
        <f t="shared" si="1485"/>
        <v>46646</v>
      </c>
      <c r="G4137" s="67">
        <f t="shared" si="1486"/>
        <v>24332</v>
      </c>
      <c r="H4137" s="75">
        <f t="shared" si="1487"/>
        <v>1</v>
      </c>
      <c r="I4137" s="76">
        <f t="shared" si="1488"/>
        <v>1.1575200000000001</v>
      </c>
      <c r="J4137" s="76">
        <f t="shared" si="1489"/>
        <v>1.1575200000000001</v>
      </c>
      <c r="K4137" s="67">
        <f t="shared" si="1490"/>
        <v>0</v>
      </c>
      <c r="L4137" s="67">
        <f t="shared" si="1491"/>
        <v>0</v>
      </c>
      <c r="M4137" s="77">
        <f t="shared" si="1492"/>
        <v>0</v>
      </c>
      <c r="N4137" s="76">
        <f t="shared" si="1493"/>
        <v>1.1575200000000001</v>
      </c>
      <c r="O4137" s="77">
        <f t="shared" si="1494"/>
        <v>0.88297592997811813</v>
      </c>
      <c r="P4137" s="76">
        <f t="shared" si="1495"/>
        <v>0</v>
      </c>
      <c r="Q4137" s="76">
        <f t="shared" si="1496"/>
        <v>0.58333333333333337</v>
      </c>
      <c r="R4137" s="76">
        <f t="shared" si="1497"/>
        <v>0.41666666666666663</v>
      </c>
      <c r="S4137" s="76">
        <f t="shared" si="1498"/>
        <v>1.2024262334920839</v>
      </c>
      <c r="T4137" s="76">
        <f t="shared" si="1499"/>
        <v>1.1140923362080062</v>
      </c>
      <c r="U4137" s="76">
        <f t="shared" si="1500"/>
        <v>1.1575200000000001</v>
      </c>
    </row>
    <row r="4138" spans="1:21" x14ac:dyDescent="0.25">
      <c r="A4138" s="71">
        <v>34</v>
      </c>
      <c r="B4138" s="72">
        <f t="shared" si="1501"/>
        <v>46661</v>
      </c>
      <c r="C4138" s="73">
        <f t="shared" si="1482"/>
        <v>46691</v>
      </c>
      <c r="D4138" s="67">
        <f t="shared" si="1483"/>
        <v>31</v>
      </c>
      <c r="E4138" s="67">
        <f t="shared" si="1484"/>
        <v>10</v>
      </c>
      <c r="F4138" s="74">
        <f t="shared" si="1485"/>
        <v>46676.5</v>
      </c>
      <c r="G4138" s="67">
        <f t="shared" si="1486"/>
        <v>24333</v>
      </c>
      <c r="H4138" s="75">
        <f t="shared" si="1487"/>
        <v>1</v>
      </c>
      <c r="I4138" s="76">
        <f t="shared" si="1488"/>
        <v>1.1575200000000001</v>
      </c>
      <c r="J4138" s="76">
        <f t="shared" si="1489"/>
        <v>1.1575200000000001</v>
      </c>
      <c r="K4138" s="67">
        <f t="shared" si="1490"/>
        <v>0</v>
      </c>
      <c r="L4138" s="67">
        <f t="shared" si="1491"/>
        <v>0</v>
      </c>
      <c r="M4138" s="77">
        <f t="shared" si="1492"/>
        <v>0</v>
      </c>
      <c r="N4138" s="76">
        <f t="shared" si="1493"/>
        <v>1.1575200000000001</v>
      </c>
      <c r="O4138" s="77">
        <f t="shared" si="1494"/>
        <v>0.88497811816192562</v>
      </c>
      <c r="P4138" s="76">
        <f t="shared" si="1495"/>
        <v>0</v>
      </c>
      <c r="Q4138" s="76">
        <f t="shared" si="1496"/>
        <v>0.41666666666666669</v>
      </c>
      <c r="R4138" s="76">
        <f t="shared" si="1497"/>
        <v>0.58333333333333326</v>
      </c>
      <c r="S4138" s="76">
        <f t="shared" si="1498"/>
        <v>1.205152789805638</v>
      </c>
      <c r="T4138" s="76">
        <f t="shared" si="1499"/>
        <v>1.116689056506629</v>
      </c>
      <c r="U4138" s="76">
        <f t="shared" si="1500"/>
        <v>1.1575200000000001</v>
      </c>
    </row>
    <row r="4139" spans="1:21" x14ac:dyDescent="0.25">
      <c r="A4139" s="71">
        <v>35</v>
      </c>
      <c r="B4139" s="72">
        <f t="shared" si="1501"/>
        <v>46692</v>
      </c>
      <c r="C4139" s="73">
        <f t="shared" si="1482"/>
        <v>46721</v>
      </c>
      <c r="D4139" s="67">
        <f t="shared" si="1483"/>
        <v>30</v>
      </c>
      <c r="E4139" s="67">
        <f t="shared" si="1484"/>
        <v>11</v>
      </c>
      <c r="F4139" s="74">
        <f t="shared" si="1485"/>
        <v>46707</v>
      </c>
      <c r="G4139" s="67">
        <f t="shared" si="1486"/>
        <v>24334</v>
      </c>
      <c r="H4139" s="75">
        <f t="shared" si="1487"/>
        <v>1</v>
      </c>
      <c r="I4139" s="76">
        <f t="shared" si="1488"/>
        <v>1.1575200000000001</v>
      </c>
      <c r="J4139" s="76">
        <f t="shared" si="1489"/>
        <v>1.1575200000000001</v>
      </c>
      <c r="K4139" s="67">
        <f t="shared" si="1490"/>
        <v>0</v>
      </c>
      <c r="L4139" s="67">
        <f t="shared" si="1491"/>
        <v>0</v>
      </c>
      <c r="M4139" s="77">
        <f t="shared" si="1492"/>
        <v>0</v>
      </c>
      <c r="N4139" s="76">
        <f t="shared" si="1493"/>
        <v>1.1575200000000001</v>
      </c>
      <c r="O4139" s="77">
        <f t="shared" si="1494"/>
        <v>0.8869803063457331</v>
      </c>
      <c r="P4139" s="76">
        <f t="shared" si="1495"/>
        <v>0</v>
      </c>
      <c r="Q4139" s="76">
        <f t="shared" si="1496"/>
        <v>0.25</v>
      </c>
      <c r="R4139" s="76">
        <f t="shared" si="1497"/>
        <v>0.75</v>
      </c>
      <c r="S4139" s="76">
        <f t="shared" si="1498"/>
        <v>1.2078793461191919</v>
      </c>
      <c r="T4139" s="76">
        <f t="shared" si="1499"/>
        <v>1.1192857768052518</v>
      </c>
      <c r="U4139" s="76">
        <f t="shared" si="1500"/>
        <v>1.1575200000000001</v>
      </c>
    </row>
    <row r="4140" spans="1:21" x14ac:dyDescent="0.25">
      <c r="A4140" s="71">
        <v>36</v>
      </c>
      <c r="B4140" s="72">
        <f t="shared" si="1501"/>
        <v>46722</v>
      </c>
      <c r="C4140" s="73">
        <f t="shared" si="1482"/>
        <v>46752</v>
      </c>
      <c r="D4140" s="67">
        <f t="shared" si="1483"/>
        <v>31</v>
      </c>
      <c r="E4140" s="67">
        <f t="shared" si="1484"/>
        <v>12</v>
      </c>
      <c r="F4140" s="74">
        <f t="shared" si="1485"/>
        <v>46737.5</v>
      </c>
      <c r="G4140" s="67">
        <f t="shared" si="1486"/>
        <v>24335</v>
      </c>
      <c r="H4140" s="75">
        <f t="shared" si="1487"/>
        <v>1</v>
      </c>
      <c r="I4140" s="76">
        <f t="shared" si="1488"/>
        <v>1.1575200000000001</v>
      </c>
      <c r="J4140" s="76">
        <f t="shared" si="1489"/>
        <v>1.1575200000000001</v>
      </c>
      <c r="K4140" s="67">
        <f t="shared" si="1490"/>
        <v>0</v>
      </c>
      <c r="L4140" s="67">
        <f t="shared" si="1491"/>
        <v>0</v>
      </c>
      <c r="M4140" s="77">
        <f t="shared" si="1492"/>
        <v>0</v>
      </c>
      <c r="N4140" s="76">
        <f t="shared" si="1493"/>
        <v>1.1575200000000001</v>
      </c>
      <c r="O4140" s="77">
        <f t="shared" si="1494"/>
        <v>0.88898249452954048</v>
      </c>
      <c r="P4140" s="76">
        <f t="shared" si="1495"/>
        <v>0</v>
      </c>
      <c r="Q4140" s="76">
        <f t="shared" si="1496"/>
        <v>8.3333333333333329E-2</v>
      </c>
      <c r="R4140" s="76">
        <f t="shared" si="1497"/>
        <v>0.91666666666666663</v>
      </c>
      <c r="S4140" s="76">
        <f t="shared" si="1498"/>
        <v>1.2106059024327456</v>
      </c>
      <c r="T4140" s="76">
        <f t="shared" si="1499"/>
        <v>1.1218824971038743</v>
      </c>
      <c r="U4140" s="76">
        <f t="shared" si="1500"/>
        <v>1.1575200000000001</v>
      </c>
    </row>
    <row r="4141" spans="1:21" x14ac:dyDescent="0.25">
      <c r="A4141" s="71">
        <v>37</v>
      </c>
      <c r="B4141" s="72">
        <f t="shared" si="1501"/>
        <v>46753</v>
      </c>
      <c r="C4141" s="73">
        <f t="shared" si="1482"/>
        <v>46783</v>
      </c>
      <c r="D4141" s="67">
        <f t="shared" si="1483"/>
        <v>31</v>
      </c>
      <c r="E4141" s="67">
        <f t="shared" si="1484"/>
        <v>1</v>
      </c>
      <c r="F4141" s="74">
        <f t="shared" si="1485"/>
        <v>46768.5</v>
      </c>
      <c r="G4141" s="67">
        <f t="shared" si="1486"/>
        <v>24336</v>
      </c>
      <c r="H4141" s="75">
        <f t="shared" si="1487"/>
        <v>1</v>
      </c>
      <c r="I4141" s="76">
        <f t="shared" si="1488"/>
        <v>1.1575200000000001</v>
      </c>
      <c r="J4141" s="76">
        <f t="shared" si="1489"/>
        <v>1.1575200000000001</v>
      </c>
      <c r="K4141" s="67">
        <f t="shared" si="1490"/>
        <v>0</v>
      </c>
      <c r="L4141" s="67">
        <f t="shared" si="1491"/>
        <v>0</v>
      </c>
      <c r="M4141" s="77">
        <f t="shared" si="1492"/>
        <v>0</v>
      </c>
      <c r="N4141" s="76">
        <f t="shared" si="1493"/>
        <v>1.1575200000000001</v>
      </c>
      <c r="O4141" s="77">
        <f t="shared" si="1494"/>
        <v>0.89</v>
      </c>
      <c r="P4141" s="76">
        <f t="shared" si="1495"/>
        <v>0</v>
      </c>
      <c r="Q4141" s="76">
        <f t="shared" si="1496"/>
        <v>0</v>
      </c>
      <c r="R4141" s="76">
        <f t="shared" si="1497"/>
        <v>1</v>
      </c>
      <c r="S4141" s="76">
        <f t="shared" si="1498"/>
        <v>1.2119915294117649</v>
      </c>
      <c r="T4141" s="76">
        <f t="shared" si="1499"/>
        <v>1.031553095636504</v>
      </c>
      <c r="U4141" s="76">
        <f t="shared" si="1500"/>
        <v>1.1575200000000001</v>
      </c>
    </row>
    <row r="4142" spans="1:21" x14ac:dyDescent="0.25">
      <c r="A4142" s="71">
        <v>38</v>
      </c>
      <c r="B4142" s="72">
        <f t="shared" si="1501"/>
        <v>46784</v>
      </c>
      <c r="C4142" s="73">
        <f t="shared" si="1482"/>
        <v>46812</v>
      </c>
      <c r="D4142" s="67">
        <f t="shared" si="1483"/>
        <v>29</v>
      </c>
      <c r="E4142" s="67">
        <f t="shared" si="1484"/>
        <v>2</v>
      </c>
      <c r="F4142" s="74">
        <f t="shared" si="1485"/>
        <v>46798.5</v>
      </c>
      <c r="G4142" s="67">
        <f t="shared" si="1486"/>
        <v>24337</v>
      </c>
      <c r="H4142" s="75">
        <f t="shared" si="1487"/>
        <v>1</v>
      </c>
      <c r="I4142" s="76">
        <f t="shared" si="1488"/>
        <v>1.1575200000000001</v>
      </c>
      <c r="J4142" s="76">
        <f t="shared" si="1489"/>
        <v>1.1575200000000001</v>
      </c>
      <c r="K4142" s="67">
        <f t="shared" si="1490"/>
        <v>0</v>
      </c>
      <c r="L4142" s="67">
        <f t="shared" si="1491"/>
        <v>0</v>
      </c>
      <c r="M4142" s="77">
        <f t="shared" si="1492"/>
        <v>0</v>
      </c>
      <c r="N4142" s="76">
        <f t="shared" si="1493"/>
        <v>1.1575200000000001</v>
      </c>
      <c r="O4142" s="77">
        <f t="shared" si="1494"/>
        <v>0.89</v>
      </c>
      <c r="P4142" s="76">
        <f t="shared" si="1495"/>
        <v>0</v>
      </c>
      <c r="Q4142" s="76">
        <f t="shared" si="1496"/>
        <v>0</v>
      </c>
      <c r="R4142" s="76">
        <f t="shared" si="1497"/>
        <v>1</v>
      </c>
      <c r="S4142" s="76">
        <f t="shared" si="1498"/>
        <v>1.2119915294117649</v>
      </c>
      <c r="T4142" s="76">
        <f t="shared" si="1499"/>
        <v>1.0339225125498777</v>
      </c>
      <c r="U4142" s="76">
        <f t="shared" si="1500"/>
        <v>1.1575200000000001</v>
      </c>
    </row>
    <row r="4143" spans="1:21" x14ac:dyDescent="0.25">
      <c r="A4143" s="71">
        <v>39</v>
      </c>
      <c r="B4143" s="72">
        <f t="shared" si="1501"/>
        <v>46813</v>
      </c>
      <c r="C4143" s="73">
        <f t="shared" si="1482"/>
        <v>46843</v>
      </c>
      <c r="D4143" s="67">
        <f t="shared" si="1483"/>
        <v>31</v>
      </c>
      <c r="E4143" s="67">
        <f t="shared" si="1484"/>
        <v>3</v>
      </c>
      <c r="F4143" s="74">
        <f t="shared" si="1485"/>
        <v>46828.5</v>
      </c>
      <c r="G4143" s="67">
        <f t="shared" si="1486"/>
        <v>24338</v>
      </c>
      <c r="H4143" s="75">
        <f t="shared" si="1487"/>
        <v>1</v>
      </c>
      <c r="I4143" s="76">
        <f t="shared" si="1488"/>
        <v>1.1575200000000001</v>
      </c>
      <c r="J4143" s="76">
        <f t="shared" si="1489"/>
        <v>1.1575200000000001</v>
      </c>
      <c r="K4143" s="67">
        <f t="shared" si="1490"/>
        <v>0</v>
      </c>
      <c r="L4143" s="67">
        <f t="shared" si="1491"/>
        <v>0</v>
      </c>
      <c r="M4143" s="77">
        <f t="shared" si="1492"/>
        <v>0</v>
      </c>
      <c r="N4143" s="76">
        <f t="shared" si="1493"/>
        <v>1.1575200000000001</v>
      </c>
      <c r="O4143" s="77">
        <f t="shared" si="1494"/>
        <v>0.89</v>
      </c>
      <c r="P4143" s="76">
        <f t="shared" si="1495"/>
        <v>0</v>
      </c>
      <c r="Q4143" s="76">
        <f t="shared" si="1496"/>
        <v>0</v>
      </c>
      <c r="R4143" s="76">
        <f t="shared" si="1497"/>
        <v>1</v>
      </c>
      <c r="S4143" s="76">
        <f t="shared" si="1498"/>
        <v>1.2119915294117649</v>
      </c>
      <c r="T4143" s="76">
        <f t="shared" si="1499"/>
        <v>1.0362919294632515</v>
      </c>
      <c r="U4143" s="76">
        <f t="shared" si="1500"/>
        <v>1.1575200000000001</v>
      </c>
    </row>
    <row r="4144" spans="1:21" x14ac:dyDescent="0.25">
      <c r="A4144" s="71">
        <v>40</v>
      </c>
      <c r="B4144" s="72">
        <f t="shared" si="1501"/>
        <v>46844</v>
      </c>
      <c r="C4144" s="73">
        <f t="shared" si="1482"/>
        <v>46873</v>
      </c>
      <c r="D4144" s="67">
        <f t="shared" si="1483"/>
        <v>30</v>
      </c>
      <c r="E4144" s="67">
        <f t="shared" si="1484"/>
        <v>4</v>
      </c>
      <c r="F4144" s="74">
        <f t="shared" si="1485"/>
        <v>46859</v>
      </c>
      <c r="G4144" s="67">
        <f t="shared" si="1486"/>
        <v>24339</v>
      </c>
      <c r="H4144" s="75">
        <f t="shared" si="1487"/>
        <v>1</v>
      </c>
      <c r="I4144" s="76">
        <f t="shared" si="1488"/>
        <v>1.1575200000000001</v>
      </c>
      <c r="J4144" s="76">
        <f t="shared" si="1489"/>
        <v>1.1575200000000001</v>
      </c>
      <c r="K4144" s="67">
        <f t="shared" si="1490"/>
        <v>0</v>
      </c>
      <c r="L4144" s="67">
        <f t="shared" si="1491"/>
        <v>0</v>
      </c>
      <c r="M4144" s="77">
        <f t="shared" si="1492"/>
        <v>0</v>
      </c>
      <c r="N4144" s="76">
        <f t="shared" si="1493"/>
        <v>1.1575200000000001</v>
      </c>
      <c r="O4144" s="77">
        <f t="shared" si="1494"/>
        <v>0.89</v>
      </c>
      <c r="P4144" s="76">
        <f t="shared" si="1495"/>
        <v>0</v>
      </c>
      <c r="Q4144" s="76">
        <f t="shared" si="1496"/>
        <v>0</v>
      </c>
      <c r="R4144" s="76">
        <f t="shared" si="1497"/>
        <v>1</v>
      </c>
      <c r="S4144" s="76">
        <f t="shared" si="1498"/>
        <v>1.2119915294117649</v>
      </c>
      <c r="T4144" s="76">
        <f t="shared" si="1499"/>
        <v>1.0387416655940276</v>
      </c>
      <c r="U4144" s="76">
        <f t="shared" si="1500"/>
        <v>1.1575200000000001</v>
      </c>
    </row>
    <row r="4145" spans="1:21" x14ac:dyDescent="0.25">
      <c r="A4145" s="71">
        <v>41</v>
      </c>
      <c r="B4145" s="72">
        <f t="shared" si="1501"/>
        <v>46874</v>
      </c>
      <c r="C4145" s="73">
        <f t="shared" si="1482"/>
        <v>46904</v>
      </c>
      <c r="D4145" s="67">
        <f t="shared" si="1483"/>
        <v>31</v>
      </c>
      <c r="E4145" s="67">
        <f t="shared" si="1484"/>
        <v>5</v>
      </c>
      <c r="F4145" s="74">
        <f t="shared" si="1485"/>
        <v>46889.5</v>
      </c>
      <c r="G4145" s="67">
        <f t="shared" si="1486"/>
        <v>24340</v>
      </c>
      <c r="H4145" s="75">
        <f t="shared" si="1487"/>
        <v>1</v>
      </c>
      <c r="I4145" s="76">
        <f t="shared" si="1488"/>
        <v>1.1575200000000001</v>
      </c>
      <c r="J4145" s="76">
        <f t="shared" si="1489"/>
        <v>1.1575200000000001</v>
      </c>
      <c r="K4145" s="67">
        <f t="shared" si="1490"/>
        <v>0</v>
      </c>
      <c r="L4145" s="67">
        <f t="shared" si="1491"/>
        <v>0</v>
      </c>
      <c r="M4145" s="77">
        <f t="shared" si="1492"/>
        <v>0</v>
      </c>
      <c r="N4145" s="76">
        <f t="shared" si="1493"/>
        <v>1.1575200000000001</v>
      </c>
      <c r="O4145" s="77">
        <f t="shared" si="1494"/>
        <v>0.89</v>
      </c>
      <c r="P4145" s="76">
        <f t="shared" si="1495"/>
        <v>0</v>
      </c>
      <c r="Q4145" s="76">
        <f t="shared" si="1496"/>
        <v>0</v>
      </c>
      <c r="R4145" s="76">
        <f t="shared" si="1497"/>
        <v>1</v>
      </c>
      <c r="S4145" s="76">
        <f t="shared" si="1498"/>
        <v>1.2119915294117649</v>
      </c>
      <c r="T4145" s="76">
        <f t="shared" si="1499"/>
        <v>1.0411914017248036</v>
      </c>
      <c r="U4145" s="76">
        <f t="shared" si="1500"/>
        <v>1.1575200000000001</v>
      </c>
    </row>
    <row r="4146" spans="1:21" x14ac:dyDescent="0.25">
      <c r="A4146" s="71">
        <v>42</v>
      </c>
      <c r="B4146" s="72">
        <f t="shared" si="1501"/>
        <v>46905</v>
      </c>
      <c r="C4146" s="73">
        <f t="shared" si="1482"/>
        <v>46934</v>
      </c>
      <c r="D4146" s="67">
        <f t="shared" si="1483"/>
        <v>30</v>
      </c>
      <c r="E4146" s="67">
        <f t="shared" si="1484"/>
        <v>6</v>
      </c>
      <c r="F4146" s="74">
        <f t="shared" si="1485"/>
        <v>46920</v>
      </c>
      <c r="G4146" s="67">
        <f t="shared" si="1486"/>
        <v>24341</v>
      </c>
      <c r="H4146" s="75">
        <f t="shared" si="1487"/>
        <v>1</v>
      </c>
      <c r="I4146" s="76">
        <f t="shared" si="1488"/>
        <v>1.1575200000000001</v>
      </c>
      <c r="J4146" s="76">
        <f t="shared" si="1489"/>
        <v>1.1575200000000001</v>
      </c>
      <c r="K4146" s="67">
        <f t="shared" si="1490"/>
        <v>0</v>
      </c>
      <c r="L4146" s="67">
        <f t="shared" si="1491"/>
        <v>0</v>
      </c>
      <c r="M4146" s="77">
        <f t="shared" si="1492"/>
        <v>0</v>
      </c>
      <c r="N4146" s="76">
        <f t="shared" si="1493"/>
        <v>1.1575200000000001</v>
      </c>
      <c r="O4146" s="77">
        <f t="shared" si="1494"/>
        <v>0.89</v>
      </c>
      <c r="P4146" s="76">
        <f t="shared" si="1495"/>
        <v>0</v>
      </c>
      <c r="Q4146" s="76">
        <f t="shared" si="1496"/>
        <v>0</v>
      </c>
      <c r="R4146" s="76">
        <f t="shared" si="1497"/>
        <v>1</v>
      </c>
      <c r="S4146" s="76">
        <f t="shared" si="1498"/>
        <v>1.2119915294117649</v>
      </c>
      <c r="T4146" s="76">
        <f t="shared" si="1499"/>
        <v>1.0436411378555797</v>
      </c>
      <c r="U4146" s="76">
        <f t="shared" si="1500"/>
        <v>1.1575200000000001</v>
      </c>
    </row>
    <row r="4147" spans="1:21" x14ac:dyDescent="0.25">
      <c r="A4147" s="71">
        <v>43</v>
      </c>
      <c r="B4147" s="72">
        <f t="shared" si="1501"/>
        <v>46935</v>
      </c>
      <c r="C4147" s="73">
        <f t="shared" si="1482"/>
        <v>46965</v>
      </c>
      <c r="D4147" s="67">
        <f t="shared" si="1483"/>
        <v>31</v>
      </c>
      <c r="E4147" s="67">
        <f t="shared" si="1484"/>
        <v>7</v>
      </c>
      <c r="F4147" s="74">
        <f t="shared" si="1485"/>
        <v>46950.5</v>
      </c>
      <c r="G4147" s="67">
        <f t="shared" si="1486"/>
        <v>24342</v>
      </c>
      <c r="H4147" s="75">
        <f t="shared" si="1487"/>
        <v>1</v>
      </c>
      <c r="I4147" s="76">
        <f t="shared" si="1488"/>
        <v>1.1575200000000001</v>
      </c>
      <c r="J4147" s="76">
        <f t="shared" si="1489"/>
        <v>1.1575200000000001</v>
      </c>
      <c r="K4147" s="67">
        <f t="shared" si="1490"/>
        <v>0</v>
      </c>
      <c r="L4147" s="67">
        <f t="shared" si="1491"/>
        <v>0</v>
      </c>
      <c r="M4147" s="77">
        <f t="shared" si="1492"/>
        <v>0</v>
      </c>
      <c r="N4147" s="76">
        <f t="shared" si="1493"/>
        <v>1.1575200000000001</v>
      </c>
      <c r="O4147" s="77">
        <f t="shared" si="1494"/>
        <v>0.89</v>
      </c>
      <c r="P4147" s="76">
        <f t="shared" si="1495"/>
        <v>0</v>
      </c>
      <c r="Q4147" s="76">
        <f t="shared" si="1496"/>
        <v>0</v>
      </c>
      <c r="R4147" s="76">
        <f t="shared" si="1497"/>
        <v>0.91666666666666663</v>
      </c>
      <c r="S4147" s="76">
        <f t="shared" si="1498"/>
        <v>1.2119915294117649</v>
      </c>
      <c r="T4147" s="76">
        <f t="shared" si="1499"/>
        <v>1.1088563264255376</v>
      </c>
      <c r="U4147" s="76">
        <f t="shared" si="1500"/>
        <v>1.1575200000000001</v>
      </c>
    </row>
    <row r="4148" spans="1:21" x14ac:dyDescent="0.25">
      <c r="A4148" s="71">
        <v>44</v>
      </c>
      <c r="B4148" s="72">
        <f t="shared" si="1501"/>
        <v>46966</v>
      </c>
      <c r="C4148" s="73">
        <f t="shared" si="1482"/>
        <v>46996</v>
      </c>
      <c r="D4148" s="67">
        <f t="shared" si="1483"/>
        <v>31</v>
      </c>
      <c r="E4148" s="67">
        <f t="shared" si="1484"/>
        <v>8</v>
      </c>
      <c r="F4148" s="74">
        <f t="shared" si="1485"/>
        <v>46981.5</v>
      </c>
      <c r="G4148" s="67">
        <f t="shared" si="1486"/>
        <v>24343</v>
      </c>
      <c r="H4148" s="75">
        <f t="shared" si="1487"/>
        <v>1</v>
      </c>
      <c r="I4148" s="76">
        <f t="shared" si="1488"/>
        <v>1.1575200000000001</v>
      </c>
      <c r="J4148" s="76">
        <f t="shared" si="1489"/>
        <v>1.1575200000000001</v>
      </c>
      <c r="K4148" s="67">
        <f t="shared" si="1490"/>
        <v>0</v>
      </c>
      <c r="L4148" s="67">
        <f t="shared" si="1491"/>
        <v>0</v>
      </c>
      <c r="M4148" s="77">
        <f t="shared" si="1492"/>
        <v>0</v>
      </c>
      <c r="N4148" s="76">
        <f t="shared" si="1493"/>
        <v>1.1575200000000001</v>
      </c>
      <c r="O4148" s="77">
        <f t="shared" si="1494"/>
        <v>0.89</v>
      </c>
      <c r="P4148" s="76">
        <f t="shared" si="1495"/>
        <v>0</v>
      </c>
      <c r="Q4148" s="76">
        <f t="shared" si="1496"/>
        <v>0</v>
      </c>
      <c r="R4148" s="76">
        <f t="shared" si="1497"/>
        <v>0.75</v>
      </c>
      <c r="S4148" s="76">
        <f t="shared" si="1498"/>
        <v>1.2119915294117649</v>
      </c>
      <c r="T4148" s="76">
        <f t="shared" si="1499"/>
        <v>1.1114956159093834</v>
      </c>
      <c r="U4148" s="76">
        <f t="shared" si="1500"/>
        <v>1.1575200000000001</v>
      </c>
    </row>
    <row r="4149" spans="1:21" x14ac:dyDescent="0.25">
      <c r="A4149" s="71">
        <v>45</v>
      </c>
      <c r="B4149" s="72">
        <f t="shared" si="1501"/>
        <v>46997</v>
      </c>
      <c r="C4149" s="73">
        <f t="shared" si="1482"/>
        <v>47026</v>
      </c>
      <c r="D4149" s="67">
        <f t="shared" si="1483"/>
        <v>30</v>
      </c>
      <c r="E4149" s="67">
        <f t="shared" si="1484"/>
        <v>9</v>
      </c>
      <c r="F4149" s="74">
        <f t="shared" si="1485"/>
        <v>47012</v>
      </c>
      <c r="G4149" s="67">
        <f t="shared" si="1486"/>
        <v>24344</v>
      </c>
      <c r="H4149" s="75">
        <f t="shared" si="1487"/>
        <v>1</v>
      </c>
      <c r="I4149" s="76">
        <f t="shared" si="1488"/>
        <v>1.1575200000000001</v>
      </c>
      <c r="J4149" s="76">
        <f t="shared" si="1489"/>
        <v>1.1575200000000001</v>
      </c>
      <c r="K4149" s="67">
        <f t="shared" si="1490"/>
        <v>0</v>
      </c>
      <c r="L4149" s="67">
        <f t="shared" si="1491"/>
        <v>0</v>
      </c>
      <c r="M4149" s="77">
        <f t="shared" si="1492"/>
        <v>0</v>
      </c>
      <c r="N4149" s="76">
        <f t="shared" si="1493"/>
        <v>1.1575200000000001</v>
      </c>
      <c r="O4149" s="77">
        <f t="shared" si="1494"/>
        <v>0.89</v>
      </c>
      <c r="P4149" s="76">
        <f t="shared" si="1495"/>
        <v>0</v>
      </c>
      <c r="Q4149" s="76">
        <f t="shared" si="1496"/>
        <v>0</v>
      </c>
      <c r="R4149" s="76">
        <f t="shared" si="1497"/>
        <v>0.58333333333333337</v>
      </c>
      <c r="S4149" s="76">
        <f t="shared" si="1498"/>
        <v>1.2119915294117649</v>
      </c>
      <c r="T4149" s="76">
        <f t="shared" si="1499"/>
        <v>1.1140923362080062</v>
      </c>
      <c r="U4149" s="76">
        <f t="shared" si="1500"/>
        <v>1.1575200000000001</v>
      </c>
    </row>
    <row r="4150" spans="1:21" x14ac:dyDescent="0.25">
      <c r="A4150" s="71">
        <v>46</v>
      </c>
      <c r="B4150" s="72">
        <f t="shared" si="1501"/>
        <v>47027</v>
      </c>
      <c r="C4150" s="73">
        <f t="shared" si="1482"/>
        <v>47057</v>
      </c>
      <c r="D4150" s="67">
        <f t="shared" si="1483"/>
        <v>31</v>
      </c>
      <c r="E4150" s="67">
        <f t="shared" si="1484"/>
        <v>10</v>
      </c>
      <c r="F4150" s="74">
        <f t="shared" si="1485"/>
        <v>47042.5</v>
      </c>
      <c r="G4150" s="67">
        <f t="shared" si="1486"/>
        <v>24345</v>
      </c>
      <c r="H4150" s="75">
        <f t="shared" si="1487"/>
        <v>1</v>
      </c>
      <c r="I4150" s="76">
        <f t="shared" si="1488"/>
        <v>1.1575200000000001</v>
      </c>
      <c r="J4150" s="76">
        <f t="shared" si="1489"/>
        <v>1.1575200000000001</v>
      </c>
      <c r="K4150" s="67">
        <f t="shared" si="1490"/>
        <v>0</v>
      </c>
      <c r="L4150" s="67">
        <f t="shared" si="1491"/>
        <v>0</v>
      </c>
      <c r="M4150" s="77">
        <f t="shared" si="1492"/>
        <v>0</v>
      </c>
      <c r="N4150" s="76">
        <f t="shared" si="1493"/>
        <v>1.1575200000000001</v>
      </c>
      <c r="O4150" s="77">
        <f t="shared" si="1494"/>
        <v>0.89</v>
      </c>
      <c r="P4150" s="76">
        <f t="shared" si="1495"/>
        <v>0</v>
      </c>
      <c r="Q4150" s="76">
        <f t="shared" si="1496"/>
        <v>0</v>
      </c>
      <c r="R4150" s="76">
        <f t="shared" si="1497"/>
        <v>0.41666666666666669</v>
      </c>
      <c r="S4150" s="76">
        <f t="shared" si="1498"/>
        <v>1.2119915294117649</v>
      </c>
      <c r="T4150" s="76">
        <f t="shared" si="1499"/>
        <v>1.116689056506629</v>
      </c>
      <c r="U4150" s="76">
        <f t="shared" si="1500"/>
        <v>1.1575200000000001</v>
      </c>
    </row>
    <row r="4151" spans="1:21" x14ac:dyDescent="0.25">
      <c r="A4151" s="71">
        <v>47</v>
      </c>
      <c r="B4151" s="72">
        <f t="shared" si="1501"/>
        <v>47058</v>
      </c>
      <c r="C4151" s="73">
        <f t="shared" si="1482"/>
        <v>47087</v>
      </c>
      <c r="D4151" s="67">
        <f t="shared" si="1483"/>
        <v>30</v>
      </c>
      <c r="E4151" s="67">
        <f t="shared" si="1484"/>
        <v>11</v>
      </c>
      <c r="F4151" s="74">
        <f t="shared" si="1485"/>
        <v>47073</v>
      </c>
      <c r="G4151" s="67">
        <f t="shared" si="1486"/>
        <v>24346</v>
      </c>
      <c r="H4151" s="75">
        <f t="shared" si="1487"/>
        <v>1</v>
      </c>
      <c r="I4151" s="76">
        <f t="shared" si="1488"/>
        <v>1.1575200000000001</v>
      </c>
      <c r="J4151" s="76">
        <f t="shared" si="1489"/>
        <v>1.1575200000000001</v>
      </c>
      <c r="K4151" s="67">
        <f t="shared" si="1490"/>
        <v>0</v>
      </c>
      <c r="L4151" s="67">
        <f t="shared" si="1491"/>
        <v>0</v>
      </c>
      <c r="M4151" s="77">
        <f t="shared" si="1492"/>
        <v>0</v>
      </c>
      <c r="N4151" s="76">
        <f t="shared" si="1493"/>
        <v>1.1575200000000001</v>
      </c>
      <c r="O4151" s="77">
        <f t="shared" si="1494"/>
        <v>0.89</v>
      </c>
      <c r="P4151" s="76">
        <f t="shared" si="1495"/>
        <v>0</v>
      </c>
      <c r="Q4151" s="76">
        <f t="shared" si="1496"/>
        <v>0</v>
      </c>
      <c r="R4151" s="76">
        <f t="shared" si="1497"/>
        <v>0.25</v>
      </c>
      <c r="S4151" s="76">
        <f t="shared" si="1498"/>
        <v>1.2119915294117649</v>
      </c>
      <c r="T4151" s="76">
        <f t="shared" si="1499"/>
        <v>1.1192857768052518</v>
      </c>
      <c r="U4151" s="76">
        <f t="shared" si="1500"/>
        <v>1.1575200000000001</v>
      </c>
    </row>
    <row r="4152" spans="1:21" x14ac:dyDescent="0.25">
      <c r="A4152" s="71">
        <v>48</v>
      </c>
      <c r="B4152" s="72">
        <f t="shared" si="1501"/>
        <v>47088</v>
      </c>
      <c r="C4152" s="73">
        <f t="shared" si="1482"/>
        <v>47118</v>
      </c>
      <c r="D4152" s="67">
        <f t="shared" si="1483"/>
        <v>31</v>
      </c>
      <c r="E4152" s="67">
        <f t="shared" si="1484"/>
        <v>12</v>
      </c>
      <c r="F4152" s="74">
        <f t="shared" si="1485"/>
        <v>47103.5</v>
      </c>
      <c r="G4152" s="67">
        <f t="shared" si="1486"/>
        <v>24347</v>
      </c>
      <c r="H4152" s="75">
        <f t="shared" si="1487"/>
        <v>1</v>
      </c>
      <c r="I4152" s="76">
        <f t="shared" si="1488"/>
        <v>1.1575200000000001</v>
      </c>
      <c r="J4152" s="76">
        <f t="shared" si="1489"/>
        <v>1.1575200000000001</v>
      </c>
      <c r="K4152" s="67">
        <f t="shared" si="1490"/>
        <v>0</v>
      </c>
      <c r="L4152" s="67">
        <f t="shared" si="1491"/>
        <v>0</v>
      </c>
      <c r="M4152" s="77">
        <f t="shared" si="1492"/>
        <v>0</v>
      </c>
      <c r="N4152" s="76">
        <f t="shared" si="1493"/>
        <v>1.1575200000000001</v>
      </c>
      <c r="O4152" s="77">
        <f t="shared" si="1494"/>
        <v>0.89</v>
      </c>
      <c r="P4152" s="76">
        <f t="shared" si="1495"/>
        <v>0</v>
      </c>
      <c r="Q4152" s="76">
        <f t="shared" si="1496"/>
        <v>0</v>
      </c>
      <c r="R4152" s="76">
        <f t="shared" si="1497"/>
        <v>8.3333333333333329E-2</v>
      </c>
      <c r="S4152" s="76">
        <f t="shared" si="1498"/>
        <v>1.2119915294117649</v>
      </c>
      <c r="T4152" s="76">
        <f t="shared" si="1499"/>
        <v>1.1218824971038743</v>
      </c>
      <c r="U4152" s="76">
        <f t="shared" si="1500"/>
        <v>1.1575200000000001</v>
      </c>
    </row>
    <row r="4153" spans="1:21" x14ac:dyDescent="0.25">
      <c r="A4153" s="81" t="s">
        <v>1228</v>
      </c>
      <c r="B4153" s="53">
        <f>SUMPRODUCT($H$4105:$H$4152,$Q$4105:$Q$4152,$U$4105:$U$4152)/SUMPRODUCT($H$4105:$H$4152,$Q$4105:$Q$4152)</f>
        <v>1.1299600000000001</v>
      </c>
      <c r="C4153" s="53">
        <f>SUMPRODUCT($H$4105:$H$4152,$R$4105:$R$4152,$U$4105:$U$4152)/SUMPRODUCT($H$4105:$H$4152,$R$4105:$R$4152)</f>
        <v>1.1575200000000001</v>
      </c>
      <c r="D4153" s="172">
        <f>SUMPRODUCT($H$4105:$H$4152,$Q$4105:$Q$4152,$O$4105:$O$4152)/SUMPRODUCT($H$4105:$H$4152,$Q$4105:$Q$4152)</f>
        <v>0.87197757111597374</v>
      </c>
    </row>
    <row r="4156" spans="1:21" x14ac:dyDescent="0.25">
      <c r="A4156" s="188" t="s">
        <v>1229</v>
      </c>
    </row>
    <row r="4157" spans="1:21" x14ac:dyDescent="0.25">
      <c r="A4157" s="81">
        <f>EDATE(nr_M0Asof,-12)+1</f>
        <v>45931</v>
      </c>
      <c r="B4157" s="81">
        <f>nr_M0Asof+1</f>
        <v>46296</v>
      </c>
      <c r="C4157" s="81">
        <f>DATE(nr_PlanYear,12,31)+1</f>
        <v>46753</v>
      </c>
      <c r="D4157" s="81">
        <f>DATE(nr_PlanYear+1,12,31)+1</f>
        <v>47119</v>
      </c>
      <c r="E4157" s="81">
        <f>IF(N(nr_MPrior)=0,$F$4157-($G$4157-$F$4157)/($C$4157-$B$4157)*($B$4157-$A$4157),nr_MPrior)</f>
        <v>0.83603938730853389</v>
      </c>
      <c r="F4157" s="81">
        <f>nr_M0</f>
        <v>0.86</v>
      </c>
      <c r="G4157" s="81">
        <f>nr_M1+N(INDEX(sc_dm1,3))</f>
        <v>0.89</v>
      </c>
      <c r="H4157" s="81">
        <f>IF(N(nr_M2)=0,nr_M1,nr_M2)+N(INDEX(sc_dm1,3))</f>
        <v>0.89</v>
      </c>
      <c r="I4157" s="81">
        <f>($F$4157-$E$4157)/($B$4157-$A$4157)</f>
        <v>6.5645514223194786E-5</v>
      </c>
      <c r="J4157" s="81">
        <f>($G$4157-$F$4157)/($C$4157-$B$4157)</f>
        <v>6.5645514223194813E-5</v>
      </c>
      <c r="K4157" s="81">
        <f>($H$4157-$G$4157)/($D$4157-$C$4157)</f>
        <v>0</v>
      </c>
    </row>
    <row r="4158" spans="1:21" ht="36" x14ac:dyDescent="0.25">
      <c r="A4158" s="50" t="s">
        <v>211</v>
      </c>
      <c r="B4158" s="50" t="s">
        <v>212</v>
      </c>
      <c r="C4158" s="50" t="s">
        <v>213</v>
      </c>
      <c r="D4158" s="50" t="s">
        <v>214</v>
      </c>
      <c r="E4158" s="50" t="s">
        <v>215</v>
      </c>
      <c r="F4158" s="50" t="s">
        <v>216</v>
      </c>
      <c r="G4158" s="50" t="s">
        <v>217</v>
      </c>
      <c r="H4158" s="50" t="s">
        <v>218</v>
      </c>
      <c r="I4158" s="50" t="s">
        <v>219</v>
      </c>
      <c r="J4158" s="50" t="s">
        <v>220</v>
      </c>
      <c r="K4158" s="50" t="s">
        <v>221</v>
      </c>
      <c r="L4158" s="50" t="s">
        <v>222</v>
      </c>
      <c r="M4158" s="50" t="s">
        <v>223</v>
      </c>
      <c r="N4158" s="50" t="s">
        <v>224</v>
      </c>
      <c r="O4158" s="50" t="s">
        <v>225</v>
      </c>
      <c r="P4158" s="50" t="s">
        <v>226</v>
      </c>
      <c r="Q4158" s="50" t="s">
        <v>227</v>
      </c>
      <c r="R4158" s="50" t="s">
        <v>228</v>
      </c>
      <c r="S4158" s="50" t="s">
        <v>229</v>
      </c>
      <c r="T4158" s="50" t="s">
        <v>230</v>
      </c>
      <c r="U4158" s="50" t="s">
        <v>231</v>
      </c>
    </row>
    <row r="4159" spans="1:21" x14ac:dyDescent="0.25">
      <c r="A4159" s="71">
        <v>1</v>
      </c>
      <c r="B4159" s="72">
        <f>DATE(nr_PlanYear-2,1,1)</f>
        <v>45658</v>
      </c>
      <c r="C4159" s="73">
        <f t="shared" ref="C4159:C4206" si="1502">EOMONTH($B4159,0)</f>
        <v>45688</v>
      </c>
      <c r="D4159" s="67">
        <f t="shared" ref="D4159:D4206" si="1503">$C4159-$B4159+1</f>
        <v>31</v>
      </c>
      <c r="E4159" s="67">
        <f t="shared" ref="E4159:E4206" si="1504">MONTH($B4159)</f>
        <v>1</v>
      </c>
      <c r="F4159" s="74">
        <f t="shared" ref="F4159:F4206" si="1505">($B4159+$C4159+1)/2</f>
        <v>45673.5</v>
      </c>
      <c r="G4159" s="67">
        <f t="shared" ref="G4159:G4206" si="1506">YEAR($B4159)*12+MONTH($B4159)-1</f>
        <v>24300</v>
      </c>
      <c r="H4159" s="75">
        <f t="shared" ref="H4159:H4206" si="1507">IF(OR(nr_SeasonOn="OFF",re_srow=0,re_ssum=0),1,12*INDEX(se_block,re_srow,$E4159)/re_ssum)</f>
        <v>1</v>
      </c>
      <c r="I4159" s="76">
        <f t="shared" ref="I4159:I4206" si="1508">EXP(SUMPRODUCT(($U$3806:$U$4045&lt;$B4159)*(rl_key=nr_SelKey)*$Y$3806:$Y$4045))</f>
        <v>1</v>
      </c>
      <c r="J4159" s="76">
        <f t="shared" ref="J4159:J4206" si="1509">EXP(SUMPRODUCT(($U$3806:$U$4045&lt;=$C4159)*(rl_key=nr_SelKey)*$Y$3806:$Y$4045))</f>
        <v>1</v>
      </c>
      <c r="K4159" s="67">
        <f t="shared" ref="K4159:K4206" si="1510">COUNTIFS(rl_key,nr_SelKey,$U$3806:$U$4045,"&gt;="&amp;$B4159,$U$3806:$U$4045,"&lt;="&amp;$C4159)</f>
        <v>0</v>
      </c>
      <c r="L4159" s="67">
        <f t="shared" ref="L4159:L4206" si="1511">SUMIFS($Z$3806:$Z$4045,rl_key,nr_SelKey,$V$3806:$V$4045,$B4159,$AC$3806:$AC$4045,1)</f>
        <v>0</v>
      </c>
      <c r="M4159" s="77">
        <f t="shared" ref="M4159:M4206" si="1512">IF($K4159=0,0,MIN(1,$L4159/$D4159))</f>
        <v>0</v>
      </c>
      <c r="N4159" s="76">
        <f t="shared" ref="N4159:N4206" si="1513">IF($K4159=0,$J4159,(1-$M4159)*$I4159+$M4159*$J4159)</f>
        <v>1</v>
      </c>
      <c r="O4159" s="77">
        <f t="shared" ref="O4159:O4206" si="1514">IF($F4159&lt;$B$4157,$E$4157+$I$4157*($F4159-$A$4157),IF($F4159&lt;$C$4157,$F$4157+$J$4157*($F4159-$B$4157),$G$4157+$K$4157*($F4159-$C$4157)))</f>
        <v>0.81913566739606125</v>
      </c>
      <c r="P4159" s="76">
        <f t="shared" ref="P4159:P4206" si="1515">MIN(1,MAX(0,(nr_MEndPm1-$G4159+0.5)/nr_TermMonths))-MIN(1,MAX(0,(nr_MStartPm1-1-$G4159+0.5)/nr_TermMonths))</f>
        <v>0</v>
      </c>
      <c r="Q4159" s="76">
        <f t="shared" ref="Q4159:Q4206" si="1516">MIN(1,MAX(0,(nr_MEndP-$G4159+0.5)/nr_TermMonths))-MIN(1,MAX(0,(nr_MStartP-1-$G4159+0.5)/nr_TermMonths))</f>
        <v>0</v>
      </c>
      <c r="R4159" s="76">
        <f t="shared" ref="R4159:R4206" si="1517">MIN(1,MAX(0,(nr_MEndP1-$G4159+0.5)/nr_TermMonths))-MIN(1,MAX(0,(nr_MStartP1-1-$G4159+0.5)/nr_TermMonths))</f>
        <v>0</v>
      </c>
      <c r="S4159" s="76">
        <f t="shared" ref="S4159:S4206" si="1518">$N4159*IF(nr_ModAdjEff="ON",$O4159/nr_MInd,1)</f>
        <v>0.96368902046595439</v>
      </c>
      <c r="T4159" s="76">
        <f t="shared" ref="T4159:T4206" si="1519">IF($G4159&lt;nr_MStartP,$S4159,$T4147*(1+IF($G4159&lt;nr_MStartP1,(nr_NetSelP+N(INDEX(sc_dnet,3))),(nr_NetSelP1+N(INDEX(sc_dnet,3))))))</f>
        <v>0.96368902046595439</v>
      </c>
      <c r="U4159" s="76">
        <f t="shared" ref="U4159:U4206" si="1520">IF(nr_NetMode,$T4159,$N4159)</f>
        <v>1</v>
      </c>
    </row>
    <row r="4160" spans="1:21" x14ac:dyDescent="0.25">
      <c r="A4160" s="71">
        <v>2</v>
      </c>
      <c r="B4160" s="72">
        <f t="shared" ref="B4160:B4206" si="1521">EDATE($B4159,1)</f>
        <v>45689</v>
      </c>
      <c r="C4160" s="73">
        <f t="shared" si="1502"/>
        <v>45716</v>
      </c>
      <c r="D4160" s="67">
        <f t="shared" si="1503"/>
        <v>28</v>
      </c>
      <c r="E4160" s="67">
        <f t="shared" si="1504"/>
        <v>2</v>
      </c>
      <c r="F4160" s="74">
        <f t="shared" si="1505"/>
        <v>45703</v>
      </c>
      <c r="G4160" s="67">
        <f t="shared" si="1506"/>
        <v>24301</v>
      </c>
      <c r="H4160" s="75">
        <f t="shared" si="1507"/>
        <v>1</v>
      </c>
      <c r="I4160" s="76">
        <f t="shared" si="1508"/>
        <v>1</v>
      </c>
      <c r="J4160" s="76">
        <f t="shared" si="1509"/>
        <v>1</v>
      </c>
      <c r="K4160" s="67">
        <f t="shared" si="1510"/>
        <v>0</v>
      </c>
      <c r="L4160" s="67">
        <f t="shared" si="1511"/>
        <v>0</v>
      </c>
      <c r="M4160" s="77">
        <f t="shared" si="1512"/>
        <v>0</v>
      </c>
      <c r="N4160" s="76">
        <f t="shared" si="1513"/>
        <v>1</v>
      </c>
      <c r="O4160" s="77">
        <f t="shared" si="1514"/>
        <v>0.82107221006564546</v>
      </c>
      <c r="P4160" s="76">
        <f t="shared" si="1515"/>
        <v>0</v>
      </c>
      <c r="Q4160" s="76">
        <f t="shared" si="1516"/>
        <v>0</v>
      </c>
      <c r="R4160" s="76">
        <f t="shared" si="1517"/>
        <v>0</v>
      </c>
      <c r="S4160" s="76">
        <f t="shared" si="1518"/>
        <v>0.96596730595958291</v>
      </c>
      <c r="T4160" s="76">
        <f t="shared" si="1519"/>
        <v>0.96596730595958291</v>
      </c>
      <c r="U4160" s="76">
        <f t="shared" si="1520"/>
        <v>1</v>
      </c>
    </row>
    <row r="4161" spans="1:21" x14ac:dyDescent="0.25">
      <c r="A4161" s="71">
        <v>3</v>
      </c>
      <c r="B4161" s="72">
        <f t="shared" si="1521"/>
        <v>45717</v>
      </c>
      <c r="C4161" s="73">
        <f t="shared" si="1502"/>
        <v>45747</v>
      </c>
      <c r="D4161" s="67">
        <f t="shared" si="1503"/>
        <v>31</v>
      </c>
      <c r="E4161" s="67">
        <f t="shared" si="1504"/>
        <v>3</v>
      </c>
      <c r="F4161" s="74">
        <f t="shared" si="1505"/>
        <v>45732.5</v>
      </c>
      <c r="G4161" s="67">
        <f t="shared" si="1506"/>
        <v>24302</v>
      </c>
      <c r="H4161" s="75">
        <f t="shared" si="1507"/>
        <v>1</v>
      </c>
      <c r="I4161" s="76">
        <f t="shared" si="1508"/>
        <v>1</v>
      </c>
      <c r="J4161" s="76">
        <f t="shared" si="1509"/>
        <v>1</v>
      </c>
      <c r="K4161" s="67">
        <f t="shared" si="1510"/>
        <v>0</v>
      </c>
      <c r="L4161" s="67">
        <f t="shared" si="1511"/>
        <v>0</v>
      </c>
      <c r="M4161" s="77">
        <f t="shared" si="1512"/>
        <v>0</v>
      </c>
      <c r="N4161" s="76">
        <f t="shared" si="1513"/>
        <v>1</v>
      </c>
      <c r="O4161" s="77">
        <f t="shared" si="1514"/>
        <v>0.82300875273522978</v>
      </c>
      <c r="P4161" s="76">
        <f t="shared" si="1515"/>
        <v>0</v>
      </c>
      <c r="Q4161" s="76">
        <f t="shared" si="1516"/>
        <v>0</v>
      </c>
      <c r="R4161" s="76">
        <f t="shared" si="1517"/>
        <v>0</v>
      </c>
      <c r="S4161" s="76">
        <f t="shared" si="1518"/>
        <v>0.96824559145321154</v>
      </c>
      <c r="T4161" s="76">
        <f t="shared" si="1519"/>
        <v>0.96824559145321154</v>
      </c>
      <c r="U4161" s="76">
        <f t="shared" si="1520"/>
        <v>1</v>
      </c>
    </row>
    <row r="4162" spans="1:21" x14ac:dyDescent="0.25">
      <c r="A4162" s="71">
        <v>4</v>
      </c>
      <c r="B4162" s="72">
        <f t="shared" si="1521"/>
        <v>45748</v>
      </c>
      <c r="C4162" s="73">
        <f t="shared" si="1502"/>
        <v>45777</v>
      </c>
      <c r="D4162" s="67">
        <f t="shared" si="1503"/>
        <v>30</v>
      </c>
      <c r="E4162" s="67">
        <f t="shared" si="1504"/>
        <v>4</v>
      </c>
      <c r="F4162" s="74">
        <f t="shared" si="1505"/>
        <v>45763</v>
      </c>
      <c r="G4162" s="67">
        <f t="shared" si="1506"/>
        <v>24303</v>
      </c>
      <c r="H4162" s="75">
        <f t="shared" si="1507"/>
        <v>1</v>
      </c>
      <c r="I4162" s="76">
        <f t="shared" si="1508"/>
        <v>1</v>
      </c>
      <c r="J4162" s="76">
        <f t="shared" si="1509"/>
        <v>1</v>
      </c>
      <c r="K4162" s="67">
        <f t="shared" si="1510"/>
        <v>0</v>
      </c>
      <c r="L4162" s="67">
        <f t="shared" si="1511"/>
        <v>0</v>
      </c>
      <c r="M4162" s="77">
        <f t="shared" si="1512"/>
        <v>0</v>
      </c>
      <c r="N4162" s="76">
        <f t="shared" si="1513"/>
        <v>1</v>
      </c>
      <c r="O4162" s="77">
        <f t="shared" si="1514"/>
        <v>0.82501094091903715</v>
      </c>
      <c r="P4162" s="76">
        <f t="shared" si="1515"/>
        <v>0</v>
      </c>
      <c r="Q4162" s="76">
        <f t="shared" si="1516"/>
        <v>0</v>
      </c>
      <c r="R4162" s="76">
        <f t="shared" si="1517"/>
        <v>0</v>
      </c>
      <c r="S4162" s="76">
        <f t="shared" si="1518"/>
        <v>0.97060110696357316</v>
      </c>
      <c r="T4162" s="76">
        <f t="shared" si="1519"/>
        <v>0.97060110696357316</v>
      </c>
      <c r="U4162" s="76">
        <f t="shared" si="1520"/>
        <v>1</v>
      </c>
    </row>
    <row r="4163" spans="1:21" x14ac:dyDescent="0.25">
      <c r="A4163" s="71">
        <v>5</v>
      </c>
      <c r="B4163" s="72">
        <f t="shared" si="1521"/>
        <v>45778</v>
      </c>
      <c r="C4163" s="73">
        <f t="shared" si="1502"/>
        <v>45808</v>
      </c>
      <c r="D4163" s="67">
        <f t="shared" si="1503"/>
        <v>31</v>
      </c>
      <c r="E4163" s="67">
        <f t="shared" si="1504"/>
        <v>5</v>
      </c>
      <c r="F4163" s="74">
        <f t="shared" si="1505"/>
        <v>45793.5</v>
      </c>
      <c r="G4163" s="67">
        <f t="shared" si="1506"/>
        <v>24304</v>
      </c>
      <c r="H4163" s="75">
        <f t="shared" si="1507"/>
        <v>1</v>
      </c>
      <c r="I4163" s="76">
        <f t="shared" si="1508"/>
        <v>1</v>
      </c>
      <c r="J4163" s="76">
        <f t="shared" si="1509"/>
        <v>1</v>
      </c>
      <c r="K4163" s="67">
        <f t="shared" si="1510"/>
        <v>0</v>
      </c>
      <c r="L4163" s="67">
        <f t="shared" si="1511"/>
        <v>0</v>
      </c>
      <c r="M4163" s="77">
        <f t="shared" si="1512"/>
        <v>0</v>
      </c>
      <c r="N4163" s="76">
        <f t="shared" si="1513"/>
        <v>1</v>
      </c>
      <c r="O4163" s="77">
        <f t="shared" si="1514"/>
        <v>0.82701312910284464</v>
      </c>
      <c r="P4163" s="76">
        <f t="shared" si="1515"/>
        <v>0</v>
      </c>
      <c r="Q4163" s="76">
        <f t="shared" si="1516"/>
        <v>0</v>
      </c>
      <c r="R4163" s="76">
        <f t="shared" si="1517"/>
        <v>0</v>
      </c>
      <c r="S4163" s="76">
        <f t="shared" si="1518"/>
        <v>0.97295662247393488</v>
      </c>
      <c r="T4163" s="76">
        <f t="shared" si="1519"/>
        <v>0.97295662247393488</v>
      </c>
      <c r="U4163" s="76">
        <f t="shared" si="1520"/>
        <v>1</v>
      </c>
    </row>
    <row r="4164" spans="1:21" x14ac:dyDescent="0.25">
      <c r="A4164" s="71">
        <v>6</v>
      </c>
      <c r="B4164" s="72">
        <f t="shared" si="1521"/>
        <v>45809</v>
      </c>
      <c r="C4164" s="73">
        <f t="shared" si="1502"/>
        <v>45838</v>
      </c>
      <c r="D4164" s="67">
        <f t="shared" si="1503"/>
        <v>30</v>
      </c>
      <c r="E4164" s="67">
        <f t="shared" si="1504"/>
        <v>6</v>
      </c>
      <c r="F4164" s="74">
        <f t="shared" si="1505"/>
        <v>45824</v>
      </c>
      <c r="G4164" s="67">
        <f t="shared" si="1506"/>
        <v>24305</v>
      </c>
      <c r="H4164" s="75">
        <f t="shared" si="1507"/>
        <v>1</v>
      </c>
      <c r="I4164" s="76">
        <f t="shared" si="1508"/>
        <v>1</v>
      </c>
      <c r="J4164" s="76">
        <f t="shared" si="1509"/>
        <v>1</v>
      </c>
      <c r="K4164" s="67">
        <f t="shared" si="1510"/>
        <v>0</v>
      </c>
      <c r="L4164" s="67">
        <f t="shared" si="1511"/>
        <v>0</v>
      </c>
      <c r="M4164" s="77">
        <f t="shared" si="1512"/>
        <v>0</v>
      </c>
      <c r="N4164" s="76">
        <f t="shared" si="1513"/>
        <v>1</v>
      </c>
      <c r="O4164" s="77">
        <f t="shared" si="1514"/>
        <v>0.82901531728665201</v>
      </c>
      <c r="P4164" s="76">
        <f t="shared" si="1515"/>
        <v>0</v>
      </c>
      <c r="Q4164" s="76">
        <f t="shared" si="1516"/>
        <v>0</v>
      </c>
      <c r="R4164" s="76">
        <f t="shared" si="1517"/>
        <v>0</v>
      </c>
      <c r="S4164" s="76">
        <f t="shared" si="1518"/>
        <v>0.9753121379842965</v>
      </c>
      <c r="T4164" s="76">
        <f t="shared" si="1519"/>
        <v>0.9753121379842965</v>
      </c>
      <c r="U4164" s="76">
        <f t="shared" si="1520"/>
        <v>1</v>
      </c>
    </row>
    <row r="4165" spans="1:21" x14ac:dyDescent="0.25">
      <c r="A4165" s="71">
        <v>7</v>
      </c>
      <c r="B4165" s="72">
        <f t="shared" si="1521"/>
        <v>45839</v>
      </c>
      <c r="C4165" s="73">
        <f t="shared" si="1502"/>
        <v>45869</v>
      </c>
      <c r="D4165" s="67">
        <f t="shared" si="1503"/>
        <v>31</v>
      </c>
      <c r="E4165" s="67">
        <f t="shared" si="1504"/>
        <v>7</v>
      </c>
      <c r="F4165" s="74">
        <f t="shared" si="1505"/>
        <v>45854.5</v>
      </c>
      <c r="G4165" s="67">
        <f t="shared" si="1506"/>
        <v>24306</v>
      </c>
      <c r="H4165" s="75">
        <f t="shared" si="1507"/>
        <v>1</v>
      </c>
      <c r="I4165" s="76">
        <f t="shared" si="1508"/>
        <v>1</v>
      </c>
      <c r="J4165" s="76">
        <f t="shared" si="1509"/>
        <v>1.04</v>
      </c>
      <c r="K4165" s="67">
        <f t="shared" si="1510"/>
        <v>1</v>
      </c>
      <c r="L4165" s="67">
        <f t="shared" si="1511"/>
        <v>31</v>
      </c>
      <c r="M4165" s="77">
        <f t="shared" si="1512"/>
        <v>1</v>
      </c>
      <c r="N4165" s="76">
        <f t="shared" si="1513"/>
        <v>1.04</v>
      </c>
      <c r="O4165" s="77">
        <f t="shared" si="1514"/>
        <v>0.83101750547045949</v>
      </c>
      <c r="P4165" s="76">
        <f t="shared" si="1515"/>
        <v>8.333333333333337E-2</v>
      </c>
      <c r="Q4165" s="76">
        <f t="shared" si="1516"/>
        <v>0</v>
      </c>
      <c r="R4165" s="76">
        <f t="shared" si="1517"/>
        <v>0</v>
      </c>
      <c r="S4165" s="76">
        <f t="shared" si="1518"/>
        <v>1.0167743596344445</v>
      </c>
      <c r="T4165" s="76">
        <f t="shared" si="1519"/>
        <v>1.0167743596344445</v>
      </c>
      <c r="U4165" s="76">
        <f t="shared" si="1520"/>
        <v>1.04</v>
      </c>
    </row>
    <row r="4166" spans="1:21" x14ac:dyDescent="0.25">
      <c r="A4166" s="71">
        <v>8</v>
      </c>
      <c r="B4166" s="72">
        <f t="shared" si="1521"/>
        <v>45870</v>
      </c>
      <c r="C4166" s="73">
        <f t="shared" si="1502"/>
        <v>45900</v>
      </c>
      <c r="D4166" s="67">
        <f t="shared" si="1503"/>
        <v>31</v>
      </c>
      <c r="E4166" s="67">
        <f t="shared" si="1504"/>
        <v>8</v>
      </c>
      <c r="F4166" s="74">
        <f t="shared" si="1505"/>
        <v>45885.5</v>
      </c>
      <c r="G4166" s="67">
        <f t="shared" si="1506"/>
        <v>24307</v>
      </c>
      <c r="H4166" s="75">
        <f t="shared" si="1507"/>
        <v>1</v>
      </c>
      <c r="I4166" s="76">
        <f t="shared" si="1508"/>
        <v>1.04</v>
      </c>
      <c r="J4166" s="76">
        <f t="shared" si="1509"/>
        <v>1.04</v>
      </c>
      <c r="K4166" s="67">
        <f t="shared" si="1510"/>
        <v>0</v>
      </c>
      <c r="L4166" s="67">
        <f t="shared" si="1511"/>
        <v>0</v>
      </c>
      <c r="M4166" s="77">
        <f t="shared" si="1512"/>
        <v>0</v>
      </c>
      <c r="N4166" s="76">
        <f t="shared" si="1513"/>
        <v>1.04</v>
      </c>
      <c r="O4166" s="77">
        <f t="shared" si="1514"/>
        <v>0.83305251641137856</v>
      </c>
      <c r="P4166" s="76">
        <f t="shared" si="1515"/>
        <v>0.25</v>
      </c>
      <c r="Q4166" s="76">
        <f t="shared" si="1516"/>
        <v>0</v>
      </c>
      <c r="R4166" s="76">
        <f t="shared" si="1517"/>
        <v>0</v>
      </c>
      <c r="S4166" s="76">
        <f t="shared" si="1518"/>
        <v>1.0192642553739222</v>
      </c>
      <c r="T4166" s="76">
        <f t="shared" si="1519"/>
        <v>1.0192642553739222</v>
      </c>
      <c r="U4166" s="76">
        <f t="shared" si="1520"/>
        <v>1.04</v>
      </c>
    </row>
    <row r="4167" spans="1:21" x14ac:dyDescent="0.25">
      <c r="A4167" s="71">
        <v>9</v>
      </c>
      <c r="B4167" s="72">
        <f t="shared" si="1521"/>
        <v>45901</v>
      </c>
      <c r="C4167" s="73">
        <f t="shared" si="1502"/>
        <v>45930</v>
      </c>
      <c r="D4167" s="67">
        <f t="shared" si="1503"/>
        <v>30</v>
      </c>
      <c r="E4167" s="67">
        <f t="shared" si="1504"/>
        <v>9</v>
      </c>
      <c r="F4167" s="74">
        <f t="shared" si="1505"/>
        <v>45916</v>
      </c>
      <c r="G4167" s="67">
        <f t="shared" si="1506"/>
        <v>24308</v>
      </c>
      <c r="H4167" s="75">
        <f t="shared" si="1507"/>
        <v>1</v>
      </c>
      <c r="I4167" s="76">
        <f t="shared" si="1508"/>
        <v>1.04</v>
      </c>
      <c r="J4167" s="76">
        <f t="shared" si="1509"/>
        <v>1.04</v>
      </c>
      <c r="K4167" s="67">
        <f t="shared" si="1510"/>
        <v>0</v>
      </c>
      <c r="L4167" s="67">
        <f t="shared" si="1511"/>
        <v>0</v>
      </c>
      <c r="M4167" s="77">
        <f t="shared" si="1512"/>
        <v>0</v>
      </c>
      <c r="N4167" s="76">
        <f t="shared" si="1513"/>
        <v>1.04</v>
      </c>
      <c r="O4167" s="77">
        <f t="shared" si="1514"/>
        <v>0.83505470459518594</v>
      </c>
      <c r="P4167" s="76">
        <f t="shared" si="1515"/>
        <v>0.41666666666666663</v>
      </c>
      <c r="Q4167" s="76">
        <f t="shared" si="1516"/>
        <v>0</v>
      </c>
      <c r="R4167" s="76">
        <f t="shared" si="1517"/>
        <v>0</v>
      </c>
      <c r="S4167" s="76">
        <f t="shared" si="1518"/>
        <v>1.0217139915046982</v>
      </c>
      <c r="T4167" s="76">
        <f t="shared" si="1519"/>
        <v>1.0217139915046982</v>
      </c>
      <c r="U4167" s="76">
        <f t="shared" si="1520"/>
        <v>1.04</v>
      </c>
    </row>
    <row r="4168" spans="1:21" x14ac:dyDescent="0.25">
      <c r="A4168" s="71">
        <v>10</v>
      </c>
      <c r="B4168" s="72">
        <f t="shared" si="1521"/>
        <v>45931</v>
      </c>
      <c r="C4168" s="73">
        <f t="shared" si="1502"/>
        <v>45961</v>
      </c>
      <c r="D4168" s="67">
        <f t="shared" si="1503"/>
        <v>31</v>
      </c>
      <c r="E4168" s="67">
        <f t="shared" si="1504"/>
        <v>10</v>
      </c>
      <c r="F4168" s="74">
        <f t="shared" si="1505"/>
        <v>45946.5</v>
      </c>
      <c r="G4168" s="67">
        <f t="shared" si="1506"/>
        <v>24309</v>
      </c>
      <c r="H4168" s="75">
        <f t="shared" si="1507"/>
        <v>1</v>
      </c>
      <c r="I4168" s="76">
        <f t="shared" si="1508"/>
        <v>1.04</v>
      </c>
      <c r="J4168" s="76">
        <f t="shared" si="1509"/>
        <v>1.04</v>
      </c>
      <c r="K4168" s="67">
        <f t="shared" si="1510"/>
        <v>0</v>
      </c>
      <c r="L4168" s="67">
        <f t="shared" si="1511"/>
        <v>0</v>
      </c>
      <c r="M4168" s="77">
        <f t="shared" si="1512"/>
        <v>0</v>
      </c>
      <c r="N4168" s="76">
        <f t="shared" si="1513"/>
        <v>1.04</v>
      </c>
      <c r="O4168" s="77">
        <f t="shared" si="1514"/>
        <v>0.83705689277899342</v>
      </c>
      <c r="P4168" s="76">
        <f t="shared" si="1515"/>
        <v>0.58333333333333326</v>
      </c>
      <c r="Q4168" s="76">
        <f t="shared" si="1516"/>
        <v>0</v>
      </c>
      <c r="R4168" s="76">
        <f t="shared" si="1517"/>
        <v>0</v>
      </c>
      <c r="S4168" s="76">
        <f t="shared" si="1518"/>
        <v>1.0241637276354745</v>
      </c>
      <c r="T4168" s="76">
        <f t="shared" si="1519"/>
        <v>1.0241637276354745</v>
      </c>
      <c r="U4168" s="76">
        <f t="shared" si="1520"/>
        <v>1.04</v>
      </c>
    </row>
    <row r="4169" spans="1:21" x14ac:dyDescent="0.25">
      <c r="A4169" s="71">
        <v>11</v>
      </c>
      <c r="B4169" s="72">
        <f t="shared" si="1521"/>
        <v>45962</v>
      </c>
      <c r="C4169" s="73">
        <f t="shared" si="1502"/>
        <v>45991</v>
      </c>
      <c r="D4169" s="67">
        <f t="shared" si="1503"/>
        <v>30</v>
      </c>
      <c r="E4169" s="67">
        <f t="shared" si="1504"/>
        <v>11</v>
      </c>
      <c r="F4169" s="74">
        <f t="shared" si="1505"/>
        <v>45977</v>
      </c>
      <c r="G4169" s="67">
        <f t="shared" si="1506"/>
        <v>24310</v>
      </c>
      <c r="H4169" s="75">
        <f t="shared" si="1507"/>
        <v>1</v>
      </c>
      <c r="I4169" s="76">
        <f t="shared" si="1508"/>
        <v>1.04</v>
      </c>
      <c r="J4169" s="76">
        <f t="shared" si="1509"/>
        <v>1.04</v>
      </c>
      <c r="K4169" s="67">
        <f t="shared" si="1510"/>
        <v>0</v>
      </c>
      <c r="L4169" s="67">
        <f t="shared" si="1511"/>
        <v>0</v>
      </c>
      <c r="M4169" s="77">
        <f t="shared" si="1512"/>
        <v>0</v>
      </c>
      <c r="N4169" s="76">
        <f t="shared" si="1513"/>
        <v>1.04</v>
      </c>
      <c r="O4169" s="77">
        <f t="shared" si="1514"/>
        <v>0.8390590809628008</v>
      </c>
      <c r="P4169" s="76">
        <f t="shared" si="1515"/>
        <v>0.75</v>
      </c>
      <c r="Q4169" s="76">
        <f t="shared" si="1516"/>
        <v>0</v>
      </c>
      <c r="R4169" s="76">
        <f t="shared" si="1517"/>
        <v>0</v>
      </c>
      <c r="S4169" s="76">
        <f t="shared" si="1518"/>
        <v>1.0266134637662505</v>
      </c>
      <c r="T4169" s="76">
        <f t="shared" si="1519"/>
        <v>1.0266134637662505</v>
      </c>
      <c r="U4169" s="76">
        <f t="shared" si="1520"/>
        <v>1.04</v>
      </c>
    </row>
    <row r="4170" spans="1:21" x14ac:dyDescent="0.25">
      <c r="A4170" s="71">
        <v>12</v>
      </c>
      <c r="B4170" s="72">
        <f t="shared" si="1521"/>
        <v>45992</v>
      </c>
      <c r="C4170" s="73">
        <f t="shared" si="1502"/>
        <v>46022</v>
      </c>
      <c r="D4170" s="67">
        <f t="shared" si="1503"/>
        <v>31</v>
      </c>
      <c r="E4170" s="67">
        <f t="shared" si="1504"/>
        <v>12</v>
      </c>
      <c r="F4170" s="74">
        <f t="shared" si="1505"/>
        <v>46007.5</v>
      </c>
      <c r="G4170" s="67">
        <f t="shared" si="1506"/>
        <v>24311</v>
      </c>
      <c r="H4170" s="75">
        <f t="shared" si="1507"/>
        <v>1</v>
      </c>
      <c r="I4170" s="76">
        <f t="shared" si="1508"/>
        <v>1.04</v>
      </c>
      <c r="J4170" s="76">
        <f t="shared" si="1509"/>
        <v>1.04</v>
      </c>
      <c r="K4170" s="67">
        <f t="shared" si="1510"/>
        <v>0</v>
      </c>
      <c r="L4170" s="67">
        <f t="shared" si="1511"/>
        <v>0</v>
      </c>
      <c r="M4170" s="77">
        <f t="shared" si="1512"/>
        <v>0</v>
      </c>
      <c r="N4170" s="76">
        <f t="shared" si="1513"/>
        <v>1.04</v>
      </c>
      <c r="O4170" s="77">
        <f t="shared" si="1514"/>
        <v>0.84106126914660828</v>
      </c>
      <c r="P4170" s="76">
        <f t="shared" si="1515"/>
        <v>0.91666666666666663</v>
      </c>
      <c r="Q4170" s="76">
        <f t="shared" si="1516"/>
        <v>0</v>
      </c>
      <c r="R4170" s="76">
        <f t="shared" si="1517"/>
        <v>0</v>
      </c>
      <c r="S4170" s="76">
        <f t="shared" si="1518"/>
        <v>1.0290631998970268</v>
      </c>
      <c r="T4170" s="76">
        <f t="shared" si="1519"/>
        <v>1.0290631998970268</v>
      </c>
      <c r="U4170" s="76">
        <f t="shared" si="1520"/>
        <v>1.04</v>
      </c>
    </row>
    <row r="4171" spans="1:21" x14ac:dyDescent="0.25">
      <c r="A4171" s="71">
        <v>13</v>
      </c>
      <c r="B4171" s="72">
        <f t="shared" si="1521"/>
        <v>46023</v>
      </c>
      <c r="C4171" s="73">
        <f t="shared" si="1502"/>
        <v>46053</v>
      </c>
      <c r="D4171" s="67">
        <f t="shared" si="1503"/>
        <v>31</v>
      </c>
      <c r="E4171" s="67">
        <f t="shared" si="1504"/>
        <v>1</v>
      </c>
      <c r="F4171" s="74">
        <f t="shared" si="1505"/>
        <v>46038.5</v>
      </c>
      <c r="G4171" s="67">
        <f t="shared" si="1506"/>
        <v>24312</v>
      </c>
      <c r="H4171" s="75">
        <f t="shared" si="1507"/>
        <v>1</v>
      </c>
      <c r="I4171" s="76">
        <f t="shared" si="1508"/>
        <v>1.04</v>
      </c>
      <c r="J4171" s="76">
        <f t="shared" si="1509"/>
        <v>1.04</v>
      </c>
      <c r="K4171" s="67">
        <f t="shared" si="1510"/>
        <v>0</v>
      </c>
      <c r="L4171" s="67">
        <f t="shared" si="1511"/>
        <v>0</v>
      </c>
      <c r="M4171" s="77">
        <f t="shared" si="1512"/>
        <v>0</v>
      </c>
      <c r="N4171" s="76">
        <f t="shared" si="1513"/>
        <v>1.04</v>
      </c>
      <c r="O4171" s="77">
        <f t="shared" si="1514"/>
        <v>0.84309628008752735</v>
      </c>
      <c r="P4171" s="76">
        <f t="shared" si="1515"/>
        <v>1</v>
      </c>
      <c r="Q4171" s="76">
        <f t="shared" si="1516"/>
        <v>0</v>
      </c>
      <c r="R4171" s="76">
        <f t="shared" si="1517"/>
        <v>0</v>
      </c>
      <c r="S4171" s="76">
        <f t="shared" si="1518"/>
        <v>1.031553095636504</v>
      </c>
      <c r="T4171" s="76">
        <f t="shared" si="1519"/>
        <v>1.031553095636504</v>
      </c>
      <c r="U4171" s="76">
        <f t="shared" si="1520"/>
        <v>1.04</v>
      </c>
    </row>
    <row r="4172" spans="1:21" x14ac:dyDescent="0.25">
      <c r="A4172" s="71">
        <v>14</v>
      </c>
      <c r="B4172" s="72">
        <f t="shared" si="1521"/>
        <v>46054</v>
      </c>
      <c r="C4172" s="73">
        <f t="shared" si="1502"/>
        <v>46081</v>
      </c>
      <c r="D4172" s="67">
        <f t="shared" si="1503"/>
        <v>28</v>
      </c>
      <c r="E4172" s="67">
        <f t="shared" si="1504"/>
        <v>2</v>
      </c>
      <c r="F4172" s="74">
        <f t="shared" si="1505"/>
        <v>46068</v>
      </c>
      <c r="G4172" s="67">
        <f t="shared" si="1506"/>
        <v>24313</v>
      </c>
      <c r="H4172" s="75">
        <f t="shared" si="1507"/>
        <v>1</v>
      </c>
      <c r="I4172" s="76">
        <f t="shared" si="1508"/>
        <v>1.04</v>
      </c>
      <c r="J4172" s="76">
        <f t="shared" si="1509"/>
        <v>1.04</v>
      </c>
      <c r="K4172" s="67">
        <f t="shared" si="1510"/>
        <v>0</v>
      </c>
      <c r="L4172" s="67">
        <f t="shared" si="1511"/>
        <v>0</v>
      </c>
      <c r="M4172" s="77">
        <f t="shared" si="1512"/>
        <v>0</v>
      </c>
      <c r="N4172" s="76">
        <f t="shared" si="1513"/>
        <v>1.04</v>
      </c>
      <c r="O4172" s="77">
        <f t="shared" si="1514"/>
        <v>0.84503282275711156</v>
      </c>
      <c r="P4172" s="76">
        <f t="shared" si="1515"/>
        <v>1</v>
      </c>
      <c r="Q4172" s="76">
        <f t="shared" si="1516"/>
        <v>0</v>
      </c>
      <c r="R4172" s="76">
        <f t="shared" si="1517"/>
        <v>0</v>
      </c>
      <c r="S4172" s="76">
        <f t="shared" si="1518"/>
        <v>1.0339225125498777</v>
      </c>
      <c r="T4172" s="76">
        <f t="shared" si="1519"/>
        <v>1.0339225125498777</v>
      </c>
      <c r="U4172" s="76">
        <f t="shared" si="1520"/>
        <v>1.04</v>
      </c>
    </row>
    <row r="4173" spans="1:21" x14ac:dyDescent="0.25">
      <c r="A4173" s="71">
        <v>15</v>
      </c>
      <c r="B4173" s="72">
        <f t="shared" si="1521"/>
        <v>46082</v>
      </c>
      <c r="C4173" s="73">
        <f t="shared" si="1502"/>
        <v>46112</v>
      </c>
      <c r="D4173" s="67">
        <f t="shared" si="1503"/>
        <v>31</v>
      </c>
      <c r="E4173" s="67">
        <f t="shared" si="1504"/>
        <v>3</v>
      </c>
      <c r="F4173" s="74">
        <f t="shared" si="1505"/>
        <v>46097.5</v>
      </c>
      <c r="G4173" s="67">
        <f t="shared" si="1506"/>
        <v>24314</v>
      </c>
      <c r="H4173" s="75">
        <f t="shared" si="1507"/>
        <v>1</v>
      </c>
      <c r="I4173" s="76">
        <f t="shared" si="1508"/>
        <v>1.04</v>
      </c>
      <c r="J4173" s="76">
        <f t="shared" si="1509"/>
        <v>1.04</v>
      </c>
      <c r="K4173" s="67">
        <f t="shared" si="1510"/>
        <v>0</v>
      </c>
      <c r="L4173" s="67">
        <f t="shared" si="1511"/>
        <v>0</v>
      </c>
      <c r="M4173" s="77">
        <f t="shared" si="1512"/>
        <v>0</v>
      </c>
      <c r="N4173" s="76">
        <f t="shared" si="1513"/>
        <v>1.04</v>
      </c>
      <c r="O4173" s="77">
        <f t="shared" si="1514"/>
        <v>0.84696936542669587</v>
      </c>
      <c r="P4173" s="76">
        <f t="shared" si="1515"/>
        <v>1</v>
      </c>
      <c r="Q4173" s="76">
        <f t="shared" si="1516"/>
        <v>0</v>
      </c>
      <c r="R4173" s="76">
        <f t="shared" si="1517"/>
        <v>0</v>
      </c>
      <c r="S4173" s="76">
        <f t="shared" si="1518"/>
        <v>1.0362919294632515</v>
      </c>
      <c r="T4173" s="76">
        <f t="shared" si="1519"/>
        <v>1.0362919294632515</v>
      </c>
      <c r="U4173" s="76">
        <f t="shared" si="1520"/>
        <v>1.04</v>
      </c>
    </row>
    <row r="4174" spans="1:21" x14ac:dyDescent="0.25">
      <c r="A4174" s="71">
        <v>16</v>
      </c>
      <c r="B4174" s="72">
        <f t="shared" si="1521"/>
        <v>46113</v>
      </c>
      <c r="C4174" s="73">
        <f t="shared" si="1502"/>
        <v>46142</v>
      </c>
      <c r="D4174" s="67">
        <f t="shared" si="1503"/>
        <v>30</v>
      </c>
      <c r="E4174" s="67">
        <f t="shared" si="1504"/>
        <v>4</v>
      </c>
      <c r="F4174" s="74">
        <f t="shared" si="1505"/>
        <v>46128</v>
      </c>
      <c r="G4174" s="67">
        <f t="shared" si="1506"/>
        <v>24315</v>
      </c>
      <c r="H4174" s="75">
        <f t="shared" si="1507"/>
        <v>1</v>
      </c>
      <c r="I4174" s="76">
        <f t="shared" si="1508"/>
        <v>1.04</v>
      </c>
      <c r="J4174" s="76">
        <f t="shared" si="1509"/>
        <v>1.04</v>
      </c>
      <c r="K4174" s="67">
        <f t="shared" si="1510"/>
        <v>0</v>
      </c>
      <c r="L4174" s="67">
        <f t="shared" si="1511"/>
        <v>0</v>
      </c>
      <c r="M4174" s="77">
        <f t="shared" si="1512"/>
        <v>0</v>
      </c>
      <c r="N4174" s="76">
        <f t="shared" si="1513"/>
        <v>1.04</v>
      </c>
      <c r="O4174" s="77">
        <f t="shared" si="1514"/>
        <v>0.84897155361050325</v>
      </c>
      <c r="P4174" s="76">
        <f t="shared" si="1515"/>
        <v>1</v>
      </c>
      <c r="Q4174" s="76">
        <f t="shared" si="1516"/>
        <v>0</v>
      </c>
      <c r="R4174" s="76">
        <f t="shared" si="1517"/>
        <v>0</v>
      </c>
      <c r="S4174" s="76">
        <f t="shared" si="1518"/>
        <v>1.0387416655940276</v>
      </c>
      <c r="T4174" s="76">
        <f t="shared" si="1519"/>
        <v>1.0387416655940276</v>
      </c>
      <c r="U4174" s="76">
        <f t="shared" si="1520"/>
        <v>1.04</v>
      </c>
    </row>
    <row r="4175" spans="1:21" x14ac:dyDescent="0.25">
      <c r="A4175" s="71">
        <v>17</v>
      </c>
      <c r="B4175" s="72">
        <f t="shared" si="1521"/>
        <v>46143</v>
      </c>
      <c r="C4175" s="73">
        <f t="shared" si="1502"/>
        <v>46173</v>
      </c>
      <c r="D4175" s="67">
        <f t="shared" si="1503"/>
        <v>31</v>
      </c>
      <c r="E4175" s="67">
        <f t="shared" si="1504"/>
        <v>5</v>
      </c>
      <c r="F4175" s="74">
        <f t="shared" si="1505"/>
        <v>46158.5</v>
      </c>
      <c r="G4175" s="67">
        <f t="shared" si="1506"/>
        <v>24316</v>
      </c>
      <c r="H4175" s="75">
        <f t="shared" si="1507"/>
        <v>1</v>
      </c>
      <c r="I4175" s="76">
        <f t="shared" si="1508"/>
        <v>1.04</v>
      </c>
      <c r="J4175" s="76">
        <f t="shared" si="1509"/>
        <v>1.04</v>
      </c>
      <c r="K4175" s="67">
        <f t="shared" si="1510"/>
        <v>0</v>
      </c>
      <c r="L4175" s="67">
        <f t="shared" si="1511"/>
        <v>0</v>
      </c>
      <c r="M4175" s="77">
        <f t="shared" si="1512"/>
        <v>0</v>
      </c>
      <c r="N4175" s="76">
        <f t="shared" si="1513"/>
        <v>1.04</v>
      </c>
      <c r="O4175" s="77">
        <f t="shared" si="1514"/>
        <v>0.85097374179431073</v>
      </c>
      <c r="P4175" s="76">
        <f t="shared" si="1515"/>
        <v>1</v>
      </c>
      <c r="Q4175" s="76">
        <f t="shared" si="1516"/>
        <v>0</v>
      </c>
      <c r="R4175" s="76">
        <f t="shared" si="1517"/>
        <v>0</v>
      </c>
      <c r="S4175" s="76">
        <f t="shared" si="1518"/>
        <v>1.0411914017248036</v>
      </c>
      <c r="T4175" s="76">
        <f t="shared" si="1519"/>
        <v>1.0411914017248036</v>
      </c>
      <c r="U4175" s="76">
        <f t="shared" si="1520"/>
        <v>1.04</v>
      </c>
    </row>
    <row r="4176" spans="1:21" x14ac:dyDescent="0.25">
      <c r="A4176" s="71">
        <v>18</v>
      </c>
      <c r="B4176" s="72">
        <f t="shared" si="1521"/>
        <v>46174</v>
      </c>
      <c r="C4176" s="73">
        <f t="shared" si="1502"/>
        <v>46203</v>
      </c>
      <c r="D4176" s="67">
        <f t="shared" si="1503"/>
        <v>30</v>
      </c>
      <c r="E4176" s="67">
        <f t="shared" si="1504"/>
        <v>6</v>
      </c>
      <c r="F4176" s="74">
        <f t="shared" si="1505"/>
        <v>46189</v>
      </c>
      <c r="G4176" s="67">
        <f t="shared" si="1506"/>
        <v>24317</v>
      </c>
      <c r="H4176" s="75">
        <f t="shared" si="1507"/>
        <v>1</v>
      </c>
      <c r="I4176" s="76">
        <f t="shared" si="1508"/>
        <v>1.04</v>
      </c>
      <c r="J4176" s="76">
        <f t="shared" si="1509"/>
        <v>1.04</v>
      </c>
      <c r="K4176" s="67">
        <f t="shared" si="1510"/>
        <v>0</v>
      </c>
      <c r="L4176" s="67">
        <f t="shared" si="1511"/>
        <v>0</v>
      </c>
      <c r="M4176" s="77">
        <f t="shared" si="1512"/>
        <v>0</v>
      </c>
      <c r="N4176" s="76">
        <f t="shared" si="1513"/>
        <v>1.04</v>
      </c>
      <c r="O4176" s="77">
        <f t="shared" si="1514"/>
        <v>0.85297592997811811</v>
      </c>
      <c r="P4176" s="76">
        <f t="shared" si="1515"/>
        <v>1</v>
      </c>
      <c r="Q4176" s="76">
        <f t="shared" si="1516"/>
        <v>0</v>
      </c>
      <c r="R4176" s="76">
        <f t="shared" si="1517"/>
        <v>0</v>
      </c>
      <c r="S4176" s="76">
        <f t="shared" si="1518"/>
        <v>1.0436411378555797</v>
      </c>
      <c r="T4176" s="76">
        <f t="shared" si="1519"/>
        <v>1.0436411378555797</v>
      </c>
      <c r="U4176" s="76">
        <f t="shared" si="1520"/>
        <v>1.04</v>
      </c>
    </row>
    <row r="4177" spans="1:21" x14ac:dyDescent="0.25">
      <c r="A4177" s="71">
        <v>19</v>
      </c>
      <c r="B4177" s="72">
        <f t="shared" si="1521"/>
        <v>46204</v>
      </c>
      <c r="C4177" s="73">
        <f t="shared" si="1502"/>
        <v>46234</v>
      </c>
      <c r="D4177" s="67">
        <f t="shared" si="1503"/>
        <v>31</v>
      </c>
      <c r="E4177" s="67">
        <f t="shared" si="1504"/>
        <v>7</v>
      </c>
      <c r="F4177" s="74">
        <f t="shared" si="1505"/>
        <v>46219.5</v>
      </c>
      <c r="G4177" s="67">
        <f t="shared" si="1506"/>
        <v>24318</v>
      </c>
      <c r="H4177" s="75">
        <f t="shared" si="1507"/>
        <v>1</v>
      </c>
      <c r="I4177" s="76">
        <f t="shared" si="1508"/>
        <v>1.04</v>
      </c>
      <c r="J4177" s="76">
        <f t="shared" si="1509"/>
        <v>1.1024</v>
      </c>
      <c r="K4177" s="67">
        <f t="shared" si="1510"/>
        <v>1</v>
      </c>
      <c r="L4177" s="67">
        <f t="shared" si="1511"/>
        <v>31</v>
      </c>
      <c r="M4177" s="77">
        <f t="shared" si="1512"/>
        <v>1</v>
      </c>
      <c r="N4177" s="76">
        <f t="shared" si="1513"/>
        <v>1.1024</v>
      </c>
      <c r="O4177" s="77">
        <f t="shared" si="1514"/>
        <v>0.85497811816192559</v>
      </c>
      <c r="P4177" s="76">
        <f t="shared" si="1515"/>
        <v>0.91666666666666663</v>
      </c>
      <c r="Q4177" s="76">
        <f t="shared" si="1516"/>
        <v>8.333333333333337E-2</v>
      </c>
      <c r="R4177" s="76">
        <f t="shared" si="1517"/>
        <v>0</v>
      </c>
      <c r="S4177" s="76">
        <f t="shared" si="1518"/>
        <v>1.1088563264255376</v>
      </c>
      <c r="T4177" s="76">
        <f t="shared" si="1519"/>
        <v>1.1088563264255376</v>
      </c>
      <c r="U4177" s="76">
        <f t="shared" si="1520"/>
        <v>1.1024</v>
      </c>
    </row>
    <row r="4178" spans="1:21" x14ac:dyDescent="0.25">
      <c r="A4178" s="71">
        <v>20</v>
      </c>
      <c r="B4178" s="72">
        <f t="shared" si="1521"/>
        <v>46235</v>
      </c>
      <c r="C4178" s="73">
        <f t="shared" si="1502"/>
        <v>46265</v>
      </c>
      <c r="D4178" s="67">
        <f t="shared" si="1503"/>
        <v>31</v>
      </c>
      <c r="E4178" s="67">
        <f t="shared" si="1504"/>
        <v>8</v>
      </c>
      <c r="F4178" s="74">
        <f t="shared" si="1505"/>
        <v>46250.5</v>
      </c>
      <c r="G4178" s="67">
        <f t="shared" si="1506"/>
        <v>24319</v>
      </c>
      <c r="H4178" s="75">
        <f t="shared" si="1507"/>
        <v>1</v>
      </c>
      <c r="I4178" s="76">
        <f t="shared" si="1508"/>
        <v>1.1024</v>
      </c>
      <c r="J4178" s="76">
        <f t="shared" si="1509"/>
        <v>1.1024</v>
      </c>
      <c r="K4178" s="67">
        <f t="shared" si="1510"/>
        <v>0</v>
      </c>
      <c r="L4178" s="67">
        <f t="shared" si="1511"/>
        <v>0</v>
      </c>
      <c r="M4178" s="77">
        <f t="shared" si="1512"/>
        <v>0</v>
      </c>
      <c r="N4178" s="76">
        <f t="shared" si="1513"/>
        <v>1.1024</v>
      </c>
      <c r="O4178" s="77">
        <f t="shared" si="1514"/>
        <v>0.85701312910284466</v>
      </c>
      <c r="P4178" s="76">
        <f t="shared" si="1515"/>
        <v>0.75</v>
      </c>
      <c r="Q4178" s="76">
        <f t="shared" si="1516"/>
        <v>0.25</v>
      </c>
      <c r="R4178" s="76">
        <f t="shared" si="1517"/>
        <v>0</v>
      </c>
      <c r="S4178" s="76">
        <f t="shared" si="1518"/>
        <v>1.1114956159093834</v>
      </c>
      <c r="T4178" s="76">
        <f t="shared" si="1519"/>
        <v>1.1114956159093834</v>
      </c>
      <c r="U4178" s="76">
        <f t="shared" si="1520"/>
        <v>1.1024</v>
      </c>
    </row>
    <row r="4179" spans="1:21" x14ac:dyDescent="0.25">
      <c r="A4179" s="71">
        <v>21</v>
      </c>
      <c r="B4179" s="72">
        <f t="shared" si="1521"/>
        <v>46266</v>
      </c>
      <c r="C4179" s="73">
        <f t="shared" si="1502"/>
        <v>46295</v>
      </c>
      <c r="D4179" s="67">
        <f t="shared" si="1503"/>
        <v>30</v>
      </c>
      <c r="E4179" s="67">
        <f t="shared" si="1504"/>
        <v>9</v>
      </c>
      <c r="F4179" s="74">
        <f t="shared" si="1505"/>
        <v>46281</v>
      </c>
      <c r="G4179" s="67">
        <f t="shared" si="1506"/>
        <v>24320</v>
      </c>
      <c r="H4179" s="75">
        <f t="shared" si="1507"/>
        <v>1</v>
      </c>
      <c r="I4179" s="76">
        <f t="shared" si="1508"/>
        <v>1.1024</v>
      </c>
      <c r="J4179" s="76">
        <f t="shared" si="1509"/>
        <v>1.1024</v>
      </c>
      <c r="K4179" s="67">
        <f t="shared" si="1510"/>
        <v>0</v>
      </c>
      <c r="L4179" s="67">
        <f t="shared" si="1511"/>
        <v>0</v>
      </c>
      <c r="M4179" s="77">
        <f t="shared" si="1512"/>
        <v>0</v>
      </c>
      <c r="N4179" s="76">
        <f t="shared" si="1513"/>
        <v>1.1024</v>
      </c>
      <c r="O4179" s="77">
        <f t="shared" si="1514"/>
        <v>0.85901531728665204</v>
      </c>
      <c r="P4179" s="76">
        <f t="shared" si="1515"/>
        <v>0.58333333333333337</v>
      </c>
      <c r="Q4179" s="76">
        <f t="shared" si="1516"/>
        <v>0.41666666666666663</v>
      </c>
      <c r="R4179" s="76">
        <f t="shared" si="1517"/>
        <v>0</v>
      </c>
      <c r="S4179" s="76">
        <f t="shared" si="1518"/>
        <v>1.1140923362080062</v>
      </c>
      <c r="T4179" s="76">
        <f t="shared" si="1519"/>
        <v>1.1140923362080062</v>
      </c>
      <c r="U4179" s="76">
        <f t="shared" si="1520"/>
        <v>1.1024</v>
      </c>
    </row>
    <row r="4180" spans="1:21" x14ac:dyDescent="0.25">
      <c r="A4180" s="71">
        <v>22</v>
      </c>
      <c r="B4180" s="72">
        <f t="shared" si="1521"/>
        <v>46296</v>
      </c>
      <c r="C4180" s="73">
        <f t="shared" si="1502"/>
        <v>46326</v>
      </c>
      <c r="D4180" s="67">
        <f t="shared" si="1503"/>
        <v>31</v>
      </c>
      <c r="E4180" s="67">
        <f t="shared" si="1504"/>
        <v>10</v>
      </c>
      <c r="F4180" s="74">
        <f t="shared" si="1505"/>
        <v>46311.5</v>
      </c>
      <c r="G4180" s="67">
        <f t="shared" si="1506"/>
        <v>24321</v>
      </c>
      <c r="H4180" s="75">
        <f t="shared" si="1507"/>
        <v>1</v>
      </c>
      <c r="I4180" s="76">
        <f t="shared" si="1508"/>
        <v>1.1024</v>
      </c>
      <c r="J4180" s="76">
        <f t="shared" si="1509"/>
        <v>1.1024</v>
      </c>
      <c r="K4180" s="67">
        <f t="shared" si="1510"/>
        <v>0</v>
      </c>
      <c r="L4180" s="67">
        <f t="shared" si="1511"/>
        <v>0</v>
      </c>
      <c r="M4180" s="77">
        <f t="shared" si="1512"/>
        <v>0</v>
      </c>
      <c r="N4180" s="76">
        <f t="shared" si="1513"/>
        <v>1.1024</v>
      </c>
      <c r="O4180" s="77">
        <f t="shared" si="1514"/>
        <v>0.86101750547045952</v>
      </c>
      <c r="P4180" s="76">
        <f t="shared" si="1515"/>
        <v>0.41666666666666669</v>
      </c>
      <c r="Q4180" s="76">
        <f t="shared" si="1516"/>
        <v>0.58333333333333326</v>
      </c>
      <c r="R4180" s="76">
        <f t="shared" si="1517"/>
        <v>0</v>
      </c>
      <c r="S4180" s="76">
        <f t="shared" si="1518"/>
        <v>1.116689056506629</v>
      </c>
      <c r="T4180" s="76">
        <f t="shared" si="1519"/>
        <v>1.116689056506629</v>
      </c>
      <c r="U4180" s="76">
        <f t="shared" si="1520"/>
        <v>1.1024</v>
      </c>
    </row>
    <row r="4181" spans="1:21" x14ac:dyDescent="0.25">
      <c r="A4181" s="71">
        <v>23</v>
      </c>
      <c r="B4181" s="72">
        <f t="shared" si="1521"/>
        <v>46327</v>
      </c>
      <c r="C4181" s="73">
        <f t="shared" si="1502"/>
        <v>46356</v>
      </c>
      <c r="D4181" s="67">
        <f t="shared" si="1503"/>
        <v>30</v>
      </c>
      <c r="E4181" s="67">
        <f t="shared" si="1504"/>
        <v>11</v>
      </c>
      <c r="F4181" s="74">
        <f t="shared" si="1505"/>
        <v>46342</v>
      </c>
      <c r="G4181" s="67">
        <f t="shared" si="1506"/>
        <v>24322</v>
      </c>
      <c r="H4181" s="75">
        <f t="shared" si="1507"/>
        <v>1</v>
      </c>
      <c r="I4181" s="76">
        <f t="shared" si="1508"/>
        <v>1.1024</v>
      </c>
      <c r="J4181" s="76">
        <f t="shared" si="1509"/>
        <v>1.1024</v>
      </c>
      <c r="K4181" s="67">
        <f t="shared" si="1510"/>
        <v>0</v>
      </c>
      <c r="L4181" s="67">
        <f t="shared" si="1511"/>
        <v>0</v>
      </c>
      <c r="M4181" s="77">
        <f t="shared" si="1512"/>
        <v>0</v>
      </c>
      <c r="N4181" s="76">
        <f t="shared" si="1513"/>
        <v>1.1024</v>
      </c>
      <c r="O4181" s="77">
        <f t="shared" si="1514"/>
        <v>0.8630196936542669</v>
      </c>
      <c r="P4181" s="76">
        <f t="shared" si="1515"/>
        <v>0.25</v>
      </c>
      <c r="Q4181" s="76">
        <f t="shared" si="1516"/>
        <v>0.75</v>
      </c>
      <c r="R4181" s="76">
        <f t="shared" si="1517"/>
        <v>0</v>
      </c>
      <c r="S4181" s="76">
        <f t="shared" si="1518"/>
        <v>1.1192857768052518</v>
      </c>
      <c r="T4181" s="76">
        <f t="shared" si="1519"/>
        <v>1.1192857768052518</v>
      </c>
      <c r="U4181" s="76">
        <f t="shared" si="1520"/>
        <v>1.1024</v>
      </c>
    </row>
    <row r="4182" spans="1:21" x14ac:dyDescent="0.25">
      <c r="A4182" s="71">
        <v>24</v>
      </c>
      <c r="B4182" s="72">
        <f t="shared" si="1521"/>
        <v>46357</v>
      </c>
      <c r="C4182" s="73">
        <f t="shared" si="1502"/>
        <v>46387</v>
      </c>
      <c r="D4182" s="67">
        <f t="shared" si="1503"/>
        <v>31</v>
      </c>
      <c r="E4182" s="67">
        <f t="shared" si="1504"/>
        <v>12</v>
      </c>
      <c r="F4182" s="74">
        <f t="shared" si="1505"/>
        <v>46372.5</v>
      </c>
      <c r="G4182" s="67">
        <f t="shared" si="1506"/>
        <v>24323</v>
      </c>
      <c r="H4182" s="75">
        <f t="shared" si="1507"/>
        <v>1</v>
      </c>
      <c r="I4182" s="76">
        <f t="shared" si="1508"/>
        <v>1.1024</v>
      </c>
      <c r="J4182" s="76">
        <f t="shared" si="1509"/>
        <v>1.1024</v>
      </c>
      <c r="K4182" s="67">
        <f t="shared" si="1510"/>
        <v>0</v>
      </c>
      <c r="L4182" s="67">
        <f t="shared" si="1511"/>
        <v>0</v>
      </c>
      <c r="M4182" s="77">
        <f t="shared" si="1512"/>
        <v>0</v>
      </c>
      <c r="N4182" s="76">
        <f t="shared" si="1513"/>
        <v>1.1024</v>
      </c>
      <c r="O4182" s="77">
        <f t="shared" si="1514"/>
        <v>0.86502188183807438</v>
      </c>
      <c r="P4182" s="76">
        <f t="shared" si="1515"/>
        <v>8.3333333333333329E-2</v>
      </c>
      <c r="Q4182" s="76">
        <f t="shared" si="1516"/>
        <v>0.91666666666666663</v>
      </c>
      <c r="R4182" s="76">
        <f t="shared" si="1517"/>
        <v>0</v>
      </c>
      <c r="S4182" s="76">
        <f t="shared" si="1518"/>
        <v>1.1218824971038743</v>
      </c>
      <c r="T4182" s="76">
        <f t="shared" si="1519"/>
        <v>1.1218824971038743</v>
      </c>
      <c r="U4182" s="76">
        <f t="shared" si="1520"/>
        <v>1.1024</v>
      </c>
    </row>
    <row r="4183" spans="1:21" x14ac:dyDescent="0.25">
      <c r="A4183" s="71">
        <v>25</v>
      </c>
      <c r="B4183" s="72">
        <f t="shared" si="1521"/>
        <v>46388</v>
      </c>
      <c r="C4183" s="73">
        <f t="shared" si="1502"/>
        <v>46418</v>
      </c>
      <c r="D4183" s="67">
        <f t="shared" si="1503"/>
        <v>31</v>
      </c>
      <c r="E4183" s="67">
        <f t="shared" si="1504"/>
        <v>1</v>
      </c>
      <c r="F4183" s="74">
        <f t="shared" si="1505"/>
        <v>46403.5</v>
      </c>
      <c r="G4183" s="67">
        <f t="shared" si="1506"/>
        <v>24324</v>
      </c>
      <c r="H4183" s="75">
        <f t="shared" si="1507"/>
        <v>1</v>
      </c>
      <c r="I4183" s="76">
        <f t="shared" si="1508"/>
        <v>1.1024</v>
      </c>
      <c r="J4183" s="76">
        <f t="shared" si="1509"/>
        <v>1.1024</v>
      </c>
      <c r="K4183" s="67">
        <f t="shared" si="1510"/>
        <v>0</v>
      </c>
      <c r="L4183" s="67">
        <f t="shared" si="1511"/>
        <v>0</v>
      </c>
      <c r="M4183" s="77">
        <f t="shared" si="1512"/>
        <v>0</v>
      </c>
      <c r="N4183" s="76">
        <f t="shared" si="1513"/>
        <v>1.1024</v>
      </c>
      <c r="O4183" s="77">
        <f t="shared" si="1514"/>
        <v>0.86705689277899345</v>
      </c>
      <c r="P4183" s="76">
        <f t="shared" si="1515"/>
        <v>0</v>
      </c>
      <c r="Q4183" s="76">
        <f t="shared" si="1516"/>
        <v>1</v>
      </c>
      <c r="R4183" s="76">
        <f t="shared" si="1517"/>
        <v>0</v>
      </c>
      <c r="S4183" s="76">
        <f t="shared" si="1518"/>
        <v>1.1245217865877206</v>
      </c>
      <c r="T4183" s="76">
        <f t="shared" si="1519"/>
        <v>1.031553095636504</v>
      </c>
      <c r="U4183" s="76">
        <f t="shared" si="1520"/>
        <v>1.1024</v>
      </c>
    </row>
    <row r="4184" spans="1:21" x14ac:dyDescent="0.25">
      <c r="A4184" s="71">
        <v>26</v>
      </c>
      <c r="B4184" s="72">
        <f t="shared" si="1521"/>
        <v>46419</v>
      </c>
      <c r="C4184" s="73">
        <f t="shared" si="1502"/>
        <v>46446</v>
      </c>
      <c r="D4184" s="67">
        <f t="shared" si="1503"/>
        <v>28</v>
      </c>
      <c r="E4184" s="67">
        <f t="shared" si="1504"/>
        <v>2</v>
      </c>
      <c r="F4184" s="74">
        <f t="shared" si="1505"/>
        <v>46433</v>
      </c>
      <c r="G4184" s="67">
        <f t="shared" si="1506"/>
        <v>24325</v>
      </c>
      <c r="H4184" s="75">
        <f t="shared" si="1507"/>
        <v>1</v>
      </c>
      <c r="I4184" s="76">
        <f t="shared" si="1508"/>
        <v>1.1024</v>
      </c>
      <c r="J4184" s="76">
        <f t="shared" si="1509"/>
        <v>1.1024</v>
      </c>
      <c r="K4184" s="67">
        <f t="shared" si="1510"/>
        <v>0</v>
      </c>
      <c r="L4184" s="67">
        <f t="shared" si="1511"/>
        <v>0</v>
      </c>
      <c r="M4184" s="77">
        <f t="shared" si="1512"/>
        <v>0</v>
      </c>
      <c r="N4184" s="76">
        <f t="shared" si="1513"/>
        <v>1.1024</v>
      </c>
      <c r="O4184" s="77">
        <f t="shared" si="1514"/>
        <v>0.86899343544857766</v>
      </c>
      <c r="P4184" s="76">
        <f t="shared" si="1515"/>
        <v>0</v>
      </c>
      <c r="Q4184" s="76">
        <f t="shared" si="1516"/>
        <v>1</v>
      </c>
      <c r="R4184" s="76">
        <f t="shared" si="1517"/>
        <v>0</v>
      </c>
      <c r="S4184" s="76">
        <f t="shared" si="1518"/>
        <v>1.1270333685158964</v>
      </c>
      <c r="T4184" s="76">
        <f t="shared" si="1519"/>
        <v>1.0339225125498777</v>
      </c>
      <c r="U4184" s="76">
        <f t="shared" si="1520"/>
        <v>1.1024</v>
      </c>
    </row>
    <row r="4185" spans="1:21" x14ac:dyDescent="0.25">
      <c r="A4185" s="71">
        <v>27</v>
      </c>
      <c r="B4185" s="72">
        <f t="shared" si="1521"/>
        <v>46447</v>
      </c>
      <c r="C4185" s="73">
        <f t="shared" si="1502"/>
        <v>46477</v>
      </c>
      <c r="D4185" s="67">
        <f t="shared" si="1503"/>
        <v>31</v>
      </c>
      <c r="E4185" s="67">
        <f t="shared" si="1504"/>
        <v>3</v>
      </c>
      <c r="F4185" s="74">
        <f t="shared" si="1505"/>
        <v>46462.5</v>
      </c>
      <c r="G4185" s="67">
        <f t="shared" si="1506"/>
        <v>24326</v>
      </c>
      <c r="H4185" s="75">
        <f t="shared" si="1507"/>
        <v>1</v>
      </c>
      <c r="I4185" s="76">
        <f t="shared" si="1508"/>
        <v>1.1024</v>
      </c>
      <c r="J4185" s="76">
        <f t="shared" si="1509"/>
        <v>1.1024</v>
      </c>
      <c r="K4185" s="67">
        <f t="shared" si="1510"/>
        <v>0</v>
      </c>
      <c r="L4185" s="67">
        <f t="shared" si="1511"/>
        <v>0</v>
      </c>
      <c r="M4185" s="77">
        <f t="shared" si="1512"/>
        <v>0</v>
      </c>
      <c r="N4185" s="76">
        <f t="shared" si="1513"/>
        <v>1.1024</v>
      </c>
      <c r="O4185" s="77">
        <f t="shared" si="1514"/>
        <v>0.87092997811816197</v>
      </c>
      <c r="P4185" s="76">
        <f t="shared" si="1515"/>
        <v>0</v>
      </c>
      <c r="Q4185" s="76">
        <f t="shared" si="1516"/>
        <v>1</v>
      </c>
      <c r="R4185" s="76">
        <f t="shared" si="1517"/>
        <v>0</v>
      </c>
      <c r="S4185" s="76">
        <f t="shared" si="1518"/>
        <v>1.1295449504440729</v>
      </c>
      <c r="T4185" s="76">
        <f t="shared" si="1519"/>
        <v>1.0362919294632515</v>
      </c>
      <c r="U4185" s="76">
        <f t="shared" si="1520"/>
        <v>1.1024</v>
      </c>
    </row>
    <row r="4186" spans="1:21" x14ac:dyDescent="0.25">
      <c r="A4186" s="71">
        <v>28</v>
      </c>
      <c r="B4186" s="72">
        <f t="shared" si="1521"/>
        <v>46478</v>
      </c>
      <c r="C4186" s="73">
        <f t="shared" si="1502"/>
        <v>46507</v>
      </c>
      <c r="D4186" s="67">
        <f t="shared" si="1503"/>
        <v>30</v>
      </c>
      <c r="E4186" s="67">
        <f t="shared" si="1504"/>
        <v>4</v>
      </c>
      <c r="F4186" s="74">
        <f t="shared" si="1505"/>
        <v>46493</v>
      </c>
      <c r="G4186" s="67">
        <f t="shared" si="1506"/>
        <v>24327</v>
      </c>
      <c r="H4186" s="75">
        <f t="shared" si="1507"/>
        <v>1</v>
      </c>
      <c r="I4186" s="76">
        <f t="shared" si="1508"/>
        <v>1.1024</v>
      </c>
      <c r="J4186" s="76">
        <f t="shared" si="1509"/>
        <v>1.1575200000000001</v>
      </c>
      <c r="K4186" s="67">
        <f t="shared" si="1510"/>
        <v>1</v>
      </c>
      <c r="L4186" s="67">
        <f t="shared" si="1511"/>
        <v>30</v>
      </c>
      <c r="M4186" s="77">
        <f t="shared" si="1512"/>
        <v>1</v>
      </c>
      <c r="N4186" s="76">
        <f t="shared" si="1513"/>
        <v>1.1575200000000001</v>
      </c>
      <c r="O4186" s="77">
        <f t="shared" si="1514"/>
        <v>0.87293216630196935</v>
      </c>
      <c r="P4186" s="76">
        <f t="shared" si="1515"/>
        <v>0</v>
      </c>
      <c r="Q4186" s="76">
        <f t="shared" si="1516"/>
        <v>1</v>
      </c>
      <c r="R4186" s="76">
        <f t="shared" si="1517"/>
        <v>0</v>
      </c>
      <c r="S4186" s="76">
        <f t="shared" si="1518"/>
        <v>1.1887487542798303</v>
      </c>
      <c r="T4186" s="76">
        <f t="shared" si="1519"/>
        <v>1.0387416655940276</v>
      </c>
      <c r="U4186" s="76">
        <f t="shared" si="1520"/>
        <v>1.1575200000000001</v>
      </c>
    </row>
    <row r="4187" spans="1:21" x14ac:dyDescent="0.25">
      <c r="A4187" s="71">
        <v>29</v>
      </c>
      <c r="B4187" s="72">
        <f t="shared" si="1521"/>
        <v>46508</v>
      </c>
      <c r="C4187" s="73">
        <f t="shared" si="1502"/>
        <v>46538</v>
      </c>
      <c r="D4187" s="67">
        <f t="shared" si="1503"/>
        <v>31</v>
      </c>
      <c r="E4187" s="67">
        <f t="shared" si="1504"/>
        <v>5</v>
      </c>
      <c r="F4187" s="74">
        <f t="shared" si="1505"/>
        <v>46523.5</v>
      </c>
      <c r="G4187" s="67">
        <f t="shared" si="1506"/>
        <v>24328</v>
      </c>
      <c r="H4187" s="75">
        <f t="shared" si="1507"/>
        <v>1</v>
      </c>
      <c r="I4187" s="76">
        <f t="shared" si="1508"/>
        <v>1.1575200000000001</v>
      </c>
      <c r="J4187" s="76">
        <f t="shared" si="1509"/>
        <v>1.1575200000000001</v>
      </c>
      <c r="K4187" s="67">
        <f t="shared" si="1510"/>
        <v>0</v>
      </c>
      <c r="L4187" s="67">
        <f t="shared" si="1511"/>
        <v>0</v>
      </c>
      <c r="M4187" s="77">
        <f t="shared" si="1512"/>
        <v>0</v>
      </c>
      <c r="N4187" s="76">
        <f t="shared" si="1513"/>
        <v>1.1575200000000001</v>
      </c>
      <c r="O4187" s="77">
        <f t="shared" si="1514"/>
        <v>0.87493435448577683</v>
      </c>
      <c r="P4187" s="76">
        <f t="shared" si="1515"/>
        <v>0</v>
      </c>
      <c r="Q4187" s="76">
        <f t="shared" si="1516"/>
        <v>1</v>
      </c>
      <c r="R4187" s="76">
        <f t="shared" si="1517"/>
        <v>0</v>
      </c>
      <c r="S4187" s="76">
        <f t="shared" si="1518"/>
        <v>1.191475310593384</v>
      </c>
      <c r="T4187" s="76">
        <f t="shared" si="1519"/>
        <v>1.0411914017248036</v>
      </c>
      <c r="U4187" s="76">
        <f t="shared" si="1520"/>
        <v>1.1575200000000001</v>
      </c>
    </row>
    <row r="4188" spans="1:21" x14ac:dyDescent="0.25">
      <c r="A4188" s="71">
        <v>30</v>
      </c>
      <c r="B4188" s="72">
        <f t="shared" si="1521"/>
        <v>46539</v>
      </c>
      <c r="C4188" s="73">
        <f t="shared" si="1502"/>
        <v>46568</v>
      </c>
      <c r="D4188" s="67">
        <f t="shared" si="1503"/>
        <v>30</v>
      </c>
      <c r="E4188" s="67">
        <f t="shared" si="1504"/>
        <v>6</v>
      </c>
      <c r="F4188" s="74">
        <f t="shared" si="1505"/>
        <v>46554</v>
      </c>
      <c r="G4188" s="67">
        <f t="shared" si="1506"/>
        <v>24329</v>
      </c>
      <c r="H4188" s="75">
        <f t="shared" si="1507"/>
        <v>1</v>
      </c>
      <c r="I4188" s="76">
        <f t="shared" si="1508"/>
        <v>1.1575200000000001</v>
      </c>
      <c r="J4188" s="76">
        <f t="shared" si="1509"/>
        <v>1.1575200000000001</v>
      </c>
      <c r="K4188" s="67">
        <f t="shared" si="1510"/>
        <v>0</v>
      </c>
      <c r="L4188" s="67">
        <f t="shared" si="1511"/>
        <v>0</v>
      </c>
      <c r="M4188" s="77">
        <f t="shared" si="1512"/>
        <v>0</v>
      </c>
      <c r="N4188" s="76">
        <f t="shared" si="1513"/>
        <v>1.1575200000000001</v>
      </c>
      <c r="O4188" s="77">
        <f t="shared" si="1514"/>
        <v>0.87693654266958421</v>
      </c>
      <c r="P4188" s="76">
        <f t="shared" si="1515"/>
        <v>0</v>
      </c>
      <c r="Q4188" s="76">
        <f t="shared" si="1516"/>
        <v>1</v>
      </c>
      <c r="R4188" s="76">
        <f t="shared" si="1517"/>
        <v>0</v>
      </c>
      <c r="S4188" s="76">
        <f t="shared" si="1518"/>
        <v>1.1942018669069379</v>
      </c>
      <c r="T4188" s="76">
        <f t="shared" si="1519"/>
        <v>1.0436411378555797</v>
      </c>
      <c r="U4188" s="76">
        <f t="shared" si="1520"/>
        <v>1.1575200000000001</v>
      </c>
    </row>
    <row r="4189" spans="1:21" x14ac:dyDescent="0.25">
      <c r="A4189" s="71">
        <v>31</v>
      </c>
      <c r="B4189" s="72">
        <f t="shared" si="1521"/>
        <v>46569</v>
      </c>
      <c r="C4189" s="73">
        <f t="shared" si="1502"/>
        <v>46599</v>
      </c>
      <c r="D4189" s="67">
        <f t="shared" si="1503"/>
        <v>31</v>
      </c>
      <c r="E4189" s="67">
        <f t="shared" si="1504"/>
        <v>7</v>
      </c>
      <c r="F4189" s="74">
        <f t="shared" si="1505"/>
        <v>46584.5</v>
      </c>
      <c r="G4189" s="67">
        <f t="shared" si="1506"/>
        <v>24330</v>
      </c>
      <c r="H4189" s="75">
        <f t="shared" si="1507"/>
        <v>1</v>
      </c>
      <c r="I4189" s="76">
        <f t="shared" si="1508"/>
        <v>1.1575200000000001</v>
      </c>
      <c r="J4189" s="76">
        <f t="shared" si="1509"/>
        <v>1.1575200000000001</v>
      </c>
      <c r="K4189" s="67">
        <f t="shared" si="1510"/>
        <v>0</v>
      </c>
      <c r="L4189" s="67">
        <f t="shared" si="1511"/>
        <v>0</v>
      </c>
      <c r="M4189" s="77">
        <f t="shared" si="1512"/>
        <v>0</v>
      </c>
      <c r="N4189" s="76">
        <f t="shared" si="1513"/>
        <v>1.1575200000000001</v>
      </c>
      <c r="O4189" s="77">
        <f t="shared" si="1514"/>
        <v>0.87893873085339169</v>
      </c>
      <c r="P4189" s="76">
        <f t="shared" si="1515"/>
        <v>0</v>
      </c>
      <c r="Q4189" s="76">
        <f t="shared" si="1516"/>
        <v>0.91666666666666663</v>
      </c>
      <c r="R4189" s="76">
        <f t="shared" si="1517"/>
        <v>8.333333333333337E-2</v>
      </c>
      <c r="S4189" s="76">
        <f t="shared" si="1518"/>
        <v>1.1969284232204918</v>
      </c>
      <c r="T4189" s="76">
        <f t="shared" si="1519"/>
        <v>1.1088563264255376</v>
      </c>
      <c r="U4189" s="76">
        <f t="shared" si="1520"/>
        <v>1.1575200000000001</v>
      </c>
    </row>
    <row r="4190" spans="1:21" x14ac:dyDescent="0.25">
      <c r="A4190" s="71">
        <v>32</v>
      </c>
      <c r="B4190" s="72">
        <f t="shared" si="1521"/>
        <v>46600</v>
      </c>
      <c r="C4190" s="73">
        <f t="shared" si="1502"/>
        <v>46630</v>
      </c>
      <c r="D4190" s="67">
        <f t="shared" si="1503"/>
        <v>31</v>
      </c>
      <c r="E4190" s="67">
        <f t="shared" si="1504"/>
        <v>8</v>
      </c>
      <c r="F4190" s="74">
        <f t="shared" si="1505"/>
        <v>46615.5</v>
      </c>
      <c r="G4190" s="67">
        <f t="shared" si="1506"/>
        <v>24331</v>
      </c>
      <c r="H4190" s="75">
        <f t="shared" si="1507"/>
        <v>1</v>
      </c>
      <c r="I4190" s="76">
        <f t="shared" si="1508"/>
        <v>1.1575200000000001</v>
      </c>
      <c r="J4190" s="76">
        <f t="shared" si="1509"/>
        <v>1.1575200000000001</v>
      </c>
      <c r="K4190" s="67">
        <f t="shared" si="1510"/>
        <v>0</v>
      </c>
      <c r="L4190" s="67">
        <f t="shared" si="1511"/>
        <v>0</v>
      </c>
      <c r="M4190" s="77">
        <f t="shared" si="1512"/>
        <v>0</v>
      </c>
      <c r="N4190" s="76">
        <f t="shared" si="1513"/>
        <v>1.1575200000000001</v>
      </c>
      <c r="O4190" s="77">
        <f t="shared" si="1514"/>
        <v>0.88097374179431076</v>
      </c>
      <c r="P4190" s="76">
        <f t="shared" si="1515"/>
        <v>0</v>
      </c>
      <c r="Q4190" s="76">
        <f t="shared" si="1516"/>
        <v>0.75</v>
      </c>
      <c r="R4190" s="76">
        <f t="shared" si="1517"/>
        <v>0.25</v>
      </c>
      <c r="S4190" s="76">
        <f t="shared" si="1518"/>
        <v>1.1996996771785302</v>
      </c>
      <c r="T4190" s="76">
        <f t="shared" si="1519"/>
        <v>1.1114956159093834</v>
      </c>
      <c r="U4190" s="76">
        <f t="shared" si="1520"/>
        <v>1.1575200000000001</v>
      </c>
    </row>
    <row r="4191" spans="1:21" x14ac:dyDescent="0.25">
      <c r="A4191" s="71">
        <v>33</v>
      </c>
      <c r="B4191" s="72">
        <f t="shared" si="1521"/>
        <v>46631</v>
      </c>
      <c r="C4191" s="73">
        <f t="shared" si="1502"/>
        <v>46660</v>
      </c>
      <c r="D4191" s="67">
        <f t="shared" si="1503"/>
        <v>30</v>
      </c>
      <c r="E4191" s="67">
        <f t="shared" si="1504"/>
        <v>9</v>
      </c>
      <c r="F4191" s="74">
        <f t="shared" si="1505"/>
        <v>46646</v>
      </c>
      <c r="G4191" s="67">
        <f t="shared" si="1506"/>
        <v>24332</v>
      </c>
      <c r="H4191" s="75">
        <f t="shared" si="1507"/>
        <v>1</v>
      </c>
      <c r="I4191" s="76">
        <f t="shared" si="1508"/>
        <v>1.1575200000000001</v>
      </c>
      <c r="J4191" s="76">
        <f t="shared" si="1509"/>
        <v>1.1575200000000001</v>
      </c>
      <c r="K4191" s="67">
        <f t="shared" si="1510"/>
        <v>0</v>
      </c>
      <c r="L4191" s="67">
        <f t="shared" si="1511"/>
        <v>0</v>
      </c>
      <c r="M4191" s="77">
        <f t="shared" si="1512"/>
        <v>0</v>
      </c>
      <c r="N4191" s="76">
        <f t="shared" si="1513"/>
        <v>1.1575200000000001</v>
      </c>
      <c r="O4191" s="77">
        <f t="shared" si="1514"/>
        <v>0.88297592997811813</v>
      </c>
      <c r="P4191" s="76">
        <f t="shared" si="1515"/>
        <v>0</v>
      </c>
      <c r="Q4191" s="76">
        <f t="shared" si="1516"/>
        <v>0.58333333333333337</v>
      </c>
      <c r="R4191" s="76">
        <f t="shared" si="1517"/>
        <v>0.41666666666666663</v>
      </c>
      <c r="S4191" s="76">
        <f t="shared" si="1518"/>
        <v>1.2024262334920839</v>
      </c>
      <c r="T4191" s="76">
        <f t="shared" si="1519"/>
        <v>1.1140923362080062</v>
      </c>
      <c r="U4191" s="76">
        <f t="shared" si="1520"/>
        <v>1.1575200000000001</v>
      </c>
    </row>
    <row r="4192" spans="1:21" x14ac:dyDescent="0.25">
      <c r="A4192" s="71">
        <v>34</v>
      </c>
      <c r="B4192" s="72">
        <f t="shared" si="1521"/>
        <v>46661</v>
      </c>
      <c r="C4192" s="73">
        <f t="shared" si="1502"/>
        <v>46691</v>
      </c>
      <c r="D4192" s="67">
        <f t="shared" si="1503"/>
        <v>31</v>
      </c>
      <c r="E4192" s="67">
        <f t="shared" si="1504"/>
        <v>10</v>
      </c>
      <c r="F4192" s="74">
        <f t="shared" si="1505"/>
        <v>46676.5</v>
      </c>
      <c r="G4192" s="67">
        <f t="shared" si="1506"/>
        <v>24333</v>
      </c>
      <c r="H4192" s="75">
        <f t="shared" si="1507"/>
        <v>1</v>
      </c>
      <c r="I4192" s="76">
        <f t="shared" si="1508"/>
        <v>1.1575200000000001</v>
      </c>
      <c r="J4192" s="76">
        <f t="shared" si="1509"/>
        <v>1.1575200000000001</v>
      </c>
      <c r="K4192" s="67">
        <f t="shared" si="1510"/>
        <v>0</v>
      </c>
      <c r="L4192" s="67">
        <f t="shared" si="1511"/>
        <v>0</v>
      </c>
      <c r="M4192" s="77">
        <f t="shared" si="1512"/>
        <v>0</v>
      </c>
      <c r="N4192" s="76">
        <f t="shared" si="1513"/>
        <v>1.1575200000000001</v>
      </c>
      <c r="O4192" s="77">
        <f t="shared" si="1514"/>
        <v>0.88497811816192562</v>
      </c>
      <c r="P4192" s="76">
        <f t="shared" si="1515"/>
        <v>0</v>
      </c>
      <c r="Q4192" s="76">
        <f t="shared" si="1516"/>
        <v>0.41666666666666669</v>
      </c>
      <c r="R4192" s="76">
        <f t="shared" si="1517"/>
        <v>0.58333333333333326</v>
      </c>
      <c r="S4192" s="76">
        <f t="shared" si="1518"/>
        <v>1.205152789805638</v>
      </c>
      <c r="T4192" s="76">
        <f t="shared" si="1519"/>
        <v>1.116689056506629</v>
      </c>
      <c r="U4192" s="76">
        <f t="shared" si="1520"/>
        <v>1.1575200000000001</v>
      </c>
    </row>
    <row r="4193" spans="1:21" x14ac:dyDescent="0.25">
      <c r="A4193" s="71">
        <v>35</v>
      </c>
      <c r="B4193" s="72">
        <f t="shared" si="1521"/>
        <v>46692</v>
      </c>
      <c r="C4193" s="73">
        <f t="shared" si="1502"/>
        <v>46721</v>
      </c>
      <c r="D4193" s="67">
        <f t="shared" si="1503"/>
        <v>30</v>
      </c>
      <c r="E4193" s="67">
        <f t="shared" si="1504"/>
        <v>11</v>
      </c>
      <c r="F4193" s="74">
        <f t="shared" si="1505"/>
        <v>46707</v>
      </c>
      <c r="G4193" s="67">
        <f t="shared" si="1506"/>
        <v>24334</v>
      </c>
      <c r="H4193" s="75">
        <f t="shared" si="1507"/>
        <v>1</v>
      </c>
      <c r="I4193" s="76">
        <f t="shared" si="1508"/>
        <v>1.1575200000000001</v>
      </c>
      <c r="J4193" s="76">
        <f t="shared" si="1509"/>
        <v>1.1575200000000001</v>
      </c>
      <c r="K4193" s="67">
        <f t="shared" si="1510"/>
        <v>0</v>
      </c>
      <c r="L4193" s="67">
        <f t="shared" si="1511"/>
        <v>0</v>
      </c>
      <c r="M4193" s="77">
        <f t="shared" si="1512"/>
        <v>0</v>
      </c>
      <c r="N4193" s="76">
        <f t="shared" si="1513"/>
        <v>1.1575200000000001</v>
      </c>
      <c r="O4193" s="77">
        <f t="shared" si="1514"/>
        <v>0.8869803063457331</v>
      </c>
      <c r="P4193" s="76">
        <f t="shared" si="1515"/>
        <v>0</v>
      </c>
      <c r="Q4193" s="76">
        <f t="shared" si="1516"/>
        <v>0.25</v>
      </c>
      <c r="R4193" s="76">
        <f t="shared" si="1517"/>
        <v>0.75</v>
      </c>
      <c r="S4193" s="76">
        <f t="shared" si="1518"/>
        <v>1.2078793461191919</v>
      </c>
      <c r="T4193" s="76">
        <f t="shared" si="1519"/>
        <v>1.1192857768052518</v>
      </c>
      <c r="U4193" s="76">
        <f t="shared" si="1520"/>
        <v>1.1575200000000001</v>
      </c>
    </row>
    <row r="4194" spans="1:21" x14ac:dyDescent="0.25">
      <c r="A4194" s="71">
        <v>36</v>
      </c>
      <c r="B4194" s="72">
        <f t="shared" si="1521"/>
        <v>46722</v>
      </c>
      <c r="C4194" s="73">
        <f t="shared" si="1502"/>
        <v>46752</v>
      </c>
      <c r="D4194" s="67">
        <f t="shared" si="1503"/>
        <v>31</v>
      </c>
      <c r="E4194" s="67">
        <f t="shared" si="1504"/>
        <v>12</v>
      </c>
      <c r="F4194" s="74">
        <f t="shared" si="1505"/>
        <v>46737.5</v>
      </c>
      <c r="G4194" s="67">
        <f t="shared" si="1506"/>
        <v>24335</v>
      </c>
      <c r="H4194" s="75">
        <f t="shared" si="1507"/>
        <v>1</v>
      </c>
      <c r="I4194" s="76">
        <f t="shared" si="1508"/>
        <v>1.1575200000000001</v>
      </c>
      <c r="J4194" s="76">
        <f t="shared" si="1509"/>
        <v>1.1575200000000001</v>
      </c>
      <c r="K4194" s="67">
        <f t="shared" si="1510"/>
        <v>0</v>
      </c>
      <c r="L4194" s="67">
        <f t="shared" si="1511"/>
        <v>0</v>
      </c>
      <c r="M4194" s="77">
        <f t="shared" si="1512"/>
        <v>0</v>
      </c>
      <c r="N4194" s="76">
        <f t="shared" si="1513"/>
        <v>1.1575200000000001</v>
      </c>
      <c r="O4194" s="77">
        <f t="shared" si="1514"/>
        <v>0.88898249452954048</v>
      </c>
      <c r="P4194" s="76">
        <f t="shared" si="1515"/>
        <v>0</v>
      </c>
      <c r="Q4194" s="76">
        <f t="shared" si="1516"/>
        <v>8.3333333333333329E-2</v>
      </c>
      <c r="R4194" s="76">
        <f t="shared" si="1517"/>
        <v>0.91666666666666663</v>
      </c>
      <c r="S4194" s="76">
        <f t="shared" si="1518"/>
        <v>1.2106059024327456</v>
      </c>
      <c r="T4194" s="76">
        <f t="shared" si="1519"/>
        <v>1.1218824971038743</v>
      </c>
      <c r="U4194" s="76">
        <f t="shared" si="1520"/>
        <v>1.1575200000000001</v>
      </c>
    </row>
    <row r="4195" spans="1:21" x14ac:dyDescent="0.25">
      <c r="A4195" s="71">
        <v>37</v>
      </c>
      <c r="B4195" s="72">
        <f t="shared" si="1521"/>
        <v>46753</v>
      </c>
      <c r="C4195" s="73">
        <f t="shared" si="1502"/>
        <v>46783</v>
      </c>
      <c r="D4195" s="67">
        <f t="shared" si="1503"/>
        <v>31</v>
      </c>
      <c r="E4195" s="67">
        <f t="shared" si="1504"/>
        <v>1</v>
      </c>
      <c r="F4195" s="74">
        <f t="shared" si="1505"/>
        <v>46768.5</v>
      </c>
      <c r="G4195" s="67">
        <f t="shared" si="1506"/>
        <v>24336</v>
      </c>
      <c r="H4195" s="75">
        <f t="shared" si="1507"/>
        <v>1</v>
      </c>
      <c r="I4195" s="76">
        <f t="shared" si="1508"/>
        <v>1.1575200000000001</v>
      </c>
      <c r="J4195" s="76">
        <f t="shared" si="1509"/>
        <v>1.1575200000000001</v>
      </c>
      <c r="K4195" s="67">
        <f t="shared" si="1510"/>
        <v>0</v>
      </c>
      <c r="L4195" s="67">
        <f t="shared" si="1511"/>
        <v>0</v>
      </c>
      <c r="M4195" s="77">
        <f t="shared" si="1512"/>
        <v>0</v>
      </c>
      <c r="N4195" s="76">
        <f t="shared" si="1513"/>
        <v>1.1575200000000001</v>
      </c>
      <c r="O4195" s="77">
        <f t="shared" si="1514"/>
        <v>0.89</v>
      </c>
      <c r="P4195" s="76">
        <f t="shared" si="1515"/>
        <v>0</v>
      </c>
      <c r="Q4195" s="76">
        <f t="shared" si="1516"/>
        <v>0</v>
      </c>
      <c r="R4195" s="76">
        <f t="shared" si="1517"/>
        <v>1</v>
      </c>
      <c r="S4195" s="76">
        <f t="shared" si="1518"/>
        <v>1.2119915294117649</v>
      </c>
      <c r="T4195" s="76">
        <f t="shared" si="1519"/>
        <v>1.031553095636504</v>
      </c>
      <c r="U4195" s="76">
        <f t="shared" si="1520"/>
        <v>1.1575200000000001</v>
      </c>
    </row>
    <row r="4196" spans="1:21" x14ac:dyDescent="0.25">
      <c r="A4196" s="71">
        <v>38</v>
      </c>
      <c r="B4196" s="72">
        <f t="shared" si="1521"/>
        <v>46784</v>
      </c>
      <c r="C4196" s="73">
        <f t="shared" si="1502"/>
        <v>46812</v>
      </c>
      <c r="D4196" s="67">
        <f t="shared" si="1503"/>
        <v>29</v>
      </c>
      <c r="E4196" s="67">
        <f t="shared" si="1504"/>
        <v>2</v>
      </c>
      <c r="F4196" s="74">
        <f t="shared" si="1505"/>
        <v>46798.5</v>
      </c>
      <c r="G4196" s="67">
        <f t="shared" si="1506"/>
        <v>24337</v>
      </c>
      <c r="H4196" s="75">
        <f t="shared" si="1507"/>
        <v>1</v>
      </c>
      <c r="I4196" s="76">
        <f t="shared" si="1508"/>
        <v>1.1575200000000001</v>
      </c>
      <c r="J4196" s="76">
        <f t="shared" si="1509"/>
        <v>1.1575200000000001</v>
      </c>
      <c r="K4196" s="67">
        <f t="shared" si="1510"/>
        <v>0</v>
      </c>
      <c r="L4196" s="67">
        <f t="shared" si="1511"/>
        <v>0</v>
      </c>
      <c r="M4196" s="77">
        <f t="shared" si="1512"/>
        <v>0</v>
      </c>
      <c r="N4196" s="76">
        <f t="shared" si="1513"/>
        <v>1.1575200000000001</v>
      </c>
      <c r="O4196" s="77">
        <f t="shared" si="1514"/>
        <v>0.89</v>
      </c>
      <c r="P4196" s="76">
        <f t="shared" si="1515"/>
        <v>0</v>
      </c>
      <c r="Q4196" s="76">
        <f t="shared" si="1516"/>
        <v>0</v>
      </c>
      <c r="R4196" s="76">
        <f t="shared" si="1517"/>
        <v>1</v>
      </c>
      <c r="S4196" s="76">
        <f t="shared" si="1518"/>
        <v>1.2119915294117649</v>
      </c>
      <c r="T4196" s="76">
        <f t="shared" si="1519"/>
        <v>1.0339225125498777</v>
      </c>
      <c r="U4196" s="76">
        <f t="shared" si="1520"/>
        <v>1.1575200000000001</v>
      </c>
    </row>
    <row r="4197" spans="1:21" x14ac:dyDescent="0.25">
      <c r="A4197" s="71">
        <v>39</v>
      </c>
      <c r="B4197" s="72">
        <f t="shared" si="1521"/>
        <v>46813</v>
      </c>
      <c r="C4197" s="73">
        <f t="shared" si="1502"/>
        <v>46843</v>
      </c>
      <c r="D4197" s="67">
        <f t="shared" si="1503"/>
        <v>31</v>
      </c>
      <c r="E4197" s="67">
        <f t="shared" si="1504"/>
        <v>3</v>
      </c>
      <c r="F4197" s="74">
        <f t="shared" si="1505"/>
        <v>46828.5</v>
      </c>
      <c r="G4197" s="67">
        <f t="shared" si="1506"/>
        <v>24338</v>
      </c>
      <c r="H4197" s="75">
        <f t="shared" si="1507"/>
        <v>1</v>
      </c>
      <c r="I4197" s="76">
        <f t="shared" si="1508"/>
        <v>1.1575200000000001</v>
      </c>
      <c r="J4197" s="76">
        <f t="shared" si="1509"/>
        <v>1.1575200000000001</v>
      </c>
      <c r="K4197" s="67">
        <f t="shared" si="1510"/>
        <v>0</v>
      </c>
      <c r="L4197" s="67">
        <f t="shared" si="1511"/>
        <v>0</v>
      </c>
      <c r="M4197" s="77">
        <f t="shared" si="1512"/>
        <v>0</v>
      </c>
      <c r="N4197" s="76">
        <f t="shared" si="1513"/>
        <v>1.1575200000000001</v>
      </c>
      <c r="O4197" s="77">
        <f t="shared" si="1514"/>
        <v>0.89</v>
      </c>
      <c r="P4197" s="76">
        <f t="shared" si="1515"/>
        <v>0</v>
      </c>
      <c r="Q4197" s="76">
        <f t="shared" si="1516"/>
        <v>0</v>
      </c>
      <c r="R4197" s="76">
        <f t="shared" si="1517"/>
        <v>1</v>
      </c>
      <c r="S4197" s="76">
        <f t="shared" si="1518"/>
        <v>1.2119915294117649</v>
      </c>
      <c r="T4197" s="76">
        <f t="shared" si="1519"/>
        <v>1.0362919294632515</v>
      </c>
      <c r="U4197" s="76">
        <f t="shared" si="1520"/>
        <v>1.1575200000000001</v>
      </c>
    </row>
    <row r="4198" spans="1:21" x14ac:dyDescent="0.25">
      <c r="A4198" s="71">
        <v>40</v>
      </c>
      <c r="B4198" s="72">
        <f t="shared" si="1521"/>
        <v>46844</v>
      </c>
      <c r="C4198" s="73">
        <f t="shared" si="1502"/>
        <v>46873</v>
      </c>
      <c r="D4198" s="67">
        <f t="shared" si="1503"/>
        <v>30</v>
      </c>
      <c r="E4198" s="67">
        <f t="shared" si="1504"/>
        <v>4</v>
      </c>
      <c r="F4198" s="74">
        <f t="shared" si="1505"/>
        <v>46859</v>
      </c>
      <c r="G4198" s="67">
        <f t="shared" si="1506"/>
        <v>24339</v>
      </c>
      <c r="H4198" s="75">
        <f t="shared" si="1507"/>
        <v>1</v>
      </c>
      <c r="I4198" s="76">
        <f t="shared" si="1508"/>
        <v>1.1575200000000001</v>
      </c>
      <c r="J4198" s="76">
        <f t="shared" si="1509"/>
        <v>1.1575200000000001</v>
      </c>
      <c r="K4198" s="67">
        <f t="shared" si="1510"/>
        <v>0</v>
      </c>
      <c r="L4198" s="67">
        <f t="shared" si="1511"/>
        <v>0</v>
      </c>
      <c r="M4198" s="77">
        <f t="shared" si="1512"/>
        <v>0</v>
      </c>
      <c r="N4198" s="76">
        <f t="shared" si="1513"/>
        <v>1.1575200000000001</v>
      </c>
      <c r="O4198" s="77">
        <f t="shared" si="1514"/>
        <v>0.89</v>
      </c>
      <c r="P4198" s="76">
        <f t="shared" si="1515"/>
        <v>0</v>
      </c>
      <c r="Q4198" s="76">
        <f t="shared" si="1516"/>
        <v>0</v>
      </c>
      <c r="R4198" s="76">
        <f t="shared" si="1517"/>
        <v>1</v>
      </c>
      <c r="S4198" s="76">
        <f t="shared" si="1518"/>
        <v>1.2119915294117649</v>
      </c>
      <c r="T4198" s="76">
        <f t="shared" si="1519"/>
        <v>1.0387416655940276</v>
      </c>
      <c r="U4198" s="76">
        <f t="shared" si="1520"/>
        <v>1.1575200000000001</v>
      </c>
    </row>
    <row r="4199" spans="1:21" x14ac:dyDescent="0.25">
      <c r="A4199" s="71">
        <v>41</v>
      </c>
      <c r="B4199" s="72">
        <f t="shared" si="1521"/>
        <v>46874</v>
      </c>
      <c r="C4199" s="73">
        <f t="shared" si="1502"/>
        <v>46904</v>
      </c>
      <c r="D4199" s="67">
        <f t="shared" si="1503"/>
        <v>31</v>
      </c>
      <c r="E4199" s="67">
        <f t="shared" si="1504"/>
        <v>5</v>
      </c>
      <c r="F4199" s="74">
        <f t="shared" si="1505"/>
        <v>46889.5</v>
      </c>
      <c r="G4199" s="67">
        <f t="shared" si="1506"/>
        <v>24340</v>
      </c>
      <c r="H4199" s="75">
        <f t="shared" si="1507"/>
        <v>1</v>
      </c>
      <c r="I4199" s="76">
        <f t="shared" si="1508"/>
        <v>1.1575200000000001</v>
      </c>
      <c r="J4199" s="76">
        <f t="shared" si="1509"/>
        <v>1.1575200000000001</v>
      </c>
      <c r="K4199" s="67">
        <f t="shared" si="1510"/>
        <v>0</v>
      </c>
      <c r="L4199" s="67">
        <f t="shared" si="1511"/>
        <v>0</v>
      </c>
      <c r="M4199" s="77">
        <f t="shared" si="1512"/>
        <v>0</v>
      </c>
      <c r="N4199" s="76">
        <f t="shared" si="1513"/>
        <v>1.1575200000000001</v>
      </c>
      <c r="O4199" s="77">
        <f t="shared" si="1514"/>
        <v>0.89</v>
      </c>
      <c r="P4199" s="76">
        <f t="shared" si="1515"/>
        <v>0</v>
      </c>
      <c r="Q4199" s="76">
        <f t="shared" si="1516"/>
        <v>0</v>
      </c>
      <c r="R4199" s="76">
        <f t="shared" si="1517"/>
        <v>1</v>
      </c>
      <c r="S4199" s="76">
        <f t="shared" si="1518"/>
        <v>1.2119915294117649</v>
      </c>
      <c r="T4199" s="76">
        <f t="shared" si="1519"/>
        <v>1.0411914017248036</v>
      </c>
      <c r="U4199" s="76">
        <f t="shared" si="1520"/>
        <v>1.1575200000000001</v>
      </c>
    </row>
    <row r="4200" spans="1:21" x14ac:dyDescent="0.25">
      <c r="A4200" s="71">
        <v>42</v>
      </c>
      <c r="B4200" s="72">
        <f t="shared" si="1521"/>
        <v>46905</v>
      </c>
      <c r="C4200" s="73">
        <f t="shared" si="1502"/>
        <v>46934</v>
      </c>
      <c r="D4200" s="67">
        <f t="shared" si="1503"/>
        <v>30</v>
      </c>
      <c r="E4200" s="67">
        <f t="shared" si="1504"/>
        <v>6</v>
      </c>
      <c r="F4200" s="74">
        <f t="shared" si="1505"/>
        <v>46920</v>
      </c>
      <c r="G4200" s="67">
        <f t="shared" si="1506"/>
        <v>24341</v>
      </c>
      <c r="H4200" s="75">
        <f t="shared" si="1507"/>
        <v>1</v>
      </c>
      <c r="I4200" s="76">
        <f t="shared" si="1508"/>
        <v>1.1575200000000001</v>
      </c>
      <c r="J4200" s="76">
        <f t="shared" si="1509"/>
        <v>1.1575200000000001</v>
      </c>
      <c r="K4200" s="67">
        <f t="shared" si="1510"/>
        <v>0</v>
      </c>
      <c r="L4200" s="67">
        <f t="shared" si="1511"/>
        <v>0</v>
      </c>
      <c r="M4200" s="77">
        <f t="shared" si="1512"/>
        <v>0</v>
      </c>
      <c r="N4200" s="76">
        <f t="shared" si="1513"/>
        <v>1.1575200000000001</v>
      </c>
      <c r="O4200" s="77">
        <f t="shared" si="1514"/>
        <v>0.89</v>
      </c>
      <c r="P4200" s="76">
        <f t="shared" si="1515"/>
        <v>0</v>
      </c>
      <c r="Q4200" s="76">
        <f t="shared" si="1516"/>
        <v>0</v>
      </c>
      <c r="R4200" s="76">
        <f t="shared" si="1517"/>
        <v>1</v>
      </c>
      <c r="S4200" s="76">
        <f t="shared" si="1518"/>
        <v>1.2119915294117649</v>
      </c>
      <c r="T4200" s="76">
        <f t="shared" si="1519"/>
        <v>1.0436411378555797</v>
      </c>
      <c r="U4200" s="76">
        <f t="shared" si="1520"/>
        <v>1.1575200000000001</v>
      </c>
    </row>
    <row r="4201" spans="1:21" x14ac:dyDescent="0.25">
      <c r="A4201" s="71">
        <v>43</v>
      </c>
      <c r="B4201" s="72">
        <f t="shared" si="1521"/>
        <v>46935</v>
      </c>
      <c r="C4201" s="73">
        <f t="shared" si="1502"/>
        <v>46965</v>
      </c>
      <c r="D4201" s="67">
        <f t="shared" si="1503"/>
        <v>31</v>
      </c>
      <c r="E4201" s="67">
        <f t="shared" si="1504"/>
        <v>7</v>
      </c>
      <c r="F4201" s="74">
        <f t="shared" si="1505"/>
        <v>46950.5</v>
      </c>
      <c r="G4201" s="67">
        <f t="shared" si="1506"/>
        <v>24342</v>
      </c>
      <c r="H4201" s="75">
        <f t="shared" si="1507"/>
        <v>1</v>
      </c>
      <c r="I4201" s="76">
        <f t="shared" si="1508"/>
        <v>1.1575200000000001</v>
      </c>
      <c r="J4201" s="76">
        <f t="shared" si="1509"/>
        <v>1.1575200000000001</v>
      </c>
      <c r="K4201" s="67">
        <f t="shared" si="1510"/>
        <v>0</v>
      </c>
      <c r="L4201" s="67">
        <f t="shared" si="1511"/>
        <v>0</v>
      </c>
      <c r="M4201" s="77">
        <f t="shared" si="1512"/>
        <v>0</v>
      </c>
      <c r="N4201" s="76">
        <f t="shared" si="1513"/>
        <v>1.1575200000000001</v>
      </c>
      <c r="O4201" s="77">
        <f t="shared" si="1514"/>
        <v>0.89</v>
      </c>
      <c r="P4201" s="76">
        <f t="shared" si="1515"/>
        <v>0</v>
      </c>
      <c r="Q4201" s="76">
        <f t="shared" si="1516"/>
        <v>0</v>
      </c>
      <c r="R4201" s="76">
        <f t="shared" si="1517"/>
        <v>0.91666666666666663</v>
      </c>
      <c r="S4201" s="76">
        <f t="shared" si="1518"/>
        <v>1.2119915294117649</v>
      </c>
      <c r="T4201" s="76">
        <f t="shared" si="1519"/>
        <v>1.1088563264255376</v>
      </c>
      <c r="U4201" s="76">
        <f t="shared" si="1520"/>
        <v>1.1575200000000001</v>
      </c>
    </row>
    <row r="4202" spans="1:21" x14ac:dyDescent="0.25">
      <c r="A4202" s="71">
        <v>44</v>
      </c>
      <c r="B4202" s="72">
        <f t="shared" si="1521"/>
        <v>46966</v>
      </c>
      <c r="C4202" s="73">
        <f t="shared" si="1502"/>
        <v>46996</v>
      </c>
      <c r="D4202" s="67">
        <f t="shared" si="1503"/>
        <v>31</v>
      </c>
      <c r="E4202" s="67">
        <f t="shared" si="1504"/>
        <v>8</v>
      </c>
      <c r="F4202" s="74">
        <f t="shared" si="1505"/>
        <v>46981.5</v>
      </c>
      <c r="G4202" s="67">
        <f t="shared" si="1506"/>
        <v>24343</v>
      </c>
      <c r="H4202" s="75">
        <f t="shared" si="1507"/>
        <v>1</v>
      </c>
      <c r="I4202" s="76">
        <f t="shared" si="1508"/>
        <v>1.1575200000000001</v>
      </c>
      <c r="J4202" s="76">
        <f t="shared" si="1509"/>
        <v>1.1575200000000001</v>
      </c>
      <c r="K4202" s="67">
        <f t="shared" si="1510"/>
        <v>0</v>
      </c>
      <c r="L4202" s="67">
        <f t="shared" si="1511"/>
        <v>0</v>
      </c>
      <c r="M4202" s="77">
        <f t="shared" si="1512"/>
        <v>0</v>
      </c>
      <c r="N4202" s="76">
        <f t="shared" si="1513"/>
        <v>1.1575200000000001</v>
      </c>
      <c r="O4202" s="77">
        <f t="shared" si="1514"/>
        <v>0.89</v>
      </c>
      <c r="P4202" s="76">
        <f t="shared" si="1515"/>
        <v>0</v>
      </c>
      <c r="Q4202" s="76">
        <f t="shared" si="1516"/>
        <v>0</v>
      </c>
      <c r="R4202" s="76">
        <f t="shared" si="1517"/>
        <v>0.75</v>
      </c>
      <c r="S4202" s="76">
        <f t="shared" si="1518"/>
        <v>1.2119915294117649</v>
      </c>
      <c r="T4202" s="76">
        <f t="shared" si="1519"/>
        <v>1.1114956159093834</v>
      </c>
      <c r="U4202" s="76">
        <f t="shared" si="1520"/>
        <v>1.1575200000000001</v>
      </c>
    </row>
    <row r="4203" spans="1:21" x14ac:dyDescent="0.25">
      <c r="A4203" s="71">
        <v>45</v>
      </c>
      <c r="B4203" s="72">
        <f t="shared" si="1521"/>
        <v>46997</v>
      </c>
      <c r="C4203" s="73">
        <f t="shared" si="1502"/>
        <v>47026</v>
      </c>
      <c r="D4203" s="67">
        <f t="shared" si="1503"/>
        <v>30</v>
      </c>
      <c r="E4203" s="67">
        <f t="shared" si="1504"/>
        <v>9</v>
      </c>
      <c r="F4203" s="74">
        <f t="shared" si="1505"/>
        <v>47012</v>
      </c>
      <c r="G4203" s="67">
        <f t="shared" si="1506"/>
        <v>24344</v>
      </c>
      <c r="H4203" s="75">
        <f t="shared" si="1507"/>
        <v>1</v>
      </c>
      <c r="I4203" s="76">
        <f t="shared" si="1508"/>
        <v>1.1575200000000001</v>
      </c>
      <c r="J4203" s="76">
        <f t="shared" si="1509"/>
        <v>1.1575200000000001</v>
      </c>
      <c r="K4203" s="67">
        <f t="shared" si="1510"/>
        <v>0</v>
      </c>
      <c r="L4203" s="67">
        <f t="shared" si="1511"/>
        <v>0</v>
      </c>
      <c r="M4203" s="77">
        <f t="shared" si="1512"/>
        <v>0</v>
      </c>
      <c r="N4203" s="76">
        <f t="shared" si="1513"/>
        <v>1.1575200000000001</v>
      </c>
      <c r="O4203" s="77">
        <f t="shared" si="1514"/>
        <v>0.89</v>
      </c>
      <c r="P4203" s="76">
        <f t="shared" si="1515"/>
        <v>0</v>
      </c>
      <c r="Q4203" s="76">
        <f t="shared" si="1516"/>
        <v>0</v>
      </c>
      <c r="R4203" s="76">
        <f t="shared" si="1517"/>
        <v>0.58333333333333337</v>
      </c>
      <c r="S4203" s="76">
        <f t="shared" si="1518"/>
        <v>1.2119915294117649</v>
      </c>
      <c r="T4203" s="76">
        <f t="shared" si="1519"/>
        <v>1.1140923362080062</v>
      </c>
      <c r="U4203" s="76">
        <f t="shared" si="1520"/>
        <v>1.1575200000000001</v>
      </c>
    </row>
    <row r="4204" spans="1:21" x14ac:dyDescent="0.25">
      <c r="A4204" s="71">
        <v>46</v>
      </c>
      <c r="B4204" s="72">
        <f t="shared" si="1521"/>
        <v>47027</v>
      </c>
      <c r="C4204" s="73">
        <f t="shared" si="1502"/>
        <v>47057</v>
      </c>
      <c r="D4204" s="67">
        <f t="shared" si="1503"/>
        <v>31</v>
      </c>
      <c r="E4204" s="67">
        <f t="shared" si="1504"/>
        <v>10</v>
      </c>
      <c r="F4204" s="74">
        <f t="shared" si="1505"/>
        <v>47042.5</v>
      </c>
      <c r="G4204" s="67">
        <f t="shared" si="1506"/>
        <v>24345</v>
      </c>
      <c r="H4204" s="75">
        <f t="shared" si="1507"/>
        <v>1</v>
      </c>
      <c r="I4204" s="76">
        <f t="shared" si="1508"/>
        <v>1.1575200000000001</v>
      </c>
      <c r="J4204" s="76">
        <f t="shared" si="1509"/>
        <v>1.1575200000000001</v>
      </c>
      <c r="K4204" s="67">
        <f t="shared" si="1510"/>
        <v>0</v>
      </c>
      <c r="L4204" s="67">
        <f t="shared" si="1511"/>
        <v>0</v>
      </c>
      <c r="M4204" s="77">
        <f t="shared" si="1512"/>
        <v>0</v>
      </c>
      <c r="N4204" s="76">
        <f t="shared" si="1513"/>
        <v>1.1575200000000001</v>
      </c>
      <c r="O4204" s="77">
        <f t="shared" si="1514"/>
        <v>0.89</v>
      </c>
      <c r="P4204" s="76">
        <f t="shared" si="1515"/>
        <v>0</v>
      </c>
      <c r="Q4204" s="76">
        <f t="shared" si="1516"/>
        <v>0</v>
      </c>
      <c r="R4204" s="76">
        <f t="shared" si="1517"/>
        <v>0.41666666666666669</v>
      </c>
      <c r="S4204" s="76">
        <f t="shared" si="1518"/>
        <v>1.2119915294117649</v>
      </c>
      <c r="T4204" s="76">
        <f t="shared" si="1519"/>
        <v>1.116689056506629</v>
      </c>
      <c r="U4204" s="76">
        <f t="shared" si="1520"/>
        <v>1.1575200000000001</v>
      </c>
    </row>
    <row r="4205" spans="1:21" x14ac:dyDescent="0.25">
      <c r="A4205" s="71">
        <v>47</v>
      </c>
      <c r="B4205" s="72">
        <f t="shared" si="1521"/>
        <v>47058</v>
      </c>
      <c r="C4205" s="73">
        <f t="shared" si="1502"/>
        <v>47087</v>
      </c>
      <c r="D4205" s="67">
        <f t="shared" si="1503"/>
        <v>30</v>
      </c>
      <c r="E4205" s="67">
        <f t="shared" si="1504"/>
        <v>11</v>
      </c>
      <c r="F4205" s="74">
        <f t="shared" si="1505"/>
        <v>47073</v>
      </c>
      <c r="G4205" s="67">
        <f t="shared" si="1506"/>
        <v>24346</v>
      </c>
      <c r="H4205" s="75">
        <f t="shared" si="1507"/>
        <v>1</v>
      </c>
      <c r="I4205" s="76">
        <f t="shared" si="1508"/>
        <v>1.1575200000000001</v>
      </c>
      <c r="J4205" s="76">
        <f t="shared" si="1509"/>
        <v>1.1575200000000001</v>
      </c>
      <c r="K4205" s="67">
        <f t="shared" si="1510"/>
        <v>0</v>
      </c>
      <c r="L4205" s="67">
        <f t="shared" si="1511"/>
        <v>0</v>
      </c>
      <c r="M4205" s="77">
        <f t="shared" si="1512"/>
        <v>0</v>
      </c>
      <c r="N4205" s="76">
        <f t="shared" si="1513"/>
        <v>1.1575200000000001</v>
      </c>
      <c r="O4205" s="77">
        <f t="shared" si="1514"/>
        <v>0.89</v>
      </c>
      <c r="P4205" s="76">
        <f t="shared" si="1515"/>
        <v>0</v>
      </c>
      <c r="Q4205" s="76">
        <f t="shared" si="1516"/>
        <v>0</v>
      </c>
      <c r="R4205" s="76">
        <f t="shared" si="1517"/>
        <v>0.25</v>
      </c>
      <c r="S4205" s="76">
        <f t="shared" si="1518"/>
        <v>1.2119915294117649</v>
      </c>
      <c r="T4205" s="76">
        <f t="shared" si="1519"/>
        <v>1.1192857768052518</v>
      </c>
      <c r="U4205" s="76">
        <f t="shared" si="1520"/>
        <v>1.1575200000000001</v>
      </c>
    </row>
    <row r="4206" spans="1:21" x14ac:dyDescent="0.25">
      <c r="A4206" s="71">
        <v>48</v>
      </c>
      <c r="B4206" s="72">
        <f t="shared" si="1521"/>
        <v>47088</v>
      </c>
      <c r="C4206" s="73">
        <f t="shared" si="1502"/>
        <v>47118</v>
      </c>
      <c r="D4206" s="67">
        <f t="shared" si="1503"/>
        <v>31</v>
      </c>
      <c r="E4206" s="67">
        <f t="shared" si="1504"/>
        <v>12</v>
      </c>
      <c r="F4206" s="74">
        <f t="shared" si="1505"/>
        <v>47103.5</v>
      </c>
      <c r="G4206" s="67">
        <f t="shared" si="1506"/>
        <v>24347</v>
      </c>
      <c r="H4206" s="75">
        <f t="shared" si="1507"/>
        <v>1</v>
      </c>
      <c r="I4206" s="76">
        <f t="shared" si="1508"/>
        <v>1.1575200000000001</v>
      </c>
      <c r="J4206" s="76">
        <f t="shared" si="1509"/>
        <v>1.1575200000000001</v>
      </c>
      <c r="K4206" s="67">
        <f t="shared" si="1510"/>
        <v>0</v>
      </c>
      <c r="L4206" s="67">
        <f t="shared" si="1511"/>
        <v>0</v>
      </c>
      <c r="M4206" s="77">
        <f t="shared" si="1512"/>
        <v>0</v>
      </c>
      <c r="N4206" s="76">
        <f t="shared" si="1513"/>
        <v>1.1575200000000001</v>
      </c>
      <c r="O4206" s="77">
        <f t="shared" si="1514"/>
        <v>0.89</v>
      </c>
      <c r="P4206" s="76">
        <f t="shared" si="1515"/>
        <v>0</v>
      </c>
      <c r="Q4206" s="76">
        <f t="shared" si="1516"/>
        <v>0</v>
      </c>
      <c r="R4206" s="76">
        <f t="shared" si="1517"/>
        <v>8.3333333333333329E-2</v>
      </c>
      <c r="S4206" s="76">
        <f t="shared" si="1518"/>
        <v>1.2119915294117649</v>
      </c>
      <c r="T4206" s="76">
        <f t="shared" si="1519"/>
        <v>1.1218824971038743</v>
      </c>
      <c r="U4206" s="76">
        <f t="shared" si="1520"/>
        <v>1.1575200000000001</v>
      </c>
    </row>
    <row r="4207" spans="1:21" x14ac:dyDescent="0.25">
      <c r="A4207" s="81" t="s">
        <v>1230</v>
      </c>
      <c r="B4207" s="53">
        <f>SUMPRODUCT($H$4159:$H$4206,$Q$4159:$Q$4206,$U$4159:$U$4206)/SUMPRODUCT($H$4159:$H$4206,$Q$4159:$Q$4206)</f>
        <v>1.1299600000000001</v>
      </c>
      <c r="C4207" s="53">
        <f>SUMPRODUCT($H$4159:$H$4206,$R$4159:$R$4206,$U$4159:$U$4206)/SUMPRODUCT($H$4159:$H$4206,$R$4159:$R$4206)</f>
        <v>1.1575200000000001</v>
      </c>
      <c r="D4207" s="172">
        <f>SUMPRODUCT($H$4159:$H$4206,$Q$4159:$Q$4206,$O$4159:$O$4206)/SUMPRODUCT($H$4159:$H$4206,$Q$4159:$Q$4206)</f>
        <v>0.87197757111597374</v>
      </c>
    </row>
    <row r="4210" spans="1:21" x14ac:dyDescent="0.25">
      <c r="A4210" s="188" t="s">
        <v>1231</v>
      </c>
    </row>
    <row r="4211" spans="1:21" x14ac:dyDescent="0.25">
      <c r="A4211" s="81">
        <f>EDATE(nr_M0Asof,-12)+1</f>
        <v>45931</v>
      </c>
      <c r="B4211" s="81">
        <f>nr_M0Asof+1</f>
        <v>46296</v>
      </c>
      <c r="C4211" s="81">
        <f>DATE(nr_PlanYear,12,31)+1</f>
        <v>46753</v>
      </c>
      <c r="D4211" s="81">
        <f>DATE(nr_PlanYear+1,12,31)+1</f>
        <v>47119</v>
      </c>
      <c r="E4211" s="81">
        <f>IF(N(nr_MPrior)=0,$F$4211-($G$4211-$F$4211)/($C$4211-$B$4211)*($B$4211-$A$4211),nr_MPrior)</f>
        <v>0.83603938730853389</v>
      </c>
      <c r="F4211" s="81">
        <f>nr_M0</f>
        <v>0.86</v>
      </c>
      <c r="G4211" s="81">
        <f>nr_M1+N(INDEX(sc_dm1,4))</f>
        <v>0.89</v>
      </c>
      <c r="H4211" s="81">
        <f>IF(N(nr_M2)=0,nr_M1,nr_M2)+N(INDEX(sc_dm1,4))</f>
        <v>0.89</v>
      </c>
      <c r="I4211" s="81">
        <f>($F$4211-$E$4211)/($B$4211-$A$4211)</f>
        <v>6.5645514223194786E-5</v>
      </c>
      <c r="J4211" s="81">
        <f>($G$4211-$F$4211)/($C$4211-$B$4211)</f>
        <v>6.5645514223194813E-5</v>
      </c>
      <c r="K4211" s="81">
        <f>($H$4211-$G$4211)/($D$4211-$C$4211)</f>
        <v>0</v>
      </c>
    </row>
    <row r="4212" spans="1:21" ht="36" x14ac:dyDescent="0.25">
      <c r="A4212" s="50" t="s">
        <v>211</v>
      </c>
      <c r="B4212" s="50" t="s">
        <v>212</v>
      </c>
      <c r="C4212" s="50" t="s">
        <v>213</v>
      </c>
      <c r="D4212" s="50" t="s">
        <v>214</v>
      </c>
      <c r="E4212" s="50" t="s">
        <v>215</v>
      </c>
      <c r="F4212" s="50" t="s">
        <v>216</v>
      </c>
      <c r="G4212" s="50" t="s">
        <v>217</v>
      </c>
      <c r="H4212" s="50" t="s">
        <v>218</v>
      </c>
      <c r="I4212" s="50" t="s">
        <v>219</v>
      </c>
      <c r="J4212" s="50" t="s">
        <v>220</v>
      </c>
      <c r="K4212" s="50" t="s">
        <v>221</v>
      </c>
      <c r="L4212" s="50" t="s">
        <v>222</v>
      </c>
      <c r="M4212" s="50" t="s">
        <v>223</v>
      </c>
      <c r="N4212" s="50" t="s">
        <v>224</v>
      </c>
      <c r="O4212" s="50" t="s">
        <v>225</v>
      </c>
      <c r="P4212" s="50" t="s">
        <v>226</v>
      </c>
      <c r="Q4212" s="50" t="s">
        <v>227</v>
      </c>
      <c r="R4212" s="50" t="s">
        <v>228</v>
      </c>
      <c r="S4212" s="50" t="s">
        <v>229</v>
      </c>
      <c r="T4212" s="50" t="s">
        <v>230</v>
      </c>
      <c r="U4212" s="50" t="s">
        <v>231</v>
      </c>
    </row>
    <row r="4213" spans="1:21" x14ac:dyDescent="0.25">
      <c r="A4213" s="71">
        <v>1</v>
      </c>
      <c r="B4213" s="72">
        <f>DATE(nr_PlanYear-2,1,1)</f>
        <v>45658</v>
      </c>
      <c r="C4213" s="73">
        <f t="shared" ref="C4213:C4260" si="1522">EOMONTH($B4213,0)</f>
        <v>45688</v>
      </c>
      <c r="D4213" s="67">
        <f t="shared" ref="D4213:D4260" si="1523">$C4213-$B4213+1</f>
        <v>31</v>
      </c>
      <c r="E4213" s="67">
        <f t="shared" ref="E4213:E4260" si="1524">MONTH($B4213)</f>
        <v>1</v>
      </c>
      <c r="F4213" s="74">
        <f t="shared" ref="F4213:F4260" si="1525">($B4213+$C4213+1)/2</f>
        <v>45673.5</v>
      </c>
      <c r="G4213" s="67">
        <f t="shared" ref="G4213:G4260" si="1526">YEAR($B4213)*12+MONTH($B4213)-1</f>
        <v>24300</v>
      </c>
      <c r="H4213" s="75">
        <f t="shared" ref="H4213:H4260" si="1527">IF(OR(nr_SeasonOn="OFF",re_srow=0,re_ssum=0),1,12*INDEX(se_block,re_srow,$E4213)/re_ssum)</f>
        <v>1</v>
      </c>
      <c r="I4213" s="76">
        <f t="shared" ref="I4213:I4260" si="1528">EXP(SUMPRODUCT(($AE$3806:$AE$4045&lt;$B4213)*(rl_key=nr_SelKey)*$AI$3806:$AI$4045))</f>
        <v>1</v>
      </c>
      <c r="J4213" s="76">
        <f t="shared" ref="J4213:J4260" si="1529">EXP(SUMPRODUCT(($AE$3806:$AE$4045&lt;=$C4213)*(rl_key=nr_SelKey)*$AI$3806:$AI$4045))</f>
        <v>1</v>
      </c>
      <c r="K4213" s="67">
        <f t="shared" ref="K4213:K4260" si="1530">COUNTIFS(rl_key,nr_SelKey,$AE$3806:$AE$4045,"&gt;="&amp;$B4213,$AE$3806:$AE$4045,"&lt;="&amp;$C4213)</f>
        <v>0</v>
      </c>
      <c r="L4213" s="67">
        <f t="shared" ref="L4213:L4260" si="1531">SUMIFS($AJ$3806:$AJ$4045,rl_key,nr_SelKey,$AF$3806:$AF$4045,$B4213,$AM$3806:$AM$4045,1)</f>
        <v>0</v>
      </c>
      <c r="M4213" s="77">
        <f t="shared" ref="M4213:M4260" si="1532">IF($K4213=0,0,MIN(1,$L4213/$D4213))</f>
        <v>0</v>
      </c>
      <c r="N4213" s="76">
        <f t="shared" ref="N4213:N4260" si="1533">IF($K4213=0,$J4213,(1-$M4213)*$I4213+$M4213*$J4213)</f>
        <v>1</v>
      </c>
      <c r="O4213" s="77">
        <f t="shared" ref="O4213:O4260" si="1534">IF($F4213&lt;$B$4211,$E$4211+$I$4211*($F4213-$A$4211),IF($F4213&lt;$C$4211,$F$4211+$J$4211*($F4213-$B$4211),$G$4211+$K$4211*($F4213-$C$4211)))</f>
        <v>0.81913566739606125</v>
      </c>
      <c r="P4213" s="76">
        <f t="shared" ref="P4213:P4260" si="1535">MIN(1,MAX(0,(nr_MEndPm1-$G4213+0.5)/nr_TermMonths))-MIN(1,MAX(0,(nr_MStartPm1-1-$G4213+0.5)/nr_TermMonths))</f>
        <v>0</v>
      </c>
      <c r="Q4213" s="76">
        <f t="shared" ref="Q4213:Q4260" si="1536">MIN(1,MAX(0,(nr_MEndP-$G4213+0.5)/nr_TermMonths))-MIN(1,MAX(0,(nr_MStartP-1-$G4213+0.5)/nr_TermMonths))</f>
        <v>0</v>
      </c>
      <c r="R4213" s="76">
        <f t="shared" ref="R4213:R4260" si="1537">MIN(1,MAX(0,(nr_MEndP1-$G4213+0.5)/nr_TermMonths))-MIN(1,MAX(0,(nr_MStartP1-1-$G4213+0.5)/nr_TermMonths))</f>
        <v>0</v>
      </c>
      <c r="S4213" s="76">
        <f t="shared" ref="S4213:S4260" si="1538">$N4213*IF(nr_ModAdjEff="ON",$O4213/nr_MInd,1)</f>
        <v>0.96368902046595439</v>
      </c>
      <c r="T4213" s="76">
        <f t="shared" ref="T4213:T4260" si="1539">IF($G4213&lt;nr_MStartP,$S4213,$T4201*(1+IF($G4213&lt;nr_MStartP1,(nr_NetSelP+N(INDEX(sc_dnet,4))),(nr_NetSelP1+N(INDEX(sc_dnet,4))))))</f>
        <v>0.96368902046595439</v>
      </c>
      <c r="U4213" s="76">
        <f t="shared" ref="U4213:U4260" si="1540">IF(nr_NetMode,$T4213,$N4213)</f>
        <v>1</v>
      </c>
    </row>
    <row r="4214" spans="1:21" x14ac:dyDescent="0.25">
      <c r="A4214" s="71">
        <v>2</v>
      </c>
      <c r="B4214" s="72">
        <f t="shared" ref="B4214:B4260" si="1541">EDATE($B4213,1)</f>
        <v>45689</v>
      </c>
      <c r="C4214" s="73">
        <f t="shared" si="1522"/>
        <v>45716</v>
      </c>
      <c r="D4214" s="67">
        <f t="shared" si="1523"/>
        <v>28</v>
      </c>
      <c r="E4214" s="67">
        <f t="shared" si="1524"/>
        <v>2</v>
      </c>
      <c r="F4214" s="74">
        <f t="shared" si="1525"/>
        <v>45703</v>
      </c>
      <c r="G4214" s="67">
        <f t="shared" si="1526"/>
        <v>24301</v>
      </c>
      <c r="H4214" s="75">
        <f t="shared" si="1527"/>
        <v>1</v>
      </c>
      <c r="I4214" s="76">
        <f t="shared" si="1528"/>
        <v>1</v>
      </c>
      <c r="J4214" s="76">
        <f t="shared" si="1529"/>
        <v>1</v>
      </c>
      <c r="K4214" s="67">
        <f t="shared" si="1530"/>
        <v>0</v>
      </c>
      <c r="L4214" s="67">
        <f t="shared" si="1531"/>
        <v>0</v>
      </c>
      <c r="M4214" s="77">
        <f t="shared" si="1532"/>
        <v>0</v>
      </c>
      <c r="N4214" s="76">
        <f t="shared" si="1533"/>
        <v>1</v>
      </c>
      <c r="O4214" s="77">
        <f t="shared" si="1534"/>
        <v>0.82107221006564546</v>
      </c>
      <c r="P4214" s="76">
        <f t="shared" si="1535"/>
        <v>0</v>
      </c>
      <c r="Q4214" s="76">
        <f t="shared" si="1536"/>
        <v>0</v>
      </c>
      <c r="R4214" s="76">
        <f t="shared" si="1537"/>
        <v>0</v>
      </c>
      <c r="S4214" s="76">
        <f t="shared" si="1538"/>
        <v>0.96596730595958291</v>
      </c>
      <c r="T4214" s="76">
        <f t="shared" si="1539"/>
        <v>0.96596730595958291</v>
      </c>
      <c r="U4214" s="76">
        <f t="shared" si="1540"/>
        <v>1</v>
      </c>
    </row>
    <row r="4215" spans="1:21" x14ac:dyDescent="0.25">
      <c r="A4215" s="71">
        <v>3</v>
      </c>
      <c r="B4215" s="72">
        <f t="shared" si="1541"/>
        <v>45717</v>
      </c>
      <c r="C4215" s="73">
        <f t="shared" si="1522"/>
        <v>45747</v>
      </c>
      <c r="D4215" s="67">
        <f t="shared" si="1523"/>
        <v>31</v>
      </c>
      <c r="E4215" s="67">
        <f t="shared" si="1524"/>
        <v>3</v>
      </c>
      <c r="F4215" s="74">
        <f t="shared" si="1525"/>
        <v>45732.5</v>
      </c>
      <c r="G4215" s="67">
        <f t="shared" si="1526"/>
        <v>24302</v>
      </c>
      <c r="H4215" s="75">
        <f t="shared" si="1527"/>
        <v>1</v>
      </c>
      <c r="I4215" s="76">
        <f t="shared" si="1528"/>
        <v>1</v>
      </c>
      <c r="J4215" s="76">
        <f t="shared" si="1529"/>
        <v>1</v>
      </c>
      <c r="K4215" s="67">
        <f t="shared" si="1530"/>
        <v>0</v>
      </c>
      <c r="L4215" s="67">
        <f t="shared" si="1531"/>
        <v>0</v>
      </c>
      <c r="M4215" s="77">
        <f t="shared" si="1532"/>
        <v>0</v>
      </c>
      <c r="N4215" s="76">
        <f t="shared" si="1533"/>
        <v>1</v>
      </c>
      <c r="O4215" s="77">
        <f t="shared" si="1534"/>
        <v>0.82300875273522978</v>
      </c>
      <c r="P4215" s="76">
        <f t="shared" si="1535"/>
        <v>0</v>
      </c>
      <c r="Q4215" s="76">
        <f t="shared" si="1536"/>
        <v>0</v>
      </c>
      <c r="R4215" s="76">
        <f t="shared" si="1537"/>
        <v>0</v>
      </c>
      <c r="S4215" s="76">
        <f t="shared" si="1538"/>
        <v>0.96824559145321154</v>
      </c>
      <c r="T4215" s="76">
        <f t="shared" si="1539"/>
        <v>0.96824559145321154</v>
      </c>
      <c r="U4215" s="76">
        <f t="shared" si="1540"/>
        <v>1</v>
      </c>
    </row>
    <row r="4216" spans="1:21" x14ac:dyDescent="0.25">
      <c r="A4216" s="71">
        <v>4</v>
      </c>
      <c r="B4216" s="72">
        <f t="shared" si="1541"/>
        <v>45748</v>
      </c>
      <c r="C4216" s="73">
        <f t="shared" si="1522"/>
        <v>45777</v>
      </c>
      <c r="D4216" s="67">
        <f t="shared" si="1523"/>
        <v>30</v>
      </c>
      <c r="E4216" s="67">
        <f t="shared" si="1524"/>
        <v>4</v>
      </c>
      <c r="F4216" s="74">
        <f t="shared" si="1525"/>
        <v>45763</v>
      </c>
      <c r="G4216" s="67">
        <f t="shared" si="1526"/>
        <v>24303</v>
      </c>
      <c r="H4216" s="75">
        <f t="shared" si="1527"/>
        <v>1</v>
      </c>
      <c r="I4216" s="76">
        <f t="shared" si="1528"/>
        <v>1</v>
      </c>
      <c r="J4216" s="76">
        <f t="shared" si="1529"/>
        <v>1</v>
      </c>
      <c r="K4216" s="67">
        <f t="shared" si="1530"/>
        <v>0</v>
      </c>
      <c r="L4216" s="67">
        <f t="shared" si="1531"/>
        <v>0</v>
      </c>
      <c r="M4216" s="77">
        <f t="shared" si="1532"/>
        <v>0</v>
      </c>
      <c r="N4216" s="76">
        <f t="shared" si="1533"/>
        <v>1</v>
      </c>
      <c r="O4216" s="77">
        <f t="shared" si="1534"/>
        <v>0.82501094091903715</v>
      </c>
      <c r="P4216" s="76">
        <f t="shared" si="1535"/>
        <v>0</v>
      </c>
      <c r="Q4216" s="76">
        <f t="shared" si="1536"/>
        <v>0</v>
      </c>
      <c r="R4216" s="76">
        <f t="shared" si="1537"/>
        <v>0</v>
      </c>
      <c r="S4216" s="76">
        <f t="shared" si="1538"/>
        <v>0.97060110696357316</v>
      </c>
      <c r="T4216" s="76">
        <f t="shared" si="1539"/>
        <v>0.97060110696357316</v>
      </c>
      <c r="U4216" s="76">
        <f t="shared" si="1540"/>
        <v>1</v>
      </c>
    </row>
    <row r="4217" spans="1:21" x14ac:dyDescent="0.25">
      <c r="A4217" s="71">
        <v>5</v>
      </c>
      <c r="B4217" s="72">
        <f t="shared" si="1541"/>
        <v>45778</v>
      </c>
      <c r="C4217" s="73">
        <f t="shared" si="1522"/>
        <v>45808</v>
      </c>
      <c r="D4217" s="67">
        <f t="shared" si="1523"/>
        <v>31</v>
      </c>
      <c r="E4217" s="67">
        <f t="shared" si="1524"/>
        <v>5</v>
      </c>
      <c r="F4217" s="74">
        <f t="shared" si="1525"/>
        <v>45793.5</v>
      </c>
      <c r="G4217" s="67">
        <f t="shared" si="1526"/>
        <v>24304</v>
      </c>
      <c r="H4217" s="75">
        <f t="shared" si="1527"/>
        <v>1</v>
      </c>
      <c r="I4217" s="76">
        <f t="shared" si="1528"/>
        <v>1</v>
      </c>
      <c r="J4217" s="76">
        <f t="shared" si="1529"/>
        <v>1</v>
      </c>
      <c r="K4217" s="67">
        <f t="shared" si="1530"/>
        <v>0</v>
      </c>
      <c r="L4217" s="67">
        <f t="shared" si="1531"/>
        <v>0</v>
      </c>
      <c r="M4217" s="77">
        <f t="shared" si="1532"/>
        <v>0</v>
      </c>
      <c r="N4217" s="76">
        <f t="shared" si="1533"/>
        <v>1</v>
      </c>
      <c r="O4217" s="77">
        <f t="shared" si="1534"/>
        <v>0.82701312910284464</v>
      </c>
      <c r="P4217" s="76">
        <f t="shared" si="1535"/>
        <v>0</v>
      </c>
      <c r="Q4217" s="76">
        <f t="shared" si="1536"/>
        <v>0</v>
      </c>
      <c r="R4217" s="76">
        <f t="shared" si="1537"/>
        <v>0</v>
      </c>
      <c r="S4217" s="76">
        <f t="shared" si="1538"/>
        <v>0.97295662247393488</v>
      </c>
      <c r="T4217" s="76">
        <f t="shared" si="1539"/>
        <v>0.97295662247393488</v>
      </c>
      <c r="U4217" s="76">
        <f t="shared" si="1540"/>
        <v>1</v>
      </c>
    </row>
    <row r="4218" spans="1:21" x14ac:dyDescent="0.25">
      <c r="A4218" s="71">
        <v>6</v>
      </c>
      <c r="B4218" s="72">
        <f t="shared" si="1541"/>
        <v>45809</v>
      </c>
      <c r="C4218" s="73">
        <f t="shared" si="1522"/>
        <v>45838</v>
      </c>
      <c r="D4218" s="67">
        <f t="shared" si="1523"/>
        <v>30</v>
      </c>
      <c r="E4218" s="67">
        <f t="shared" si="1524"/>
        <v>6</v>
      </c>
      <c r="F4218" s="74">
        <f t="shared" si="1525"/>
        <v>45824</v>
      </c>
      <c r="G4218" s="67">
        <f t="shared" si="1526"/>
        <v>24305</v>
      </c>
      <c r="H4218" s="75">
        <f t="shared" si="1527"/>
        <v>1</v>
      </c>
      <c r="I4218" s="76">
        <f t="shared" si="1528"/>
        <v>1</v>
      </c>
      <c r="J4218" s="76">
        <f t="shared" si="1529"/>
        <v>1</v>
      </c>
      <c r="K4218" s="67">
        <f t="shared" si="1530"/>
        <v>0</v>
      </c>
      <c r="L4218" s="67">
        <f t="shared" si="1531"/>
        <v>0</v>
      </c>
      <c r="M4218" s="77">
        <f t="shared" si="1532"/>
        <v>0</v>
      </c>
      <c r="N4218" s="76">
        <f t="shared" si="1533"/>
        <v>1</v>
      </c>
      <c r="O4218" s="77">
        <f t="shared" si="1534"/>
        <v>0.82901531728665201</v>
      </c>
      <c r="P4218" s="76">
        <f t="shared" si="1535"/>
        <v>0</v>
      </c>
      <c r="Q4218" s="76">
        <f t="shared" si="1536"/>
        <v>0</v>
      </c>
      <c r="R4218" s="76">
        <f t="shared" si="1537"/>
        <v>0</v>
      </c>
      <c r="S4218" s="76">
        <f t="shared" si="1538"/>
        <v>0.9753121379842965</v>
      </c>
      <c r="T4218" s="76">
        <f t="shared" si="1539"/>
        <v>0.9753121379842965</v>
      </c>
      <c r="U4218" s="76">
        <f t="shared" si="1540"/>
        <v>1</v>
      </c>
    </row>
    <row r="4219" spans="1:21" x14ac:dyDescent="0.25">
      <c r="A4219" s="71">
        <v>7</v>
      </c>
      <c r="B4219" s="72">
        <f t="shared" si="1541"/>
        <v>45839</v>
      </c>
      <c r="C4219" s="73">
        <f t="shared" si="1522"/>
        <v>45869</v>
      </c>
      <c r="D4219" s="67">
        <f t="shared" si="1523"/>
        <v>31</v>
      </c>
      <c r="E4219" s="67">
        <f t="shared" si="1524"/>
        <v>7</v>
      </c>
      <c r="F4219" s="74">
        <f t="shared" si="1525"/>
        <v>45854.5</v>
      </c>
      <c r="G4219" s="67">
        <f t="shared" si="1526"/>
        <v>24306</v>
      </c>
      <c r="H4219" s="75">
        <f t="shared" si="1527"/>
        <v>1</v>
      </c>
      <c r="I4219" s="76">
        <f t="shared" si="1528"/>
        <v>1</v>
      </c>
      <c r="J4219" s="76">
        <f t="shared" si="1529"/>
        <v>1.04</v>
      </c>
      <c r="K4219" s="67">
        <f t="shared" si="1530"/>
        <v>1</v>
      </c>
      <c r="L4219" s="67">
        <f t="shared" si="1531"/>
        <v>31</v>
      </c>
      <c r="M4219" s="77">
        <f t="shared" si="1532"/>
        <v>1</v>
      </c>
      <c r="N4219" s="76">
        <f t="shared" si="1533"/>
        <v>1.04</v>
      </c>
      <c r="O4219" s="77">
        <f t="shared" si="1534"/>
        <v>0.83101750547045949</v>
      </c>
      <c r="P4219" s="76">
        <f t="shared" si="1535"/>
        <v>8.333333333333337E-2</v>
      </c>
      <c r="Q4219" s="76">
        <f t="shared" si="1536"/>
        <v>0</v>
      </c>
      <c r="R4219" s="76">
        <f t="shared" si="1537"/>
        <v>0</v>
      </c>
      <c r="S4219" s="76">
        <f t="shared" si="1538"/>
        <v>1.0167743596344445</v>
      </c>
      <c r="T4219" s="76">
        <f t="shared" si="1539"/>
        <v>1.0167743596344445</v>
      </c>
      <c r="U4219" s="76">
        <f t="shared" si="1540"/>
        <v>1.04</v>
      </c>
    </row>
    <row r="4220" spans="1:21" x14ac:dyDescent="0.25">
      <c r="A4220" s="71">
        <v>8</v>
      </c>
      <c r="B4220" s="72">
        <f t="shared" si="1541"/>
        <v>45870</v>
      </c>
      <c r="C4220" s="73">
        <f t="shared" si="1522"/>
        <v>45900</v>
      </c>
      <c r="D4220" s="67">
        <f t="shared" si="1523"/>
        <v>31</v>
      </c>
      <c r="E4220" s="67">
        <f t="shared" si="1524"/>
        <v>8</v>
      </c>
      <c r="F4220" s="74">
        <f t="shared" si="1525"/>
        <v>45885.5</v>
      </c>
      <c r="G4220" s="67">
        <f t="shared" si="1526"/>
        <v>24307</v>
      </c>
      <c r="H4220" s="75">
        <f t="shared" si="1527"/>
        <v>1</v>
      </c>
      <c r="I4220" s="76">
        <f t="shared" si="1528"/>
        <v>1.04</v>
      </c>
      <c r="J4220" s="76">
        <f t="shared" si="1529"/>
        <v>1.04</v>
      </c>
      <c r="K4220" s="67">
        <f t="shared" si="1530"/>
        <v>0</v>
      </c>
      <c r="L4220" s="67">
        <f t="shared" si="1531"/>
        <v>0</v>
      </c>
      <c r="M4220" s="77">
        <f t="shared" si="1532"/>
        <v>0</v>
      </c>
      <c r="N4220" s="76">
        <f t="shared" si="1533"/>
        <v>1.04</v>
      </c>
      <c r="O4220" s="77">
        <f t="shared" si="1534"/>
        <v>0.83305251641137856</v>
      </c>
      <c r="P4220" s="76">
        <f t="shared" si="1535"/>
        <v>0.25</v>
      </c>
      <c r="Q4220" s="76">
        <f t="shared" si="1536"/>
        <v>0</v>
      </c>
      <c r="R4220" s="76">
        <f t="shared" si="1537"/>
        <v>0</v>
      </c>
      <c r="S4220" s="76">
        <f t="shared" si="1538"/>
        <v>1.0192642553739222</v>
      </c>
      <c r="T4220" s="76">
        <f t="shared" si="1539"/>
        <v>1.0192642553739222</v>
      </c>
      <c r="U4220" s="76">
        <f t="shared" si="1540"/>
        <v>1.04</v>
      </c>
    </row>
    <row r="4221" spans="1:21" x14ac:dyDescent="0.25">
      <c r="A4221" s="71">
        <v>9</v>
      </c>
      <c r="B4221" s="72">
        <f t="shared" si="1541"/>
        <v>45901</v>
      </c>
      <c r="C4221" s="73">
        <f t="shared" si="1522"/>
        <v>45930</v>
      </c>
      <c r="D4221" s="67">
        <f t="shared" si="1523"/>
        <v>30</v>
      </c>
      <c r="E4221" s="67">
        <f t="shared" si="1524"/>
        <v>9</v>
      </c>
      <c r="F4221" s="74">
        <f t="shared" si="1525"/>
        <v>45916</v>
      </c>
      <c r="G4221" s="67">
        <f t="shared" si="1526"/>
        <v>24308</v>
      </c>
      <c r="H4221" s="75">
        <f t="shared" si="1527"/>
        <v>1</v>
      </c>
      <c r="I4221" s="76">
        <f t="shared" si="1528"/>
        <v>1.04</v>
      </c>
      <c r="J4221" s="76">
        <f t="shared" si="1529"/>
        <v>1.04</v>
      </c>
      <c r="K4221" s="67">
        <f t="shared" si="1530"/>
        <v>0</v>
      </c>
      <c r="L4221" s="67">
        <f t="shared" si="1531"/>
        <v>0</v>
      </c>
      <c r="M4221" s="77">
        <f t="shared" si="1532"/>
        <v>0</v>
      </c>
      <c r="N4221" s="76">
        <f t="shared" si="1533"/>
        <v>1.04</v>
      </c>
      <c r="O4221" s="77">
        <f t="shared" si="1534"/>
        <v>0.83505470459518594</v>
      </c>
      <c r="P4221" s="76">
        <f t="shared" si="1535"/>
        <v>0.41666666666666663</v>
      </c>
      <c r="Q4221" s="76">
        <f t="shared" si="1536"/>
        <v>0</v>
      </c>
      <c r="R4221" s="76">
        <f t="shared" si="1537"/>
        <v>0</v>
      </c>
      <c r="S4221" s="76">
        <f t="shared" si="1538"/>
        <v>1.0217139915046982</v>
      </c>
      <c r="T4221" s="76">
        <f t="shared" si="1539"/>
        <v>1.0217139915046982</v>
      </c>
      <c r="U4221" s="76">
        <f t="shared" si="1540"/>
        <v>1.04</v>
      </c>
    </row>
    <row r="4222" spans="1:21" x14ac:dyDescent="0.25">
      <c r="A4222" s="71">
        <v>10</v>
      </c>
      <c r="B4222" s="72">
        <f t="shared" si="1541"/>
        <v>45931</v>
      </c>
      <c r="C4222" s="73">
        <f t="shared" si="1522"/>
        <v>45961</v>
      </c>
      <c r="D4222" s="67">
        <f t="shared" si="1523"/>
        <v>31</v>
      </c>
      <c r="E4222" s="67">
        <f t="shared" si="1524"/>
        <v>10</v>
      </c>
      <c r="F4222" s="74">
        <f t="shared" si="1525"/>
        <v>45946.5</v>
      </c>
      <c r="G4222" s="67">
        <f t="shared" si="1526"/>
        <v>24309</v>
      </c>
      <c r="H4222" s="75">
        <f t="shared" si="1527"/>
        <v>1</v>
      </c>
      <c r="I4222" s="76">
        <f t="shared" si="1528"/>
        <v>1.04</v>
      </c>
      <c r="J4222" s="76">
        <f t="shared" si="1529"/>
        <v>1.04</v>
      </c>
      <c r="K4222" s="67">
        <f t="shared" si="1530"/>
        <v>0</v>
      </c>
      <c r="L4222" s="67">
        <f t="shared" si="1531"/>
        <v>0</v>
      </c>
      <c r="M4222" s="77">
        <f t="shared" si="1532"/>
        <v>0</v>
      </c>
      <c r="N4222" s="76">
        <f t="shared" si="1533"/>
        <v>1.04</v>
      </c>
      <c r="O4222" s="77">
        <f t="shared" si="1534"/>
        <v>0.83705689277899342</v>
      </c>
      <c r="P4222" s="76">
        <f t="shared" si="1535"/>
        <v>0.58333333333333326</v>
      </c>
      <c r="Q4222" s="76">
        <f t="shared" si="1536"/>
        <v>0</v>
      </c>
      <c r="R4222" s="76">
        <f t="shared" si="1537"/>
        <v>0</v>
      </c>
      <c r="S4222" s="76">
        <f t="shared" si="1538"/>
        <v>1.0241637276354745</v>
      </c>
      <c r="T4222" s="76">
        <f t="shared" si="1539"/>
        <v>1.0241637276354745</v>
      </c>
      <c r="U4222" s="76">
        <f t="shared" si="1540"/>
        <v>1.04</v>
      </c>
    </row>
    <row r="4223" spans="1:21" x14ac:dyDescent="0.25">
      <c r="A4223" s="71">
        <v>11</v>
      </c>
      <c r="B4223" s="72">
        <f t="shared" si="1541"/>
        <v>45962</v>
      </c>
      <c r="C4223" s="73">
        <f t="shared" si="1522"/>
        <v>45991</v>
      </c>
      <c r="D4223" s="67">
        <f t="shared" si="1523"/>
        <v>30</v>
      </c>
      <c r="E4223" s="67">
        <f t="shared" si="1524"/>
        <v>11</v>
      </c>
      <c r="F4223" s="74">
        <f t="shared" si="1525"/>
        <v>45977</v>
      </c>
      <c r="G4223" s="67">
        <f t="shared" si="1526"/>
        <v>24310</v>
      </c>
      <c r="H4223" s="75">
        <f t="shared" si="1527"/>
        <v>1</v>
      </c>
      <c r="I4223" s="76">
        <f t="shared" si="1528"/>
        <v>1.04</v>
      </c>
      <c r="J4223" s="76">
        <f t="shared" si="1529"/>
        <v>1.04</v>
      </c>
      <c r="K4223" s="67">
        <f t="shared" si="1530"/>
        <v>0</v>
      </c>
      <c r="L4223" s="67">
        <f t="shared" si="1531"/>
        <v>0</v>
      </c>
      <c r="M4223" s="77">
        <f t="shared" si="1532"/>
        <v>0</v>
      </c>
      <c r="N4223" s="76">
        <f t="shared" si="1533"/>
        <v>1.04</v>
      </c>
      <c r="O4223" s="77">
        <f t="shared" si="1534"/>
        <v>0.8390590809628008</v>
      </c>
      <c r="P4223" s="76">
        <f t="shared" si="1535"/>
        <v>0.75</v>
      </c>
      <c r="Q4223" s="76">
        <f t="shared" si="1536"/>
        <v>0</v>
      </c>
      <c r="R4223" s="76">
        <f t="shared" si="1537"/>
        <v>0</v>
      </c>
      <c r="S4223" s="76">
        <f t="shared" si="1538"/>
        <v>1.0266134637662505</v>
      </c>
      <c r="T4223" s="76">
        <f t="shared" si="1539"/>
        <v>1.0266134637662505</v>
      </c>
      <c r="U4223" s="76">
        <f t="shared" si="1540"/>
        <v>1.04</v>
      </c>
    </row>
    <row r="4224" spans="1:21" x14ac:dyDescent="0.25">
      <c r="A4224" s="71">
        <v>12</v>
      </c>
      <c r="B4224" s="72">
        <f t="shared" si="1541"/>
        <v>45992</v>
      </c>
      <c r="C4224" s="73">
        <f t="shared" si="1522"/>
        <v>46022</v>
      </c>
      <c r="D4224" s="67">
        <f t="shared" si="1523"/>
        <v>31</v>
      </c>
      <c r="E4224" s="67">
        <f t="shared" si="1524"/>
        <v>12</v>
      </c>
      <c r="F4224" s="74">
        <f t="shared" si="1525"/>
        <v>46007.5</v>
      </c>
      <c r="G4224" s="67">
        <f t="shared" si="1526"/>
        <v>24311</v>
      </c>
      <c r="H4224" s="75">
        <f t="shared" si="1527"/>
        <v>1</v>
      </c>
      <c r="I4224" s="76">
        <f t="shared" si="1528"/>
        <v>1.04</v>
      </c>
      <c r="J4224" s="76">
        <f t="shared" si="1529"/>
        <v>1.04</v>
      </c>
      <c r="K4224" s="67">
        <f t="shared" si="1530"/>
        <v>0</v>
      </c>
      <c r="L4224" s="67">
        <f t="shared" si="1531"/>
        <v>0</v>
      </c>
      <c r="M4224" s="77">
        <f t="shared" si="1532"/>
        <v>0</v>
      </c>
      <c r="N4224" s="76">
        <f t="shared" si="1533"/>
        <v>1.04</v>
      </c>
      <c r="O4224" s="77">
        <f t="shared" si="1534"/>
        <v>0.84106126914660828</v>
      </c>
      <c r="P4224" s="76">
        <f t="shared" si="1535"/>
        <v>0.91666666666666663</v>
      </c>
      <c r="Q4224" s="76">
        <f t="shared" si="1536"/>
        <v>0</v>
      </c>
      <c r="R4224" s="76">
        <f t="shared" si="1537"/>
        <v>0</v>
      </c>
      <c r="S4224" s="76">
        <f t="shared" si="1538"/>
        <v>1.0290631998970268</v>
      </c>
      <c r="T4224" s="76">
        <f t="shared" si="1539"/>
        <v>1.0290631998970268</v>
      </c>
      <c r="U4224" s="76">
        <f t="shared" si="1540"/>
        <v>1.04</v>
      </c>
    </row>
    <row r="4225" spans="1:21" x14ac:dyDescent="0.25">
      <c r="A4225" s="71">
        <v>13</v>
      </c>
      <c r="B4225" s="72">
        <f t="shared" si="1541"/>
        <v>46023</v>
      </c>
      <c r="C4225" s="73">
        <f t="shared" si="1522"/>
        <v>46053</v>
      </c>
      <c r="D4225" s="67">
        <f t="shared" si="1523"/>
        <v>31</v>
      </c>
      <c r="E4225" s="67">
        <f t="shared" si="1524"/>
        <v>1</v>
      </c>
      <c r="F4225" s="74">
        <f t="shared" si="1525"/>
        <v>46038.5</v>
      </c>
      <c r="G4225" s="67">
        <f t="shared" si="1526"/>
        <v>24312</v>
      </c>
      <c r="H4225" s="75">
        <f t="shared" si="1527"/>
        <v>1</v>
      </c>
      <c r="I4225" s="76">
        <f t="shared" si="1528"/>
        <v>1.04</v>
      </c>
      <c r="J4225" s="76">
        <f t="shared" si="1529"/>
        <v>1.04</v>
      </c>
      <c r="K4225" s="67">
        <f t="shared" si="1530"/>
        <v>0</v>
      </c>
      <c r="L4225" s="67">
        <f t="shared" si="1531"/>
        <v>0</v>
      </c>
      <c r="M4225" s="77">
        <f t="shared" si="1532"/>
        <v>0</v>
      </c>
      <c r="N4225" s="76">
        <f t="shared" si="1533"/>
        <v>1.04</v>
      </c>
      <c r="O4225" s="77">
        <f t="shared" si="1534"/>
        <v>0.84309628008752735</v>
      </c>
      <c r="P4225" s="76">
        <f t="shared" si="1535"/>
        <v>1</v>
      </c>
      <c r="Q4225" s="76">
        <f t="shared" si="1536"/>
        <v>0</v>
      </c>
      <c r="R4225" s="76">
        <f t="shared" si="1537"/>
        <v>0</v>
      </c>
      <c r="S4225" s="76">
        <f t="shared" si="1538"/>
        <v>1.031553095636504</v>
      </c>
      <c r="T4225" s="76">
        <f t="shared" si="1539"/>
        <v>1.031553095636504</v>
      </c>
      <c r="U4225" s="76">
        <f t="shared" si="1540"/>
        <v>1.04</v>
      </c>
    </row>
    <row r="4226" spans="1:21" x14ac:dyDescent="0.25">
      <c r="A4226" s="71">
        <v>14</v>
      </c>
      <c r="B4226" s="72">
        <f t="shared" si="1541"/>
        <v>46054</v>
      </c>
      <c r="C4226" s="73">
        <f t="shared" si="1522"/>
        <v>46081</v>
      </c>
      <c r="D4226" s="67">
        <f t="shared" si="1523"/>
        <v>28</v>
      </c>
      <c r="E4226" s="67">
        <f t="shared" si="1524"/>
        <v>2</v>
      </c>
      <c r="F4226" s="74">
        <f t="shared" si="1525"/>
        <v>46068</v>
      </c>
      <c r="G4226" s="67">
        <f t="shared" si="1526"/>
        <v>24313</v>
      </c>
      <c r="H4226" s="75">
        <f t="shared" si="1527"/>
        <v>1</v>
      </c>
      <c r="I4226" s="76">
        <f t="shared" si="1528"/>
        <v>1.04</v>
      </c>
      <c r="J4226" s="76">
        <f t="shared" si="1529"/>
        <v>1.04</v>
      </c>
      <c r="K4226" s="67">
        <f t="shared" si="1530"/>
        <v>0</v>
      </c>
      <c r="L4226" s="67">
        <f t="shared" si="1531"/>
        <v>0</v>
      </c>
      <c r="M4226" s="77">
        <f t="shared" si="1532"/>
        <v>0</v>
      </c>
      <c r="N4226" s="76">
        <f t="shared" si="1533"/>
        <v>1.04</v>
      </c>
      <c r="O4226" s="77">
        <f t="shared" si="1534"/>
        <v>0.84503282275711156</v>
      </c>
      <c r="P4226" s="76">
        <f t="shared" si="1535"/>
        <v>1</v>
      </c>
      <c r="Q4226" s="76">
        <f t="shared" si="1536"/>
        <v>0</v>
      </c>
      <c r="R4226" s="76">
        <f t="shared" si="1537"/>
        <v>0</v>
      </c>
      <c r="S4226" s="76">
        <f t="shared" si="1538"/>
        <v>1.0339225125498777</v>
      </c>
      <c r="T4226" s="76">
        <f t="shared" si="1539"/>
        <v>1.0339225125498777</v>
      </c>
      <c r="U4226" s="76">
        <f t="shared" si="1540"/>
        <v>1.04</v>
      </c>
    </row>
    <row r="4227" spans="1:21" x14ac:dyDescent="0.25">
      <c r="A4227" s="71">
        <v>15</v>
      </c>
      <c r="B4227" s="72">
        <f t="shared" si="1541"/>
        <v>46082</v>
      </c>
      <c r="C4227" s="73">
        <f t="shared" si="1522"/>
        <v>46112</v>
      </c>
      <c r="D4227" s="67">
        <f t="shared" si="1523"/>
        <v>31</v>
      </c>
      <c r="E4227" s="67">
        <f t="shared" si="1524"/>
        <v>3</v>
      </c>
      <c r="F4227" s="74">
        <f t="shared" si="1525"/>
        <v>46097.5</v>
      </c>
      <c r="G4227" s="67">
        <f t="shared" si="1526"/>
        <v>24314</v>
      </c>
      <c r="H4227" s="75">
        <f t="shared" si="1527"/>
        <v>1</v>
      </c>
      <c r="I4227" s="76">
        <f t="shared" si="1528"/>
        <v>1.04</v>
      </c>
      <c r="J4227" s="76">
        <f t="shared" si="1529"/>
        <v>1.04</v>
      </c>
      <c r="K4227" s="67">
        <f t="shared" si="1530"/>
        <v>0</v>
      </c>
      <c r="L4227" s="67">
        <f t="shared" si="1531"/>
        <v>0</v>
      </c>
      <c r="M4227" s="77">
        <f t="shared" si="1532"/>
        <v>0</v>
      </c>
      <c r="N4227" s="76">
        <f t="shared" si="1533"/>
        <v>1.04</v>
      </c>
      <c r="O4227" s="77">
        <f t="shared" si="1534"/>
        <v>0.84696936542669587</v>
      </c>
      <c r="P4227" s="76">
        <f t="shared" si="1535"/>
        <v>1</v>
      </c>
      <c r="Q4227" s="76">
        <f t="shared" si="1536"/>
        <v>0</v>
      </c>
      <c r="R4227" s="76">
        <f t="shared" si="1537"/>
        <v>0</v>
      </c>
      <c r="S4227" s="76">
        <f t="shared" si="1538"/>
        <v>1.0362919294632515</v>
      </c>
      <c r="T4227" s="76">
        <f t="shared" si="1539"/>
        <v>1.0362919294632515</v>
      </c>
      <c r="U4227" s="76">
        <f t="shared" si="1540"/>
        <v>1.04</v>
      </c>
    </row>
    <row r="4228" spans="1:21" x14ac:dyDescent="0.25">
      <c r="A4228" s="71">
        <v>16</v>
      </c>
      <c r="B4228" s="72">
        <f t="shared" si="1541"/>
        <v>46113</v>
      </c>
      <c r="C4228" s="73">
        <f t="shared" si="1522"/>
        <v>46142</v>
      </c>
      <c r="D4228" s="67">
        <f t="shared" si="1523"/>
        <v>30</v>
      </c>
      <c r="E4228" s="67">
        <f t="shared" si="1524"/>
        <v>4</v>
      </c>
      <c r="F4228" s="74">
        <f t="shared" si="1525"/>
        <v>46128</v>
      </c>
      <c r="G4228" s="67">
        <f t="shared" si="1526"/>
        <v>24315</v>
      </c>
      <c r="H4228" s="75">
        <f t="shared" si="1527"/>
        <v>1</v>
      </c>
      <c r="I4228" s="76">
        <f t="shared" si="1528"/>
        <v>1.04</v>
      </c>
      <c r="J4228" s="76">
        <f t="shared" si="1529"/>
        <v>1.04</v>
      </c>
      <c r="K4228" s="67">
        <f t="shared" si="1530"/>
        <v>0</v>
      </c>
      <c r="L4228" s="67">
        <f t="shared" si="1531"/>
        <v>0</v>
      </c>
      <c r="M4228" s="77">
        <f t="shared" si="1532"/>
        <v>0</v>
      </c>
      <c r="N4228" s="76">
        <f t="shared" si="1533"/>
        <v>1.04</v>
      </c>
      <c r="O4228" s="77">
        <f t="shared" si="1534"/>
        <v>0.84897155361050325</v>
      </c>
      <c r="P4228" s="76">
        <f t="shared" si="1535"/>
        <v>1</v>
      </c>
      <c r="Q4228" s="76">
        <f t="shared" si="1536"/>
        <v>0</v>
      </c>
      <c r="R4228" s="76">
        <f t="shared" si="1537"/>
        <v>0</v>
      </c>
      <c r="S4228" s="76">
        <f t="shared" si="1538"/>
        <v>1.0387416655940276</v>
      </c>
      <c r="T4228" s="76">
        <f t="shared" si="1539"/>
        <v>1.0387416655940276</v>
      </c>
      <c r="U4228" s="76">
        <f t="shared" si="1540"/>
        <v>1.04</v>
      </c>
    </row>
    <row r="4229" spans="1:21" x14ac:dyDescent="0.25">
      <c r="A4229" s="71">
        <v>17</v>
      </c>
      <c r="B4229" s="72">
        <f t="shared" si="1541"/>
        <v>46143</v>
      </c>
      <c r="C4229" s="73">
        <f t="shared" si="1522"/>
        <v>46173</v>
      </c>
      <c r="D4229" s="67">
        <f t="shared" si="1523"/>
        <v>31</v>
      </c>
      <c r="E4229" s="67">
        <f t="shared" si="1524"/>
        <v>5</v>
      </c>
      <c r="F4229" s="74">
        <f t="shared" si="1525"/>
        <v>46158.5</v>
      </c>
      <c r="G4229" s="67">
        <f t="shared" si="1526"/>
        <v>24316</v>
      </c>
      <c r="H4229" s="75">
        <f t="shared" si="1527"/>
        <v>1</v>
      </c>
      <c r="I4229" s="76">
        <f t="shared" si="1528"/>
        <v>1.04</v>
      </c>
      <c r="J4229" s="76">
        <f t="shared" si="1529"/>
        <v>1.04</v>
      </c>
      <c r="K4229" s="67">
        <f t="shared" si="1530"/>
        <v>0</v>
      </c>
      <c r="L4229" s="67">
        <f t="shared" si="1531"/>
        <v>0</v>
      </c>
      <c r="M4229" s="77">
        <f t="shared" si="1532"/>
        <v>0</v>
      </c>
      <c r="N4229" s="76">
        <f t="shared" si="1533"/>
        <v>1.04</v>
      </c>
      <c r="O4229" s="77">
        <f t="shared" si="1534"/>
        <v>0.85097374179431073</v>
      </c>
      <c r="P4229" s="76">
        <f t="shared" si="1535"/>
        <v>1</v>
      </c>
      <c r="Q4229" s="76">
        <f t="shared" si="1536"/>
        <v>0</v>
      </c>
      <c r="R4229" s="76">
        <f t="shared" si="1537"/>
        <v>0</v>
      </c>
      <c r="S4229" s="76">
        <f t="shared" si="1538"/>
        <v>1.0411914017248036</v>
      </c>
      <c r="T4229" s="76">
        <f t="shared" si="1539"/>
        <v>1.0411914017248036</v>
      </c>
      <c r="U4229" s="76">
        <f t="shared" si="1540"/>
        <v>1.04</v>
      </c>
    </row>
    <row r="4230" spans="1:21" x14ac:dyDescent="0.25">
      <c r="A4230" s="71">
        <v>18</v>
      </c>
      <c r="B4230" s="72">
        <f t="shared" si="1541"/>
        <v>46174</v>
      </c>
      <c r="C4230" s="73">
        <f t="shared" si="1522"/>
        <v>46203</v>
      </c>
      <c r="D4230" s="67">
        <f t="shared" si="1523"/>
        <v>30</v>
      </c>
      <c r="E4230" s="67">
        <f t="shared" si="1524"/>
        <v>6</v>
      </c>
      <c r="F4230" s="74">
        <f t="shared" si="1525"/>
        <v>46189</v>
      </c>
      <c r="G4230" s="67">
        <f t="shared" si="1526"/>
        <v>24317</v>
      </c>
      <c r="H4230" s="75">
        <f t="shared" si="1527"/>
        <v>1</v>
      </c>
      <c r="I4230" s="76">
        <f t="shared" si="1528"/>
        <v>1.04</v>
      </c>
      <c r="J4230" s="76">
        <f t="shared" si="1529"/>
        <v>1.04</v>
      </c>
      <c r="K4230" s="67">
        <f t="shared" si="1530"/>
        <v>0</v>
      </c>
      <c r="L4230" s="67">
        <f t="shared" si="1531"/>
        <v>0</v>
      </c>
      <c r="M4230" s="77">
        <f t="shared" si="1532"/>
        <v>0</v>
      </c>
      <c r="N4230" s="76">
        <f t="shared" si="1533"/>
        <v>1.04</v>
      </c>
      <c r="O4230" s="77">
        <f t="shared" si="1534"/>
        <v>0.85297592997811811</v>
      </c>
      <c r="P4230" s="76">
        <f t="shared" si="1535"/>
        <v>1</v>
      </c>
      <c r="Q4230" s="76">
        <f t="shared" si="1536"/>
        <v>0</v>
      </c>
      <c r="R4230" s="76">
        <f t="shared" si="1537"/>
        <v>0</v>
      </c>
      <c r="S4230" s="76">
        <f t="shared" si="1538"/>
        <v>1.0436411378555797</v>
      </c>
      <c r="T4230" s="76">
        <f t="shared" si="1539"/>
        <v>1.0436411378555797</v>
      </c>
      <c r="U4230" s="76">
        <f t="shared" si="1540"/>
        <v>1.04</v>
      </c>
    </row>
    <row r="4231" spans="1:21" x14ac:dyDescent="0.25">
      <c r="A4231" s="71">
        <v>19</v>
      </c>
      <c r="B4231" s="72">
        <f t="shared" si="1541"/>
        <v>46204</v>
      </c>
      <c r="C4231" s="73">
        <f t="shared" si="1522"/>
        <v>46234</v>
      </c>
      <c r="D4231" s="67">
        <f t="shared" si="1523"/>
        <v>31</v>
      </c>
      <c r="E4231" s="67">
        <f t="shared" si="1524"/>
        <v>7</v>
      </c>
      <c r="F4231" s="74">
        <f t="shared" si="1525"/>
        <v>46219.5</v>
      </c>
      <c r="G4231" s="67">
        <f t="shared" si="1526"/>
        <v>24318</v>
      </c>
      <c r="H4231" s="75">
        <f t="shared" si="1527"/>
        <v>1</v>
      </c>
      <c r="I4231" s="76">
        <f t="shared" si="1528"/>
        <v>1.04</v>
      </c>
      <c r="J4231" s="76">
        <f t="shared" si="1529"/>
        <v>1.1024</v>
      </c>
      <c r="K4231" s="67">
        <f t="shared" si="1530"/>
        <v>1</v>
      </c>
      <c r="L4231" s="67">
        <f t="shared" si="1531"/>
        <v>31</v>
      </c>
      <c r="M4231" s="77">
        <f t="shared" si="1532"/>
        <v>1</v>
      </c>
      <c r="N4231" s="76">
        <f t="shared" si="1533"/>
        <v>1.1024</v>
      </c>
      <c r="O4231" s="77">
        <f t="shared" si="1534"/>
        <v>0.85497811816192559</v>
      </c>
      <c r="P4231" s="76">
        <f t="shared" si="1535"/>
        <v>0.91666666666666663</v>
      </c>
      <c r="Q4231" s="76">
        <f t="shared" si="1536"/>
        <v>8.333333333333337E-2</v>
      </c>
      <c r="R4231" s="76">
        <f t="shared" si="1537"/>
        <v>0</v>
      </c>
      <c r="S4231" s="76">
        <f t="shared" si="1538"/>
        <v>1.1088563264255376</v>
      </c>
      <c r="T4231" s="76">
        <f t="shared" si="1539"/>
        <v>1.1088563264255376</v>
      </c>
      <c r="U4231" s="76">
        <f t="shared" si="1540"/>
        <v>1.1024</v>
      </c>
    </row>
    <row r="4232" spans="1:21" x14ac:dyDescent="0.25">
      <c r="A4232" s="71">
        <v>20</v>
      </c>
      <c r="B4232" s="72">
        <f t="shared" si="1541"/>
        <v>46235</v>
      </c>
      <c r="C4232" s="73">
        <f t="shared" si="1522"/>
        <v>46265</v>
      </c>
      <c r="D4232" s="67">
        <f t="shared" si="1523"/>
        <v>31</v>
      </c>
      <c r="E4232" s="67">
        <f t="shared" si="1524"/>
        <v>8</v>
      </c>
      <c r="F4232" s="74">
        <f t="shared" si="1525"/>
        <v>46250.5</v>
      </c>
      <c r="G4232" s="67">
        <f t="shared" si="1526"/>
        <v>24319</v>
      </c>
      <c r="H4232" s="75">
        <f t="shared" si="1527"/>
        <v>1</v>
      </c>
      <c r="I4232" s="76">
        <f t="shared" si="1528"/>
        <v>1.1024</v>
      </c>
      <c r="J4232" s="76">
        <f t="shared" si="1529"/>
        <v>1.1024</v>
      </c>
      <c r="K4232" s="67">
        <f t="shared" si="1530"/>
        <v>0</v>
      </c>
      <c r="L4232" s="67">
        <f t="shared" si="1531"/>
        <v>0</v>
      </c>
      <c r="M4232" s="77">
        <f t="shared" si="1532"/>
        <v>0</v>
      </c>
      <c r="N4232" s="76">
        <f t="shared" si="1533"/>
        <v>1.1024</v>
      </c>
      <c r="O4232" s="77">
        <f t="shared" si="1534"/>
        <v>0.85701312910284466</v>
      </c>
      <c r="P4232" s="76">
        <f t="shared" si="1535"/>
        <v>0.75</v>
      </c>
      <c r="Q4232" s="76">
        <f t="shared" si="1536"/>
        <v>0.25</v>
      </c>
      <c r="R4232" s="76">
        <f t="shared" si="1537"/>
        <v>0</v>
      </c>
      <c r="S4232" s="76">
        <f t="shared" si="1538"/>
        <v>1.1114956159093834</v>
      </c>
      <c r="T4232" s="76">
        <f t="shared" si="1539"/>
        <v>1.1114956159093834</v>
      </c>
      <c r="U4232" s="76">
        <f t="shared" si="1540"/>
        <v>1.1024</v>
      </c>
    </row>
    <row r="4233" spans="1:21" x14ac:dyDescent="0.25">
      <c r="A4233" s="71">
        <v>21</v>
      </c>
      <c r="B4233" s="72">
        <f t="shared" si="1541"/>
        <v>46266</v>
      </c>
      <c r="C4233" s="73">
        <f t="shared" si="1522"/>
        <v>46295</v>
      </c>
      <c r="D4233" s="67">
        <f t="shared" si="1523"/>
        <v>30</v>
      </c>
      <c r="E4233" s="67">
        <f t="shared" si="1524"/>
        <v>9</v>
      </c>
      <c r="F4233" s="74">
        <f t="shared" si="1525"/>
        <v>46281</v>
      </c>
      <c r="G4233" s="67">
        <f t="shared" si="1526"/>
        <v>24320</v>
      </c>
      <c r="H4233" s="75">
        <f t="shared" si="1527"/>
        <v>1</v>
      </c>
      <c r="I4233" s="76">
        <f t="shared" si="1528"/>
        <v>1.1024</v>
      </c>
      <c r="J4233" s="76">
        <f t="shared" si="1529"/>
        <v>1.1024</v>
      </c>
      <c r="K4233" s="67">
        <f t="shared" si="1530"/>
        <v>0</v>
      </c>
      <c r="L4233" s="67">
        <f t="shared" si="1531"/>
        <v>0</v>
      </c>
      <c r="M4233" s="77">
        <f t="shared" si="1532"/>
        <v>0</v>
      </c>
      <c r="N4233" s="76">
        <f t="shared" si="1533"/>
        <v>1.1024</v>
      </c>
      <c r="O4233" s="77">
        <f t="shared" si="1534"/>
        <v>0.85901531728665204</v>
      </c>
      <c r="P4233" s="76">
        <f t="shared" si="1535"/>
        <v>0.58333333333333337</v>
      </c>
      <c r="Q4233" s="76">
        <f t="shared" si="1536"/>
        <v>0.41666666666666663</v>
      </c>
      <c r="R4233" s="76">
        <f t="shared" si="1537"/>
        <v>0</v>
      </c>
      <c r="S4233" s="76">
        <f t="shared" si="1538"/>
        <v>1.1140923362080062</v>
      </c>
      <c r="T4233" s="76">
        <f t="shared" si="1539"/>
        <v>1.1140923362080062</v>
      </c>
      <c r="U4233" s="76">
        <f t="shared" si="1540"/>
        <v>1.1024</v>
      </c>
    </row>
    <row r="4234" spans="1:21" x14ac:dyDescent="0.25">
      <c r="A4234" s="71">
        <v>22</v>
      </c>
      <c r="B4234" s="72">
        <f t="shared" si="1541"/>
        <v>46296</v>
      </c>
      <c r="C4234" s="73">
        <f t="shared" si="1522"/>
        <v>46326</v>
      </c>
      <c r="D4234" s="67">
        <f t="shared" si="1523"/>
        <v>31</v>
      </c>
      <c r="E4234" s="67">
        <f t="shared" si="1524"/>
        <v>10</v>
      </c>
      <c r="F4234" s="74">
        <f t="shared" si="1525"/>
        <v>46311.5</v>
      </c>
      <c r="G4234" s="67">
        <f t="shared" si="1526"/>
        <v>24321</v>
      </c>
      <c r="H4234" s="75">
        <f t="shared" si="1527"/>
        <v>1</v>
      </c>
      <c r="I4234" s="76">
        <f t="shared" si="1528"/>
        <v>1.1024</v>
      </c>
      <c r="J4234" s="76">
        <f t="shared" si="1529"/>
        <v>1.1024</v>
      </c>
      <c r="K4234" s="67">
        <f t="shared" si="1530"/>
        <v>0</v>
      </c>
      <c r="L4234" s="67">
        <f t="shared" si="1531"/>
        <v>0</v>
      </c>
      <c r="M4234" s="77">
        <f t="shared" si="1532"/>
        <v>0</v>
      </c>
      <c r="N4234" s="76">
        <f t="shared" si="1533"/>
        <v>1.1024</v>
      </c>
      <c r="O4234" s="77">
        <f t="shared" si="1534"/>
        <v>0.86101750547045952</v>
      </c>
      <c r="P4234" s="76">
        <f t="shared" si="1535"/>
        <v>0.41666666666666669</v>
      </c>
      <c r="Q4234" s="76">
        <f t="shared" si="1536"/>
        <v>0.58333333333333326</v>
      </c>
      <c r="R4234" s="76">
        <f t="shared" si="1537"/>
        <v>0</v>
      </c>
      <c r="S4234" s="76">
        <f t="shared" si="1538"/>
        <v>1.116689056506629</v>
      </c>
      <c r="T4234" s="76">
        <f t="shared" si="1539"/>
        <v>1.116689056506629</v>
      </c>
      <c r="U4234" s="76">
        <f t="shared" si="1540"/>
        <v>1.1024</v>
      </c>
    </row>
    <row r="4235" spans="1:21" x14ac:dyDescent="0.25">
      <c r="A4235" s="71">
        <v>23</v>
      </c>
      <c r="B4235" s="72">
        <f t="shared" si="1541"/>
        <v>46327</v>
      </c>
      <c r="C4235" s="73">
        <f t="shared" si="1522"/>
        <v>46356</v>
      </c>
      <c r="D4235" s="67">
        <f t="shared" si="1523"/>
        <v>30</v>
      </c>
      <c r="E4235" s="67">
        <f t="shared" si="1524"/>
        <v>11</v>
      </c>
      <c r="F4235" s="74">
        <f t="shared" si="1525"/>
        <v>46342</v>
      </c>
      <c r="G4235" s="67">
        <f t="shared" si="1526"/>
        <v>24322</v>
      </c>
      <c r="H4235" s="75">
        <f t="shared" si="1527"/>
        <v>1</v>
      </c>
      <c r="I4235" s="76">
        <f t="shared" si="1528"/>
        <v>1.1024</v>
      </c>
      <c r="J4235" s="76">
        <f t="shared" si="1529"/>
        <v>1.1024</v>
      </c>
      <c r="K4235" s="67">
        <f t="shared" si="1530"/>
        <v>0</v>
      </c>
      <c r="L4235" s="67">
        <f t="shared" si="1531"/>
        <v>0</v>
      </c>
      <c r="M4235" s="77">
        <f t="shared" si="1532"/>
        <v>0</v>
      </c>
      <c r="N4235" s="76">
        <f t="shared" si="1533"/>
        <v>1.1024</v>
      </c>
      <c r="O4235" s="77">
        <f t="shared" si="1534"/>
        <v>0.8630196936542669</v>
      </c>
      <c r="P4235" s="76">
        <f t="shared" si="1535"/>
        <v>0.25</v>
      </c>
      <c r="Q4235" s="76">
        <f t="shared" si="1536"/>
        <v>0.75</v>
      </c>
      <c r="R4235" s="76">
        <f t="shared" si="1537"/>
        <v>0</v>
      </c>
      <c r="S4235" s="76">
        <f t="shared" si="1538"/>
        <v>1.1192857768052518</v>
      </c>
      <c r="T4235" s="76">
        <f t="shared" si="1539"/>
        <v>1.1192857768052518</v>
      </c>
      <c r="U4235" s="76">
        <f t="shared" si="1540"/>
        <v>1.1024</v>
      </c>
    </row>
    <row r="4236" spans="1:21" x14ac:dyDescent="0.25">
      <c r="A4236" s="71">
        <v>24</v>
      </c>
      <c r="B4236" s="72">
        <f t="shared" si="1541"/>
        <v>46357</v>
      </c>
      <c r="C4236" s="73">
        <f t="shared" si="1522"/>
        <v>46387</v>
      </c>
      <c r="D4236" s="67">
        <f t="shared" si="1523"/>
        <v>31</v>
      </c>
      <c r="E4236" s="67">
        <f t="shared" si="1524"/>
        <v>12</v>
      </c>
      <c r="F4236" s="74">
        <f t="shared" si="1525"/>
        <v>46372.5</v>
      </c>
      <c r="G4236" s="67">
        <f t="shared" si="1526"/>
        <v>24323</v>
      </c>
      <c r="H4236" s="75">
        <f t="shared" si="1527"/>
        <v>1</v>
      </c>
      <c r="I4236" s="76">
        <f t="shared" si="1528"/>
        <v>1.1024</v>
      </c>
      <c r="J4236" s="76">
        <f t="shared" si="1529"/>
        <v>1.1024</v>
      </c>
      <c r="K4236" s="67">
        <f t="shared" si="1530"/>
        <v>0</v>
      </c>
      <c r="L4236" s="67">
        <f t="shared" si="1531"/>
        <v>0</v>
      </c>
      <c r="M4236" s="77">
        <f t="shared" si="1532"/>
        <v>0</v>
      </c>
      <c r="N4236" s="76">
        <f t="shared" si="1533"/>
        <v>1.1024</v>
      </c>
      <c r="O4236" s="77">
        <f t="shared" si="1534"/>
        <v>0.86502188183807438</v>
      </c>
      <c r="P4236" s="76">
        <f t="shared" si="1535"/>
        <v>8.3333333333333329E-2</v>
      </c>
      <c r="Q4236" s="76">
        <f t="shared" si="1536"/>
        <v>0.91666666666666663</v>
      </c>
      <c r="R4236" s="76">
        <f t="shared" si="1537"/>
        <v>0</v>
      </c>
      <c r="S4236" s="76">
        <f t="shared" si="1538"/>
        <v>1.1218824971038743</v>
      </c>
      <c r="T4236" s="76">
        <f t="shared" si="1539"/>
        <v>1.1218824971038743</v>
      </c>
      <c r="U4236" s="76">
        <f t="shared" si="1540"/>
        <v>1.1024</v>
      </c>
    </row>
    <row r="4237" spans="1:21" x14ac:dyDescent="0.25">
      <c r="A4237" s="71">
        <v>25</v>
      </c>
      <c r="B4237" s="72">
        <f t="shared" si="1541"/>
        <v>46388</v>
      </c>
      <c r="C4237" s="73">
        <f t="shared" si="1522"/>
        <v>46418</v>
      </c>
      <c r="D4237" s="67">
        <f t="shared" si="1523"/>
        <v>31</v>
      </c>
      <c r="E4237" s="67">
        <f t="shared" si="1524"/>
        <v>1</v>
      </c>
      <c r="F4237" s="74">
        <f t="shared" si="1525"/>
        <v>46403.5</v>
      </c>
      <c r="G4237" s="67">
        <f t="shared" si="1526"/>
        <v>24324</v>
      </c>
      <c r="H4237" s="75">
        <f t="shared" si="1527"/>
        <v>1</v>
      </c>
      <c r="I4237" s="76">
        <f t="shared" si="1528"/>
        <v>1.1024</v>
      </c>
      <c r="J4237" s="76">
        <f t="shared" si="1529"/>
        <v>1.1024</v>
      </c>
      <c r="K4237" s="67">
        <f t="shared" si="1530"/>
        <v>0</v>
      </c>
      <c r="L4237" s="67">
        <f t="shared" si="1531"/>
        <v>0</v>
      </c>
      <c r="M4237" s="77">
        <f t="shared" si="1532"/>
        <v>0</v>
      </c>
      <c r="N4237" s="76">
        <f t="shared" si="1533"/>
        <v>1.1024</v>
      </c>
      <c r="O4237" s="77">
        <f t="shared" si="1534"/>
        <v>0.86705689277899345</v>
      </c>
      <c r="P4237" s="76">
        <f t="shared" si="1535"/>
        <v>0</v>
      </c>
      <c r="Q4237" s="76">
        <f t="shared" si="1536"/>
        <v>1</v>
      </c>
      <c r="R4237" s="76">
        <f t="shared" si="1537"/>
        <v>0</v>
      </c>
      <c r="S4237" s="76">
        <f t="shared" si="1538"/>
        <v>1.1245217865877206</v>
      </c>
      <c r="T4237" s="76">
        <f t="shared" si="1539"/>
        <v>1.031553095636504</v>
      </c>
      <c r="U4237" s="76">
        <f t="shared" si="1540"/>
        <v>1.1024</v>
      </c>
    </row>
    <row r="4238" spans="1:21" x14ac:dyDescent="0.25">
      <c r="A4238" s="71">
        <v>26</v>
      </c>
      <c r="B4238" s="72">
        <f t="shared" si="1541"/>
        <v>46419</v>
      </c>
      <c r="C4238" s="73">
        <f t="shared" si="1522"/>
        <v>46446</v>
      </c>
      <c r="D4238" s="67">
        <f t="shared" si="1523"/>
        <v>28</v>
      </c>
      <c r="E4238" s="67">
        <f t="shared" si="1524"/>
        <v>2</v>
      </c>
      <c r="F4238" s="74">
        <f t="shared" si="1525"/>
        <v>46433</v>
      </c>
      <c r="G4238" s="67">
        <f t="shared" si="1526"/>
        <v>24325</v>
      </c>
      <c r="H4238" s="75">
        <f t="shared" si="1527"/>
        <v>1</v>
      </c>
      <c r="I4238" s="76">
        <f t="shared" si="1528"/>
        <v>1.1024</v>
      </c>
      <c r="J4238" s="76">
        <f t="shared" si="1529"/>
        <v>1.1024</v>
      </c>
      <c r="K4238" s="67">
        <f t="shared" si="1530"/>
        <v>0</v>
      </c>
      <c r="L4238" s="67">
        <f t="shared" si="1531"/>
        <v>0</v>
      </c>
      <c r="M4238" s="77">
        <f t="shared" si="1532"/>
        <v>0</v>
      </c>
      <c r="N4238" s="76">
        <f t="shared" si="1533"/>
        <v>1.1024</v>
      </c>
      <c r="O4238" s="77">
        <f t="shared" si="1534"/>
        <v>0.86899343544857766</v>
      </c>
      <c r="P4238" s="76">
        <f t="shared" si="1535"/>
        <v>0</v>
      </c>
      <c r="Q4238" s="76">
        <f t="shared" si="1536"/>
        <v>1</v>
      </c>
      <c r="R4238" s="76">
        <f t="shared" si="1537"/>
        <v>0</v>
      </c>
      <c r="S4238" s="76">
        <f t="shared" si="1538"/>
        <v>1.1270333685158964</v>
      </c>
      <c r="T4238" s="76">
        <f t="shared" si="1539"/>
        <v>1.0339225125498777</v>
      </c>
      <c r="U4238" s="76">
        <f t="shared" si="1540"/>
        <v>1.1024</v>
      </c>
    </row>
    <row r="4239" spans="1:21" x14ac:dyDescent="0.25">
      <c r="A4239" s="71">
        <v>27</v>
      </c>
      <c r="B4239" s="72">
        <f t="shared" si="1541"/>
        <v>46447</v>
      </c>
      <c r="C4239" s="73">
        <f t="shared" si="1522"/>
        <v>46477</v>
      </c>
      <c r="D4239" s="67">
        <f t="shared" si="1523"/>
        <v>31</v>
      </c>
      <c r="E4239" s="67">
        <f t="shared" si="1524"/>
        <v>3</v>
      </c>
      <c r="F4239" s="74">
        <f t="shared" si="1525"/>
        <v>46462.5</v>
      </c>
      <c r="G4239" s="67">
        <f t="shared" si="1526"/>
        <v>24326</v>
      </c>
      <c r="H4239" s="75">
        <f t="shared" si="1527"/>
        <v>1</v>
      </c>
      <c r="I4239" s="76">
        <f t="shared" si="1528"/>
        <v>1.1024</v>
      </c>
      <c r="J4239" s="76">
        <f t="shared" si="1529"/>
        <v>1.1024</v>
      </c>
      <c r="K4239" s="67">
        <f t="shared" si="1530"/>
        <v>0</v>
      </c>
      <c r="L4239" s="67">
        <f t="shared" si="1531"/>
        <v>0</v>
      </c>
      <c r="M4239" s="77">
        <f t="shared" si="1532"/>
        <v>0</v>
      </c>
      <c r="N4239" s="76">
        <f t="shared" si="1533"/>
        <v>1.1024</v>
      </c>
      <c r="O4239" s="77">
        <f t="shared" si="1534"/>
        <v>0.87092997811816197</v>
      </c>
      <c r="P4239" s="76">
        <f t="shared" si="1535"/>
        <v>0</v>
      </c>
      <c r="Q4239" s="76">
        <f t="shared" si="1536"/>
        <v>1</v>
      </c>
      <c r="R4239" s="76">
        <f t="shared" si="1537"/>
        <v>0</v>
      </c>
      <c r="S4239" s="76">
        <f t="shared" si="1538"/>
        <v>1.1295449504440729</v>
      </c>
      <c r="T4239" s="76">
        <f t="shared" si="1539"/>
        <v>1.0362919294632515</v>
      </c>
      <c r="U4239" s="76">
        <f t="shared" si="1540"/>
        <v>1.1024</v>
      </c>
    </row>
    <row r="4240" spans="1:21" x14ac:dyDescent="0.25">
      <c r="A4240" s="71">
        <v>28</v>
      </c>
      <c r="B4240" s="72">
        <f t="shared" si="1541"/>
        <v>46478</v>
      </c>
      <c r="C4240" s="73">
        <f t="shared" si="1522"/>
        <v>46507</v>
      </c>
      <c r="D4240" s="67">
        <f t="shared" si="1523"/>
        <v>30</v>
      </c>
      <c r="E4240" s="67">
        <f t="shared" si="1524"/>
        <v>4</v>
      </c>
      <c r="F4240" s="74">
        <f t="shared" si="1525"/>
        <v>46493</v>
      </c>
      <c r="G4240" s="67">
        <f t="shared" si="1526"/>
        <v>24327</v>
      </c>
      <c r="H4240" s="75">
        <f t="shared" si="1527"/>
        <v>1</v>
      </c>
      <c r="I4240" s="76">
        <f t="shared" si="1528"/>
        <v>1.1024</v>
      </c>
      <c r="J4240" s="76">
        <f t="shared" si="1529"/>
        <v>1.1575200000000001</v>
      </c>
      <c r="K4240" s="67">
        <f t="shared" si="1530"/>
        <v>1</v>
      </c>
      <c r="L4240" s="67">
        <f t="shared" si="1531"/>
        <v>30</v>
      </c>
      <c r="M4240" s="77">
        <f t="shared" si="1532"/>
        <v>1</v>
      </c>
      <c r="N4240" s="76">
        <f t="shared" si="1533"/>
        <v>1.1575200000000001</v>
      </c>
      <c r="O4240" s="77">
        <f t="shared" si="1534"/>
        <v>0.87293216630196935</v>
      </c>
      <c r="P4240" s="76">
        <f t="shared" si="1535"/>
        <v>0</v>
      </c>
      <c r="Q4240" s="76">
        <f t="shared" si="1536"/>
        <v>1</v>
      </c>
      <c r="R4240" s="76">
        <f t="shared" si="1537"/>
        <v>0</v>
      </c>
      <c r="S4240" s="76">
        <f t="shared" si="1538"/>
        <v>1.1887487542798303</v>
      </c>
      <c r="T4240" s="76">
        <f t="shared" si="1539"/>
        <v>1.0387416655940276</v>
      </c>
      <c r="U4240" s="76">
        <f t="shared" si="1540"/>
        <v>1.1575200000000001</v>
      </c>
    </row>
    <row r="4241" spans="1:21" x14ac:dyDescent="0.25">
      <c r="A4241" s="71">
        <v>29</v>
      </c>
      <c r="B4241" s="72">
        <f t="shared" si="1541"/>
        <v>46508</v>
      </c>
      <c r="C4241" s="73">
        <f t="shared" si="1522"/>
        <v>46538</v>
      </c>
      <c r="D4241" s="67">
        <f t="shared" si="1523"/>
        <v>31</v>
      </c>
      <c r="E4241" s="67">
        <f t="shared" si="1524"/>
        <v>5</v>
      </c>
      <c r="F4241" s="74">
        <f t="shared" si="1525"/>
        <v>46523.5</v>
      </c>
      <c r="G4241" s="67">
        <f t="shared" si="1526"/>
        <v>24328</v>
      </c>
      <c r="H4241" s="75">
        <f t="shared" si="1527"/>
        <v>1</v>
      </c>
      <c r="I4241" s="76">
        <f t="shared" si="1528"/>
        <v>1.1575200000000001</v>
      </c>
      <c r="J4241" s="76">
        <f t="shared" si="1529"/>
        <v>1.1575200000000001</v>
      </c>
      <c r="K4241" s="67">
        <f t="shared" si="1530"/>
        <v>0</v>
      </c>
      <c r="L4241" s="67">
        <f t="shared" si="1531"/>
        <v>0</v>
      </c>
      <c r="M4241" s="77">
        <f t="shared" si="1532"/>
        <v>0</v>
      </c>
      <c r="N4241" s="76">
        <f t="shared" si="1533"/>
        <v>1.1575200000000001</v>
      </c>
      <c r="O4241" s="77">
        <f t="shared" si="1534"/>
        <v>0.87493435448577683</v>
      </c>
      <c r="P4241" s="76">
        <f t="shared" si="1535"/>
        <v>0</v>
      </c>
      <c r="Q4241" s="76">
        <f t="shared" si="1536"/>
        <v>1</v>
      </c>
      <c r="R4241" s="76">
        <f t="shared" si="1537"/>
        <v>0</v>
      </c>
      <c r="S4241" s="76">
        <f t="shared" si="1538"/>
        <v>1.191475310593384</v>
      </c>
      <c r="T4241" s="76">
        <f t="shared" si="1539"/>
        <v>1.0411914017248036</v>
      </c>
      <c r="U4241" s="76">
        <f t="shared" si="1540"/>
        <v>1.1575200000000001</v>
      </c>
    </row>
    <row r="4242" spans="1:21" x14ac:dyDescent="0.25">
      <c r="A4242" s="71">
        <v>30</v>
      </c>
      <c r="B4242" s="72">
        <f t="shared" si="1541"/>
        <v>46539</v>
      </c>
      <c r="C4242" s="73">
        <f t="shared" si="1522"/>
        <v>46568</v>
      </c>
      <c r="D4242" s="67">
        <f t="shared" si="1523"/>
        <v>30</v>
      </c>
      <c r="E4242" s="67">
        <f t="shared" si="1524"/>
        <v>6</v>
      </c>
      <c r="F4242" s="74">
        <f t="shared" si="1525"/>
        <v>46554</v>
      </c>
      <c r="G4242" s="67">
        <f t="shared" si="1526"/>
        <v>24329</v>
      </c>
      <c r="H4242" s="75">
        <f t="shared" si="1527"/>
        <v>1</v>
      </c>
      <c r="I4242" s="76">
        <f t="shared" si="1528"/>
        <v>1.1575200000000001</v>
      </c>
      <c r="J4242" s="76">
        <f t="shared" si="1529"/>
        <v>1.1575200000000001</v>
      </c>
      <c r="K4242" s="67">
        <f t="shared" si="1530"/>
        <v>0</v>
      </c>
      <c r="L4242" s="67">
        <f t="shared" si="1531"/>
        <v>0</v>
      </c>
      <c r="M4242" s="77">
        <f t="shared" si="1532"/>
        <v>0</v>
      </c>
      <c r="N4242" s="76">
        <f t="shared" si="1533"/>
        <v>1.1575200000000001</v>
      </c>
      <c r="O4242" s="77">
        <f t="shared" si="1534"/>
        <v>0.87693654266958421</v>
      </c>
      <c r="P4242" s="76">
        <f t="shared" si="1535"/>
        <v>0</v>
      </c>
      <c r="Q4242" s="76">
        <f t="shared" si="1536"/>
        <v>1</v>
      </c>
      <c r="R4242" s="76">
        <f t="shared" si="1537"/>
        <v>0</v>
      </c>
      <c r="S4242" s="76">
        <f t="shared" si="1538"/>
        <v>1.1942018669069379</v>
      </c>
      <c r="T4242" s="76">
        <f t="shared" si="1539"/>
        <v>1.0436411378555797</v>
      </c>
      <c r="U4242" s="76">
        <f t="shared" si="1540"/>
        <v>1.1575200000000001</v>
      </c>
    </row>
    <row r="4243" spans="1:21" x14ac:dyDescent="0.25">
      <c r="A4243" s="71">
        <v>31</v>
      </c>
      <c r="B4243" s="72">
        <f t="shared" si="1541"/>
        <v>46569</v>
      </c>
      <c r="C4243" s="73">
        <f t="shared" si="1522"/>
        <v>46599</v>
      </c>
      <c r="D4243" s="67">
        <f t="shared" si="1523"/>
        <v>31</v>
      </c>
      <c r="E4243" s="67">
        <f t="shared" si="1524"/>
        <v>7</v>
      </c>
      <c r="F4243" s="74">
        <f t="shared" si="1525"/>
        <v>46584.5</v>
      </c>
      <c r="G4243" s="67">
        <f t="shared" si="1526"/>
        <v>24330</v>
      </c>
      <c r="H4243" s="75">
        <f t="shared" si="1527"/>
        <v>1</v>
      </c>
      <c r="I4243" s="76">
        <f t="shared" si="1528"/>
        <v>1.1575200000000001</v>
      </c>
      <c r="J4243" s="76">
        <f t="shared" si="1529"/>
        <v>1.1575200000000001</v>
      </c>
      <c r="K4243" s="67">
        <f t="shared" si="1530"/>
        <v>0</v>
      </c>
      <c r="L4243" s="67">
        <f t="shared" si="1531"/>
        <v>0</v>
      </c>
      <c r="M4243" s="77">
        <f t="shared" si="1532"/>
        <v>0</v>
      </c>
      <c r="N4243" s="76">
        <f t="shared" si="1533"/>
        <v>1.1575200000000001</v>
      </c>
      <c r="O4243" s="77">
        <f t="shared" si="1534"/>
        <v>0.87893873085339169</v>
      </c>
      <c r="P4243" s="76">
        <f t="shared" si="1535"/>
        <v>0</v>
      </c>
      <c r="Q4243" s="76">
        <f t="shared" si="1536"/>
        <v>0.91666666666666663</v>
      </c>
      <c r="R4243" s="76">
        <f t="shared" si="1537"/>
        <v>8.333333333333337E-2</v>
      </c>
      <c r="S4243" s="76">
        <f t="shared" si="1538"/>
        <v>1.1969284232204918</v>
      </c>
      <c r="T4243" s="76">
        <f t="shared" si="1539"/>
        <v>1.1088563264255376</v>
      </c>
      <c r="U4243" s="76">
        <f t="shared" si="1540"/>
        <v>1.1575200000000001</v>
      </c>
    </row>
    <row r="4244" spans="1:21" x14ac:dyDescent="0.25">
      <c r="A4244" s="71">
        <v>32</v>
      </c>
      <c r="B4244" s="72">
        <f t="shared" si="1541"/>
        <v>46600</v>
      </c>
      <c r="C4244" s="73">
        <f t="shared" si="1522"/>
        <v>46630</v>
      </c>
      <c r="D4244" s="67">
        <f t="shared" si="1523"/>
        <v>31</v>
      </c>
      <c r="E4244" s="67">
        <f t="shared" si="1524"/>
        <v>8</v>
      </c>
      <c r="F4244" s="74">
        <f t="shared" si="1525"/>
        <v>46615.5</v>
      </c>
      <c r="G4244" s="67">
        <f t="shared" si="1526"/>
        <v>24331</v>
      </c>
      <c r="H4244" s="75">
        <f t="shared" si="1527"/>
        <v>1</v>
      </c>
      <c r="I4244" s="76">
        <f t="shared" si="1528"/>
        <v>1.1575200000000001</v>
      </c>
      <c r="J4244" s="76">
        <f t="shared" si="1529"/>
        <v>1.1575200000000001</v>
      </c>
      <c r="K4244" s="67">
        <f t="shared" si="1530"/>
        <v>0</v>
      </c>
      <c r="L4244" s="67">
        <f t="shared" si="1531"/>
        <v>0</v>
      </c>
      <c r="M4244" s="77">
        <f t="shared" si="1532"/>
        <v>0</v>
      </c>
      <c r="N4244" s="76">
        <f t="shared" si="1533"/>
        <v>1.1575200000000001</v>
      </c>
      <c r="O4244" s="77">
        <f t="shared" si="1534"/>
        <v>0.88097374179431076</v>
      </c>
      <c r="P4244" s="76">
        <f t="shared" si="1535"/>
        <v>0</v>
      </c>
      <c r="Q4244" s="76">
        <f t="shared" si="1536"/>
        <v>0.75</v>
      </c>
      <c r="R4244" s="76">
        <f t="shared" si="1537"/>
        <v>0.25</v>
      </c>
      <c r="S4244" s="76">
        <f t="shared" si="1538"/>
        <v>1.1996996771785302</v>
      </c>
      <c r="T4244" s="76">
        <f t="shared" si="1539"/>
        <v>1.1114956159093834</v>
      </c>
      <c r="U4244" s="76">
        <f t="shared" si="1540"/>
        <v>1.1575200000000001</v>
      </c>
    </row>
    <row r="4245" spans="1:21" x14ac:dyDescent="0.25">
      <c r="A4245" s="71">
        <v>33</v>
      </c>
      <c r="B4245" s="72">
        <f t="shared" si="1541"/>
        <v>46631</v>
      </c>
      <c r="C4245" s="73">
        <f t="shared" si="1522"/>
        <v>46660</v>
      </c>
      <c r="D4245" s="67">
        <f t="shared" si="1523"/>
        <v>30</v>
      </c>
      <c r="E4245" s="67">
        <f t="shared" si="1524"/>
        <v>9</v>
      </c>
      <c r="F4245" s="74">
        <f t="shared" si="1525"/>
        <v>46646</v>
      </c>
      <c r="G4245" s="67">
        <f t="shared" si="1526"/>
        <v>24332</v>
      </c>
      <c r="H4245" s="75">
        <f t="shared" si="1527"/>
        <v>1</v>
      </c>
      <c r="I4245" s="76">
        <f t="shared" si="1528"/>
        <v>1.1575200000000001</v>
      </c>
      <c r="J4245" s="76">
        <f t="shared" si="1529"/>
        <v>1.1575200000000001</v>
      </c>
      <c r="K4245" s="67">
        <f t="shared" si="1530"/>
        <v>0</v>
      </c>
      <c r="L4245" s="67">
        <f t="shared" si="1531"/>
        <v>0</v>
      </c>
      <c r="M4245" s="77">
        <f t="shared" si="1532"/>
        <v>0</v>
      </c>
      <c r="N4245" s="76">
        <f t="shared" si="1533"/>
        <v>1.1575200000000001</v>
      </c>
      <c r="O4245" s="77">
        <f t="shared" si="1534"/>
        <v>0.88297592997811813</v>
      </c>
      <c r="P4245" s="76">
        <f t="shared" si="1535"/>
        <v>0</v>
      </c>
      <c r="Q4245" s="76">
        <f t="shared" si="1536"/>
        <v>0.58333333333333337</v>
      </c>
      <c r="R4245" s="76">
        <f t="shared" si="1537"/>
        <v>0.41666666666666663</v>
      </c>
      <c r="S4245" s="76">
        <f t="shared" si="1538"/>
        <v>1.2024262334920839</v>
      </c>
      <c r="T4245" s="76">
        <f t="shared" si="1539"/>
        <v>1.1140923362080062</v>
      </c>
      <c r="U4245" s="76">
        <f t="shared" si="1540"/>
        <v>1.1575200000000001</v>
      </c>
    </row>
    <row r="4246" spans="1:21" x14ac:dyDescent="0.25">
      <c r="A4246" s="71">
        <v>34</v>
      </c>
      <c r="B4246" s="72">
        <f t="shared" si="1541"/>
        <v>46661</v>
      </c>
      <c r="C4246" s="73">
        <f t="shared" si="1522"/>
        <v>46691</v>
      </c>
      <c r="D4246" s="67">
        <f t="shared" si="1523"/>
        <v>31</v>
      </c>
      <c r="E4246" s="67">
        <f t="shared" si="1524"/>
        <v>10</v>
      </c>
      <c r="F4246" s="74">
        <f t="shared" si="1525"/>
        <v>46676.5</v>
      </c>
      <c r="G4246" s="67">
        <f t="shared" si="1526"/>
        <v>24333</v>
      </c>
      <c r="H4246" s="75">
        <f t="shared" si="1527"/>
        <v>1</v>
      </c>
      <c r="I4246" s="76">
        <f t="shared" si="1528"/>
        <v>1.1575200000000001</v>
      </c>
      <c r="J4246" s="76">
        <f t="shared" si="1529"/>
        <v>1.1575200000000001</v>
      </c>
      <c r="K4246" s="67">
        <f t="shared" si="1530"/>
        <v>0</v>
      </c>
      <c r="L4246" s="67">
        <f t="shared" si="1531"/>
        <v>0</v>
      </c>
      <c r="M4246" s="77">
        <f t="shared" si="1532"/>
        <v>0</v>
      </c>
      <c r="N4246" s="76">
        <f t="shared" si="1533"/>
        <v>1.1575200000000001</v>
      </c>
      <c r="O4246" s="77">
        <f t="shared" si="1534"/>
        <v>0.88497811816192562</v>
      </c>
      <c r="P4246" s="76">
        <f t="shared" si="1535"/>
        <v>0</v>
      </c>
      <c r="Q4246" s="76">
        <f t="shared" si="1536"/>
        <v>0.41666666666666669</v>
      </c>
      <c r="R4246" s="76">
        <f t="shared" si="1537"/>
        <v>0.58333333333333326</v>
      </c>
      <c r="S4246" s="76">
        <f t="shared" si="1538"/>
        <v>1.205152789805638</v>
      </c>
      <c r="T4246" s="76">
        <f t="shared" si="1539"/>
        <v>1.116689056506629</v>
      </c>
      <c r="U4246" s="76">
        <f t="shared" si="1540"/>
        <v>1.1575200000000001</v>
      </c>
    </row>
    <row r="4247" spans="1:21" x14ac:dyDescent="0.25">
      <c r="A4247" s="71">
        <v>35</v>
      </c>
      <c r="B4247" s="72">
        <f t="shared" si="1541"/>
        <v>46692</v>
      </c>
      <c r="C4247" s="73">
        <f t="shared" si="1522"/>
        <v>46721</v>
      </c>
      <c r="D4247" s="67">
        <f t="shared" si="1523"/>
        <v>30</v>
      </c>
      <c r="E4247" s="67">
        <f t="shared" si="1524"/>
        <v>11</v>
      </c>
      <c r="F4247" s="74">
        <f t="shared" si="1525"/>
        <v>46707</v>
      </c>
      <c r="G4247" s="67">
        <f t="shared" si="1526"/>
        <v>24334</v>
      </c>
      <c r="H4247" s="75">
        <f t="shared" si="1527"/>
        <v>1</v>
      </c>
      <c r="I4247" s="76">
        <f t="shared" si="1528"/>
        <v>1.1575200000000001</v>
      </c>
      <c r="J4247" s="76">
        <f t="shared" si="1529"/>
        <v>1.1575200000000001</v>
      </c>
      <c r="K4247" s="67">
        <f t="shared" si="1530"/>
        <v>0</v>
      </c>
      <c r="L4247" s="67">
        <f t="shared" si="1531"/>
        <v>0</v>
      </c>
      <c r="M4247" s="77">
        <f t="shared" si="1532"/>
        <v>0</v>
      </c>
      <c r="N4247" s="76">
        <f t="shared" si="1533"/>
        <v>1.1575200000000001</v>
      </c>
      <c r="O4247" s="77">
        <f t="shared" si="1534"/>
        <v>0.8869803063457331</v>
      </c>
      <c r="P4247" s="76">
        <f t="shared" si="1535"/>
        <v>0</v>
      </c>
      <c r="Q4247" s="76">
        <f t="shared" si="1536"/>
        <v>0.25</v>
      </c>
      <c r="R4247" s="76">
        <f t="shared" si="1537"/>
        <v>0.75</v>
      </c>
      <c r="S4247" s="76">
        <f t="shared" si="1538"/>
        <v>1.2078793461191919</v>
      </c>
      <c r="T4247" s="76">
        <f t="shared" si="1539"/>
        <v>1.1192857768052518</v>
      </c>
      <c r="U4247" s="76">
        <f t="shared" si="1540"/>
        <v>1.1575200000000001</v>
      </c>
    </row>
    <row r="4248" spans="1:21" x14ac:dyDescent="0.25">
      <c r="A4248" s="71">
        <v>36</v>
      </c>
      <c r="B4248" s="72">
        <f t="shared" si="1541"/>
        <v>46722</v>
      </c>
      <c r="C4248" s="73">
        <f t="shared" si="1522"/>
        <v>46752</v>
      </c>
      <c r="D4248" s="67">
        <f t="shared" si="1523"/>
        <v>31</v>
      </c>
      <c r="E4248" s="67">
        <f t="shared" si="1524"/>
        <v>12</v>
      </c>
      <c r="F4248" s="74">
        <f t="shared" si="1525"/>
        <v>46737.5</v>
      </c>
      <c r="G4248" s="67">
        <f t="shared" si="1526"/>
        <v>24335</v>
      </c>
      <c r="H4248" s="75">
        <f t="shared" si="1527"/>
        <v>1</v>
      </c>
      <c r="I4248" s="76">
        <f t="shared" si="1528"/>
        <v>1.1575200000000001</v>
      </c>
      <c r="J4248" s="76">
        <f t="shared" si="1529"/>
        <v>1.1575200000000001</v>
      </c>
      <c r="K4248" s="67">
        <f t="shared" si="1530"/>
        <v>0</v>
      </c>
      <c r="L4248" s="67">
        <f t="shared" si="1531"/>
        <v>0</v>
      </c>
      <c r="M4248" s="77">
        <f t="shared" si="1532"/>
        <v>0</v>
      </c>
      <c r="N4248" s="76">
        <f t="shared" si="1533"/>
        <v>1.1575200000000001</v>
      </c>
      <c r="O4248" s="77">
        <f t="shared" si="1534"/>
        <v>0.88898249452954048</v>
      </c>
      <c r="P4248" s="76">
        <f t="shared" si="1535"/>
        <v>0</v>
      </c>
      <c r="Q4248" s="76">
        <f t="shared" si="1536"/>
        <v>8.3333333333333329E-2</v>
      </c>
      <c r="R4248" s="76">
        <f t="shared" si="1537"/>
        <v>0.91666666666666663</v>
      </c>
      <c r="S4248" s="76">
        <f t="shared" si="1538"/>
        <v>1.2106059024327456</v>
      </c>
      <c r="T4248" s="76">
        <f t="shared" si="1539"/>
        <v>1.1218824971038743</v>
      </c>
      <c r="U4248" s="76">
        <f t="shared" si="1540"/>
        <v>1.1575200000000001</v>
      </c>
    </row>
    <row r="4249" spans="1:21" x14ac:dyDescent="0.25">
      <c r="A4249" s="71">
        <v>37</v>
      </c>
      <c r="B4249" s="72">
        <f t="shared" si="1541"/>
        <v>46753</v>
      </c>
      <c r="C4249" s="73">
        <f t="shared" si="1522"/>
        <v>46783</v>
      </c>
      <c r="D4249" s="67">
        <f t="shared" si="1523"/>
        <v>31</v>
      </c>
      <c r="E4249" s="67">
        <f t="shared" si="1524"/>
        <v>1</v>
      </c>
      <c r="F4249" s="74">
        <f t="shared" si="1525"/>
        <v>46768.5</v>
      </c>
      <c r="G4249" s="67">
        <f t="shared" si="1526"/>
        <v>24336</v>
      </c>
      <c r="H4249" s="75">
        <f t="shared" si="1527"/>
        <v>1</v>
      </c>
      <c r="I4249" s="76">
        <f t="shared" si="1528"/>
        <v>1.1575200000000001</v>
      </c>
      <c r="J4249" s="76">
        <f t="shared" si="1529"/>
        <v>1.1575200000000001</v>
      </c>
      <c r="K4249" s="67">
        <f t="shared" si="1530"/>
        <v>0</v>
      </c>
      <c r="L4249" s="67">
        <f t="shared" si="1531"/>
        <v>0</v>
      </c>
      <c r="M4249" s="77">
        <f t="shared" si="1532"/>
        <v>0</v>
      </c>
      <c r="N4249" s="76">
        <f t="shared" si="1533"/>
        <v>1.1575200000000001</v>
      </c>
      <c r="O4249" s="77">
        <f t="shared" si="1534"/>
        <v>0.89</v>
      </c>
      <c r="P4249" s="76">
        <f t="shared" si="1535"/>
        <v>0</v>
      </c>
      <c r="Q4249" s="76">
        <f t="shared" si="1536"/>
        <v>0</v>
      </c>
      <c r="R4249" s="76">
        <f t="shared" si="1537"/>
        <v>1</v>
      </c>
      <c r="S4249" s="76">
        <f t="shared" si="1538"/>
        <v>1.2119915294117649</v>
      </c>
      <c r="T4249" s="76">
        <f t="shared" si="1539"/>
        <v>1.031553095636504</v>
      </c>
      <c r="U4249" s="76">
        <f t="shared" si="1540"/>
        <v>1.1575200000000001</v>
      </c>
    </row>
    <row r="4250" spans="1:21" x14ac:dyDescent="0.25">
      <c r="A4250" s="71">
        <v>38</v>
      </c>
      <c r="B4250" s="72">
        <f t="shared" si="1541"/>
        <v>46784</v>
      </c>
      <c r="C4250" s="73">
        <f t="shared" si="1522"/>
        <v>46812</v>
      </c>
      <c r="D4250" s="67">
        <f t="shared" si="1523"/>
        <v>29</v>
      </c>
      <c r="E4250" s="67">
        <f t="shared" si="1524"/>
        <v>2</v>
      </c>
      <c r="F4250" s="74">
        <f t="shared" si="1525"/>
        <v>46798.5</v>
      </c>
      <c r="G4250" s="67">
        <f t="shared" si="1526"/>
        <v>24337</v>
      </c>
      <c r="H4250" s="75">
        <f t="shared" si="1527"/>
        <v>1</v>
      </c>
      <c r="I4250" s="76">
        <f t="shared" si="1528"/>
        <v>1.1575200000000001</v>
      </c>
      <c r="J4250" s="76">
        <f t="shared" si="1529"/>
        <v>1.1575200000000001</v>
      </c>
      <c r="K4250" s="67">
        <f t="shared" si="1530"/>
        <v>0</v>
      </c>
      <c r="L4250" s="67">
        <f t="shared" si="1531"/>
        <v>0</v>
      </c>
      <c r="M4250" s="77">
        <f t="shared" si="1532"/>
        <v>0</v>
      </c>
      <c r="N4250" s="76">
        <f t="shared" si="1533"/>
        <v>1.1575200000000001</v>
      </c>
      <c r="O4250" s="77">
        <f t="shared" si="1534"/>
        <v>0.89</v>
      </c>
      <c r="P4250" s="76">
        <f t="shared" si="1535"/>
        <v>0</v>
      </c>
      <c r="Q4250" s="76">
        <f t="shared" si="1536"/>
        <v>0</v>
      </c>
      <c r="R4250" s="76">
        <f t="shared" si="1537"/>
        <v>1</v>
      </c>
      <c r="S4250" s="76">
        <f t="shared" si="1538"/>
        <v>1.2119915294117649</v>
      </c>
      <c r="T4250" s="76">
        <f t="shared" si="1539"/>
        <v>1.0339225125498777</v>
      </c>
      <c r="U4250" s="76">
        <f t="shared" si="1540"/>
        <v>1.1575200000000001</v>
      </c>
    </row>
    <row r="4251" spans="1:21" x14ac:dyDescent="0.25">
      <c r="A4251" s="71">
        <v>39</v>
      </c>
      <c r="B4251" s="72">
        <f t="shared" si="1541"/>
        <v>46813</v>
      </c>
      <c r="C4251" s="73">
        <f t="shared" si="1522"/>
        <v>46843</v>
      </c>
      <c r="D4251" s="67">
        <f t="shared" si="1523"/>
        <v>31</v>
      </c>
      <c r="E4251" s="67">
        <f t="shared" si="1524"/>
        <v>3</v>
      </c>
      <c r="F4251" s="74">
        <f t="shared" si="1525"/>
        <v>46828.5</v>
      </c>
      <c r="G4251" s="67">
        <f t="shared" si="1526"/>
        <v>24338</v>
      </c>
      <c r="H4251" s="75">
        <f t="shared" si="1527"/>
        <v>1</v>
      </c>
      <c r="I4251" s="76">
        <f t="shared" si="1528"/>
        <v>1.1575200000000001</v>
      </c>
      <c r="J4251" s="76">
        <f t="shared" si="1529"/>
        <v>1.1575200000000001</v>
      </c>
      <c r="K4251" s="67">
        <f t="shared" si="1530"/>
        <v>0</v>
      </c>
      <c r="L4251" s="67">
        <f t="shared" si="1531"/>
        <v>0</v>
      </c>
      <c r="M4251" s="77">
        <f t="shared" si="1532"/>
        <v>0</v>
      </c>
      <c r="N4251" s="76">
        <f t="shared" si="1533"/>
        <v>1.1575200000000001</v>
      </c>
      <c r="O4251" s="77">
        <f t="shared" si="1534"/>
        <v>0.89</v>
      </c>
      <c r="P4251" s="76">
        <f t="shared" si="1535"/>
        <v>0</v>
      </c>
      <c r="Q4251" s="76">
        <f t="shared" si="1536"/>
        <v>0</v>
      </c>
      <c r="R4251" s="76">
        <f t="shared" si="1537"/>
        <v>1</v>
      </c>
      <c r="S4251" s="76">
        <f t="shared" si="1538"/>
        <v>1.2119915294117649</v>
      </c>
      <c r="T4251" s="76">
        <f t="shared" si="1539"/>
        <v>1.0362919294632515</v>
      </c>
      <c r="U4251" s="76">
        <f t="shared" si="1540"/>
        <v>1.1575200000000001</v>
      </c>
    </row>
    <row r="4252" spans="1:21" x14ac:dyDescent="0.25">
      <c r="A4252" s="71">
        <v>40</v>
      </c>
      <c r="B4252" s="72">
        <f t="shared" si="1541"/>
        <v>46844</v>
      </c>
      <c r="C4252" s="73">
        <f t="shared" si="1522"/>
        <v>46873</v>
      </c>
      <c r="D4252" s="67">
        <f t="shared" si="1523"/>
        <v>30</v>
      </c>
      <c r="E4252" s="67">
        <f t="shared" si="1524"/>
        <v>4</v>
      </c>
      <c r="F4252" s="74">
        <f t="shared" si="1525"/>
        <v>46859</v>
      </c>
      <c r="G4252" s="67">
        <f t="shared" si="1526"/>
        <v>24339</v>
      </c>
      <c r="H4252" s="75">
        <f t="shared" si="1527"/>
        <v>1</v>
      </c>
      <c r="I4252" s="76">
        <f t="shared" si="1528"/>
        <v>1.1575200000000001</v>
      </c>
      <c r="J4252" s="76">
        <f t="shared" si="1529"/>
        <v>1.1575200000000001</v>
      </c>
      <c r="K4252" s="67">
        <f t="shared" si="1530"/>
        <v>0</v>
      </c>
      <c r="L4252" s="67">
        <f t="shared" si="1531"/>
        <v>0</v>
      </c>
      <c r="M4252" s="77">
        <f t="shared" si="1532"/>
        <v>0</v>
      </c>
      <c r="N4252" s="76">
        <f t="shared" si="1533"/>
        <v>1.1575200000000001</v>
      </c>
      <c r="O4252" s="77">
        <f t="shared" si="1534"/>
        <v>0.89</v>
      </c>
      <c r="P4252" s="76">
        <f t="shared" si="1535"/>
        <v>0</v>
      </c>
      <c r="Q4252" s="76">
        <f t="shared" si="1536"/>
        <v>0</v>
      </c>
      <c r="R4252" s="76">
        <f t="shared" si="1537"/>
        <v>1</v>
      </c>
      <c r="S4252" s="76">
        <f t="shared" si="1538"/>
        <v>1.2119915294117649</v>
      </c>
      <c r="T4252" s="76">
        <f t="shared" si="1539"/>
        <v>1.0387416655940276</v>
      </c>
      <c r="U4252" s="76">
        <f t="shared" si="1540"/>
        <v>1.1575200000000001</v>
      </c>
    </row>
    <row r="4253" spans="1:21" x14ac:dyDescent="0.25">
      <c r="A4253" s="71">
        <v>41</v>
      </c>
      <c r="B4253" s="72">
        <f t="shared" si="1541"/>
        <v>46874</v>
      </c>
      <c r="C4253" s="73">
        <f t="shared" si="1522"/>
        <v>46904</v>
      </c>
      <c r="D4253" s="67">
        <f t="shared" si="1523"/>
        <v>31</v>
      </c>
      <c r="E4253" s="67">
        <f t="shared" si="1524"/>
        <v>5</v>
      </c>
      <c r="F4253" s="74">
        <f t="shared" si="1525"/>
        <v>46889.5</v>
      </c>
      <c r="G4253" s="67">
        <f t="shared" si="1526"/>
        <v>24340</v>
      </c>
      <c r="H4253" s="75">
        <f t="shared" si="1527"/>
        <v>1</v>
      </c>
      <c r="I4253" s="76">
        <f t="shared" si="1528"/>
        <v>1.1575200000000001</v>
      </c>
      <c r="J4253" s="76">
        <f t="shared" si="1529"/>
        <v>1.1575200000000001</v>
      </c>
      <c r="K4253" s="67">
        <f t="shared" si="1530"/>
        <v>0</v>
      </c>
      <c r="L4253" s="67">
        <f t="shared" si="1531"/>
        <v>0</v>
      </c>
      <c r="M4253" s="77">
        <f t="shared" si="1532"/>
        <v>0</v>
      </c>
      <c r="N4253" s="76">
        <f t="shared" si="1533"/>
        <v>1.1575200000000001</v>
      </c>
      <c r="O4253" s="77">
        <f t="shared" si="1534"/>
        <v>0.89</v>
      </c>
      <c r="P4253" s="76">
        <f t="shared" si="1535"/>
        <v>0</v>
      </c>
      <c r="Q4253" s="76">
        <f t="shared" si="1536"/>
        <v>0</v>
      </c>
      <c r="R4253" s="76">
        <f t="shared" si="1537"/>
        <v>1</v>
      </c>
      <c r="S4253" s="76">
        <f t="shared" si="1538"/>
        <v>1.2119915294117649</v>
      </c>
      <c r="T4253" s="76">
        <f t="shared" si="1539"/>
        <v>1.0411914017248036</v>
      </c>
      <c r="U4253" s="76">
        <f t="shared" si="1540"/>
        <v>1.1575200000000001</v>
      </c>
    </row>
    <row r="4254" spans="1:21" x14ac:dyDescent="0.25">
      <c r="A4254" s="71">
        <v>42</v>
      </c>
      <c r="B4254" s="72">
        <f t="shared" si="1541"/>
        <v>46905</v>
      </c>
      <c r="C4254" s="73">
        <f t="shared" si="1522"/>
        <v>46934</v>
      </c>
      <c r="D4254" s="67">
        <f t="shared" si="1523"/>
        <v>30</v>
      </c>
      <c r="E4254" s="67">
        <f t="shared" si="1524"/>
        <v>6</v>
      </c>
      <c r="F4254" s="74">
        <f t="shared" si="1525"/>
        <v>46920</v>
      </c>
      <c r="G4254" s="67">
        <f t="shared" si="1526"/>
        <v>24341</v>
      </c>
      <c r="H4254" s="75">
        <f t="shared" si="1527"/>
        <v>1</v>
      </c>
      <c r="I4254" s="76">
        <f t="shared" si="1528"/>
        <v>1.1575200000000001</v>
      </c>
      <c r="J4254" s="76">
        <f t="shared" si="1529"/>
        <v>1.1575200000000001</v>
      </c>
      <c r="K4254" s="67">
        <f t="shared" si="1530"/>
        <v>0</v>
      </c>
      <c r="L4254" s="67">
        <f t="shared" si="1531"/>
        <v>0</v>
      </c>
      <c r="M4254" s="77">
        <f t="shared" si="1532"/>
        <v>0</v>
      </c>
      <c r="N4254" s="76">
        <f t="shared" si="1533"/>
        <v>1.1575200000000001</v>
      </c>
      <c r="O4254" s="77">
        <f t="shared" si="1534"/>
        <v>0.89</v>
      </c>
      <c r="P4254" s="76">
        <f t="shared" si="1535"/>
        <v>0</v>
      </c>
      <c r="Q4254" s="76">
        <f t="shared" si="1536"/>
        <v>0</v>
      </c>
      <c r="R4254" s="76">
        <f t="shared" si="1537"/>
        <v>1</v>
      </c>
      <c r="S4254" s="76">
        <f t="shared" si="1538"/>
        <v>1.2119915294117649</v>
      </c>
      <c r="T4254" s="76">
        <f t="shared" si="1539"/>
        <v>1.0436411378555797</v>
      </c>
      <c r="U4254" s="76">
        <f t="shared" si="1540"/>
        <v>1.1575200000000001</v>
      </c>
    </row>
    <row r="4255" spans="1:21" x14ac:dyDescent="0.25">
      <c r="A4255" s="71">
        <v>43</v>
      </c>
      <c r="B4255" s="72">
        <f t="shared" si="1541"/>
        <v>46935</v>
      </c>
      <c r="C4255" s="73">
        <f t="shared" si="1522"/>
        <v>46965</v>
      </c>
      <c r="D4255" s="67">
        <f t="shared" si="1523"/>
        <v>31</v>
      </c>
      <c r="E4255" s="67">
        <f t="shared" si="1524"/>
        <v>7</v>
      </c>
      <c r="F4255" s="74">
        <f t="shared" si="1525"/>
        <v>46950.5</v>
      </c>
      <c r="G4255" s="67">
        <f t="shared" si="1526"/>
        <v>24342</v>
      </c>
      <c r="H4255" s="75">
        <f t="shared" si="1527"/>
        <v>1</v>
      </c>
      <c r="I4255" s="76">
        <f t="shared" si="1528"/>
        <v>1.1575200000000001</v>
      </c>
      <c r="J4255" s="76">
        <f t="shared" si="1529"/>
        <v>1.1575200000000001</v>
      </c>
      <c r="K4255" s="67">
        <f t="shared" si="1530"/>
        <v>0</v>
      </c>
      <c r="L4255" s="67">
        <f t="shared" si="1531"/>
        <v>0</v>
      </c>
      <c r="M4255" s="77">
        <f t="shared" si="1532"/>
        <v>0</v>
      </c>
      <c r="N4255" s="76">
        <f t="shared" si="1533"/>
        <v>1.1575200000000001</v>
      </c>
      <c r="O4255" s="77">
        <f t="shared" si="1534"/>
        <v>0.89</v>
      </c>
      <c r="P4255" s="76">
        <f t="shared" si="1535"/>
        <v>0</v>
      </c>
      <c r="Q4255" s="76">
        <f t="shared" si="1536"/>
        <v>0</v>
      </c>
      <c r="R4255" s="76">
        <f t="shared" si="1537"/>
        <v>0.91666666666666663</v>
      </c>
      <c r="S4255" s="76">
        <f t="shared" si="1538"/>
        <v>1.2119915294117649</v>
      </c>
      <c r="T4255" s="76">
        <f t="shared" si="1539"/>
        <v>1.1088563264255376</v>
      </c>
      <c r="U4255" s="76">
        <f t="shared" si="1540"/>
        <v>1.1575200000000001</v>
      </c>
    </row>
    <row r="4256" spans="1:21" x14ac:dyDescent="0.25">
      <c r="A4256" s="71">
        <v>44</v>
      </c>
      <c r="B4256" s="72">
        <f t="shared" si="1541"/>
        <v>46966</v>
      </c>
      <c r="C4256" s="73">
        <f t="shared" si="1522"/>
        <v>46996</v>
      </c>
      <c r="D4256" s="67">
        <f t="shared" si="1523"/>
        <v>31</v>
      </c>
      <c r="E4256" s="67">
        <f t="shared" si="1524"/>
        <v>8</v>
      </c>
      <c r="F4256" s="74">
        <f t="shared" si="1525"/>
        <v>46981.5</v>
      </c>
      <c r="G4256" s="67">
        <f t="shared" si="1526"/>
        <v>24343</v>
      </c>
      <c r="H4256" s="75">
        <f t="shared" si="1527"/>
        <v>1</v>
      </c>
      <c r="I4256" s="76">
        <f t="shared" si="1528"/>
        <v>1.1575200000000001</v>
      </c>
      <c r="J4256" s="76">
        <f t="shared" si="1529"/>
        <v>1.1575200000000001</v>
      </c>
      <c r="K4256" s="67">
        <f t="shared" si="1530"/>
        <v>0</v>
      </c>
      <c r="L4256" s="67">
        <f t="shared" si="1531"/>
        <v>0</v>
      </c>
      <c r="M4256" s="77">
        <f t="shared" si="1532"/>
        <v>0</v>
      </c>
      <c r="N4256" s="76">
        <f t="shared" si="1533"/>
        <v>1.1575200000000001</v>
      </c>
      <c r="O4256" s="77">
        <f t="shared" si="1534"/>
        <v>0.89</v>
      </c>
      <c r="P4256" s="76">
        <f t="shared" si="1535"/>
        <v>0</v>
      </c>
      <c r="Q4256" s="76">
        <f t="shared" si="1536"/>
        <v>0</v>
      </c>
      <c r="R4256" s="76">
        <f t="shared" si="1537"/>
        <v>0.75</v>
      </c>
      <c r="S4256" s="76">
        <f t="shared" si="1538"/>
        <v>1.2119915294117649</v>
      </c>
      <c r="T4256" s="76">
        <f t="shared" si="1539"/>
        <v>1.1114956159093834</v>
      </c>
      <c r="U4256" s="76">
        <f t="shared" si="1540"/>
        <v>1.1575200000000001</v>
      </c>
    </row>
    <row r="4257" spans="1:21" x14ac:dyDescent="0.25">
      <c r="A4257" s="71">
        <v>45</v>
      </c>
      <c r="B4257" s="72">
        <f t="shared" si="1541"/>
        <v>46997</v>
      </c>
      <c r="C4257" s="73">
        <f t="shared" si="1522"/>
        <v>47026</v>
      </c>
      <c r="D4257" s="67">
        <f t="shared" si="1523"/>
        <v>30</v>
      </c>
      <c r="E4257" s="67">
        <f t="shared" si="1524"/>
        <v>9</v>
      </c>
      <c r="F4257" s="74">
        <f t="shared" si="1525"/>
        <v>47012</v>
      </c>
      <c r="G4257" s="67">
        <f t="shared" si="1526"/>
        <v>24344</v>
      </c>
      <c r="H4257" s="75">
        <f t="shared" si="1527"/>
        <v>1</v>
      </c>
      <c r="I4257" s="76">
        <f t="shared" si="1528"/>
        <v>1.1575200000000001</v>
      </c>
      <c r="J4257" s="76">
        <f t="shared" si="1529"/>
        <v>1.1575200000000001</v>
      </c>
      <c r="K4257" s="67">
        <f t="shared" si="1530"/>
        <v>0</v>
      </c>
      <c r="L4257" s="67">
        <f t="shared" si="1531"/>
        <v>0</v>
      </c>
      <c r="M4257" s="77">
        <f t="shared" si="1532"/>
        <v>0</v>
      </c>
      <c r="N4257" s="76">
        <f t="shared" si="1533"/>
        <v>1.1575200000000001</v>
      </c>
      <c r="O4257" s="77">
        <f t="shared" si="1534"/>
        <v>0.89</v>
      </c>
      <c r="P4257" s="76">
        <f t="shared" si="1535"/>
        <v>0</v>
      </c>
      <c r="Q4257" s="76">
        <f t="shared" si="1536"/>
        <v>0</v>
      </c>
      <c r="R4257" s="76">
        <f t="shared" si="1537"/>
        <v>0.58333333333333337</v>
      </c>
      <c r="S4257" s="76">
        <f t="shared" si="1538"/>
        <v>1.2119915294117649</v>
      </c>
      <c r="T4257" s="76">
        <f t="shared" si="1539"/>
        <v>1.1140923362080062</v>
      </c>
      <c r="U4257" s="76">
        <f t="shared" si="1540"/>
        <v>1.1575200000000001</v>
      </c>
    </row>
    <row r="4258" spans="1:21" x14ac:dyDescent="0.25">
      <c r="A4258" s="71">
        <v>46</v>
      </c>
      <c r="B4258" s="72">
        <f t="shared" si="1541"/>
        <v>47027</v>
      </c>
      <c r="C4258" s="73">
        <f t="shared" si="1522"/>
        <v>47057</v>
      </c>
      <c r="D4258" s="67">
        <f t="shared" si="1523"/>
        <v>31</v>
      </c>
      <c r="E4258" s="67">
        <f t="shared" si="1524"/>
        <v>10</v>
      </c>
      <c r="F4258" s="74">
        <f t="shared" si="1525"/>
        <v>47042.5</v>
      </c>
      <c r="G4258" s="67">
        <f t="shared" si="1526"/>
        <v>24345</v>
      </c>
      <c r="H4258" s="75">
        <f t="shared" si="1527"/>
        <v>1</v>
      </c>
      <c r="I4258" s="76">
        <f t="shared" si="1528"/>
        <v>1.1575200000000001</v>
      </c>
      <c r="J4258" s="76">
        <f t="shared" si="1529"/>
        <v>1.1575200000000001</v>
      </c>
      <c r="K4258" s="67">
        <f t="shared" si="1530"/>
        <v>0</v>
      </c>
      <c r="L4258" s="67">
        <f t="shared" si="1531"/>
        <v>0</v>
      </c>
      <c r="M4258" s="77">
        <f t="shared" si="1532"/>
        <v>0</v>
      </c>
      <c r="N4258" s="76">
        <f t="shared" si="1533"/>
        <v>1.1575200000000001</v>
      </c>
      <c r="O4258" s="77">
        <f t="shared" si="1534"/>
        <v>0.89</v>
      </c>
      <c r="P4258" s="76">
        <f t="shared" si="1535"/>
        <v>0</v>
      </c>
      <c r="Q4258" s="76">
        <f t="shared" si="1536"/>
        <v>0</v>
      </c>
      <c r="R4258" s="76">
        <f t="shared" si="1537"/>
        <v>0.41666666666666669</v>
      </c>
      <c r="S4258" s="76">
        <f t="shared" si="1538"/>
        <v>1.2119915294117649</v>
      </c>
      <c r="T4258" s="76">
        <f t="shared" si="1539"/>
        <v>1.116689056506629</v>
      </c>
      <c r="U4258" s="76">
        <f t="shared" si="1540"/>
        <v>1.1575200000000001</v>
      </c>
    </row>
    <row r="4259" spans="1:21" x14ac:dyDescent="0.25">
      <c r="A4259" s="71">
        <v>47</v>
      </c>
      <c r="B4259" s="72">
        <f t="shared" si="1541"/>
        <v>47058</v>
      </c>
      <c r="C4259" s="73">
        <f t="shared" si="1522"/>
        <v>47087</v>
      </c>
      <c r="D4259" s="67">
        <f t="shared" si="1523"/>
        <v>30</v>
      </c>
      <c r="E4259" s="67">
        <f t="shared" si="1524"/>
        <v>11</v>
      </c>
      <c r="F4259" s="74">
        <f t="shared" si="1525"/>
        <v>47073</v>
      </c>
      <c r="G4259" s="67">
        <f t="shared" si="1526"/>
        <v>24346</v>
      </c>
      <c r="H4259" s="75">
        <f t="shared" si="1527"/>
        <v>1</v>
      </c>
      <c r="I4259" s="76">
        <f t="shared" si="1528"/>
        <v>1.1575200000000001</v>
      </c>
      <c r="J4259" s="76">
        <f t="shared" si="1529"/>
        <v>1.1575200000000001</v>
      </c>
      <c r="K4259" s="67">
        <f t="shared" si="1530"/>
        <v>0</v>
      </c>
      <c r="L4259" s="67">
        <f t="shared" si="1531"/>
        <v>0</v>
      </c>
      <c r="M4259" s="77">
        <f t="shared" si="1532"/>
        <v>0</v>
      </c>
      <c r="N4259" s="76">
        <f t="shared" si="1533"/>
        <v>1.1575200000000001</v>
      </c>
      <c r="O4259" s="77">
        <f t="shared" si="1534"/>
        <v>0.89</v>
      </c>
      <c r="P4259" s="76">
        <f t="shared" si="1535"/>
        <v>0</v>
      </c>
      <c r="Q4259" s="76">
        <f t="shared" si="1536"/>
        <v>0</v>
      </c>
      <c r="R4259" s="76">
        <f t="shared" si="1537"/>
        <v>0.25</v>
      </c>
      <c r="S4259" s="76">
        <f t="shared" si="1538"/>
        <v>1.2119915294117649</v>
      </c>
      <c r="T4259" s="76">
        <f t="shared" si="1539"/>
        <v>1.1192857768052518</v>
      </c>
      <c r="U4259" s="76">
        <f t="shared" si="1540"/>
        <v>1.1575200000000001</v>
      </c>
    </row>
    <row r="4260" spans="1:21" x14ac:dyDescent="0.25">
      <c r="A4260" s="71">
        <v>48</v>
      </c>
      <c r="B4260" s="72">
        <f t="shared" si="1541"/>
        <v>47088</v>
      </c>
      <c r="C4260" s="73">
        <f t="shared" si="1522"/>
        <v>47118</v>
      </c>
      <c r="D4260" s="67">
        <f t="shared" si="1523"/>
        <v>31</v>
      </c>
      <c r="E4260" s="67">
        <f t="shared" si="1524"/>
        <v>12</v>
      </c>
      <c r="F4260" s="74">
        <f t="shared" si="1525"/>
        <v>47103.5</v>
      </c>
      <c r="G4260" s="67">
        <f t="shared" si="1526"/>
        <v>24347</v>
      </c>
      <c r="H4260" s="75">
        <f t="shared" si="1527"/>
        <v>1</v>
      </c>
      <c r="I4260" s="76">
        <f t="shared" si="1528"/>
        <v>1.1575200000000001</v>
      </c>
      <c r="J4260" s="76">
        <f t="shared" si="1529"/>
        <v>1.1575200000000001</v>
      </c>
      <c r="K4260" s="67">
        <f t="shared" si="1530"/>
        <v>0</v>
      </c>
      <c r="L4260" s="67">
        <f t="shared" si="1531"/>
        <v>0</v>
      </c>
      <c r="M4260" s="77">
        <f t="shared" si="1532"/>
        <v>0</v>
      </c>
      <c r="N4260" s="76">
        <f t="shared" si="1533"/>
        <v>1.1575200000000001</v>
      </c>
      <c r="O4260" s="77">
        <f t="shared" si="1534"/>
        <v>0.89</v>
      </c>
      <c r="P4260" s="76">
        <f t="shared" si="1535"/>
        <v>0</v>
      </c>
      <c r="Q4260" s="76">
        <f t="shared" si="1536"/>
        <v>0</v>
      </c>
      <c r="R4260" s="76">
        <f t="shared" si="1537"/>
        <v>8.3333333333333329E-2</v>
      </c>
      <c r="S4260" s="76">
        <f t="shared" si="1538"/>
        <v>1.2119915294117649</v>
      </c>
      <c r="T4260" s="76">
        <f t="shared" si="1539"/>
        <v>1.1218824971038743</v>
      </c>
      <c r="U4260" s="76">
        <f t="shared" si="1540"/>
        <v>1.1575200000000001</v>
      </c>
    </row>
    <row r="4261" spans="1:21" x14ac:dyDescent="0.25">
      <c r="A4261" s="81" t="s">
        <v>1232</v>
      </c>
      <c r="B4261" s="53">
        <f>SUMPRODUCT($H$4213:$H$4260,$Q$4213:$Q$4260,$U$4213:$U$4260)/SUMPRODUCT($H$4213:$H$4260,$Q$4213:$Q$4260)</f>
        <v>1.1299600000000001</v>
      </c>
      <c r="C4261" s="53">
        <f>SUMPRODUCT($H$4213:$H$4260,$R$4213:$R$4260,$U$4213:$U$4260)/SUMPRODUCT($H$4213:$H$4260,$R$4213:$R$4260)</f>
        <v>1.1575200000000001</v>
      </c>
      <c r="D4261" s="172">
        <f>SUMPRODUCT($H$4213:$H$4260,$Q$4213:$Q$4260,$O$4213:$O$4260)/SUMPRODUCT($H$4213:$H$4260,$Q$4213:$Q$4260)</f>
        <v>0.87197757111597374</v>
      </c>
    </row>
    <row r="4266" spans="1:21" x14ac:dyDescent="0.25">
      <c r="A4266" s="188" t="s">
        <v>1233</v>
      </c>
    </row>
    <row r="4267" spans="1:21" x14ac:dyDescent="0.25">
      <c r="A4267" s="109" t="s">
        <v>1234</v>
      </c>
      <c r="B4267" s="109" t="s">
        <v>1235</v>
      </c>
      <c r="C4267" s="109" t="s">
        <v>1236</v>
      </c>
      <c r="D4267" s="109" t="s">
        <v>1237</v>
      </c>
      <c r="E4267" s="109" t="s">
        <v>1238</v>
      </c>
      <c r="F4267" s="109" t="s">
        <v>1239</v>
      </c>
      <c r="G4267" s="109" t="s">
        <v>1240</v>
      </c>
      <c r="H4267" s="109" t="s">
        <v>1241</v>
      </c>
      <c r="I4267" s="109" t="s">
        <v>1242</v>
      </c>
    </row>
    <row r="4268" spans="1:21" x14ac:dyDescent="0.25">
      <c r="A4268" s="55">
        <f>IF(OR(Inputs!$J$80&lt;&gt;nr_SelKey,Inputs!$E$80&lt;&gt;"planned",Inputs!$C$80=""),0,COUNTIFS(Inputs!$J$80:$J$80,nr_SelKey,Inputs!$E$80:$E$80,"planned"))</f>
        <v>0</v>
      </c>
      <c r="B4268" s="52">
        <f>IF($A4268=0,N(Inputs!$K$80),IF(ISBLANK(INDEX(att_actpct,$A4268)),N(Inputs!$K$80),INDEX(att_actpct,$A4268)))</f>
        <v>0.04</v>
      </c>
      <c r="C4268" s="53">
        <f>IF(Inputs!$C$80="",0,IF(1+$B4268&gt;0,LN(1+$B4268),0))</f>
        <v>3.9220713153281329E-2</v>
      </c>
      <c r="D4268" s="54">
        <f>IF(Inputs!$C$80="","",IF($A4268=0,Inputs!$C$80,IF(ISBLANK(INDEX(att_actdate,$A4268)),Inputs!$C$80,INDEX(att_actdate,$A4268))))</f>
        <v>45839</v>
      </c>
      <c r="E4268" s="54">
        <f t="shared" ref="E4268:E4331" si="1542">IF($D4268="","",DATE(YEAR($D4268),MONTH($D4268),1))</f>
        <v>45839</v>
      </c>
      <c r="F4268" s="55">
        <f t="shared" ref="F4268:F4331" si="1543">IF($D4268="",0,EOMONTH($D4268,0)-$D4268+1)</f>
        <v>31</v>
      </c>
      <c r="G4268" s="55">
        <f>IF($D4268="",0,COUNTIFS(rl_key,Inputs!$J$80,$E$4268:$E$4507,$E4268,$D$4268:$D$4507,"&lt;"&amp;$D4268))</f>
        <v>0</v>
      </c>
      <c r="H4268" s="55">
        <f>IF($D4268="",0,COUNTIFS(Inputs!$J$80:$J$80,Inputs!$J$80,$E$4268:$E4268,$E4268,$D$4268:$D4268,$D4268))</f>
        <v>1</v>
      </c>
      <c r="I4268" s="55">
        <f t="shared" ref="I4268:I4331" si="1544">IF($D4268="",0,IF(AND($G4268=0,$H4268=1),1,0))</f>
        <v>1</v>
      </c>
    </row>
    <row r="4269" spans="1:21" x14ac:dyDescent="0.25">
      <c r="A4269" s="55">
        <f>IF(OR(Inputs!$J$81&lt;&gt;nr_SelKey,Inputs!$E$81&lt;&gt;"planned",Inputs!$C$81=""),0,COUNTIFS(Inputs!$J$80:$J$81,nr_SelKey,Inputs!$E$80:$E$81,"planned"))</f>
        <v>0</v>
      </c>
      <c r="B4269" s="52">
        <f>IF($A4269=0,N(Inputs!$K$81),IF(ISBLANK(INDEX(att_actpct,$A4269)),N(Inputs!$K$81),INDEX(att_actpct,$A4269)))</f>
        <v>0.06</v>
      </c>
      <c r="C4269" s="53">
        <f>IF(Inputs!$C$81="",0,IF(1+$B4269&gt;0,LN(1+$B4269),0))</f>
        <v>5.8268908123975824E-2</v>
      </c>
      <c r="D4269" s="54">
        <f>IF(Inputs!$C$81="","",IF($A4269=0,Inputs!$C$81,IF(ISBLANK(INDEX(att_actdate,$A4269)),Inputs!$C$81,INDEX(att_actdate,$A4269))))</f>
        <v>46204</v>
      </c>
      <c r="E4269" s="54">
        <f t="shared" si="1542"/>
        <v>46204</v>
      </c>
      <c r="F4269" s="55">
        <f t="shared" si="1543"/>
        <v>31</v>
      </c>
      <c r="G4269" s="55">
        <f>IF($D4269="",0,COUNTIFS(rl_key,Inputs!$J$81,$E$4268:$E$4507,$E4269,$D$4268:$D$4507,"&lt;"&amp;$D4269))</f>
        <v>0</v>
      </c>
      <c r="H4269" s="55">
        <f>IF($D4269="",0,COUNTIFS(Inputs!$J$80:$J$81,Inputs!$J$81,$E$4268:$E4269,$E4269,$D$4268:$D4269,$D4269))</f>
        <v>1</v>
      </c>
      <c r="I4269" s="55">
        <f t="shared" si="1544"/>
        <v>1</v>
      </c>
    </row>
    <row r="4270" spans="1:21" x14ac:dyDescent="0.25">
      <c r="A4270" s="55">
        <f>IF(OR(Inputs!$J$82&lt;&gt;nr_SelKey,Inputs!$E$82&lt;&gt;"planned",Inputs!$C$82=""),0,COUNTIFS(Inputs!$J$80:$J$82,nr_SelKey,Inputs!$E$80:$E$82,"planned"))</f>
        <v>1</v>
      </c>
      <c r="B4270" s="52">
        <f>IF($A4270=0,N(Inputs!$K$82),IF(ISBLANK(INDEX(att_actpct,$A4270)),N(Inputs!$K$82),INDEX(att_actpct,$A4270)))</f>
        <v>0.05</v>
      </c>
      <c r="C4270" s="53">
        <f>IF(Inputs!$C$82="",0,IF(1+$B4270&gt;0,LN(1+$B4270),0))</f>
        <v>4.8790164169432049E-2</v>
      </c>
      <c r="D4270" s="54">
        <f>IF(Inputs!$C$82="","",IF($A4270=0,Inputs!$C$82,IF(ISBLANK(INDEX(att_actdate,$A4270)),Inputs!$C$82,INDEX(att_actdate,$A4270))))</f>
        <v>46478</v>
      </c>
      <c r="E4270" s="54">
        <f t="shared" si="1542"/>
        <v>46478</v>
      </c>
      <c r="F4270" s="55">
        <f t="shared" si="1543"/>
        <v>30</v>
      </c>
      <c r="G4270" s="55">
        <f>IF($D4270="",0,COUNTIFS(rl_key,Inputs!$J$82,$E$4268:$E$4507,$E4270,$D$4268:$D$4507,"&lt;"&amp;$D4270))</f>
        <v>0</v>
      </c>
      <c r="H4270" s="55">
        <f>IF($D4270="",0,COUNTIFS(Inputs!$J$80:$J$82,Inputs!$J$82,$E$4268:$E4270,$E4270,$D$4268:$D4270,$D4270))</f>
        <v>1</v>
      </c>
      <c r="I4270" s="55">
        <f t="shared" si="1544"/>
        <v>1</v>
      </c>
    </row>
    <row r="4271" spans="1:21" x14ac:dyDescent="0.25">
      <c r="A4271" s="55">
        <f>IF(OR(Inputs!$J$83&lt;&gt;nr_SelKey,Inputs!$E$83&lt;&gt;"planned",Inputs!$C$83=""),0,COUNTIFS(Inputs!$J$80:$J$83,nr_SelKey,Inputs!$E$80:$E$83,"planned"))</f>
        <v>0</v>
      </c>
      <c r="B4271" s="52">
        <f>IF($A4271=0,N(Inputs!$K$83),IF(ISBLANK(INDEX(att_actpct,$A4271)),N(Inputs!$K$83),INDEX(att_actpct,$A4271)))</f>
        <v>6.5000000000000002E-2</v>
      </c>
      <c r="C4271" s="53">
        <f>IF(Inputs!$C$83="",0,IF(1+$B4271&gt;0,LN(1+$B4271),0))</f>
        <v>6.2974799161388387E-2</v>
      </c>
      <c r="D4271" s="54">
        <f>IF(Inputs!$C$83="","",IF($A4271=0,Inputs!$C$83,IF(ISBLANK(INDEX(att_actdate,$A4271)),Inputs!$C$83,INDEX(att_actdate,$A4271))))</f>
        <v>46204</v>
      </c>
      <c r="E4271" s="54">
        <f t="shared" si="1542"/>
        <v>46204</v>
      </c>
      <c r="F4271" s="55">
        <f t="shared" si="1543"/>
        <v>31</v>
      </c>
      <c r="G4271" s="55">
        <f>IF($D4271="",0,COUNTIFS(rl_key,Inputs!$J$83,$E$4268:$E$4507,$E4271,$D$4268:$D$4507,"&lt;"&amp;$D4271))</f>
        <v>0</v>
      </c>
      <c r="H4271" s="55">
        <f>IF($D4271="",0,COUNTIFS(Inputs!$J$80:$J$83,Inputs!$J$83,$E$4268:$E4271,$E4271,$D$4268:$D4271,$D4271))</f>
        <v>1</v>
      </c>
      <c r="I4271" s="55">
        <f t="shared" si="1544"/>
        <v>1</v>
      </c>
    </row>
    <row r="4272" spans="1:21" x14ac:dyDescent="0.25">
      <c r="A4272" s="55">
        <f>IF(OR(Inputs!$J$84&lt;&gt;nr_SelKey,Inputs!$E$84&lt;&gt;"planned",Inputs!$C$84=""),0,COUNTIFS(Inputs!$J$80:$J$84,nr_SelKey,Inputs!$E$80:$E$84,"planned"))</f>
        <v>0</v>
      </c>
      <c r="B4272" s="52">
        <f>IF($A4272=0,N(Inputs!$K$84),IF(ISBLANK(INDEX(att_actpct,$A4272)),N(Inputs!$K$84),INDEX(att_actpct,$A4272)))</f>
        <v>0.05</v>
      </c>
      <c r="C4272" s="53">
        <f>IF(Inputs!$C$84="",0,IF(1+$B4272&gt;0,LN(1+$B4272),0))</f>
        <v>4.8790164169432049E-2</v>
      </c>
      <c r="D4272" s="54">
        <f>IF(Inputs!$C$84="","",IF($A4272=0,Inputs!$C$84,IF(ISBLANK(INDEX(att_actdate,$A4272)),Inputs!$C$84,INDEX(att_actdate,$A4272))))</f>
        <v>46113</v>
      </c>
      <c r="E4272" s="54">
        <f t="shared" si="1542"/>
        <v>46113</v>
      </c>
      <c r="F4272" s="55">
        <f t="shared" si="1543"/>
        <v>30</v>
      </c>
      <c r="G4272" s="55">
        <f>IF($D4272="",0,COUNTIFS(rl_key,Inputs!$J$84,$E$4268:$E$4507,$E4272,$D$4268:$D$4507,"&lt;"&amp;$D4272))</f>
        <v>0</v>
      </c>
      <c r="H4272" s="55">
        <f>IF($D4272="",0,COUNTIFS(Inputs!$J$80:$J$84,Inputs!$J$84,$E$4268:$E4272,$E4272,$D$4268:$D4272,$D4272))</f>
        <v>1</v>
      </c>
      <c r="I4272" s="55">
        <f t="shared" si="1544"/>
        <v>1</v>
      </c>
    </row>
    <row r="4273" spans="1:9" x14ac:dyDescent="0.25">
      <c r="A4273" s="55">
        <f>IF(OR(Inputs!$J$85&lt;&gt;nr_SelKey,Inputs!$E$85&lt;&gt;"planned",Inputs!$C$85=""),0,COUNTIFS(Inputs!$J$80:$J$85,nr_SelKey,Inputs!$E$80:$E$85,"planned"))</f>
        <v>0</v>
      </c>
      <c r="B4273" s="52">
        <f>IF($A4273=0,N(Inputs!$K$85),IF(ISBLANK(INDEX(att_actpct,$A4273)),N(Inputs!$K$85),INDEX(att_actpct,$A4273)))</f>
        <v>0.03</v>
      </c>
      <c r="C4273" s="53">
        <f>IF(Inputs!$C$85="",0,IF(1+$B4273&gt;0,LN(1+$B4273),0))</f>
        <v>2.9558802241544429E-2</v>
      </c>
      <c r="D4273" s="54">
        <f>IF(Inputs!$C$85="","",IF($A4273=0,Inputs!$C$85,IF(ISBLANK(INDEX(att_actdate,$A4273)),Inputs!$C$85,INDEX(att_actdate,$A4273))))</f>
        <v>46522</v>
      </c>
      <c r="E4273" s="54">
        <f t="shared" si="1542"/>
        <v>46508</v>
      </c>
      <c r="F4273" s="55">
        <f t="shared" si="1543"/>
        <v>17</v>
      </c>
      <c r="G4273" s="55">
        <f>IF($D4273="",0,COUNTIFS(rl_key,Inputs!$J$85,$E$4268:$E$4507,$E4273,$D$4268:$D$4507,"&lt;"&amp;$D4273))</f>
        <v>0</v>
      </c>
      <c r="H4273" s="55">
        <f>IF($D4273="",0,COUNTIFS(Inputs!$J$80:$J$85,Inputs!$J$85,$E$4268:$E4273,$E4273,$D$4268:$D4273,$D4273))</f>
        <v>1</v>
      </c>
      <c r="I4273" s="55">
        <f t="shared" si="1544"/>
        <v>1</v>
      </c>
    </row>
    <row r="4274" spans="1:9" x14ac:dyDescent="0.25">
      <c r="A4274" s="55">
        <f>IF(OR(Inputs!$J$86&lt;&gt;nr_SelKey,Inputs!$E$86&lt;&gt;"planned",Inputs!$C$86=""),0,COUNTIFS(Inputs!$J$80:$J$86,nr_SelKey,Inputs!$E$80:$E$86,"planned"))</f>
        <v>0</v>
      </c>
      <c r="B4274" s="52">
        <f>IF($A4274=0,N(Inputs!$K$86),IF(ISBLANK(INDEX(att_actpct,$A4274)),N(Inputs!$K$86),INDEX(att_actpct,$A4274)))</f>
        <v>0.08</v>
      </c>
      <c r="C4274" s="53">
        <f>IF(Inputs!$C$86="",0,IF(1+$B4274&gt;0,LN(1+$B4274),0))</f>
        <v>7.6961041136128394E-2</v>
      </c>
      <c r="D4274" s="54">
        <f>IF(Inputs!$C$86="","",IF($A4274=0,Inputs!$C$86,IF(ISBLANK(INDEX(att_actdate,$A4274)),Inputs!$C$86,INDEX(att_actdate,$A4274))))</f>
        <v>46296</v>
      </c>
      <c r="E4274" s="54">
        <f t="shared" si="1542"/>
        <v>46296</v>
      </c>
      <c r="F4274" s="55">
        <f t="shared" si="1543"/>
        <v>31</v>
      </c>
      <c r="G4274" s="55">
        <f>IF($D4274="",0,COUNTIFS(rl_key,Inputs!$J$86,$E$4268:$E$4507,$E4274,$D$4268:$D$4507,"&lt;"&amp;$D4274))</f>
        <v>0</v>
      </c>
      <c r="H4274" s="55">
        <f>IF($D4274="",0,COUNTIFS(Inputs!$J$80:$J$86,Inputs!$J$86,$E$4268:$E4274,$E4274,$D$4268:$D4274,$D4274))</f>
        <v>1</v>
      </c>
      <c r="I4274" s="55">
        <f t="shared" si="1544"/>
        <v>1</v>
      </c>
    </row>
    <row r="4275" spans="1:9" x14ac:dyDescent="0.25">
      <c r="A4275" s="55">
        <f>IF(OR(Inputs!$J$87&lt;&gt;nr_SelKey,Inputs!$E$87&lt;&gt;"planned",Inputs!$C$87=""),0,COUNTIFS(Inputs!$J$80:$J$87,nr_SelKey,Inputs!$E$80:$E$87,"planned"))</f>
        <v>0</v>
      </c>
      <c r="B4275" s="52">
        <f>IF($A4275=0,N(Inputs!$K$87),IF(ISBLANK(INDEX(att_actpct,$A4275)),N(Inputs!$K$87),INDEX(att_actpct,$A4275)))</f>
        <v>4.8000000000000001E-2</v>
      </c>
      <c r="C4275" s="53">
        <f>IF(Inputs!$C$87="",0,IF(1+$B4275&gt;0,LN(1+$B4275),0))</f>
        <v>4.6883585898850458E-2</v>
      </c>
      <c r="D4275" s="54">
        <f>IF(Inputs!$C$87="","",IF($A4275=0,Inputs!$C$87,IF(ISBLANK(INDEX(att_actdate,$A4275)),Inputs!$C$87,INDEX(att_actdate,$A4275))))</f>
        <v>46447</v>
      </c>
      <c r="E4275" s="54">
        <f t="shared" si="1542"/>
        <v>46447</v>
      </c>
      <c r="F4275" s="55">
        <f t="shared" si="1543"/>
        <v>31</v>
      </c>
      <c r="G4275" s="55">
        <f>IF($D4275="",0,COUNTIFS(rl_key,Inputs!$J$87,$E$4268:$E$4507,$E4275,$D$4268:$D$4507,"&lt;"&amp;$D4275))</f>
        <v>0</v>
      </c>
      <c r="H4275" s="55">
        <f>IF($D4275="",0,COUNTIFS(Inputs!$J$80:$J$87,Inputs!$J$87,$E$4268:$E4275,$E4275,$D$4268:$D4275,$D4275))</f>
        <v>1</v>
      </c>
      <c r="I4275" s="55">
        <f t="shared" si="1544"/>
        <v>1</v>
      </c>
    </row>
    <row r="4276" spans="1:9" x14ac:dyDescent="0.25">
      <c r="A4276" s="55">
        <f>IF(OR(Inputs!$J$88&lt;&gt;nr_SelKey,Inputs!$E$88&lt;&gt;"planned",Inputs!$C$88=""),0,COUNTIFS(Inputs!$J$80:$J$88,nr_SelKey,Inputs!$E$80:$E$88,"planned"))</f>
        <v>0</v>
      </c>
      <c r="B4276" s="52">
        <f>IF($A4276=0,N(Inputs!$K$88),IF(ISBLANK(INDEX(att_actpct,$A4276)),N(Inputs!$K$88),INDEX(att_actpct,$A4276)))</f>
        <v>4.4999999999999998E-2</v>
      </c>
      <c r="C4276" s="53">
        <f>IF(Inputs!$C$88="",0,IF(1+$B4276&gt;0,LN(1+$B4276),0))</f>
        <v>4.401688541677426E-2</v>
      </c>
      <c r="D4276" s="54">
        <f>IF(Inputs!$C$88="","",IF($A4276=0,Inputs!$C$88,IF(ISBLANK(INDEX(att_actdate,$A4276)),Inputs!$C$88,INDEX(att_actdate,$A4276))))</f>
        <v>46174</v>
      </c>
      <c r="E4276" s="54">
        <f t="shared" si="1542"/>
        <v>46174</v>
      </c>
      <c r="F4276" s="55">
        <f t="shared" si="1543"/>
        <v>30</v>
      </c>
      <c r="G4276" s="55">
        <f>IF($D4276="",0,COUNTIFS(rl_key,Inputs!$J$88,$E$4268:$E$4507,$E4276,$D$4268:$D$4507,"&lt;"&amp;$D4276))</f>
        <v>0</v>
      </c>
      <c r="H4276" s="55">
        <f>IF($D4276="",0,COUNTIFS(Inputs!$J$80:$J$88,Inputs!$J$88,$E$4268:$E4276,$E4276,$D$4268:$D4276,$D4276))</f>
        <v>1</v>
      </c>
      <c r="I4276" s="55">
        <f t="shared" si="1544"/>
        <v>1</v>
      </c>
    </row>
    <row r="4277" spans="1:9" x14ac:dyDescent="0.25">
      <c r="A4277" s="55">
        <f>IF(OR(Inputs!$J$89&lt;&gt;nr_SelKey,Inputs!$E$89&lt;&gt;"planned",Inputs!$C$89=""),0,COUNTIFS(Inputs!$J$80:$J$89,nr_SelKey,Inputs!$E$80:$E$89,"planned"))</f>
        <v>0</v>
      </c>
      <c r="B4277" s="52">
        <f>IF($A4277=0,N(Inputs!$K$89),IF(ISBLANK(INDEX(att_actpct,$A4277)),N(Inputs!$K$89),INDEX(att_actpct,$A4277)))</f>
        <v>0.1</v>
      </c>
      <c r="C4277" s="53">
        <f>IF(Inputs!$C$89="",0,IF(1+$B4277&gt;0,LN(1+$B4277),0))</f>
        <v>9.5310179804324935E-2</v>
      </c>
      <c r="D4277" s="54">
        <f>IF(Inputs!$C$89="","",IF($A4277=0,Inputs!$C$89,IF(ISBLANK(INDEX(att_actdate,$A4277)),Inputs!$C$89,INDEX(att_actdate,$A4277))))</f>
        <v>46296</v>
      </c>
      <c r="E4277" s="54">
        <f t="shared" si="1542"/>
        <v>46296</v>
      </c>
      <c r="F4277" s="55">
        <f t="shared" si="1543"/>
        <v>31</v>
      </c>
      <c r="G4277" s="55">
        <f>IF($D4277="",0,COUNTIFS(rl_key,Inputs!$J$89,$E$4268:$E$4507,$E4277,$D$4268:$D$4507,"&lt;"&amp;$D4277))</f>
        <v>0</v>
      </c>
      <c r="H4277" s="55">
        <f>IF($D4277="",0,COUNTIFS(Inputs!$J$80:$J$89,Inputs!$J$89,$E$4268:$E4277,$E4277,$D$4268:$D4277,$D4277))</f>
        <v>1</v>
      </c>
      <c r="I4277" s="55">
        <f t="shared" si="1544"/>
        <v>1</v>
      </c>
    </row>
    <row r="4278" spans="1:9" x14ac:dyDescent="0.25">
      <c r="A4278" s="55">
        <f>IF(OR(Inputs!$J$90&lt;&gt;nr_SelKey,Inputs!$E$90&lt;&gt;"planned",Inputs!$C$90=""),0,COUNTIFS(Inputs!$J$80:$J$90,nr_SelKey,Inputs!$E$80:$E$90,"planned"))</f>
        <v>0</v>
      </c>
      <c r="B4278" s="52">
        <f>IF($A4278=0,N(Inputs!$K$90),IF(ISBLANK(INDEX(att_actpct,$A4278)),N(Inputs!$K$90),INDEX(att_actpct,$A4278)))</f>
        <v>0.03</v>
      </c>
      <c r="C4278" s="53">
        <f>IF(Inputs!$C$90="",0,IF(1+$B4278&gt;0,LN(1+$B4278),0))</f>
        <v>2.9558802241544429E-2</v>
      </c>
      <c r="D4278" s="54">
        <f>IF(Inputs!$C$90="","",IF($A4278=0,Inputs!$C$90,IF(ISBLANK(INDEX(att_actdate,$A4278)),Inputs!$C$90,INDEX(att_actdate,$A4278))))</f>
        <v>46054</v>
      </c>
      <c r="E4278" s="54">
        <f t="shared" si="1542"/>
        <v>46054</v>
      </c>
      <c r="F4278" s="55">
        <f t="shared" si="1543"/>
        <v>28</v>
      </c>
      <c r="G4278" s="55">
        <f>IF($D4278="",0,COUNTIFS(rl_key,Inputs!$J$90,$E$4268:$E$4507,$E4278,$D$4268:$D$4507,"&lt;"&amp;$D4278))</f>
        <v>0</v>
      </c>
      <c r="H4278" s="55">
        <f>IF($D4278="",0,COUNTIFS(Inputs!$J$80:$J$90,Inputs!$J$90,$E$4268:$E4278,$E4278,$D$4268:$D4278,$D4278))</f>
        <v>1</v>
      </c>
      <c r="I4278" s="55">
        <f t="shared" si="1544"/>
        <v>1</v>
      </c>
    </row>
    <row r="4279" spans="1:9" x14ac:dyDescent="0.25">
      <c r="A4279" s="55">
        <f>IF(OR(Inputs!$J$91&lt;&gt;nr_SelKey,Inputs!$E$91&lt;&gt;"planned",Inputs!$C$91=""),0,COUNTIFS(Inputs!$J$80:$J$91,nr_SelKey,Inputs!$E$80:$E$91,"planned"))</f>
        <v>0</v>
      </c>
      <c r="B4279" s="52">
        <f>IF($A4279=0,N(Inputs!$K$91),IF(ISBLANK(INDEX(att_actpct,$A4279)),N(Inputs!$K$91),INDEX(att_actpct,$A4279)))</f>
        <v>0.04</v>
      </c>
      <c r="C4279" s="53">
        <f>IF(Inputs!$C$91="",0,IF(1+$B4279&gt;0,LN(1+$B4279),0))</f>
        <v>3.9220713153281329E-2</v>
      </c>
      <c r="D4279" s="54">
        <f>IF(Inputs!$C$91="","",IF($A4279=0,Inputs!$C$91,IF(ISBLANK(INDEX(att_actdate,$A4279)),Inputs!$C$91,INDEX(att_actdate,$A4279))))</f>
        <v>46419</v>
      </c>
      <c r="E4279" s="54">
        <f t="shared" si="1542"/>
        <v>46419</v>
      </c>
      <c r="F4279" s="55">
        <f t="shared" si="1543"/>
        <v>28</v>
      </c>
      <c r="G4279" s="55">
        <f>IF($D4279="",0,COUNTIFS(rl_key,Inputs!$J$91,$E$4268:$E$4507,$E4279,$D$4268:$D$4507,"&lt;"&amp;$D4279))</f>
        <v>0</v>
      </c>
      <c r="H4279" s="55">
        <f>IF($D4279="",0,COUNTIFS(Inputs!$J$80:$J$91,Inputs!$J$91,$E$4268:$E4279,$E4279,$D$4268:$D4279,$D4279))</f>
        <v>1</v>
      </c>
      <c r="I4279" s="55">
        <f t="shared" si="1544"/>
        <v>1</v>
      </c>
    </row>
    <row r="4280" spans="1:9" x14ac:dyDescent="0.25">
      <c r="A4280" s="55">
        <f>IF(OR(Inputs!$J$92&lt;&gt;nr_SelKey,Inputs!$E$92&lt;&gt;"planned",Inputs!$C$92=""),0,COUNTIFS(Inputs!$J$80:$J$92,nr_SelKey,Inputs!$E$80:$E$92,"planned"))</f>
        <v>0</v>
      </c>
      <c r="B4280" s="52">
        <f>IF($A4280=0,N(Inputs!$K$92),IF(ISBLANK(INDEX(att_actpct,$A4280)),N(Inputs!$K$92),INDEX(att_actpct,$A4280)))</f>
        <v>0.05</v>
      </c>
      <c r="C4280" s="53">
        <f>IF(Inputs!$C$92="",0,IF(1+$B4280&gt;0,LN(1+$B4280),0))</f>
        <v>4.8790164169432049E-2</v>
      </c>
      <c r="D4280" s="54">
        <f>IF(Inputs!$C$92="","",IF($A4280=0,Inputs!$C$92,IF(ISBLANK(INDEX(att_actdate,$A4280)),Inputs!$C$92,INDEX(att_actdate,$A4280))))</f>
        <v>46113</v>
      </c>
      <c r="E4280" s="54">
        <f t="shared" si="1542"/>
        <v>46113</v>
      </c>
      <c r="F4280" s="55">
        <f t="shared" si="1543"/>
        <v>30</v>
      </c>
      <c r="G4280" s="55">
        <f>IF($D4280="",0,COUNTIFS(rl_key,Inputs!$J$92,$E$4268:$E$4507,$E4280,$D$4268:$D$4507,"&lt;"&amp;$D4280))</f>
        <v>0</v>
      </c>
      <c r="H4280" s="55">
        <f>IF($D4280="",0,COUNTIFS(Inputs!$J$80:$J$92,Inputs!$J$92,$E$4268:$E4280,$E4280,$D$4268:$D4280,$D4280))</f>
        <v>1</v>
      </c>
      <c r="I4280" s="55">
        <f t="shared" si="1544"/>
        <v>1</v>
      </c>
    </row>
    <row r="4281" spans="1:9" x14ac:dyDescent="0.25">
      <c r="A4281" s="55">
        <f>IF(OR(Inputs!$J$93&lt;&gt;nr_SelKey,Inputs!$E$93&lt;&gt;"planned",Inputs!$C$93=""),0,COUNTIFS(Inputs!$J$80:$J$93,nr_SelKey,Inputs!$E$80:$E$93,"planned"))</f>
        <v>0</v>
      </c>
      <c r="B4281" s="52">
        <f>IF($A4281=0,N(Inputs!$K$93),IF(ISBLANK(INDEX(att_actpct,$A4281)),N(Inputs!$K$93),INDEX(att_actpct,$A4281)))</f>
        <v>0.06</v>
      </c>
      <c r="C4281" s="53">
        <f>IF(Inputs!$C$93="",0,IF(1+$B4281&gt;0,LN(1+$B4281),0))</f>
        <v>5.8268908123975824E-2</v>
      </c>
      <c r="D4281" s="54">
        <f>IF(Inputs!$C$93="","",IF($A4281=0,Inputs!$C$93,IF(ISBLANK(INDEX(att_actdate,$A4281)),Inputs!$C$93,INDEX(att_actdate,$A4281))))</f>
        <v>46143</v>
      </c>
      <c r="E4281" s="54">
        <f t="shared" si="1542"/>
        <v>46143</v>
      </c>
      <c r="F4281" s="55">
        <f t="shared" si="1543"/>
        <v>31</v>
      </c>
      <c r="G4281" s="55">
        <f>IF($D4281="",0,COUNTIFS(rl_key,Inputs!$J$93,$E$4268:$E$4507,$E4281,$D$4268:$D$4507,"&lt;"&amp;$D4281))</f>
        <v>0</v>
      </c>
      <c r="H4281" s="55">
        <f>IF($D4281="",0,COUNTIFS(Inputs!$J$80:$J$93,Inputs!$J$93,$E$4268:$E4281,$E4281,$D$4268:$D4281,$D4281))</f>
        <v>1</v>
      </c>
      <c r="I4281" s="55">
        <f t="shared" si="1544"/>
        <v>1</v>
      </c>
    </row>
    <row r="4282" spans="1:9" x14ac:dyDescent="0.25">
      <c r="A4282" s="55">
        <f>IF(OR(Inputs!$J$94&lt;&gt;nr_SelKey,Inputs!$E$94&lt;&gt;"planned",Inputs!$C$94=""),0,COUNTIFS(Inputs!$J$80:$J$94,nr_SelKey,Inputs!$E$80:$E$94,"planned"))</f>
        <v>0</v>
      </c>
      <c r="B4282" s="52">
        <f>IF($A4282=0,N(Inputs!$K$94),IF(ISBLANK(INDEX(att_actpct,$A4282)),N(Inputs!$K$94),INDEX(att_actpct,$A4282)))</f>
        <v>0.04</v>
      </c>
      <c r="C4282" s="53">
        <f>IF(Inputs!$C$94="",0,IF(1+$B4282&gt;0,LN(1+$B4282),0))</f>
        <v>3.9220713153281329E-2</v>
      </c>
      <c r="D4282" s="54">
        <f>IF(Inputs!$C$94="","",IF($A4282=0,Inputs!$C$94,IF(ISBLANK(INDEX(att_actdate,$A4282)),Inputs!$C$94,INDEX(att_actdate,$A4282))))</f>
        <v>46539</v>
      </c>
      <c r="E4282" s="54">
        <f t="shared" si="1542"/>
        <v>46539</v>
      </c>
      <c r="F4282" s="55">
        <f t="shared" si="1543"/>
        <v>30</v>
      </c>
      <c r="G4282" s="55">
        <f>IF($D4282="",0,COUNTIFS(rl_key,Inputs!$J$94,$E$4268:$E$4507,$E4282,$D$4268:$D$4507,"&lt;"&amp;$D4282))</f>
        <v>0</v>
      </c>
      <c r="H4282" s="55">
        <f>IF($D4282="",0,COUNTIFS(Inputs!$J$80:$J$94,Inputs!$J$94,$E$4268:$E4282,$E4282,$D$4268:$D4282,$D4282))</f>
        <v>1</v>
      </c>
      <c r="I4282" s="55">
        <f t="shared" si="1544"/>
        <v>1</v>
      </c>
    </row>
    <row r="4283" spans="1:9" x14ac:dyDescent="0.25">
      <c r="A4283" s="55">
        <f>IF(OR(Inputs!$J$95&lt;&gt;nr_SelKey,Inputs!$E$95&lt;&gt;"planned",Inputs!$C$95=""),0,COUNTIFS(Inputs!$J$80:$J$95,nr_SelKey,Inputs!$E$80:$E$95,"planned"))</f>
        <v>0</v>
      </c>
      <c r="B4283" s="52">
        <f>IF($A4283=0,N(Inputs!$K$95),IF(ISBLANK(INDEX(att_actpct,$A4283)),N(Inputs!$K$95),INDEX(att_actpct,$A4283)))</f>
        <v>0.03</v>
      </c>
      <c r="C4283" s="53">
        <f>IF(Inputs!$C$95="",0,IF(1+$B4283&gt;0,LN(1+$B4283),0))</f>
        <v>2.9558802241544429E-2</v>
      </c>
      <c r="D4283" s="54">
        <f>IF(Inputs!$C$95="","",IF($A4283=0,Inputs!$C$95,IF(ISBLANK(INDEX(att_actdate,$A4283)),Inputs!$C$95,INDEX(att_actdate,$A4283))))</f>
        <v>46204</v>
      </c>
      <c r="E4283" s="54">
        <f t="shared" si="1542"/>
        <v>46204</v>
      </c>
      <c r="F4283" s="55">
        <f t="shared" si="1543"/>
        <v>31</v>
      </c>
      <c r="G4283" s="55">
        <f>IF($D4283="",0,COUNTIFS(rl_key,Inputs!$J$95,$E$4268:$E$4507,$E4283,$D$4268:$D$4507,"&lt;"&amp;$D4283))</f>
        <v>0</v>
      </c>
      <c r="H4283" s="55">
        <f>IF($D4283="",0,COUNTIFS(Inputs!$J$80:$J$95,Inputs!$J$95,$E$4268:$E4283,$E4283,$D$4268:$D4283,$D4283))</f>
        <v>1</v>
      </c>
      <c r="I4283" s="55">
        <f t="shared" si="1544"/>
        <v>1</v>
      </c>
    </row>
    <row r="4284" spans="1:9" x14ac:dyDescent="0.25">
      <c r="A4284" s="55">
        <f>IF(OR(Inputs!$J$96&lt;&gt;nr_SelKey,Inputs!$E$96&lt;&gt;"planned",Inputs!$C$96=""),0,COUNTIFS(Inputs!$J$80:$J$96,nr_SelKey,Inputs!$E$80:$E$96,"planned"))</f>
        <v>0</v>
      </c>
      <c r="B4284" s="52">
        <f>IF($A4284=0,N(Inputs!$K$96),IF(ISBLANK(INDEX(att_actpct,$A4284)),N(Inputs!$K$96),INDEX(att_actpct,$A4284)))</f>
        <v>0.04</v>
      </c>
      <c r="C4284" s="53">
        <f>IF(Inputs!$C$96="",0,IF(1+$B4284&gt;0,LN(1+$B4284),0))</f>
        <v>3.9220713153281329E-2</v>
      </c>
      <c r="D4284" s="54">
        <f>IF(Inputs!$C$96="","",IF($A4284=0,Inputs!$C$96,IF(ISBLANK(INDEX(att_actdate,$A4284)),Inputs!$C$96,INDEX(att_actdate,$A4284))))</f>
        <v>46235</v>
      </c>
      <c r="E4284" s="54">
        <f t="shared" si="1542"/>
        <v>46235</v>
      </c>
      <c r="F4284" s="55">
        <f t="shared" si="1543"/>
        <v>31</v>
      </c>
      <c r="G4284" s="55">
        <f>IF($D4284="",0,COUNTIFS(rl_key,Inputs!$J$96,$E$4268:$E$4507,$E4284,$D$4268:$D$4507,"&lt;"&amp;$D4284))</f>
        <v>0</v>
      </c>
      <c r="H4284" s="55">
        <f>IF($D4284="",0,COUNTIFS(Inputs!$J$80:$J$96,Inputs!$J$96,$E$4268:$E4284,$E4284,$D$4268:$D4284,$D4284))</f>
        <v>1</v>
      </c>
      <c r="I4284" s="55">
        <f t="shared" si="1544"/>
        <v>1</v>
      </c>
    </row>
    <row r="4285" spans="1:9" x14ac:dyDescent="0.25">
      <c r="A4285" s="55">
        <f>IF(OR(Inputs!$J$97&lt;&gt;nr_SelKey,Inputs!$E$97&lt;&gt;"planned",Inputs!$C$97=""),0,COUNTIFS(Inputs!$J$80:$J$97,nr_SelKey,Inputs!$E$80:$E$97,"planned"))</f>
        <v>0</v>
      </c>
      <c r="B4285" s="52">
        <f>IF($A4285=0,N(Inputs!$K$97),IF(ISBLANK(INDEX(att_actpct,$A4285)),N(Inputs!$K$97),INDEX(att_actpct,$A4285)))</f>
        <v>0.06</v>
      </c>
      <c r="C4285" s="53">
        <f>IF(Inputs!$C$97="",0,IF(1+$B4285&gt;0,LN(1+$B4285),0))</f>
        <v>5.8268908123975824E-2</v>
      </c>
      <c r="D4285" s="54">
        <f>IF(Inputs!$C$97="","",IF($A4285=0,Inputs!$C$97,IF(ISBLANK(INDEX(att_actdate,$A4285)),Inputs!$C$97,INDEX(att_actdate,$A4285))))</f>
        <v>46296</v>
      </c>
      <c r="E4285" s="54">
        <f t="shared" si="1542"/>
        <v>46296</v>
      </c>
      <c r="F4285" s="55">
        <f t="shared" si="1543"/>
        <v>31</v>
      </c>
      <c r="G4285" s="55">
        <f>IF($D4285="",0,COUNTIFS(rl_key,Inputs!$J$97,$E$4268:$E$4507,$E4285,$D$4268:$D$4507,"&lt;"&amp;$D4285))</f>
        <v>0</v>
      </c>
      <c r="H4285" s="55">
        <f>IF($D4285="",0,COUNTIFS(Inputs!$J$80:$J$97,Inputs!$J$97,$E$4268:$E4285,$E4285,$D$4268:$D4285,$D4285))</f>
        <v>1</v>
      </c>
      <c r="I4285" s="55">
        <f t="shared" si="1544"/>
        <v>1</v>
      </c>
    </row>
    <row r="4286" spans="1:9" x14ac:dyDescent="0.25">
      <c r="A4286" s="55">
        <f>IF(OR(Inputs!$J$98&lt;&gt;nr_SelKey,Inputs!$E$98&lt;&gt;"planned",Inputs!$C$98=""),0,COUNTIFS(Inputs!$J$80:$J$98,nr_SelKey,Inputs!$E$80:$E$98,"planned"))</f>
        <v>0</v>
      </c>
      <c r="B4286" s="52">
        <f>IF($A4286=0,N(Inputs!$K$98),IF(ISBLANK(INDEX(att_actpct,$A4286)),N(Inputs!$K$98),INDEX(att_actpct,$A4286)))</f>
        <v>0.04</v>
      </c>
      <c r="C4286" s="53">
        <f>IF(Inputs!$C$98="",0,IF(1+$B4286&gt;0,LN(1+$B4286),0))</f>
        <v>3.9220713153281329E-2</v>
      </c>
      <c r="D4286" s="54">
        <f>IF(Inputs!$C$98="","",IF($A4286=0,Inputs!$C$98,IF(ISBLANK(INDEX(att_actdate,$A4286)),Inputs!$C$98,INDEX(att_actdate,$A4286))))</f>
        <v>46661</v>
      </c>
      <c r="E4286" s="54">
        <f t="shared" si="1542"/>
        <v>46661</v>
      </c>
      <c r="F4286" s="55">
        <f t="shared" si="1543"/>
        <v>31</v>
      </c>
      <c r="G4286" s="55">
        <f>IF($D4286="",0,COUNTIFS(rl_key,Inputs!$J$98,$E$4268:$E$4507,$E4286,$D$4268:$D$4507,"&lt;"&amp;$D4286))</f>
        <v>0</v>
      </c>
      <c r="H4286" s="55">
        <f>IF($D4286="",0,COUNTIFS(Inputs!$J$80:$J$98,Inputs!$J$98,$E$4268:$E4286,$E4286,$D$4268:$D4286,$D4286))</f>
        <v>1</v>
      </c>
      <c r="I4286" s="55">
        <f t="shared" si="1544"/>
        <v>1</v>
      </c>
    </row>
    <row r="4287" spans="1:9" x14ac:dyDescent="0.25">
      <c r="A4287" s="55">
        <f>IF(OR(Inputs!$J$99&lt;&gt;nr_SelKey,Inputs!$E$99&lt;&gt;"planned",Inputs!$C$99=""),0,COUNTIFS(Inputs!$J$80:$J$99,nr_SelKey,Inputs!$E$80:$E$99,"planned"))</f>
        <v>0</v>
      </c>
      <c r="B4287" s="52">
        <f>IF($A4287=0,N(Inputs!$K$99),IF(ISBLANK(INDEX(att_actpct,$A4287)),N(Inputs!$K$99),INDEX(att_actpct,$A4287)))</f>
        <v>0.02</v>
      </c>
      <c r="C4287" s="53">
        <f>IF(Inputs!$C$99="",0,IF(1+$B4287&gt;0,LN(1+$B4287),0))</f>
        <v>1.980262729617973E-2</v>
      </c>
      <c r="D4287" s="54">
        <f>IF(Inputs!$C$99="","",IF($A4287=0,Inputs!$C$99,IF(ISBLANK(INDEX(att_actdate,$A4287)),Inputs!$C$99,INDEX(att_actdate,$A4287))))</f>
        <v>46327</v>
      </c>
      <c r="E4287" s="54">
        <f t="shared" si="1542"/>
        <v>46327</v>
      </c>
      <c r="F4287" s="55">
        <f t="shared" si="1543"/>
        <v>30</v>
      </c>
      <c r="G4287" s="55">
        <f>IF($D4287="",0,COUNTIFS(rl_key,Inputs!$J$99,$E$4268:$E$4507,$E4287,$D$4268:$D$4507,"&lt;"&amp;$D4287))</f>
        <v>0</v>
      </c>
      <c r="H4287" s="55">
        <f>IF($D4287="",0,COUNTIFS(Inputs!$J$80:$J$99,Inputs!$J$99,$E$4268:$E4287,$E4287,$D$4268:$D4287,$D4287))</f>
        <v>1</v>
      </c>
      <c r="I4287" s="55">
        <f t="shared" si="1544"/>
        <v>1</v>
      </c>
    </row>
    <row r="4288" spans="1:9" x14ac:dyDescent="0.25">
      <c r="A4288" s="55">
        <f>IF(OR(Inputs!$J$100&lt;&gt;nr_SelKey,Inputs!$E$100&lt;&gt;"planned",Inputs!$C$100=""),0,COUNTIFS(Inputs!$J$80:$J$100,nr_SelKey,Inputs!$E$80:$E$100,"planned"))</f>
        <v>0</v>
      </c>
      <c r="B4288" s="52">
        <f>IF($A4288=0,N(Inputs!$K$100),IF(ISBLANK(INDEX(att_actpct,$A4288)),N(Inputs!$K$100),INDEX(att_actpct,$A4288)))</f>
        <v>0.04</v>
      </c>
      <c r="C4288" s="53">
        <f>IF(Inputs!$C$100="",0,IF(1+$B4288&gt;0,LN(1+$B4288),0))</f>
        <v>3.9220713153281329E-2</v>
      </c>
      <c r="D4288" s="54">
        <f>IF(Inputs!$C$100="","",IF($A4288=0,Inputs!$C$100,IF(ISBLANK(INDEX(att_actdate,$A4288)),Inputs!$C$100,INDEX(att_actdate,$A4288))))</f>
        <v>46023</v>
      </c>
      <c r="E4288" s="54">
        <f t="shared" si="1542"/>
        <v>46023</v>
      </c>
      <c r="F4288" s="55">
        <f t="shared" si="1543"/>
        <v>31</v>
      </c>
      <c r="G4288" s="55">
        <f>IF($D4288="",0,COUNTIFS(rl_key,Inputs!$J$100,$E$4268:$E$4507,$E4288,$D$4268:$D$4507,"&lt;"&amp;$D4288))</f>
        <v>0</v>
      </c>
      <c r="H4288" s="55">
        <f>IF($D4288="",0,COUNTIFS(Inputs!$J$80:$J$100,Inputs!$J$100,$E$4268:$E4288,$E4288,$D$4268:$D4288,$D4288))</f>
        <v>1</v>
      </c>
      <c r="I4288" s="55">
        <f t="shared" si="1544"/>
        <v>1</v>
      </c>
    </row>
    <row r="4289" spans="1:9" x14ac:dyDescent="0.25">
      <c r="A4289" s="55">
        <f>IF(OR(Inputs!$J$101&lt;&gt;nr_SelKey,Inputs!$E$101&lt;&gt;"planned",Inputs!$C$101=""),0,COUNTIFS(Inputs!$J$80:$J$101,nr_SelKey,Inputs!$E$80:$E$101,"planned"))</f>
        <v>0</v>
      </c>
      <c r="B4289" s="52">
        <f>IF($A4289=0,N(Inputs!$K$101),IF(ISBLANK(INDEX(att_actpct,$A4289)),N(Inputs!$K$101),INDEX(att_actpct,$A4289)))</f>
        <v>0.05</v>
      </c>
      <c r="C4289" s="53">
        <f>IF(Inputs!$C$101="",0,IF(1+$B4289&gt;0,LN(1+$B4289),0))</f>
        <v>4.8790164169432049E-2</v>
      </c>
      <c r="D4289" s="54">
        <f>IF(Inputs!$C$101="","",IF($A4289=0,Inputs!$C$101,IF(ISBLANK(INDEX(att_actdate,$A4289)),Inputs!$C$101,INDEX(att_actdate,$A4289))))</f>
        <v>46054</v>
      </c>
      <c r="E4289" s="54">
        <f t="shared" si="1542"/>
        <v>46054</v>
      </c>
      <c r="F4289" s="55">
        <f t="shared" si="1543"/>
        <v>28</v>
      </c>
      <c r="G4289" s="55">
        <f>IF($D4289="",0,COUNTIFS(rl_key,Inputs!$J$101,$E$4268:$E$4507,$E4289,$D$4268:$D$4507,"&lt;"&amp;$D4289))</f>
        <v>0</v>
      </c>
      <c r="H4289" s="55">
        <f>IF($D4289="",0,COUNTIFS(Inputs!$J$80:$J$101,Inputs!$J$101,$E$4268:$E4289,$E4289,$D$4268:$D4289,$D4289))</f>
        <v>1</v>
      </c>
      <c r="I4289" s="55">
        <f t="shared" si="1544"/>
        <v>1</v>
      </c>
    </row>
    <row r="4290" spans="1:9" x14ac:dyDescent="0.25">
      <c r="A4290" s="55">
        <f>IF(OR(Inputs!$J$102&lt;&gt;nr_SelKey,Inputs!$E$102&lt;&gt;"planned",Inputs!$C$102=""),0,COUNTIFS(Inputs!$J$80:$J$102,nr_SelKey,Inputs!$E$80:$E$102,"planned"))</f>
        <v>0</v>
      </c>
      <c r="B4290" s="52">
        <f>IF($A4290=0,N(Inputs!$K$102),IF(ISBLANK(INDEX(att_actpct,$A4290)),N(Inputs!$K$102),INDEX(att_actpct,$A4290)))</f>
        <v>0.04</v>
      </c>
      <c r="C4290" s="53">
        <f>IF(Inputs!$C$102="",0,IF(1+$B4290&gt;0,LN(1+$B4290),0))</f>
        <v>3.9220713153281329E-2</v>
      </c>
      <c r="D4290" s="54">
        <f>IF(Inputs!$C$102="","",IF($A4290=0,Inputs!$C$102,IF(ISBLANK(INDEX(att_actdate,$A4290)),Inputs!$C$102,INDEX(att_actdate,$A4290))))</f>
        <v>46478</v>
      </c>
      <c r="E4290" s="54">
        <f t="shared" si="1542"/>
        <v>46478</v>
      </c>
      <c r="F4290" s="55">
        <f t="shared" si="1543"/>
        <v>30</v>
      </c>
      <c r="G4290" s="55">
        <f>IF($D4290="",0,COUNTIFS(rl_key,Inputs!$J$102,$E$4268:$E$4507,$E4290,$D$4268:$D$4507,"&lt;"&amp;$D4290))</f>
        <v>0</v>
      </c>
      <c r="H4290" s="55">
        <f>IF($D4290="",0,COUNTIFS(Inputs!$J$80:$J$102,Inputs!$J$102,$E$4268:$E4290,$E4290,$D$4268:$D4290,$D4290))</f>
        <v>1</v>
      </c>
      <c r="I4290" s="55">
        <f t="shared" si="1544"/>
        <v>1</v>
      </c>
    </row>
    <row r="4291" spans="1:9" x14ac:dyDescent="0.25">
      <c r="A4291" s="55">
        <f>IF(OR(Inputs!$J$103&lt;&gt;nr_SelKey,Inputs!$E$103&lt;&gt;"planned",Inputs!$C$103=""),0,COUNTIFS(Inputs!$J$80:$J$103,nr_SelKey,Inputs!$E$80:$E$103,"planned"))</f>
        <v>0</v>
      </c>
      <c r="B4291" s="52">
        <f>IF($A4291=0,N(Inputs!$K$103),IF(ISBLANK(INDEX(att_actpct,$A4291)),N(Inputs!$K$103),INDEX(att_actpct,$A4291)))</f>
        <v>0.02</v>
      </c>
      <c r="C4291" s="53">
        <f>IF(Inputs!$C$103="",0,IF(1+$B4291&gt;0,LN(1+$B4291),0))</f>
        <v>1.980262729617973E-2</v>
      </c>
      <c r="D4291" s="54">
        <f>IF(Inputs!$C$103="","",IF($A4291=0,Inputs!$C$103,IF(ISBLANK(INDEX(att_actdate,$A4291)),Inputs!$C$103,INDEX(att_actdate,$A4291))))</f>
        <v>46113</v>
      </c>
      <c r="E4291" s="54">
        <f t="shared" si="1542"/>
        <v>46113</v>
      </c>
      <c r="F4291" s="55">
        <f t="shared" si="1543"/>
        <v>30</v>
      </c>
      <c r="G4291" s="55">
        <f>IF($D4291="",0,COUNTIFS(rl_key,Inputs!$J$103,$E$4268:$E$4507,$E4291,$D$4268:$D$4507,"&lt;"&amp;$D4291))</f>
        <v>0</v>
      </c>
      <c r="H4291" s="55">
        <f>IF($D4291="",0,COUNTIFS(Inputs!$J$80:$J$103,Inputs!$J$103,$E$4268:$E4291,$E4291,$D$4268:$D4291,$D4291))</f>
        <v>1</v>
      </c>
      <c r="I4291" s="55">
        <f t="shared" si="1544"/>
        <v>1</v>
      </c>
    </row>
    <row r="4292" spans="1:9" x14ac:dyDescent="0.25">
      <c r="A4292" s="55">
        <f>IF(OR(Inputs!$J$104&lt;&gt;nr_SelKey,Inputs!$E$104&lt;&gt;"planned",Inputs!$C$104=""),0,COUNTIFS(Inputs!$J$80:$J$104,nr_SelKey,Inputs!$E$80:$E$104,"planned"))</f>
        <v>0</v>
      </c>
      <c r="B4292" s="52">
        <f>IF($A4292=0,N(Inputs!$K$104),IF(ISBLANK(INDEX(att_actpct,$A4292)),N(Inputs!$K$104),INDEX(att_actpct,$A4292)))</f>
        <v>0.03</v>
      </c>
      <c r="C4292" s="53">
        <f>IF(Inputs!$C$104="",0,IF(1+$B4292&gt;0,LN(1+$B4292),0))</f>
        <v>2.9558802241544429E-2</v>
      </c>
      <c r="D4292" s="54">
        <f>IF(Inputs!$C$104="","",IF($A4292=0,Inputs!$C$104,IF(ISBLANK(INDEX(att_actdate,$A4292)),Inputs!$C$104,INDEX(att_actdate,$A4292))))</f>
        <v>46143</v>
      </c>
      <c r="E4292" s="54">
        <f t="shared" si="1542"/>
        <v>46143</v>
      </c>
      <c r="F4292" s="55">
        <f t="shared" si="1543"/>
        <v>31</v>
      </c>
      <c r="G4292" s="55">
        <f>IF($D4292="",0,COUNTIFS(rl_key,Inputs!$J$104,$E$4268:$E$4507,$E4292,$D$4268:$D$4507,"&lt;"&amp;$D4292))</f>
        <v>0</v>
      </c>
      <c r="H4292" s="55">
        <f>IF($D4292="",0,COUNTIFS(Inputs!$J$80:$J$104,Inputs!$J$104,$E$4268:$E4292,$E4292,$D$4268:$D4292,$D4292))</f>
        <v>1</v>
      </c>
      <c r="I4292" s="55">
        <f t="shared" si="1544"/>
        <v>1</v>
      </c>
    </row>
    <row r="4293" spans="1:9" x14ac:dyDescent="0.25">
      <c r="A4293" s="55">
        <f>IF(OR(Inputs!$J$105&lt;&gt;nr_SelKey,Inputs!$E$105&lt;&gt;"planned",Inputs!$C$105=""),0,COUNTIFS(Inputs!$J$80:$J$105,nr_SelKey,Inputs!$E$80:$E$105,"planned"))</f>
        <v>0</v>
      </c>
      <c r="B4293" s="52">
        <f>IF($A4293=0,N(Inputs!$K$105),IF(ISBLANK(INDEX(att_actpct,$A4293)),N(Inputs!$K$105),INDEX(att_actpct,$A4293)))</f>
        <v>0.04</v>
      </c>
      <c r="C4293" s="53">
        <f>IF(Inputs!$C$105="",0,IF(1+$B4293&gt;0,LN(1+$B4293),0))</f>
        <v>3.9220713153281329E-2</v>
      </c>
      <c r="D4293" s="54">
        <f>IF(Inputs!$C$105="","",IF($A4293=0,Inputs!$C$105,IF(ISBLANK(INDEX(att_actdate,$A4293)),Inputs!$C$105,INDEX(att_actdate,$A4293))))</f>
        <v>46600</v>
      </c>
      <c r="E4293" s="54">
        <f t="shared" si="1542"/>
        <v>46600</v>
      </c>
      <c r="F4293" s="55">
        <f t="shared" si="1543"/>
        <v>31</v>
      </c>
      <c r="G4293" s="55">
        <f>IF($D4293="",0,COUNTIFS(rl_key,Inputs!$J$105,$E$4268:$E$4507,$E4293,$D$4268:$D$4507,"&lt;"&amp;$D4293))</f>
        <v>0</v>
      </c>
      <c r="H4293" s="55">
        <f>IF($D4293="",0,COUNTIFS(Inputs!$J$80:$J$105,Inputs!$J$105,$E$4268:$E4293,$E4293,$D$4268:$D4293,$D4293))</f>
        <v>1</v>
      </c>
      <c r="I4293" s="55">
        <f t="shared" si="1544"/>
        <v>1</v>
      </c>
    </row>
    <row r="4294" spans="1:9" x14ac:dyDescent="0.25">
      <c r="A4294" s="55">
        <f>IF(OR(Inputs!$J$106&lt;&gt;nr_SelKey,Inputs!$E$106&lt;&gt;"planned",Inputs!$C$106=""),0,COUNTIFS(Inputs!$J$80:$J$106,nr_SelKey,Inputs!$E$80:$E$106,"planned"))</f>
        <v>0</v>
      </c>
      <c r="B4294" s="52">
        <f>IF($A4294=0,N(Inputs!$K$106),IF(ISBLANK(INDEX(att_actpct,$A4294)),N(Inputs!$K$106),INDEX(att_actpct,$A4294)))</f>
        <v>0.05</v>
      </c>
      <c r="C4294" s="53">
        <f>IF(Inputs!$C$106="",0,IF(1+$B4294&gt;0,LN(1+$B4294),0))</f>
        <v>4.8790164169432049E-2</v>
      </c>
      <c r="D4294" s="54">
        <f>IF(Inputs!$C$106="","",IF($A4294=0,Inputs!$C$106,IF(ISBLANK(INDEX(att_actdate,$A4294)),Inputs!$C$106,INDEX(att_actdate,$A4294))))</f>
        <v>46204</v>
      </c>
      <c r="E4294" s="54">
        <f t="shared" si="1542"/>
        <v>46204</v>
      </c>
      <c r="F4294" s="55">
        <f t="shared" si="1543"/>
        <v>31</v>
      </c>
      <c r="G4294" s="55">
        <f>IF($D4294="",0,COUNTIFS(rl_key,Inputs!$J$106,$E$4268:$E$4507,$E4294,$D$4268:$D$4507,"&lt;"&amp;$D4294))</f>
        <v>0</v>
      </c>
      <c r="H4294" s="55">
        <f>IF($D4294="",0,COUNTIFS(Inputs!$J$80:$J$106,Inputs!$J$106,$E$4268:$E4294,$E4294,$D$4268:$D4294,$D4294))</f>
        <v>1</v>
      </c>
      <c r="I4294" s="55">
        <f t="shared" si="1544"/>
        <v>1</v>
      </c>
    </row>
    <row r="4295" spans="1:9" x14ac:dyDescent="0.25">
      <c r="A4295" s="55">
        <f>IF(OR(Inputs!$J$107&lt;&gt;nr_SelKey,Inputs!$E$107&lt;&gt;"planned",Inputs!$C$107=""),0,COUNTIFS(Inputs!$J$80:$J$107,nr_SelKey,Inputs!$E$80:$E$107,"planned"))</f>
        <v>0</v>
      </c>
      <c r="B4295" s="52">
        <f>IF($A4295=0,N(Inputs!$K$107),IF(ISBLANK(INDEX(att_actpct,$A4295)),N(Inputs!$K$107),INDEX(att_actpct,$A4295)))</f>
        <v>0.06</v>
      </c>
      <c r="C4295" s="53">
        <f>IF(Inputs!$C$107="",0,IF(1+$B4295&gt;0,LN(1+$B4295),0))</f>
        <v>5.8268908123975824E-2</v>
      </c>
      <c r="D4295" s="54">
        <f>IF(Inputs!$C$107="","",IF($A4295=0,Inputs!$C$107,IF(ISBLANK(INDEX(att_actdate,$A4295)),Inputs!$C$107,INDEX(att_actdate,$A4295))))</f>
        <v>46235</v>
      </c>
      <c r="E4295" s="54">
        <f t="shared" si="1542"/>
        <v>46235</v>
      </c>
      <c r="F4295" s="55">
        <f t="shared" si="1543"/>
        <v>31</v>
      </c>
      <c r="G4295" s="55">
        <f>IF($D4295="",0,COUNTIFS(rl_key,Inputs!$J$107,$E$4268:$E$4507,$E4295,$D$4268:$D$4507,"&lt;"&amp;$D4295))</f>
        <v>0</v>
      </c>
      <c r="H4295" s="55">
        <f>IF($D4295="",0,COUNTIFS(Inputs!$J$80:$J$107,Inputs!$J$107,$E$4268:$E4295,$E4295,$D$4268:$D4295,$D4295))</f>
        <v>1</v>
      </c>
      <c r="I4295" s="55">
        <f t="shared" si="1544"/>
        <v>1</v>
      </c>
    </row>
    <row r="4296" spans="1:9" x14ac:dyDescent="0.25">
      <c r="A4296" s="55">
        <f>IF(OR(Inputs!$J$108&lt;&gt;nr_SelKey,Inputs!$E$108&lt;&gt;"planned",Inputs!$C$108=""),0,COUNTIFS(Inputs!$J$80:$J$108,nr_SelKey,Inputs!$E$80:$E$108,"planned"))</f>
        <v>0</v>
      </c>
      <c r="B4296" s="52">
        <f>IF($A4296=0,N(Inputs!$K$108),IF(ISBLANK(INDEX(att_actpct,$A4296)),N(Inputs!$K$108),INDEX(att_actpct,$A4296)))</f>
        <v>0.03</v>
      </c>
      <c r="C4296" s="53">
        <f>IF(Inputs!$C$108="",0,IF(1+$B4296&gt;0,LN(1+$B4296),0))</f>
        <v>2.9558802241544429E-2</v>
      </c>
      <c r="D4296" s="54">
        <f>IF(Inputs!$C$108="","",IF($A4296=0,Inputs!$C$108,IF(ISBLANK(INDEX(att_actdate,$A4296)),Inputs!$C$108,INDEX(att_actdate,$A4296))))</f>
        <v>46296</v>
      </c>
      <c r="E4296" s="54">
        <f t="shared" si="1542"/>
        <v>46296</v>
      </c>
      <c r="F4296" s="55">
        <f t="shared" si="1543"/>
        <v>31</v>
      </c>
      <c r="G4296" s="55">
        <f>IF($D4296="",0,COUNTIFS(rl_key,Inputs!$J$108,$E$4268:$E$4507,$E4296,$D$4268:$D$4507,"&lt;"&amp;$D4296))</f>
        <v>0</v>
      </c>
      <c r="H4296" s="55">
        <f>IF($D4296="",0,COUNTIFS(Inputs!$J$80:$J$108,Inputs!$J$108,$E$4268:$E4296,$E4296,$D$4268:$D4296,$D4296))</f>
        <v>1</v>
      </c>
      <c r="I4296" s="55">
        <f t="shared" si="1544"/>
        <v>1</v>
      </c>
    </row>
    <row r="4297" spans="1:9" x14ac:dyDescent="0.25">
      <c r="A4297" s="55">
        <f>IF(OR(Inputs!$J$109&lt;&gt;nr_SelKey,Inputs!$E$109&lt;&gt;"planned",Inputs!$C$109=""),0,COUNTIFS(Inputs!$J$80:$J$109,nr_SelKey,Inputs!$E$80:$E$109,"planned"))</f>
        <v>0</v>
      </c>
      <c r="B4297" s="52">
        <f>IF($A4297=0,N(Inputs!$K$109),IF(ISBLANK(INDEX(att_actpct,$A4297)),N(Inputs!$K$109),INDEX(att_actpct,$A4297)))</f>
        <v>0.04</v>
      </c>
      <c r="C4297" s="53">
        <f>IF(Inputs!$C$109="",0,IF(1+$B4297&gt;0,LN(1+$B4297),0))</f>
        <v>3.9220713153281329E-2</v>
      </c>
      <c r="D4297" s="54">
        <f>IF(Inputs!$C$109="","",IF($A4297=0,Inputs!$C$109,IF(ISBLANK(INDEX(att_actdate,$A4297)),Inputs!$C$109,INDEX(att_actdate,$A4297))))</f>
        <v>46419</v>
      </c>
      <c r="E4297" s="54">
        <f t="shared" si="1542"/>
        <v>46419</v>
      </c>
      <c r="F4297" s="55">
        <f t="shared" si="1543"/>
        <v>28</v>
      </c>
      <c r="G4297" s="55">
        <f>IF($D4297="",0,COUNTIFS(rl_key,Inputs!$J$109,$E$4268:$E$4507,$E4297,$D$4268:$D$4507,"&lt;"&amp;$D4297))</f>
        <v>0</v>
      </c>
      <c r="H4297" s="55">
        <f>IF($D4297="",0,COUNTIFS(Inputs!$J$80:$J$109,Inputs!$J$109,$E$4268:$E4297,$E4297,$D$4268:$D4297,$D4297))</f>
        <v>1</v>
      </c>
      <c r="I4297" s="55">
        <f t="shared" si="1544"/>
        <v>1</v>
      </c>
    </row>
    <row r="4298" spans="1:9" x14ac:dyDescent="0.25">
      <c r="A4298" s="55">
        <f>IF(OR(Inputs!$J$110&lt;&gt;nr_SelKey,Inputs!$E$110&lt;&gt;"planned",Inputs!$C$110=""),0,COUNTIFS(Inputs!$J$80:$J$110,nr_SelKey,Inputs!$E$80:$E$110,"planned"))</f>
        <v>0</v>
      </c>
      <c r="B4298" s="52">
        <f>IF($A4298=0,N(Inputs!$K$110),IF(ISBLANK(INDEX(att_actpct,$A4298)),N(Inputs!$K$110),INDEX(att_actpct,$A4298)))</f>
        <v>0.04</v>
      </c>
      <c r="C4298" s="53">
        <f>IF(Inputs!$C$110="",0,IF(1+$B4298&gt;0,LN(1+$B4298),0))</f>
        <v>3.9220713153281329E-2</v>
      </c>
      <c r="D4298" s="54">
        <f>IF(Inputs!$C$110="","",IF($A4298=0,Inputs!$C$110,IF(ISBLANK(INDEX(att_actdate,$A4298)),Inputs!$C$110,INDEX(att_actdate,$A4298))))</f>
        <v>46327</v>
      </c>
      <c r="E4298" s="54">
        <f t="shared" si="1542"/>
        <v>46327</v>
      </c>
      <c r="F4298" s="55">
        <f t="shared" si="1543"/>
        <v>30</v>
      </c>
      <c r="G4298" s="55">
        <f>IF($D4298="",0,COUNTIFS(rl_key,Inputs!$J$110,$E$4268:$E$4507,$E4298,$D$4268:$D$4507,"&lt;"&amp;$D4298))</f>
        <v>0</v>
      </c>
      <c r="H4298" s="55">
        <f>IF($D4298="",0,COUNTIFS(Inputs!$J$80:$J$110,Inputs!$J$110,$E$4268:$E4298,$E4298,$D$4268:$D4298,$D4298))</f>
        <v>1</v>
      </c>
      <c r="I4298" s="55">
        <f t="shared" si="1544"/>
        <v>1</v>
      </c>
    </row>
    <row r="4299" spans="1:9" x14ac:dyDescent="0.25">
      <c r="A4299" s="55">
        <f>IF(OR(Inputs!$J$111&lt;&gt;nr_SelKey,Inputs!$E$111&lt;&gt;"planned",Inputs!$C$111=""),0,COUNTIFS(Inputs!$J$80:$J$111,nr_SelKey,Inputs!$E$80:$E$111,"planned"))</f>
        <v>0</v>
      </c>
      <c r="B4299" s="52">
        <f>IF($A4299=0,N(Inputs!$K$111),IF(ISBLANK(INDEX(att_actpct,$A4299)),N(Inputs!$K$111),INDEX(att_actpct,$A4299)))</f>
        <v>0.02</v>
      </c>
      <c r="C4299" s="53">
        <f>IF(Inputs!$C$111="",0,IF(1+$B4299&gt;0,LN(1+$B4299),0))</f>
        <v>1.980262729617973E-2</v>
      </c>
      <c r="D4299" s="54">
        <f>IF(Inputs!$C$111="","",IF($A4299=0,Inputs!$C$111,IF(ISBLANK(INDEX(att_actdate,$A4299)),Inputs!$C$111,INDEX(att_actdate,$A4299))))</f>
        <v>46054</v>
      </c>
      <c r="E4299" s="54">
        <f t="shared" si="1542"/>
        <v>46054</v>
      </c>
      <c r="F4299" s="55">
        <f t="shared" si="1543"/>
        <v>28</v>
      </c>
      <c r="G4299" s="55">
        <f>IF($D4299="",0,COUNTIFS(rl_key,Inputs!$J$111,$E$4268:$E$4507,$E4299,$D$4268:$D$4507,"&lt;"&amp;$D4299))</f>
        <v>0</v>
      </c>
      <c r="H4299" s="55">
        <f>IF($D4299="",0,COUNTIFS(Inputs!$J$80:$J$111,Inputs!$J$111,$E$4268:$E4299,$E4299,$D$4268:$D4299,$D4299))</f>
        <v>1</v>
      </c>
      <c r="I4299" s="55">
        <f t="shared" si="1544"/>
        <v>1</v>
      </c>
    </row>
    <row r="4300" spans="1:9" x14ac:dyDescent="0.25">
      <c r="A4300" s="55">
        <f>IF(OR(Inputs!$J$112&lt;&gt;nr_SelKey,Inputs!$E$112&lt;&gt;"planned",Inputs!$C$112=""),0,COUNTIFS(Inputs!$J$80:$J$112,nr_SelKey,Inputs!$E$80:$E$112,"planned"))</f>
        <v>0</v>
      </c>
      <c r="B4300" s="52">
        <f>IF($A4300=0,N(Inputs!$K$112),IF(ISBLANK(INDEX(att_actpct,$A4300)),N(Inputs!$K$112),INDEX(att_actpct,$A4300)))</f>
        <v>0.04</v>
      </c>
      <c r="C4300" s="53">
        <f>IF(Inputs!$C$112="",0,IF(1+$B4300&gt;0,LN(1+$B4300),0))</f>
        <v>3.9220713153281329E-2</v>
      </c>
      <c r="D4300" s="54">
        <f>IF(Inputs!$C$112="","",IF($A4300=0,Inputs!$C$112,IF(ISBLANK(INDEX(att_actdate,$A4300)),Inputs!$C$112,INDEX(att_actdate,$A4300))))</f>
        <v>46539</v>
      </c>
      <c r="E4300" s="54">
        <f t="shared" si="1542"/>
        <v>46539</v>
      </c>
      <c r="F4300" s="55">
        <f t="shared" si="1543"/>
        <v>30</v>
      </c>
      <c r="G4300" s="55">
        <f>IF($D4300="",0,COUNTIFS(rl_key,Inputs!$J$112,$E$4268:$E$4507,$E4300,$D$4268:$D$4507,"&lt;"&amp;$D4300))</f>
        <v>0</v>
      </c>
      <c r="H4300" s="55">
        <f>IF($D4300="",0,COUNTIFS(Inputs!$J$80:$J$112,Inputs!$J$112,$E$4268:$E4300,$E4300,$D$4268:$D4300,$D4300))</f>
        <v>1</v>
      </c>
      <c r="I4300" s="55">
        <f t="shared" si="1544"/>
        <v>1</v>
      </c>
    </row>
    <row r="4301" spans="1:9" x14ac:dyDescent="0.25">
      <c r="A4301" s="55">
        <f>IF(OR(Inputs!$J$113&lt;&gt;nr_SelKey,Inputs!$E$113&lt;&gt;"planned",Inputs!$C$113=""),0,COUNTIFS(Inputs!$J$80:$J$113,nr_SelKey,Inputs!$E$80:$E$113,"planned"))</f>
        <v>0</v>
      </c>
      <c r="B4301" s="52">
        <f>IF($A4301=0,N(Inputs!$K$113),IF(ISBLANK(INDEX(att_actpct,$A4301)),N(Inputs!$K$113),INDEX(att_actpct,$A4301)))</f>
        <v>0.04</v>
      </c>
      <c r="C4301" s="53">
        <f>IF(Inputs!$C$113="",0,IF(1+$B4301&gt;0,LN(1+$B4301),0))</f>
        <v>3.9220713153281329E-2</v>
      </c>
      <c r="D4301" s="54">
        <f>IF(Inputs!$C$113="","",IF($A4301=0,Inputs!$C$113,IF(ISBLANK(INDEX(att_actdate,$A4301)),Inputs!$C$113,INDEX(att_actdate,$A4301))))</f>
        <v>46113</v>
      </c>
      <c r="E4301" s="54">
        <f t="shared" si="1542"/>
        <v>46113</v>
      </c>
      <c r="F4301" s="55">
        <f t="shared" si="1543"/>
        <v>30</v>
      </c>
      <c r="G4301" s="55">
        <f>IF($D4301="",0,COUNTIFS(rl_key,Inputs!$J$113,$E$4268:$E$4507,$E4301,$D$4268:$D$4507,"&lt;"&amp;$D4301))</f>
        <v>0</v>
      </c>
      <c r="H4301" s="55">
        <f>IF($D4301="",0,COUNTIFS(Inputs!$J$80:$J$113,Inputs!$J$113,$E$4268:$E4301,$E4301,$D$4268:$D4301,$D4301))</f>
        <v>1</v>
      </c>
      <c r="I4301" s="55">
        <f t="shared" si="1544"/>
        <v>1</v>
      </c>
    </row>
    <row r="4302" spans="1:9" x14ac:dyDescent="0.25">
      <c r="A4302" s="55">
        <f>IF(OR(Inputs!$J$114&lt;&gt;nr_SelKey,Inputs!$E$114&lt;&gt;"planned",Inputs!$C$114=""),0,COUNTIFS(Inputs!$J$80:$J$114,nr_SelKey,Inputs!$E$80:$E$114,"planned"))</f>
        <v>0</v>
      </c>
      <c r="B4302" s="52">
        <f>IF($A4302=0,N(Inputs!$K$114),IF(ISBLANK(INDEX(att_actpct,$A4302)),N(Inputs!$K$114),INDEX(att_actpct,$A4302)))</f>
        <v>0.05</v>
      </c>
      <c r="C4302" s="53">
        <f>IF(Inputs!$C$114="",0,IF(1+$B4302&gt;0,LN(1+$B4302),0))</f>
        <v>4.8790164169432049E-2</v>
      </c>
      <c r="D4302" s="54">
        <f>IF(Inputs!$C$114="","",IF($A4302=0,Inputs!$C$114,IF(ISBLANK(INDEX(att_actdate,$A4302)),Inputs!$C$114,INDEX(att_actdate,$A4302))))</f>
        <v>46143</v>
      </c>
      <c r="E4302" s="54">
        <f t="shared" si="1542"/>
        <v>46143</v>
      </c>
      <c r="F4302" s="55">
        <f t="shared" si="1543"/>
        <v>31</v>
      </c>
      <c r="G4302" s="55">
        <f>IF($D4302="",0,COUNTIFS(rl_key,Inputs!$J$114,$E$4268:$E$4507,$E4302,$D$4268:$D$4507,"&lt;"&amp;$D4302))</f>
        <v>0</v>
      </c>
      <c r="H4302" s="55">
        <f>IF($D4302="",0,COUNTIFS(Inputs!$J$80:$J$114,Inputs!$J$114,$E$4268:$E4302,$E4302,$D$4268:$D4302,$D4302))</f>
        <v>1</v>
      </c>
      <c r="I4302" s="55">
        <f t="shared" si="1544"/>
        <v>1</v>
      </c>
    </row>
    <row r="4303" spans="1:9" x14ac:dyDescent="0.25">
      <c r="A4303" s="55">
        <f>IF(OR(Inputs!$J$115&lt;&gt;nr_SelKey,Inputs!$E$115&lt;&gt;"planned",Inputs!$C$115=""),0,COUNTIFS(Inputs!$J$80:$J$115,nr_SelKey,Inputs!$E$80:$E$115,"planned"))</f>
        <v>0</v>
      </c>
      <c r="B4303" s="52">
        <f>IF($A4303=0,N(Inputs!$K$115),IF(ISBLANK(INDEX(att_actpct,$A4303)),N(Inputs!$K$115),INDEX(att_actpct,$A4303)))</f>
        <v>0.04</v>
      </c>
      <c r="C4303" s="53">
        <f>IF(Inputs!$C$115="",0,IF(1+$B4303&gt;0,LN(1+$B4303),0))</f>
        <v>3.9220713153281329E-2</v>
      </c>
      <c r="D4303" s="54">
        <f>IF(Inputs!$C$115="","",IF($A4303=0,Inputs!$C$115,IF(ISBLANK(INDEX(att_actdate,$A4303)),Inputs!$C$115,INDEX(att_actdate,$A4303))))</f>
        <v>46661</v>
      </c>
      <c r="E4303" s="54">
        <f t="shared" si="1542"/>
        <v>46661</v>
      </c>
      <c r="F4303" s="55">
        <f t="shared" si="1543"/>
        <v>31</v>
      </c>
      <c r="G4303" s="55">
        <f>IF($D4303="",0,COUNTIFS(rl_key,Inputs!$J$115,$E$4268:$E$4507,$E4303,$D$4268:$D$4507,"&lt;"&amp;$D4303))</f>
        <v>0</v>
      </c>
      <c r="H4303" s="55">
        <f>IF($D4303="",0,COUNTIFS(Inputs!$J$80:$J$115,Inputs!$J$115,$E$4268:$E4303,$E4303,$D$4268:$D4303,$D4303))</f>
        <v>1</v>
      </c>
      <c r="I4303" s="55">
        <f t="shared" si="1544"/>
        <v>1</v>
      </c>
    </row>
    <row r="4304" spans="1:9" x14ac:dyDescent="0.25">
      <c r="A4304" s="55">
        <f>IF(OR(Inputs!$J$116&lt;&gt;nr_SelKey,Inputs!$E$116&lt;&gt;"planned",Inputs!$C$116=""),0,COUNTIFS(Inputs!$J$80:$J$116,nr_SelKey,Inputs!$E$80:$E$116,"planned"))</f>
        <v>0</v>
      </c>
      <c r="B4304" s="52">
        <f>IF($A4304=0,N(Inputs!$K$116),IF(ISBLANK(INDEX(att_actpct,$A4304)),N(Inputs!$K$116),INDEX(att_actpct,$A4304)))</f>
        <v>0.02</v>
      </c>
      <c r="C4304" s="53">
        <f>IF(Inputs!$C$116="",0,IF(1+$B4304&gt;0,LN(1+$B4304),0))</f>
        <v>1.980262729617973E-2</v>
      </c>
      <c r="D4304" s="54">
        <f>IF(Inputs!$C$116="","",IF($A4304=0,Inputs!$C$116,IF(ISBLANK(INDEX(att_actdate,$A4304)),Inputs!$C$116,INDEX(att_actdate,$A4304))))</f>
        <v>46204</v>
      </c>
      <c r="E4304" s="54">
        <f t="shared" si="1542"/>
        <v>46204</v>
      </c>
      <c r="F4304" s="55">
        <f t="shared" si="1543"/>
        <v>31</v>
      </c>
      <c r="G4304" s="55">
        <f>IF($D4304="",0,COUNTIFS(rl_key,Inputs!$J$116,$E$4268:$E$4507,$E4304,$D$4268:$D$4507,"&lt;"&amp;$D4304))</f>
        <v>0</v>
      </c>
      <c r="H4304" s="55">
        <f>IF($D4304="",0,COUNTIFS(Inputs!$J$80:$J$116,Inputs!$J$116,$E$4268:$E4304,$E4304,$D$4268:$D4304,$D4304))</f>
        <v>1</v>
      </c>
      <c r="I4304" s="55">
        <f t="shared" si="1544"/>
        <v>1</v>
      </c>
    </row>
    <row r="4305" spans="1:9" x14ac:dyDescent="0.25">
      <c r="A4305" s="55">
        <f>IF(OR(Inputs!$J$117&lt;&gt;nr_SelKey,Inputs!$E$117&lt;&gt;"planned",Inputs!$C$117=""),0,COUNTIFS(Inputs!$J$80:$J$117,nr_SelKey,Inputs!$E$80:$E$117,"planned"))</f>
        <v>0</v>
      </c>
      <c r="B4305" s="52">
        <f>IF($A4305=0,N(Inputs!$K$117),IF(ISBLANK(INDEX(att_actpct,$A4305)),N(Inputs!$K$117),INDEX(att_actpct,$A4305)))</f>
        <v>0.03</v>
      </c>
      <c r="C4305" s="53">
        <f>IF(Inputs!$C$117="",0,IF(1+$B4305&gt;0,LN(1+$B4305),0))</f>
        <v>2.9558802241544429E-2</v>
      </c>
      <c r="D4305" s="54">
        <f>IF(Inputs!$C$117="","",IF($A4305=0,Inputs!$C$117,IF(ISBLANK(INDEX(att_actdate,$A4305)),Inputs!$C$117,INDEX(att_actdate,$A4305))))</f>
        <v>46235</v>
      </c>
      <c r="E4305" s="54">
        <f t="shared" si="1542"/>
        <v>46235</v>
      </c>
      <c r="F4305" s="55">
        <f t="shared" si="1543"/>
        <v>31</v>
      </c>
      <c r="G4305" s="55">
        <f>IF($D4305="",0,COUNTIFS(rl_key,Inputs!$J$117,$E$4268:$E$4507,$E4305,$D$4268:$D$4507,"&lt;"&amp;$D4305))</f>
        <v>0</v>
      </c>
      <c r="H4305" s="55">
        <f>IF($D4305="",0,COUNTIFS(Inputs!$J$80:$J$117,Inputs!$J$117,$E$4268:$E4305,$E4305,$D$4268:$D4305,$D4305))</f>
        <v>1</v>
      </c>
      <c r="I4305" s="55">
        <f t="shared" si="1544"/>
        <v>1</v>
      </c>
    </row>
    <row r="4306" spans="1:9" x14ac:dyDescent="0.25">
      <c r="A4306" s="55">
        <f>IF(OR(Inputs!$J$118&lt;&gt;nr_SelKey,Inputs!$E$118&lt;&gt;"planned",Inputs!$C$118=""),0,COUNTIFS(Inputs!$J$80:$J$118,nr_SelKey,Inputs!$E$80:$E$118,"planned"))</f>
        <v>0</v>
      </c>
      <c r="B4306" s="52">
        <f>IF($A4306=0,N(Inputs!$K$118),IF(ISBLANK(INDEX(att_actpct,$A4306)),N(Inputs!$K$118),INDEX(att_actpct,$A4306)))</f>
        <v>0.05</v>
      </c>
      <c r="C4306" s="53">
        <f>IF(Inputs!$C$118="",0,IF(1+$B4306&gt;0,LN(1+$B4306),0))</f>
        <v>4.8790164169432049E-2</v>
      </c>
      <c r="D4306" s="54">
        <f>IF(Inputs!$C$118="","",IF($A4306=0,Inputs!$C$118,IF(ISBLANK(INDEX(att_actdate,$A4306)),Inputs!$C$118,INDEX(att_actdate,$A4306))))</f>
        <v>46296</v>
      </c>
      <c r="E4306" s="54">
        <f t="shared" si="1542"/>
        <v>46296</v>
      </c>
      <c r="F4306" s="55">
        <f t="shared" si="1543"/>
        <v>31</v>
      </c>
      <c r="G4306" s="55">
        <f>IF($D4306="",0,COUNTIFS(rl_key,Inputs!$J$118,$E$4268:$E$4507,$E4306,$D$4268:$D$4507,"&lt;"&amp;$D4306))</f>
        <v>0</v>
      </c>
      <c r="H4306" s="55">
        <f>IF($D4306="",0,COUNTIFS(Inputs!$J$80:$J$118,Inputs!$J$118,$E$4268:$E4306,$E4306,$D$4268:$D4306,$D4306))</f>
        <v>1</v>
      </c>
      <c r="I4306" s="55">
        <f t="shared" si="1544"/>
        <v>1</v>
      </c>
    </row>
    <row r="4307" spans="1:9" x14ac:dyDescent="0.25">
      <c r="A4307" s="55">
        <f>IF(OR(Inputs!$J$119&lt;&gt;nr_SelKey,Inputs!$E$119&lt;&gt;"planned",Inputs!$C$119=""),0,COUNTIFS(Inputs!$J$80:$J$119,nr_SelKey,Inputs!$E$80:$E$119,"planned"))</f>
        <v>0</v>
      </c>
      <c r="B4307" s="52">
        <f>IF($A4307=0,N(Inputs!$K$119),IF(ISBLANK(INDEX(att_actpct,$A4307)),N(Inputs!$K$119),INDEX(att_actpct,$A4307)))</f>
        <v>0.04</v>
      </c>
      <c r="C4307" s="53">
        <f>IF(Inputs!$C$119="",0,IF(1+$B4307&gt;0,LN(1+$B4307),0))</f>
        <v>3.9220713153281329E-2</v>
      </c>
      <c r="D4307" s="54">
        <f>IF(Inputs!$C$119="","",IF($A4307=0,Inputs!$C$119,IF(ISBLANK(INDEX(att_actdate,$A4307)),Inputs!$C$119,INDEX(att_actdate,$A4307))))</f>
        <v>46478</v>
      </c>
      <c r="E4307" s="54">
        <f t="shared" si="1542"/>
        <v>46478</v>
      </c>
      <c r="F4307" s="55">
        <f t="shared" si="1543"/>
        <v>30</v>
      </c>
      <c r="G4307" s="55">
        <f>IF($D4307="",0,COUNTIFS(rl_key,Inputs!$J$119,$E$4268:$E$4507,$E4307,$D$4268:$D$4507,"&lt;"&amp;$D4307))</f>
        <v>0</v>
      </c>
      <c r="H4307" s="55">
        <f>IF($D4307="",0,COUNTIFS(Inputs!$J$80:$J$119,Inputs!$J$119,$E$4268:$E4307,$E4307,$D$4268:$D4307,$D4307))</f>
        <v>1</v>
      </c>
      <c r="I4307" s="55">
        <f t="shared" si="1544"/>
        <v>1</v>
      </c>
    </row>
    <row r="4308" spans="1:9" x14ac:dyDescent="0.25">
      <c r="A4308" s="55">
        <f>IF(OR(Inputs!$J$120&lt;&gt;nr_SelKey,Inputs!$E$120&lt;&gt;"planned",Inputs!$C$120=""),0,COUNTIFS(Inputs!$J$80:$J$120,nr_SelKey,Inputs!$E$80:$E$120,"planned"))</f>
        <v>0</v>
      </c>
      <c r="B4308" s="52">
        <f>IF($A4308=0,N(Inputs!$K$120),IF(ISBLANK(INDEX(att_actpct,$A4308)),N(Inputs!$K$120),INDEX(att_actpct,$A4308)))</f>
        <v>0.06</v>
      </c>
      <c r="C4308" s="53">
        <f>IF(Inputs!$C$120="",0,IF(1+$B4308&gt;0,LN(1+$B4308),0))</f>
        <v>5.8268908123975824E-2</v>
      </c>
      <c r="D4308" s="54">
        <f>IF(Inputs!$C$120="","",IF($A4308=0,Inputs!$C$120,IF(ISBLANK(INDEX(att_actdate,$A4308)),Inputs!$C$120,INDEX(att_actdate,$A4308))))</f>
        <v>46327</v>
      </c>
      <c r="E4308" s="54">
        <f t="shared" si="1542"/>
        <v>46327</v>
      </c>
      <c r="F4308" s="55">
        <f t="shared" si="1543"/>
        <v>30</v>
      </c>
      <c r="G4308" s="55">
        <f>IF($D4308="",0,COUNTIFS(rl_key,Inputs!$J$120,$E$4268:$E$4507,$E4308,$D$4268:$D$4507,"&lt;"&amp;$D4308))</f>
        <v>0</v>
      </c>
      <c r="H4308" s="55">
        <f>IF($D4308="",0,COUNTIFS(Inputs!$J$80:$J$120,Inputs!$J$120,$E$4268:$E4308,$E4308,$D$4268:$D4308,$D4308))</f>
        <v>1</v>
      </c>
      <c r="I4308" s="55">
        <f t="shared" si="1544"/>
        <v>1</v>
      </c>
    </row>
    <row r="4309" spans="1:9" x14ac:dyDescent="0.25">
      <c r="A4309" s="55">
        <f>IF(OR(Inputs!$J$121&lt;&gt;nr_SelKey,Inputs!$E$121&lt;&gt;"planned",Inputs!$C$121=""),0,COUNTIFS(Inputs!$J$80:$J$121,nr_SelKey,Inputs!$E$80:$E$121,"planned"))</f>
        <v>0</v>
      </c>
      <c r="B4309" s="52">
        <f>IF($A4309=0,N(Inputs!$K$121),IF(ISBLANK(INDEX(att_actpct,$A4309)),N(Inputs!$K$121),INDEX(att_actpct,$A4309)))</f>
        <v>0.03</v>
      </c>
      <c r="C4309" s="53">
        <f>IF(Inputs!$C$121="",0,IF(1+$B4309&gt;0,LN(1+$B4309),0))</f>
        <v>2.9558802241544429E-2</v>
      </c>
      <c r="D4309" s="54">
        <f>IF(Inputs!$C$121="","",IF($A4309=0,Inputs!$C$121,IF(ISBLANK(INDEX(att_actdate,$A4309)),Inputs!$C$121,INDEX(att_actdate,$A4309))))</f>
        <v>46023</v>
      </c>
      <c r="E4309" s="54">
        <f t="shared" si="1542"/>
        <v>46023</v>
      </c>
      <c r="F4309" s="55">
        <f t="shared" si="1543"/>
        <v>31</v>
      </c>
      <c r="G4309" s="55">
        <f>IF($D4309="",0,COUNTIFS(rl_key,Inputs!$J$121,$E$4268:$E$4507,$E4309,$D$4268:$D$4507,"&lt;"&amp;$D4309))</f>
        <v>0</v>
      </c>
      <c r="H4309" s="55">
        <f>IF($D4309="",0,COUNTIFS(Inputs!$J$80:$J$121,Inputs!$J$121,$E$4268:$E4309,$E4309,$D$4268:$D4309,$D4309))</f>
        <v>1</v>
      </c>
      <c r="I4309" s="55">
        <f t="shared" si="1544"/>
        <v>1</v>
      </c>
    </row>
    <row r="4310" spans="1:9" x14ac:dyDescent="0.25">
      <c r="A4310" s="55">
        <f>IF(OR(Inputs!$J$122&lt;&gt;nr_SelKey,Inputs!$E$122&lt;&gt;"planned",Inputs!$C$122=""),0,COUNTIFS(Inputs!$J$80:$J$122,nr_SelKey,Inputs!$E$80:$E$122,"planned"))</f>
        <v>0</v>
      </c>
      <c r="B4310" s="52">
        <f>IF($A4310=0,N(Inputs!$K$122),IF(ISBLANK(INDEX(att_actpct,$A4310)),N(Inputs!$K$122),INDEX(att_actpct,$A4310)))</f>
        <v>0.04</v>
      </c>
      <c r="C4310" s="53">
        <f>IF(Inputs!$C$122="",0,IF(1+$B4310&gt;0,LN(1+$B4310),0))</f>
        <v>3.9220713153281329E-2</v>
      </c>
      <c r="D4310" s="54">
        <f>IF(Inputs!$C$122="","",IF($A4310=0,Inputs!$C$122,IF(ISBLANK(INDEX(att_actdate,$A4310)),Inputs!$C$122,INDEX(att_actdate,$A4310))))</f>
        <v>46054</v>
      </c>
      <c r="E4310" s="54">
        <f t="shared" si="1542"/>
        <v>46054</v>
      </c>
      <c r="F4310" s="55">
        <f t="shared" si="1543"/>
        <v>28</v>
      </c>
      <c r="G4310" s="55">
        <f>IF($D4310="",0,COUNTIFS(rl_key,Inputs!$J$122,$E$4268:$E$4507,$E4310,$D$4268:$D$4507,"&lt;"&amp;$D4310))</f>
        <v>0</v>
      </c>
      <c r="H4310" s="55">
        <f>IF($D4310="",0,COUNTIFS(Inputs!$J$80:$J$122,Inputs!$J$122,$E$4268:$E4310,$E4310,$D$4268:$D4310,$D4310))</f>
        <v>1</v>
      </c>
      <c r="I4310" s="55">
        <f t="shared" si="1544"/>
        <v>1</v>
      </c>
    </row>
    <row r="4311" spans="1:9" x14ac:dyDescent="0.25">
      <c r="A4311" s="55">
        <f>IF(OR(Inputs!$J$123&lt;&gt;nr_SelKey,Inputs!$E$123&lt;&gt;"planned",Inputs!$C$123=""),0,COUNTIFS(Inputs!$J$80:$J$123,nr_SelKey,Inputs!$E$80:$E$123,"planned"))</f>
        <v>0</v>
      </c>
      <c r="B4311" s="52">
        <f>IF($A4311=0,N(Inputs!$K$123),IF(ISBLANK(INDEX(att_actpct,$A4311)),N(Inputs!$K$123),INDEX(att_actpct,$A4311)))</f>
        <v>0.04</v>
      </c>
      <c r="C4311" s="53">
        <f>IF(Inputs!$C$123="",0,IF(1+$B4311&gt;0,LN(1+$B4311),0))</f>
        <v>3.9220713153281329E-2</v>
      </c>
      <c r="D4311" s="54">
        <f>IF(Inputs!$C$123="","",IF($A4311=0,Inputs!$C$123,IF(ISBLANK(INDEX(att_actdate,$A4311)),Inputs!$C$123,INDEX(att_actdate,$A4311))))</f>
        <v>46600</v>
      </c>
      <c r="E4311" s="54">
        <f t="shared" si="1542"/>
        <v>46600</v>
      </c>
      <c r="F4311" s="55">
        <f t="shared" si="1543"/>
        <v>31</v>
      </c>
      <c r="G4311" s="55">
        <f>IF($D4311="",0,COUNTIFS(rl_key,Inputs!$J$123,$E$4268:$E$4507,$E4311,$D$4268:$D$4507,"&lt;"&amp;$D4311))</f>
        <v>0</v>
      </c>
      <c r="H4311" s="55">
        <f>IF($D4311="",0,COUNTIFS(Inputs!$J$80:$J$123,Inputs!$J$123,$E$4268:$E4311,$E4311,$D$4268:$D4311,$D4311))</f>
        <v>1</v>
      </c>
      <c r="I4311" s="55">
        <f t="shared" si="1544"/>
        <v>1</v>
      </c>
    </row>
    <row r="4312" spans="1:9" x14ac:dyDescent="0.25">
      <c r="A4312" s="55">
        <f>IF(OR(Inputs!$J$124&lt;&gt;nr_SelKey,Inputs!$E$124&lt;&gt;"planned",Inputs!$C$124=""),0,COUNTIFS(Inputs!$J$80:$J$124,nr_SelKey,Inputs!$E$80:$E$124,"planned"))</f>
        <v>0</v>
      </c>
      <c r="B4312" s="52">
        <f>IF($A4312=0,N(Inputs!$K$124),IF(ISBLANK(INDEX(att_actpct,$A4312)),N(Inputs!$K$124),INDEX(att_actpct,$A4312)))</f>
        <v>0.06</v>
      </c>
      <c r="C4312" s="53">
        <f>IF(Inputs!$C$124="",0,IF(1+$B4312&gt;0,LN(1+$B4312),0))</f>
        <v>5.8268908123975824E-2</v>
      </c>
      <c r="D4312" s="54">
        <f>IF(Inputs!$C$124="","",IF($A4312=0,Inputs!$C$124,IF(ISBLANK(INDEX(att_actdate,$A4312)),Inputs!$C$124,INDEX(att_actdate,$A4312))))</f>
        <v>46113</v>
      </c>
      <c r="E4312" s="54">
        <f t="shared" si="1542"/>
        <v>46113</v>
      </c>
      <c r="F4312" s="55">
        <f t="shared" si="1543"/>
        <v>30</v>
      </c>
      <c r="G4312" s="55">
        <f>IF($D4312="",0,COUNTIFS(rl_key,Inputs!$J$124,$E$4268:$E$4507,$E4312,$D$4268:$D$4507,"&lt;"&amp;$D4312))</f>
        <v>0</v>
      </c>
      <c r="H4312" s="55">
        <f>IF($D4312="",0,COUNTIFS(Inputs!$J$80:$J$124,Inputs!$J$124,$E$4268:$E4312,$E4312,$D$4268:$D4312,$D4312))</f>
        <v>1</v>
      </c>
      <c r="I4312" s="55">
        <f t="shared" si="1544"/>
        <v>1</v>
      </c>
    </row>
    <row r="4313" spans="1:9" x14ac:dyDescent="0.25">
      <c r="A4313" s="55">
        <f>IF(OR(Inputs!$J$125&lt;&gt;nr_SelKey,Inputs!$E$125&lt;&gt;"planned",Inputs!$C$125=""),0,COUNTIFS(Inputs!$J$80:$J$125,nr_SelKey,Inputs!$E$80:$E$125,"planned"))</f>
        <v>0</v>
      </c>
      <c r="B4313" s="52">
        <f>IF($A4313=0,N(Inputs!$K$125),IF(ISBLANK(INDEX(att_actpct,$A4313)),N(Inputs!$K$125),INDEX(att_actpct,$A4313)))</f>
        <v>0.02</v>
      </c>
      <c r="C4313" s="53">
        <f>IF(Inputs!$C$125="",0,IF(1+$B4313&gt;0,LN(1+$B4313),0))</f>
        <v>1.980262729617973E-2</v>
      </c>
      <c r="D4313" s="54">
        <f>IF(Inputs!$C$125="","",IF($A4313=0,Inputs!$C$125,IF(ISBLANK(INDEX(att_actdate,$A4313)),Inputs!$C$125,INDEX(att_actdate,$A4313))))</f>
        <v>46143</v>
      </c>
      <c r="E4313" s="54">
        <f t="shared" si="1542"/>
        <v>46143</v>
      </c>
      <c r="F4313" s="55">
        <f t="shared" si="1543"/>
        <v>31</v>
      </c>
      <c r="G4313" s="55">
        <f>IF($D4313="",0,COUNTIFS(rl_key,Inputs!$J$125,$E$4268:$E$4507,$E4313,$D$4268:$D$4507,"&lt;"&amp;$D4313))</f>
        <v>0</v>
      </c>
      <c r="H4313" s="55">
        <f>IF($D4313="",0,COUNTIFS(Inputs!$J$80:$J$125,Inputs!$J$125,$E$4268:$E4313,$E4313,$D$4268:$D4313,$D4313))</f>
        <v>1</v>
      </c>
      <c r="I4313" s="55">
        <f t="shared" si="1544"/>
        <v>1</v>
      </c>
    </row>
    <row r="4314" spans="1:9" x14ac:dyDescent="0.25">
      <c r="A4314" s="55">
        <f>IF(OR(Inputs!$J$126&lt;&gt;nr_SelKey,Inputs!$E$126&lt;&gt;"planned",Inputs!$C$126=""),0,COUNTIFS(Inputs!$J$80:$J$126,nr_SelKey,Inputs!$E$80:$E$126,"planned"))</f>
        <v>0</v>
      </c>
      <c r="B4314" s="52">
        <f>IF($A4314=0,N(Inputs!$K$126),IF(ISBLANK(INDEX(att_actpct,$A4314)),N(Inputs!$K$126),INDEX(att_actpct,$A4314)))</f>
        <v>0.04</v>
      </c>
      <c r="C4314" s="53">
        <f>IF(Inputs!$C$126="",0,IF(1+$B4314&gt;0,LN(1+$B4314),0))</f>
        <v>3.9220713153281329E-2</v>
      </c>
      <c r="D4314" s="54">
        <f>IF(Inputs!$C$126="","",IF($A4314=0,Inputs!$C$126,IF(ISBLANK(INDEX(att_actdate,$A4314)),Inputs!$C$126,INDEX(att_actdate,$A4314))))</f>
        <v>46419</v>
      </c>
      <c r="E4314" s="54">
        <f t="shared" si="1542"/>
        <v>46419</v>
      </c>
      <c r="F4314" s="55">
        <f t="shared" si="1543"/>
        <v>28</v>
      </c>
      <c r="G4314" s="55">
        <f>IF($D4314="",0,COUNTIFS(rl_key,Inputs!$J$126,$E$4268:$E$4507,$E4314,$D$4268:$D$4507,"&lt;"&amp;$D4314))</f>
        <v>0</v>
      </c>
      <c r="H4314" s="55">
        <f>IF($D4314="",0,COUNTIFS(Inputs!$J$80:$J$126,Inputs!$J$126,$E$4268:$E4314,$E4314,$D$4268:$D4314,$D4314))</f>
        <v>1</v>
      </c>
      <c r="I4314" s="55">
        <f t="shared" si="1544"/>
        <v>1</v>
      </c>
    </row>
    <row r="4315" spans="1:9" x14ac:dyDescent="0.25">
      <c r="A4315" s="55">
        <f>IF(OR(Inputs!$J$127&lt;&gt;nr_SelKey,Inputs!$E$127&lt;&gt;"planned",Inputs!$C$127=""),0,COUNTIFS(Inputs!$J$80:$J$127,nr_SelKey,Inputs!$E$80:$E$127,"planned"))</f>
        <v>0</v>
      </c>
      <c r="B4315" s="52">
        <f>IF($A4315=0,N(Inputs!$K$127),IF(ISBLANK(INDEX(att_actpct,$A4315)),N(Inputs!$K$127),INDEX(att_actpct,$A4315)))</f>
        <v>0.04</v>
      </c>
      <c r="C4315" s="53">
        <f>IF(Inputs!$C$127="",0,IF(1+$B4315&gt;0,LN(1+$B4315),0))</f>
        <v>3.9220713153281329E-2</v>
      </c>
      <c r="D4315" s="54">
        <f>IF(Inputs!$C$127="","",IF($A4315=0,Inputs!$C$127,IF(ISBLANK(INDEX(att_actdate,$A4315)),Inputs!$C$127,INDEX(att_actdate,$A4315))))</f>
        <v>46204</v>
      </c>
      <c r="E4315" s="54">
        <f t="shared" si="1542"/>
        <v>46204</v>
      </c>
      <c r="F4315" s="55">
        <f t="shared" si="1543"/>
        <v>31</v>
      </c>
      <c r="G4315" s="55">
        <f>IF($D4315="",0,COUNTIFS(rl_key,Inputs!$J$127,$E$4268:$E$4507,$E4315,$D$4268:$D$4507,"&lt;"&amp;$D4315))</f>
        <v>0</v>
      </c>
      <c r="H4315" s="55">
        <f>IF($D4315="",0,COUNTIFS(Inputs!$J$80:$J$127,Inputs!$J$127,$E$4268:$E4315,$E4315,$D$4268:$D4315,$D4315))</f>
        <v>1</v>
      </c>
      <c r="I4315" s="55">
        <f t="shared" si="1544"/>
        <v>1</v>
      </c>
    </row>
    <row r="4316" spans="1:9" x14ac:dyDescent="0.25">
      <c r="A4316" s="55">
        <f>IF(OR(Inputs!$J$128&lt;&gt;nr_SelKey,Inputs!$E$128&lt;&gt;"planned",Inputs!$C$128=""),0,COUNTIFS(Inputs!$J$80:$J$128,nr_SelKey,Inputs!$E$80:$E$128,"planned"))</f>
        <v>0</v>
      </c>
      <c r="B4316" s="52">
        <f>IF($A4316=0,N(Inputs!$K$128),IF(ISBLANK(INDEX(att_actpct,$A4316)),N(Inputs!$K$128),INDEX(att_actpct,$A4316)))</f>
        <v>0.05</v>
      </c>
      <c r="C4316" s="53">
        <f>IF(Inputs!$C$128="",0,IF(1+$B4316&gt;0,LN(1+$B4316),0))</f>
        <v>4.8790164169432049E-2</v>
      </c>
      <c r="D4316" s="54">
        <f>IF(Inputs!$C$128="","",IF($A4316=0,Inputs!$C$128,IF(ISBLANK(INDEX(att_actdate,$A4316)),Inputs!$C$128,INDEX(att_actdate,$A4316))))</f>
        <v>46235</v>
      </c>
      <c r="E4316" s="54">
        <f t="shared" si="1542"/>
        <v>46235</v>
      </c>
      <c r="F4316" s="55">
        <f t="shared" si="1543"/>
        <v>31</v>
      </c>
      <c r="G4316" s="55">
        <f>IF($D4316="",0,COUNTIFS(rl_key,Inputs!$J$128,$E$4268:$E$4507,$E4316,$D$4268:$D$4507,"&lt;"&amp;$D4316))</f>
        <v>0</v>
      </c>
      <c r="H4316" s="55">
        <f>IF($D4316="",0,COUNTIFS(Inputs!$J$80:$J$128,Inputs!$J$128,$E$4268:$E4316,$E4316,$D$4268:$D4316,$D4316))</f>
        <v>1</v>
      </c>
      <c r="I4316" s="55">
        <f t="shared" si="1544"/>
        <v>1</v>
      </c>
    </row>
    <row r="4317" spans="1:9" x14ac:dyDescent="0.25">
      <c r="A4317" s="55">
        <f>IF(OR(Inputs!$J$129&lt;&gt;nr_SelKey,Inputs!$E$129&lt;&gt;"planned",Inputs!$C$129=""),0,COUNTIFS(Inputs!$J$80:$J$129,nr_SelKey,Inputs!$E$80:$E$129,"planned"))</f>
        <v>0</v>
      </c>
      <c r="B4317" s="52">
        <f>IF($A4317=0,N(Inputs!$K$129),IF(ISBLANK(INDEX(att_actpct,$A4317)),N(Inputs!$K$129),INDEX(att_actpct,$A4317)))</f>
        <v>0.02</v>
      </c>
      <c r="C4317" s="53">
        <f>IF(Inputs!$C$129="",0,IF(1+$B4317&gt;0,LN(1+$B4317),0))</f>
        <v>1.980262729617973E-2</v>
      </c>
      <c r="D4317" s="54">
        <f>IF(Inputs!$C$129="","",IF($A4317=0,Inputs!$C$129,IF(ISBLANK(INDEX(att_actdate,$A4317)),Inputs!$C$129,INDEX(att_actdate,$A4317))))</f>
        <v>46296</v>
      </c>
      <c r="E4317" s="54">
        <f t="shared" si="1542"/>
        <v>46296</v>
      </c>
      <c r="F4317" s="55">
        <f t="shared" si="1543"/>
        <v>31</v>
      </c>
      <c r="G4317" s="55">
        <f>IF($D4317="",0,COUNTIFS(rl_key,Inputs!$J$129,$E$4268:$E$4507,$E4317,$D$4268:$D$4507,"&lt;"&amp;$D4317))</f>
        <v>0</v>
      </c>
      <c r="H4317" s="55">
        <f>IF($D4317="",0,COUNTIFS(Inputs!$J$80:$J$129,Inputs!$J$129,$E$4268:$E4317,$E4317,$D$4268:$D4317,$D4317))</f>
        <v>1</v>
      </c>
      <c r="I4317" s="55">
        <f t="shared" si="1544"/>
        <v>1</v>
      </c>
    </row>
    <row r="4318" spans="1:9" x14ac:dyDescent="0.25">
      <c r="A4318" s="55">
        <f>IF(OR(Inputs!$J$130&lt;&gt;nr_SelKey,Inputs!$E$130&lt;&gt;"planned",Inputs!$C$130=""),0,COUNTIFS(Inputs!$J$80:$J$130,nr_SelKey,Inputs!$E$80:$E$130,"planned"))</f>
        <v>0</v>
      </c>
      <c r="B4318" s="52">
        <f>IF($A4318=0,N(Inputs!$K$130),IF(ISBLANK(INDEX(att_actpct,$A4318)),N(Inputs!$K$130),INDEX(att_actpct,$A4318)))</f>
        <v>0.04</v>
      </c>
      <c r="C4318" s="53">
        <f>IF(Inputs!$C$130="",0,IF(1+$B4318&gt;0,LN(1+$B4318),0))</f>
        <v>3.9220713153281329E-2</v>
      </c>
      <c r="D4318" s="54">
        <f>IF(Inputs!$C$130="","",IF($A4318=0,Inputs!$C$130,IF(ISBLANK(INDEX(att_actdate,$A4318)),Inputs!$C$130,INDEX(att_actdate,$A4318))))</f>
        <v>46539</v>
      </c>
      <c r="E4318" s="54">
        <f t="shared" si="1542"/>
        <v>46539</v>
      </c>
      <c r="F4318" s="55">
        <f t="shared" si="1543"/>
        <v>30</v>
      </c>
      <c r="G4318" s="55">
        <f>IF($D4318="",0,COUNTIFS(rl_key,Inputs!$J$130,$E$4268:$E$4507,$E4318,$D$4268:$D$4507,"&lt;"&amp;$D4318))</f>
        <v>0</v>
      </c>
      <c r="H4318" s="55">
        <f>IF($D4318="",0,COUNTIFS(Inputs!$J$80:$J$130,Inputs!$J$130,$E$4268:$E4318,$E4318,$D$4268:$D4318,$D4318))</f>
        <v>1</v>
      </c>
      <c r="I4318" s="55">
        <f t="shared" si="1544"/>
        <v>1</v>
      </c>
    </row>
    <row r="4319" spans="1:9" x14ac:dyDescent="0.25">
      <c r="A4319" s="55">
        <f>IF(OR(Inputs!$J$131&lt;&gt;nr_SelKey,Inputs!$E$131&lt;&gt;"planned",Inputs!$C$131=""),0,COUNTIFS(Inputs!$J$80:$J$131,nr_SelKey,Inputs!$E$80:$E$131,"planned"))</f>
        <v>0</v>
      </c>
      <c r="B4319" s="52">
        <f>IF($A4319=0,N(Inputs!$K$131),IF(ISBLANK(INDEX(att_actpct,$A4319)),N(Inputs!$K$131),INDEX(att_actpct,$A4319)))</f>
        <v>0.06</v>
      </c>
      <c r="C4319" s="53">
        <f>IF(Inputs!$C$131="",0,IF(1+$B4319&gt;0,LN(1+$B4319),0))</f>
        <v>5.8268908123975824E-2</v>
      </c>
      <c r="D4319" s="54">
        <f>IF(Inputs!$C$131="","",IF($A4319=0,Inputs!$C$131,IF(ISBLANK(INDEX(att_actdate,$A4319)),Inputs!$C$131,INDEX(att_actdate,$A4319))))</f>
        <v>46054</v>
      </c>
      <c r="E4319" s="54">
        <f t="shared" si="1542"/>
        <v>46054</v>
      </c>
      <c r="F4319" s="55">
        <f t="shared" si="1543"/>
        <v>28</v>
      </c>
      <c r="G4319" s="55">
        <f>IF($D4319="",0,COUNTIFS(rl_key,Inputs!$J$131,$E$4268:$E$4507,$E4319,$D$4268:$D$4507,"&lt;"&amp;$D4319))</f>
        <v>0</v>
      </c>
      <c r="H4319" s="55">
        <f>IF($D4319="",0,COUNTIFS(Inputs!$J$80:$J$131,Inputs!$J$131,$E$4268:$E4319,$E4319,$D$4268:$D4319,$D4319))</f>
        <v>1</v>
      </c>
      <c r="I4319" s="55">
        <f t="shared" si="1544"/>
        <v>1</v>
      </c>
    </row>
    <row r="4320" spans="1:9" x14ac:dyDescent="0.25">
      <c r="A4320" s="55">
        <f>IF(OR(Inputs!$J$132&lt;&gt;nr_SelKey,Inputs!$E$132&lt;&gt;"planned",Inputs!$C$132=""),0,COUNTIFS(Inputs!$J$80:$J$132,nr_SelKey,Inputs!$E$80:$E$132,"planned"))</f>
        <v>0</v>
      </c>
      <c r="B4320" s="52">
        <f>IF($A4320=0,N(Inputs!$K$132),IF(ISBLANK(INDEX(att_actpct,$A4320)),N(Inputs!$K$132),INDEX(att_actpct,$A4320)))</f>
        <v>0.04</v>
      </c>
      <c r="C4320" s="53">
        <f>IF(Inputs!$C$132="",0,IF(1+$B4320&gt;0,LN(1+$B4320),0))</f>
        <v>3.9220713153281329E-2</v>
      </c>
      <c r="D4320" s="54">
        <f>IF(Inputs!$C$132="","",IF($A4320=0,Inputs!$C$132,IF(ISBLANK(INDEX(att_actdate,$A4320)),Inputs!$C$132,INDEX(att_actdate,$A4320))))</f>
        <v>46661</v>
      </c>
      <c r="E4320" s="54">
        <f t="shared" si="1542"/>
        <v>46661</v>
      </c>
      <c r="F4320" s="55">
        <f t="shared" si="1543"/>
        <v>31</v>
      </c>
      <c r="G4320" s="55">
        <f>IF($D4320="",0,COUNTIFS(rl_key,Inputs!$J$132,$E$4268:$E$4507,$E4320,$D$4268:$D$4507,"&lt;"&amp;$D4320))</f>
        <v>0</v>
      </c>
      <c r="H4320" s="55">
        <f>IF($D4320="",0,COUNTIFS(Inputs!$J$80:$J$132,Inputs!$J$132,$E$4268:$E4320,$E4320,$D$4268:$D4320,$D4320))</f>
        <v>1</v>
      </c>
      <c r="I4320" s="55">
        <f t="shared" si="1544"/>
        <v>1</v>
      </c>
    </row>
    <row r="4321" spans="1:9" x14ac:dyDescent="0.25">
      <c r="A4321" s="55">
        <f>IF(OR(Inputs!$J$133&lt;&gt;nr_SelKey,Inputs!$E$133&lt;&gt;"planned",Inputs!$C$133=""),0,COUNTIFS(Inputs!$J$80:$J$133,nr_SelKey,Inputs!$E$80:$E$133,"planned"))</f>
        <v>0</v>
      </c>
      <c r="B4321" s="52">
        <f>IF($A4321=0,N(Inputs!$K$133),IF(ISBLANK(INDEX(att_actpct,$A4321)),N(Inputs!$K$133),INDEX(att_actpct,$A4321)))</f>
        <v>0.03</v>
      </c>
      <c r="C4321" s="53">
        <f>IF(Inputs!$C$133="",0,IF(1+$B4321&gt;0,LN(1+$B4321),0))</f>
        <v>2.9558802241544429E-2</v>
      </c>
      <c r="D4321" s="54">
        <f>IF(Inputs!$C$133="","",IF($A4321=0,Inputs!$C$133,IF(ISBLANK(INDEX(att_actdate,$A4321)),Inputs!$C$133,INDEX(att_actdate,$A4321))))</f>
        <v>46113</v>
      </c>
      <c r="E4321" s="54">
        <f t="shared" si="1542"/>
        <v>46113</v>
      </c>
      <c r="F4321" s="55">
        <f t="shared" si="1543"/>
        <v>30</v>
      </c>
      <c r="G4321" s="55">
        <f>IF($D4321="",0,COUNTIFS(rl_key,Inputs!$J$133,$E$4268:$E$4507,$E4321,$D$4268:$D$4507,"&lt;"&amp;$D4321))</f>
        <v>0</v>
      </c>
      <c r="H4321" s="55">
        <f>IF($D4321="",0,COUNTIFS(Inputs!$J$80:$J$133,Inputs!$J$133,$E$4268:$E4321,$E4321,$D$4268:$D4321,$D4321))</f>
        <v>1</v>
      </c>
      <c r="I4321" s="55">
        <f t="shared" si="1544"/>
        <v>1</v>
      </c>
    </row>
    <row r="4322" spans="1:9" x14ac:dyDescent="0.25">
      <c r="A4322" s="55">
        <f>IF(OR(Inputs!$J$134&lt;&gt;nr_SelKey,Inputs!$E$134&lt;&gt;"planned",Inputs!$C$134=""),0,COUNTIFS(Inputs!$J$80:$J$134,nr_SelKey,Inputs!$E$80:$E$134,"planned"))</f>
        <v>0</v>
      </c>
      <c r="B4322" s="52">
        <f>IF($A4322=0,N(Inputs!$K$134),IF(ISBLANK(INDEX(att_actpct,$A4322)),N(Inputs!$K$134),INDEX(att_actpct,$A4322)))</f>
        <v>0.04</v>
      </c>
      <c r="C4322" s="53">
        <f>IF(Inputs!$C$134="",0,IF(1+$B4322&gt;0,LN(1+$B4322),0))</f>
        <v>3.9220713153281329E-2</v>
      </c>
      <c r="D4322" s="54">
        <f>IF(Inputs!$C$134="","",IF($A4322=0,Inputs!$C$134,IF(ISBLANK(INDEX(att_actdate,$A4322)),Inputs!$C$134,INDEX(att_actdate,$A4322))))</f>
        <v>46143</v>
      </c>
      <c r="E4322" s="54">
        <f t="shared" si="1542"/>
        <v>46143</v>
      </c>
      <c r="F4322" s="55">
        <f t="shared" si="1543"/>
        <v>31</v>
      </c>
      <c r="G4322" s="55">
        <f>IF($D4322="",0,COUNTIFS(rl_key,Inputs!$J$134,$E$4268:$E$4507,$E4322,$D$4268:$D$4507,"&lt;"&amp;$D4322))</f>
        <v>0</v>
      </c>
      <c r="H4322" s="55">
        <f>IF($D4322="",0,COUNTIFS(Inputs!$J$80:$J$134,Inputs!$J$134,$E$4268:$E4322,$E4322,$D$4268:$D4322,$D4322))</f>
        <v>1</v>
      </c>
      <c r="I4322" s="55">
        <f t="shared" si="1544"/>
        <v>1</v>
      </c>
    </row>
    <row r="4323" spans="1:9" x14ac:dyDescent="0.25">
      <c r="A4323" s="55">
        <f>IF(OR(Inputs!$J$135&lt;&gt;nr_SelKey,Inputs!$E$135&lt;&gt;"planned",Inputs!$C$135=""),0,COUNTIFS(Inputs!$J$80:$J$135,nr_SelKey,Inputs!$E$80:$E$135,"planned"))</f>
        <v>0</v>
      </c>
      <c r="B4323" s="52">
        <f>IF($A4323=0,N(Inputs!$K$135),IF(ISBLANK(INDEX(att_actpct,$A4323)),N(Inputs!$K$135),INDEX(att_actpct,$A4323)))</f>
        <v>0.04</v>
      </c>
      <c r="C4323" s="53">
        <f>IF(Inputs!$C$135="",0,IF(1+$B4323&gt;0,LN(1+$B4323),0))</f>
        <v>3.9220713153281329E-2</v>
      </c>
      <c r="D4323" s="54">
        <f>IF(Inputs!$C$135="","",IF($A4323=0,Inputs!$C$135,IF(ISBLANK(INDEX(att_actdate,$A4323)),Inputs!$C$135,INDEX(att_actdate,$A4323))))</f>
        <v>46478</v>
      </c>
      <c r="E4323" s="54">
        <f t="shared" si="1542"/>
        <v>46478</v>
      </c>
      <c r="F4323" s="55">
        <f t="shared" si="1543"/>
        <v>30</v>
      </c>
      <c r="G4323" s="55">
        <f>IF($D4323="",0,COUNTIFS(rl_key,Inputs!$J$135,$E$4268:$E$4507,$E4323,$D$4268:$D$4507,"&lt;"&amp;$D4323))</f>
        <v>0</v>
      </c>
      <c r="H4323" s="55">
        <f>IF($D4323="",0,COUNTIFS(Inputs!$J$80:$J$135,Inputs!$J$135,$E$4268:$E4323,$E4323,$D$4268:$D4323,$D4323))</f>
        <v>1</v>
      </c>
      <c r="I4323" s="55">
        <f t="shared" si="1544"/>
        <v>1</v>
      </c>
    </row>
    <row r="4324" spans="1:9" x14ac:dyDescent="0.25">
      <c r="A4324" s="55">
        <f>IF(OR(Inputs!$J$136&lt;&gt;nr_SelKey,Inputs!$E$136&lt;&gt;"planned",Inputs!$C$136=""),0,COUNTIFS(Inputs!$J$80:$J$136,nr_SelKey,Inputs!$E$80:$E$136,"planned"))</f>
        <v>0</v>
      </c>
      <c r="B4324" s="52">
        <f>IF($A4324=0,N(Inputs!$K$136),IF(ISBLANK(INDEX(att_actpct,$A4324)),N(Inputs!$K$136),INDEX(att_actpct,$A4324)))</f>
        <v>0.06</v>
      </c>
      <c r="C4324" s="53">
        <f>IF(Inputs!$C$136="",0,IF(1+$B4324&gt;0,LN(1+$B4324),0))</f>
        <v>5.8268908123975824E-2</v>
      </c>
      <c r="D4324" s="54">
        <f>IF(Inputs!$C$136="","",IF($A4324=0,Inputs!$C$136,IF(ISBLANK(INDEX(att_actdate,$A4324)),Inputs!$C$136,INDEX(att_actdate,$A4324))))</f>
        <v>46204</v>
      </c>
      <c r="E4324" s="54">
        <f t="shared" si="1542"/>
        <v>46204</v>
      </c>
      <c r="F4324" s="55">
        <f t="shared" si="1543"/>
        <v>31</v>
      </c>
      <c r="G4324" s="55">
        <f>IF($D4324="",0,COUNTIFS(rl_key,Inputs!$J$136,$E$4268:$E$4507,$E4324,$D$4268:$D$4507,"&lt;"&amp;$D4324))</f>
        <v>0</v>
      </c>
      <c r="H4324" s="55">
        <f>IF($D4324="",0,COUNTIFS(Inputs!$J$80:$J$136,Inputs!$J$136,$E$4268:$E4324,$E4324,$D$4268:$D4324,$D4324))</f>
        <v>1</v>
      </c>
      <c r="I4324" s="55">
        <f t="shared" si="1544"/>
        <v>1</v>
      </c>
    </row>
    <row r="4325" spans="1:9" x14ac:dyDescent="0.25">
      <c r="A4325" s="55">
        <f>IF(OR(Inputs!$J$137&lt;&gt;nr_SelKey,Inputs!$E$137&lt;&gt;"planned",Inputs!$C$137=""),0,COUNTIFS(Inputs!$J$80:$J$137,nr_SelKey,Inputs!$E$80:$E$137,"planned"))</f>
        <v>0</v>
      </c>
      <c r="B4325" s="52">
        <f>IF($A4325=0,N(Inputs!$K$137),IF(ISBLANK(INDEX(att_actpct,$A4325)),N(Inputs!$K$137),INDEX(att_actpct,$A4325)))</f>
        <v>0.02</v>
      </c>
      <c r="C4325" s="53">
        <f>IF(Inputs!$C$137="",0,IF(1+$B4325&gt;0,LN(1+$B4325),0))</f>
        <v>1.980262729617973E-2</v>
      </c>
      <c r="D4325" s="54">
        <f>IF(Inputs!$C$137="","",IF($A4325=0,Inputs!$C$137,IF(ISBLANK(INDEX(att_actdate,$A4325)),Inputs!$C$137,INDEX(att_actdate,$A4325))))</f>
        <v>46235</v>
      </c>
      <c r="E4325" s="54">
        <f t="shared" si="1542"/>
        <v>46235</v>
      </c>
      <c r="F4325" s="55">
        <f t="shared" si="1543"/>
        <v>31</v>
      </c>
      <c r="G4325" s="55">
        <f>IF($D4325="",0,COUNTIFS(rl_key,Inputs!$J$137,$E$4268:$E$4507,$E4325,$D$4268:$D$4507,"&lt;"&amp;$D4325))</f>
        <v>0</v>
      </c>
      <c r="H4325" s="55">
        <f>IF($D4325="",0,COUNTIFS(Inputs!$J$80:$J$137,Inputs!$J$137,$E$4268:$E4325,$E4325,$D$4268:$D4325,$D4325))</f>
        <v>1</v>
      </c>
      <c r="I4325" s="55">
        <f t="shared" si="1544"/>
        <v>1</v>
      </c>
    </row>
    <row r="4326" spans="1:9" x14ac:dyDescent="0.25">
      <c r="A4326" s="55">
        <f>IF(OR(Inputs!$J$138&lt;&gt;nr_SelKey,Inputs!$E$138&lt;&gt;"planned",Inputs!$C$138=""),0,COUNTIFS(Inputs!$J$80:$J$138,nr_SelKey,Inputs!$E$80:$E$138,"planned"))</f>
        <v>0</v>
      </c>
      <c r="B4326" s="52">
        <f>IF($A4326=0,N(Inputs!$K$138),IF(ISBLANK(INDEX(att_actpct,$A4326)),N(Inputs!$K$138),INDEX(att_actpct,$A4326)))</f>
        <v>0.04</v>
      </c>
      <c r="C4326" s="53">
        <f>IF(Inputs!$C$138="",0,IF(1+$B4326&gt;0,LN(1+$B4326),0))</f>
        <v>3.9220713153281329E-2</v>
      </c>
      <c r="D4326" s="54">
        <f>IF(Inputs!$C$138="","",IF($A4326=0,Inputs!$C$138,IF(ISBLANK(INDEX(att_actdate,$A4326)),Inputs!$C$138,INDEX(att_actdate,$A4326))))</f>
        <v>46296</v>
      </c>
      <c r="E4326" s="54">
        <f t="shared" si="1542"/>
        <v>46296</v>
      </c>
      <c r="F4326" s="55">
        <f t="shared" si="1543"/>
        <v>31</v>
      </c>
      <c r="G4326" s="55">
        <f>IF($D4326="",0,COUNTIFS(rl_key,Inputs!$J$138,$E$4268:$E$4507,$E4326,$D$4268:$D$4507,"&lt;"&amp;$D4326))</f>
        <v>0</v>
      </c>
      <c r="H4326" s="55">
        <f>IF($D4326="",0,COUNTIFS(Inputs!$J$80:$J$138,Inputs!$J$138,$E$4268:$E4326,$E4326,$D$4268:$D4326,$D4326))</f>
        <v>1</v>
      </c>
      <c r="I4326" s="55">
        <f t="shared" si="1544"/>
        <v>1</v>
      </c>
    </row>
    <row r="4327" spans="1:9" x14ac:dyDescent="0.25">
      <c r="A4327" s="55">
        <f>IF(OR(Inputs!$J$139&lt;&gt;nr_SelKey,Inputs!$E$139&lt;&gt;"planned",Inputs!$C$139=""),0,COUNTIFS(Inputs!$J$80:$J$139,nr_SelKey,Inputs!$E$80:$E$139,"planned"))</f>
        <v>0</v>
      </c>
      <c r="B4327" s="52">
        <f>IF($A4327=0,N(Inputs!$K$139),IF(ISBLANK(INDEX(att_actpct,$A4327)),N(Inputs!$K$139),INDEX(att_actpct,$A4327)))</f>
        <v>0.04</v>
      </c>
      <c r="C4327" s="53">
        <f>IF(Inputs!$C$139="",0,IF(1+$B4327&gt;0,LN(1+$B4327),0))</f>
        <v>3.9220713153281329E-2</v>
      </c>
      <c r="D4327" s="54">
        <f>IF(Inputs!$C$139="","",IF($A4327=0,Inputs!$C$139,IF(ISBLANK(INDEX(att_actdate,$A4327)),Inputs!$C$139,INDEX(att_actdate,$A4327))))</f>
        <v>46600</v>
      </c>
      <c r="E4327" s="54">
        <f t="shared" si="1542"/>
        <v>46600</v>
      </c>
      <c r="F4327" s="55">
        <f t="shared" si="1543"/>
        <v>31</v>
      </c>
      <c r="G4327" s="55">
        <f>IF($D4327="",0,COUNTIFS(rl_key,Inputs!$J$139,$E$4268:$E$4507,$E4327,$D$4268:$D$4507,"&lt;"&amp;$D4327))</f>
        <v>0</v>
      </c>
      <c r="H4327" s="55">
        <f>IF($D4327="",0,COUNTIFS(Inputs!$J$80:$J$139,Inputs!$J$139,$E$4268:$E4327,$E4327,$D$4268:$D4327,$D4327))</f>
        <v>1</v>
      </c>
      <c r="I4327" s="55">
        <f t="shared" si="1544"/>
        <v>1</v>
      </c>
    </row>
    <row r="4328" spans="1:9" x14ac:dyDescent="0.25">
      <c r="A4328" s="55">
        <f>IF(OR(Inputs!$J$140&lt;&gt;nr_SelKey,Inputs!$E$140&lt;&gt;"planned",Inputs!$C$140=""),0,COUNTIFS(Inputs!$J$80:$J$140,nr_SelKey,Inputs!$E$80:$E$140,"planned"))</f>
        <v>0</v>
      </c>
      <c r="B4328" s="52">
        <f>IF($A4328=0,N(Inputs!$K$140),IF(ISBLANK(INDEX(att_actpct,$A4328)),N(Inputs!$K$140),INDEX(att_actpct,$A4328)))</f>
        <v>0.05</v>
      </c>
      <c r="C4328" s="53">
        <f>IF(Inputs!$C$140="",0,IF(1+$B4328&gt;0,LN(1+$B4328),0))</f>
        <v>4.8790164169432049E-2</v>
      </c>
      <c r="D4328" s="54">
        <f>IF(Inputs!$C$140="","",IF($A4328=0,Inputs!$C$140,IF(ISBLANK(INDEX(att_actdate,$A4328)),Inputs!$C$140,INDEX(att_actdate,$A4328))))</f>
        <v>46327</v>
      </c>
      <c r="E4328" s="54">
        <f t="shared" si="1542"/>
        <v>46327</v>
      </c>
      <c r="F4328" s="55">
        <f t="shared" si="1543"/>
        <v>30</v>
      </c>
      <c r="G4328" s="55">
        <f>IF($D4328="",0,COUNTIFS(rl_key,Inputs!$J$140,$E$4268:$E$4507,$E4328,$D$4268:$D$4507,"&lt;"&amp;$D4328))</f>
        <v>0</v>
      </c>
      <c r="H4328" s="55">
        <f>IF($D4328="",0,COUNTIFS(Inputs!$J$80:$J$140,Inputs!$J$140,$E$4268:$E4328,$E4328,$D$4268:$D4328,$D4328))</f>
        <v>1</v>
      </c>
      <c r="I4328" s="55">
        <f t="shared" si="1544"/>
        <v>1</v>
      </c>
    </row>
    <row r="4329" spans="1:9" x14ac:dyDescent="0.25">
      <c r="A4329" s="55">
        <f>IF(OR(Inputs!$J$141&lt;&gt;nr_SelKey,Inputs!$E$141&lt;&gt;"planned",Inputs!$C$141=""),0,COUNTIFS(Inputs!$J$80:$J$141,nr_SelKey,Inputs!$E$80:$E$141,"planned"))</f>
        <v>0</v>
      </c>
      <c r="B4329" s="52">
        <f>IF($A4329=0,N(Inputs!$K$141),IF(ISBLANK(INDEX(att_actpct,$A4329)),N(Inputs!$K$141),INDEX(att_actpct,$A4329)))</f>
        <v>0.02</v>
      </c>
      <c r="C4329" s="53">
        <f>IF(Inputs!$C$141="",0,IF(1+$B4329&gt;0,LN(1+$B4329),0))</f>
        <v>1.980262729617973E-2</v>
      </c>
      <c r="D4329" s="54">
        <f>IF(Inputs!$C$141="","",IF($A4329=0,Inputs!$C$141,IF(ISBLANK(INDEX(att_actdate,$A4329)),Inputs!$C$141,INDEX(att_actdate,$A4329))))</f>
        <v>46023</v>
      </c>
      <c r="E4329" s="54">
        <f t="shared" si="1542"/>
        <v>46023</v>
      </c>
      <c r="F4329" s="55">
        <f t="shared" si="1543"/>
        <v>31</v>
      </c>
      <c r="G4329" s="55">
        <f>IF($D4329="",0,COUNTIFS(rl_key,Inputs!$J$141,$E$4268:$E$4507,$E4329,$D$4268:$D$4507,"&lt;"&amp;$D4329))</f>
        <v>0</v>
      </c>
      <c r="H4329" s="55">
        <f>IF($D4329="",0,COUNTIFS(Inputs!$J$80:$J$141,Inputs!$J$141,$E$4268:$E4329,$E4329,$D$4268:$D4329,$D4329))</f>
        <v>1</v>
      </c>
      <c r="I4329" s="55">
        <f t="shared" si="1544"/>
        <v>1</v>
      </c>
    </row>
    <row r="4330" spans="1:9" x14ac:dyDescent="0.25">
      <c r="A4330" s="55">
        <f>IF(OR(Inputs!$J$142&lt;&gt;nr_SelKey,Inputs!$E$142&lt;&gt;"planned",Inputs!$C$142=""),0,COUNTIFS(Inputs!$J$80:$J$142,nr_SelKey,Inputs!$E$80:$E$142,"planned"))</f>
        <v>0</v>
      </c>
      <c r="B4330" s="52">
        <f>IF($A4330=0,N(Inputs!$K$142),IF(ISBLANK(INDEX(att_actpct,$A4330)),N(Inputs!$K$142),INDEX(att_actpct,$A4330)))</f>
        <v>0.03</v>
      </c>
      <c r="C4330" s="53">
        <f>IF(Inputs!$C$142="",0,IF(1+$B4330&gt;0,LN(1+$B4330),0))</f>
        <v>2.9558802241544429E-2</v>
      </c>
      <c r="D4330" s="54">
        <f>IF(Inputs!$C$142="","",IF($A4330=0,Inputs!$C$142,IF(ISBLANK(INDEX(att_actdate,$A4330)),Inputs!$C$142,INDEX(att_actdate,$A4330))))</f>
        <v>46054</v>
      </c>
      <c r="E4330" s="54">
        <f t="shared" si="1542"/>
        <v>46054</v>
      </c>
      <c r="F4330" s="55">
        <f t="shared" si="1543"/>
        <v>28</v>
      </c>
      <c r="G4330" s="55">
        <f>IF($D4330="",0,COUNTIFS(rl_key,Inputs!$J$142,$E$4268:$E$4507,$E4330,$D$4268:$D$4507,"&lt;"&amp;$D4330))</f>
        <v>0</v>
      </c>
      <c r="H4330" s="55">
        <f>IF($D4330="",0,COUNTIFS(Inputs!$J$80:$J$142,Inputs!$J$142,$E$4268:$E4330,$E4330,$D$4268:$D4330,$D4330))</f>
        <v>1</v>
      </c>
      <c r="I4330" s="55">
        <f t="shared" si="1544"/>
        <v>1</v>
      </c>
    </row>
    <row r="4331" spans="1:9" x14ac:dyDescent="0.25">
      <c r="A4331" s="55">
        <f>IF(OR(Inputs!$J$143&lt;&gt;nr_SelKey,Inputs!$E$143&lt;&gt;"planned",Inputs!$C$143=""),0,COUNTIFS(Inputs!$J$80:$J$143,nr_SelKey,Inputs!$E$80:$E$143,"planned"))</f>
        <v>0</v>
      </c>
      <c r="B4331" s="52">
        <f>IF($A4331=0,N(Inputs!$K$143),IF(ISBLANK(INDEX(att_actpct,$A4331)),N(Inputs!$K$143),INDEX(att_actpct,$A4331)))</f>
        <v>0.04</v>
      </c>
      <c r="C4331" s="53">
        <f>IF(Inputs!$C$143="",0,IF(1+$B4331&gt;0,LN(1+$B4331),0))</f>
        <v>3.9220713153281329E-2</v>
      </c>
      <c r="D4331" s="54">
        <f>IF(Inputs!$C$143="","",IF($A4331=0,Inputs!$C$143,IF(ISBLANK(INDEX(att_actdate,$A4331)),Inputs!$C$143,INDEX(att_actdate,$A4331))))</f>
        <v>46419</v>
      </c>
      <c r="E4331" s="54">
        <f t="shared" si="1542"/>
        <v>46419</v>
      </c>
      <c r="F4331" s="55">
        <f t="shared" si="1543"/>
        <v>28</v>
      </c>
      <c r="G4331" s="55">
        <f>IF($D4331="",0,COUNTIFS(rl_key,Inputs!$J$143,$E$4268:$E$4507,$E4331,$D$4268:$D$4507,"&lt;"&amp;$D4331))</f>
        <v>0</v>
      </c>
      <c r="H4331" s="55">
        <f>IF($D4331="",0,COUNTIFS(Inputs!$J$80:$J$143,Inputs!$J$143,$E$4268:$E4331,$E4331,$D$4268:$D4331,$D4331))</f>
        <v>1</v>
      </c>
      <c r="I4331" s="55">
        <f t="shared" si="1544"/>
        <v>1</v>
      </c>
    </row>
    <row r="4332" spans="1:9" x14ac:dyDescent="0.25">
      <c r="A4332" s="55">
        <f>IF(OR(Inputs!$J$144&lt;&gt;nr_SelKey,Inputs!$E$144&lt;&gt;"planned",Inputs!$C$144=""),0,COUNTIFS(Inputs!$J$80:$J$144,nr_SelKey,Inputs!$E$80:$E$144,"planned"))</f>
        <v>0</v>
      </c>
      <c r="B4332" s="52">
        <f>IF($A4332=0,N(Inputs!$K$144),IF(ISBLANK(INDEX(att_actpct,$A4332)),N(Inputs!$K$144),INDEX(att_actpct,$A4332)))</f>
        <v>0</v>
      </c>
      <c r="C4332" s="53">
        <f>IF(Inputs!$C$144="",0,IF(1+$B4332&gt;0,LN(1+$B4332),0))</f>
        <v>0</v>
      </c>
      <c r="D4332" s="54" t="str">
        <f>IF(Inputs!$C$144="","",IF($A4332=0,Inputs!$C$144,IF(ISBLANK(INDEX(att_actdate,$A4332)),Inputs!$C$144,INDEX(att_actdate,$A4332))))</f>
        <v/>
      </c>
      <c r="E4332" s="54" t="str">
        <f t="shared" ref="E4332:E4395" si="1545">IF($D4332="","",DATE(YEAR($D4332),MONTH($D4332),1))</f>
        <v/>
      </c>
      <c r="F4332" s="55">
        <f t="shared" ref="F4332:F4395" si="1546">IF($D4332="",0,EOMONTH($D4332,0)-$D4332+1)</f>
        <v>0</v>
      </c>
      <c r="G4332" s="55">
        <f>IF($D4332="",0,COUNTIFS(rl_key,Inputs!$J$144,$E$4268:$E$4507,$E4332,$D$4268:$D$4507,"&lt;"&amp;$D4332))</f>
        <v>0</v>
      </c>
      <c r="H4332" s="55">
        <f>IF($D4332="",0,COUNTIFS(Inputs!$J$80:$J$144,Inputs!$J$144,$E$4268:$E4332,$E4332,$D$4268:$D4332,$D4332))</f>
        <v>0</v>
      </c>
      <c r="I4332" s="55">
        <f t="shared" ref="I4332:I4395" si="1547">IF($D4332="",0,IF(AND($G4332=0,$H4332=1),1,0))</f>
        <v>0</v>
      </c>
    </row>
    <row r="4333" spans="1:9" x14ac:dyDescent="0.25">
      <c r="A4333" s="55">
        <f>IF(OR(Inputs!$J$145&lt;&gt;nr_SelKey,Inputs!$E$145&lt;&gt;"planned",Inputs!$C$145=""),0,COUNTIFS(Inputs!$J$80:$J$145,nr_SelKey,Inputs!$E$80:$E$145,"planned"))</f>
        <v>0</v>
      </c>
      <c r="B4333" s="52">
        <f>IF($A4333=0,N(Inputs!$K$145),IF(ISBLANK(INDEX(att_actpct,$A4333)),N(Inputs!$K$145),INDEX(att_actpct,$A4333)))</f>
        <v>0</v>
      </c>
      <c r="C4333" s="53">
        <f>IF(Inputs!$C$145="",0,IF(1+$B4333&gt;0,LN(1+$B4333),0))</f>
        <v>0</v>
      </c>
      <c r="D4333" s="54" t="str">
        <f>IF(Inputs!$C$145="","",IF($A4333=0,Inputs!$C$145,IF(ISBLANK(INDEX(att_actdate,$A4333)),Inputs!$C$145,INDEX(att_actdate,$A4333))))</f>
        <v/>
      </c>
      <c r="E4333" s="54" t="str">
        <f t="shared" si="1545"/>
        <v/>
      </c>
      <c r="F4333" s="55">
        <f t="shared" si="1546"/>
        <v>0</v>
      </c>
      <c r="G4333" s="55">
        <f>IF($D4333="",0,COUNTIFS(rl_key,Inputs!$J$145,$E$4268:$E$4507,$E4333,$D$4268:$D$4507,"&lt;"&amp;$D4333))</f>
        <v>0</v>
      </c>
      <c r="H4333" s="55">
        <f>IF($D4333="",0,COUNTIFS(Inputs!$J$80:$J$145,Inputs!$J$145,$E$4268:$E4333,$E4333,$D$4268:$D4333,$D4333))</f>
        <v>0</v>
      </c>
      <c r="I4333" s="55">
        <f t="shared" si="1547"/>
        <v>0</v>
      </c>
    </row>
    <row r="4334" spans="1:9" x14ac:dyDescent="0.25">
      <c r="A4334" s="55">
        <f>IF(OR(Inputs!$J$146&lt;&gt;nr_SelKey,Inputs!$E$146&lt;&gt;"planned",Inputs!$C$146=""),0,COUNTIFS(Inputs!$J$80:$J$146,nr_SelKey,Inputs!$E$80:$E$146,"planned"))</f>
        <v>0</v>
      </c>
      <c r="B4334" s="52">
        <f>IF($A4334=0,N(Inputs!$K$146),IF(ISBLANK(INDEX(att_actpct,$A4334)),N(Inputs!$K$146),INDEX(att_actpct,$A4334)))</f>
        <v>0</v>
      </c>
      <c r="C4334" s="53">
        <f>IF(Inputs!$C$146="",0,IF(1+$B4334&gt;0,LN(1+$B4334),0))</f>
        <v>0</v>
      </c>
      <c r="D4334" s="54" t="str">
        <f>IF(Inputs!$C$146="","",IF($A4334=0,Inputs!$C$146,IF(ISBLANK(INDEX(att_actdate,$A4334)),Inputs!$C$146,INDEX(att_actdate,$A4334))))</f>
        <v/>
      </c>
      <c r="E4334" s="54" t="str">
        <f t="shared" si="1545"/>
        <v/>
      </c>
      <c r="F4334" s="55">
        <f t="shared" si="1546"/>
        <v>0</v>
      </c>
      <c r="G4334" s="55">
        <f>IF($D4334="",0,COUNTIFS(rl_key,Inputs!$J$146,$E$4268:$E$4507,$E4334,$D$4268:$D$4507,"&lt;"&amp;$D4334))</f>
        <v>0</v>
      </c>
      <c r="H4334" s="55">
        <f>IF($D4334="",0,COUNTIFS(Inputs!$J$80:$J$146,Inputs!$J$146,$E$4268:$E4334,$E4334,$D$4268:$D4334,$D4334))</f>
        <v>0</v>
      </c>
      <c r="I4334" s="55">
        <f t="shared" si="1547"/>
        <v>0</v>
      </c>
    </row>
    <row r="4335" spans="1:9" x14ac:dyDescent="0.25">
      <c r="A4335" s="55">
        <f>IF(OR(Inputs!$J$147&lt;&gt;nr_SelKey,Inputs!$E$147&lt;&gt;"planned",Inputs!$C$147=""),0,COUNTIFS(Inputs!$J$80:$J$147,nr_SelKey,Inputs!$E$80:$E$147,"planned"))</f>
        <v>0</v>
      </c>
      <c r="B4335" s="52">
        <f>IF($A4335=0,N(Inputs!$K$147),IF(ISBLANK(INDEX(att_actpct,$A4335)),N(Inputs!$K$147),INDEX(att_actpct,$A4335)))</f>
        <v>0</v>
      </c>
      <c r="C4335" s="53">
        <f>IF(Inputs!$C$147="",0,IF(1+$B4335&gt;0,LN(1+$B4335),0))</f>
        <v>0</v>
      </c>
      <c r="D4335" s="54" t="str">
        <f>IF(Inputs!$C$147="","",IF($A4335=0,Inputs!$C$147,IF(ISBLANK(INDEX(att_actdate,$A4335)),Inputs!$C$147,INDEX(att_actdate,$A4335))))</f>
        <v/>
      </c>
      <c r="E4335" s="54" t="str">
        <f t="shared" si="1545"/>
        <v/>
      </c>
      <c r="F4335" s="55">
        <f t="shared" si="1546"/>
        <v>0</v>
      </c>
      <c r="G4335" s="55">
        <f>IF($D4335="",0,COUNTIFS(rl_key,Inputs!$J$147,$E$4268:$E$4507,$E4335,$D$4268:$D$4507,"&lt;"&amp;$D4335))</f>
        <v>0</v>
      </c>
      <c r="H4335" s="55">
        <f>IF($D4335="",0,COUNTIFS(Inputs!$J$80:$J$147,Inputs!$J$147,$E$4268:$E4335,$E4335,$D$4268:$D4335,$D4335))</f>
        <v>0</v>
      </c>
      <c r="I4335" s="55">
        <f t="shared" si="1547"/>
        <v>0</v>
      </c>
    </row>
    <row r="4336" spans="1:9" x14ac:dyDescent="0.25">
      <c r="A4336" s="55">
        <f>IF(OR(Inputs!$J$148&lt;&gt;nr_SelKey,Inputs!$E$148&lt;&gt;"planned",Inputs!$C$148=""),0,COUNTIFS(Inputs!$J$80:$J$148,nr_SelKey,Inputs!$E$80:$E$148,"planned"))</f>
        <v>0</v>
      </c>
      <c r="B4336" s="52">
        <f>IF($A4336=0,N(Inputs!$K$148),IF(ISBLANK(INDEX(att_actpct,$A4336)),N(Inputs!$K$148),INDEX(att_actpct,$A4336)))</f>
        <v>0</v>
      </c>
      <c r="C4336" s="53">
        <f>IF(Inputs!$C$148="",0,IF(1+$B4336&gt;0,LN(1+$B4336),0))</f>
        <v>0</v>
      </c>
      <c r="D4336" s="54" t="str">
        <f>IF(Inputs!$C$148="","",IF($A4336=0,Inputs!$C$148,IF(ISBLANK(INDEX(att_actdate,$A4336)),Inputs!$C$148,INDEX(att_actdate,$A4336))))</f>
        <v/>
      </c>
      <c r="E4336" s="54" t="str">
        <f t="shared" si="1545"/>
        <v/>
      </c>
      <c r="F4336" s="55">
        <f t="shared" si="1546"/>
        <v>0</v>
      </c>
      <c r="G4336" s="55">
        <f>IF($D4336="",0,COUNTIFS(rl_key,Inputs!$J$148,$E$4268:$E$4507,$E4336,$D$4268:$D$4507,"&lt;"&amp;$D4336))</f>
        <v>0</v>
      </c>
      <c r="H4336" s="55">
        <f>IF($D4336="",0,COUNTIFS(Inputs!$J$80:$J$148,Inputs!$J$148,$E$4268:$E4336,$E4336,$D$4268:$D4336,$D4336))</f>
        <v>0</v>
      </c>
      <c r="I4336" s="55">
        <f t="shared" si="1547"/>
        <v>0</v>
      </c>
    </row>
    <row r="4337" spans="1:9" x14ac:dyDescent="0.25">
      <c r="A4337" s="55">
        <f>IF(OR(Inputs!$J$149&lt;&gt;nr_SelKey,Inputs!$E$149&lt;&gt;"planned",Inputs!$C$149=""),0,COUNTIFS(Inputs!$J$80:$J$149,nr_SelKey,Inputs!$E$80:$E$149,"planned"))</f>
        <v>0</v>
      </c>
      <c r="B4337" s="52">
        <f>IF($A4337=0,N(Inputs!$K$149),IF(ISBLANK(INDEX(att_actpct,$A4337)),N(Inputs!$K$149),INDEX(att_actpct,$A4337)))</f>
        <v>0</v>
      </c>
      <c r="C4337" s="53">
        <f>IF(Inputs!$C$149="",0,IF(1+$B4337&gt;0,LN(1+$B4337),0))</f>
        <v>0</v>
      </c>
      <c r="D4337" s="54" t="str">
        <f>IF(Inputs!$C$149="","",IF($A4337=0,Inputs!$C$149,IF(ISBLANK(INDEX(att_actdate,$A4337)),Inputs!$C$149,INDEX(att_actdate,$A4337))))</f>
        <v/>
      </c>
      <c r="E4337" s="54" t="str">
        <f t="shared" si="1545"/>
        <v/>
      </c>
      <c r="F4337" s="55">
        <f t="shared" si="1546"/>
        <v>0</v>
      </c>
      <c r="G4337" s="55">
        <f>IF($D4337="",0,COUNTIFS(rl_key,Inputs!$J$149,$E$4268:$E$4507,$E4337,$D$4268:$D$4507,"&lt;"&amp;$D4337))</f>
        <v>0</v>
      </c>
      <c r="H4337" s="55">
        <f>IF($D4337="",0,COUNTIFS(Inputs!$J$80:$J$149,Inputs!$J$149,$E$4268:$E4337,$E4337,$D$4268:$D4337,$D4337))</f>
        <v>0</v>
      </c>
      <c r="I4337" s="55">
        <f t="shared" si="1547"/>
        <v>0</v>
      </c>
    </row>
    <row r="4338" spans="1:9" x14ac:dyDescent="0.25">
      <c r="A4338" s="55">
        <f>IF(OR(Inputs!$J$150&lt;&gt;nr_SelKey,Inputs!$E$150&lt;&gt;"planned",Inputs!$C$150=""),0,COUNTIFS(Inputs!$J$80:$J$150,nr_SelKey,Inputs!$E$80:$E$150,"planned"))</f>
        <v>0</v>
      </c>
      <c r="B4338" s="52">
        <f>IF($A4338=0,N(Inputs!$K$150),IF(ISBLANK(INDEX(att_actpct,$A4338)),N(Inputs!$K$150),INDEX(att_actpct,$A4338)))</f>
        <v>0</v>
      </c>
      <c r="C4338" s="53">
        <f>IF(Inputs!$C$150="",0,IF(1+$B4338&gt;0,LN(1+$B4338),0))</f>
        <v>0</v>
      </c>
      <c r="D4338" s="54" t="str">
        <f>IF(Inputs!$C$150="","",IF($A4338=0,Inputs!$C$150,IF(ISBLANK(INDEX(att_actdate,$A4338)),Inputs!$C$150,INDEX(att_actdate,$A4338))))</f>
        <v/>
      </c>
      <c r="E4338" s="54" t="str">
        <f t="shared" si="1545"/>
        <v/>
      </c>
      <c r="F4338" s="55">
        <f t="shared" si="1546"/>
        <v>0</v>
      </c>
      <c r="G4338" s="55">
        <f>IF($D4338="",0,COUNTIFS(rl_key,Inputs!$J$150,$E$4268:$E$4507,$E4338,$D$4268:$D$4507,"&lt;"&amp;$D4338))</f>
        <v>0</v>
      </c>
      <c r="H4338" s="55">
        <f>IF($D4338="",0,COUNTIFS(Inputs!$J$80:$J$150,Inputs!$J$150,$E$4268:$E4338,$E4338,$D$4268:$D4338,$D4338))</f>
        <v>0</v>
      </c>
      <c r="I4338" s="55">
        <f t="shared" si="1547"/>
        <v>0</v>
      </c>
    </row>
    <row r="4339" spans="1:9" x14ac:dyDescent="0.25">
      <c r="A4339" s="55">
        <f>IF(OR(Inputs!$J$151&lt;&gt;nr_SelKey,Inputs!$E$151&lt;&gt;"planned",Inputs!$C$151=""),0,COUNTIFS(Inputs!$J$80:$J$151,nr_SelKey,Inputs!$E$80:$E$151,"planned"))</f>
        <v>0</v>
      </c>
      <c r="B4339" s="52">
        <f>IF($A4339=0,N(Inputs!$K$151),IF(ISBLANK(INDEX(att_actpct,$A4339)),N(Inputs!$K$151),INDEX(att_actpct,$A4339)))</f>
        <v>0</v>
      </c>
      <c r="C4339" s="53">
        <f>IF(Inputs!$C$151="",0,IF(1+$B4339&gt;0,LN(1+$B4339),0))</f>
        <v>0</v>
      </c>
      <c r="D4339" s="54" t="str">
        <f>IF(Inputs!$C$151="","",IF($A4339=0,Inputs!$C$151,IF(ISBLANK(INDEX(att_actdate,$A4339)),Inputs!$C$151,INDEX(att_actdate,$A4339))))</f>
        <v/>
      </c>
      <c r="E4339" s="54" t="str">
        <f t="shared" si="1545"/>
        <v/>
      </c>
      <c r="F4339" s="55">
        <f t="shared" si="1546"/>
        <v>0</v>
      </c>
      <c r="G4339" s="55">
        <f>IF($D4339="",0,COUNTIFS(rl_key,Inputs!$J$151,$E$4268:$E$4507,$E4339,$D$4268:$D$4507,"&lt;"&amp;$D4339))</f>
        <v>0</v>
      </c>
      <c r="H4339" s="55">
        <f>IF($D4339="",0,COUNTIFS(Inputs!$J$80:$J$151,Inputs!$J$151,$E$4268:$E4339,$E4339,$D$4268:$D4339,$D4339))</f>
        <v>0</v>
      </c>
      <c r="I4339" s="55">
        <f t="shared" si="1547"/>
        <v>0</v>
      </c>
    </row>
    <row r="4340" spans="1:9" x14ac:dyDescent="0.25">
      <c r="A4340" s="55">
        <f>IF(OR(Inputs!$J$152&lt;&gt;nr_SelKey,Inputs!$E$152&lt;&gt;"planned",Inputs!$C$152=""),0,COUNTIFS(Inputs!$J$80:$J$152,nr_SelKey,Inputs!$E$80:$E$152,"planned"))</f>
        <v>0</v>
      </c>
      <c r="B4340" s="52">
        <f>IF($A4340=0,N(Inputs!$K$152),IF(ISBLANK(INDEX(att_actpct,$A4340)),N(Inputs!$K$152),INDEX(att_actpct,$A4340)))</f>
        <v>0</v>
      </c>
      <c r="C4340" s="53">
        <f>IF(Inputs!$C$152="",0,IF(1+$B4340&gt;0,LN(1+$B4340),0))</f>
        <v>0</v>
      </c>
      <c r="D4340" s="54" t="str">
        <f>IF(Inputs!$C$152="","",IF($A4340=0,Inputs!$C$152,IF(ISBLANK(INDEX(att_actdate,$A4340)),Inputs!$C$152,INDEX(att_actdate,$A4340))))</f>
        <v/>
      </c>
      <c r="E4340" s="54" t="str">
        <f t="shared" si="1545"/>
        <v/>
      </c>
      <c r="F4340" s="55">
        <f t="shared" si="1546"/>
        <v>0</v>
      </c>
      <c r="G4340" s="55">
        <f>IF($D4340="",0,COUNTIFS(rl_key,Inputs!$J$152,$E$4268:$E$4507,$E4340,$D$4268:$D$4507,"&lt;"&amp;$D4340))</f>
        <v>0</v>
      </c>
      <c r="H4340" s="55">
        <f>IF($D4340="",0,COUNTIFS(Inputs!$J$80:$J$152,Inputs!$J$152,$E$4268:$E4340,$E4340,$D$4268:$D4340,$D4340))</f>
        <v>0</v>
      </c>
      <c r="I4340" s="55">
        <f t="shared" si="1547"/>
        <v>0</v>
      </c>
    </row>
    <row r="4341" spans="1:9" x14ac:dyDescent="0.25">
      <c r="A4341" s="55">
        <f>IF(OR(Inputs!$J$153&lt;&gt;nr_SelKey,Inputs!$E$153&lt;&gt;"planned",Inputs!$C$153=""),0,COUNTIFS(Inputs!$J$80:$J$153,nr_SelKey,Inputs!$E$80:$E$153,"planned"))</f>
        <v>0</v>
      </c>
      <c r="B4341" s="52">
        <f>IF($A4341=0,N(Inputs!$K$153),IF(ISBLANK(INDEX(att_actpct,$A4341)),N(Inputs!$K$153),INDEX(att_actpct,$A4341)))</f>
        <v>0</v>
      </c>
      <c r="C4341" s="53">
        <f>IF(Inputs!$C$153="",0,IF(1+$B4341&gt;0,LN(1+$B4341),0))</f>
        <v>0</v>
      </c>
      <c r="D4341" s="54" t="str">
        <f>IF(Inputs!$C$153="","",IF($A4341=0,Inputs!$C$153,IF(ISBLANK(INDEX(att_actdate,$A4341)),Inputs!$C$153,INDEX(att_actdate,$A4341))))</f>
        <v/>
      </c>
      <c r="E4341" s="54" t="str">
        <f t="shared" si="1545"/>
        <v/>
      </c>
      <c r="F4341" s="55">
        <f t="shared" si="1546"/>
        <v>0</v>
      </c>
      <c r="G4341" s="55">
        <f>IF($D4341="",0,COUNTIFS(rl_key,Inputs!$J$153,$E$4268:$E$4507,$E4341,$D$4268:$D$4507,"&lt;"&amp;$D4341))</f>
        <v>0</v>
      </c>
      <c r="H4341" s="55">
        <f>IF($D4341="",0,COUNTIFS(Inputs!$J$80:$J$153,Inputs!$J$153,$E$4268:$E4341,$E4341,$D$4268:$D4341,$D4341))</f>
        <v>0</v>
      </c>
      <c r="I4341" s="55">
        <f t="shared" si="1547"/>
        <v>0</v>
      </c>
    </row>
    <row r="4342" spans="1:9" x14ac:dyDescent="0.25">
      <c r="A4342" s="55">
        <f>IF(OR(Inputs!$J$154&lt;&gt;nr_SelKey,Inputs!$E$154&lt;&gt;"planned",Inputs!$C$154=""),0,COUNTIFS(Inputs!$J$80:$J$154,nr_SelKey,Inputs!$E$80:$E$154,"planned"))</f>
        <v>0</v>
      </c>
      <c r="B4342" s="52">
        <f>IF($A4342=0,N(Inputs!$K$154),IF(ISBLANK(INDEX(att_actpct,$A4342)),N(Inputs!$K$154),INDEX(att_actpct,$A4342)))</f>
        <v>0</v>
      </c>
      <c r="C4342" s="53">
        <f>IF(Inputs!$C$154="",0,IF(1+$B4342&gt;0,LN(1+$B4342),0))</f>
        <v>0</v>
      </c>
      <c r="D4342" s="54" t="str">
        <f>IF(Inputs!$C$154="","",IF($A4342=0,Inputs!$C$154,IF(ISBLANK(INDEX(att_actdate,$A4342)),Inputs!$C$154,INDEX(att_actdate,$A4342))))</f>
        <v/>
      </c>
      <c r="E4342" s="54" t="str">
        <f t="shared" si="1545"/>
        <v/>
      </c>
      <c r="F4342" s="55">
        <f t="shared" si="1546"/>
        <v>0</v>
      </c>
      <c r="G4342" s="55">
        <f>IF($D4342="",0,COUNTIFS(rl_key,Inputs!$J$154,$E$4268:$E$4507,$E4342,$D$4268:$D$4507,"&lt;"&amp;$D4342))</f>
        <v>0</v>
      </c>
      <c r="H4342" s="55">
        <f>IF($D4342="",0,COUNTIFS(Inputs!$J$80:$J$154,Inputs!$J$154,$E$4268:$E4342,$E4342,$D$4268:$D4342,$D4342))</f>
        <v>0</v>
      </c>
      <c r="I4342" s="55">
        <f t="shared" si="1547"/>
        <v>0</v>
      </c>
    </row>
    <row r="4343" spans="1:9" x14ac:dyDescent="0.25">
      <c r="A4343" s="55">
        <f>IF(OR(Inputs!$J$155&lt;&gt;nr_SelKey,Inputs!$E$155&lt;&gt;"planned",Inputs!$C$155=""),0,COUNTIFS(Inputs!$J$80:$J$155,nr_SelKey,Inputs!$E$80:$E$155,"planned"))</f>
        <v>0</v>
      </c>
      <c r="B4343" s="52">
        <f>IF($A4343=0,N(Inputs!$K$155),IF(ISBLANK(INDEX(att_actpct,$A4343)),N(Inputs!$K$155),INDEX(att_actpct,$A4343)))</f>
        <v>0</v>
      </c>
      <c r="C4343" s="53">
        <f>IF(Inputs!$C$155="",0,IF(1+$B4343&gt;0,LN(1+$B4343),0))</f>
        <v>0</v>
      </c>
      <c r="D4343" s="54" t="str">
        <f>IF(Inputs!$C$155="","",IF($A4343=0,Inputs!$C$155,IF(ISBLANK(INDEX(att_actdate,$A4343)),Inputs!$C$155,INDEX(att_actdate,$A4343))))</f>
        <v/>
      </c>
      <c r="E4343" s="54" t="str">
        <f t="shared" si="1545"/>
        <v/>
      </c>
      <c r="F4343" s="55">
        <f t="shared" si="1546"/>
        <v>0</v>
      </c>
      <c r="G4343" s="55">
        <f>IF($D4343="",0,COUNTIFS(rl_key,Inputs!$J$155,$E$4268:$E$4507,$E4343,$D$4268:$D$4507,"&lt;"&amp;$D4343))</f>
        <v>0</v>
      </c>
      <c r="H4343" s="55">
        <f>IF($D4343="",0,COUNTIFS(Inputs!$J$80:$J$155,Inputs!$J$155,$E$4268:$E4343,$E4343,$D$4268:$D4343,$D4343))</f>
        <v>0</v>
      </c>
      <c r="I4343" s="55">
        <f t="shared" si="1547"/>
        <v>0</v>
      </c>
    </row>
    <row r="4344" spans="1:9" x14ac:dyDescent="0.25">
      <c r="A4344" s="55">
        <f>IF(OR(Inputs!$J$156&lt;&gt;nr_SelKey,Inputs!$E$156&lt;&gt;"planned",Inputs!$C$156=""),0,COUNTIFS(Inputs!$J$80:$J$156,nr_SelKey,Inputs!$E$80:$E$156,"planned"))</f>
        <v>0</v>
      </c>
      <c r="B4344" s="52">
        <f>IF($A4344=0,N(Inputs!$K$156),IF(ISBLANK(INDEX(att_actpct,$A4344)),N(Inputs!$K$156),INDEX(att_actpct,$A4344)))</f>
        <v>0</v>
      </c>
      <c r="C4344" s="53">
        <f>IF(Inputs!$C$156="",0,IF(1+$B4344&gt;0,LN(1+$B4344),0))</f>
        <v>0</v>
      </c>
      <c r="D4344" s="54" t="str">
        <f>IF(Inputs!$C$156="","",IF($A4344=0,Inputs!$C$156,IF(ISBLANK(INDEX(att_actdate,$A4344)),Inputs!$C$156,INDEX(att_actdate,$A4344))))</f>
        <v/>
      </c>
      <c r="E4344" s="54" t="str">
        <f t="shared" si="1545"/>
        <v/>
      </c>
      <c r="F4344" s="55">
        <f t="shared" si="1546"/>
        <v>0</v>
      </c>
      <c r="G4344" s="55">
        <f>IF($D4344="",0,COUNTIFS(rl_key,Inputs!$J$156,$E$4268:$E$4507,$E4344,$D$4268:$D$4507,"&lt;"&amp;$D4344))</f>
        <v>0</v>
      </c>
      <c r="H4344" s="55">
        <f>IF($D4344="",0,COUNTIFS(Inputs!$J$80:$J$156,Inputs!$J$156,$E$4268:$E4344,$E4344,$D$4268:$D4344,$D4344))</f>
        <v>0</v>
      </c>
      <c r="I4344" s="55">
        <f t="shared" si="1547"/>
        <v>0</v>
      </c>
    </row>
    <row r="4345" spans="1:9" x14ac:dyDescent="0.25">
      <c r="A4345" s="55">
        <f>IF(OR(Inputs!$J$157&lt;&gt;nr_SelKey,Inputs!$E$157&lt;&gt;"planned",Inputs!$C$157=""),0,COUNTIFS(Inputs!$J$80:$J$157,nr_SelKey,Inputs!$E$80:$E$157,"planned"))</f>
        <v>0</v>
      </c>
      <c r="B4345" s="52">
        <f>IF($A4345=0,N(Inputs!$K$157),IF(ISBLANK(INDEX(att_actpct,$A4345)),N(Inputs!$K$157),INDEX(att_actpct,$A4345)))</f>
        <v>0</v>
      </c>
      <c r="C4345" s="53">
        <f>IF(Inputs!$C$157="",0,IF(1+$B4345&gt;0,LN(1+$B4345),0))</f>
        <v>0</v>
      </c>
      <c r="D4345" s="54" t="str">
        <f>IF(Inputs!$C$157="","",IF($A4345=0,Inputs!$C$157,IF(ISBLANK(INDEX(att_actdate,$A4345)),Inputs!$C$157,INDEX(att_actdate,$A4345))))</f>
        <v/>
      </c>
      <c r="E4345" s="54" t="str">
        <f t="shared" si="1545"/>
        <v/>
      </c>
      <c r="F4345" s="55">
        <f t="shared" si="1546"/>
        <v>0</v>
      </c>
      <c r="G4345" s="55">
        <f>IF($D4345="",0,COUNTIFS(rl_key,Inputs!$J$157,$E$4268:$E$4507,$E4345,$D$4268:$D$4507,"&lt;"&amp;$D4345))</f>
        <v>0</v>
      </c>
      <c r="H4345" s="55">
        <f>IF($D4345="",0,COUNTIFS(Inputs!$J$80:$J$157,Inputs!$J$157,$E$4268:$E4345,$E4345,$D$4268:$D4345,$D4345))</f>
        <v>0</v>
      </c>
      <c r="I4345" s="55">
        <f t="shared" si="1547"/>
        <v>0</v>
      </c>
    </row>
    <row r="4346" spans="1:9" x14ac:dyDescent="0.25">
      <c r="A4346" s="55">
        <f>IF(OR(Inputs!$J$158&lt;&gt;nr_SelKey,Inputs!$E$158&lt;&gt;"planned",Inputs!$C$158=""),0,COUNTIFS(Inputs!$J$80:$J$158,nr_SelKey,Inputs!$E$80:$E$158,"planned"))</f>
        <v>0</v>
      </c>
      <c r="B4346" s="52">
        <f>IF($A4346=0,N(Inputs!$K$158),IF(ISBLANK(INDEX(att_actpct,$A4346)),N(Inputs!$K$158),INDEX(att_actpct,$A4346)))</f>
        <v>0</v>
      </c>
      <c r="C4346" s="53">
        <f>IF(Inputs!$C$158="",0,IF(1+$B4346&gt;0,LN(1+$B4346),0))</f>
        <v>0</v>
      </c>
      <c r="D4346" s="54" t="str">
        <f>IF(Inputs!$C$158="","",IF($A4346=0,Inputs!$C$158,IF(ISBLANK(INDEX(att_actdate,$A4346)),Inputs!$C$158,INDEX(att_actdate,$A4346))))</f>
        <v/>
      </c>
      <c r="E4346" s="54" t="str">
        <f t="shared" si="1545"/>
        <v/>
      </c>
      <c r="F4346" s="55">
        <f t="shared" si="1546"/>
        <v>0</v>
      </c>
      <c r="G4346" s="55">
        <f>IF($D4346="",0,COUNTIFS(rl_key,Inputs!$J$158,$E$4268:$E$4507,$E4346,$D$4268:$D$4507,"&lt;"&amp;$D4346))</f>
        <v>0</v>
      </c>
      <c r="H4346" s="55">
        <f>IF($D4346="",0,COUNTIFS(Inputs!$J$80:$J$158,Inputs!$J$158,$E$4268:$E4346,$E4346,$D$4268:$D4346,$D4346))</f>
        <v>0</v>
      </c>
      <c r="I4346" s="55">
        <f t="shared" si="1547"/>
        <v>0</v>
      </c>
    </row>
    <row r="4347" spans="1:9" x14ac:dyDescent="0.25">
      <c r="A4347" s="55">
        <f>IF(OR(Inputs!$J$159&lt;&gt;nr_SelKey,Inputs!$E$159&lt;&gt;"planned",Inputs!$C$159=""),0,COUNTIFS(Inputs!$J$80:$J$159,nr_SelKey,Inputs!$E$80:$E$159,"planned"))</f>
        <v>0</v>
      </c>
      <c r="B4347" s="52">
        <f>IF($A4347=0,N(Inputs!$K$159),IF(ISBLANK(INDEX(att_actpct,$A4347)),N(Inputs!$K$159),INDEX(att_actpct,$A4347)))</f>
        <v>0</v>
      </c>
      <c r="C4347" s="53">
        <f>IF(Inputs!$C$159="",0,IF(1+$B4347&gt;0,LN(1+$B4347),0))</f>
        <v>0</v>
      </c>
      <c r="D4347" s="54" t="str">
        <f>IF(Inputs!$C$159="","",IF($A4347=0,Inputs!$C$159,IF(ISBLANK(INDEX(att_actdate,$A4347)),Inputs!$C$159,INDEX(att_actdate,$A4347))))</f>
        <v/>
      </c>
      <c r="E4347" s="54" t="str">
        <f t="shared" si="1545"/>
        <v/>
      </c>
      <c r="F4347" s="55">
        <f t="shared" si="1546"/>
        <v>0</v>
      </c>
      <c r="G4347" s="55">
        <f>IF($D4347="",0,COUNTIFS(rl_key,Inputs!$J$159,$E$4268:$E$4507,$E4347,$D$4268:$D$4507,"&lt;"&amp;$D4347))</f>
        <v>0</v>
      </c>
      <c r="H4347" s="55">
        <f>IF($D4347="",0,COUNTIFS(Inputs!$J$80:$J$159,Inputs!$J$159,$E$4268:$E4347,$E4347,$D$4268:$D4347,$D4347))</f>
        <v>0</v>
      </c>
      <c r="I4347" s="55">
        <f t="shared" si="1547"/>
        <v>0</v>
      </c>
    </row>
    <row r="4348" spans="1:9" x14ac:dyDescent="0.25">
      <c r="A4348" s="55">
        <f>IF(OR(Inputs!$J$160&lt;&gt;nr_SelKey,Inputs!$E$160&lt;&gt;"planned",Inputs!$C$160=""),0,COUNTIFS(Inputs!$J$80:$J$160,nr_SelKey,Inputs!$E$80:$E$160,"planned"))</f>
        <v>0</v>
      </c>
      <c r="B4348" s="52">
        <f>IF($A4348=0,N(Inputs!$K$160),IF(ISBLANK(INDEX(att_actpct,$A4348)),N(Inputs!$K$160),INDEX(att_actpct,$A4348)))</f>
        <v>0</v>
      </c>
      <c r="C4348" s="53">
        <f>IF(Inputs!$C$160="",0,IF(1+$B4348&gt;0,LN(1+$B4348),0))</f>
        <v>0</v>
      </c>
      <c r="D4348" s="54" t="str">
        <f>IF(Inputs!$C$160="","",IF($A4348=0,Inputs!$C$160,IF(ISBLANK(INDEX(att_actdate,$A4348)),Inputs!$C$160,INDEX(att_actdate,$A4348))))</f>
        <v/>
      </c>
      <c r="E4348" s="54" t="str">
        <f t="shared" si="1545"/>
        <v/>
      </c>
      <c r="F4348" s="55">
        <f t="shared" si="1546"/>
        <v>0</v>
      </c>
      <c r="G4348" s="55">
        <f>IF($D4348="",0,COUNTIFS(rl_key,Inputs!$J$160,$E$4268:$E$4507,$E4348,$D$4268:$D$4507,"&lt;"&amp;$D4348))</f>
        <v>0</v>
      </c>
      <c r="H4348" s="55">
        <f>IF($D4348="",0,COUNTIFS(Inputs!$J$80:$J$160,Inputs!$J$160,$E$4268:$E4348,$E4348,$D$4268:$D4348,$D4348))</f>
        <v>0</v>
      </c>
      <c r="I4348" s="55">
        <f t="shared" si="1547"/>
        <v>0</v>
      </c>
    </row>
    <row r="4349" spans="1:9" x14ac:dyDescent="0.25">
      <c r="A4349" s="55">
        <f>IF(OR(Inputs!$J$161&lt;&gt;nr_SelKey,Inputs!$E$161&lt;&gt;"planned",Inputs!$C$161=""),0,COUNTIFS(Inputs!$J$80:$J$161,nr_SelKey,Inputs!$E$80:$E$161,"planned"))</f>
        <v>0</v>
      </c>
      <c r="B4349" s="52">
        <f>IF($A4349=0,N(Inputs!$K$161),IF(ISBLANK(INDEX(att_actpct,$A4349)),N(Inputs!$K$161),INDEX(att_actpct,$A4349)))</f>
        <v>0</v>
      </c>
      <c r="C4349" s="53">
        <f>IF(Inputs!$C$161="",0,IF(1+$B4349&gt;0,LN(1+$B4349),0))</f>
        <v>0</v>
      </c>
      <c r="D4349" s="54" t="str">
        <f>IF(Inputs!$C$161="","",IF($A4349=0,Inputs!$C$161,IF(ISBLANK(INDEX(att_actdate,$A4349)),Inputs!$C$161,INDEX(att_actdate,$A4349))))</f>
        <v/>
      </c>
      <c r="E4349" s="54" t="str">
        <f t="shared" si="1545"/>
        <v/>
      </c>
      <c r="F4349" s="55">
        <f t="shared" si="1546"/>
        <v>0</v>
      </c>
      <c r="G4349" s="55">
        <f>IF($D4349="",0,COUNTIFS(rl_key,Inputs!$J$161,$E$4268:$E$4507,$E4349,$D$4268:$D$4507,"&lt;"&amp;$D4349))</f>
        <v>0</v>
      </c>
      <c r="H4349" s="55">
        <f>IF($D4349="",0,COUNTIFS(Inputs!$J$80:$J$161,Inputs!$J$161,$E$4268:$E4349,$E4349,$D$4268:$D4349,$D4349))</f>
        <v>0</v>
      </c>
      <c r="I4349" s="55">
        <f t="shared" si="1547"/>
        <v>0</v>
      </c>
    </row>
    <row r="4350" spans="1:9" x14ac:dyDescent="0.25">
      <c r="A4350" s="55">
        <f>IF(OR(Inputs!$J$162&lt;&gt;nr_SelKey,Inputs!$E$162&lt;&gt;"planned",Inputs!$C$162=""),0,COUNTIFS(Inputs!$J$80:$J$162,nr_SelKey,Inputs!$E$80:$E$162,"planned"))</f>
        <v>0</v>
      </c>
      <c r="B4350" s="52">
        <f>IF($A4350=0,N(Inputs!$K$162),IF(ISBLANK(INDEX(att_actpct,$A4350)),N(Inputs!$K$162),INDEX(att_actpct,$A4350)))</f>
        <v>0</v>
      </c>
      <c r="C4350" s="53">
        <f>IF(Inputs!$C$162="",0,IF(1+$B4350&gt;0,LN(1+$B4350),0))</f>
        <v>0</v>
      </c>
      <c r="D4350" s="54" t="str">
        <f>IF(Inputs!$C$162="","",IF($A4350=0,Inputs!$C$162,IF(ISBLANK(INDEX(att_actdate,$A4350)),Inputs!$C$162,INDEX(att_actdate,$A4350))))</f>
        <v/>
      </c>
      <c r="E4350" s="54" t="str">
        <f t="shared" si="1545"/>
        <v/>
      </c>
      <c r="F4350" s="55">
        <f t="shared" si="1546"/>
        <v>0</v>
      </c>
      <c r="G4350" s="55">
        <f>IF($D4350="",0,COUNTIFS(rl_key,Inputs!$J$162,$E$4268:$E$4507,$E4350,$D$4268:$D$4507,"&lt;"&amp;$D4350))</f>
        <v>0</v>
      </c>
      <c r="H4350" s="55">
        <f>IF($D4350="",0,COUNTIFS(Inputs!$J$80:$J$162,Inputs!$J$162,$E$4268:$E4350,$E4350,$D$4268:$D4350,$D4350))</f>
        <v>0</v>
      </c>
      <c r="I4350" s="55">
        <f t="shared" si="1547"/>
        <v>0</v>
      </c>
    </row>
    <row r="4351" spans="1:9" x14ac:dyDescent="0.25">
      <c r="A4351" s="55">
        <f>IF(OR(Inputs!$J$163&lt;&gt;nr_SelKey,Inputs!$E$163&lt;&gt;"planned",Inputs!$C$163=""),0,COUNTIFS(Inputs!$J$80:$J$163,nr_SelKey,Inputs!$E$80:$E$163,"planned"))</f>
        <v>0</v>
      </c>
      <c r="B4351" s="52">
        <f>IF($A4351=0,N(Inputs!$K$163),IF(ISBLANK(INDEX(att_actpct,$A4351)),N(Inputs!$K$163),INDEX(att_actpct,$A4351)))</f>
        <v>0</v>
      </c>
      <c r="C4351" s="53">
        <f>IF(Inputs!$C$163="",0,IF(1+$B4351&gt;0,LN(1+$B4351),0))</f>
        <v>0</v>
      </c>
      <c r="D4351" s="54" t="str">
        <f>IF(Inputs!$C$163="","",IF($A4351=0,Inputs!$C$163,IF(ISBLANK(INDEX(att_actdate,$A4351)),Inputs!$C$163,INDEX(att_actdate,$A4351))))</f>
        <v/>
      </c>
      <c r="E4351" s="54" t="str">
        <f t="shared" si="1545"/>
        <v/>
      </c>
      <c r="F4351" s="55">
        <f t="shared" si="1546"/>
        <v>0</v>
      </c>
      <c r="G4351" s="55">
        <f>IF($D4351="",0,COUNTIFS(rl_key,Inputs!$J$163,$E$4268:$E$4507,$E4351,$D$4268:$D$4507,"&lt;"&amp;$D4351))</f>
        <v>0</v>
      </c>
      <c r="H4351" s="55">
        <f>IF($D4351="",0,COUNTIFS(Inputs!$J$80:$J$163,Inputs!$J$163,$E$4268:$E4351,$E4351,$D$4268:$D4351,$D4351))</f>
        <v>0</v>
      </c>
      <c r="I4351" s="55">
        <f t="shared" si="1547"/>
        <v>0</v>
      </c>
    </row>
    <row r="4352" spans="1:9" x14ac:dyDescent="0.25">
      <c r="A4352" s="55">
        <f>IF(OR(Inputs!$J$164&lt;&gt;nr_SelKey,Inputs!$E$164&lt;&gt;"planned",Inputs!$C$164=""),0,COUNTIFS(Inputs!$J$80:$J$164,nr_SelKey,Inputs!$E$80:$E$164,"planned"))</f>
        <v>0</v>
      </c>
      <c r="B4352" s="52">
        <f>IF($A4352=0,N(Inputs!$K$164),IF(ISBLANK(INDEX(att_actpct,$A4352)),N(Inputs!$K$164),INDEX(att_actpct,$A4352)))</f>
        <v>0</v>
      </c>
      <c r="C4352" s="53">
        <f>IF(Inputs!$C$164="",0,IF(1+$B4352&gt;0,LN(1+$B4352),0))</f>
        <v>0</v>
      </c>
      <c r="D4352" s="54" t="str">
        <f>IF(Inputs!$C$164="","",IF($A4352=0,Inputs!$C$164,IF(ISBLANK(INDEX(att_actdate,$A4352)),Inputs!$C$164,INDEX(att_actdate,$A4352))))</f>
        <v/>
      </c>
      <c r="E4352" s="54" t="str">
        <f t="shared" si="1545"/>
        <v/>
      </c>
      <c r="F4352" s="55">
        <f t="shared" si="1546"/>
        <v>0</v>
      </c>
      <c r="G4352" s="55">
        <f>IF($D4352="",0,COUNTIFS(rl_key,Inputs!$J$164,$E$4268:$E$4507,$E4352,$D$4268:$D$4507,"&lt;"&amp;$D4352))</f>
        <v>0</v>
      </c>
      <c r="H4352" s="55">
        <f>IF($D4352="",0,COUNTIFS(Inputs!$J$80:$J$164,Inputs!$J$164,$E$4268:$E4352,$E4352,$D$4268:$D4352,$D4352))</f>
        <v>0</v>
      </c>
      <c r="I4352" s="55">
        <f t="shared" si="1547"/>
        <v>0</v>
      </c>
    </row>
    <row r="4353" spans="1:9" x14ac:dyDescent="0.25">
      <c r="A4353" s="55">
        <f>IF(OR(Inputs!$J$165&lt;&gt;nr_SelKey,Inputs!$E$165&lt;&gt;"planned",Inputs!$C$165=""),0,COUNTIFS(Inputs!$J$80:$J$165,nr_SelKey,Inputs!$E$80:$E$165,"planned"))</f>
        <v>0</v>
      </c>
      <c r="B4353" s="52">
        <f>IF($A4353=0,N(Inputs!$K$165),IF(ISBLANK(INDEX(att_actpct,$A4353)),N(Inputs!$K$165),INDEX(att_actpct,$A4353)))</f>
        <v>0</v>
      </c>
      <c r="C4353" s="53">
        <f>IF(Inputs!$C$165="",0,IF(1+$B4353&gt;0,LN(1+$B4353),0))</f>
        <v>0</v>
      </c>
      <c r="D4353" s="54" t="str">
        <f>IF(Inputs!$C$165="","",IF($A4353=0,Inputs!$C$165,IF(ISBLANK(INDEX(att_actdate,$A4353)),Inputs!$C$165,INDEX(att_actdate,$A4353))))</f>
        <v/>
      </c>
      <c r="E4353" s="54" t="str">
        <f t="shared" si="1545"/>
        <v/>
      </c>
      <c r="F4353" s="55">
        <f t="shared" si="1546"/>
        <v>0</v>
      </c>
      <c r="G4353" s="55">
        <f>IF($D4353="",0,COUNTIFS(rl_key,Inputs!$J$165,$E$4268:$E$4507,$E4353,$D$4268:$D$4507,"&lt;"&amp;$D4353))</f>
        <v>0</v>
      </c>
      <c r="H4353" s="55">
        <f>IF($D4353="",0,COUNTIFS(Inputs!$J$80:$J$165,Inputs!$J$165,$E$4268:$E4353,$E4353,$D$4268:$D4353,$D4353))</f>
        <v>0</v>
      </c>
      <c r="I4353" s="55">
        <f t="shared" si="1547"/>
        <v>0</v>
      </c>
    </row>
    <row r="4354" spans="1:9" x14ac:dyDescent="0.25">
      <c r="A4354" s="55">
        <f>IF(OR(Inputs!$J$166&lt;&gt;nr_SelKey,Inputs!$E$166&lt;&gt;"planned",Inputs!$C$166=""),0,COUNTIFS(Inputs!$J$80:$J$166,nr_SelKey,Inputs!$E$80:$E$166,"planned"))</f>
        <v>0</v>
      </c>
      <c r="B4354" s="52">
        <f>IF($A4354=0,N(Inputs!$K$166),IF(ISBLANK(INDEX(att_actpct,$A4354)),N(Inputs!$K$166),INDEX(att_actpct,$A4354)))</f>
        <v>0</v>
      </c>
      <c r="C4354" s="53">
        <f>IF(Inputs!$C$166="",0,IF(1+$B4354&gt;0,LN(1+$B4354),0))</f>
        <v>0</v>
      </c>
      <c r="D4354" s="54" t="str">
        <f>IF(Inputs!$C$166="","",IF($A4354=0,Inputs!$C$166,IF(ISBLANK(INDEX(att_actdate,$A4354)),Inputs!$C$166,INDEX(att_actdate,$A4354))))</f>
        <v/>
      </c>
      <c r="E4354" s="54" t="str">
        <f t="shared" si="1545"/>
        <v/>
      </c>
      <c r="F4354" s="55">
        <f t="shared" si="1546"/>
        <v>0</v>
      </c>
      <c r="G4354" s="55">
        <f>IF($D4354="",0,COUNTIFS(rl_key,Inputs!$J$166,$E$4268:$E$4507,$E4354,$D$4268:$D$4507,"&lt;"&amp;$D4354))</f>
        <v>0</v>
      </c>
      <c r="H4354" s="55">
        <f>IF($D4354="",0,COUNTIFS(Inputs!$J$80:$J$166,Inputs!$J$166,$E$4268:$E4354,$E4354,$D$4268:$D4354,$D4354))</f>
        <v>0</v>
      </c>
      <c r="I4354" s="55">
        <f t="shared" si="1547"/>
        <v>0</v>
      </c>
    </row>
    <row r="4355" spans="1:9" x14ac:dyDescent="0.25">
      <c r="A4355" s="55">
        <f>IF(OR(Inputs!$J$167&lt;&gt;nr_SelKey,Inputs!$E$167&lt;&gt;"planned",Inputs!$C$167=""),0,COUNTIFS(Inputs!$J$80:$J$167,nr_SelKey,Inputs!$E$80:$E$167,"planned"))</f>
        <v>0</v>
      </c>
      <c r="B4355" s="52">
        <f>IF($A4355=0,N(Inputs!$K$167),IF(ISBLANK(INDEX(att_actpct,$A4355)),N(Inputs!$K$167),INDEX(att_actpct,$A4355)))</f>
        <v>0</v>
      </c>
      <c r="C4355" s="53">
        <f>IF(Inputs!$C$167="",0,IF(1+$B4355&gt;0,LN(1+$B4355),0))</f>
        <v>0</v>
      </c>
      <c r="D4355" s="54" t="str">
        <f>IF(Inputs!$C$167="","",IF($A4355=0,Inputs!$C$167,IF(ISBLANK(INDEX(att_actdate,$A4355)),Inputs!$C$167,INDEX(att_actdate,$A4355))))</f>
        <v/>
      </c>
      <c r="E4355" s="54" t="str">
        <f t="shared" si="1545"/>
        <v/>
      </c>
      <c r="F4355" s="55">
        <f t="shared" si="1546"/>
        <v>0</v>
      </c>
      <c r="G4355" s="55">
        <f>IF($D4355="",0,COUNTIFS(rl_key,Inputs!$J$167,$E$4268:$E$4507,$E4355,$D$4268:$D$4507,"&lt;"&amp;$D4355))</f>
        <v>0</v>
      </c>
      <c r="H4355" s="55">
        <f>IF($D4355="",0,COUNTIFS(Inputs!$J$80:$J$167,Inputs!$J$167,$E$4268:$E4355,$E4355,$D$4268:$D4355,$D4355))</f>
        <v>0</v>
      </c>
      <c r="I4355" s="55">
        <f t="shared" si="1547"/>
        <v>0</v>
      </c>
    </row>
    <row r="4356" spans="1:9" x14ac:dyDescent="0.25">
      <c r="A4356" s="55">
        <f>IF(OR(Inputs!$J$168&lt;&gt;nr_SelKey,Inputs!$E$168&lt;&gt;"planned",Inputs!$C$168=""),0,COUNTIFS(Inputs!$J$80:$J$168,nr_SelKey,Inputs!$E$80:$E$168,"planned"))</f>
        <v>0</v>
      </c>
      <c r="B4356" s="52">
        <f>IF($A4356=0,N(Inputs!$K$168),IF(ISBLANK(INDEX(att_actpct,$A4356)),N(Inputs!$K$168),INDEX(att_actpct,$A4356)))</f>
        <v>0</v>
      </c>
      <c r="C4356" s="53">
        <f>IF(Inputs!$C$168="",0,IF(1+$B4356&gt;0,LN(1+$B4356),0))</f>
        <v>0</v>
      </c>
      <c r="D4356" s="54" t="str">
        <f>IF(Inputs!$C$168="","",IF($A4356=0,Inputs!$C$168,IF(ISBLANK(INDEX(att_actdate,$A4356)),Inputs!$C$168,INDEX(att_actdate,$A4356))))</f>
        <v/>
      </c>
      <c r="E4356" s="54" t="str">
        <f t="shared" si="1545"/>
        <v/>
      </c>
      <c r="F4356" s="55">
        <f t="shared" si="1546"/>
        <v>0</v>
      </c>
      <c r="G4356" s="55">
        <f>IF($D4356="",0,COUNTIFS(rl_key,Inputs!$J$168,$E$4268:$E$4507,$E4356,$D$4268:$D$4507,"&lt;"&amp;$D4356))</f>
        <v>0</v>
      </c>
      <c r="H4356" s="55">
        <f>IF($D4356="",0,COUNTIFS(Inputs!$J$80:$J$168,Inputs!$J$168,$E$4268:$E4356,$E4356,$D$4268:$D4356,$D4356))</f>
        <v>0</v>
      </c>
      <c r="I4356" s="55">
        <f t="shared" si="1547"/>
        <v>0</v>
      </c>
    </row>
    <row r="4357" spans="1:9" x14ac:dyDescent="0.25">
      <c r="A4357" s="55">
        <f>IF(OR(Inputs!$J$169&lt;&gt;nr_SelKey,Inputs!$E$169&lt;&gt;"planned",Inputs!$C$169=""),0,COUNTIFS(Inputs!$J$80:$J$169,nr_SelKey,Inputs!$E$80:$E$169,"planned"))</f>
        <v>0</v>
      </c>
      <c r="B4357" s="52">
        <f>IF($A4357=0,N(Inputs!$K$169),IF(ISBLANK(INDEX(att_actpct,$A4357)),N(Inputs!$K$169),INDEX(att_actpct,$A4357)))</f>
        <v>0</v>
      </c>
      <c r="C4357" s="53">
        <f>IF(Inputs!$C$169="",0,IF(1+$B4357&gt;0,LN(1+$B4357),0))</f>
        <v>0</v>
      </c>
      <c r="D4357" s="54" t="str">
        <f>IF(Inputs!$C$169="","",IF($A4357=0,Inputs!$C$169,IF(ISBLANK(INDEX(att_actdate,$A4357)),Inputs!$C$169,INDEX(att_actdate,$A4357))))</f>
        <v/>
      </c>
      <c r="E4357" s="54" t="str">
        <f t="shared" si="1545"/>
        <v/>
      </c>
      <c r="F4357" s="55">
        <f t="shared" si="1546"/>
        <v>0</v>
      </c>
      <c r="G4357" s="55">
        <f>IF($D4357="",0,COUNTIFS(rl_key,Inputs!$J$169,$E$4268:$E$4507,$E4357,$D$4268:$D$4507,"&lt;"&amp;$D4357))</f>
        <v>0</v>
      </c>
      <c r="H4357" s="55">
        <f>IF($D4357="",0,COUNTIFS(Inputs!$J$80:$J$169,Inputs!$J$169,$E$4268:$E4357,$E4357,$D$4268:$D4357,$D4357))</f>
        <v>0</v>
      </c>
      <c r="I4357" s="55">
        <f t="shared" si="1547"/>
        <v>0</v>
      </c>
    </row>
    <row r="4358" spans="1:9" x14ac:dyDescent="0.25">
      <c r="A4358" s="55">
        <f>IF(OR(Inputs!$J$170&lt;&gt;nr_SelKey,Inputs!$E$170&lt;&gt;"planned",Inputs!$C$170=""),0,COUNTIFS(Inputs!$J$80:$J$170,nr_SelKey,Inputs!$E$80:$E$170,"planned"))</f>
        <v>0</v>
      </c>
      <c r="B4358" s="52">
        <f>IF($A4358=0,N(Inputs!$K$170),IF(ISBLANK(INDEX(att_actpct,$A4358)),N(Inputs!$K$170),INDEX(att_actpct,$A4358)))</f>
        <v>0</v>
      </c>
      <c r="C4358" s="53">
        <f>IF(Inputs!$C$170="",0,IF(1+$B4358&gt;0,LN(1+$B4358),0))</f>
        <v>0</v>
      </c>
      <c r="D4358" s="54" t="str">
        <f>IF(Inputs!$C$170="","",IF($A4358=0,Inputs!$C$170,IF(ISBLANK(INDEX(att_actdate,$A4358)),Inputs!$C$170,INDEX(att_actdate,$A4358))))</f>
        <v/>
      </c>
      <c r="E4358" s="54" t="str">
        <f t="shared" si="1545"/>
        <v/>
      </c>
      <c r="F4358" s="55">
        <f t="shared" si="1546"/>
        <v>0</v>
      </c>
      <c r="G4358" s="55">
        <f>IF($D4358="",0,COUNTIFS(rl_key,Inputs!$J$170,$E$4268:$E$4507,$E4358,$D$4268:$D$4507,"&lt;"&amp;$D4358))</f>
        <v>0</v>
      </c>
      <c r="H4358" s="55">
        <f>IF($D4358="",0,COUNTIFS(Inputs!$J$80:$J$170,Inputs!$J$170,$E$4268:$E4358,$E4358,$D$4268:$D4358,$D4358))</f>
        <v>0</v>
      </c>
      <c r="I4358" s="55">
        <f t="shared" si="1547"/>
        <v>0</v>
      </c>
    </row>
    <row r="4359" spans="1:9" x14ac:dyDescent="0.25">
      <c r="A4359" s="55">
        <f>IF(OR(Inputs!$J$171&lt;&gt;nr_SelKey,Inputs!$E$171&lt;&gt;"planned",Inputs!$C$171=""),0,COUNTIFS(Inputs!$J$80:$J$171,nr_SelKey,Inputs!$E$80:$E$171,"planned"))</f>
        <v>0</v>
      </c>
      <c r="B4359" s="52">
        <f>IF($A4359=0,N(Inputs!$K$171),IF(ISBLANK(INDEX(att_actpct,$A4359)),N(Inputs!$K$171),INDEX(att_actpct,$A4359)))</f>
        <v>0</v>
      </c>
      <c r="C4359" s="53">
        <f>IF(Inputs!$C$171="",0,IF(1+$B4359&gt;0,LN(1+$B4359),0))</f>
        <v>0</v>
      </c>
      <c r="D4359" s="54" t="str">
        <f>IF(Inputs!$C$171="","",IF($A4359=0,Inputs!$C$171,IF(ISBLANK(INDEX(att_actdate,$A4359)),Inputs!$C$171,INDEX(att_actdate,$A4359))))</f>
        <v/>
      </c>
      <c r="E4359" s="54" t="str">
        <f t="shared" si="1545"/>
        <v/>
      </c>
      <c r="F4359" s="55">
        <f t="shared" si="1546"/>
        <v>0</v>
      </c>
      <c r="G4359" s="55">
        <f>IF($D4359="",0,COUNTIFS(rl_key,Inputs!$J$171,$E$4268:$E$4507,$E4359,$D$4268:$D$4507,"&lt;"&amp;$D4359))</f>
        <v>0</v>
      </c>
      <c r="H4359" s="55">
        <f>IF($D4359="",0,COUNTIFS(Inputs!$J$80:$J$171,Inputs!$J$171,$E$4268:$E4359,$E4359,$D$4268:$D4359,$D4359))</f>
        <v>0</v>
      </c>
      <c r="I4359" s="55">
        <f t="shared" si="1547"/>
        <v>0</v>
      </c>
    </row>
    <row r="4360" spans="1:9" x14ac:dyDescent="0.25">
      <c r="A4360" s="55">
        <f>IF(OR(Inputs!$J$172&lt;&gt;nr_SelKey,Inputs!$E$172&lt;&gt;"planned",Inputs!$C$172=""),0,COUNTIFS(Inputs!$J$80:$J$172,nr_SelKey,Inputs!$E$80:$E$172,"planned"))</f>
        <v>0</v>
      </c>
      <c r="B4360" s="52">
        <f>IF($A4360=0,N(Inputs!$K$172),IF(ISBLANK(INDEX(att_actpct,$A4360)),N(Inputs!$K$172),INDEX(att_actpct,$A4360)))</f>
        <v>0</v>
      </c>
      <c r="C4360" s="53">
        <f>IF(Inputs!$C$172="",0,IF(1+$B4360&gt;0,LN(1+$B4360),0))</f>
        <v>0</v>
      </c>
      <c r="D4360" s="54" t="str">
        <f>IF(Inputs!$C$172="","",IF($A4360=0,Inputs!$C$172,IF(ISBLANK(INDEX(att_actdate,$A4360)),Inputs!$C$172,INDEX(att_actdate,$A4360))))</f>
        <v/>
      </c>
      <c r="E4360" s="54" t="str">
        <f t="shared" si="1545"/>
        <v/>
      </c>
      <c r="F4360" s="55">
        <f t="shared" si="1546"/>
        <v>0</v>
      </c>
      <c r="G4360" s="55">
        <f>IF($D4360="",0,COUNTIFS(rl_key,Inputs!$J$172,$E$4268:$E$4507,$E4360,$D$4268:$D$4507,"&lt;"&amp;$D4360))</f>
        <v>0</v>
      </c>
      <c r="H4360" s="55">
        <f>IF($D4360="",0,COUNTIFS(Inputs!$J$80:$J$172,Inputs!$J$172,$E$4268:$E4360,$E4360,$D$4268:$D4360,$D4360))</f>
        <v>0</v>
      </c>
      <c r="I4360" s="55">
        <f t="shared" si="1547"/>
        <v>0</v>
      </c>
    </row>
    <row r="4361" spans="1:9" x14ac:dyDescent="0.25">
      <c r="A4361" s="55">
        <f>IF(OR(Inputs!$J$173&lt;&gt;nr_SelKey,Inputs!$E$173&lt;&gt;"planned",Inputs!$C$173=""),0,COUNTIFS(Inputs!$J$80:$J$173,nr_SelKey,Inputs!$E$80:$E$173,"planned"))</f>
        <v>0</v>
      </c>
      <c r="B4361" s="52">
        <f>IF($A4361=0,N(Inputs!$K$173),IF(ISBLANK(INDEX(att_actpct,$A4361)),N(Inputs!$K$173),INDEX(att_actpct,$A4361)))</f>
        <v>0</v>
      </c>
      <c r="C4361" s="53">
        <f>IF(Inputs!$C$173="",0,IF(1+$B4361&gt;0,LN(1+$B4361),0))</f>
        <v>0</v>
      </c>
      <c r="D4361" s="54" t="str">
        <f>IF(Inputs!$C$173="","",IF($A4361=0,Inputs!$C$173,IF(ISBLANK(INDEX(att_actdate,$A4361)),Inputs!$C$173,INDEX(att_actdate,$A4361))))</f>
        <v/>
      </c>
      <c r="E4361" s="54" t="str">
        <f t="shared" si="1545"/>
        <v/>
      </c>
      <c r="F4361" s="55">
        <f t="shared" si="1546"/>
        <v>0</v>
      </c>
      <c r="G4361" s="55">
        <f>IF($D4361="",0,COUNTIFS(rl_key,Inputs!$J$173,$E$4268:$E$4507,$E4361,$D$4268:$D$4507,"&lt;"&amp;$D4361))</f>
        <v>0</v>
      </c>
      <c r="H4361" s="55">
        <f>IF($D4361="",0,COUNTIFS(Inputs!$J$80:$J$173,Inputs!$J$173,$E$4268:$E4361,$E4361,$D$4268:$D4361,$D4361))</f>
        <v>0</v>
      </c>
      <c r="I4361" s="55">
        <f t="shared" si="1547"/>
        <v>0</v>
      </c>
    </row>
    <row r="4362" spans="1:9" x14ac:dyDescent="0.25">
      <c r="A4362" s="55">
        <f>IF(OR(Inputs!$J$174&lt;&gt;nr_SelKey,Inputs!$E$174&lt;&gt;"planned",Inputs!$C$174=""),0,COUNTIFS(Inputs!$J$80:$J$174,nr_SelKey,Inputs!$E$80:$E$174,"planned"))</f>
        <v>0</v>
      </c>
      <c r="B4362" s="52">
        <f>IF($A4362=0,N(Inputs!$K$174),IF(ISBLANK(INDEX(att_actpct,$A4362)),N(Inputs!$K$174),INDEX(att_actpct,$A4362)))</f>
        <v>0</v>
      </c>
      <c r="C4362" s="53">
        <f>IF(Inputs!$C$174="",0,IF(1+$B4362&gt;0,LN(1+$B4362),0))</f>
        <v>0</v>
      </c>
      <c r="D4362" s="54" t="str">
        <f>IF(Inputs!$C$174="","",IF($A4362=0,Inputs!$C$174,IF(ISBLANK(INDEX(att_actdate,$A4362)),Inputs!$C$174,INDEX(att_actdate,$A4362))))</f>
        <v/>
      </c>
      <c r="E4362" s="54" t="str">
        <f t="shared" si="1545"/>
        <v/>
      </c>
      <c r="F4362" s="55">
        <f t="shared" si="1546"/>
        <v>0</v>
      </c>
      <c r="G4362" s="55">
        <f>IF($D4362="",0,COUNTIFS(rl_key,Inputs!$J$174,$E$4268:$E$4507,$E4362,$D$4268:$D$4507,"&lt;"&amp;$D4362))</f>
        <v>0</v>
      </c>
      <c r="H4362" s="55">
        <f>IF($D4362="",0,COUNTIFS(Inputs!$J$80:$J$174,Inputs!$J$174,$E$4268:$E4362,$E4362,$D$4268:$D4362,$D4362))</f>
        <v>0</v>
      </c>
      <c r="I4362" s="55">
        <f t="shared" si="1547"/>
        <v>0</v>
      </c>
    </row>
    <row r="4363" spans="1:9" x14ac:dyDescent="0.25">
      <c r="A4363" s="55">
        <f>IF(OR(Inputs!$J$175&lt;&gt;nr_SelKey,Inputs!$E$175&lt;&gt;"planned",Inputs!$C$175=""),0,COUNTIFS(Inputs!$J$80:$J$175,nr_SelKey,Inputs!$E$80:$E$175,"planned"))</f>
        <v>0</v>
      </c>
      <c r="B4363" s="52">
        <f>IF($A4363=0,N(Inputs!$K$175),IF(ISBLANK(INDEX(att_actpct,$A4363)),N(Inputs!$K$175),INDEX(att_actpct,$A4363)))</f>
        <v>0</v>
      </c>
      <c r="C4363" s="53">
        <f>IF(Inputs!$C$175="",0,IF(1+$B4363&gt;0,LN(1+$B4363),0))</f>
        <v>0</v>
      </c>
      <c r="D4363" s="54" t="str">
        <f>IF(Inputs!$C$175="","",IF($A4363=0,Inputs!$C$175,IF(ISBLANK(INDEX(att_actdate,$A4363)),Inputs!$C$175,INDEX(att_actdate,$A4363))))</f>
        <v/>
      </c>
      <c r="E4363" s="54" t="str">
        <f t="shared" si="1545"/>
        <v/>
      </c>
      <c r="F4363" s="55">
        <f t="shared" si="1546"/>
        <v>0</v>
      </c>
      <c r="G4363" s="55">
        <f>IF($D4363="",0,COUNTIFS(rl_key,Inputs!$J$175,$E$4268:$E$4507,$E4363,$D$4268:$D$4507,"&lt;"&amp;$D4363))</f>
        <v>0</v>
      </c>
      <c r="H4363" s="55">
        <f>IF($D4363="",0,COUNTIFS(Inputs!$J$80:$J$175,Inputs!$J$175,$E$4268:$E4363,$E4363,$D$4268:$D4363,$D4363))</f>
        <v>0</v>
      </c>
      <c r="I4363" s="55">
        <f t="shared" si="1547"/>
        <v>0</v>
      </c>
    </row>
    <row r="4364" spans="1:9" x14ac:dyDescent="0.25">
      <c r="A4364" s="55">
        <f>IF(OR(Inputs!$J$176&lt;&gt;nr_SelKey,Inputs!$E$176&lt;&gt;"planned",Inputs!$C$176=""),0,COUNTIFS(Inputs!$J$80:$J$176,nr_SelKey,Inputs!$E$80:$E$176,"planned"))</f>
        <v>0</v>
      </c>
      <c r="B4364" s="52">
        <f>IF($A4364=0,N(Inputs!$K$176),IF(ISBLANK(INDEX(att_actpct,$A4364)),N(Inputs!$K$176),INDEX(att_actpct,$A4364)))</f>
        <v>0</v>
      </c>
      <c r="C4364" s="53">
        <f>IF(Inputs!$C$176="",0,IF(1+$B4364&gt;0,LN(1+$B4364),0))</f>
        <v>0</v>
      </c>
      <c r="D4364" s="54" t="str">
        <f>IF(Inputs!$C$176="","",IF($A4364=0,Inputs!$C$176,IF(ISBLANK(INDEX(att_actdate,$A4364)),Inputs!$C$176,INDEX(att_actdate,$A4364))))</f>
        <v/>
      </c>
      <c r="E4364" s="54" t="str">
        <f t="shared" si="1545"/>
        <v/>
      </c>
      <c r="F4364" s="55">
        <f t="shared" si="1546"/>
        <v>0</v>
      </c>
      <c r="G4364" s="55">
        <f>IF($D4364="",0,COUNTIFS(rl_key,Inputs!$J$176,$E$4268:$E$4507,$E4364,$D$4268:$D$4507,"&lt;"&amp;$D4364))</f>
        <v>0</v>
      </c>
      <c r="H4364" s="55">
        <f>IF($D4364="",0,COUNTIFS(Inputs!$J$80:$J$176,Inputs!$J$176,$E$4268:$E4364,$E4364,$D$4268:$D4364,$D4364))</f>
        <v>0</v>
      </c>
      <c r="I4364" s="55">
        <f t="shared" si="1547"/>
        <v>0</v>
      </c>
    </row>
    <row r="4365" spans="1:9" x14ac:dyDescent="0.25">
      <c r="A4365" s="55">
        <f>IF(OR(Inputs!$J$177&lt;&gt;nr_SelKey,Inputs!$E$177&lt;&gt;"planned",Inputs!$C$177=""),0,COUNTIFS(Inputs!$J$80:$J$177,nr_SelKey,Inputs!$E$80:$E$177,"planned"))</f>
        <v>0</v>
      </c>
      <c r="B4365" s="52">
        <f>IF($A4365=0,N(Inputs!$K$177),IF(ISBLANK(INDEX(att_actpct,$A4365)),N(Inputs!$K$177),INDEX(att_actpct,$A4365)))</f>
        <v>0</v>
      </c>
      <c r="C4365" s="53">
        <f>IF(Inputs!$C$177="",0,IF(1+$B4365&gt;0,LN(1+$B4365),0))</f>
        <v>0</v>
      </c>
      <c r="D4365" s="54" t="str">
        <f>IF(Inputs!$C$177="","",IF($A4365=0,Inputs!$C$177,IF(ISBLANK(INDEX(att_actdate,$A4365)),Inputs!$C$177,INDEX(att_actdate,$A4365))))</f>
        <v/>
      </c>
      <c r="E4365" s="54" t="str">
        <f t="shared" si="1545"/>
        <v/>
      </c>
      <c r="F4365" s="55">
        <f t="shared" si="1546"/>
        <v>0</v>
      </c>
      <c r="G4365" s="55">
        <f>IF($D4365="",0,COUNTIFS(rl_key,Inputs!$J$177,$E$4268:$E$4507,$E4365,$D$4268:$D$4507,"&lt;"&amp;$D4365))</f>
        <v>0</v>
      </c>
      <c r="H4365" s="55">
        <f>IF($D4365="",0,COUNTIFS(Inputs!$J$80:$J$177,Inputs!$J$177,$E$4268:$E4365,$E4365,$D$4268:$D4365,$D4365))</f>
        <v>0</v>
      </c>
      <c r="I4365" s="55">
        <f t="shared" si="1547"/>
        <v>0</v>
      </c>
    </row>
    <row r="4366" spans="1:9" x14ac:dyDescent="0.25">
      <c r="A4366" s="55">
        <f>IF(OR(Inputs!$J$178&lt;&gt;nr_SelKey,Inputs!$E$178&lt;&gt;"planned",Inputs!$C$178=""),0,COUNTIFS(Inputs!$J$80:$J$178,nr_SelKey,Inputs!$E$80:$E$178,"planned"))</f>
        <v>0</v>
      </c>
      <c r="B4366" s="52">
        <f>IF($A4366=0,N(Inputs!$K$178),IF(ISBLANK(INDEX(att_actpct,$A4366)),N(Inputs!$K$178),INDEX(att_actpct,$A4366)))</f>
        <v>0</v>
      </c>
      <c r="C4366" s="53">
        <f>IF(Inputs!$C$178="",0,IF(1+$B4366&gt;0,LN(1+$B4366),0))</f>
        <v>0</v>
      </c>
      <c r="D4366" s="54" t="str">
        <f>IF(Inputs!$C$178="","",IF($A4366=0,Inputs!$C$178,IF(ISBLANK(INDEX(att_actdate,$A4366)),Inputs!$C$178,INDEX(att_actdate,$A4366))))</f>
        <v/>
      </c>
      <c r="E4366" s="54" t="str">
        <f t="shared" si="1545"/>
        <v/>
      </c>
      <c r="F4366" s="55">
        <f t="shared" si="1546"/>
        <v>0</v>
      </c>
      <c r="G4366" s="55">
        <f>IF($D4366="",0,COUNTIFS(rl_key,Inputs!$J$178,$E$4268:$E$4507,$E4366,$D$4268:$D$4507,"&lt;"&amp;$D4366))</f>
        <v>0</v>
      </c>
      <c r="H4366" s="55">
        <f>IF($D4366="",0,COUNTIFS(Inputs!$J$80:$J$178,Inputs!$J$178,$E$4268:$E4366,$E4366,$D$4268:$D4366,$D4366))</f>
        <v>0</v>
      </c>
      <c r="I4366" s="55">
        <f t="shared" si="1547"/>
        <v>0</v>
      </c>
    </row>
    <row r="4367" spans="1:9" x14ac:dyDescent="0.25">
      <c r="A4367" s="55">
        <f>IF(OR(Inputs!$J$179&lt;&gt;nr_SelKey,Inputs!$E$179&lt;&gt;"planned",Inputs!$C$179=""),0,COUNTIFS(Inputs!$J$80:$J$179,nr_SelKey,Inputs!$E$80:$E$179,"planned"))</f>
        <v>0</v>
      </c>
      <c r="B4367" s="52">
        <f>IF($A4367=0,N(Inputs!$K$179),IF(ISBLANK(INDEX(att_actpct,$A4367)),N(Inputs!$K$179),INDEX(att_actpct,$A4367)))</f>
        <v>0</v>
      </c>
      <c r="C4367" s="53">
        <f>IF(Inputs!$C$179="",0,IF(1+$B4367&gt;0,LN(1+$B4367),0))</f>
        <v>0</v>
      </c>
      <c r="D4367" s="54" t="str">
        <f>IF(Inputs!$C$179="","",IF($A4367=0,Inputs!$C$179,IF(ISBLANK(INDEX(att_actdate,$A4367)),Inputs!$C$179,INDEX(att_actdate,$A4367))))</f>
        <v/>
      </c>
      <c r="E4367" s="54" t="str">
        <f t="shared" si="1545"/>
        <v/>
      </c>
      <c r="F4367" s="55">
        <f t="shared" si="1546"/>
        <v>0</v>
      </c>
      <c r="G4367" s="55">
        <f>IF($D4367="",0,COUNTIFS(rl_key,Inputs!$J$179,$E$4268:$E$4507,$E4367,$D$4268:$D$4507,"&lt;"&amp;$D4367))</f>
        <v>0</v>
      </c>
      <c r="H4367" s="55">
        <f>IF($D4367="",0,COUNTIFS(Inputs!$J$80:$J$179,Inputs!$J$179,$E$4268:$E4367,$E4367,$D$4268:$D4367,$D4367))</f>
        <v>0</v>
      </c>
      <c r="I4367" s="55">
        <f t="shared" si="1547"/>
        <v>0</v>
      </c>
    </row>
    <row r="4368" spans="1:9" x14ac:dyDescent="0.25">
      <c r="A4368" s="55">
        <f>IF(OR(Inputs!$J$180&lt;&gt;nr_SelKey,Inputs!$E$180&lt;&gt;"planned",Inputs!$C$180=""),0,COUNTIFS(Inputs!$J$80:$J$180,nr_SelKey,Inputs!$E$80:$E$180,"planned"))</f>
        <v>0</v>
      </c>
      <c r="B4368" s="52">
        <f>IF($A4368=0,N(Inputs!$K$180),IF(ISBLANK(INDEX(att_actpct,$A4368)),N(Inputs!$K$180),INDEX(att_actpct,$A4368)))</f>
        <v>0</v>
      </c>
      <c r="C4368" s="53">
        <f>IF(Inputs!$C$180="",0,IF(1+$B4368&gt;0,LN(1+$B4368),0))</f>
        <v>0</v>
      </c>
      <c r="D4368" s="54" t="str">
        <f>IF(Inputs!$C$180="","",IF($A4368=0,Inputs!$C$180,IF(ISBLANK(INDEX(att_actdate,$A4368)),Inputs!$C$180,INDEX(att_actdate,$A4368))))</f>
        <v/>
      </c>
      <c r="E4368" s="54" t="str">
        <f t="shared" si="1545"/>
        <v/>
      </c>
      <c r="F4368" s="55">
        <f t="shared" si="1546"/>
        <v>0</v>
      </c>
      <c r="G4368" s="55">
        <f>IF($D4368="",0,COUNTIFS(rl_key,Inputs!$J$180,$E$4268:$E$4507,$E4368,$D$4268:$D$4507,"&lt;"&amp;$D4368))</f>
        <v>0</v>
      </c>
      <c r="H4368" s="55">
        <f>IF($D4368="",0,COUNTIFS(Inputs!$J$80:$J$180,Inputs!$J$180,$E$4268:$E4368,$E4368,$D$4268:$D4368,$D4368))</f>
        <v>0</v>
      </c>
      <c r="I4368" s="55">
        <f t="shared" si="1547"/>
        <v>0</v>
      </c>
    </row>
    <row r="4369" spans="1:9" x14ac:dyDescent="0.25">
      <c r="A4369" s="55">
        <f>IF(OR(Inputs!$J$181&lt;&gt;nr_SelKey,Inputs!$E$181&lt;&gt;"planned",Inputs!$C$181=""),0,COUNTIFS(Inputs!$J$80:$J$181,nr_SelKey,Inputs!$E$80:$E$181,"planned"))</f>
        <v>0</v>
      </c>
      <c r="B4369" s="52">
        <f>IF($A4369=0,N(Inputs!$K$181),IF(ISBLANK(INDEX(att_actpct,$A4369)),N(Inputs!$K$181),INDEX(att_actpct,$A4369)))</f>
        <v>0</v>
      </c>
      <c r="C4369" s="53">
        <f>IF(Inputs!$C$181="",0,IF(1+$B4369&gt;0,LN(1+$B4369),0))</f>
        <v>0</v>
      </c>
      <c r="D4369" s="54" t="str">
        <f>IF(Inputs!$C$181="","",IF($A4369=0,Inputs!$C$181,IF(ISBLANK(INDEX(att_actdate,$A4369)),Inputs!$C$181,INDEX(att_actdate,$A4369))))</f>
        <v/>
      </c>
      <c r="E4369" s="54" t="str">
        <f t="shared" si="1545"/>
        <v/>
      </c>
      <c r="F4369" s="55">
        <f t="shared" si="1546"/>
        <v>0</v>
      </c>
      <c r="G4369" s="55">
        <f>IF($D4369="",0,COUNTIFS(rl_key,Inputs!$J$181,$E$4268:$E$4507,$E4369,$D$4268:$D$4507,"&lt;"&amp;$D4369))</f>
        <v>0</v>
      </c>
      <c r="H4369" s="55">
        <f>IF($D4369="",0,COUNTIFS(Inputs!$J$80:$J$181,Inputs!$J$181,$E$4268:$E4369,$E4369,$D$4268:$D4369,$D4369))</f>
        <v>0</v>
      </c>
      <c r="I4369" s="55">
        <f t="shared" si="1547"/>
        <v>0</v>
      </c>
    </row>
    <row r="4370" spans="1:9" x14ac:dyDescent="0.25">
      <c r="A4370" s="55">
        <f>IF(OR(Inputs!$J$182&lt;&gt;nr_SelKey,Inputs!$E$182&lt;&gt;"planned",Inputs!$C$182=""),0,COUNTIFS(Inputs!$J$80:$J$182,nr_SelKey,Inputs!$E$80:$E$182,"planned"))</f>
        <v>0</v>
      </c>
      <c r="B4370" s="52">
        <f>IF($A4370=0,N(Inputs!$K$182),IF(ISBLANK(INDEX(att_actpct,$A4370)),N(Inputs!$K$182),INDEX(att_actpct,$A4370)))</f>
        <v>0</v>
      </c>
      <c r="C4370" s="53">
        <f>IF(Inputs!$C$182="",0,IF(1+$B4370&gt;0,LN(1+$B4370),0))</f>
        <v>0</v>
      </c>
      <c r="D4370" s="54" t="str">
        <f>IF(Inputs!$C$182="","",IF($A4370=0,Inputs!$C$182,IF(ISBLANK(INDEX(att_actdate,$A4370)),Inputs!$C$182,INDEX(att_actdate,$A4370))))</f>
        <v/>
      </c>
      <c r="E4370" s="54" t="str">
        <f t="shared" si="1545"/>
        <v/>
      </c>
      <c r="F4370" s="55">
        <f t="shared" si="1546"/>
        <v>0</v>
      </c>
      <c r="G4370" s="55">
        <f>IF($D4370="",0,COUNTIFS(rl_key,Inputs!$J$182,$E$4268:$E$4507,$E4370,$D$4268:$D$4507,"&lt;"&amp;$D4370))</f>
        <v>0</v>
      </c>
      <c r="H4370" s="55">
        <f>IF($D4370="",0,COUNTIFS(Inputs!$J$80:$J$182,Inputs!$J$182,$E$4268:$E4370,$E4370,$D$4268:$D4370,$D4370))</f>
        <v>0</v>
      </c>
      <c r="I4370" s="55">
        <f t="shared" si="1547"/>
        <v>0</v>
      </c>
    </row>
    <row r="4371" spans="1:9" x14ac:dyDescent="0.25">
      <c r="A4371" s="55">
        <f>IF(OR(Inputs!$J$183&lt;&gt;nr_SelKey,Inputs!$E$183&lt;&gt;"planned",Inputs!$C$183=""),0,COUNTIFS(Inputs!$J$80:$J$183,nr_SelKey,Inputs!$E$80:$E$183,"planned"))</f>
        <v>0</v>
      </c>
      <c r="B4371" s="52">
        <f>IF($A4371=0,N(Inputs!$K$183),IF(ISBLANK(INDEX(att_actpct,$A4371)),N(Inputs!$K$183),INDEX(att_actpct,$A4371)))</f>
        <v>0</v>
      </c>
      <c r="C4371" s="53">
        <f>IF(Inputs!$C$183="",0,IF(1+$B4371&gt;0,LN(1+$B4371),0))</f>
        <v>0</v>
      </c>
      <c r="D4371" s="54" t="str">
        <f>IF(Inputs!$C$183="","",IF($A4371=0,Inputs!$C$183,IF(ISBLANK(INDEX(att_actdate,$A4371)),Inputs!$C$183,INDEX(att_actdate,$A4371))))</f>
        <v/>
      </c>
      <c r="E4371" s="54" t="str">
        <f t="shared" si="1545"/>
        <v/>
      </c>
      <c r="F4371" s="55">
        <f t="shared" si="1546"/>
        <v>0</v>
      </c>
      <c r="G4371" s="55">
        <f>IF($D4371="",0,COUNTIFS(rl_key,Inputs!$J$183,$E$4268:$E$4507,$E4371,$D$4268:$D$4507,"&lt;"&amp;$D4371))</f>
        <v>0</v>
      </c>
      <c r="H4371" s="55">
        <f>IF($D4371="",0,COUNTIFS(Inputs!$J$80:$J$183,Inputs!$J$183,$E$4268:$E4371,$E4371,$D$4268:$D4371,$D4371))</f>
        <v>0</v>
      </c>
      <c r="I4371" s="55">
        <f t="shared" si="1547"/>
        <v>0</v>
      </c>
    </row>
    <row r="4372" spans="1:9" x14ac:dyDescent="0.25">
      <c r="A4372" s="55">
        <f>IF(OR(Inputs!$J$184&lt;&gt;nr_SelKey,Inputs!$E$184&lt;&gt;"planned",Inputs!$C$184=""),0,COUNTIFS(Inputs!$J$80:$J$184,nr_SelKey,Inputs!$E$80:$E$184,"planned"))</f>
        <v>0</v>
      </c>
      <c r="B4372" s="52">
        <f>IF($A4372=0,N(Inputs!$K$184),IF(ISBLANK(INDEX(att_actpct,$A4372)),N(Inputs!$K$184),INDEX(att_actpct,$A4372)))</f>
        <v>0</v>
      </c>
      <c r="C4372" s="53">
        <f>IF(Inputs!$C$184="",0,IF(1+$B4372&gt;0,LN(1+$B4372),0))</f>
        <v>0</v>
      </c>
      <c r="D4372" s="54" t="str">
        <f>IF(Inputs!$C$184="","",IF($A4372=0,Inputs!$C$184,IF(ISBLANK(INDEX(att_actdate,$A4372)),Inputs!$C$184,INDEX(att_actdate,$A4372))))</f>
        <v/>
      </c>
      <c r="E4372" s="54" t="str">
        <f t="shared" si="1545"/>
        <v/>
      </c>
      <c r="F4372" s="55">
        <f t="shared" si="1546"/>
        <v>0</v>
      </c>
      <c r="G4372" s="55">
        <f>IF($D4372="",0,COUNTIFS(rl_key,Inputs!$J$184,$E$4268:$E$4507,$E4372,$D$4268:$D$4507,"&lt;"&amp;$D4372))</f>
        <v>0</v>
      </c>
      <c r="H4372" s="55">
        <f>IF($D4372="",0,COUNTIFS(Inputs!$J$80:$J$184,Inputs!$J$184,$E$4268:$E4372,$E4372,$D$4268:$D4372,$D4372))</f>
        <v>0</v>
      </c>
      <c r="I4372" s="55">
        <f t="shared" si="1547"/>
        <v>0</v>
      </c>
    </row>
    <row r="4373" spans="1:9" x14ac:dyDescent="0.25">
      <c r="A4373" s="55">
        <f>IF(OR(Inputs!$J$185&lt;&gt;nr_SelKey,Inputs!$E$185&lt;&gt;"planned",Inputs!$C$185=""),0,COUNTIFS(Inputs!$J$80:$J$185,nr_SelKey,Inputs!$E$80:$E$185,"planned"))</f>
        <v>0</v>
      </c>
      <c r="B4373" s="52">
        <f>IF($A4373=0,N(Inputs!$K$185),IF(ISBLANK(INDEX(att_actpct,$A4373)),N(Inputs!$K$185),INDEX(att_actpct,$A4373)))</f>
        <v>0</v>
      </c>
      <c r="C4373" s="53">
        <f>IF(Inputs!$C$185="",0,IF(1+$B4373&gt;0,LN(1+$B4373),0))</f>
        <v>0</v>
      </c>
      <c r="D4373" s="54" t="str">
        <f>IF(Inputs!$C$185="","",IF($A4373=0,Inputs!$C$185,IF(ISBLANK(INDEX(att_actdate,$A4373)),Inputs!$C$185,INDEX(att_actdate,$A4373))))</f>
        <v/>
      </c>
      <c r="E4373" s="54" t="str">
        <f t="shared" si="1545"/>
        <v/>
      </c>
      <c r="F4373" s="55">
        <f t="shared" si="1546"/>
        <v>0</v>
      </c>
      <c r="G4373" s="55">
        <f>IF($D4373="",0,COUNTIFS(rl_key,Inputs!$J$185,$E$4268:$E$4507,$E4373,$D$4268:$D$4507,"&lt;"&amp;$D4373))</f>
        <v>0</v>
      </c>
      <c r="H4373" s="55">
        <f>IF($D4373="",0,COUNTIFS(Inputs!$J$80:$J$185,Inputs!$J$185,$E$4268:$E4373,$E4373,$D$4268:$D4373,$D4373))</f>
        <v>0</v>
      </c>
      <c r="I4373" s="55">
        <f t="shared" si="1547"/>
        <v>0</v>
      </c>
    </row>
    <row r="4374" spans="1:9" x14ac:dyDescent="0.25">
      <c r="A4374" s="55">
        <f>IF(OR(Inputs!$J$186&lt;&gt;nr_SelKey,Inputs!$E$186&lt;&gt;"planned",Inputs!$C$186=""),0,COUNTIFS(Inputs!$J$80:$J$186,nr_SelKey,Inputs!$E$80:$E$186,"planned"))</f>
        <v>0</v>
      </c>
      <c r="B4374" s="52">
        <f>IF($A4374=0,N(Inputs!$K$186),IF(ISBLANK(INDEX(att_actpct,$A4374)),N(Inputs!$K$186),INDEX(att_actpct,$A4374)))</f>
        <v>0</v>
      </c>
      <c r="C4374" s="53">
        <f>IF(Inputs!$C$186="",0,IF(1+$B4374&gt;0,LN(1+$B4374),0))</f>
        <v>0</v>
      </c>
      <c r="D4374" s="54" t="str">
        <f>IF(Inputs!$C$186="","",IF($A4374=0,Inputs!$C$186,IF(ISBLANK(INDEX(att_actdate,$A4374)),Inputs!$C$186,INDEX(att_actdate,$A4374))))</f>
        <v/>
      </c>
      <c r="E4374" s="54" t="str">
        <f t="shared" si="1545"/>
        <v/>
      </c>
      <c r="F4374" s="55">
        <f t="shared" si="1546"/>
        <v>0</v>
      </c>
      <c r="G4374" s="55">
        <f>IF($D4374="",0,COUNTIFS(rl_key,Inputs!$J$186,$E$4268:$E$4507,$E4374,$D$4268:$D$4507,"&lt;"&amp;$D4374))</f>
        <v>0</v>
      </c>
      <c r="H4374" s="55">
        <f>IF($D4374="",0,COUNTIFS(Inputs!$J$80:$J$186,Inputs!$J$186,$E$4268:$E4374,$E4374,$D$4268:$D4374,$D4374))</f>
        <v>0</v>
      </c>
      <c r="I4374" s="55">
        <f t="shared" si="1547"/>
        <v>0</v>
      </c>
    </row>
    <row r="4375" spans="1:9" x14ac:dyDescent="0.25">
      <c r="A4375" s="55">
        <f>IF(OR(Inputs!$J$187&lt;&gt;nr_SelKey,Inputs!$E$187&lt;&gt;"planned",Inputs!$C$187=""),0,COUNTIFS(Inputs!$J$80:$J$187,nr_SelKey,Inputs!$E$80:$E$187,"planned"))</f>
        <v>0</v>
      </c>
      <c r="B4375" s="52">
        <f>IF($A4375=0,N(Inputs!$K$187),IF(ISBLANK(INDEX(att_actpct,$A4375)),N(Inputs!$K$187),INDEX(att_actpct,$A4375)))</f>
        <v>0</v>
      </c>
      <c r="C4375" s="53">
        <f>IF(Inputs!$C$187="",0,IF(1+$B4375&gt;0,LN(1+$B4375),0))</f>
        <v>0</v>
      </c>
      <c r="D4375" s="54" t="str">
        <f>IF(Inputs!$C$187="","",IF($A4375=0,Inputs!$C$187,IF(ISBLANK(INDEX(att_actdate,$A4375)),Inputs!$C$187,INDEX(att_actdate,$A4375))))</f>
        <v/>
      </c>
      <c r="E4375" s="54" t="str">
        <f t="shared" si="1545"/>
        <v/>
      </c>
      <c r="F4375" s="55">
        <f t="shared" si="1546"/>
        <v>0</v>
      </c>
      <c r="G4375" s="55">
        <f>IF($D4375="",0,COUNTIFS(rl_key,Inputs!$J$187,$E$4268:$E$4507,$E4375,$D$4268:$D$4507,"&lt;"&amp;$D4375))</f>
        <v>0</v>
      </c>
      <c r="H4375" s="55">
        <f>IF($D4375="",0,COUNTIFS(Inputs!$J$80:$J$187,Inputs!$J$187,$E$4268:$E4375,$E4375,$D$4268:$D4375,$D4375))</f>
        <v>0</v>
      </c>
      <c r="I4375" s="55">
        <f t="shared" si="1547"/>
        <v>0</v>
      </c>
    </row>
    <row r="4376" spans="1:9" x14ac:dyDescent="0.25">
      <c r="A4376" s="55">
        <f>IF(OR(Inputs!$J$188&lt;&gt;nr_SelKey,Inputs!$E$188&lt;&gt;"planned",Inputs!$C$188=""),0,COUNTIFS(Inputs!$J$80:$J$188,nr_SelKey,Inputs!$E$80:$E$188,"planned"))</f>
        <v>0</v>
      </c>
      <c r="B4376" s="52">
        <f>IF($A4376=0,N(Inputs!$K$188),IF(ISBLANK(INDEX(att_actpct,$A4376)),N(Inputs!$K$188),INDEX(att_actpct,$A4376)))</f>
        <v>0</v>
      </c>
      <c r="C4376" s="53">
        <f>IF(Inputs!$C$188="",0,IF(1+$B4376&gt;0,LN(1+$B4376),0))</f>
        <v>0</v>
      </c>
      <c r="D4376" s="54" t="str">
        <f>IF(Inputs!$C$188="","",IF($A4376=0,Inputs!$C$188,IF(ISBLANK(INDEX(att_actdate,$A4376)),Inputs!$C$188,INDEX(att_actdate,$A4376))))</f>
        <v/>
      </c>
      <c r="E4376" s="54" t="str">
        <f t="shared" si="1545"/>
        <v/>
      </c>
      <c r="F4376" s="55">
        <f t="shared" si="1546"/>
        <v>0</v>
      </c>
      <c r="G4376" s="55">
        <f>IF($D4376="",0,COUNTIFS(rl_key,Inputs!$J$188,$E$4268:$E$4507,$E4376,$D$4268:$D$4507,"&lt;"&amp;$D4376))</f>
        <v>0</v>
      </c>
      <c r="H4376" s="55">
        <f>IF($D4376="",0,COUNTIFS(Inputs!$J$80:$J$188,Inputs!$J$188,$E$4268:$E4376,$E4376,$D$4268:$D4376,$D4376))</f>
        <v>0</v>
      </c>
      <c r="I4376" s="55">
        <f t="shared" si="1547"/>
        <v>0</v>
      </c>
    </row>
    <row r="4377" spans="1:9" x14ac:dyDescent="0.25">
      <c r="A4377" s="55">
        <f>IF(OR(Inputs!$J$189&lt;&gt;nr_SelKey,Inputs!$E$189&lt;&gt;"planned",Inputs!$C$189=""),0,COUNTIFS(Inputs!$J$80:$J$189,nr_SelKey,Inputs!$E$80:$E$189,"planned"))</f>
        <v>0</v>
      </c>
      <c r="B4377" s="52">
        <f>IF($A4377=0,N(Inputs!$K$189),IF(ISBLANK(INDEX(att_actpct,$A4377)),N(Inputs!$K$189),INDEX(att_actpct,$A4377)))</f>
        <v>0</v>
      </c>
      <c r="C4377" s="53">
        <f>IF(Inputs!$C$189="",0,IF(1+$B4377&gt;0,LN(1+$B4377),0))</f>
        <v>0</v>
      </c>
      <c r="D4377" s="54" t="str">
        <f>IF(Inputs!$C$189="","",IF($A4377=0,Inputs!$C$189,IF(ISBLANK(INDEX(att_actdate,$A4377)),Inputs!$C$189,INDEX(att_actdate,$A4377))))</f>
        <v/>
      </c>
      <c r="E4377" s="54" t="str">
        <f t="shared" si="1545"/>
        <v/>
      </c>
      <c r="F4377" s="55">
        <f t="shared" si="1546"/>
        <v>0</v>
      </c>
      <c r="G4377" s="55">
        <f>IF($D4377="",0,COUNTIFS(rl_key,Inputs!$J$189,$E$4268:$E$4507,$E4377,$D$4268:$D$4507,"&lt;"&amp;$D4377))</f>
        <v>0</v>
      </c>
      <c r="H4377" s="55">
        <f>IF($D4377="",0,COUNTIFS(Inputs!$J$80:$J$189,Inputs!$J$189,$E$4268:$E4377,$E4377,$D$4268:$D4377,$D4377))</f>
        <v>0</v>
      </c>
      <c r="I4377" s="55">
        <f t="shared" si="1547"/>
        <v>0</v>
      </c>
    </row>
    <row r="4378" spans="1:9" x14ac:dyDescent="0.25">
      <c r="A4378" s="55">
        <f>IF(OR(Inputs!$J$190&lt;&gt;nr_SelKey,Inputs!$E$190&lt;&gt;"planned",Inputs!$C$190=""),0,COUNTIFS(Inputs!$J$80:$J$190,nr_SelKey,Inputs!$E$80:$E$190,"planned"))</f>
        <v>0</v>
      </c>
      <c r="B4378" s="52">
        <f>IF($A4378=0,N(Inputs!$K$190),IF(ISBLANK(INDEX(att_actpct,$A4378)),N(Inputs!$K$190),INDEX(att_actpct,$A4378)))</f>
        <v>0</v>
      </c>
      <c r="C4378" s="53">
        <f>IF(Inputs!$C$190="",0,IF(1+$B4378&gt;0,LN(1+$B4378),0))</f>
        <v>0</v>
      </c>
      <c r="D4378" s="54" t="str">
        <f>IF(Inputs!$C$190="","",IF($A4378=0,Inputs!$C$190,IF(ISBLANK(INDEX(att_actdate,$A4378)),Inputs!$C$190,INDEX(att_actdate,$A4378))))</f>
        <v/>
      </c>
      <c r="E4378" s="54" t="str">
        <f t="shared" si="1545"/>
        <v/>
      </c>
      <c r="F4378" s="55">
        <f t="shared" si="1546"/>
        <v>0</v>
      </c>
      <c r="G4378" s="55">
        <f>IF($D4378="",0,COUNTIFS(rl_key,Inputs!$J$190,$E$4268:$E$4507,$E4378,$D$4268:$D$4507,"&lt;"&amp;$D4378))</f>
        <v>0</v>
      </c>
      <c r="H4378" s="55">
        <f>IF($D4378="",0,COUNTIFS(Inputs!$J$80:$J$190,Inputs!$J$190,$E$4268:$E4378,$E4378,$D$4268:$D4378,$D4378))</f>
        <v>0</v>
      </c>
      <c r="I4378" s="55">
        <f t="shared" si="1547"/>
        <v>0</v>
      </c>
    </row>
    <row r="4379" spans="1:9" x14ac:dyDescent="0.25">
      <c r="A4379" s="55">
        <f>IF(OR(Inputs!$J$191&lt;&gt;nr_SelKey,Inputs!$E$191&lt;&gt;"planned",Inputs!$C$191=""),0,COUNTIFS(Inputs!$J$80:$J$191,nr_SelKey,Inputs!$E$80:$E$191,"planned"))</f>
        <v>0</v>
      </c>
      <c r="B4379" s="52">
        <f>IF($A4379=0,N(Inputs!$K$191),IF(ISBLANK(INDEX(att_actpct,$A4379)),N(Inputs!$K$191),INDEX(att_actpct,$A4379)))</f>
        <v>0</v>
      </c>
      <c r="C4379" s="53">
        <f>IF(Inputs!$C$191="",0,IF(1+$B4379&gt;0,LN(1+$B4379),0))</f>
        <v>0</v>
      </c>
      <c r="D4379" s="54" t="str">
        <f>IF(Inputs!$C$191="","",IF($A4379=0,Inputs!$C$191,IF(ISBLANK(INDEX(att_actdate,$A4379)),Inputs!$C$191,INDEX(att_actdate,$A4379))))</f>
        <v/>
      </c>
      <c r="E4379" s="54" t="str">
        <f t="shared" si="1545"/>
        <v/>
      </c>
      <c r="F4379" s="55">
        <f t="shared" si="1546"/>
        <v>0</v>
      </c>
      <c r="G4379" s="55">
        <f>IF($D4379="",0,COUNTIFS(rl_key,Inputs!$J$191,$E$4268:$E$4507,$E4379,$D$4268:$D$4507,"&lt;"&amp;$D4379))</f>
        <v>0</v>
      </c>
      <c r="H4379" s="55">
        <f>IF($D4379="",0,COUNTIFS(Inputs!$J$80:$J$191,Inputs!$J$191,$E$4268:$E4379,$E4379,$D$4268:$D4379,$D4379))</f>
        <v>0</v>
      </c>
      <c r="I4379" s="55">
        <f t="shared" si="1547"/>
        <v>0</v>
      </c>
    </row>
    <row r="4380" spans="1:9" x14ac:dyDescent="0.25">
      <c r="A4380" s="55">
        <f>IF(OR(Inputs!$J$192&lt;&gt;nr_SelKey,Inputs!$E$192&lt;&gt;"planned",Inputs!$C$192=""),0,COUNTIFS(Inputs!$J$80:$J$192,nr_SelKey,Inputs!$E$80:$E$192,"planned"))</f>
        <v>0</v>
      </c>
      <c r="B4380" s="52">
        <f>IF($A4380=0,N(Inputs!$K$192),IF(ISBLANK(INDEX(att_actpct,$A4380)),N(Inputs!$K$192),INDEX(att_actpct,$A4380)))</f>
        <v>0</v>
      </c>
      <c r="C4380" s="53">
        <f>IF(Inputs!$C$192="",0,IF(1+$B4380&gt;0,LN(1+$B4380),0))</f>
        <v>0</v>
      </c>
      <c r="D4380" s="54" t="str">
        <f>IF(Inputs!$C$192="","",IF($A4380=0,Inputs!$C$192,IF(ISBLANK(INDEX(att_actdate,$A4380)),Inputs!$C$192,INDEX(att_actdate,$A4380))))</f>
        <v/>
      </c>
      <c r="E4380" s="54" t="str">
        <f t="shared" si="1545"/>
        <v/>
      </c>
      <c r="F4380" s="55">
        <f t="shared" si="1546"/>
        <v>0</v>
      </c>
      <c r="G4380" s="55">
        <f>IF($D4380="",0,COUNTIFS(rl_key,Inputs!$J$192,$E$4268:$E$4507,$E4380,$D$4268:$D$4507,"&lt;"&amp;$D4380))</f>
        <v>0</v>
      </c>
      <c r="H4380" s="55">
        <f>IF($D4380="",0,COUNTIFS(Inputs!$J$80:$J$192,Inputs!$J$192,$E$4268:$E4380,$E4380,$D$4268:$D4380,$D4380))</f>
        <v>0</v>
      </c>
      <c r="I4380" s="55">
        <f t="shared" si="1547"/>
        <v>0</v>
      </c>
    </row>
    <row r="4381" spans="1:9" x14ac:dyDescent="0.25">
      <c r="A4381" s="55">
        <f>IF(OR(Inputs!$J$193&lt;&gt;nr_SelKey,Inputs!$E$193&lt;&gt;"planned",Inputs!$C$193=""),0,COUNTIFS(Inputs!$J$80:$J$193,nr_SelKey,Inputs!$E$80:$E$193,"planned"))</f>
        <v>0</v>
      </c>
      <c r="B4381" s="52">
        <f>IF($A4381=0,N(Inputs!$K$193),IF(ISBLANK(INDEX(att_actpct,$A4381)),N(Inputs!$K$193),INDEX(att_actpct,$A4381)))</f>
        <v>0</v>
      </c>
      <c r="C4381" s="53">
        <f>IF(Inputs!$C$193="",0,IF(1+$B4381&gt;0,LN(1+$B4381),0))</f>
        <v>0</v>
      </c>
      <c r="D4381" s="54" t="str">
        <f>IF(Inputs!$C$193="","",IF($A4381=0,Inputs!$C$193,IF(ISBLANK(INDEX(att_actdate,$A4381)),Inputs!$C$193,INDEX(att_actdate,$A4381))))</f>
        <v/>
      </c>
      <c r="E4381" s="54" t="str">
        <f t="shared" si="1545"/>
        <v/>
      </c>
      <c r="F4381" s="55">
        <f t="shared" si="1546"/>
        <v>0</v>
      </c>
      <c r="G4381" s="55">
        <f>IF($D4381="",0,COUNTIFS(rl_key,Inputs!$J$193,$E$4268:$E$4507,$E4381,$D$4268:$D$4507,"&lt;"&amp;$D4381))</f>
        <v>0</v>
      </c>
      <c r="H4381" s="55">
        <f>IF($D4381="",0,COUNTIFS(Inputs!$J$80:$J$193,Inputs!$J$193,$E$4268:$E4381,$E4381,$D$4268:$D4381,$D4381))</f>
        <v>0</v>
      </c>
      <c r="I4381" s="55">
        <f t="shared" si="1547"/>
        <v>0</v>
      </c>
    </row>
    <row r="4382" spans="1:9" x14ac:dyDescent="0.25">
      <c r="A4382" s="55">
        <f>IF(OR(Inputs!$J$194&lt;&gt;nr_SelKey,Inputs!$E$194&lt;&gt;"planned",Inputs!$C$194=""),0,COUNTIFS(Inputs!$J$80:$J$194,nr_SelKey,Inputs!$E$80:$E$194,"planned"))</f>
        <v>0</v>
      </c>
      <c r="B4382" s="52">
        <f>IF($A4382=0,N(Inputs!$K$194),IF(ISBLANK(INDEX(att_actpct,$A4382)),N(Inputs!$K$194),INDEX(att_actpct,$A4382)))</f>
        <v>0</v>
      </c>
      <c r="C4382" s="53">
        <f>IF(Inputs!$C$194="",0,IF(1+$B4382&gt;0,LN(1+$B4382),0))</f>
        <v>0</v>
      </c>
      <c r="D4382" s="54" t="str">
        <f>IF(Inputs!$C$194="","",IF($A4382=0,Inputs!$C$194,IF(ISBLANK(INDEX(att_actdate,$A4382)),Inputs!$C$194,INDEX(att_actdate,$A4382))))</f>
        <v/>
      </c>
      <c r="E4382" s="54" t="str">
        <f t="shared" si="1545"/>
        <v/>
      </c>
      <c r="F4382" s="55">
        <f t="shared" si="1546"/>
        <v>0</v>
      </c>
      <c r="G4382" s="55">
        <f>IF($D4382="",0,COUNTIFS(rl_key,Inputs!$J$194,$E$4268:$E$4507,$E4382,$D$4268:$D$4507,"&lt;"&amp;$D4382))</f>
        <v>0</v>
      </c>
      <c r="H4382" s="55">
        <f>IF($D4382="",0,COUNTIFS(Inputs!$J$80:$J$194,Inputs!$J$194,$E$4268:$E4382,$E4382,$D$4268:$D4382,$D4382))</f>
        <v>0</v>
      </c>
      <c r="I4382" s="55">
        <f t="shared" si="1547"/>
        <v>0</v>
      </c>
    </row>
    <row r="4383" spans="1:9" x14ac:dyDescent="0.25">
      <c r="A4383" s="55">
        <f>IF(OR(Inputs!$J$195&lt;&gt;nr_SelKey,Inputs!$E$195&lt;&gt;"planned",Inputs!$C$195=""),0,COUNTIFS(Inputs!$J$80:$J$195,nr_SelKey,Inputs!$E$80:$E$195,"planned"))</f>
        <v>0</v>
      </c>
      <c r="B4383" s="52">
        <f>IF($A4383=0,N(Inputs!$K$195),IF(ISBLANK(INDEX(att_actpct,$A4383)),N(Inputs!$K$195),INDEX(att_actpct,$A4383)))</f>
        <v>0</v>
      </c>
      <c r="C4383" s="53">
        <f>IF(Inputs!$C$195="",0,IF(1+$B4383&gt;0,LN(1+$B4383),0))</f>
        <v>0</v>
      </c>
      <c r="D4383" s="54" t="str">
        <f>IF(Inputs!$C$195="","",IF($A4383=0,Inputs!$C$195,IF(ISBLANK(INDEX(att_actdate,$A4383)),Inputs!$C$195,INDEX(att_actdate,$A4383))))</f>
        <v/>
      </c>
      <c r="E4383" s="54" t="str">
        <f t="shared" si="1545"/>
        <v/>
      </c>
      <c r="F4383" s="55">
        <f t="shared" si="1546"/>
        <v>0</v>
      </c>
      <c r="G4383" s="55">
        <f>IF($D4383="",0,COUNTIFS(rl_key,Inputs!$J$195,$E$4268:$E$4507,$E4383,$D$4268:$D$4507,"&lt;"&amp;$D4383))</f>
        <v>0</v>
      </c>
      <c r="H4383" s="55">
        <f>IF($D4383="",0,COUNTIFS(Inputs!$J$80:$J$195,Inputs!$J$195,$E$4268:$E4383,$E4383,$D$4268:$D4383,$D4383))</f>
        <v>0</v>
      </c>
      <c r="I4383" s="55">
        <f t="shared" si="1547"/>
        <v>0</v>
      </c>
    </row>
    <row r="4384" spans="1:9" x14ac:dyDescent="0.25">
      <c r="A4384" s="55">
        <f>IF(OR(Inputs!$J$196&lt;&gt;nr_SelKey,Inputs!$E$196&lt;&gt;"planned",Inputs!$C$196=""),0,COUNTIFS(Inputs!$J$80:$J$196,nr_SelKey,Inputs!$E$80:$E$196,"planned"))</f>
        <v>0</v>
      </c>
      <c r="B4384" s="52">
        <f>IF($A4384=0,N(Inputs!$K$196),IF(ISBLANK(INDEX(att_actpct,$A4384)),N(Inputs!$K$196),INDEX(att_actpct,$A4384)))</f>
        <v>0</v>
      </c>
      <c r="C4384" s="53">
        <f>IF(Inputs!$C$196="",0,IF(1+$B4384&gt;0,LN(1+$B4384),0))</f>
        <v>0</v>
      </c>
      <c r="D4384" s="54" t="str">
        <f>IF(Inputs!$C$196="","",IF($A4384=0,Inputs!$C$196,IF(ISBLANK(INDEX(att_actdate,$A4384)),Inputs!$C$196,INDEX(att_actdate,$A4384))))</f>
        <v/>
      </c>
      <c r="E4384" s="54" t="str">
        <f t="shared" si="1545"/>
        <v/>
      </c>
      <c r="F4384" s="55">
        <f t="shared" si="1546"/>
        <v>0</v>
      </c>
      <c r="G4384" s="55">
        <f>IF($D4384="",0,COUNTIFS(rl_key,Inputs!$J$196,$E$4268:$E$4507,$E4384,$D$4268:$D$4507,"&lt;"&amp;$D4384))</f>
        <v>0</v>
      </c>
      <c r="H4384" s="55">
        <f>IF($D4384="",0,COUNTIFS(Inputs!$J$80:$J$196,Inputs!$J$196,$E$4268:$E4384,$E4384,$D$4268:$D4384,$D4384))</f>
        <v>0</v>
      </c>
      <c r="I4384" s="55">
        <f t="shared" si="1547"/>
        <v>0</v>
      </c>
    </row>
    <row r="4385" spans="1:9" x14ac:dyDescent="0.25">
      <c r="A4385" s="55">
        <f>IF(OR(Inputs!$J$197&lt;&gt;nr_SelKey,Inputs!$E$197&lt;&gt;"planned",Inputs!$C$197=""),0,COUNTIFS(Inputs!$J$80:$J$197,nr_SelKey,Inputs!$E$80:$E$197,"planned"))</f>
        <v>0</v>
      </c>
      <c r="B4385" s="52">
        <f>IF($A4385=0,N(Inputs!$K$197),IF(ISBLANK(INDEX(att_actpct,$A4385)),N(Inputs!$K$197),INDEX(att_actpct,$A4385)))</f>
        <v>0</v>
      </c>
      <c r="C4385" s="53">
        <f>IF(Inputs!$C$197="",0,IF(1+$B4385&gt;0,LN(1+$B4385),0))</f>
        <v>0</v>
      </c>
      <c r="D4385" s="54" t="str">
        <f>IF(Inputs!$C$197="","",IF($A4385=0,Inputs!$C$197,IF(ISBLANK(INDEX(att_actdate,$A4385)),Inputs!$C$197,INDEX(att_actdate,$A4385))))</f>
        <v/>
      </c>
      <c r="E4385" s="54" t="str">
        <f t="shared" si="1545"/>
        <v/>
      </c>
      <c r="F4385" s="55">
        <f t="shared" si="1546"/>
        <v>0</v>
      </c>
      <c r="G4385" s="55">
        <f>IF($D4385="",0,COUNTIFS(rl_key,Inputs!$J$197,$E$4268:$E$4507,$E4385,$D$4268:$D$4507,"&lt;"&amp;$D4385))</f>
        <v>0</v>
      </c>
      <c r="H4385" s="55">
        <f>IF($D4385="",0,COUNTIFS(Inputs!$J$80:$J$197,Inputs!$J$197,$E$4268:$E4385,$E4385,$D$4268:$D4385,$D4385))</f>
        <v>0</v>
      </c>
      <c r="I4385" s="55">
        <f t="shared" si="1547"/>
        <v>0</v>
      </c>
    </row>
    <row r="4386" spans="1:9" x14ac:dyDescent="0.25">
      <c r="A4386" s="55">
        <f>IF(OR(Inputs!$J$198&lt;&gt;nr_SelKey,Inputs!$E$198&lt;&gt;"planned",Inputs!$C$198=""),0,COUNTIFS(Inputs!$J$80:$J$198,nr_SelKey,Inputs!$E$80:$E$198,"planned"))</f>
        <v>0</v>
      </c>
      <c r="B4386" s="52">
        <f>IF($A4386=0,N(Inputs!$K$198),IF(ISBLANK(INDEX(att_actpct,$A4386)),N(Inputs!$K$198),INDEX(att_actpct,$A4386)))</f>
        <v>0</v>
      </c>
      <c r="C4386" s="53">
        <f>IF(Inputs!$C$198="",0,IF(1+$B4386&gt;0,LN(1+$B4386),0))</f>
        <v>0</v>
      </c>
      <c r="D4386" s="54" t="str">
        <f>IF(Inputs!$C$198="","",IF($A4386=0,Inputs!$C$198,IF(ISBLANK(INDEX(att_actdate,$A4386)),Inputs!$C$198,INDEX(att_actdate,$A4386))))</f>
        <v/>
      </c>
      <c r="E4386" s="54" t="str">
        <f t="shared" si="1545"/>
        <v/>
      </c>
      <c r="F4386" s="55">
        <f t="shared" si="1546"/>
        <v>0</v>
      </c>
      <c r="G4386" s="55">
        <f>IF($D4386="",0,COUNTIFS(rl_key,Inputs!$J$198,$E$4268:$E$4507,$E4386,$D$4268:$D$4507,"&lt;"&amp;$D4386))</f>
        <v>0</v>
      </c>
      <c r="H4386" s="55">
        <f>IF($D4386="",0,COUNTIFS(Inputs!$J$80:$J$198,Inputs!$J$198,$E$4268:$E4386,$E4386,$D$4268:$D4386,$D4386))</f>
        <v>0</v>
      </c>
      <c r="I4386" s="55">
        <f t="shared" si="1547"/>
        <v>0</v>
      </c>
    </row>
    <row r="4387" spans="1:9" x14ac:dyDescent="0.25">
      <c r="A4387" s="55">
        <f>IF(OR(Inputs!$J$199&lt;&gt;nr_SelKey,Inputs!$E$199&lt;&gt;"planned",Inputs!$C$199=""),0,COUNTIFS(Inputs!$J$80:$J$199,nr_SelKey,Inputs!$E$80:$E$199,"planned"))</f>
        <v>0</v>
      </c>
      <c r="B4387" s="52">
        <f>IF($A4387=0,N(Inputs!$K$199),IF(ISBLANK(INDEX(att_actpct,$A4387)),N(Inputs!$K$199),INDEX(att_actpct,$A4387)))</f>
        <v>0</v>
      </c>
      <c r="C4387" s="53">
        <f>IF(Inputs!$C$199="",0,IF(1+$B4387&gt;0,LN(1+$B4387),0))</f>
        <v>0</v>
      </c>
      <c r="D4387" s="54" t="str">
        <f>IF(Inputs!$C$199="","",IF($A4387=0,Inputs!$C$199,IF(ISBLANK(INDEX(att_actdate,$A4387)),Inputs!$C$199,INDEX(att_actdate,$A4387))))</f>
        <v/>
      </c>
      <c r="E4387" s="54" t="str">
        <f t="shared" si="1545"/>
        <v/>
      </c>
      <c r="F4387" s="55">
        <f t="shared" si="1546"/>
        <v>0</v>
      </c>
      <c r="G4387" s="55">
        <f>IF($D4387="",0,COUNTIFS(rl_key,Inputs!$J$199,$E$4268:$E$4507,$E4387,$D$4268:$D$4507,"&lt;"&amp;$D4387))</f>
        <v>0</v>
      </c>
      <c r="H4387" s="55">
        <f>IF($D4387="",0,COUNTIFS(Inputs!$J$80:$J$199,Inputs!$J$199,$E$4268:$E4387,$E4387,$D$4268:$D4387,$D4387))</f>
        <v>0</v>
      </c>
      <c r="I4387" s="55">
        <f t="shared" si="1547"/>
        <v>0</v>
      </c>
    </row>
    <row r="4388" spans="1:9" x14ac:dyDescent="0.25">
      <c r="A4388" s="55">
        <f>IF(OR(Inputs!$J$200&lt;&gt;nr_SelKey,Inputs!$E$200&lt;&gt;"planned",Inputs!$C$200=""),0,COUNTIFS(Inputs!$J$80:$J$200,nr_SelKey,Inputs!$E$80:$E$200,"planned"))</f>
        <v>0</v>
      </c>
      <c r="B4388" s="52">
        <f>IF($A4388=0,N(Inputs!$K$200),IF(ISBLANK(INDEX(att_actpct,$A4388)),N(Inputs!$K$200),INDEX(att_actpct,$A4388)))</f>
        <v>0</v>
      </c>
      <c r="C4388" s="53">
        <f>IF(Inputs!$C$200="",0,IF(1+$B4388&gt;0,LN(1+$B4388),0))</f>
        <v>0</v>
      </c>
      <c r="D4388" s="54" t="str">
        <f>IF(Inputs!$C$200="","",IF($A4388=0,Inputs!$C$200,IF(ISBLANK(INDEX(att_actdate,$A4388)),Inputs!$C$200,INDEX(att_actdate,$A4388))))</f>
        <v/>
      </c>
      <c r="E4388" s="54" t="str">
        <f t="shared" si="1545"/>
        <v/>
      </c>
      <c r="F4388" s="55">
        <f t="shared" si="1546"/>
        <v>0</v>
      </c>
      <c r="G4388" s="55">
        <f>IF($D4388="",0,COUNTIFS(rl_key,Inputs!$J$200,$E$4268:$E$4507,$E4388,$D$4268:$D$4507,"&lt;"&amp;$D4388))</f>
        <v>0</v>
      </c>
      <c r="H4388" s="55">
        <f>IF($D4388="",0,COUNTIFS(Inputs!$J$80:$J$200,Inputs!$J$200,$E$4268:$E4388,$E4388,$D$4268:$D4388,$D4388))</f>
        <v>0</v>
      </c>
      <c r="I4388" s="55">
        <f t="shared" si="1547"/>
        <v>0</v>
      </c>
    </row>
    <row r="4389" spans="1:9" x14ac:dyDescent="0.25">
      <c r="A4389" s="55">
        <f>IF(OR(Inputs!$J$201&lt;&gt;nr_SelKey,Inputs!$E$201&lt;&gt;"planned",Inputs!$C$201=""),0,COUNTIFS(Inputs!$J$80:$J$201,nr_SelKey,Inputs!$E$80:$E$201,"planned"))</f>
        <v>0</v>
      </c>
      <c r="B4389" s="52">
        <f>IF($A4389=0,N(Inputs!$K$201),IF(ISBLANK(INDEX(att_actpct,$A4389)),N(Inputs!$K$201),INDEX(att_actpct,$A4389)))</f>
        <v>0</v>
      </c>
      <c r="C4389" s="53">
        <f>IF(Inputs!$C$201="",0,IF(1+$B4389&gt;0,LN(1+$B4389),0))</f>
        <v>0</v>
      </c>
      <c r="D4389" s="54" t="str">
        <f>IF(Inputs!$C$201="","",IF($A4389=0,Inputs!$C$201,IF(ISBLANK(INDEX(att_actdate,$A4389)),Inputs!$C$201,INDEX(att_actdate,$A4389))))</f>
        <v/>
      </c>
      <c r="E4389" s="54" t="str">
        <f t="shared" si="1545"/>
        <v/>
      </c>
      <c r="F4389" s="55">
        <f t="shared" si="1546"/>
        <v>0</v>
      </c>
      <c r="G4389" s="55">
        <f>IF($D4389="",0,COUNTIFS(rl_key,Inputs!$J$201,$E$4268:$E$4507,$E4389,$D$4268:$D$4507,"&lt;"&amp;$D4389))</f>
        <v>0</v>
      </c>
      <c r="H4389" s="55">
        <f>IF($D4389="",0,COUNTIFS(Inputs!$J$80:$J$201,Inputs!$J$201,$E$4268:$E4389,$E4389,$D$4268:$D4389,$D4389))</f>
        <v>0</v>
      </c>
      <c r="I4389" s="55">
        <f t="shared" si="1547"/>
        <v>0</v>
      </c>
    </row>
    <row r="4390" spans="1:9" x14ac:dyDescent="0.25">
      <c r="A4390" s="55">
        <f>IF(OR(Inputs!$J$202&lt;&gt;nr_SelKey,Inputs!$E$202&lt;&gt;"planned",Inputs!$C$202=""),0,COUNTIFS(Inputs!$J$80:$J$202,nr_SelKey,Inputs!$E$80:$E$202,"planned"))</f>
        <v>0</v>
      </c>
      <c r="B4390" s="52">
        <f>IF($A4390=0,N(Inputs!$K$202),IF(ISBLANK(INDEX(att_actpct,$A4390)),N(Inputs!$K$202),INDEX(att_actpct,$A4390)))</f>
        <v>0</v>
      </c>
      <c r="C4390" s="53">
        <f>IF(Inputs!$C$202="",0,IF(1+$B4390&gt;0,LN(1+$B4390),0))</f>
        <v>0</v>
      </c>
      <c r="D4390" s="54" t="str">
        <f>IF(Inputs!$C$202="","",IF($A4390=0,Inputs!$C$202,IF(ISBLANK(INDEX(att_actdate,$A4390)),Inputs!$C$202,INDEX(att_actdate,$A4390))))</f>
        <v/>
      </c>
      <c r="E4390" s="54" t="str">
        <f t="shared" si="1545"/>
        <v/>
      </c>
      <c r="F4390" s="55">
        <f t="shared" si="1546"/>
        <v>0</v>
      </c>
      <c r="G4390" s="55">
        <f>IF($D4390="",0,COUNTIFS(rl_key,Inputs!$J$202,$E$4268:$E$4507,$E4390,$D$4268:$D$4507,"&lt;"&amp;$D4390))</f>
        <v>0</v>
      </c>
      <c r="H4390" s="55">
        <f>IF($D4390="",0,COUNTIFS(Inputs!$J$80:$J$202,Inputs!$J$202,$E$4268:$E4390,$E4390,$D$4268:$D4390,$D4390))</f>
        <v>0</v>
      </c>
      <c r="I4390" s="55">
        <f t="shared" si="1547"/>
        <v>0</v>
      </c>
    </row>
    <row r="4391" spans="1:9" x14ac:dyDescent="0.25">
      <c r="A4391" s="55">
        <f>IF(OR(Inputs!$J$203&lt;&gt;nr_SelKey,Inputs!$E$203&lt;&gt;"planned",Inputs!$C$203=""),0,COUNTIFS(Inputs!$J$80:$J$203,nr_SelKey,Inputs!$E$80:$E$203,"planned"))</f>
        <v>0</v>
      </c>
      <c r="B4391" s="52">
        <f>IF($A4391=0,N(Inputs!$K$203),IF(ISBLANK(INDEX(att_actpct,$A4391)),N(Inputs!$K$203),INDEX(att_actpct,$A4391)))</f>
        <v>0</v>
      </c>
      <c r="C4391" s="53">
        <f>IF(Inputs!$C$203="",0,IF(1+$B4391&gt;0,LN(1+$B4391),0))</f>
        <v>0</v>
      </c>
      <c r="D4391" s="54" t="str">
        <f>IF(Inputs!$C$203="","",IF($A4391=0,Inputs!$C$203,IF(ISBLANK(INDEX(att_actdate,$A4391)),Inputs!$C$203,INDEX(att_actdate,$A4391))))</f>
        <v/>
      </c>
      <c r="E4391" s="54" t="str">
        <f t="shared" si="1545"/>
        <v/>
      </c>
      <c r="F4391" s="55">
        <f t="shared" si="1546"/>
        <v>0</v>
      </c>
      <c r="G4391" s="55">
        <f>IF($D4391="",0,COUNTIFS(rl_key,Inputs!$J$203,$E$4268:$E$4507,$E4391,$D$4268:$D$4507,"&lt;"&amp;$D4391))</f>
        <v>0</v>
      </c>
      <c r="H4391" s="55">
        <f>IF($D4391="",0,COUNTIFS(Inputs!$J$80:$J$203,Inputs!$J$203,$E$4268:$E4391,$E4391,$D$4268:$D4391,$D4391))</f>
        <v>0</v>
      </c>
      <c r="I4391" s="55">
        <f t="shared" si="1547"/>
        <v>0</v>
      </c>
    </row>
    <row r="4392" spans="1:9" x14ac:dyDescent="0.25">
      <c r="A4392" s="55">
        <f>IF(OR(Inputs!$J$204&lt;&gt;nr_SelKey,Inputs!$E$204&lt;&gt;"planned",Inputs!$C$204=""),0,COUNTIFS(Inputs!$J$80:$J$204,nr_SelKey,Inputs!$E$80:$E$204,"planned"))</f>
        <v>0</v>
      </c>
      <c r="B4392" s="52">
        <f>IF($A4392=0,N(Inputs!$K$204),IF(ISBLANK(INDEX(att_actpct,$A4392)),N(Inputs!$K$204),INDEX(att_actpct,$A4392)))</f>
        <v>0</v>
      </c>
      <c r="C4392" s="53">
        <f>IF(Inputs!$C$204="",0,IF(1+$B4392&gt;0,LN(1+$B4392),0))</f>
        <v>0</v>
      </c>
      <c r="D4392" s="54" t="str">
        <f>IF(Inputs!$C$204="","",IF($A4392=0,Inputs!$C$204,IF(ISBLANK(INDEX(att_actdate,$A4392)),Inputs!$C$204,INDEX(att_actdate,$A4392))))</f>
        <v/>
      </c>
      <c r="E4392" s="54" t="str">
        <f t="shared" si="1545"/>
        <v/>
      </c>
      <c r="F4392" s="55">
        <f t="shared" si="1546"/>
        <v>0</v>
      </c>
      <c r="G4392" s="55">
        <f>IF($D4392="",0,COUNTIFS(rl_key,Inputs!$J$204,$E$4268:$E$4507,$E4392,$D$4268:$D$4507,"&lt;"&amp;$D4392))</f>
        <v>0</v>
      </c>
      <c r="H4392" s="55">
        <f>IF($D4392="",0,COUNTIFS(Inputs!$J$80:$J$204,Inputs!$J$204,$E$4268:$E4392,$E4392,$D$4268:$D4392,$D4392))</f>
        <v>0</v>
      </c>
      <c r="I4392" s="55">
        <f t="shared" si="1547"/>
        <v>0</v>
      </c>
    </row>
    <row r="4393" spans="1:9" x14ac:dyDescent="0.25">
      <c r="A4393" s="55">
        <f>IF(OR(Inputs!$J$205&lt;&gt;nr_SelKey,Inputs!$E$205&lt;&gt;"planned",Inputs!$C$205=""),0,COUNTIFS(Inputs!$J$80:$J$205,nr_SelKey,Inputs!$E$80:$E$205,"planned"))</f>
        <v>0</v>
      </c>
      <c r="B4393" s="52">
        <f>IF($A4393=0,N(Inputs!$K$205),IF(ISBLANK(INDEX(att_actpct,$A4393)),N(Inputs!$K$205),INDEX(att_actpct,$A4393)))</f>
        <v>0</v>
      </c>
      <c r="C4393" s="53">
        <f>IF(Inputs!$C$205="",0,IF(1+$B4393&gt;0,LN(1+$B4393),0))</f>
        <v>0</v>
      </c>
      <c r="D4393" s="54" t="str">
        <f>IF(Inputs!$C$205="","",IF($A4393=0,Inputs!$C$205,IF(ISBLANK(INDEX(att_actdate,$A4393)),Inputs!$C$205,INDEX(att_actdate,$A4393))))</f>
        <v/>
      </c>
      <c r="E4393" s="54" t="str">
        <f t="shared" si="1545"/>
        <v/>
      </c>
      <c r="F4393" s="55">
        <f t="shared" si="1546"/>
        <v>0</v>
      </c>
      <c r="G4393" s="55">
        <f>IF($D4393="",0,COUNTIFS(rl_key,Inputs!$J$205,$E$4268:$E$4507,$E4393,$D$4268:$D$4507,"&lt;"&amp;$D4393))</f>
        <v>0</v>
      </c>
      <c r="H4393" s="55">
        <f>IF($D4393="",0,COUNTIFS(Inputs!$J$80:$J$205,Inputs!$J$205,$E$4268:$E4393,$E4393,$D$4268:$D4393,$D4393))</f>
        <v>0</v>
      </c>
      <c r="I4393" s="55">
        <f t="shared" si="1547"/>
        <v>0</v>
      </c>
    </row>
    <row r="4394" spans="1:9" x14ac:dyDescent="0.25">
      <c r="A4394" s="55">
        <f>IF(OR(Inputs!$J$206&lt;&gt;nr_SelKey,Inputs!$E$206&lt;&gt;"planned",Inputs!$C$206=""),0,COUNTIFS(Inputs!$J$80:$J$206,nr_SelKey,Inputs!$E$80:$E$206,"planned"))</f>
        <v>0</v>
      </c>
      <c r="B4394" s="52">
        <f>IF($A4394=0,N(Inputs!$K$206),IF(ISBLANK(INDEX(att_actpct,$A4394)),N(Inputs!$K$206),INDEX(att_actpct,$A4394)))</f>
        <v>0</v>
      </c>
      <c r="C4394" s="53">
        <f>IF(Inputs!$C$206="",0,IF(1+$B4394&gt;0,LN(1+$B4394),0))</f>
        <v>0</v>
      </c>
      <c r="D4394" s="54" t="str">
        <f>IF(Inputs!$C$206="","",IF($A4394=0,Inputs!$C$206,IF(ISBLANK(INDEX(att_actdate,$A4394)),Inputs!$C$206,INDEX(att_actdate,$A4394))))</f>
        <v/>
      </c>
      <c r="E4394" s="54" t="str">
        <f t="shared" si="1545"/>
        <v/>
      </c>
      <c r="F4394" s="55">
        <f t="shared" si="1546"/>
        <v>0</v>
      </c>
      <c r="G4394" s="55">
        <f>IF($D4394="",0,COUNTIFS(rl_key,Inputs!$J$206,$E$4268:$E$4507,$E4394,$D$4268:$D$4507,"&lt;"&amp;$D4394))</f>
        <v>0</v>
      </c>
      <c r="H4394" s="55">
        <f>IF($D4394="",0,COUNTIFS(Inputs!$J$80:$J$206,Inputs!$J$206,$E$4268:$E4394,$E4394,$D$4268:$D4394,$D4394))</f>
        <v>0</v>
      </c>
      <c r="I4394" s="55">
        <f t="shared" si="1547"/>
        <v>0</v>
      </c>
    </row>
    <row r="4395" spans="1:9" x14ac:dyDescent="0.25">
      <c r="A4395" s="55">
        <f>IF(OR(Inputs!$J$207&lt;&gt;nr_SelKey,Inputs!$E$207&lt;&gt;"planned",Inputs!$C$207=""),0,COUNTIFS(Inputs!$J$80:$J$207,nr_SelKey,Inputs!$E$80:$E$207,"planned"))</f>
        <v>0</v>
      </c>
      <c r="B4395" s="52">
        <f>IF($A4395=0,N(Inputs!$K$207),IF(ISBLANK(INDEX(att_actpct,$A4395)),N(Inputs!$K$207),INDEX(att_actpct,$A4395)))</f>
        <v>0</v>
      </c>
      <c r="C4395" s="53">
        <f>IF(Inputs!$C$207="",0,IF(1+$B4395&gt;0,LN(1+$B4395),0))</f>
        <v>0</v>
      </c>
      <c r="D4395" s="54" t="str">
        <f>IF(Inputs!$C$207="","",IF($A4395=0,Inputs!$C$207,IF(ISBLANK(INDEX(att_actdate,$A4395)),Inputs!$C$207,INDEX(att_actdate,$A4395))))</f>
        <v/>
      </c>
      <c r="E4395" s="54" t="str">
        <f t="shared" si="1545"/>
        <v/>
      </c>
      <c r="F4395" s="55">
        <f t="shared" si="1546"/>
        <v>0</v>
      </c>
      <c r="G4395" s="55">
        <f>IF($D4395="",0,COUNTIFS(rl_key,Inputs!$J$207,$E$4268:$E$4507,$E4395,$D$4268:$D$4507,"&lt;"&amp;$D4395))</f>
        <v>0</v>
      </c>
      <c r="H4395" s="55">
        <f>IF($D4395="",0,COUNTIFS(Inputs!$J$80:$J$207,Inputs!$J$207,$E$4268:$E4395,$E4395,$D$4268:$D4395,$D4395))</f>
        <v>0</v>
      </c>
      <c r="I4395" s="55">
        <f t="shared" si="1547"/>
        <v>0</v>
      </c>
    </row>
    <row r="4396" spans="1:9" x14ac:dyDescent="0.25">
      <c r="A4396" s="55">
        <f>IF(OR(Inputs!$J$208&lt;&gt;nr_SelKey,Inputs!$E$208&lt;&gt;"planned",Inputs!$C$208=""),0,COUNTIFS(Inputs!$J$80:$J$208,nr_SelKey,Inputs!$E$80:$E$208,"planned"))</f>
        <v>0</v>
      </c>
      <c r="B4396" s="52">
        <f>IF($A4396=0,N(Inputs!$K$208),IF(ISBLANK(INDEX(att_actpct,$A4396)),N(Inputs!$K$208),INDEX(att_actpct,$A4396)))</f>
        <v>0</v>
      </c>
      <c r="C4396" s="53">
        <f>IF(Inputs!$C$208="",0,IF(1+$B4396&gt;0,LN(1+$B4396),0))</f>
        <v>0</v>
      </c>
      <c r="D4396" s="54" t="str">
        <f>IF(Inputs!$C$208="","",IF($A4396=0,Inputs!$C$208,IF(ISBLANK(INDEX(att_actdate,$A4396)),Inputs!$C$208,INDEX(att_actdate,$A4396))))</f>
        <v/>
      </c>
      <c r="E4396" s="54" t="str">
        <f t="shared" ref="E4396:E4459" si="1548">IF($D4396="","",DATE(YEAR($D4396),MONTH($D4396),1))</f>
        <v/>
      </c>
      <c r="F4396" s="55">
        <f t="shared" ref="F4396:F4459" si="1549">IF($D4396="",0,EOMONTH($D4396,0)-$D4396+1)</f>
        <v>0</v>
      </c>
      <c r="G4396" s="55">
        <f>IF($D4396="",0,COUNTIFS(rl_key,Inputs!$J$208,$E$4268:$E$4507,$E4396,$D$4268:$D$4507,"&lt;"&amp;$D4396))</f>
        <v>0</v>
      </c>
      <c r="H4396" s="55">
        <f>IF($D4396="",0,COUNTIFS(Inputs!$J$80:$J$208,Inputs!$J$208,$E$4268:$E4396,$E4396,$D$4268:$D4396,$D4396))</f>
        <v>0</v>
      </c>
      <c r="I4396" s="55">
        <f t="shared" ref="I4396:I4459" si="1550">IF($D4396="",0,IF(AND($G4396=0,$H4396=1),1,0))</f>
        <v>0</v>
      </c>
    </row>
    <row r="4397" spans="1:9" x14ac:dyDescent="0.25">
      <c r="A4397" s="55">
        <f>IF(OR(Inputs!$J$209&lt;&gt;nr_SelKey,Inputs!$E$209&lt;&gt;"planned",Inputs!$C$209=""),0,COUNTIFS(Inputs!$J$80:$J$209,nr_SelKey,Inputs!$E$80:$E$209,"planned"))</f>
        <v>0</v>
      </c>
      <c r="B4397" s="52">
        <f>IF($A4397=0,N(Inputs!$K$209),IF(ISBLANK(INDEX(att_actpct,$A4397)),N(Inputs!$K$209),INDEX(att_actpct,$A4397)))</f>
        <v>0</v>
      </c>
      <c r="C4397" s="53">
        <f>IF(Inputs!$C$209="",0,IF(1+$B4397&gt;0,LN(1+$B4397),0))</f>
        <v>0</v>
      </c>
      <c r="D4397" s="54" t="str">
        <f>IF(Inputs!$C$209="","",IF($A4397=0,Inputs!$C$209,IF(ISBLANK(INDEX(att_actdate,$A4397)),Inputs!$C$209,INDEX(att_actdate,$A4397))))</f>
        <v/>
      </c>
      <c r="E4397" s="54" t="str">
        <f t="shared" si="1548"/>
        <v/>
      </c>
      <c r="F4397" s="55">
        <f t="shared" si="1549"/>
        <v>0</v>
      </c>
      <c r="G4397" s="55">
        <f>IF($D4397="",0,COUNTIFS(rl_key,Inputs!$J$209,$E$4268:$E$4507,$E4397,$D$4268:$D$4507,"&lt;"&amp;$D4397))</f>
        <v>0</v>
      </c>
      <c r="H4397" s="55">
        <f>IF($D4397="",0,COUNTIFS(Inputs!$J$80:$J$209,Inputs!$J$209,$E$4268:$E4397,$E4397,$D$4268:$D4397,$D4397))</f>
        <v>0</v>
      </c>
      <c r="I4397" s="55">
        <f t="shared" si="1550"/>
        <v>0</v>
      </c>
    </row>
    <row r="4398" spans="1:9" x14ac:dyDescent="0.25">
      <c r="A4398" s="55">
        <f>IF(OR(Inputs!$J$210&lt;&gt;nr_SelKey,Inputs!$E$210&lt;&gt;"planned",Inputs!$C$210=""),0,COUNTIFS(Inputs!$J$80:$J$210,nr_SelKey,Inputs!$E$80:$E$210,"planned"))</f>
        <v>0</v>
      </c>
      <c r="B4398" s="52">
        <f>IF($A4398=0,N(Inputs!$K$210),IF(ISBLANK(INDEX(att_actpct,$A4398)),N(Inputs!$K$210),INDEX(att_actpct,$A4398)))</f>
        <v>0</v>
      </c>
      <c r="C4398" s="53">
        <f>IF(Inputs!$C$210="",0,IF(1+$B4398&gt;0,LN(1+$B4398),0))</f>
        <v>0</v>
      </c>
      <c r="D4398" s="54" t="str">
        <f>IF(Inputs!$C$210="","",IF($A4398=0,Inputs!$C$210,IF(ISBLANK(INDEX(att_actdate,$A4398)),Inputs!$C$210,INDEX(att_actdate,$A4398))))</f>
        <v/>
      </c>
      <c r="E4398" s="54" t="str">
        <f t="shared" si="1548"/>
        <v/>
      </c>
      <c r="F4398" s="55">
        <f t="shared" si="1549"/>
        <v>0</v>
      </c>
      <c r="G4398" s="55">
        <f>IF($D4398="",0,COUNTIFS(rl_key,Inputs!$J$210,$E$4268:$E$4507,$E4398,$D$4268:$D$4507,"&lt;"&amp;$D4398))</f>
        <v>0</v>
      </c>
      <c r="H4398" s="55">
        <f>IF($D4398="",0,COUNTIFS(Inputs!$J$80:$J$210,Inputs!$J$210,$E$4268:$E4398,$E4398,$D$4268:$D4398,$D4398))</f>
        <v>0</v>
      </c>
      <c r="I4398" s="55">
        <f t="shared" si="1550"/>
        <v>0</v>
      </c>
    </row>
    <row r="4399" spans="1:9" x14ac:dyDescent="0.25">
      <c r="A4399" s="55">
        <f>IF(OR(Inputs!$J$211&lt;&gt;nr_SelKey,Inputs!$E$211&lt;&gt;"planned",Inputs!$C$211=""),0,COUNTIFS(Inputs!$J$80:$J$211,nr_SelKey,Inputs!$E$80:$E$211,"planned"))</f>
        <v>0</v>
      </c>
      <c r="B4399" s="52">
        <f>IF($A4399=0,N(Inputs!$K$211),IF(ISBLANK(INDEX(att_actpct,$A4399)),N(Inputs!$K$211),INDEX(att_actpct,$A4399)))</f>
        <v>0</v>
      </c>
      <c r="C4399" s="53">
        <f>IF(Inputs!$C$211="",0,IF(1+$B4399&gt;0,LN(1+$B4399),0))</f>
        <v>0</v>
      </c>
      <c r="D4399" s="54" t="str">
        <f>IF(Inputs!$C$211="","",IF($A4399=0,Inputs!$C$211,IF(ISBLANK(INDEX(att_actdate,$A4399)),Inputs!$C$211,INDEX(att_actdate,$A4399))))</f>
        <v/>
      </c>
      <c r="E4399" s="54" t="str">
        <f t="shared" si="1548"/>
        <v/>
      </c>
      <c r="F4399" s="55">
        <f t="shared" si="1549"/>
        <v>0</v>
      </c>
      <c r="G4399" s="55">
        <f>IF($D4399="",0,COUNTIFS(rl_key,Inputs!$J$211,$E$4268:$E$4507,$E4399,$D$4268:$D$4507,"&lt;"&amp;$D4399))</f>
        <v>0</v>
      </c>
      <c r="H4399" s="55">
        <f>IF($D4399="",0,COUNTIFS(Inputs!$J$80:$J$211,Inputs!$J$211,$E$4268:$E4399,$E4399,$D$4268:$D4399,$D4399))</f>
        <v>0</v>
      </c>
      <c r="I4399" s="55">
        <f t="shared" si="1550"/>
        <v>0</v>
      </c>
    </row>
    <row r="4400" spans="1:9" x14ac:dyDescent="0.25">
      <c r="A4400" s="55">
        <f>IF(OR(Inputs!$J$212&lt;&gt;nr_SelKey,Inputs!$E$212&lt;&gt;"planned",Inputs!$C$212=""),0,COUNTIFS(Inputs!$J$80:$J$212,nr_SelKey,Inputs!$E$80:$E$212,"planned"))</f>
        <v>0</v>
      </c>
      <c r="B4400" s="52">
        <f>IF($A4400=0,N(Inputs!$K$212),IF(ISBLANK(INDEX(att_actpct,$A4400)),N(Inputs!$K$212),INDEX(att_actpct,$A4400)))</f>
        <v>0</v>
      </c>
      <c r="C4400" s="53">
        <f>IF(Inputs!$C$212="",0,IF(1+$B4400&gt;0,LN(1+$B4400),0))</f>
        <v>0</v>
      </c>
      <c r="D4400" s="54" t="str">
        <f>IF(Inputs!$C$212="","",IF($A4400=0,Inputs!$C$212,IF(ISBLANK(INDEX(att_actdate,$A4400)),Inputs!$C$212,INDEX(att_actdate,$A4400))))</f>
        <v/>
      </c>
      <c r="E4400" s="54" t="str">
        <f t="shared" si="1548"/>
        <v/>
      </c>
      <c r="F4400" s="55">
        <f t="shared" si="1549"/>
        <v>0</v>
      </c>
      <c r="G4400" s="55">
        <f>IF($D4400="",0,COUNTIFS(rl_key,Inputs!$J$212,$E$4268:$E$4507,$E4400,$D$4268:$D$4507,"&lt;"&amp;$D4400))</f>
        <v>0</v>
      </c>
      <c r="H4400" s="55">
        <f>IF($D4400="",0,COUNTIFS(Inputs!$J$80:$J$212,Inputs!$J$212,$E$4268:$E4400,$E4400,$D$4268:$D4400,$D4400))</f>
        <v>0</v>
      </c>
      <c r="I4400" s="55">
        <f t="shared" si="1550"/>
        <v>0</v>
      </c>
    </row>
    <row r="4401" spans="1:9" x14ac:dyDescent="0.25">
      <c r="A4401" s="55">
        <f>IF(OR(Inputs!$J$213&lt;&gt;nr_SelKey,Inputs!$E$213&lt;&gt;"planned",Inputs!$C$213=""),0,COUNTIFS(Inputs!$J$80:$J$213,nr_SelKey,Inputs!$E$80:$E$213,"planned"))</f>
        <v>0</v>
      </c>
      <c r="B4401" s="52">
        <f>IF($A4401=0,N(Inputs!$K$213),IF(ISBLANK(INDEX(att_actpct,$A4401)),N(Inputs!$K$213),INDEX(att_actpct,$A4401)))</f>
        <v>0</v>
      </c>
      <c r="C4401" s="53">
        <f>IF(Inputs!$C$213="",0,IF(1+$B4401&gt;0,LN(1+$B4401),0))</f>
        <v>0</v>
      </c>
      <c r="D4401" s="54" t="str">
        <f>IF(Inputs!$C$213="","",IF($A4401=0,Inputs!$C$213,IF(ISBLANK(INDEX(att_actdate,$A4401)),Inputs!$C$213,INDEX(att_actdate,$A4401))))</f>
        <v/>
      </c>
      <c r="E4401" s="54" t="str">
        <f t="shared" si="1548"/>
        <v/>
      </c>
      <c r="F4401" s="55">
        <f t="shared" si="1549"/>
        <v>0</v>
      </c>
      <c r="G4401" s="55">
        <f>IF($D4401="",0,COUNTIFS(rl_key,Inputs!$J$213,$E$4268:$E$4507,$E4401,$D$4268:$D$4507,"&lt;"&amp;$D4401))</f>
        <v>0</v>
      </c>
      <c r="H4401" s="55">
        <f>IF($D4401="",0,COUNTIFS(Inputs!$J$80:$J$213,Inputs!$J$213,$E$4268:$E4401,$E4401,$D$4268:$D4401,$D4401))</f>
        <v>0</v>
      </c>
      <c r="I4401" s="55">
        <f t="shared" si="1550"/>
        <v>0</v>
      </c>
    </row>
    <row r="4402" spans="1:9" x14ac:dyDescent="0.25">
      <c r="A4402" s="55">
        <f>IF(OR(Inputs!$J$214&lt;&gt;nr_SelKey,Inputs!$E$214&lt;&gt;"planned",Inputs!$C$214=""),0,COUNTIFS(Inputs!$J$80:$J$214,nr_SelKey,Inputs!$E$80:$E$214,"planned"))</f>
        <v>0</v>
      </c>
      <c r="B4402" s="52">
        <f>IF($A4402=0,N(Inputs!$K$214),IF(ISBLANK(INDEX(att_actpct,$A4402)),N(Inputs!$K$214),INDEX(att_actpct,$A4402)))</f>
        <v>0</v>
      </c>
      <c r="C4402" s="53">
        <f>IF(Inputs!$C$214="",0,IF(1+$B4402&gt;0,LN(1+$B4402),0))</f>
        <v>0</v>
      </c>
      <c r="D4402" s="54" t="str">
        <f>IF(Inputs!$C$214="","",IF($A4402=0,Inputs!$C$214,IF(ISBLANK(INDEX(att_actdate,$A4402)),Inputs!$C$214,INDEX(att_actdate,$A4402))))</f>
        <v/>
      </c>
      <c r="E4402" s="54" t="str">
        <f t="shared" si="1548"/>
        <v/>
      </c>
      <c r="F4402" s="55">
        <f t="shared" si="1549"/>
        <v>0</v>
      </c>
      <c r="G4402" s="55">
        <f>IF($D4402="",0,COUNTIFS(rl_key,Inputs!$J$214,$E$4268:$E$4507,$E4402,$D$4268:$D$4507,"&lt;"&amp;$D4402))</f>
        <v>0</v>
      </c>
      <c r="H4402" s="55">
        <f>IF($D4402="",0,COUNTIFS(Inputs!$J$80:$J$214,Inputs!$J$214,$E$4268:$E4402,$E4402,$D$4268:$D4402,$D4402))</f>
        <v>0</v>
      </c>
      <c r="I4402" s="55">
        <f t="shared" si="1550"/>
        <v>0</v>
      </c>
    </row>
    <row r="4403" spans="1:9" x14ac:dyDescent="0.25">
      <c r="A4403" s="55">
        <f>IF(OR(Inputs!$J$215&lt;&gt;nr_SelKey,Inputs!$E$215&lt;&gt;"planned",Inputs!$C$215=""),0,COUNTIFS(Inputs!$J$80:$J$215,nr_SelKey,Inputs!$E$80:$E$215,"planned"))</f>
        <v>0</v>
      </c>
      <c r="B4403" s="52">
        <f>IF($A4403=0,N(Inputs!$K$215),IF(ISBLANK(INDEX(att_actpct,$A4403)),N(Inputs!$K$215),INDEX(att_actpct,$A4403)))</f>
        <v>0</v>
      </c>
      <c r="C4403" s="53">
        <f>IF(Inputs!$C$215="",0,IF(1+$B4403&gt;0,LN(1+$B4403),0))</f>
        <v>0</v>
      </c>
      <c r="D4403" s="54" t="str">
        <f>IF(Inputs!$C$215="","",IF($A4403=0,Inputs!$C$215,IF(ISBLANK(INDEX(att_actdate,$A4403)),Inputs!$C$215,INDEX(att_actdate,$A4403))))</f>
        <v/>
      </c>
      <c r="E4403" s="54" t="str">
        <f t="shared" si="1548"/>
        <v/>
      </c>
      <c r="F4403" s="55">
        <f t="shared" si="1549"/>
        <v>0</v>
      </c>
      <c r="G4403" s="55">
        <f>IF($D4403="",0,COUNTIFS(rl_key,Inputs!$J$215,$E$4268:$E$4507,$E4403,$D$4268:$D$4507,"&lt;"&amp;$D4403))</f>
        <v>0</v>
      </c>
      <c r="H4403" s="55">
        <f>IF($D4403="",0,COUNTIFS(Inputs!$J$80:$J$215,Inputs!$J$215,$E$4268:$E4403,$E4403,$D$4268:$D4403,$D4403))</f>
        <v>0</v>
      </c>
      <c r="I4403" s="55">
        <f t="shared" si="1550"/>
        <v>0</v>
      </c>
    </row>
    <row r="4404" spans="1:9" x14ac:dyDescent="0.25">
      <c r="A4404" s="55">
        <f>IF(OR(Inputs!$J$216&lt;&gt;nr_SelKey,Inputs!$E$216&lt;&gt;"planned",Inputs!$C$216=""),0,COUNTIFS(Inputs!$J$80:$J$216,nr_SelKey,Inputs!$E$80:$E$216,"planned"))</f>
        <v>0</v>
      </c>
      <c r="B4404" s="52">
        <f>IF($A4404=0,N(Inputs!$K$216),IF(ISBLANK(INDEX(att_actpct,$A4404)),N(Inputs!$K$216),INDEX(att_actpct,$A4404)))</f>
        <v>0</v>
      </c>
      <c r="C4404" s="53">
        <f>IF(Inputs!$C$216="",0,IF(1+$B4404&gt;0,LN(1+$B4404),0))</f>
        <v>0</v>
      </c>
      <c r="D4404" s="54" t="str">
        <f>IF(Inputs!$C$216="","",IF($A4404=0,Inputs!$C$216,IF(ISBLANK(INDEX(att_actdate,$A4404)),Inputs!$C$216,INDEX(att_actdate,$A4404))))</f>
        <v/>
      </c>
      <c r="E4404" s="54" t="str">
        <f t="shared" si="1548"/>
        <v/>
      </c>
      <c r="F4404" s="55">
        <f t="shared" si="1549"/>
        <v>0</v>
      </c>
      <c r="G4404" s="55">
        <f>IF($D4404="",0,COUNTIFS(rl_key,Inputs!$J$216,$E$4268:$E$4507,$E4404,$D$4268:$D$4507,"&lt;"&amp;$D4404))</f>
        <v>0</v>
      </c>
      <c r="H4404" s="55">
        <f>IF($D4404="",0,COUNTIFS(Inputs!$J$80:$J$216,Inputs!$J$216,$E$4268:$E4404,$E4404,$D$4268:$D4404,$D4404))</f>
        <v>0</v>
      </c>
      <c r="I4404" s="55">
        <f t="shared" si="1550"/>
        <v>0</v>
      </c>
    </row>
    <row r="4405" spans="1:9" x14ac:dyDescent="0.25">
      <c r="A4405" s="55">
        <f>IF(OR(Inputs!$J$217&lt;&gt;nr_SelKey,Inputs!$E$217&lt;&gt;"planned",Inputs!$C$217=""),0,COUNTIFS(Inputs!$J$80:$J$217,nr_SelKey,Inputs!$E$80:$E$217,"planned"))</f>
        <v>0</v>
      </c>
      <c r="B4405" s="52">
        <f>IF($A4405=0,N(Inputs!$K$217),IF(ISBLANK(INDEX(att_actpct,$A4405)),N(Inputs!$K$217),INDEX(att_actpct,$A4405)))</f>
        <v>0</v>
      </c>
      <c r="C4405" s="53">
        <f>IF(Inputs!$C$217="",0,IF(1+$B4405&gt;0,LN(1+$B4405),0))</f>
        <v>0</v>
      </c>
      <c r="D4405" s="54" t="str">
        <f>IF(Inputs!$C$217="","",IF($A4405=0,Inputs!$C$217,IF(ISBLANK(INDEX(att_actdate,$A4405)),Inputs!$C$217,INDEX(att_actdate,$A4405))))</f>
        <v/>
      </c>
      <c r="E4405" s="54" t="str">
        <f t="shared" si="1548"/>
        <v/>
      </c>
      <c r="F4405" s="55">
        <f t="shared" si="1549"/>
        <v>0</v>
      </c>
      <c r="G4405" s="55">
        <f>IF($D4405="",0,COUNTIFS(rl_key,Inputs!$J$217,$E$4268:$E$4507,$E4405,$D$4268:$D$4507,"&lt;"&amp;$D4405))</f>
        <v>0</v>
      </c>
      <c r="H4405" s="55">
        <f>IF($D4405="",0,COUNTIFS(Inputs!$J$80:$J$217,Inputs!$J$217,$E$4268:$E4405,$E4405,$D$4268:$D4405,$D4405))</f>
        <v>0</v>
      </c>
      <c r="I4405" s="55">
        <f t="shared" si="1550"/>
        <v>0</v>
      </c>
    </row>
    <row r="4406" spans="1:9" x14ac:dyDescent="0.25">
      <c r="A4406" s="55">
        <f>IF(OR(Inputs!$J$218&lt;&gt;nr_SelKey,Inputs!$E$218&lt;&gt;"planned",Inputs!$C$218=""),0,COUNTIFS(Inputs!$J$80:$J$218,nr_SelKey,Inputs!$E$80:$E$218,"planned"))</f>
        <v>0</v>
      </c>
      <c r="B4406" s="52">
        <f>IF($A4406=0,N(Inputs!$K$218),IF(ISBLANK(INDEX(att_actpct,$A4406)),N(Inputs!$K$218),INDEX(att_actpct,$A4406)))</f>
        <v>0</v>
      </c>
      <c r="C4406" s="53">
        <f>IF(Inputs!$C$218="",0,IF(1+$B4406&gt;0,LN(1+$B4406),0))</f>
        <v>0</v>
      </c>
      <c r="D4406" s="54" t="str">
        <f>IF(Inputs!$C$218="","",IF($A4406=0,Inputs!$C$218,IF(ISBLANK(INDEX(att_actdate,$A4406)),Inputs!$C$218,INDEX(att_actdate,$A4406))))</f>
        <v/>
      </c>
      <c r="E4406" s="54" t="str">
        <f t="shared" si="1548"/>
        <v/>
      </c>
      <c r="F4406" s="55">
        <f t="shared" si="1549"/>
        <v>0</v>
      </c>
      <c r="G4406" s="55">
        <f>IF($D4406="",0,COUNTIFS(rl_key,Inputs!$J$218,$E$4268:$E$4507,$E4406,$D$4268:$D$4507,"&lt;"&amp;$D4406))</f>
        <v>0</v>
      </c>
      <c r="H4406" s="55">
        <f>IF($D4406="",0,COUNTIFS(Inputs!$J$80:$J$218,Inputs!$J$218,$E$4268:$E4406,$E4406,$D$4268:$D4406,$D4406))</f>
        <v>0</v>
      </c>
      <c r="I4406" s="55">
        <f t="shared" si="1550"/>
        <v>0</v>
      </c>
    </row>
    <row r="4407" spans="1:9" x14ac:dyDescent="0.25">
      <c r="A4407" s="55">
        <f>IF(OR(Inputs!$J$219&lt;&gt;nr_SelKey,Inputs!$E$219&lt;&gt;"planned",Inputs!$C$219=""),0,COUNTIFS(Inputs!$J$80:$J$219,nr_SelKey,Inputs!$E$80:$E$219,"planned"))</f>
        <v>0</v>
      </c>
      <c r="B4407" s="52">
        <f>IF($A4407=0,N(Inputs!$K$219),IF(ISBLANK(INDEX(att_actpct,$A4407)),N(Inputs!$K$219),INDEX(att_actpct,$A4407)))</f>
        <v>0</v>
      </c>
      <c r="C4407" s="53">
        <f>IF(Inputs!$C$219="",0,IF(1+$B4407&gt;0,LN(1+$B4407),0))</f>
        <v>0</v>
      </c>
      <c r="D4407" s="54" t="str">
        <f>IF(Inputs!$C$219="","",IF($A4407=0,Inputs!$C$219,IF(ISBLANK(INDEX(att_actdate,$A4407)),Inputs!$C$219,INDEX(att_actdate,$A4407))))</f>
        <v/>
      </c>
      <c r="E4407" s="54" t="str">
        <f t="shared" si="1548"/>
        <v/>
      </c>
      <c r="F4407" s="55">
        <f t="shared" si="1549"/>
        <v>0</v>
      </c>
      <c r="G4407" s="55">
        <f>IF($D4407="",0,COUNTIFS(rl_key,Inputs!$J$219,$E$4268:$E$4507,$E4407,$D$4268:$D$4507,"&lt;"&amp;$D4407))</f>
        <v>0</v>
      </c>
      <c r="H4407" s="55">
        <f>IF($D4407="",0,COUNTIFS(Inputs!$J$80:$J$219,Inputs!$J$219,$E$4268:$E4407,$E4407,$D$4268:$D4407,$D4407))</f>
        <v>0</v>
      </c>
      <c r="I4407" s="55">
        <f t="shared" si="1550"/>
        <v>0</v>
      </c>
    </row>
    <row r="4408" spans="1:9" x14ac:dyDescent="0.25">
      <c r="A4408" s="55">
        <f>IF(OR(Inputs!$J$220&lt;&gt;nr_SelKey,Inputs!$E$220&lt;&gt;"planned",Inputs!$C$220=""),0,COUNTIFS(Inputs!$J$80:$J$220,nr_SelKey,Inputs!$E$80:$E$220,"planned"))</f>
        <v>0</v>
      </c>
      <c r="B4408" s="52">
        <f>IF($A4408=0,N(Inputs!$K$220),IF(ISBLANK(INDEX(att_actpct,$A4408)),N(Inputs!$K$220),INDEX(att_actpct,$A4408)))</f>
        <v>0</v>
      </c>
      <c r="C4408" s="53">
        <f>IF(Inputs!$C$220="",0,IF(1+$B4408&gt;0,LN(1+$B4408),0))</f>
        <v>0</v>
      </c>
      <c r="D4408" s="54" t="str">
        <f>IF(Inputs!$C$220="","",IF($A4408=0,Inputs!$C$220,IF(ISBLANK(INDEX(att_actdate,$A4408)),Inputs!$C$220,INDEX(att_actdate,$A4408))))</f>
        <v/>
      </c>
      <c r="E4408" s="54" t="str">
        <f t="shared" si="1548"/>
        <v/>
      </c>
      <c r="F4408" s="55">
        <f t="shared" si="1549"/>
        <v>0</v>
      </c>
      <c r="G4408" s="55">
        <f>IF($D4408="",0,COUNTIFS(rl_key,Inputs!$J$220,$E$4268:$E$4507,$E4408,$D$4268:$D$4507,"&lt;"&amp;$D4408))</f>
        <v>0</v>
      </c>
      <c r="H4408" s="55">
        <f>IF($D4408="",0,COUNTIFS(Inputs!$J$80:$J$220,Inputs!$J$220,$E$4268:$E4408,$E4408,$D$4268:$D4408,$D4408))</f>
        <v>0</v>
      </c>
      <c r="I4408" s="55">
        <f t="shared" si="1550"/>
        <v>0</v>
      </c>
    </row>
    <row r="4409" spans="1:9" x14ac:dyDescent="0.25">
      <c r="A4409" s="55">
        <f>IF(OR(Inputs!$J$221&lt;&gt;nr_SelKey,Inputs!$E$221&lt;&gt;"planned",Inputs!$C$221=""),0,COUNTIFS(Inputs!$J$80:$J$221,nr_SelKey,Inputs!$E$80:$E$221,"planned"))</f>
        <v>0</v>
      </c>
      <c r="B4409" s="52">
        <f>IF($A4409=0,N(Inputs!$K$221),IF(ISBLANK(INDEX(att_actpct,$A4409)),N(Inputs!$K$221),INDEX(att_actpct,$A4409)))</f>
        <v>0</v>
      </c>
      <c r="C4409" s="53">
        <f>IF(Inputs!$C$221="",0,IF(1+$B4409&gt;0,LN(1+$B4409),0))</f>
        <v>0</v>
      </c>
      <c r="D4409" s="54" t="str">
        <f>IF(Inputs!$C$221="","",IF($A4409=0,Inputs!$C$221,IF(ISBLANK(INDEX(att_actdate,$A4409)),Inputs!$C$221,INDEX(att_actdate,$A4409))))</f>
        <v/>
      </c>
      <c r="E4409" s="54" t="str">
        <f t="shared" si="1548"/>
        <v/>
      </c>
      <c r="F4409" s="55">
        <f t="shared" si="1549"/>
        <v>0</v>
      </c>
      <c r="G4409" s="55">
        <f>IF($D4409="",0,COUNTIFS(rl_key,Inputs!$J$221,$E$4268:$E$4507,$E4409,$D$4268:$D$4507,"&lt;"&amp;$D4409))</f>
        <v>0</v>
      </c>
      <c r="H4409" s="55">
        <f>IF($D4409="",0,COUNTIFS(Inputs!$J$80:$J$221,Inputs!$J$221,$E$4268:$E4409,$E4409,$D$4268:$D4409,$D4409))</f>
        <v>0</v>
      </c>
      <c r="I4409" s="55">
        <f t="shared" si="1550"/>
        <v>0</v>
      </c>
    </row>
    <row r="4410" spans="1:9" x14ac:dyDescent="0.25">
      <c r="A4410" s="55">
        <f>IF(OR(Inputs!$J$222&lt;&gt;nr_SelKey,Inputs!$E$222&lt;&gt;"planned",Inputs!$C$222=""),0,COUNTIFS(Inputs!$J$80:$J$222,nr_SelKey,Inputs!$E$80:$E$222,"planned"))</f>
        <v>0</v>
      </c>
      <c r="B4410" s="52">
        <f>IF($A4410=0,N(Inputs!$K$222),IF(ISBLANK(INDEX(att_actpct,$A4410)),N(Inputs!$K$222),INDEX(att_actpct,$A4410)))</f>
        <v>0</v>
      </c>
      <c r="C4410" s="53">
        <f>IF(Inputs!$C$222="",0,IF(1+$B4410&gt;0,LN(1+$B4410),0))</f>
        <v>0</v>
      </c>
      <c r="D4410" s="54" t="str">
        <f>IF(Inputs!$C$222="","",IF($A4410=0,Inputs!$C$222,IF(ISBLANK(INDEX(att_actdate,$A4410)),Inputs!$C$222,INDEX(att_actdate,$A4410))))</f>
        <v/>
      </c>
      <c r="E4410" s="54" t="str">
        <f t="shared" si="1548"/>
        <v/>
      </c>
      <c r="F4410" s="55">
        <f t="shared" si="1549"/>
        <v>0</v>
      </c>
      <c r="G4410" s="55">
        <f>IF($D4410="",0,COUNTIFS(rl_key,Inputs!$J$222,$E$4268:$E$4507,$E4410,$D$4268:$D$4507,"&lt;"&amp;$D4410))</f>
        <v>0</v>
      </c>
      <c r="H4410" s="55">
        <f>IF($D4410="",0,COUNTIFS(Inputs!$J$80:$J$222,Inputs!$J$222,$E$4268:$E4410,$E4410,$D$4268:$D4410,$D4410))</f>
        <v>0</v>
      </c>
      <c r="I4410" s="55">
        <f t="shared" si="1550"/>
        <v>0</v>
      </c>
    </row>
    <row r="4411" spans="1:9" x14ac:dyDescent="0.25">
      <c r="A4411" s="55">
        <f>IF(OR(Inputs!$J$223&lt;&gt;nr_SelKey,Inputs!$E$223&lt;&gt;"planned",Inputs!$C$223=""),0,COUNTIFS(Inputs!$J$80:$J$223,nr_SelKey,Inputs!$E$80:$E$223,"planned"))</f>
        <v>0</v>
      </c>
      <c r="B4411" s="52">
        <f>IF($A4411=0,N(Inputs!$K$223),IF(ISBLANK(INDEX(att_actpct,$A4411)),N(Inputs!$K$223),INDEX(att_actpct,$A4411)))</f>
        <v>0</v>
      </c>
      <c r="C4411" s="53">
        <f>IF(Inputs!$C$223="",0,IF(1+$B4411&gt;0,LN(1+$B4411),0))</f>
        <v>0</v>
      </c>
      <c r="D4411" s="54" t="str">
        <f>IF(Inputs!$C$223="","",IF($A4411=0,Inputs!$C$223,IF(ISBLANK(INDEX(att_actdate,$A4411)),Inputs!$C$223,INDEX(att_actdate,$A4411))))</f>
        <v/>
      </c>
      <c r="E4411" s="54" t="str">
        <f t="shared" si="1548"/>
        <v/>
      </c>
      <c r="F4411" s="55">
        <f t="shared" si="1549"/>
        <v>0</v>
      </c>
      <c r="G4411" s="55">
        <f>IF($D4411="",0,COUNTIFS(rl_key,Inputs!$J$223,$E$4268:$E$4507,$E4411,$D$4268:$D$4507,"&lt;"&amp;$D4411))</f>
        <v>0</v>
      </c>
      <c r="H4411" s="55">
        <f>IF($D4411="",0,COUNTIFS(Inputs!$J$80:$J$223,Inputs!$J$223,$E$4268:$E4411,$E4411,$D$4268:$D4411,$D4411))</f>
        <v>0</v>
      </c>
      <c r="I4411" s="55">
        <f t="shared" si="1550"/>
        <v>0</v>
      </c>
    </row>
    <row r="4412" spans="1:9" x14ac:dyDescent="0.25">
      <c r="A4412" s="55">
        <f>IF(OR(Inputs!$J$224&lt;&gt;nr_SelKey,Inputs!$E$224&lt;&gt;"planned",Inputs!$C$224=""),0,COUNTIFS(Inputs!$J$80:$J$224,nr_SelKey,Inputs!$E$80:$E$224,"planned"))</f>
        <v>0</v>
      </c>
      <c r="B4412" s="52">
        <f>IF($A4412=0,N(Inputs!$K$224),IF(ISBLANK(INDEX(att_actpct,$A4412)),N(Inputs!$K$224),INDEX(att_actpct,$A4412)))</f>
        <v>0</v>
      </c>
      <c r="C4412" s="53">
        <f>IF(Inputs!$C$224="",0,IF(1+$B4412&gt;0,LN(1+$B4412),0))</f>
        <v>0</v>
      </c>
      <c r="D4412" s="54" t="str">
        <f>IF(Inputs!$C$224="","",IF($A4412=0,Inputs!$C$224,IF(ISBLANK(INDEX(att_actdate,$A4412)),Inputs!$C$224,INDEX(att_actdate,$A4412))))</f>
        <v/>
      </c>
      <c r="E4412" s="54" t="str">
        <f t="shared" si="1548"/>
        <v/>
      </c>
      <c r="F4412" s="55">
        <f t="shared" si="1549"/>
        <v>0</v>
      </c>
      <c r="G4412" s="55">
        <f>IF($D4412="",0,COUNTIFS(rl_key,Inputs!$J$224,$E$4268:$E$4507,$E4412,$D$4268:$D$4507,"&lt;"&amp;$D4412))</f>
        <v>0</v>
      </c>
      <c r="H4412" s="55">
        <f>IF($D4412="",0,COUNTIFS(Inputs!$J$80:$J$224,Inputs!$J$224,$E$4268:$E4412,$E4412,$D$4268:$D4412,$D4412))</f>
        <v>0</v>
      </c>
      <c r="I4412" s="55">
        <f t="shared" si="1550"/>
        <v>0</v>
      </c>
    </row>
    <row r="4413" spans="1:9" x14ac:dyDescent="0.25">
      <c r="A4413" s="55">
        <f>IF(OR(Inputs!$J$225&lt;&gt;nr_SelKey,Inputs!$E$225&lt;&gt;"planned",Inputs!$C$225=""),0,COUNTIFS(Inputs!$J$80:$J$225,nr_SelKey,Inputs!$E$80:$E$225,"planned"))</f>
        <v>0</v>
      </c>
      <c r="B4413" s="52">
        <f>IF($A4413=0,N(Inputs!$K$225),IF(ISBLANK(INDEX(att_actpct,$A4413)),N(Inputs!$K$225),INDEX(att_actpct,$A4413)))</f>
        <v>0</v>
      </c>
      <c r="C4413" s="53">
        <f>IF(Inputs!$C$225="",0,IF(1+$B4413&gt;0,LN(1+$B4413),0))</f>
        <v>0</v>
      </c>
      <c r="D4413" s="54" t="str">
        <f>IF(Inputs!$C$225="","",IF($A4413=0,Inputs!$C$225,IF(ISBLANK(INDEX(att_actdate,$A4413)),Inputs!$C$225,INDEX(att_actdate,$A4413))))</f>
        <v/>
      </c>
      <c r="E4413" s="54" t="str">
        <f t="shared" si="1548"/>
        <v/>
      </c>
      <c r="F4413" s="55">
        <f t="shared" si="1549"/>
        <v>0</v>
      </c>
      <c r="G4413" s="55">
        <f>IF($D4413="",0,COUNTIFS(rl_key,Inputs!$J$225,$E$4268:$E$4507,$E4413,$D$4268:$D$4507,"&lt;"&amp;$D4413))</f>
        <v>0</v>
      </c>
      <c r="H4413" s="55">
        <f>IF($D4413="",0,COUNTIFS(Inputs!$J$80:$J$225,Inputs!$J$225,$E$4268:$E4413,$E4413,$D$4268:$D4413,$D4413))</f>
        <v>0</v>
      </c>
      <c r="I4413" s="55">
        <f t="shared" si="1550"/>
        <v>0</v>
      </c>
    </row>
    <row r="4414" spans="1:9" x14ac:dyDescent="0.25">
      <c r="A4414" s="55">
        <f>IF(OR(Inputs!$J$226&lt;&gt;nr_SelKey,Inputs!$E$226&lt;&gt;"planned",Inputs!$C$226=""),0,COUNTIFS(Inputs!$J$80:$J$226,nr_SelKey,Inputs!$E$80:$E$226,"planned"))</f>
        <v>0</v>
      </c>
      <c r="B4414" s="52">
        <f>IF($A4414=0,N(Inputs!$K$226),IF(ISBLANK(INDEX(att_actpct,$A4414)),N(Inputs!$K$226),INDEX(att_actpct,$A4414)))</f>
        <v>0</v>
      </c>
      <c r="C4414" s="53">
        <f>IF(Inputs!$C$226="",0,IF(1+$B4414&gt;0,LN(1+$B4414),0))</f>
        <v>0</v>
      </c>
      <c r="D4414" s="54" t="str">
        <f>IF(Inputs!$C$226="","",IF($A4414=0,Inputs!$C$226,IF(ISBLANK(INDEX(att_actdate,$A4414)),Inputs!$C$226,INDEX(att_actdate,$A4414))))</f>
        <v/>
      </c>
      <c r="E4414" s="54" t="str">
        <f t="shared" si="1548"/>
        <v/>
      </c>
      <c r="F4414" s="55">
        <f t="shared" si="1549"/>
        <v>0</v>
      </c>
      <c r="G4414" s="55">
        <f>IF($D4414="",0,COUNTIFS(rl_key,Inputs!$J$226,$E$4268:$E$4507,$E4414,$D$4268:$D$4507,"&lt;"&amp;$D4414))</f>
        <v>0</v>
      </c>
      <c r="H4414" s="55">
        <f>IF($D4414="",0,COUNTIFS(Inputs!$J$80:$J$226,Inputs!$J$226,$E$4268:$E4414,$E4414,$D$4268:$D4414,$D4414))</f>
        <v>0</v>
      </c>
      <c r="I4414" s="55">
        <f t="shared" si="1550"/>
        <v>0</v>
      </c>
    </row>
    <row r="4415" spans="1:9" x14ac:dyDescent="0.25">
      <c r="A4415" s="55">
        <f>IF(OR(Inputs!$J$227&lt;&gt;nr_SelKey,Inputs!$E$227&lt;&gt;"planned",Inputs!$C$227=""),0,COUNTIFS(Inputs!$J$80:$J$227,nr_SelKey,Inputs!$E$80:$E$227,"planned"))</f>
        <v>0</v>
      </c>
      <c r="B4415" s="52">
        <f>IF($A4415=0,N(Inputs!$K$227),IF(ISBLANK(INDEX(att_actpct,$A4415)),N(Inputs!$K$227),INDEX(att_actpct,$A4415)))</f>
        <v>0</v>
      </c>
      <c r="C4415" s="53">
        <f>IF(Inputs!$C$227="",0,IF(1+$B4415&gt;0,LN(1+$B4415),0))</f>
        <v>0</v>
      </c>
      <c r="D4415" s="54" t="str">
        <f>IF(Inputs!$C$227="","",IF($A4415=0,Inputs!$C$227,IF(ISBLANK(INDEX(att_actdate,$A4415)),Inputs!$C$227,INDEX(att_actdate,$A4415))))</f>
        <v/>
      </c>
      <c r="E4415" s="54" t="str">
        <f t="shared" si="1548"/>
        <v/>
      </c>
      <c r="F4415" s="55">
        <f t="shared" si="1549"/>
        <v>0</v>
      </c>
      <c r="G4415" s="55">
        <f>IF($D4415="",0,COUNTIFS(rl_key,Inputs!$J$227,$E$4268:$E$4507,$E4415,$D$4268:$D$4507,"&lt;"&amp;$D4415))</f>
        <v>0</v>
      </c>
      <c r="H4415" s="55">
        <f>IF($D4415="",0,COUNTIFS(Inputs!$J$80:$J$227,Inputs!$J$227,$E$4268:$E4415,$E4415,$D$4268:$D4415,$D4415))</f>
        <v>0</v>
      </c>
      <c r="I4415" s="55">
        <f t="shared" si="1550"/>
        <v>0</v>
      </c>
    </row>
    <row r="4416" spans="1:9" x14ac:dyDescent="0.25">
      <c r="A4416" s="55">
        <f>IF(OR(Inputs!$J$228&lt;&gt;nr_SelKey,Inputs!$E$228&lt;&gt;"planned",Inputs!$C$228=""),0,COUNTIFS(Inputs!$J$80:$J$228,nr_SelKey,Inputs!$E$80:$E$228,"planned"))</f>
        <v>0</v>
      </c>
      <c r="B4416" s="52">
        <f>IF($A4416=0,N(Inputs!$K$228),IF(ISBLANK(INDEX(att_actpct,$A4416)),N(Inputs!$K$228),INDEX(att_actpct,$A4416)))</f>
        <v>0</v>
      </c>
      <c r="C4416" s="53">
        <f>IF(Inputs!$C$228="",0,IF(1+$B4416&gt;0,LN(1+$B4416),0))</f>
        <v>0</v>
      </c>
      <c r="D4416" s="54" t="str">
        <f>IF(Inputs!$C$228="","",IF($A4416=0,Inputs!$C$228,IF(ISBLANK(INDEX(att_actdate,$A4416)),Inputs!$C$228,INDEX(att_actdate,$A4416))))</f>
        <v/>
      </c>
      <c r="E4416" s="54" t="str">
        <f t="shared" si="1548"/>
        <v/>
      </c>
      <c r="F4416" s="55">
        <f t="shared" si="1549"/>
        <v>0</v>
      </c>
      <c r="G4416" s="55">
        <f>IF($D4416="",0,COUNTIFS(rl_key,Inputs!$J$228,$E$4268:$E$4507,$E4416,$D$4268:$D$4507,"&lt;"&amp;$D4416))</f>
        <v>0</v>
      </c>
      <c r="H4416" s="55">
        <f>IF($D4416="",0,COUNTIFS(Inputs!$J$80:$J$228,Inputs!$J$228,$E$4268:$E4416,$E4416,$D$4268:$D4416,$D4416))</f>
        <v>0</v>
      </c>
      <c r="I4416" s="55">
        <f t="shared" si="1550"/>
        <v>0</v>
      </c>
    </row>
    <row r="4417" spans="1:9" x14ac:dyDescent="0.25">
      <c r="A4417" s="55">
        <f>IF(OR(Inputs!$J$229&lt;&gt;nr_SelKey,Inputs!$E$229&lt;&gt;"planned",Inputs!$C$229=""),0,COUNTIFS(Inputs!$J$80:$J$229,nr_SelKey,Inputs!$E$80:$E$229,"planned"))</f>
        <v>0</v>
      </c>
      <c r="B4417" s="52">
        <f>IF($A4417=0,N(Inputs!$K$229),IF(ISBLANK(INDEX(att_actpct,$A4417)),N(Inputs!$K$229),INDEX(att_actpct,$A4417)))</f>
        <v>0</v>
      </c>
      <c r="C4417" s="53">
        <f>IF(Inputs!$C$229="",0,IF(1+$B4417&gt;0,LN(1+$B4417),0))</f>
        <v>0</v>
      </c>
      <c r="D4417" s="54" t="str">
        <f>IF(Inputs!$C$229="","",IF($A4417=0,Inputs!$C$229,IF(ISBLANK(INDEX(att_actdate,$A4417)),Inputs!$C$229,INDEX(att_actdate,$A4417))))</f>
        <v/>
      </c>
      <c r="E4417" s="54" t="str">
        <f t="shared" si="1548"/>
        <v/>
      </c>
      <c r="F4417" s="55">
        <f t="shared" si="1549"/>
        <v>0</v>
      </c>
      <c r="G4417" s="55">
        <f>IF($D4417="",0,COUNTIFS(rl_key,Inputs!$J$229,$E$4268:$E$4507,$E4417,$D$4268:$D$4507,"&lt;"&amp;$D4417))</f>
        <v>0</v>
      </c>
      <c r="H4417" s="55">
        <f>IF($D4417="",0,COUNTIFS(Inputs!$J$80:$J$229,Inputs!$J$229,$E$4268:$E4417,$E4417,$D$4268:$D4417,$D4417))</f>
        <v>0</v>
      </c>
      <c r="I4417" s="55">
        <f t="shared" si="1550"/>
        <v>0</v>
      </c>
    </row>
    <row r="4418" spans="1:9" x14ac:dyDescent="0.25">
      <c r="A4418" s="55">
        <f>IF(OR(Inputs!$J$230&lt;&gt;nr_SelKey,Inputs!$E$230&lt;&gt;"planned",Inputs!$C$230=""),0,COUNTIFS(Inputs!$J$80:$J$230,nr_SelKey,Inputs!$E$80:$E$230,"planned"))</f>
        <v>0</v>
      </c>
      <c r="B4418" s="52">
        <f>IF($A4418=0,N(Inputs!$K$230),IF(ISBLANK(INDEX(att_actpct,$A4418)),N(Inputs!$K$230),INDEX(att_actpct,$A4418)))</f>
        <v>0</v>
      </c>
      <c r="C4418" s="53">
        <f>IF(Inputs!$C$230="",0,IF(1+$B4418&gt;0,LN(1+$B4418),0))</f>
        <v>0</v>
      </c>
      <c r="D4418" s="54" t="str">
        <f>IF(Inputs!$C$230="","",IF($A4418=0,Inputs!$C$230,IF(ISBLANK(INDEX(att_actdate,$A4418)),Inputs!$C$230,INDEX(att_actdate,$A4418))))</f>
        <v/>
      </c>
      <c r="E4418" s="54" t="str">
        <f t="shared" si="1548"/>
        <v/>
      </c>
      <c r="F4418" s="55">
        <f t="shared" si="1549"/>
        <v>0</v>
      </c>
      <c r="G4418" s="55">
        <f>IF($D4418="",0,COUNTIFS(rl_key,Inputs!$J$230,$E$4268:$E$4507,$E4418,$D$4268:$D$4507,"&lt;"&amp;$D4418))</f>
        <v>0</v>
      </c>
      <c r="H4418" s="55">
        <f>IF($D4418="",0,COUNTIFS(Inputs!$J$80:$J$230,Inputs!$J$230,$E$4268:$E4418,$E4418,$D$4268:$D4418,$D4418))</f>
        <v>0</v>
      </c>
      <c r="I4418" s="55">
        <f t="shared" si="1550"/>
        <v>0</v>
      </c>
    </row>
    <row r="4419" spans="1:9" x14ac:dyDescent="0.25">
      <c r="A4419" s="55">
        <f>IF(OR(Inputs!$J$231&lt;&gt;nr_SelKey,Inputs!$E$231&lt;&gt;"planned",Inputs!$C$231=""),0,COUNTIFS(Inputs!$J$80:$J$231,nr_SelKey,Inputs!$E$80:$E$231,"planned"))</f>
        <v>0</v>
      </c>
      <c r="B4419" s="52">
        <f>IF($A4419=0,N(Inputs!$K$231),IF(ISBLANK(INDEX(att_actpct,$A4419)),N(Inputs!$K$231),INDEX(att_actpct,$A4419)))</f>
        <v>0</v>
      </c>
      <c r="C4419" s="53">
        <f>IF(Inputs!$C$231="",0,IF(1+$B4419&gt;0,LN(1+$B4419),0))</f>
        <v>0</v>
      </c>
      <c r="D4419" s="54" t="str">
        <f>IF(Inputs!$C$231="","",IF($A4419=0,Inputs!$C$231,IF(ISBLANK(INDEX(att_actdate,$A4419)),Inputs!$C$231,INDEX(att_actdate,$A4419))))</f>
        <v/>
      </c>
      <c r="E4419" s="54" t="str">
        <f t="shared" si="1548"/>
        <v/>
      </c>
      <c r="F4419" s="55">
        <f t="shared" si="1549"/>
        <v>0</v>
      </c>
      <c r="G4419" s="55">
        <f>IF($D4419="",0,COUNTIFS(rl_key,Inputs!$J$231,$E$4268:$E$4507,$E4419,$D$4268:$D$4507,"&lt;"&amp;$D4419))</f>
        <v>0</v>
      </c>
      <c r="H4419" s="55">
        <f>IF($D4419="",0,COUNTIFS(Inputs!$J$80:$J$231,Inputs!$J$231,$E$4268:$E4419,$E4419,$D$4268:$D4419,$D4419))</f>
        <v>0</v>
      </c>
      <c r="I4419" s="55">
        <f t="shared" si="1550"/>
        <v>0</v>
      </c>
    </row>
    <row r="4420" spans="1:9" x14ac:dyDescent="0.25">
      <c r="A4420" s="55">
        <f>IF(OR(Inputs!$J$232&lt;&gt;nr_SelKey,Inputs!$E$232&lt;&gt;"planned",Inputs!$C$232=""),0,COUNTIFS(Inputs!$J$80:$J$232,nr_SelKey,Inputs!$E$80:$E$232,"planned"))</f>
        <v>0</v>
      </c>
      <c r="B4420" s="52">
        <f>IF($A4420=0,N(Inputs!$K$232),IF(ISBLANK(INDEX(att_actpct,$A4420)),N(Inputs!$K$232),INDEX(att_actpct,$A4420)))</f>
        <v>0</v>
      </c>
      <c r="C4420" s="53">
        <f>IF(Inputs!$C$232="",0,IF(1+$B4420&gt;0,LN(1+$B4420),0))</f>
        <v>0</v>
      </c>
      <c r="D4420" s="54" t="str">
        <f>IF(Inputs!$C$232="","",IF($A4420=0,Inputs!$C$232,IF(ISBLANK(INDEX(att_actdate,$A4420)),Inputs!$C$232,INDEX(att_actdate,$A4420))))</f>
        <v/>
      </c>
      <c r="E4420" s="54" t="str">
        <f t="shared" si="1548"/>
        <v/>
      </c>
      <c r="F4420" s="55">
        <f t="shared" si="1549"/>
        <v>0</v>
      </c>
      <c r="G4420" s="55">
        <f>IF($D4420="",0,COUNTIFS(rl_key,Inputs!$J$232,$E$4268:$E$4507,$E4420,$D$4268:$D$4507,"&lt;"&amp;$D4420))</f>
        <v>0</v>
      </c>
      <c r="H4420" s="55">
        <f>IF($D4420="",0,COUNTIFS(Inputs!$J$80:$J$232,Inputs!$J$232,$E$4268:$E4420,$E4420,$D$4268:$D4420,$D4420))</f>
        <v>0</v>
      </c>
      <c r="I4420" s="55">
        <f t="shared" si="1550"/>
        <v>0</v>
      </c>
    </row>
    <row r="4421" spans="1:9" x14ac:dyDescent="0.25">
      <c r="A4421" s="55">
        <f>IF(OR(Inputs!$J$233&lt;&gt;nr_SelKey,Inputs!$E$233&lt;&gt;"planned",Inputs!$C$233=""),0,COUNTIFS(Inputs!$J$80:$J$233,nr_SelKey,Inputs!$E$80:$E$233,"planned"))</f>
        <v>0</v>
      </c>
      <c r="B4421" s="52">
        <f>IF($A4421=0,N(Inputs!$K$233),IF(ISBLANK(INDEX(att_actpct,$A4421)),N(Inputs!$K$233),INDEX(att_actpct,$A4421)))</f>
        <v>0</v>
      </c>
      <c r="C4421" s="53">
        <f>IF(Inputs!$C$233="",0,IF(1+$B4421&gt;0,LN(1+$B4421),0))</f>
        <v>0</v>
      </c>
      <c r="D4421" s="54" t="str">
        <f>IF(Inputs!$C$233="","",IF($A4421=0,Inputs!$C$233,IF(ISBLANK(INDEX(att_actdate,$A4421)),Inputs!$C$233,INDEX(att_actdate,$A4421))))</f>
        <v/>
      </c>
      <c r="E4421" s="54" t="str">
        <f t="shared" si="1548"/>
        <v/>
      </c>
      <c r="F4421" s="55">
        <f t="shared" si="1549"/>
        <v>0</v>
      </c>
      <c r="G4421" s="55">
        <f>IF($D4421="",0,COUNTIFS(rl_key,Inputs!$J$233,$E$4268:$E$4507,$E4421,$D$4268:$D$4507,"&lt;"&amp;$D4421))</f>
        <v>0</v>
      </c>
      <c r="H4421" s="55">
        <f>IF($D4421="",0,COUNTIFS(Inputs!$J$80:$J$233,Inputs!$J$233,$E$4268:$E4421,$E4421,$D$4268:$D4421,$D4421))</f>
        <v>0</v>
      </c>
      <c r="I4421" s="55">
        <f t="shared" si="1550"/>
        <v>0</v>
      </c>
    </row>
    <row r="4422" spans="1:9" x14ac:dyDescent="0.25">
      <c r="A4422" s="55">
        <f>IF(OR(Inputs!$J$234&lt;&gt;nr_SelKey,Inputs!$E$234&lt;&gt;"planned",Inputs!$C$234=""),0,COUNTIFS(Inputs!$J$80:$J$234,nr_SelKey,Inputs!$E$80:$E$234,"planned"))</f>
        <v>0</v>
      </c>
      <c r="B4422" s="52">
        <f>IF($A4422=0,N(Inputs!$K$234),IF(ISBLANK(INDEX(att_actpct,$A4422)),N(Inputs!$K$234),INDEX(att_actpct,$A4422)))</f>
        <v>0</v>
      </c>
      <c r="C4422" s="53">
        <f>IF(Inputs!$C$234="",0,IF(1+$B4422&gt;0,LN(1+$B4422),0))</f>
        <v>0</v>
      </c>
      <c r="D4422" s="54" t="str">
        <f>IF(Inputs!$C$234="","",IF($A4422=0,Inputs!$C$234,IF(ISBLANK(INDEX(att_actdate,$A4422)),Inputs!$C$234,INDEX(att_actdate,$A4422))))</f>
        <v/>
      </c>
      <c r="E4422" s="54" t="str">
        <f t="shared" si="1548"/>
        <v/>
      </c>
      <c r="F4422" s="55">
        <f t="shared" si="1549"/>
        <v>0</v>
      </c>
      <c r="G4422" s="55">
        <f>IF($D4422="",0,COUNTIFS(rl_key,Inputs!$J$234,$E$4268:$E$4507,$E4422,$D$4268:$D$4507,"&lt;"&amp;$D4422))</f>
        <v>0</v>
      </c>
      <c r="H4422" s="55">
        <f>IF($D4422="",0,COUNTIFS(Inputs!$J$80:$J$234,Inputs!$J$234,$E$4268:$E4422,$E4422,$D$4268:$D4422,$D4422))</f>
        <v>0</v>
      </c>
      <c r="I4422" s="55">
        <f t="shared" si="1550"/>
        <v>0</v>
      </c>
    </row>
    <row r="4423" spans="1:9" x14ac:dyDescent="0.25">
      <c r="A4423" s="55">
        <f>IF(OR(Inputs!$J$235&lt;&gt;nr_SelKey,Inputs!$E$235&lt;&gt;"planned",Inputs!$C$235=""),0,COUNTIFS(Inputs!$J$80:$J$235,nr_SelKey,Inputs!$E$80:$E$235,"planned"))</f>
        <v>0</v>
      </c>
      <c r="B4423" s="52">
        <f>IF($A4423=0,N(Inputs!$K$235),IF(ISBLANK(INDEX(att_actpct,$A4423)),N(Inputs!$K$235),INDEX(att_actpct,$A4423)))</f>
        <v>0</v>
      </c>
      <c r="C4423" s="53">
        <f>IF(Inputs!$C$235="",0,IF(1+$B4423&gt;0,LN(1+$B4423),0))</f>
        <v>0</v>
      </c>
      <c r="D4423" s="54" t="str">
        <f>IF(Inputs!$C$235="","",IF($A4423=0,Inputs!$C$235,IF(ISBLANK(INDEX(att_actdate,$A4423)),Inputs!$C$235,INDEX(att_actdate,$A4423))))</f>
        <v/>
      </c>
      <c r="E4423" s="54" t="str">
        <f t="shared" si="1548"/>
        <v/>
      </c>
      <c r="F4423" s="55">
        <f t="shared" si="1549"/>
        <v>0</v>
      </c>
      <c r="G4423" s="55">
        <f>IF($D4423="",0,COUNTIFS(rl_key,Inputs!$J$235,$E$4268:$E$4507,$E4423,$D$4268:$D$4507,"&lt;"&amp;$D4423))</f>
        <v>0</v>
      </c>
      <c r="H4423" s="55">
        <f>IF($D4423="",0,COUNTIFS(Inputs!$J$80:$J$235,Inputs!$J$235,$E$4268:$E4423,$E4423,$D$4268:$D4423,$D4423))</f>
        <v>0</v>
      </c>
      <c r="I4423" s="55">
        <f t="shared" si="1550"/>
        <v>0</v>
      </c>
    </row>
    <row r="4424" spans="1:9" x14ac:dyDescent="0.25">
      <c r="A4424" s="55">
        <f>IF(OR(Inputs!$J$236&lt;&gt;nr_SelKey,Inputs!$E$236&lt;&gt;"planned",Inputs!$C$236=""),0,COUNTIFS(Inputs!$J$80:$J$236,nr_SelKey,Inputs!$E$80:$E$236,"planned"))</f>
        <v>0</v>
      </c>
      <c r="B4424" s="52">
        <f>IF($A4424=0,N(Inputs!$K$236),IF(ISBLANK(INDEX(att_actpct,$A4424)),N(Inputs!$K$236),INDEX(att_actpct,$A4424)))</f>
        <v>0</v>
      </c>
      <c r="C4424" s="53">
        <f>IF(Inputs!$C$236="",0,IF(1+$B4424&gt;0,LN(1+$B4424),0))</f>
        <v>0</v>
      </c>
      <c r="D4424" s="54" t="str">
        <f>IF(Inputs!$C$236="","",IF($A4424=0,Inputs!$C$236,IF(ISBLANK(INDEX(att_actdate,$A4424)),Inputs!$C$236,INDEX(att_actdate,$A4424))))</f>
        <v/>
      </c>
      <c r="E4424" s="54" t="str">
        <f t="shared" si="1548"/>
        <v/>
      </c>
      <c r="F4424" s="55">
        <f t="shared" si="1549"/>
        <v>0</v>
      </c>
      <c r="G4424" s="55">
        <f>IF($D4424="",0,COUNTIFS(rl_key,Inputs!$J$236,$E$4268:$E$4507,$E4424,$D$4268:$D$4507,"&lt;"&amp;$D4424))</f>
        <v>0</v>
      </c>
      <c r="H4424" s="55">
        <f>IF($D4424="",0,COUNTIFS(Inputs!$J$80:$J$236,Inputs!$J$236,$E$4268:$E4424,$E4424,$D$4268:$D4424,$D4424))</f>
        <v>0</v>
      </c>
      <c r="I4424" s="55">
        <f t="shared" si="1550"/>
        <v>0</v>
      </c>
    </row>
    <row r="4425" spans="1:9" x14ac:dyDescent="0.25">
      <c r="A4425" s="55">
        <f>IF(OR(Inputs!$J$237&lt;&gt;nr_SelKey,Inputs!$E$237&lt;&gt;"planned",Inputs!$C$237=""),0,COUNTIFS(Inputs!$J$80:$J$237,nr_SelKey,Inputs!$E$80:$E$237,"planned"))</f>
        <v>0</v>
      </c>
      <c r="B4425" s="52">
        <f>IF($A4425=0,N(Inputs!$K$237),IF(ISBLANK(INDEX(att_actpct,$A4425)),N(Inputs!$K$237),INDEX(att_actpct,$A4425)))</f>
        <v>0</v>
      </c>
      <c r="C4425" s="53">
        <f>IF(Inputs!$C$237="",0,IF(1+$B4425&gt;0,LN(1+$B4425),0))</f>
        <v>0</v>
      </c>
      <c r="D4425" s="54" t="str">
        <f>IF(Inputs!$C$237="","",IF($A4425=0,Inputs!$C$237,IF(ISBLANK(INDEX(att_actdate,$A4425)),Inputs!$C$237,INDEX(att_actdate,$A4425))))</f>
        <v/>
      </c>
      <c r="E4425" s="54" t="str">
        <f t="shared" si="1548"/>
        <v/>
      </c>
      <c r="F4425" s="55">
        <f t="shared" si="1549"/>
        <v>0</v>
      </c>
      <c r="G4425" s="55">
        <f>IF($D4425="",0,COUNTIFS(rl_key,Inputs!$J$237,$E$4268:$E$4507,$E4425,$D$4268:$D$4507,"&lt;"&amp;$D4425))</f>
        <v>0</v>
      </c>
      <c r="H4425" s="55">
        <f>IF($D4425="",0,COUNTIFS(Inputs!$J$80:$J$237,Inputs!$J$237,$E$4268:$E4425,$E4425,$D$4268:$D4425,$D4425))</f>
        <v>0</v>
      </c>
      <c r="I4425" s="55">
        <f t="shared" si="1550"/>
        <v>0</v>
      </c>
    </row>
    <row r="4426" spans="1:9" x14ac:dyDescent="0.25">
      <c r="A4426" s="55">
        <f>IF(OR(Inputs!$J$238&lt;&gt;nr_SelKey,Inputs!$E$238&lt;&gt;"planned",Inputs!$C$238=""),0,COUNTIFS(Inputs!$J$80:$J$238,nr_SelKey,Inputs!$E$80:$E$238,"planned"))</f>
        <v>0</v>
      </c>
      <c r="B4426" s="52">
        <f>IF($A4426=0,N(Inputs!$K$238),IF(ISBLANK(INDEX(att_actpct,$A4426)),N(Inputs!$K$238),INDEX(att_actpct,$A4426)))</f>
        <v>0</v>
      </c>
      <c r="C4426" s="53">
        <f>IF(Inputs!$C$238="",0,IF(1+$B4426&gt;0,LN(1+$B4426),0))</f>
        <v>0</v>
      </c>
      <c r="D4426" s="54" t="str">
        <f>IF(Inputs!$C$238="","",IF($A4426=0,Inputs!$C$238,IF(ISBLANK(INDEX(att_actdate,$A4426)),Inputs!$C$238,INDEX(att_actdate,$A4426))))</f>
        <v/>
      </c>
      <c r="E4426" s="54" t="str">
        <f t="shared" si="1548"/>
        <v/>
      </c>
      <c r="F4426" s="55">
        <f t="shared" si="1549"/>
        <v>0</v>
      </c>
      <c r="G4426" s="55">
        <f>IF($D4426="",0,COUNTIFS(rl_key,Inputs!$J$238,$E$4268:$E$4507,$E4426,$D$4268:$D$4507,"&lt;"&amp;$D4426))</f>
        <v>0</v>
      </c>
      <c r="H4426" s="55">
        <f>IF($D4426="",0,COUNTIFS(Inputs!$J$80:$J$238,Inputs!$J$238,$E$4268:$E4426,$E4426,$D$4268:$D4426,$D4426))</f>
        <v>0</v>
      </c>
      <c r="I4426" s="55">
        <f t="shared" si="1550"/>
        <v>0</v>
      </c>
    </row>
    <row r="4427" spans="1:9" x14ac:dyDescent="0.25">
      <c r="A4427" s="55">
        <f>IF(OR(Inputs!$J$239&lt;&gt;nr_SelKey,Inputs!$E$239&lt;&gt;"planned",Inputs!$C$239=""),0,COUNTIFS(Inputs!$J$80:$J$239,nr_SelKey,Inputs!$E$80:$E$239,"planned"))</f>
        <v>0</v>
      </c>
      <c r="B4427" s="52">
        <f>IF($A4427=0,N(Inputs!$K$239),IF(ISBLANK(INDEX(att_actpct,$A4427)),N(Inputs!$K$239),INDEX(att_actpct,$A4427)))</f>
        <v>0</v>
      </c>
      <c r="C4427" s="53">
        <f>IF(Inputs!$C$239="",0,IF(1+$B4427&gt;0,LN(1+$B4427),0))</f>
        <v>0</v>
      </c>
      <c r="D4427" s="54" t="str">
        <f>IF(Inputs!$C$239="","",IF($A4427=0,Inputs!$C$239,IF(ISBLANK(INDEX(att_actdate,$A4427)),Inputs!$C$239,INDEX(att_actdate,$A4427))))</f>
        <v/>
      </c>
      <c r="E4427" s="54" t="str">
        <f t="shared" si="1548"/>
        <v/>
      </c>
      <c r="F4427" s="55">
        <f t="shared" si="1549"/>
        <v>0</v>
      </c>
      <c r="G4427" s="55">
        <f>IF($D4427="",0,COUNTIFS(rl_key,Inputs!$J$239,$E$4268:$E$4507,$E4427,$D$4268:$D$4507,"&lt;"&amp;$D4427))</f>
        <v>0</v>
      </c>
      <c r="H4427" s="55">
        <f>IF($D4427="",0,COUNTIFS(Inputs!$J$80:$J$239,Inputs!$J$239,$E$4268:$E4427,$E4427,$D$4268:$D4427,$D4427))</f>
        <v>0</v>
      </c>
      <c r="I4427" s="55">
        <f t="shared" si="1550"/>
        <v>0</v>
      </c>
    </row>
    <row r="4428" spans="1:9" x14ac:dyDescent="0.25">
      <c r="A4428" s="55">
        <f>IF(OR(Inputs!$J$240&lt;&gt;nr_SelKey,Inputs!$E$240&lt;&gt;"planned",Inputs!$C$240=""),0,COUNTIFS(Inputs!$J$80:$J$240,nr_SelKey,Inputs!$E$80:$E$240,"planned"))</f>
        <v>0</v>
      </c>
      <c r="B4428" s="52">
        <f>IF($A4428=0,N(Inputs!$K$240),IF(ISBLANK(INDEX(att_actpct,$A4428)),N(Inputs!$K$240),INDEX(att_actpct,$A4428)))</f>
        <v>0</v>
      </c>
      <c r="C4428" s="53">
        <f>IF(Inputs!$C$240="",0,IF(1+$B4428&gt;0,LN(1+$B4428),0))</f>
        <v>0</v>
      </c>
      <c r="D4428" s="54" t="str">
        <f>IF(Inputs!$C$240="","",IF($A4428=0,Inputs!$C$240,IF(ISBLANK(INDEX(att_actdate,$A4428)),Inputs!$C$240,INDEX(att_actdate,$A4428))))</f>
        <v/>
      </c>
      <c r="E4428" s="54" t="str">
        <f t="shared" si="1548"/>
        <v/>
      </c>
      <c r="F4428" s="55">
        <f t="shared" si="1549"/>
        <v>0</v>
      </c>
      <c r="G4428" s="55">
        <f>IF($D4428="",0,COUNTIFS(rl_key,Inputs!$J$240,$E$4268:$E$4507,$E4428,$D$4268:$D$4507,"&lt;"&amp;$D4428))</f>
        <v>0</v>
      </c>
      <c r="H4428" s="55">
        <f>IF($D4428="",0,COUNTIFS(Inputs!$J$80:$J$240,Inputs!$J$240,$E$4268:$E4428,$E4428,$D$4268:$D4428,$D4428))</f>
        <v>0</v>
      </c>
      <c r="I4428" s="55">
        <f t="shared" si="1550"/>
        <v>0</v>
      </c>
    </row>
    <row r="4429" spans="1:9" x14ac:dyDescent="0.25">
      <c r="A4429" s="55">
        <f>IF(OR(Inputs!$J$241&lt;&gt;nr_SelKey,Inputs!$E$241&lt;&gt;"planned",Inputs!$C$241=""),0,COUNTIFS(Inputs!$J$80:$J$241,nr_SelKey,Inputs!$E$80:$E$241,"planned"))</f>
        <v>0</v>
      </c>
      <c r="B4429" s="52">
        <f>IF($A4429=0,N(Inputs!$K$241),IF(ISBLANK(INDEX(att_actpct,$A4429)),N(Inputs!$K$241),INDEX(att_actpct,$A4429)))</f>
        <v>0</v>
      </c>
      <c r="C4429" s="53">
        <f>IF(Inputs!$C$241="",0,IF(1+$B4429&gt;0,LN(1+$B4429),0))</f>
        <v>0</v>
      </c>
      <c r="D4429" s="54" t="str">
        <f>IF(Inputs!$C$241="","",IF($A4429=0,Inputs!$C$241,IF(ISBLANK(INDEX(att_actdate,$A4429)),Inputs!$C$241,INDEX(att_actdate,$A4429))))</f>
        <v/>
      </c>
      <c r="E4429" s="54" t="str">
        <f t="shared" si="1548"/>
        <v/>
      </c>
      <c r="F4429" s="55">
        <f t="shared" si="1549"/>
        <v>0</v>
      </c>
      <c r="G4429" s="55">
        <f>IF($D4429="",0,COUNTIFS(rl_key,Inputs!$J$241,$E$4268:$E$4507,$E4429,$D$4268:$D$4507,"&lt;"&amp;$D4429))</f>
        <v>0</v>
      </c>
      <c r="H4429" s="55">
        <f>IF($D4429="",0,COUNTIFS(Inputs!$J$80:$J$241,Inputs!$J$241,$E$4268:$E4429,$E4429,$D$4268:$D4429,$D4429))</f>
        <v>0</v>
      </c>
      <c r="I4429" s="55">
        <f t="shared" si="1550"/>
        <v>0</v>
      </c>
    </row>
    <row r="4430" spans="1:9" x14ac:dyDescent="0.25">
      <c r="A4430" s="55">
        <f>IF(OR(Inputs!$J$242&lt;&gt;nr_SelKey,Inputs!$E$242&lt;&gt;"planned",Inputs!$C$242=""),0,COUNTIFS(Inputs!$J$80:$J$242,nr_SelKey,Inputs!$E$80:$E$242,"planned"))</f>
        <v>0</v>
      </c>
      <c r="B4430" s="52">
        <f>IF($A4430=0,N(Inputs!$K$242),IF(ISBLANK(INDEX(att_actpct,$A4430)),N(Inputs!$K$242),INDEX(att_actpct,$A4430)))</f>
        <v>0</v>
      </c>
      <c r="C4430" s="53">
        <f>IF(Inputs!$C$242="",0,IF(1+$B4430&gt;0,LN(1+$B4430),0))</f>
        <v>0</v>
      </c>
      <c r="D4430" s="54" t="str">
        <f>IF(Inputs!$C$242="","",IF($A4430=0,Inputs!$C$242,IF(ISBLANK(INDEX(att_actdate,$A4430)),Inputs!$C$242,INDEX(att_actdate,$A4430))))</f>
        <v/>
      </c>
      <c r="E4430" s="54" t="str">
        <f t="shared" si="1548"/>
        <v/>
      </c>
      <c r="F4430" s="55">
        <f t="shared" si="1549"/>
        <v>0</v>
      </c>
      <c r="G4430" s="55">
        <f>IF($D4430="",0,COUNTIFS(rl_key,Inputs!$J$242,$E$4268:$E$4507,$E4430,$D$4268:$D$4507,"&lt;"&amp;$D4430))</f>
        <v>0</v>
      </c>
      <c r="H4430" s="55">
        <f>IF($D4430="",0,COUNTIFS(Inputs!$J$80:$J$242,Inputs!$J$242,$E$4268:$E4430,$E4430,$D$4268:$D4430,$D4430))</f>
        <v>0</v>
      </c>
      <c r="I4430" s="55">
        <f t="shared" si="1550"/>
        <v>0</v>
      </c>
    </row>
    <row r="4431" spans="1:9" x14ac:dyDescent="0.25">
      <c r="A4431" s="55">
        <f>IF(OR(Inputs!$J$243&lt;&gt;nr_SelKey,Inputs!$E$243&lt;&gt;"planned",Inputs!$C$243=""),0,COUNTIFS(Inputs!$J$80:$J$243,nr_SelKey,Inputs!$E$80:$E$243,"planned"))</f>
        <v>0</v>
      </c>
      <c r="B4431" s="52">
        <f>IF($A4431=0,N(Inputs!$K$243),IF(ISBLANK(INDEX(att_actpct,$A4431)),N(Inputs!$K$243),INDEX(att_actpct,$A4431)))</f>
        <v>0</v>
      </c>
      <c r="C4431" s="53">
        <f>IF(Inputs!$C$243="",0,IF(1+$B4431&gt;0,LN(1+$B4431),0))</f>
        <v>0</v>
      </c>
      <c r="D4431" s="54" t="str">
        <f>IF(Inputs!$C$243="","",IF($A4431=0,Inputs!$C$243,IF(ISBLANK(INDEX(att_actdate,$A4431)),Inputs!$C$243,INDEX(att_actdate,$A4431))))</f>
        <v/>
      </c>
      <c r="E4431" s="54" t="str">
        <f t="shared" si="1548"/>
        <v/>
      </c>
      <c r="F4431" s="55">
        <f t="shared" si="1549"/>
        <v>0</v>
      </c>
      <c r="G4431" s="55">
        <f>IF($D4431="",0,COUNTIFS(rl_key,Inputs!$J$243,$E$4268:$E$4507,$E4431,$D$4268:$D$4507,"&lt;"&amp;$D4431))</f>
        <v>0</v>
      </c>
      <c r="H4431" s="55">
        <f>IF($D4431="",0,COUNTIFS(Inputs!$J$80:$J$243,Inputs!$J$243,$E$4268:$E4431,$E4431,$D$4268:$D4431,$D4431))</f>
        <v>0</v>
      </c>
      <c r="I4431" s="55">
        <f t="shared" si="1550"/>
        <v>0</v>
      </c>
    </row>
    <row r="4432" spans="1:9" x14ac:dyDescent="0.25">
      <c r="A4432" s="55">
        <f>IF(OR(Inputs!$J$244&lt;&gt;nr_SelKey,Inputs!$E$244&lt;&gt;"planned",Inputs!$C$244=""),0,COUNTIFS(Inputs!$J$80:$J$244,nr_SelKey,Inputs!$E$80:$E$244,"planned"))</f>
        <v>0</v>
      </c>
      <c r="B4432" s="52">
        <f>IF($A4432=0,N(Inputs!$K$244),IF(ISBLANK(INDEX(att_actpct,$A4432)),N(Inputs!$K$244),INDEX(att_actpct,$A4432)))</f>
        <v>0</v>
      </c>
      <c r="C4432" s="53">
        <f>IF(Inputs!$C$244="",0,IF(1+$B4432&gt;0,LN(1+$B4432),0))</f>
        <v>0</v>
      </c>
      <c r="D4432" s="54" t="str">
        <f>IF(Inputs!$C$244="","",IF($A4432=0,Inputs!$C$244,IF(ISBLANK(INDEX(att_actdate,$A4432)),Inputs!$C$244,INDEX(att_actdate,$A4432))))</f>
        <v/>
      </c>
      <c r="E4432" s="54" t="str">
        <f t="shared" si="1548"/>
        <v/>
      </c>
      <c r="F4432" s="55">
        <f t="shared" si="1549"/>
        <v>0</v>
      </c>
      <c r="G4432" s="55">
        <f>IF($D4432="",0,COUNTIFS(rl_key,Inputs!$J$244,$E$4268:$E$4507,$E4432,$D$4268:$D$4507,"&lt;"&amp;$D4432))</f>
        <v>0</v>
      </c>
      <c r="H4432" s="55">
        <f>IF($D4432="",0,COUNTIFS(Inputs!$J$80:$J$244,Inputs!$J$244,$E$4268:$E4432,$E4432,$D$4268:$D4432,$D4432))</f>
        <v>0</v>
      </c>
      <c r="I4432" s="55">
        <f t="shared" si="1550"/>
        <v>0</v>
      </c>
    </row>
    <row r="4433" spans="1:9" x14ac:dyDescent="0.25">
      <c r="A4433" s="55">
        <f>IF(OR(Inputs!$J$245&lt;&gt;nr_SelKey,Inputs!$E$245&lt;&gt;"planned",Inputs!$C$245=""),0,COUNTIFS(Inputs!$J$80:$J$245,nr_SelKey,Inputs!$E$80:$E$245,"planned"))</f>
        <v>0</v>
      </c>
      <c r="B4433" s="52">
        <f>IF($A4433=0,N(Inputs!$K$245),IF(ISBLANK(INDEX(att_actpct,$A4433)),N(Inputs!$K$245),INDEX(att_actpct,$A4433)))</f>
        <v>0</v>
      </c>
      <c r="C4433" s="53">
        <f>IF(Inputs!$C$245="",0,IF(1+$B4433&gt;0,LN(1+$B4433),0))</f>
        <v>0</v>
      </c>
      <c r="D4433" s="54" t="str">
        <f>IF(Inputs!$C$245="","",IF($A4433=0,Inputs!$C$245,IF(ISBLANK(INDEX(att_actdate,$A4433)),Inputs!$C$245,INDEX(att_actdate,$A4433))))</f>
        <v/>
      </c>
      <c r="E4433" s="54" t="str">
        <f t="shared" si="1548"/>
        <v/>
      </c>
      <c r="F4433" s="55">
        <f t="shared" si="1549"/>
        <v>0</v>
      </c>
      <c r="G4433" s="55">
        <f>IF($D4433="",0,COUNTIFS(rl_key,Inputs!$J$245,$E$4268:$E$4507,$E4433,$D$4268:$D$4507,"&lt;"&amp;$D4433))</f>
        <v>0</v>
      </c>
      <c r="H4433" s="55">
        <f>IF($D4433="",0,COUNTIFS(Inputs!$J$80:$J$245,Inputs!$J$245,$E$4268:$E4433,$E4433,$D$4268:$D4433,$D4433))</f>
        <v>0</v>
      </c>
      <c r="I4433" s="55">
        <f t="shared" si="1550"/>
        <v>0</v>
      </c>
    </row>
    <row r="4434" spans="1:9" x14ac:dyDescent="0.25">
      <c r="A4434" s="55">
        <f>IF(OR(Inputs!$J$246&lt;&gt;nr_SelKey,Inputs!$E$246&lt;&gt;"planned",Inputs!$C$246=""),0,COUNTIFS(Inputs!$J$80:$J$246,nr_SelKey,Inputs!$E$80:$E$246,"planned"))</f>
        <v>0</v>
      </c>
      <c r="B4434" s="52">
        <f>IF($A4434=0,N(Inputs!$K$246),IF(ISBLANK(INDEX(att_actpct,$A4434)),N(Inputs!$K$246),INDEX(att_actpct,$A4434)))</f>
        <v>0</v>
      </c>
      <c r="C4434" s="53">
        <f>IF(Inputs!$C$246="",0,IF(1+$B4434&gt;0,LN(1+$B4434),0))</f>
        <v>0</v>
      </c>
      <c r="D4434" s="54" t="str">
        <f>IF(Inputs!$C$246="","",IF($A4434=0,Inputs!$C$246,IF(ISBLANK(INDEX(att_actdate,$A4434)),Inputs!$C$246,INDEX(att_actdate,$A4434))))</f>
        <v/>
      </c>
      <c r="E4434" s="54" t="str">
        <f t="shared" si="1548"/>
        <v/>
      </c>
      <c r="F4434" s="55">
        <f t="shared" si="1549"/>
        <v>0</v>
      </c>
      <c r="G4434" s="55">
        <f>IF($D4434="",0,COUNTIFS(rl_key,Inputs!$J$246,$E$4268:$E$4507,$E4434,$D$4268:$D$4507,"&lt;"&amp;$D4434))</f>
        <v>0</v>
      </c>
      <c r="H4434" s="55">
        <f>IF($D4434="",0,COUNTIFS(Inputs!$J$80:$J$246,Inputs!$J$246,$E$4268:$E4434,$E4434,$D$4268:$D4434,$D4434))</f>
        <v>0</v>
      </c>
      <c r="I4434" s="55">
        <f t="shared" si="1550"/>
        <v>0</v>
      </c>
    </row>
    <row r="4435" spans="1:9" x14ac:dyDescent="0.25">
      <c r="A4435" s="55">
        <f>IF(OR(Inputs!$J$247&lt;&gt;nr_SelKey,Inputs!$E$247&lt;&gt;"planned",Inputs!$C$247=""),0,COUNTIFS(Inputs!$J$80:$J$247,nr_SelKey,Inputs!$E$80:$E$247,"planned"))</f>
        <v>0</v>
      </c>
      <c r="B4435" s="52">
        <f>IF($A4435=0,N(Inputs!$K$247),IF(ISBLANK(INDEX(att_actpct,$A4435)),N(Inputs!$K$247),INDEX(att_actpct,$A4435)))</f>
        <v>0</v>
      </c>
      <c r="C4435" s="53">
        <f>IF(Inputs!$C$247="",0,IF(1+$B4435&gt;0,LN(1+$B4435),0))</f>
        <v>0</v>
      </c>
      <c r="D4435" s="54" t="str">
        <f>IF(Inputs!$C$247="","",IF($A4435=0,Inputs!$C$247,IF(ISBLANK(INDEX(att_actdate,$A4435)),Inputs!$C$247,INDEX(att_actdate,$A4435))))</f>
        <v/>
      </c>
      <c r="E4435" s="54" t="str">
        <f t="shared" si="1548"/>
        <v/>
      </c>
      <c r="F4435" s="55">
        <f t="shared" si="1549"/>
        <v>0</v>
      </c>
      <c r="G4435" s="55">
        <f>IF($D4435="",0,COUNTIFS(rl_key,Inputs!$J$247,$E$4268:$E$4507,$E4435,$D$4268:$D$4507,"&lt;"&amp;$D4435))</f>
        <v>0</v>
      </c>
      <c r="H4435" s="55">
        <f>IF($D4435="",0,COUNTIFS(Inputs!$J$80:$J$247,Inputs!$J$247,$E$4268:$E4435,$E4435,$D$4268:$D4435,$D4435))</f>
        <v>0</v>
      </c>
      <c r="I4435" s="55">
        <f t="shared" si="1550"/>
        <v>0</v>
      </c>
    </row>
    <row r="4436" spans="1:9" x14ac:dyDescent="0.25">
      <c r="A4436" s="55">
        <f>IF(OR(Inputs!$J$248&lt;&gt;nr_SelKey,Inputs!$E$248&lt;&gt;"planned",Inputs!$C$248=""),0,COUNTIFS(Inputs!$J$80:$J$248,nr_SelKey,Inputs!$E$80:$E$248,"planned"))</f>
        <v>0</v>
      </c>
      <c r="B4436" s="52">
        <f>IF($A4436=0,N(Inputs!$K$248),IF(ISBLANK(INDEX(att_actpct,$A4436)),N(Inputs!$K$248),INDEX(att_actpct,$A4436)))</f>
        <v>0</v>
      </c>
      <c r="C4436" s="53">
        <f>IF(Inputs!$C$248="",0,IF(1+$B4436&gt;0,LN(1+$B4436),0))</f>
        <v>0</v>
      </c>
      <c r="D4436" s="54" t="str">
        <f>IF(Inputs!$C$248="","",IF($A4436=0,Inputs!$C$248,IF(ISBLANK(INDEX(att_actdate,$A4436)),Inputs!$C$248,INDEX(att_actdate,$A4436))))</f>
        <v/>
      </c>
      <c r="E4436" s="54" t="str">
        <f t="shared" si="1548"/>
        <v/>
      </c>
      <c r="F4436" s="55">
        <f t="shared" si="1549"/>
        <v>0</v>
      </c>
      <c r="G4436" s="55">
        <f>IF($D4436="",0,COUNTIFS(rl_key,Inputs!$J$248,$E$4268:$E$4507,$E4436,$D$4268:$D$4507,"&lt;"&amp;$D4436))</f>
        <v>0</v>
      </c>
      <c r="H4436" s="55">
        <f>IF($D4436="",0,COUNTIFS(Inputs!$J$80:$J$248,Inputs!$J$248,$E$4268:$E4436,$E4436,$D$4268:$D4436,$D4436))</f>
        <v>0</v>
      </c>
      <c r="I4436" s="55">
        <f t="shared" si="1550"/>
        <v>0</v>
      </c>
    </row>
    <row r="4437" spans="1:9" x14ac:dyDescent="0.25">
      <c r="A4437" s="55">
        <f>IF(OR(Inputs!$J$249&lt;&gt;nr_SelKey,Inputs!$E$249&lt;&gt;"planned",Inputs!$C$249=""),0,COUNTIFS(Inputs!$J$80:$J$249,nr_SelKey,Inputs!$E$80:$E$249,"planned"))</f>
        <v>0</v>
      </c>
      <c r="B4437" s="52">
        <f>IF($A4437=0,N(Inputs!$K$249),IF(ISBLANK(INDEX(att_actpct,$A4437)),N(Inputs!$K$249),INDEX(att_actpct,$A4437)))</f>
        <v>0</v>
      </c>
      <c r="C4437" s="53">
        <f>IF(Inputs!$C$249="",0,IF(1+$B4437&gt;0,LN(1+$B4437),0))</f>
        <v>0</v>
      </c>
      <c r="D4437" s="54" t="str">
        <f>IF(Inputs!$C$249="","",IF($A4437=0,Inputs!$C$249,IF(ISBLANK(INDEX(att_actdate,$A4437)),Inputs!$C$249,INDEX(att_actdate,$A4437))))</f>
        <v/>
      </c>
      <c r="E4437" s="54" t="str">
        <f t="shared" si="1548"/>
        <v/>
      </c>
      <c r="F4437" s="55">
        <f t="shared" si="1549"/>
        <v>0</v>
      </c>
      <c r="G4437" s="55">
        <f>IF($D4437="",0,COUNTIFS(rl_key,Inputs!$J$249,$E$4268:$E$4507,$E4437,$D$4268:$D$4507,"&lt;"&amp;$D4437))</f>
        <v>0</v>
      </c>
      <c r="H4437" s="55">
        <f>IF($D4437="",0,COUNTIFS(Inputs!$J$80:$J$249,Inputs!$J$249,$E$4268:$E4437,$E4437,$D$4268:$D4437,$D4437))</f>
        <v>0</v>
      </c>
      <c r="I4437" s="55">
        <f t="shared" si="1550"/>
        <v>0</v>
      </c>
    </row>
    <row r="4438" spans="1:9" x14ac:dyDescent="0.25">
      <c r="A4438" s="55">
        <f>IF(OR(Inputs!$J$250&lt;&gt;nr_SelKey,Inputs!$E$250&lt;&gt;"planned",Inputs!$C$250=""),0,COUNTIFS(Inputs!$J$80:$J$250,nr_SelKey,Inputs!$E$80:$E$250,"planned"))</f>
        <v>0</v>
      </c>
      <c r="B4438" s="52">
        <f>IF($A4438=0,N(Inputs!$K$250),IF(ISBLANK(INDEX(att_actpct,$A4438)),N(Inputs!$K$250),INDEX(att_actpct,$A4438)))</f>
        <v>0</v>
      </c>
      <c r="C4438" s="53">
        <f>IF(Inputs!$C$250="",0,IF(1+$B4438&gt;0,LN(1+$B4438),0))</f>
        <v>0</v>
      </c>
      <c r="D4438" s="54" t="str">
        <f>IF(Inputs!$C$250="","",IF($A4438=0,Inputs!$C$250,IF(ISBLANK(INDEX(att_actdate,$A4438)),Inputs!$C$250,INDEX(att_actdate,$A4438))))</f>
        <v/>
      </c>
      <c r="E4438" s="54" t="str">
        <f t="shared" si="1548"/>
        <v/>
      </c>
      <c r="F4438" s="55">
        <f t="shared" si="1549"/>
        <v>0</v>
      </c>
      <c r="G4438" s="55">
        <f>IF($D4438="",0,COUNTIFS(rl_key,Inputs!$J$250,$E$4268:$E$4507,$E4438,$D$4268:$D$4507,"&lt;"&amp;$D4438))</f>
        <v>0</v>
      </c>
      <c r="H4438" s="55">
        <f>IF($D4438="",0,COUNTIFS(Inputs!$J$80:$J$250,Inputs!$J$250,$E$4268:$E4438,$E4438,$D$4268:$D4438,$D4438))</f>
        <v>0</v>
      </c>
      <c r="I4438" s="55">
        <f t="shared" si="1550"/>
        <v>0</v>
      </c>
    </row>
    <row r="4439" spans="1:9" x14ac:dyDescent="0.25">
      <c r="A4439" s="55">
        <f>IF(OR(Inputs!$J$251&lt;&gt;nr_SelKey,Inputs!$E$251&lt;&gt;"planned",Inputs!$C$251=""),0,COUNTIFS(Inputs!$J$80:$J$251,nr_SelKey,Inputs!$E$80:$E$251,"planned"))</f>
        <v>0</v>
      </c>
      <c r="B4439" s="52">
        <f>IF($A4439=0,N(Inputs!$K$251),IF(ISBLANK(INDEX(att_actpct,$A4439)),N(Inputs!$K$251),INDEX(att_actpct,$A4439)))</f>
        <v>0</v>
      </c>
      <c r="C4439" s="53">
        <f>IF(Inputs!$C$251="",0,IF(1+$B4439&gt;0,LN(1+$B4439),0))</f>
        <v>0</v>
      </c>
      <c r="D4439" s="54" t="str">
        <f>IF(Inputs!$C$251="","",IF($A4439=0,Inputs!$C$251,IF(ISBLANK(INDEX(att_actdate,$A4439)),Inputs!$C$251,INDEX(att_actdate,$A4439))))</f>
        <v/>
      </c>
      <c r="E4439" s="54" t="str">
        <f t="shared" si="1548"/>
        <v/>
      </c>
      <c r="F4439" s="55">
        <f t="shared" si="1549"/>
        <v>0</v>
      </c>
      <c r="G4439" s="55">
        <f>IF($D4439="",0,COUNTIFS(rl_key,Inputs!$J$251,$E$4268:$E$4507,$E4439,$D$4268:$D$4507,"&lt;"&amp;$D4439))</f>
        <v>0</v>
      </c>
      <c r="H4439" s="55">
        <f>IF($D4439="",0,COUNTIFS(Inputs!$J$80:$J$251,Inputs!$J$251,$E$4268:$E4439,$E4439,$D$4268:$D4439,$D4439))</f>
        <v>0</v>
      </c>
      <c r="I4439" s="55">
        <f t="shared" si="1550"/>
        <v>0</v>
      </c>
    </row>
    <row r="4440" spans="1:9" x14ac:dyDescent="0.25">
      <c r="A4440" s="55">
        <f>IF(OR(Inputs!$J$252&lt;&gt;nr_SelKey,Inputs!$E$252&lt;&gt;"planned",Inputs!$C$252=""),0,COUNTIFS(Inputs!$J$80:$J$252,nr_SelKey,Inputs!$E$80:$E$252,"planned"))</f>
        <v>0</v>
      </c>
      <c r="B4440" s="52">
        <f>IF($A4440=0,N(Inputs!$K$252),IF(ISBLANK(INDEX(att_actpct,$A4440)),N(Inputs!$K$252),INDEX(att_actpct,$A4440)))</f>
        <v>0</v>
      </c>
      <c r="C4440" s="53">
        <f>IF(Inputs!$C$252="",0,IF(1+$B4440&gt;0,LN(1+$B4440),0))</f>
        <v>0</v>
      </c>
      <c r="D4440" s="54" t="str">
        <f>IF(Inputs!$C$252="","",IF($A4440=0,Inputs!$C$252,IF(ISBLANK(INDEX(att_actdate,$A4440)),Inputs!$C$252,INDEX(att_actdate,$A4440))))</f>
        <v/>
      </c>
      <c r="E4440" s="54" t="str">
        <f t="shared" si="1548"/>
        <v/>
      </c>
      <c r="F4440" s="55">
        <f t="shared" si="1549"/>
        <v>0</v>
      </c>
      <c r="G4440" s="55">
        <f>IF($D4440="",0,COUNTIFS(rl_key,Inputs!$J$252,$E$4268:$E$4507,$E4440,$D$4268:$D$4507,"&lt;"&amp;$D4440))</f>
        <v>0</v>
      </c>
      <c r="H4440" s="55">
        <f>IF($D4440="",0,COUNTIFS(Inputs!$J$80:$J$252,Inputs!$J$252,$E$4268:$E4440,$E4440,$D$4268:$D4440,$D4440))</f>
        <v>0</v>
      </c>
      <c r="I4440" s="55">
        <f t="shared" si="1550"/>
        <v>0</v>
      </c>
    </row>
    <row r="4441" spans="1:9" x14ac:dyDescent="0.25">
      <c r="A4441" s="55">
        <f>IF(OR(Inputs!$J$253&lt;&gt;nr_SelKey,Inputs!$E$253&lt;&gt;"planned",Inputs!$C$253=""),0,COUNTIFS(Inputs!$J$80:$J$253,nr_SelKey,Inputs!$E$80:$E$253,"planned"))</f>
        <v>0</v>
      </c>
      <c r="B4441" s="52">
        <f>IF($A4441=0,N(Inputs!$K$253),IF(ISBLANK(INDEX(att_actpct,$A4441)),N(Inputs!$K$253),INDEX(att_actpct,$A4441)))</f>
        <v>0</v>
      </c>
      <c r="C4441" s="53">
        <f>IF(Inputs!$C$253="",0,IF(1+$B4441&gt;0,LN(1+$B4441),0))</f>
        <v>0</v>
      </c>
      <c r="D4441" s="54" t="str">
        <f>IF(Inputs!$C$253="","",IF($A4441=0,Inputs!$C$253,IF(ISBLANK(INDEX(att_actdate,$A4441)),Inputs!$C$253,INDEX(att_actdate,$A4441))))</f>
        <v/>
      </c>
      <c r="E4441" s="54" t="str">
        <f t="shared" si="1548"/>
        <v/>
      </c>
      <c r="F4441" s="55">
        <f t="shared" si="1549"/>
        <v>0</v>
      </c>
      <c r="G4441" s="55">
        <f>IF($D4441="",0,COUNTIFS(rl_key,Inputs!$J$253,$E$4268:$E$4507,$E4441,$D$4268:$D$4507,"&lt;"&amp;$D4441))</f>
        <v>0</v>
      </c>
      <c r="H4441" s="55">
        <f>IF($D4441="",0,COUNTIFS(Inputs!$J$80:$J$253,Inputs!$J$253,$E$4268:$E4441,$E4441,$D$4268:$D4441,$D4441))</f>
        <v>0</v>
      </c>
      <c r="I4441" s="55">
        <f t="shared" si="1550"/>
        <v>0</v>
      </c>
    </row>
    <row r="4442" spans="1:9" x14ac:dyDescent="0.25">
      <c r="A4442" s="55">
        <f>IF(OR(Inputs!$J$254&lt;&gt;nr_SelKey,Inputs!$E$254&lt;&gt;"planned",Inputs!$C$254=""),0,COUNTIFS(Inputs!$J$80:$J$254,nr_SelKey,Inputs!$E$80:$E$254,"planned"))</f>
        <v>0</v>
      </c>
      <c r="B4442" s="52">
        <f>IF($A4442=0,N(Inputs!$K$254),IF(ISBLANK(INDEX(att_actpct,$A4442)),N(Inputs!$K$254),INDEX(att_actpct,$A4442)))</f>
        <v>0</v>
      </c>
      <c r="C4442" s="53">
        <f>IF(Inputs!$C$254="",0,IF(1+$B4442&gt;0,LN(1+$B4442),0))</f>
        <v>0</v>
      </c>
      <c r="D4442" s="54" t="str">
        <f>IF(Inputs!$C$254="","",IF($A4442=0,Inputs!$C$254,IF(ISBLANK(INDEX(att_actdate,$A4442)),Inputs!$C$254,INDEX(att_actdate,$A4442))))</f>
        <v/>
      </c>
      <c r="E4442" s="54" t="str">
        <f t="shared" si="1548"/>
        <v/>
      </c>
      <c r="F4442" s="55">
        <f t="shared" si="1549"/>
        <v>0</v>
      </c>
      <c r="G4442" s="55">
        <f>IF($D4442="",0,COUNTIFS(rl_key,Inputs!$J$254,$E$4268:$E$4507,$E4442,$D$4268:$D$4507,"&lt;"&amp;$D4442))</f>
        <v>0</v>
      </c>
      <c r="H4442" s="55">
        <f>IF($D4442="",0,COUNTIFS(Inputs!$J$80:$J$254,Inputs!$J$254,$E$4268:$E4442,$E4442,$D$4268:$D4442,$D4442))</f>
        <v>0</v>
      </c>
      <c r="I4442" s="55">
        <f t="shared" si="1550"/>
        <v>0</v>
      </c>
    </row>
    <row r="4443" spans="1:9" x14ac:dyDescent="0.25">
      <c r="A4443" s="55">
        <f>IF(OR(Inputs!$J$255&lt;&gt;nr_SelKey,Inputs!$E$255&lt;&gt;"planned",Inputs!$C$255=""),0,COUNTIFS(Inputs!$J$80:$J$255,nr_SelKey,Inputs!$E$80:$E$255,"planned"))</f>
        <v>0</v>
      </c>
      <c r="B4443" s="52">
        <f>IF($A4443=0,N(Inputs!$K$255),IF(ISBLANK(INDEX(att_actpct,$A4443)),N(Inputs!$K$255),INDEX(att_actpct,$A4443)))</f>
        <v>0</v>
      </c>
      <c r="C4443" s="53">
        <f>IF(Inputs!$C$255="",0,IF(1+$B4443&gt;0,LN(1+$B4443),0))</f>
        <v>0</v>
      </c>
      <c r="D4443" s="54" t="str">
        <f>IF(Inputs!$C$255="","",IF($A4443=0,Inputs!$C$255,IF(ISBLANK(INDEX(att_actdate,$A4443)),Inputs!$C$255,INDEX(att_actdate,$A4443))))</f>
        <v/>
      </c>
      <c r="E4443" s="54" t="str">
        <f t="shared" si="1548"/>
        <v/>
      </c>
      <c r="F4443" s="55">
        <f t="shared" si="1549"/>
        <v>0</v>
      </c>
      <c r="G4443" s="55">
        <f>IF($D4443="",0,COUNTIFS(rl_key,Inputs!$J$255,$E$4268:$E$4507,$E4443,$D$4268:$D$4507,"&lt;"&amp;$D4443))</f>
        <v>0</v>
      </c>
      <c r="H4443" s="55">
        <f>IF($D4443="",0,COUNTIFS(Inputs!$J$80:$J$255,Inputs!$J$255,$E$4268:$E4443,$E4443,$D$4268:$D4443,$D4443))</f>
        <v>0</v>
      </c>
      <c r="I4443" s="55">
        <f t="shared" si="1550"/>
        <v>0</v>
      </c>
    </row>
    <row r="4444" spans="1:9" x14ac:dyDescent="0.25">
      <c r="A4444" s="55">
        <f>IF(OR(Inputs!$J$256&lt;&gt;nr_SelKey,Inputs!$E$256&lt;&gt;"planned",Inputs!$C$256=""),0,COUNTIFS(Inputs!$J$80:$J$256,nr_SelKey,Inputs!$E$80:$E$256,"planned"))</f>
        <v>0</v>
      </c>
      <c r="B4444" s="52">
        <f>IF($A4444=0,N(Inputs!$K$256),IF(ISBLANK(INDEX(att_actpct,$A4444)),N(Inputs!$K$256),INDEX(att_actpct,$A4444)))</f>
        <v>0</v>
      </c>
      <c r="C4444" s="53">
        <f>IF(Inputs!$C$256="",0,IF(1+$B4444&gt;0,LN(1+$B4444),0))</f>
        <v>0</v>
      </c>
      <c r="D4444" s="54" t="str">
        <f>IF(Inputs!$C$256="","",IF($A4444=0,Inputs!$C$256,IF(ISBLANK(INDEX(att_actdate,$A4444)),Inputs!$C$256,INDEX(att_actdate,$A4444))))</f>
        <v/>
      </c>
      <c r="E4444" s="54" t="str">
        <f t="shared" si="1548"/>
        <v/>
      </c>
      <c r="F4444" s="55">
        <f t="shared" si="1549"/>
        <v>0</v>
      </c>
      <c r="G4444" s="55">
        <f>IF($D4444="",0,COUNTIFS(rl_key,Inputs!$J$256,$E$4268:$E$4507,$E4444,$D$4268:$D$4507,"&lt;"&amp;$D4444))</f>
        <v>0</v>
      </c>
      <c r="H4444" s="55">
        <f>IF($D4444="",0,COUNTIFS(Inputs!$J$80:$J$256,Inputs!$J$256,$E$4268:$E4444,$E4444,$D$4268:$D4444,$D4444))</f>
        <v>0</v>
      </c>
      <c r="I4444" s="55">
        <f t="shared" si="1550"/>
        <v>0</v>
      </c>
    </row>
    <row r="4445" spans="1:9" x14ac:dyDescent="0.25">
      <c r="A4445" s="55">
        <f>IF(OR(Inputs!$J$257&lt;&gt;nr_SelKey,Inputs!$E$257&lt;&gt;"planned",Inputs!$C$257=""),0,COUNTIFS(Inputs!$J$80:$J$257,nr_SelKey,Inputs!$E$80:$E$257,"planned"))</f>
        <v>0</v>
      </c>
      <c r="B4445" s="52">
        <f>IF($A4445=0,N(Inputs!$K$257),IF(ISBLANK(INDEX(att_actpct,$A4445)),N(Inputs!$K$257),INDEX(att_actpct,$A4445)))</f>
        <v>0</v>
      </c>
      <c r="C4445" s="53">
        <f>IF(Inputs!$C$257="",0,IF(1+$B4445&gt;0,LN(1+$B4445),0))</f>
        <v>0</v>
      </c>
      <c r="D4445" s="54" t="str">
        <f>IF(Inputs!$C$257="","",IF($A4445=0,Inputs!$C$257,IF(ISBLANK(INDEX(att_actdate,$A4445)),Inputs!$C$257,INDEX(att_actdate,$A4445))))</f>
        <v/>
      </c>
      <c r="E4445" s="54" t="str">
        <f t="shared" si="1548"/>
        <v/>
      </c>
      <c r="F4445" s="55">
        <f t="shared" si="1549"/>
        <v>0</v>
      </c>
      <c r="G4445" s="55">
        <f>IF($D4445="",0,COUNTIFS(rl_key,Inputs!$J$257,$E$4268:$E$4507,$E4445,$D$4268:$D$4507,"&lt;"&amp;$D4445))</f>
        <v>0</v>
      </c>
      <c r="H4445" s="55">
        <f>IF($D4445="",0,COUNTIFS(Inputs!$J$80:$J$257,Inputs!$J$257,$E$4268:$E4445,$E4445,$D$4268:$D4445,$D4445))</f>
        <v>0</v>
      </c>
      <c r="I4445" s="55">
        <f t="shared" si="1550"/>
        <v>0</v>
      </c>
    </row>
    <row r="4446" spans="1:9" x14ac:dyDescent="0.25">
      <c r="A4446" s="55">
        <f>IF(OR(Inputs!$J$258&lt;&gt;nr_SelKey,Inputs!$E$258&lt;&gt;"planned",Inputs!$C$258=""),0,COUNTIFS(Inputs!$J$80:$J$258,nr_SelKey,Inputs!$E$80:$E$258,"planned"))</f>
        <v>0</v>
      </c>
      <c r="B4446" s="52">
        <f>IF($A4446=0,N(Inputs!$K$258),IF(ISBLANK(INDEX(att_actpct,$A4446)),N(Inputs!$K$258),INDEX(att_actpct,$A4446)))</f>
        <v>0</v>
      </c>
      <c r="C4446" s="53">
        <f>IF(Inputs!$C$258="",0,IF(1+$B4446&gt;0,LN(1+$B4446),0))</f>
        <v>0</v>
      </c>
      <c r="D4446" s="54" t="str">
        <f>IF(Inputs!$C$258="","",IF($A4446=0,Inputs!$C$258,IF(ISBLANK(INDEX(att_actdate,$A4446)),Inputs!$C$258,INDEX(att_actdate,$A4446))))</f>
        <v/>
      </c>
      <c r="E4446" s="54" t="str">
        <f t="shared" si="1548"/>
        <v/>
      </c>
      <c r="F4446" s="55">
        <f t="shared" si="1549"/>
        <v>0</v>
      </c>
      <c r="G4446" s="55">
        <f>IF($D4446="",0,COUNTIFS(rl_key,Inputs!$J$258,$E$4268:$E$4507,$E4446,$D$4268:$D$4507,"&lt;"&amp;$D4446))</f>
        <v>0</v>
      </c>
      <c r="H4446" s="55">
        <f>IF($D4446="",0,COUNTIFS(Inputs!$J$80:$J$258,Inputs!$J$258,$E$4268:$E4446,$E4446,$D$4268:$D4446,$D4446))</f>
        <v>0</v>
      </c>
      <c r="I4446" s="55">
        <f t="shared" si="1550"/>
        <v>0</v>
      </c>
    </row>
    <row r="4447" spans="1:9" x14ac:dyDescent="0.25">
      <c r="A4447" s="55">
        <f>IF(OR(Inputs!$J$259&lt;&gt;nr_SelKey,Inputs!$E$259&lt;&gt;"planned",Inputs!$C$259=""),0,COUNTIFS(Inputs!$J$80:$J$259,nr_SelKey,Inputs!$E$80:$E$259,"planned"))</f>
        <v>0</v>
      </c>
      <c r="B4447" s="52">
        <f>IF($A4447=0,N(Inputs!$K$259),IF(ISBLANK(INDEX(att_actpct,$A4447)),N(Inputs!$K$259),INDEX(att_actpct,$A4447)))</f>
        <v>0</v>
      </c>
      <c r="C4447" s="53">
        <f>IF(Inputs!$C$259="",0,IF(1+$B4447&gt;0,LN(1+$B4447),0))</f>
        <v>0</v>
      </c>
      <c r="D4447" s="54" t="str">
        <f>IF(Inputs!$C$259="","",IF($A4447=0,Inputs!$C$259,IF(ISBLANK(INDEX(att_actdate,$A4447)),Inputs!$C$259,INDEX(att_actdate,$A4447))))</f>
        <v/>
      </c>
      <c r="E4447" s="54" t="str">
        <f t="shared" si="1548"/>
        <v/>
      </c>
      <c r="F4447" s="55">
        <f t="shared" si="1549"/>
        <v>0</v>
      </c>
      <c r="G4447" s="55">
        <f>IF($D4447="",0,COUNTIFS(rl_key,Inputs!$J$259,$E$4268:$E$4507,$E4447,$D$4268:$D$4507,"&lt;"&amp;$D4447))</f>
        <v>0</v>
      </c>
      <c r="H4447" s="55">
        <f>IF($D4447="",0,COUNTIFS(Inputs!$J$80:$J$259,Inputs!$J$259,$E$4268:$E4447,$E4447,$D$4268:$D4447,$D4447))</f>
        <v>0</v>
      </c>
      <c r="I4447" s="55">
        <f t="shared" si="1550"/>
        <v>0</v>
      </c>
    </row>
    <row r="4448" spans="1:9" x14ac:dyDescent="0.25">
      <c r="A4448" s="55">
        <f>IF(OR(Inputs!$J$260&lt;&gt;nr_SelKey,Inputs!$E$260&lt;&gt;"planned",Inputs!$C$260=""),0,COUNTIFS(Inputs!$J$80:$J$260,nr_SelKey,Inputs!$E$80:$E$260,"planned"))</f>
        <v>0</v>
      </c>
      <c r="B4448" s="52">
        <f>IF($A4448=0,N(Inputs!$K$260),IF(ISBLANK(INDEX(att_actpct,$A4448)),N(Inputs!$K$260),INDEX(att_actpct,$A4448)))</f>
        <v>0</v>
      </c>
      <c r="C4448" s="53">
        <f>IF(Inputs!$C$260="",0,IF(1+$B4448&gt;0,LN(1+$B4448),0))</f>
        <v>0</v>
      </c>
      <c r="D4448" s="54" t="str">
        <f>IF(Inputs!$C$260="","",IF($A4448=0,Inputs!$C$260,IF(ISBLANK(INDEX(att_actdate,$A4448)),Inputs!$C$260,INDEX(att_actdate,$A4448))))</f>
        <v/>
      </c>
      <c r="E4448" s="54" t="str">
        <f t="shared" si="1548"/>
        <v/>
      </c>
      <c r="F4448" s="55">
        <f t="shared" si="1549"/>
        <v>0</v>
      </c>
      <c r="G4448" s="55">
        <f>IF($D4448="",0,COUNTIFS(rl_key,Inputs!$J$260,$E$4268:$E$4507,$E4448,$D$4268:$D$4507,"&lt;"&amp;$D4448))</f>
        <v>0</v>
      </c>
      <c r="H4448" s="55">
        <f>IF($D4448="",0,COUNTIFS(Inputs!$J$80:$J$260,Inputs!$J$260,$E$4268:$E4448,$E4448,$D$4268:$D4448,$D4448))</f>
        <v>0</v>
      </c>
      <c r="I4448" s="55">
        <f t="shared" si="1550"/>
        <v>0</v>
      </c>
    </row>
    <row r="4449" spans="1:9" x14ac:dyDescent="0.25">
      <c r="A4449" s="55">
        <f>IF(OR(Inputs!$J$261&lt;&gt;nr_SelKey,Inputs!$E$261&lt;&gt;"planned",Inputs!$C$261=""),0,COUNTIFS(Inputs!$J$80:$J$261,nr_SelKey,Inputs!$E$80:$E$261,"planned"))</f>
        <v>0</v>
      </c>
      <c r="B4449" s="52">
        <f>IF($A4449=0,N(Inputs!$K$261),IF(ISBLANK(INDEX(att_actpct,$A4449)),N(Inputs!$K$261),INDEX(att_actpct,$A4449)))</f>
        <v>0</v>
      </c>
      <c r="C4449" s="53">
        <f>IF(Inputs!$C$261="",0,IF(1+$B4449&gt;0,LN(1+$B4449),0))</f>
        <v>0</v>
      </c>
      <c r="D4449" s="54" t="str">
        <f>IF(Inputs!$C$261="","",IF($A4449=0,Inputs!$C$261,IF(ISBLANK(INDEX(att_actdate,$A4449)),Inputs!$C$261,INDEX(att_actdate,$A4449))))</f>
        <v/>
      </c>
      <c r="E4449" s="54" t="str">
        <f t="shared" si="1548"/>
        <v/>
      </c>
      <c r="F4449" s="55">
        <f t="shared" si="1549"/>
        <v>0</v>
      </c>
      <c r="G4449" s="55">
        <f>IF($D4449="",0,COUNTIFS(rl_key,Inputs!$J$261,$E$4268:$E$4507,$E4449,$D$4268:$D$4507,"&lt;"&amp;$D4449))</f>
        <v>0</v>
      </c>
      <c r="H4449" s="55">
        <f>IF($D4449="",0,COUNTIFS(Inputs!$J$80:$J$261,Inputs!$J$261,$E$4268:$E4449,$E4449,$D$4268:$D4449,$D4449))</f>
        <v>0</v>
      </c>
      <c r="I4449" s="55">
        <f t="shared" si="1550"/>
        <v>0</v>
      </c>
    </row>
    <row r="4450" spans="1:9" x14ac:dyDescent="0.25">
      <c r="A4450" s="55">
        <f>IF(OR(Inputs!$J$262&lt;&gt;nr_SelKey,Inputs!$E$262&lt;&gt;"planned",Inputs!$C$262=""),0,COUNTIFS(Inputs!$J$80:$J$262,nr_SelKey,Inputs!$E$80:$E$262,"planned"))</f>
        <v>0</v>
      </c>
      <c r="B4450" s="52">
        <f>IF($A4450=0,N(Inputs!$K$262),IF(ISBLANK(INDEX(att_actpct,$A4450)),N(Inputs!$K$262),INDEX(att_actpct,$A4450)))</f>
        <v>0</v>
      </c>
      <c r="C4450" s="53">
        <f>IF(Inputs!$C$262="",0,IF(1+$B4450&gt;0,LN(1+$B4450),0))</f>
        <v>0</v>
      </c>
      <c r="D4450" s="54" t="str">
        <f>IF(Inputs!$C$262="","",IF($A4450=0,Inputs!$C$262,IF(ISBLANK(INDEX(att_actdate,$A4450)),Inputs!$C$262,INDEX(att_actdate,$A4450))))</f>
        <v/>
      </c>
      <c r="E4450" s="54" t="str">
        <f t="shared" si="1548"/>
        <v/>
      </c>
      <c r="F4450" s="55">
        <f t="shared" si="1549"/>
        <v>0</v>
      </c>
      <c r="G4450" s="55">
        <f>IF($D4450="",0,COUNTIFS(rl_key,Inputs!$J$262,$E$4268:$E$4507,$E4450,$D$4268:$D$4507,"&lt;"&amp;$D4450))</f>
        <v>0</v>
      </c>
      <c r="H4450" s="55">
        <f>IF($D4450="",0,COUNTIFS(Inputs!$J$80:$J$262,Inputs!$J$262,$E$4268:$E4450,$E4450,$D$4268:$D4450,$D4450))</f>
        <v>0</v>
      </c>
      <c r="I4450" s="55">
        <f t="shared" si="1550"/>
        <v>0</v>
      </c>
    </row>
    <row r="4451" spans="1:9" x14ac:dyDescent="0.25">
      <c r="A4451" s="55">
        <f>IF(OR(Inputs!$J$263&lt;&gt;nr_SelKey,Inputs!$E$263&lt;&gt;"planned",Inputs!$C$263=""),0,COUNTIFS(Inputs!$J$80:$J$263,nr_SelKey,Inputs!$E$80:$E$263,"planned"))</f>
        <v>0</v>
      </c>
      <c r="B4451" s="52">
        <f>IF($A4451=0,N(Inputs!$K$263),IF(ISBLANK(INDEX(att_actpct,$A4451)),N(Inputs!$K$263),INDEX(att_actpct,$A4451)))</f>
        <v>0</v>
      </c>
      <c r="C4451" s="53">
        <f>IF(Inputs!$C$263="",0,IF(1+$B4451&gt;0,LN(1+$B4451),0))</f>
        <v>0</v>
      </c>
      <c r="D4451" s="54" t="str">
        <f>IF(Inputs!$C$263="","",IF($A4451=0,Inputs!$C$263,IF(ISBLANK(INDEX(att_actdate,$A4451)),Inputs!$C$263,INDEX(att_actdate,$A4451))))</f>
        <v/>
      </c>
      <c r="E4451" s="54" t="str">
        <f t="shared" si="1548"/>
        <v/>
      </c>
      <c r="F4451" s="55">
        <f t="shared" si="1549"/>
        <v>0</v>
      </c>
      <c r="G4451" s="55">
        <f>IF($D4451="",0,COUNTIFS(rl_key,Inputs!$J$263,$E$4268:$E$4507,$E4451,$D$4268:$D$4507,"&lt;"&amp;$D4451))</f>
        <v>0</v>
      </c>
      <c r="H4451" s="55">
        <f>IF($D4451="",0,COUNTIFS(Inputs!$J$80:$J$263,Inputs!$J$263,$E$4268:$E4451,$E4451,$D$4268:$D4451,$D4451))</f>
        <v>0</v>
      </c>
      <c r="I4451" s="55">
        <f t="shared" si="1550"/>
        <v>0</v>
      </c>
    </row>
    <row r="4452" spans="1:9" x14ac:dyDescent="0.25">
      <c r="A4452" s="55">
        <f>IF(OR(Inputs!$J$264&lt;&gt;nr_SelKey,Inputs!$E$264&lt;&gt;"planned",Inputs!$C$264=""),0,COUNTIFS(Inputs!$J$80:$J$264,nr_SelKey,Inputs!$E$80:$E$264,"planned"))</f>
        <v>0</v>
      </c>
      <c r="B4452" s="52">
        <f>IF($A4452=0,N(Inputs!$K$264),IF(ISBLANK(INDEX(att_actpct,$A4452)),N(Inputs!$K$264),INDEX(att_actpct,$A4452)))</f>
        <v>0</v>
      </c>
      <c r="C4452" s="53">
        <f>IF(Inputs!$C$264="",0,IF(1+$B4452&gt;0,LN(1+$B4452),0))</f>
        <v>0</v>
      </c>
      <c r="D4452" s="54" t="str">
        <f>IF(Inputs!$C$264="","",IF($A4452=0,Inputs!$C$264,IF(ISBLANK(INDEX(att_actdate,$A4452)),Inputs!$C$264,INDEX(att_actdate,$A4452))))</f>
        <v/>
      </c>
      <c r="E4452" s="54" t="str">
        <f t="shared" si="1548"/>
        <v/>
      </c>
      <c r="F4452" s="55">
        <f t="shared" si="1549"/>
        <v>0</v>
      </c>
      <c r="G4452" s="55">
        <f>IF($D4452="",0,COUNTIFS(rl_key,Inputs!$J$264,$E$4268:$E$4507,$E4452,$D$4268:$D$4507,"&lt;"&amp;$D4452))</f>
        <v>0</v>
      </c>
      <c r="H4452" s="55">
        <f>IF($D4452="",0,COUNTIFS(Inputs!$J$80:$J$264,Inputs!$J$264,$E$4268:$E4452,$E4452,$D$4268:$D4452,$D4452))</f>
        <v>0</v>
      </c>
      <c r="I4452" s="55">
        <f t="shared" si="1550"/>
        <v>0</v>
      </c>
    </row>
    <row r="4453" spans="1:9" x14ac:dyDescent="0.25">
      <c r="A4453" s="55">
        <f>IF(OR(Inputs!$J$265&lt;&gt;nr_SelKey,Inputs!$E$265&lt;&gt;"planned",Inputs!$C$265=""),0,COUNTIFS(Inputs!$J$80:$J$265,nr_SelKey,Inputs!$E$80:$E$265,"planned"))</f>
        <v>0</v>
      </c>
      <c r="B4453" s="52">
        <f>IF($A4453=0,N(Inputs!$K$265),IF(ISBLANK(INDEX(att_actpct,$A4453)),N(Inputs!$K$265),INDEX(att_actpct,$A4453)))</f>
        <v>0</v>
      </c>
      <c r="C4453" s="53">
        <f>IF(Inputs!$C$265="",0,IF(1+$B4453&gt;0,LN(1+$B4453),0))</f>
        <v>0</v>
      </c>
      <c r="D4453" s="54" t="str">
        <f>IF(Inputs!$C$265="","",IF($A4453=0,Inputs!$C$265,IF(ISBLANK(INDEX(att_actdate,$A4453)),Inputs!$C$265,INDEX(att_actdate,$A4453))))</f>
        <v/>
      </c>
      <c r="E4453" s="54" t="str">
        <f t="shared" si="1548"/>
        <v/>
      </c>
      <c r="F4453" s="55">
        <f t="shared" si="1549"/>
        <v>0</v>
      </c>
      <c r="G4453" s="55">
        <f>IF($D4453="",0,COUNTIFS(rl_key,Inputs!$J$265,$E$4268:$E$4507,$E4453,$D$4268:$D$4507,"&lt;"&amp;$D4453))</f>
        <v>0</v>
      </c>
      <c r="H4453" s="55">
        <f>IF($D4453="",0,COUNTIFS(Inputs!$J$80:$J$265,Inputs!$J$265,$E$4268:$E4453,$E4453,$D$4268:$D4453,$D4453))</f>
        <v>0</v>
      </c>
      <c r="I4453" s="55">
        <f t="shared" si="1550"/>
        <v>0</v>
      </c>
    </row>
    <row r="4454" spans="1:9" x14ac:dyDescent="0.25">
      <c r="A4454" s="55">
        <f>IF(OR(Inputs!$J$266&lt;&gt;nr_SelKey,Inputs!$E$266&lt;&gt;"planned",Inputs!$C$266=""),0,COUNTIFS(Inputs!$J$80:$J$266,nr_SelKey,Inputs!$E$80:$E$266,"planned"))</f>
        <v>0</v>
      </c>
      <c r="B4454" s="52">
        <f>IF($A4454=0,N(Inputs!$K$266),IF(ISBLANK(INDEX(att_actpct,$A4454)),N(Inputs!$K$266),INDEX(att_actpct,$A4454)))</f>
        <v>0</v>
      </c>
      <c r="C4454" s="53">
        <f>IF(Inputs!$C$266="",0,IF(1+$B4454&gt;0,LN(1+$B4454),0))</f>
        <v>0</v>
      </c>
      <c r="D4454" s="54" t="str">
        <f>IF(Inputs!$C$266="","",IF($A4454=0,Inputs!$C$266,IF(ISBLANK(INDEX(att_actdate,$A4454)),Inputs!$C$266,INDEX(att_actdate,$A4454))))</f>
        <v/>
      </c>
      <c r="E4454" s="54" t="str">
        <f t="shared" si="1548"/>
        <v/>
      </c>
      <c r="F4454" s="55">
        <f t="shared" si="1549"/>
        <v>0</v>
      </c>
      <c r="G4454" s="55">
        <f>IF($D4454="",0,COUNTIFS(rl_key,Inputs!$J$266,$E$4268:$E$4507,$E4454,$D$4268:$D$4507,"&lt;"&amp;$D4454))</f>
        <v>0</v>
      </c>
      <c r="H4454" s="55">
        <f>IF($D4454="",0,COUNTIFS(Inputs!$J$80:$J$266,Inputs!$J$266,$E$4268:$E4454,$E4454,$D$4268:$D4454,$D4454))</f>
        <v>0</v>
      </c>
      <c r="I4454" s="55">
        <f t="shared" si="1550"/>
        <v>0</v>
      </c>
    </row>
    <row r="4455" spans="1:9" x14ac:dyDescent="0.25">
      <c r="A4455" s="55">
        <f>IF(OR(Inputs!$J$267&lt;&gt;nr_SelKey,Inputs!$E$267&lt;&gt;"planned",Inputs!$C$267=""),0,COUNTIFS(Inputs!$J$80:$J$267,nr_SelKey,Inputs!$E$80:$E$267,"planned"))</f>
        <v>0</v>
      </c>
      <c r="B4455" s="52">
        <f>IF($A4455=0,N(Inputs!$K$267),IF(ISBLANK(INDEX(att_actpct,$A4455)),N(Inputs!$K$267),INDEX(att_actpct,$A4455)))</f>
        <v>0</v>
      </c>
      <c r="C4455" s="53">
        <f>IF(Inputs!$C$267="",0,IF(1+$B4455&gt;0,LN(1+$B4455),0))</f>
        <v>0</v>
      </c>
      <c r="D4455" s="54" t="str">
        <f>IF(Inputs!$C$267="","",IF($A4455=0,Inputs!$C$267,IF(ISBLANK(INDEX(att_actdate,$A4455)),Inputs!$C$267,INDEX(att_actdate,$A4455))))</f>
        <v/>
      </c>
      <c r="E4455" s="54" t="str">
        <f t="shared" si="1548"/>
        <v/>
      </c>
      <c r="F4455" s="55">
        <f t="shared" si="1549"/>
        <v>0</v>
      </c>
      <c r="G4455" s="55">
        <f>IF($D4455="",0,COUNTIFS(rl_key,Inputs!$J$267,$E$4268:$E$4507,$E4455,$D$4268:$D$4507,"&lt;"&amp;$D4455))</f>
        <v>0</v>
      </c>
      <c r="H4455" s="55">
        <f>IF($D4455="",0,COUNTIFS(Inputs!$J$80:$J$267,Inputs!$J$267,$E$4268:$E4455,$E4455,$D$4268:$D4455,$D4455))</f>
        <v>0</v>
      </c>
      <c r="I4455" s="55">
        <f t="shared" si="1550"/>
        <v>0</v>
      </c>
    </row>
    <row r="4456" spans="1:9" x14ac:dyDescent="0.25">
      <c r="A4456" s="55">
        <f>IF(OR(Inputs!$J$268&lt;&gt;nr_SelKey,Inputs!$E$268&lt;&gt;"planned",Inputs!$C$268=""),0,COUNTIFS(Inputs!$J$80:$J$268,nr_SelKey,Inputs!$E$80:$E$268,"planned"))</f>
        <v>0</v>
      </c>
      <c r="B4456" s="52">
        <f>IF($A4456=0,N(Inputs!$K$268),IF(ISBLANK(INDEX(att_actpct,$A4456)),N(Inputs!$K$268),INDEX(att_actpct,$A4456)))</f>
        <v>0</v>
      </c>
      <c r="C4456" s="53">
        <f>IF(Inputs!$C$268="",0,IF(1+$B4456&gt;0,LN(1+$B4456),0))</f>
        <v>0</v>
      </c>
      <c r="D4456" s="54" t="str">
        <f>IF(Inputs!$C$268="","",IF($A4456=0,Inputs!$C$268,IF(ISBLANK(INDEX(att_actdate,$A4456)),Inputs!$C$268,INDEX(att_actdate,$A4456))))</f>
        <v/>
      </c>
      <c r="E4456" s="54" t="str">
        <f t="shared" si="1548"/>
        <v/>
      </c>
      <c r="F4456" s="55">
        <f t="shared" si="1549"/>
        <v>0</v>
      </c>
      <c r="G4456" s="55">
        <f>IF($D4456="",0,COUNTIFS(rl_key,Inputs!$J$268,$E$4268:$E$4507,$E4456,$D$4268:$D$4507,"&lt;"&amp;$D4456))</f>
        <v>0</v>
      </c>
      <c r="H4456" s="55">
        <f>IF($D4456="",0,COUNTIFS(Inputs!$J$80:$J$268,Inputs!$J$268,$E$4268:$E4456,$E4456,$D$4268:$D4456,$D4456))</f>
        <v>0</v>
      </c>
      <c r="I4456" s="55">
        <f t="shared" si="1550"/>
        <v>0</v>
      </c>
    </row>
    <row r="4457" spans="1:9" x14ac:dyDescent="0.25">
      <c r="A4457" s="55">
        <f>IF(OR(Inputs!$J$269&lt;&gt;nr_SelKey,Inputs!$E$269&lt;&gt;"planned",Inputs!$C$269=""),0,COUNTIFS(Inputs!$J$80:$J$269,nr_SelKey,Inputs!$E$80:$E$269,"planned"))</f>
        <v>0</v>
      </c>
      <c r="B4457" s="52">
        <f>IF($A4457=0,N(Inputs!$K$269),IF(ISBLANK(INDEX(att_actpct,$A4457)),N(Inputs!$K$269),INDEX(att_actpct,$A4457)))</f>
        <v>0</v>
      </c>
      <c r="C4457" s="53">
        <f>IF(Inputs!$C$269="",0,IF(1+$B4457&gt;0,LN(1+$B4457),0))</f>
        <v>0</v>
      </c>
      <c r="D4457" s="54" t="str">
        <f>IF(Inputs!$C$269="","",IF($A4457=0,Inputs!$C$269,IF(ISBLANK(INDEX(att_actdate,$A4457)),Inputs!$C$269,INDEX(att_actdate,$A4457))))</f>
        <v/>
      </c>
      <c r="E4457" s="54" t="str">
        <f t="shared" si="1548"/>
        <v/>
      </c>
      <c r="F4457" s="55">
        <f t="shared" si="1549"/>
        <v>0</v>
      </c>
      <c r="G4457" s="55">
        <f>IF($D4457="",0,COUNTIFS(rl_key,Inputs!$J$269,$E$4268:$E$4507,$E4457,$D$4268:$D$4507,"&lt;"&amp;$D4457))</f>
        <v>0</v>
      </c>
      <c r="H4457" s="55">
        <f>IF($D4457="",0,COUNTIFS(Inputs!$J$80:$J$269,Inputs!$J$269,$E$4268:$E4457,$E4457,$D$4268:$D4457,$D4457))</f>
        <v>0</v>
      </c>
      <c r="I4457" s="55">
        <f t="shared" si="1550"/>
        <v>0</v>
      </c>
    </row>
    <row r="4458" spans="1:9" x14ac:dyDescent="0.25">
      <c r="A4458" s="55">
        <f>IF(OR(Inputs!$J$270&lt;&gt;nr_SelKey,Inputs!$E$270&lt;&gt;"planned",Inputs!$C$270=""),0,COUNTIFS(Inputs!$J$80:$J$270,nr_SelKey,Inputs!$E$80:$E$270,"planned"))</f>
        <v>0</v>
      </c>
      <c r="B4458" s="52">
        <f>IF($A4458=0,N(Inputs!$K$270),IF(ISBLANK(INDEX(att_actpct,$A4458)),N(Inputs!$K$270),INDEX(att_actpct,$A4458)))</f>
        <v>0</v>
      </c>
      <c r="C4458" s="53">
        <f>IF(Inputs!$C$270="",0,IF(1+$B4458&gt;0,LN(1+$B4458),0))</f>
        <v>0</v>
      </c>
      <c r="D4458" s="54" t="str">
        <f>IF(Inputs!$C$270="","",IF($A4458=0,Inputs!$C$270,IF(ISBLANK(INDEX(att_actdate,$A4458)),Inputs!$C$270,INDEX(att_actdate,$A4458))))</f>
        <v/>
      </c>
      <c r="E4458" s="54" t="str">
        <f t="shared" si="1548"/>
        <v/>
      </c>
      <c r="F4458" s="55">
        <f t="shared" si="1549"/>
        <v>0</v>
      </c>
      <c r="G4458" s="55">
        <f>IF($D4458="",0,COUNTIFS(rl_key,Inputs!$J$270,$E$4268:$E$4507,$E4458,$D$4268:$D$4507,"&lt;"&amp;$D4458))</f>
        <v>0</v>
      </c>
      <c r="H4458" s="55">
        <f>IF($D4458="",0,COUNTIFS(Inputs!$J$80:$J$270,Inputs!$J$270,$E$4268:$E4458,$E4458,$D$4268:$D4458,$D4458))</f>
        <v>0</v>
      </c>
      <c r="I4458" s="55">
        <f t="shared" si="1550"/>
        <v>0</v>
      </c>
    </row>
    <row r="4459" spans="1:9" x14ac:dyDescent="0.25">
      <c r="A4459" s="55">
        <f>IF(OR(Inputs!$J$271&lt;&gt;nr_SelKey,Inputs!$E$271&lt;&gt;"planned",Inputs!$C$271=""),0,COUNTIFS(Inputs!$J$80:$J$271,nr_SelKey,Inputs!$E$80:$E$271,"planned"))</f>
        <v>0</v>
      </c>
      <c r="B4459" s="52">
        <f>IF($A4459=0,N(Inputs!$K$271),IF(ISBLANK(INDEX(att_actpct,$A4459)),N(Inputs!$K$271),INDEX(att_actpct,$A4459)))</f>
        <v>0</v>
      </c>
      <c r="C4459" s="53">
        <f>IF(Inputs!$C$271="",0,IF(1+$B4459&gt;0,LN(1+$B4459),0))</f>
        <v>0</v>
      </c>
      <c r="D4459" s="54" t="str">
        <f>IF(Inputs!$C$271="","",IF($A4459=0,Inputs!$C$271,IF(ISBLANK(INDEX(att_actdate,$A4459)),Inputs!$C$271,INDEX(att_actdate,$A4459))))</f>
        <v/>
      </c>
      <c r="E4459" s="54" t="str">
        <f t="shared" si="1548"/>
        <v/>
      </c>
      <c r="F4459" s="55">
        <f t="shared" si="1549"/>
        <v>0</v>
      </c>
      <c r="G4459" s="55">
        <f>IF($D4459="",0,COUNTIFS(rl_key,Inputs!$J$271,$E$4268:$E$4507,$E4459,$D$4268:$D$4507,"&lt;"&amp;$D4459))</f>
        <v>0</v>
      </c>
      <c r="H4459" s="55">
        <f>IF($D4459="",0,COUNTIFS(Inputs!$J$80:$J$271,Inputs!$J$271,$E$4268:$E4459,$E4459,$D$4268:$D4459,$D4459))</f>
        <v>0</v>
      </c>
      <c r="I4459" s="55">
        <f t="shared" si="1550"/>
        <v>0</v>
      </c>
    </row>
    <row r="4460" spans="1:9" x14ac:dyDescent="0.25">
      <c r="A4460" s="55">
        <f>IF(OR(Inputs!$J$272&lt;&gt;nr_SelKey,Inputs!$E$272&lt;&gt;"planned",Inputs!$C$272=""),0,COUNTIFS(Inputs!$J$80:$J$272,nr_SelKey,Inputs!$E$80:$E$272,"planned"))</f>
        <v>0</v>
      </c>
      <c r="B4460" s="52">
        <f>IF($A4460=0,N(Inputs!$K$272),IF(ISBLANK(INDEX(att_actpct,$A4460)),N(Inputs!$K$272),INDEX(att_actpct,$A4460)))</f>
        <v>0</v>
      </c>
      <c r="C4460" s="53">
        <f>IF(Inputs!$C$272="",0,IF(1+$B4460&gt;0,LN(1+$B4460),0))</f>
        <v>0</v>
      </c>
      <c r="D4460" s="54" t="str">
        <f>IF(Inputs!$C$272="","",IF($A4460=0,Inputs!$C$272,IF(ISBLANK(INDEX(att_actdate,$A4460)),Inputs!$C$272,INDEX(att_actdate,$A4460))))</f>
        <v/>
      </c>
      <c r="E4460" s="54" t="str">
        <f t="shared" ref="E4460:E4507" si="1551">IF($D4460="","",DATE(YEAR($D4460),MONTH($D4460),1))</f>
        <v/>
      </c>
      <c r="F4460" s="55">
        <f t="shared" ref="F4460:F4507" si="1552">IF($D4460="",0,EOMONTH($D4460,0)-$D4460+1)</f>
        <v>0</v>
      </c>
      <c r="G4460" s="55">
        <f>IF($D4460="",0,COUNTIFS(rl_key,Inputs!$J$272,$E$4268:$E$4507,$E4460,$D$4268:$D$4507,"&lt;"&amp;$D4460))</f>
        <v>0</v>
      </c>
      <c r="H4460" s="55">
        <f>IF($D4460="",0,COUNTIFS(Inputs!$J$80:$J$272,Inputs!$J$272,$E$4268:$E4460,$E4460,$D$4268:$D4460,$D4460))</f>
        <v>0</v>
      </c>
      <c r="I4460" s="55">
        <f t="shared" ref="I4460:I4507" si="1553">IF($D4460="",0,IF(AND($G4460=0,$H4460=1),1,0))</f>
        <v>0</v>
      </c>
    </row>
    <row r="4461" spans="1:9" x14ac:dyDescent="0.25">
      <c r="A4461" s="55">
        <f>IF(OR(Inputs!$J$273&lt;&gt;nr_SelKey,Inputs!$E$273&lt;&gt;"planned",Inputs!$C$273=""),0,COUNTIFS(Inputs!$J$80:$J$273,nr_SelKey,Inputs!$E$80:$E$273,"planned"))</f>
        <v>0</v>
      </c>
      <c r="B4461" s="52">
        <f>IF($A4461=0,N(Inputs!$K$273),IF(ISBLANK(INDEX(att_actpct,$A4461)),N(Inputs!$K$273),INDEX(att_actpct,$A4461)))</f>
        <v>0</v>
      </c>
      <c r="C4461" s="53">
        <f>IF(Inputs!$C$273="",0,IF(1+$B4461&gt;0,LN(1+$B4461),0))</f>
        <v>0</v>
      </c>
      <c r="D4461" s="54" t="str">
        <f>IF(Inputs!$C$273="","",IF($A4461=0,Inputs!$C$273,IF(ISBLANK(INDEX(att_actdate,$A4461)),Inputs!$C$273,INDEX(att_actdate,$A4461))))</f>
        <v/>
      </c>
      <c r="E4461" s="54" t="str">
        <f t="shared" si="1551"/>
        <v/>
      </c>
      <c r="F4461" s="55">
        <f t="shared" si="1552"/>
        <v>0</v>
      </c>
      <c r="G4461" s="55">
        <f>IF($D4461="",0,COUNTIFS(rl_key,Inputs!$J$273,$E$4268:$E$4507,$E4461,$D$4268:$D$4507,"&lt;"&amp;$D4461))</f>
        <v>0</v>
      </c>
      <c r="H4461" s="55">
        <f>IF($D4461="",0,COUNTIFS(Inputs!$J$80:$J$273,Inputs!$J$273,$E$4268:$E4461,$E4461,$D$4268:$D4461,$D4461))</f>
        <v>0</v>
      </c>
      <c r="I4461" s="55">
        <f t="shared" si="1553"/>
        <v>0</v>
      </c>
    </row>
    <row r="4462" spans="1:9" x14ac:dyDescent="0.25">
      <c r="A4462" s="55">
        <f>IF(OR(Inputs!$J$274&lt;&gt;nr_SelKey,Inputs!$E$274&lt;&gt;"planned",Inputs!$C$274=""),0,COUNTIFS(Inputs!$J$80:$J$274,nr_SelKey,Inputs!$E$80:$E$274,"planned"))</f>
        <v>0</v>
      </c>
      <c r="B4462" s="52">
        <f>IF($A4462=0,N(Inputs!$K$274),IF(ISBLANK(INDEX(att_actpct,$A4462)),N(Inputs!$K$274),INDEX(att_actpct,$A4462)))</f>
        <v>0</v>
      </c>
      <c r="C4462" s="53">
        <f>IF(Inputs!$C$274="",0,IF(1+$B4462&gt;0,LN(1+$B4462),0))</f>
        <v>0</v>
      </c>
      <c r="D4462" s="54" t="str">
        <f>IF(Inputs!$C$274="","",IF($A4462=0,Inputs!$C$274,IF(ISBLANK(INDEX(att_actdate,$A4462)),Inputs!$C$274,INDEX(att_actdate,$A4462))))</f>
        <v/>
      </c>
      <c r="E4462" s="54" t="str">
        <f t="shared" si="1551"/>
        <v/>
      </c>
      <c r="F4462" s="55">
        <f t="shared" si="1552"/>
        <v>0</v>
      </c>
      <c r="G4462" s="55">
        <f>IF($D4462="",0,COUNTIFS(rl_key,Inputs!$J$274,$E$4268:$E$4507,$E4462,$D$4268:$D$4507,"&lt;"&amp;$D4462))</f>
        <v>0</v>
      </c>
      <c r="H4462" s="55">
        <f>IF($D4462="",0,COUNTIFS(Inputs!$J$80:$J$274,Inputs!$J$274,$E$4268:$E4462,$E4462,$D$4268:$D4462,$D4462))</f>
        <v>0</v>
      </c>
      <c r="I4462" s="55">
        <f t="shared" si="1553"/>
        <v>0</v>
      </c>
    </row>
    <row r="4463" spans="1:9" x14ac:dyDescent="0.25">
      <c r="A4463" s="55">
        <f>IF(OR(Inputs!$J$275&lt;&gt;nr_SelKey,Inputs!$E$275&lt;&gt;"planned",Inputs!$C$275=""),0,COUNTIFS(Inputs!$J$80:$J$275,nr_SelKey,Inputs!$E$80:$E$275,"planned"))</f>
        <v>0</v>
      </c>
      <c r="B4463" s="52">
        <f>IF($A4463=0,N(Inputs!$K$275),IF(ISBLANK(INDEX(att_actpct,$A4463)),N(Inputs!$K$275),INDEX(att_actpct,$A4463)))</f>
        <v>0</v>
      </c>
      <c r="C4463" s="53">
        <f>IF(Inputs!$C$275="",0,IF(1+$B4463&gt;0,LN(1+$B4463),0))</f>
        <v>0</v>
      </c>
      <c r="D4463" s="54" t="str">
        <f>IF(Inputs!$C$275="","",IF($A4463=0,Inputs!$C$275,IF(ISBLANK(INDEX(att_actdate,$A4463)),Inputs!$C$275,INDEX(att_actdate,$A4463))))</f>
        <v/>
      </c>
      <c r="E4463" s="54" t="str">
        <f t="shared" si="1551"/>
        <v/>
      </c>
      <c r="F4463" s="55">
        <f t="shared" si="1552"/>
        <v>0</v>
      </c>
      <c r="G4463" s="55">
        <f>IF($D4463="",0,COUNTIFS(rl_key,Inputs!$J$275,$E$4268:$E$4507,$E4463,$D$4268:$D$4507,"&lt;"&amp;$D4463))</f>
        <v>0</v>
      </c>
      <c r="H4463" s="55">
        <f>IF($D4463="",0,COUNTIFS(Inputs!$J$80:$J$275,Inputs!$J$275,$E$4268:$E4463,$E4463,$D$4268:$D4463,$D4463))</f>
        <v>0</v>
      </c>
      <c r="I4463" s="55">
        <f t="shared" si="1553"/>
        <v>0</v>
      </c>
    </row>
    <row r="4464" spans="1:9" x14ac:dyDescent="0.25">
      <c r="A4464" s="55">
        <f>IF(OR(Inputs!$J$276&lt;&gt;nr_SelKey,Inputs!$E$276&lt;&gt;"planned",Inputs!$C$276=""),0,COUNTIFS(Inputs!$J$80:$J$276,nr_SelKey,Inputs!$E$80:$E$276,"planned"))</f>
        <v>0</v>
      </c>
      <c r="B4464" s="52">
        <f>IF($A4464=0,N(Inputs!$K$276),IF(ISBLANK(INDEX(att_actpct,$A4464)),N(Inputs!$K$276),INDEX(att_actpct,$A4464)))</f>
        <v>0</v>
      </c>
      <c r="C4464" s="53">
        <f>IF(Inputs!$C$276="",0,IF(1+$B4464&gt;0,LN(1+$B4464),0))</f>
        <v>0</v>
      </c>
      <c r="D4464" s="54" t="str">
        <f>IF(Inputs!$C$276="","",IF($A4464=0,Inputs!$C$276,IF(ISBLANK(INDEX(att_actdate,$A4464)),Inputs!$C$276,INDEX(att_actdate,$A4464))))</f>
        <v/>
      </c>
      <c r="E4464" s="54" t="str">
        <f t="shared" si="1551"/>
        <v/>
      </c>
      <c r="F4464" s="55">
        <f t="shared" si="1552"/>
        <v>0</v>
      </c>
      <c r="G4464" s="55">
        <f>IF($D4464="",0,COUNTIFS(rl_key,Inputs!$J$276,$E$4268:$E$4507,$E4464,$D$4268:$D$4507,"&lt;"&amp;$D4464))</f>
        <v>0</v>
      </c>
      <c r="H4464" s="55">
        <f>IF($D4464="",0,COUNTIFS(Inputs!$J$80:$J$276,Inputs!$J$276,$E$4268:$E4464,$E4464,$D$4268:$D4464,$D4464))</f>
        <v>0</v>
      </c>
      <c r="I4464" s="55">
        <f t="shared" si="1553"/>
        <v>0</v>
      </c>
    </row>
    <row r="4465" spans="1:9" x14ac:dyDescent="0.25">
      <c r="A4465" s="55">
        <f>IF(OR(Inputs!$J$277&lt;&gt;nr_SelKey,Inputs!$E$277&lt;&gt;"planned",Inputs!$C$277=""),0,COUNTIFS(Inputs!$J$80:$J$277,nr_SelKey,Inputs!$E$80:$E$277,"planned"))</f>
        <v>0</v>
      </c>
      <c r="B4465" s="52">
        <f>IF($A4465=0,N(Inputs!$K$277),IF(ISBLANK(INDEX(att_actpct,$A4465)),N(Inputs!$K$277),INDEX(att_actpct,$A4465)))</f>
        <v>0</v>
      </c>
      <c r="C4465" s="53">
        <f>IF(Inputs!$C$277="",0,IF(1+$B4465&gt;0,LN(1+$B4465),0))</f>
        <v>0</v>
      </c>
      <c r="D4465" s="54" t="str">
        <f>IF(Inputs!$C$277="","",IF($A4465=0,Inputs!$C$277,IF(ISBLANK(INDEX(att_actdate,$A4465)),Inputs!$C$277,INDEX(att_actdate,$A4465))))</f>
        <v/>
      </c>
      <c r="E4465" s="54" t="str">
        <f t="shared" si="1551"/>
        <v/>
      </c>
      <c r="F4465" s="55">
        <f t="shared" si="1552"/>
        <v>0</v>
      </c>
      <c r="G4465" s="55">
        <f>IF($D4465="",0,COUNTIFS(rl_key,Inputs!$J$277,$E$4268:$E$4507,$E4465,$D$4268:$D$4507,"&lt;"&amp;$D4465))</f>
        <v>0</v>
      </c>
      <c r="H4465" s="55">
        <f>IF($D4465="",0,COUNTIFS(Inputs!$J$80:$J$277,Inputs!$J$277,$E$4268:$E4465,$E4465,$D$4268:$D4465,$D4465))</f>
        <v>0</v>
      </c>
      <c r="I4465" s="55">
        <f t="shared" si="1553"/>
        <v>0</v>
      </c>
    </row>
    <row r="4466" spans="1:9" x14ac:dyDescent="0.25">
      <c r="A4466" s="55">
        <f>IF(OR(Inputs!$J$278&lt;&gt;nr_SelKey,Inputs!$E$278&lt;&gt;"planned",Inputs!$C$278=""),0,COUNTIFS(Inputs!$J$80:$J$278,nr_SelKey,Inputs!$E$80:$E$278,"planned"))</f>
        <v>0</v>
      </c>
      <c r="B4466" s="52">
        <f>IF($A4466=0,N(Inputs!$K$278),IF(ISBLANK(INDEX(att_actpct,$A4466)),N(Inputs!$K$278),INDEX(att_actpct,$A4466)))</f>
        <v>0</v>
      </c>
      <c r="C4466" s="53">
        <f>IF(Inputs!$C$278="",0,IF(1+$B4466&gt;0,LN(1+$B4466),0))</f>
        <v>0</v>
      </c>
      <c r="D4466" s="54" t="str">
        <f>IF(Inputs!$C$278="","",IF($A4466=0,Inputs!$C$278,IF(ISBLANK(INDEX(att_actdate,$A4466)),Inputs!$C$278,INDEX(att_actdate,$A4466))))</f>
        <v/>
      </c>
      <c r="E4466" s="54" t="str">
        <f t="shared" si="1551"/>
        <v/>
      </c>
      <c r="F4466" s="55">
        <f t="shared" si="1552"/>
        <v>0</v>
      </c>
      <c r="G4466" s="55">
        <f>IF($D4466="",0,COUNTIFS(rl_key,Inputs!$J$278,$E$4268:$E$4507,$E4466,$D$4268:$D$4507,"&lt;"&amp;$D4466))</f>
        <v>0</v>
      </c>
      <c r="H4466" s="55">
        <f>IF($D4466="",0,COUNTIFS(Inputs!$J$80:$J$278,Inputs!$J$278,$E$4268:$E4466,$E4466,$D$4268:$D4466,$D4466))</f>
        <v>0</v>
      </c>
      <c r="I4466" s="55">
        <f t="shared" si="1553"/>
        <v>0</v>
      </c>
    </row>
    <row r="4467" spans="1:9" x14ac:dyDescent="0.25">
      <c r="A4467" s="55">
        <f>IF(OR(Inputs!$J$279&lt;&gt;nr_SelKey,Inputs!$E$279&lt;&gt;"planned",Inputs!$C$279=""),0,COUNTIFS(Inputs!$J$80:$J$279,nr_SelKey,Inputs!$E$80:$E$279,"planned"))</f>
        <v>0</v>
      </c>
      <c r="B4467" s="52">
        <f>IF($A4467=0,N(Inputs!$K$279),IF(ISBLANK(INDEX(att_actpct,$A4467)),N(Inputs!$K$279),INDEX(att_actpct,$A4467)))</f>
        <v>0</v>
      </c>
      <c r="C4467" s="53">
        <f>IF(Inputs!$C$279="",0,IF(1+$B4467&gt;0,LN(1+$B4467),0))</f>
        <v>0</v>
      </c>
      <c r="D4467" s="54" t="str">
        <f>IF(Inputs!$C$279="","",IF($A4467=0,Inputs!$C$279,IF(ISBLANK(INDEX(att_actdate,$A4467)),Inputs!$C$279,INDEX(att_actdate,$A4467))))</f>
        <v/>
      </c>
      <c r="E4467" s="54" t="str">
        <f t="shared" si="1551"/>
        <v/>
      </c>
      <c r="F4467" s="55">
        <f t="shared" si="1552"/>
        <v>0</v>
      </c>
      <c r="G4467" s="55">
        <f>IF($D4467="",0,COUNTIFS(rl_key,Inputs!$J$279,$E$4268:$E$4507,$E4467,$D$4268:$D$4507,"&lt;"&amp;$D4467))</f>
        <v>0</v>
      </c>
      <c r="H4467" s="55">
        <f>IF($D4467="",0,COUNTIFS(Inputs!$J$80:$J$279,Inputs!$J$279,$E$4268:$E4467,$E4467,$D$4268:$D4467,$D4467))</f>
        <v>0</v>
      </c>
      <c r="I4467" s="55">
        <f t="shared" si="1553"/>
        <v>0</v>
      </c>
    </row>
    <row r="4468" spans="1:9" x14ac:dyDescent="0.25">
      <c r="A4468" s="55">
        <f>IF(OR(Inputs!$J$280&lt;&gt;nr_SelKey,Inputs!$E$280&lt;&gt;"planned",Inputs!$C$280=""),0,COUNTIFS(Inputs!$J$80:$J$280,nr_SelKey,Inputs!$E$80:$E$280,"planned"))</f>
        <v>0</v>
      </c>
      <c r="B4468" s="52">
        <f>IF($A4468=0,N(Inputs!$K$280),IF(ISBLANK(INDEX(att_actpct,$A4468)),N(Inputs!$K$280),INDEX(att_actpct,$A4468)))</f>
        <v>0</v>
      </c>
      <c r="C4468" s="53">
        <f>IF(Inputs!$C$280="",0,IF(1+$B4468&gt;0,LN(1+$B4468),0))</f>
        <v>0</v>
      </c>
      <c r="D4468" s="54" t="str">
        <f>IF(Inputs!$C$280="","",IF($A4468=0,Inputs!$C$280,IF(ISBLANK(INDEX(att_actdate,$A4468)),Inputs!$C$280,INDEX(att_actdate,$A4468))))</f>
        <v/>
      </c>
      <c r="E4468" s="54" t="str">
        <f t="shared" si="1551"/>
        <v/>
      </c>
      <c r="F4468" s="55">
        <f t="shared" si="1552"/>
        <v>0</v>
      </c>
      <c r="G4468" s="55">
        <f>IF($D4468="",0,COUNTIFS(rl_key,Inputs!$J$280,$E$4268:$E$4507,$E4468,$D$4268:$D$4507,"&lt;"&amp;$D4468))</f>
        <v>0</v>
      </c>
      <c r="H4468" s="55">
        <f>IF($D4468="",0,COUNTIFS(Inputs!$J$80:$J$280,Inputs!$J$280,$E$4268:$E4468,$E4468,$D$4268:$D4468,$D4468))</f>
        <v>0</v>
      </c>
      <c r="I4468" s="55">
        <f t="shared" si="1553"/>
        <v>0</v>
      </c>
    </row>
    <row r="4469" spans="1:9" x14ac:dyDescent="0.25">
      <c r="A4469" s="55">
        <f>IF(OR(Inputs!$J$281&lt;&gt;nr_SelKey,Inputs!$E$281&lt;&gt;"planned",Inputs!$C$281=""),0,COUNTIFS(Inputs!$J$80:$J$281,nr_SelKey,Inputs!$E$80:$E$281,"planned"))</f>
        <v>0</v>
      </c>
      <c r="B4469" s="52">
        <f>IF($A4469=0,N(Inputs!$K$281),IF(ISBLANK(INDEX(att_actpct,$A4469)),N(Inputs!$K$281),INDEX(att_actpct,$A4469)))</f>
        <v>0</v>
      </c>
      <c r="C4469" s="53">
        <f>IF(Inputs!$C$281="",0,IF(1+$B4469&gt;0,LN(1+$B4469),0))</f>
        <v>0</v>
      </c>
      <c r="D4469" s="54" t="str">
        <f>IF(Inputs!$C$281="","",IF($A4469=0,Inputs!$C$281,IF(ISBLANK(INDEX(att_actdate,$A4469)),Inputs!$C$281,INDEX(att_actdate,$A4469))))</f>
        <v/>
      </c>
      <c r="E4469" s="54" t="str">
        <f t="shared" si="1551"/>
        <v/>
      </c>
      <c r="F4469" s="55">
        <f t="shared" si="1552"/>
        <v>0</v>
      </c>
      <c r="G4469" s="55">
        <f>IF($D4469="",0,COUNTIFS(rl_key,Inputs!$J$281,$E$4268:$E$4507,$E4469,$D$4268:$D$4507,"&lt;"&amp;$D4469))</f>
        <v>0</v>
      </c>
      <c r="H4469" s="55">
        <f>IF($D4469="",0,COUNTIFS(Inputs!$J$80:$J$281,Inputs!$J$281,$E$4268:$E4469,$E4469,$D$4268:$D4469,$D4469))</f>
        <v>0</v>
      </c>
      <c r="I4469" s="55">
        <f t="shared" si="1553"/>
        <v>0</v>
      </c>
    </row>
    <row r="4470" spans="1:9" x14ac:dyDescent="0.25">
      <c r="A4470" s="55">
        <f>IF(OR(Inputs!$J$282&lt;&gt;nr_SelKey,Inputs!$E$282&lt;&gt;"planned",Inputs!$C$282=""),0,COUNTIFS(Inputs!$J$80:$J$282,nr_SelKey,Inputs!$E$80:$E$282,"planned"))</f>
        <v>0</v>
      </c>
      <c r="B4470" s="52">
        <f>IF($A4470=0,N(Inputs!$K$282),IF(ISBLANK(INDEX(att_actpct,$A4470)),N(Inputs!$K$282),INDEX(att_actpct,$A4470)))</f>
        <v>0</v>
      </c>
      <c r="C4470" s="53">
        <f>IF(Inputs!$C$282="",0,IF(1+$B4470&gt;0,LN(1+$B4470),0))</f>
        <v>0</v>
      </c>
      <c r="D4470" s="54" t="str">
        <f>IF(Inputs!$C$282="","",IF($A4470=0,Inputs!$C$282,IF(ISBLANK(INDEX(att_actdate,$A4470)),Inputs!$C$282,INDEX(att_actdate,$A4470))))</f>
        <v/>
      </c>
      <c r="E4470" s="54" t="str">
        <f t="shared" si="1551"/>
        <v/>
      </c>
      <c r="F4470" s="55">
        <f t="shared" si="1552"/>
        <v>0</v>
      </c>
      <c r="G4470" s="55">
        <f>IF($D4470="",0,COUNTIFS(rl_key,Inputs!$J$282,$E$4268:$E$4507,$E4470,$D$4268:$D$4507,"&lt;"&amp;$D4470))</f>
        <v>0</v>
      </c>
      <c r="H4470" s="55">
        <f>IF($D4470="",0,COUNTIFS(Inputs!$J$80:$J$282,Inputs!$J$282,$E$4268:$E4470,$E4470,$D$4268:$D4470,$D4470))</f>
        <v>0</v>
      </c>
      <c r="I4470" s="55">
        <f t="shared" si="1553"/>
        <v>0</v>
      </c>
    </row>
    <row r="4471" spans="1:9" x14ac:dyDescent="0.25">
      <c r="A4471" s="55">
        <f>IF(OR(Inputs!$J$283&lt;&gt;nr_SelKey,Inputs!$E$283&lt;&gt;"planned",Inputs!$C$283=""),0,COUNTIFS(Inputs!$J$80:$J$283,nr_SelKey,Inputs!$E$80:$E$283,"planned"))</f>
        <v>0</v>
      </c>
      <c r="B4471" s="52">
        <f>IF($A4471=0,N(Inputs!$K$283),IF(ISBLANK(INDEX(att_actpct,$A4471)),N(Inputs!$K$283),INDEX(att_actpct,$A4471)))</f>
        <v>0</v>
      </c>
      <c r="C4471" s="53">
        <f>IF(Inputs!$C$283="",0,IF(1+$B4471&gt;0,LN(1+$B4471),0))</f>
        <v>0</v>
      </c>
      <c r="D4471" s="54" t="str">
        <f>IF(Inputs!$C$283="","",IF($A4471=0,Inputs!$C$283,IF(ISBLANK(INDEX(att_actdate,$A4471)),Inputs!$C$283,INDEX(att_actdate,$A4471))))</f>
        <v/>
      </c>
      <c r="E4471" s="54" t="str">
        <f t="shared" si="1551"/>
        <v/>
      </c>
      <c r="F4471" s="55">
        <f t="shared" si="1552"/>
        <v>0</v>
      </c>
      <c r="G4471" s="55">
        <f>IF($D4471="",0,COUNTIFS(rl_key,Inputs!$J$283,$E$4268:$E$4507,$E4471,$D$4268:$D$4507,"&lt;"&amp;$D4471))</f>
        <v>0</v>
      </c>
      <c r="H4471" s="55">
        <f>IF($D4471="",0,COUNTIFS(Inputs!$J$80:$J$283,Inputs!$J$283,$E$4268:$E4471,$E4471,$D$4268:$D4471,$D4471))</f>
        <v>0</v>
      </c>
      <c r="I4471" s="55">
        <f t="shared" si="1553"/>
        <v>0</v>
      </c>
    </row>
    <row r="4472" spans="1:9" x14ac:dyDescent="0.25">
      <c r="A4472" s="55">
        <f>IF(OR(Inputs!$J$284&lt;&gt;nr_SelKey,Inputs!$E$284&lt;&gt;"planned",Inputs!$C$284=""),0,COUNTIFS(Inputs!$J$80:$J$284,nr_SelKey,Inputs!$E$80:$E$284,"planned"))</f>
        <v>0</v>
      </c>
      <c r="B4472" s="52">
        <f>IF($A4472=0,N(Inputs!$K$284),IF(ISBLANK(INDEX(att_actpct,$A4472)),N(Inputs!$K$284),INDEX(att_actpct,$A4472)))</f>
        <v>0</v>
      </c>
      <c r="C4472" s="53">
        <f>IF(Inputs!$C$284="",0,IF(1+$B4472&gt;0,LN(1+$B4472),0))</f>
        <v>0</v>
      </c>
      <c r="D4472" s="54" t="str">
        <f>IF(Inputs!$C$284="","",IF($A4472=0,Inputs!$C$284,IF(ISBLANK(INDEX(att_actdate,$A4472)),Inputs!$C$284,INDEX(att_actdate,$A4472))))</f>
        <v/>
      </c>
      <c r="E4472" s="54" t="str">
        <f t="shared" si="1551"/>
        <v/>
      </c>
      <c r="F4472" s="55">
        <f t="shared" si="1552"/>
        <v>0</v>
      </c>
      <c r="G4472" s="55">
        <f>IF($D4472="",0,COUNTIFS(rl_key,Inputs!$J$284,$E$4268:$E$4507,$E4472,$D$4268:$D$4507,"&lt;"&amp;$D4472))</f>
        <v>0</v>
      </c>
      <c r="H4472" s="55">
        <f>IF($D4472="",0,COUNTIFS(Inputs!$J$80:$J$284,Inputs!$J$284,$E$4268:$E4472,$E4472,$D$4268:$D4472,$D4472))</f>
        <v>0</v>
      </c>
      <c r="I4472" s="55">
        <f t="shared" si="1553"/>
        <v>0</v>
      </c>
    </row>
    <row r="4473" spans="1:9" x14ac:dyDescent="0.25">
      <c r="A4473" s="55">
        <f>IF(OR(Inputs!$J$285&lt;&gt;nr_SelKey,Inputs!$E$285&lt;&gt;"planned",Inputs!$C$285=""),0,COUNTIFS(Inputs!$J$80:$J$285,nr_SelKey,Inputs!$E$80:$E$285,"planned"))</f>
        <v>0</v>
      </c>
      <c r="B4473" s="52">
        <f>IF($A4473=0,N(Inputs!$K$285),IF(ISBLANK(INDEX(att_actpct,$A4473)),N(Inputs!$K$285),INDEX(att_actpct,$A4473)))</f>
        <v>0</v>
      </c>
      <c r="C4473" s="53">
        <f>IF(Inputs!$C$285="",0,IF(1+$B4473&gt;0,LN(1+$B4473),0))</f>
        <v>0</v>
      </c>
      <c r="D4473" s="54" t="str">
        <f>IF(Inputs!$C$285="","",IF($A4473=0,Inputs!$C$285,IF(ISBLANK(INDEX(att_actdate,$A4473)),Inputs!$C$285,INDEX(att_actdate,$A4473))))</f>
        <v/>
      </c>
      <c r="E4473" s="54" t="str">
        <f t="shared" si="1551"/>
        <v/>
      </c>
      <c r="F4473" s="55">
        <f t="shared" si="1552"/>
        <v>0</v>
      </c>
      <c r="G4473" s="55">
        <f>IF($D4473="",0,COUNTIFS(rl_key,Inputs!$J$285,$E$4268:$E$4507,$E4473,$D$4268:$D$4507,"&lt;"&amp;$D4473))</f>
        <v>0</v>
      </c>
      <c r="H4473" s="55">
        <f>IF($D4473="",0,COUNTIFS(Inputs!$J$80:$J$285,Inputs!$J$285,$E$4268:$E4473,$E4473,$D$4268:$D4473,$D4473))</f>
        <v>0</v>
      </c>
      <c r="I4473" s="55">
        <f t="shared" si="1553"/>
        <v>0</v>
      </c>
    </row>
    <row r="4474" spans="1:9" x14ac:dyDescent="0.25">
      <c r="A4474" s="55">
        <f>IF(OR(Inputs!$J$286&lt;&gt;nr_SelKey,Inputs!$E$286&lt;&gt;"planned",Inputs!$C$286=""),0,COUNTIFS(Inputs!$J$80:$J$286,nr_SelKey,Inputs!$E$80:$E$286,"planned"))</f>
        <v>0</v>
      </c>
      <c r="B4474" s="52">
        <f>IF($A4474=0,N(Inputs!$K$286),IF(ISBLANK(INDEX(att_actpct,$A4474)),N(Inputs!$K$286),INDEX(att_actpct,$A4474)))</f>
        <v>0</v>
      </c>
      <c r="C4474" s="53">
        <f>IF(Inputs!$C$286="",0,IF(1+$B4474&gt;0,LN(1+$B4474),0))</f>
        <v>0</v>
      </c>
      <c r="D4474" s="54" t="str">
        <f>IF(Inputs!$C$286="","",IF($A4474=0,Inputs!$C$286,IF(ISBLANK(INDEX(att_actdate,$A4474)),Inputs!$C$286,INDEX(att_actdate,$A4474))))</f>
        <v/>
      </c>
      <c r="E4474" s="54" t="str">
        <f t="shared" si="1551"/>
        <v/>
      </c>
      <c r="F4474" s="55">
        <f t="shared" si="1552"/>
        <v>0</v>
      </c>
      <c r="G4474" s="55">
        <f>IF($D4474="",0,COUNTIFS(rl_key,Inputs!$J$286,$E$4268:$E$4507,$E4474,$D$4268:$D$4507,"&lt;"&amp;$D4474))</f>
        <v>0</v>
      </c>
      <c r="H4474" s="55">
        <f>IF($D4474="",0,COUNTIFS(Inputs!$J$80:$J$286,Inputs!$J$286,$E$4268:$E4474,$E4474,$D$4268:$D4474,$D4474))</f>
        <v>0</v>
      </c>
      <c r="I4474" s="55">
        <f t="shared" si="1553"/>
        <v>0</v>
      </c>
    </row>
    <row r="4475" spans="1:9" x14ac:dyDescent="0.25">
      <c r="A4475" s="55">
        <f>IF(OR(Inputs!$J$287&lt;&gt;nr_SelKey,Inputs!$E$287&lt;&gt;"planned",Inputs!$C$287=""),0,COUNTIFS(Inputs!$J$80:$J$287,nr_SelKey,Inputs!$E$80:$E$287,"planned"))</f>
        <v>0</v>
      </c>
      <c r="B4475" s="52">
        <f>IF($A4475=0,N(Inputs!$K$287),IF(ISBLANK(INDEX(att_actpct,$A4475)),N(Inputs!$K$287),INDEX(att_actpct,$A4475)))</f>
        <v>0</v>
      </c>
      <c r="C4475" s="53">
        <f>IF(Inputs!$C$287="",0,IF(1+$B4475&gt;0,LN(1+$B4475),0))</f>
        <v>0</v>
      </c>
      <c r="D4475" s="54" t="str">
        <f>IF(Inputs!$C$287="","",IF($A4475=0,Inputs!$C$287,IF(ISBLANK(INDEX(att_actdate,$A4475)),Inputs!$C$287,INDEX(att_actdate,$A4475))))</f>
        <v/>
      </c>
      <c r="E4475" s="54" t="str">
        <f t="shared" si="1551"/>
        <v/>
      </c>
      <c r="F4475" s="55">
        <f t="shared" si="1552"/>
        <v>0</v>
      </c>
      <c r="G4475" s="55">
        <f>IF($D4475="",0,COUNTIFS(rl_key,Inputs!$J$287,$E$4268:$E$4507,$E4475,$D$4268:$D$4507,"&lt;"&amp;$D4475))</f>
        <v>0</v>
      </c>
      <c r="H4475" s="55">
        <f>IF($D4475="",0,COUNTIFS(Inputs!$J$80:$J$287,Inputs!$J$287,$E$4268:$E4475,$E4475,$D$4268:$D4475,$D4475))</f>
        <v>0</v>
      </c>
      <c r="I4475" s="55">
        <f t="shared" si="1553"/>
        <v>0</v>
      </c>
    </row>
    <row r="4476" spans="1:9" x14ac:dyDescent="0.25">
      <c r="A4476" s="55">
        <f>IF(OR(Inputs!$J$288&lt;&gt;nr_SelKey,Inputs!$E$288&lt;&gt;"planned",Inputs!$C$288=""),0,COUNTIFS(Inputs!$J$80:$J$288,nr_SelKey,Inputs!$E$80:$E$288,"planned"))</f>
        <v>0</v>
      </c>
      <c r="B4476" s="52">
        <f>IF($A4476=0,N(Inputs!$K$288),IF(ISBLANK(INDEX(att_actpct,$A4476)),N(Inputs!$K$288),INDEX(att_actpct,$A4476)))</f>
        <v>0</v>
      </c>
      <c r="C4476" s="53">
        <f>IF(Inputs!$C$288="",0,IF(1+$B4476&gt;0,LN(1+$B4476),0))</f>
        <v>0</v>
      </c>
      <c r="D4476" s="54" t="str">
        <f>IF(Inputs!$C$288="","",IF($A4476=0,Inputs!$C$288,IF(ISBLANK(INDEX(att_actdate,$A4476)),Inputs!$C$288,INDEX(att_actdate,$A4476))))</f>
        <v/>
      </c>
      <c r="E4476" s="54" t="str">
        <f t="shared" si="1551"/>
        <v/>
      </c>
      <c r="F4476" s="55">
        <f t="shared" si="1552"/>
        <v>0</v>
      </c>
      <c r="G4476" s="55">
        <f>IF($D4476="",0,COUNTIFS(rl_key,Inputs!$J$288,$E$4268:$E$4507,$E4476,$D$4268:$D$4507,"&lt;"&amp;$D4476))</f>
        <v>0</v>
      </c>
      <c r="H4476" s="55">
        <f>IF($D4476="",0,COUNTIFS(Inputs!$J$80:$J$288,Inputs!$J$288,$E$4268:$E4476,$E4476,$D$4268:$D4476,$D4476))</f>
        <v>0</v>
      </c>
      <c r="I4476" s="55">
        <f t="shared" si="1553"/>
        <v>0</v>
      </c>
    </row>
    <row r="4477" spans="1:9" x14ac:dyDescent="0.25">
      <c r="A4477" s="55">
        <f>IF(OR(Inputs!$J$289&lt;&gt;nr_SelKey,Inputs!$E$289&lt;&gt;"planned",Inputs!$C$289=""),0,COUNTIFS(Inputs!$J$80:$J$289,nr_SelKey,Inputs!$E$80:$E$289,"planned"))</f>
        <v>0</v>
      </c>
      <c r="B4477" s="52">
        <f>IF($A4477=0,N(Inputs!$K$289),IF(ISBLANK(INDEX(att_actpct,$A4477)),N(Inputs!$K$289),INDEX(att_actpct,$A4477)))</f>
        <v>0</v>
      </c>
      <c r="C4477" s="53">
        <f>IF(Inputs!$C$289="",0,IF(1+$B4477&gt;0,LN(1+$B4477),0))</f>
        <v>0</v>
      </c>
      <c r="D4477" s="54" t="str">
        <f>IF(Inputs!$C$289="","",IF($A4477=0,Inputs!$C$289,IF(ISBLANK(INDEX(att_actdate,$A4477)),Inputs!$C$289,INDEX(att_actdate,$A4477))))</f>
        <v/>
      </c>
      <c r="E4477" s="54" t="str">
        <f t="shared" si="1551"/>
        <v/>
      </c>
      <c r="F4477" s="55">
        <f t="shared" si="1552"/>
        <v>0</v>
      </c>
      <c r="G4477" s="55">
        <f>IF($D4477="",0,COUNTIFS(rl_key,Inputs!$J$289,$E$4268:$E$4507,$E4477,$D$4268:$D$4507,"&lt;"&amp;$D4477))</f>
        <v>0</v>
      </c>
      <c r="H4477" s="55">
        <f>IF($D4477="",0,COUNTIFS(Inputs!$J$80:$J$289,Inputs!$J$289,$E$4268:$E4477,$E4477,$D$4268:$D4477,$D4477))</f>
        <v>0</v>
      </c>
      <c r="I4477" s="55">
        <f t="shared" si="1553"/>
        <v>0</v>
      </c>
    </row>
    <row r="4478" spans="1:9" x14ac:dyDescent="0.25">
      <c r="A4478" s="55">
        <f>IF(OR(Inputs!$J$290&lt;&gt;nr_SelKey,Inputs!$E$290&lt;&gt;"planned",Inputs!$C$290=""),0,COUNTIFS(Inputs!$J$80:$J$290,nr_SelKey,Inputs!$E$80:$E$290,"planned"))</f>
        <v>0</v>
      </c>
      <c r="B4478" s="52">
        <f>IF($A4478=0,N(Inputs!$K$290),IF(ISBLANK(INDEX(att_actpct,$A4478)),N(Inputs!$K$290),INDEX(att_actpct,$A4478)))</f>
        <v>0</v>
      </c>
      <c r="C4478" s="53">
        <f>IF(Inputs!$C$290="",0,IF(1+$B4478&gt;0,LN(1+$B4478),0))</f>
        <v>0</v>
      </c>
      <c r="D4478" s="54" t="str">
        <f>IF(Inputs!$C$290="","",IF($A4478=0,Inputs!$C$290,IF(ISBLANK(INDEX(att_actdate,$A4478)),Inputs!$C$290,INDEX(att_actdate,$A4478))))</f>
        <v/>
      </c>
      <c r="E4478" s="54" t="str">
        <f t="shared" si="1551"/>
        <v/>
      </c>
      <c r="F4478" s="55">
        <f t="shared" si="1552"/>
        <v>0</v>
      </c>
      <c r="G4478" s="55">
        <f>IF($D4478="",0,COUNTIFS(rl_key,Inputs!$J$290,$E$4268:$E$4507,$E4478,$D$4268:$D$4507,"&lt;"&amp;$D4478))</f>
        <v>0</v>
      </c>
      <c r="H4478" s="55">
        <f>IF($D4478="",0,COUNTIFS(Inputs!$J$80:$J$290,Inputs!$J$290,$E$4268:$E4478,$E4478,$D$4268:$D4478,$D4478))</f>
        <v>0</v>
      </c>
      <c r="I4478" s="55">
        <f t="shared" si="1553"/>
        <v>0</v>
      </c>
    </row>
    <row r="4479" spans="1:9" x14ac:dyDescent="0.25">
      <c r="A4479" s="55">
        <f>IF(OR(Inputs!$J$291&lt;&gt;nr_SelKey,Inputs!$E$291&lt;&gt;"planned",Inputs!$C$291=""),0,COUNTIFS(Inputs!$J$80:$J$291,nr_SelKey,Inputs!$E$80:$E$291,"planned"))</f>
        <v>0</v>
      </c>
      <c r="B4479" s="52">
        <f>IF($A4479=0,N(Inputs!$K$291),IF(ISBLANK(INDEX(att_actpct,$A4479)),N(Inputs!$K$291),INDEX(att_actpct,$A4479)))</f>
        <v>0</v>
      </c>
      <c r="C4479" s="53">
        <f>IF(Inputs!$C$291="",0,IF(1+$B4479&gt;0,LN(1+$B4479),0))</f>
        <v>0</v>
      </c>
      <c r="D4479" s="54" t="str">
        <f>IF(Inputs!$C$291="","",IF($A4479=0,Inputs!$C$291,IF(ISBLANK(INDEX(att_actdate,$A4479)),Inputs!$C$291,INDEX(att_actdate,$A4479))))</f>
        <v/>
      </c>
      <c r="E4479" s="54" t="str">
        <f t="shared" si="1551"/>
        <v/>
      </c>
      <c r="F4479" s="55">
        <f t="shared" si="1552"/>
        <v>0</v>
      </c>
      <c r="G4479" s="55">
        <f>IF($D4479="",0,COUNTIFS(rl_key,Inputs!$J$291,$E$4268:$E$4507,$E4479,$D$4268:$D$4507,"&lt;"&amp;$D4479))</f>
        <v>0</v>
      </c>
      <c r="H4479" s="55">
        <f>IF($D4479="",0,COUNTIFS(Inputs!$J$80:$J$291,Inputs!$J$291,$E$4268:$E4479,$E4479,$D$4268:$D4479,$D4479))</f>
        <v>0</v>
      </c>
      <c r="I4479" s="55">
        <f t="shared" si="1553"/>
        <v>0</v>
      </c>
    </row>
    <row r="4480" spans="1:9" x14ac:dyDescent="0.25">
      <c r="A4480" s="55">
        <f>IF(OR(Inputs!$J$292&lt;&gt;nr_SelKey,Inputs!$E$292&lt;&gt;"planned",Inputs!$C$292=""),0,COUNTIFS(Inputs!$J$80:$J$292,nr_SelKey,Inputs!$E$80:$E$292,"planned"))</f>
        <v>0</v>
      </c>
      <c r="B4480" s="52">
        <f>IF($A4480=0,N(Inputs!$K$292),IF(ISBLANK(INDEX(att_actpct,$A4480)),N(Inputs!$K$292),INDEX(att_actpct,$A4480)))</f>
        <v>0</v>
      </c>
      <c r="C4480" s="53">
        <f>IF(Inputs!$C$292="",0,IF(1+$B4480&gt;0,LN(1+$B4480),0))</f>
        <v>0</v>
      </c>
      <c r="D4480" s="54" t="str">
        <f>IF(Inputs!$C$292="","",IF($A4480=0,Inputs!$C$292,IF(ISBLANK(INDEX(att_actdate,$A4480)),Inputs!$C$292,INDEX(att_actdate,$A4480))))</f>
        <v/>
      </c>
      <c r="E4480" s="54" t="str">
        <f t="shared" si="1551"/>
        <v/>
      </c>
      <c r="F4480" s="55">
        <f t="shared" si="1552"/>
        <v>0</v>
      </c>
      <c r="G4480" s="55">
        <f>IF($D4480="",0,COUNTIFS(rl_key,Inputs!$J$292,$E$4268:$E$4507,$E4480,$D$4268:$D$4507,"&lt;"&amp;$D4480))</f>
        <v>0</v>
      </c>
      <c r="H4480" s="55">
        <f>IF($D4480="",0,COUNTIFS(Inputs!$J$80:$J$292,Inputs!$J$292,$E$4268:$E4480,$E4480,$D$4268:$D4480,$D4480))</f>
        <v>0</v>
      </c>
      <c r="I4480" s="55">
        <f t="shared" si="1553"/>
        <v>0</v>
      </c>
    </row>
    <row r="4481" spans="1:9" x14ac:dyDescent="0.25">
      <c r="A4481" s="55">
        <f>IF(OR(Inputs!$J$293&lt;&gt;nr_SelKey,Inputs!$E$293&lt;&gt;"planned",Inputs!$C$293=""),0,COUNTIFS(Inputs!$J$80:$J$293,nr_SelKey,Inputs!$E$80:$E$293,"planned"))</f>
        <v>0</v>
      </c>
      <c r="B4481" s="52">
        <f>IF($A4481=0,N(Inputs!$K$293),IF(ISBLANK(INDEX(att_actpct,$A4481)),N(Inputs!$K$293),INDEX(att_actpct,$A4481)))</f>
        <v>0</v>
      </c>
      <c r="C4481" s="53">
        <f>IF(Inputs!$C$293="",0,IF(1+$B4481&gt;0,LN(1+$B4481),0))</f>
        <v>0</v>
      </c>
      <c r="D4481" s="54" t="str">
        <f>IF(Inputs!$C$293="","",IF($A4481=0,Inputs!$C$293,IF(ISBLANK(INDEX(att_actdate,$A4481)),Inputs!$C$293,INDEX(att_actdate,$A4481))))</f>
        <v/>
      </c>
      <c r="E4481" s="54" t="str">
        <f t="shared" si="1551"/>
        <v/>
      </c>
      <c r="F4481" s="55">
        <f t="shared" si="1552"/>
        <v>0</v>
      </c>
      <c r="G4481" s="55">
        <f>IF($D4481="",0,COUNTIFS(rl_key,Inputs!$J$293,$E$4268:$E$4507,$E4481,$D$4268:$D$4507,"&lt;"&amp;$D4481))</f>
        <v>0</v>
      </c>
      <c r="H4481" s="55">
        <f>IF($D4481="",0,COUNTIFS(Inputs!$J$80:$J$293,Inputs!$J$293,$E$4268:$E4481,$E4481,$D$4268:$D4481,$D4481))</f>
        <v>0</v>
      </c>
      <c r="I4481" s="55">
        <f t="shared" si="1553"/>
        <v>0</v>
      </c>
    </row>
    <row r="4482" spans="1:9" x14ac:dyDescent="0.25">
      <c r="A4482" s="55">
        <f>IF(OR(Inputs!$J$294&lt;&gt;nr_SelKey,Inputs!$E$294&lt;&gt;"planned",Inputs!$C$294=""),0,COUNTIFS(Inputs!$J$80:$J$294,nr_SelKey,Inputs!$E$80:$E$294,"planned"))</f>
        <v>0</v>
      </c>
      <c r="B4482" s="52">
        <f>IF($A4482=0,N(Inputs!$K$294),IF(ISBLANK(INDEX(att_actpct,$A4482)),N(Inputs!$K$294),INDEX(att_actpct,$A4482)))</f>
        <v>0</v>
      </c>
      <c r="C4482" s="53">
        <f>IF(Inputs!$C$294="",0,IF(1+$B4482&gt;0,LN(1+$B4482),0))</f>
        <v>0</v>
      </c>
      <c r="D4482" s="54" t="str">
        <f>IF(Inputs!$C$294="","",IF($A4482=0,Inputs!$C$294,IF(ISBLANK(INDEX(att_actdate,$A4482)),Inputs!$C$294,INDEX(att_actdate,$A4482))))</f>
        <v/>
      </c>
      <c r="E4482" s="54" t="str">
        <f t="shared" si="1551"/>
        <v/>
      </c>
      <c r="F4482" s="55">
        <f t="shared" si="1552"/>
        <v>0</v>
      </c>
      <c r="G4482" s="55">
        <f>IF($D4482="",0,COUNTIFS(rl_key,Inputs!$J$294,$E$4268:$E$4507,$E4482,$D$4268:$D$4507,"&lt;"&amp;$D4482))</f>
        <v>0</v>
      </c>
      <c r="H4482" s="55">
        <f>IF($D4482="",0,COUNTIFS(Inputs!$J$80:$J$294,Inputs!$J$294,$E$4268:$E4482,$E4482,$D$4268:$D4482,$D4482))</f>
        <v>0</v>
      </c>
      <c r="I4482" s="55">
        <f t="shared" si="1553"/>
        <v>0</v>
      </c>
    </row>
    <row r="4483" spans="1:9" x14ac:dyDescent="0.25">
      <c r="A4483" s="55">
        <f>IF(OR(Inputs!$J$295&lt;&gt;nr_SelKey,Inputs!$E$295&lt;&gt;"planned",Inputs!$C$295=""),0,COUNTIFS(Inputs!$J$80:$J$295,nr_SelKey,Inputs!$E$80:$E$295,"planned"))</f>
        <v>0</v>
      </c>
      <c r="B4483" s="52">
        <f>IF($A4483=0,N(Inputs!$K$295),IF(ISBLANK(INDEX(att_actpct,$A4483)),N(Inputs!$K$295),INDEX(att_actpct,$A4483)))</f>
        <v>0</v>
      </c>
      <c r="C4483" s="53">
        <f>IF(Inputs!$C$295="",0,IF(1+$B4483&gt;0,LN(1+$B4483),0))</f>
        <v>0</v>
      </c>
      <c r="D4483" s="54" t="str">
        <f>IF(Inputs!$C$295="","",IF($A4483=0,Inputs!$C$295,IF(ISBLANK(INDEX(att_actdate,$A4483)),Inputs!$C$295,INDEX(att_actdate,$A4483))))</f>
        <v/>
      </c>
      <c r="E4483" s="54" t="str">
        <f t="shared" si="1551"/>
        <v/>
      </c>
      <c r="F4483" s="55">
        <f t="shared" si="1552"/>
        <v>0</v>
      </c>
      <c r="G4483" s="55">
        <f>IF($D4483="",0,COUNTIFS(rl_key,Inputs!$J$295,$E$4268:$E$4507,$E4483,$D$4268:$D$4507,"&lt;"&amp;$D4483))</f>
        <v>0</v>
      </c>
      <c r="H4483" s="55">
        <f>IF($D4483="",0,COUNTIFS(Inputs!$J$80:$J$295,Inputs!$J$295,$E$4268:$E4483,$E4483,$D$4268:$D4483,$D4483))</f>
        <v>0</v>
      </c>
      <c r="I4483" s="55">
        <f t="shared" si="1553"/>
        <v>0</v>
      </c>
    </row>
    <row r="4484" spans="1:9" x14ac:dyDescent="0.25">
      <c r="A4484" s="55">
        <f>IF(OR(Inputs!$J$296&lt;&gt;nr_SelKey,Inputs!$E$296&lt;&gt;"planned",Inputs!$C$296=""),0,COUNTIFS(Inputs!$J$80:$J$296,nr_SelKey,Inputs!$E$80:$E$296,"planned"))</f>
        <v>0</v>
      </c>
      <c r="B4484" s="52">
        <f>IF($A4484=0,N(Inputs!$K$296),IF(ISBLANK(INDEX(att_actpct,$A4484)),N(Inputs!$K$296),INDEX(att_actpct,$A4484)))</f>
        <v>0</v>
      </c>
      <c r="C4484" s="53">
        <f>IF(Inputs!$C$296="",0,IF(1+$B4484&gt;0,LN(1+$B4484),0))</f>
        <v>0</v>
      </c>
      <c r="D4484" s="54" t="str">
        <f>IF(Inputs!$C$296="","",IF($A4484=0,Inputs!$C$296,IF(ISBLANK(INDEX(att_actdate,$A4484)),Inputs!$C$296,INDEX(att_actdate,$A4484))))</f>
        <v/>
      </c>
      <c r="E4484" s="54" t="str">
        <f t="shared" si="1551"/>
        <v/>
      </c>
      <c r="F4484" s="55">
        <f t="shared" si="1552"/>
        <v>0</v>
      </c>
      <c r="G4484" s="55">
        <f>IF($D4484="",0,COUNTIFS(rl_key,Inputs!$J$296,$E$4268:$E$4507,$E4484,$D$4268:$D$4507,"&lt;"&amp;$D4484))</f>
        <v>0</v>
      </c>
      <c r="H4484" s="55">
        <f>IF($D4484="",0,COUNTIFS(Inputs!$J$80:$J$296,Inputs!$J$296,$E$4268:$E4484,$E4484,$D$4268:$D4484,$D4484))</f>
        <v>0</v>
      </c>
      <c r="I4484" s="55">
        <f t="shared" si="1553"/>
        <v>0</v>
      </c>
    </row>
    <row r="4485" spans="1:9" x14ac:dyDescent="0.25">
      <c r="A4485" s="55">
        <f>IF(OR(Inputs!$J$297&lt;&gt;nr_SelKey,Inputs!$E$297&lt;&gt;"planned",Inputs!$C$297=""),0,COUNTIFS(Inputs!$J$80:$J$297,nr_SelKey,Inputs!$E$80:$E$297,"planned"))</f>
        <v>0</v>
      </c>
      <c r="B4485" s="52">
        <f>IF($A4485=0,N(Inputs!$K$297),IF(ISBLANK(INDEX(att_actpct,$A4485)),N(Inputs!$K$297),INDEX(att_actpct,$A4485)))</f>
        <v>0</v>
      </c>
      <c r="C4485" s="53">
        <f>IF(Inputs!$C$297="",0,IF(1+$B4485&gt;0,LN(1+$B4485),0))</f>
        <v>0</v>
      </c>
      <c r="D4485" s="54" t="str">
        <f>IF(Inputs!$C$297="","",IF($A4485=0,Inputs!$C$297,IF(ISBLANK(INDEX(att_actdate,$A4485)),Inputs!$C$297,INDEX(att_actdate,$A4485))))</f>
        <v/>
      </c>
      <c r="E4485" s="54" t="str">
        <f t="shared" si="1551"/>
        <v/>
      </c>
      <c r="F4485" s="55">
        <f t="shared" si="1552"/>
        <v>0</v>
      </c>
      <c r="G4485" s="55">
        <f>IF($D4485="",0,COUNTIFS(rl_key,Inputs!$J$297,$E$4268:$E$4507,$E4485,$D$4268:$D$4507,"&lt;"&amp;$D4485))</f>
        <v>0</v>
      </c>
      <c r="H4485" s="55">
        <f>IF($D4485="",0,COUNTIFS(Inputs!$J$80:$J$297,Inputs!$J$297,$E$4268:$E4485,$E4485,$D$4268:$D4485,$D4485))</f>
        <v>0</v>
      </c>
      <c r="I4485" s="55">
        <f t="shared" si="1553"/>
        <v>0</v>
      </c>
    </row>
    <row r="4486" spans="1:9" x14ac:dyDescent="0.25">
      <c r="A4486" s="55">
        <f>IF(OR(Inputs!$J$298&lt;&gt;nr_SelKey,Inputs!$E$298&lt;&gt;"planned",Inputs!$C$298=""),0,COUNTIFS(Inputs!$J$80:$J$298,nr_SelKey,Inputs!$E$80:$E$298,"planned"))</f>
        <v>0</v>
      </c>
      <c r="B4486" s="52">
        <f>IF($A4486=0,N(Inputs!$K$298),IF(ISBLANK(INDEX(att_actpct,$A4486)),N(Inputs!$K$298),INDEX(att_actpct,$A4486)))</f>
        <v>0</v>
      </c>
      <c r="C4486" s="53">
        <f>IF(Inputs!$C$298="",0,IF(1+$B4486&gt;0,LN(1+$B4486),0))</f>
        <v>0</v>
      </c>
      <c r="D4486" s="54" t="str">
        <f>IF(Inputs!$C$298="","",IF($A4486=0,Inputs!$C$298,IF(ISBLANK(INDEX(att_actdate,$A4486)),Inputs!$C$298,INDEX(att_actdate,$A4486))))</f>
        <v/>
      </c>
      <c r="E4486" s="54" t="str">
        <f t="shared" si="1551"/>
        <v/>
      </c>
      <c r="F4486" s="55">
        <f t="shared" si="1552"/>
        <v>0</v>
      </c>
      <c r="G4486" s="55">
        <f>IF($D4486="",0,COUNTIFS(rl_key,Inputs!$J$298,$E$4268:$E$4507,$E4486,$D$4268:$D$4507,"&lt;"&amp;$D4486))</f>
        <v>0</v>
      </c>
      <c r="H4486" s="55">
        <f>IF($D4486="",0,COUNTIFS(Inputs!$J$80:$J$298,Inputs!$J$298,$E$4268:$E4486,$E4486,$D$4268:$D4486,$D4486))</f>
        <v>0</v>
      </c>
      <c r="I4486" s="55">
        <f t="shared" si="1553"/>
        <v>0</v>
      </c>
    </row>
    <row r="4487" spans="1:9" x14ac:dyDescent="0.25">
      <c r="A4487" s="55">
        <f>IF(OR(Inputs!$J$299&lt;&gt;nr_SelKey,Inputs!$E$299&lt;&gt;"planned",Inputs!$C$299=""),0,COUNTIFS(Inputs!$J$80:$J$299,nr_SelKey,Inputs!$E$80:$E$299,"planned"))</f>
        <v>0</v>
      </c>
      <c r="B4487" s="52">
        <f>IF($A4487=0,N(Inputs!$K$299),IF(ISBLANK(INDEX(att_actpct,$A4487)),N(Inputs!$K$299),INDEX(att_actpct,$A4487)))</f>
        <v>0</v>
      </c>
      <c r="C4487" s="53">
        <f>IF(Inputs!$C$299="",0,IF(1+$B4487&gt;0,LN(1+$B4487),0))</f>
        <v>0</v>
      </c>
      <c r="D4487" s="54" t="str">
        <f>IF(Inputs!$C$299="","",IF($A4487=0,Inputs!$C$299,IF(ISBLANK(INDEX(att_actdate,$A4487)),Inputs!$C$299,INDEX(att_actdate,$A4487))))</f>
        <v/>
      </c>
      <c r="E4487" s="54" t="str">
        <f t="shared" si="1551"/>
        <v/>
      </c>
      <c r="F4487" s="55">
        <f t="shared" si="1552"/>
        <v>0</v>
      </c>
      <c r="G4487" s="55">
        <f>IF($D4487="",0,COUNTIFS(rl_key,Inputs!$J$299,$E$4268:$E$4507,$E4487,$D$4268:$D$4507,"&lt;"&amp;$D4487))</f>
        <v>0</v>
      </c>
      <c r="H4487" s="55">
        <f>IF($D4487="",0,COUNTIFS(Inputs!$J$80:$J$299,Inputs!$J$299,$E$4268:$E4487,$E4487,$D$4268:$D4487,$D4487))</f>
        <v>0</v>
      </c>
      <c r="I4487" s="55">
        <f t="shared" si="1553"/>
        <v>0</v>
      </c>
    </row>
    <row r="4488" spans="1:9" x14ac:dyDescent="0.25">
      <c r="A4488" s="55">
        <f>IF(OR(Inputs!$J$300&lt;&gt;nr_SelKey,Inputs!$E$300&lt;&gt;"planned",Inputs!$C$300=""),0,COUNTIFS(Inputs!$J$80:$J$300,nr_SelKey,Inputs!$E$80:$E$300,"planned"))</f>
        <v>0</v>
      </c>
      <c r="B4488" s="52">
        <f>IF($A4488=0,N(Inputs!$K$300),IF(ISBLANK(INDEX(att_actpct,$A4488)),N(Inputs!$K$300),INDEX(att_actpct,$A4488)))</f>
        <v>0</v>
      </c>
      <c r="C4488" s="53">
        <f>IF(Inputs!$C$300="",0,IF(1+$B4488&gt;0,LN(1+$B4488),0))</f>
        <v>0</v>
      </c>
      <c r="D4488" s="54" t="str">
        <f>IF(Inputs!$C$300="","",IF($A4488=0,Inputs!$C$300,IF(ISBLANK(INDEX(att_actdate,$A4488)),Inputs!$C$300,INDEX(att_actdate,$A4488))))</f>
        <v/>
      </c>
      <c r="E4488" s="54" t="str">
        <f t="shared" si="1551"/>
        <v/>
      </c>
      <c r="F4488" s="55">
        <f t="shared" si="1552"/>
        <v>0</v>
      </c>
      <c r="G4488" s="55">
        <f>IF($D4488="",0,COUNTIFS(rl_key,Inputs!$J$300,$E$4268:$E$4507,$E4488,$D$4268:$D$4507,"&lt;"&amp;$D4488))</f>
        <v>0</v>
      </c>
      <c r="H4488" s="55">
        <f>IF($D4488="",0,COUNTIFS(Inputs!$J$80:$J$300,Inputs!$J$300,$E$4268:$E4488,$E4488,$D$4268:$D4488,$D4488))</f>
        <v>0</v>
      </c>
      <c r="I4488" s="55">
        <f t="shared" si="1553"/>
        <v>0</v>
      </c>
    </row>
    <row r="4489" spans="1:9" x14ac:dyDescent="0.25">
      <c r="A4489" s="55">
        <f>IF(OR(Inputs!$J$301&lt;&gt;nr_SelKey,Inputs!$E$301&lt;&gt;"planned",Inputs!$C$301=""),0,COUNTIFS(Inputs!$J$80:$J$301,nr_SelKey,Inputs!$E$80:$E$301,"planned"))</f>
        <v>0</v>
      </c>
      <c r="B4489" s="52">
        <f>IF($A4489=0,N(Inputs!$K$301),IF(ISBLANK(INDEX(att_actpct,$A4489)),N(Inputs!$K$301),INDEX(att_actpct,$A4489)))</f>
        <v>0</v>
      </c>
      <c r="C4489" s="53">
        <f>IF(Inputs!$C$301="",0,IF(1+$B4489&gt;0,LN(1+$B4489),0))</f>
        <v>0</v>
      </c>
      <c r="D4489" s="54" t="str">
        <f>IF(Inputs!$C$301="","",IF($A4489=0,Inputs!$C$301,IF(ISBLANK(INDEX(att_actdate,$A4489)),Inputs!$C$301,INDEX(att_actdate,$A4489))))</f>
        <v/>
      </c>
      <c r="E4489" s="54" t="str">
        <f t="shared" si="1551"/>
        <v/>
      </c>
      <c r="F4489" s="55">
        <f t="shared" si="1552"/>
        <v>0</v>
      </c>
      <c r="G4489" s="55">
        <f>IF($D4489="",0,COUNTIFS(rl_key,Inputs!$J$301,$E$4268:$E$4507,$E4489,$D$4268:$D$4507,"&lt;"&amp;$D4489))</f>
        <v>0</v>
      </c>
      <c r="H4489" s="55">
        <f>IF($D4489="",0,COUNTIFS(Inputs!$J$80:$J$301,Inputs!$J$301,$E$4268:$E4489,$E4489,$D$4268:$D4489,$D4489))</f>
        <v>0</v>
      </c>
      <c r="I4489" s="55">
        <f t="shared" si="1553"/>
        <v>0</v>
      </c>
    </row>
    <row r="4490" spans="1:9" x14ac:dyDescent="0.25">
      <c r="A4490" s="55">
        <f>IF(OR(Inputs!$J$302&lt;&gt;nr_SelKey,Inputs!$E$302&lt;&gt;"planned",Inputs!$C$302=""),0,COUNTIFS(Inputs!$J$80:$J$302,nr_SelKey,Inputs!$E$80:$E$302,"planned"))</f>
        <v>0</v>
      </c>
      <c r="B4490" s="52">
        <f>IF($A4490=0,N(Inputs!$K$302),IF(ISBLANK(INDEX(att_actpct,$A4490)),N(Inputs!$K$302),INDEX(att_actpct,$A4490)))</f>
        <v>0</v>
      </c>
      <c r="C4490" s="53">
        <f>IF(Inputs!$C$302="",0,IF(1+$B4490&gt;0,LN(1+$B4490),0))</f>
        <v>0</v>
      </c>
      <c r="D4490" s="54" t="str">
        <f>IF(Inputs!$C$302="","",IF($A4490=0,Inputs!$C$302,IF(ISBLANK(INDEX(att_actdate,$A4490)),Inputs!$C$302,INDEX(att_actdate,$A4490))))</f>
        <v/>
      </c>
      <c r="E4490" s="54" t="str">
        <f t="shared" si="1551"/>
        <v/>
      </c>
      <c r="F4490" s="55">
        <f t="shared" si="1552"/>
        <v>0</v>
      </c>
      <c r="G4490" s="55">
        <f>IF($D4490="",0,COUNTIFS(rl_key,Inputs!$J$302,$E$4268:$E$4507,$E4490,$D$4268:$D$4507,"&lt;"&amp;$D4490))</f>
        <v>0</v>
      </c>
      <c r="H4490" s="55">
        <f>IF($D4490="",0,COUNTIFS(Inputs!$J$80:$J$302,Inputs!$J$302,$E$4268:$E4490,$E4490,$D$4268:$D4490,$D4490))</f>
        <v>0</v>
      </c>
      <c r="I4490" s="55">
        <f t="shared" si="1553"/>
        <v>0</v>
      </c>
    </row>
    <row r="4491" spans="1:9" x14ac:dyDescent="0.25">
      <c r="A4491" s="55">
        <f>IF(OR(Inputs!$J$303&lt;&gt;nr_SelKey,Inputs!$E$303&lt;&gt;"planned",Inputs!$C$303=""),0,COUNTIFS(Inputs!$J$80:$J$303,nr_SelKey,Inputs!$E$80:$E$303,"planned"))</f>
        <v>0</v>
      </c>
      <c r="B4491" s="52">
        <f>IF($A4491=0,N(Inputs!$K$303),IF(ISBLANK(INDEX(att_actpct,$A4491)),N(Inputs!$K$303),INDEX(att_actpct,$A4491)))</f>
        <v>0</v>
      </c>
      <c r="C4491" s="53">
        <f>IF(Inputs!$C$303="",0,IF(1+$B4491&gt;0,LN(1+$B4491),0))</f>
        <v>0</v>
      </c>
      <c r="D4491" s="54" t="str">
        <f>IF(Inputs!$C$303="","",IF($A4491=0,Inputs!$C$303,IF(ISBLANK(INDEX(att_actdate,$A4491)),Inputs!$C$303,INDEX(att_actdate,$A4491))))</f>
        <v/>
      </c>
      <c r="E4491" s="54" t="str">
        <f t="shared" si="1551"/>
        <v/>
      </c>
      <c r="F4491" s="55">
        <f t="shared" si="1552"/>
        <v>0</v>
      </c>
      <c r="G4491" s="55">
        <f>IF($D4491="",0,COUNTIFS(rl_key,Inputs!$J$303,$E$4268:$E$4507,$E4491,$D$4268:$D$4507,"&lt;"&amp;$D4491))</f>
        <v>0</v>
      </c>
      <c r="H4491" s="55">
        <f>IF($D4491="",0,COUNTIFS(Inputs!$J$80:$J$303,Inputs!$J$303,$E$4268:$E4491,$E4491,$D$4268:$D4491,$D4491))</f>
        <v>0</v>
      </c>
      <c r="I4491" s="55">
        <f t="shared" si="1553"/>
        <v>0</v>
      </c>
    </row>
    <row r="4492" spans="1:9" x14ac:dyDescent="0.25">
      <c r="A4492" s="55">
        <f>IF(OR(Inputs!$J$304&lt;&gt;nr_SelKey,Inputs!$E$304&lt;&gt;"planned",Inputs!$C$304=""),0,COUNTIFS(Inputs!$J$80:$J$304,nr_SelKey,Inputs!$E$80:$E$304,"planned"))</f>
        <v>0</v>
      </c>
      <c r="B4492" s="52">
        <f>IF($A4492=0,N(Inputs!$K$304),IF(ISBLANK(INDEX(att_actpct,$A4492)),N(Inputs!$K$304),INDEX(att_actpct,$A4492)))</f>
        <v>0</v>
      </c>
      <c r="C4492" s="53">
        <f>IF(Inputs!$C$304="",0,IF(1+$B4492&gt;0,LN(1+$B4492),0))</f>
        <v>0</v>
      </c>
      <c r="D4492" s="54" t="str">
        <f>IF(Inputs!$C$304="","",IF($A4492=0,Inputs!$C$304,IF(ISBLANK(INDEX(att_actdate,$A4492)),Inputs!$C$304,INDEX(att_actdate,$A4492))))</f>
        <v/>
      </c>
      <c r="E4492" s="54" t="str">
        <f t="shared" si="1551"/>
        <v/>
      </c>
      <c r="F4492" s="55">
        <f t="shared" si="1552"/>
        <v>0</v>
      </c>
      <c r="G4492" s="55">
        <f>IF($D4492="",0,COUNTIFS(rl_key,Inputs!$J$304,$E$4268:$E$4507,$E4492,$D$4268:$D$4507,"&lt;"&amp;$D4492))</f>
        <v>0</v>
      </c>
      <c r="H4492" s="55">
        <f>IF($D4492="",0,COUNTIFS(Inputs!$J$80:$J$304,Inputs!$J$304,$E$4268:$E4492,$E4492,$D$4268:$D4492,$D4492))</f>
        <v>0</v>
      </c>
      <c r="I4492" s="55">
        <f t="shared" si="1553"/>
        <v>0</v>
      </c>
    </row>
    <row r="4493" spans="1:9" x14ac:dyDescent="0.25">
      <c r="A4493" s="55">
        <f>IF(OR(Inputs!$J$305&lt;&gt;nr_SelKey,Inputs!$E$305&lt;&gt;"planned",Inputs!$C$305=""),0,COUNTIFS(Inputs!$J$80:$J$305,nr_SelKey,Inputs!$E$80:$E$305,"planned"))</f>
        <v>0</v>
      </c>
      <c r="B4493" s="52">
        <f>IF($A4493=0,N(Inputs!$K$305),IF(ISBLANK(INDEX(att_actpct,$A4493)),N(Inputs!$K$305),INDEX(att_actpct,$A4493)))</f>
        <v>0</v>
      </c>
      <c r="C4493" s="53">
        <f>IF(Inputs!$C$305="",0,IF(1+$B4493&gt;0,LN(1+$B4493),0))</f>
        <v>0</v>
      </c>
      <c r="D4493" s="54" t="str">
        <f>IF(Inputs!$C$305="","",IF($A4493=0,Inputs!$C$305,IF(ISBLANK(INDEX(att_actdate,$A4493)),Inputs!$C$305,INDEX(att_actdate,$A4493))))</f>
        <v/>
      </c>
      <c r="E4493" s="54" t="str">
        <f t="shared" si="1551"/>
        <v/>
      </c>
      <c r="F4493" s="55">
        <f t="shared" si="1552"/>
        <v>0</v>
      </c>
      <c r="G4493" s="55">
        <f>IF($D4493="",0,COUNTIFS(rl_key,Inputs!$J$305,$E$4268:$E$4507,$E4493,$D$4268:$D$4507,"&lt;"&amp;$D4493))</f>
        <v>0</v>
      </c>
      <c r="H4493" s="55">
        <f>IF($D4493="",0,COUNTIFS(Inputs!$J$80:$J$305,Inputs!$J$305,$E$4268:$E4493,$E4493,$D$4268:$D4493,$D4493))</f>
        <v>0</v>
      </c>
      <c r="I4493" s="55">
        <f t="shared" si="1553"/>
        <v>0</v>
      </c>
    </row>
    <row r="4494" spans="1:9" x14ac:dyDescent="0.25">
      <c r="A4494" s="55">
        <f>IF(OR(Inputs!$J$306&lt;&gt;nr_SelKey,Inputs!$E$306&lt;&gt;"planned",Inputs!$C$306=""),0,COUNTIFS(Inputs!$J$80:$J$306,nr_SelKey,Inputs!$E$80:$E$306,"planned"))</f>
        <v>0</v>
      </c>
      <c r="B4494" s="52">
        <f>IF($A4494=0,N(Inputs!$K$306),IF(ISBLANK(INDEX(att_actpct,$A4494)),N(Inputs!$K$306),INDEX(att_actpct,$A4494)))</f>
        <v>0</v>
      </c>
      <c r="C4494" s="53">
        <f>IF(Inputs!$C$306="",0,IF(1+$B4494&gt;0,LN(1+$B4494),0))</f>
        <v>0</v>
      </c>
      <c r="D4494" s="54" t="str">
        <f>IF(Inputs!$C$306="","",IF($A4494=0,Inputs!$C$306,IF(ISBLANK(INDEX(att_actdate,$A4494)),Inputs!$C$306,INDEX(att_actdate,$A4494))))</f>
        <v/>
      </c>
      <c r="E4494" s="54" t="str">
        <f t="shared" si="1551"/>
        <v/>
      </c>
      <c r="F4494" s="55">
        <f t="shared" si="1552"/>
        <v>0</v>
      </c>
      <c r="G4494" s="55">
        <f>IF($D4494="",0,COUNTIFS(rl_key,Inputs!$J$306,$E$4268:$E$4507,$E4494,$D$4268:$D$4507,"&lt;"&amp;$D4494))</f>
        <v>0</v>
      </c>
      <c r="H4494" s="55">
        <f>IF($D4494="",0,COUNTIFS(Inputs!$J$80:$J$306,Inputs!$J$306,$E$4268:$E4494,$E4494,$D$4268:$D4494,$D4494))</f>
        <v>0</v>
      </c>
      <c r="I4494" s="55">
        <f t="shared" si="1553"/>
        <v>0</v>
      </c>
    </row>
    <row r="4495" spans="1:9" x14ac:dyDescent="0.25">
      <c r="A4495" s="55">
        <f>IF(OR(Inputs!$J$307&lt;&gt;nr_SelKey,Inputs!$E$307&lt;&gt;"planned",Inputs!$C$307=""),0,COUNTIFS(Inputs!$J$80:$J$307,nr_SelKey,Inputs!$E$80:$E$307,"planned"))</f>
        <v>0</v>
      </c>
      <c r="B4495" s="52">
        <f>IF($A4495=0,N(Inputs!$K$307),IF(ISBLANK(INDEX(att_actpct,$A4495)),N(Inputs!$K$307),INDEX(att_actpct,$A4495)))</f>
        <v>0</v>
      </c>
      <c r="C4495" s="53">
        <f>IF(Inputs!$C$307="",0,IF(1+$B4495&gt;0,LN(1+$B4495),0))</f>
        <v>0</v>
      </c>
      <c r="D4495" s="54" t="str">
        <f>IF(Inputs!$C$307="","",IF($A4495=0,Inputs!$C$307,IF(ISBLANK(INDEX(att_actdate,$A4495)),Inputs!$C$307,INDEX(att_actdate,$A4495))))</f>
        <v/>
      </c>
      <c r="E4495" s="54" t="str">
        <f t="shared" si="1551"/>
        <v/>
      </c>
      <c r="F4495" s="55">
        <f t="shared" si="1552"/>
        <v>0</v>
      </c>
      <c r="G4495" s="55">
        <f>IF($D4495="",0,COUNTIFS(rl_key,Inputs!$J$307,$E$4268:$E$4507,$E4495,$D$4268:$D$4507,"&lt;"&amp;$D4495))</f>
        <v>0</v>
      </c>
      <c r="H4495" s="55">
        <f>IF($D4495="",0,COUNTIFS(Inputs!$J$80:$J$307,Inputs!$J$307,$E$4268:$E4495,$E4495,$D$4268:$D4495,$D4495))</f>
        <v>0</v>
      </c>
      <c r="I4495" s="55">
        <f t="shared" si="1553"/>
        <v>0</v>
      </c>
    </row>
    <row r="4496" spans="1:9" x14ac:dyDescent="0.25">
      <c r="A4496" s="55">
        <f>IF(OR(Inputs!$J$308&lt;&gt;nr_SelKey,Inputs!$E$308&lt;&gt;"planned",Inputs!$C$308=""),0,COUNTIFS(Inputs!$J$80:$J$308,nr_SelKey,Inputs!$E$80:$E$308,"planned"))</f>
        <v>0</v>
      </c>
      <c r="B4496" s="52">
        <f>IF($A4496=0,N(Inputs!$K$308),IF(ISBLANK(INDEX(att_actpct,$A4496)),N(Inputs!$K$308),INDEX(att_actpct,$A4496)))</f>
        <v>0</v>
      </c>
      <c r="C4496" s="53">
        <f>IF(Inputs!$C$308="",0,IF(1+$B4496&gt;0,LN(1+$B4496),0))</f>
        <v>0</v>
      </c>
      <c r="D4496" s="54" t="str">
        <f>IF(Inputs!$C$308="","",IF($A4496=0,Inputs!$C$308,IF(ISBLANK(INDEX(att_actdate,$A4496)),Inputs!$C$308,INDEX(att_actdate,$A4496))))</f>
        <v/>
      </c>
      <c r="E4496" s="54" t="str">
        <f t="shared" si="1551"/>
        <v/>
      </c>
      <c r="F4496" s="55">
        <f t="shared" si="1552"/>
        <v>0</v>
      </c>
      <c r="G4496" s="55">
        <f>IF($D4496="",0,COUNTIFS(rl_key,Inputs!$J$308,$E$4268:$E$4507,$E4496,$D$4268:$D$4507,"&lt;"&amp;$D4496))</f>
        <v>0</v>
      </c>
      <c r="H4496" s="55">
        <f>IF($D4496="",0,COUNTIFS(Inputs!$J$80:$J$308,Inputs!$J$308,$E$4268:$E4496,$E4496,$D$4268:$D4496,$D4496))</f>
        <v>0</v>
      </c>
      <c r="I4496" s="55">
        <f t="shared" si="1553"/>
        <v>0</v>
      </c>
    </row>
    <row r="4497" spans="1:21" x14ac:dyDescent="0.25">
      <c r="A4497" s="55">
        <f>IF(OR(Inputs!$J$309&lt;&gt;nr_SelKey,Inputs!$E$309&lt;&gt;"planned",Inputs!$C$309=""),0,COUNTIFS(Inputs!$J$80:$J$309,nr_SelKey,Inputs!$E$80:$E$309,"planned"))</f>
        <v>0</v>
      </c>
      <c r="B4497" s="52">
        <f>IF($A4497=0,N(Inputs!$K$309),IF(ISBLANK(INDEX(att_actpct,$A4497)),N(Inputs!$K$309),INDEX(att_actpct,$A4497)))</f>
        <v>0</v>
      </c>
      <c r="C4497" s="53">
        <f>IF(Inputs!$C$309="",0,IF(1+$B4497&gt;0,LN(1+$B4497),0))</f>
        <v>0</v>
      </c>
      <c r="D4497" s="54" t="str">
        <f>IF(Inputs!$C$309="","",IF($A4497=0,Inputs!$C$309,IF(ISBLANK(INDEX(att_actdate,$A4497)),Inputs!$C$309,INDEX(att_actdate,$A4497))))</f>
        <v/>
      </c>
      <c r="E4497" s="54" t="str">
        <f t="shared" si="1551"/>
        <v/>
      </c>
      <c r="F4497" s="55">
        <f t="shared" si="1552"/>
        <v>0</v>
      </c>
      <c r="G4497" s="55">
        <f>IF($D4497="",0,COUNTIFS(rl_key,Inputs!$J$309,$E$4268:$E$4507,$E4497,$D$4268:$D$4507,"&lt;"&amp;$D4497))</f>
        <v>0</v>
      </c>
      <c r="H4497" s="55">
        <f>IF($D4497="",0,COUNTIFS(Inputs!$J$80:$J$309,Inputs!$J$309,$E$4268:$E4497,$E4497,$D$4268:$D4497,$D4497))</f>
        <v>0</v>
      </c>
      <c r="I4497" s="55">
        <f t="shared" si="1553"/>
        <v>0</v>
      </c>
    </row>
    <row r="4498" spans="1:21" x14ac:dyDescent="0.25">
      <c r="A4498" s="55">
        <f>IF(OR(Inputs!$J$310&lt;&gt;nr_SelKey,Inputs!$E$310&lt;&gt;"planned",Inputs!$C$310=""),0,COUNTIFS(Inputs!$J$80:$J$310,nr_SelKey,Inputs!$E$80:$E$310,"planned"))</f>
        <v>0</v>
      </c>
      <c r="B4498" s="52">
        <f>IF($A4498=0,N(Inputs!$K$310),IF(ISBLANK(INDEX(att_actpct,$A4498)),N(Inputs!$K$310),INDEX(att_actpct,$A4498)))</f>
        <v>0</v>
      </c>
      <c r="C4498" s="53">
        <f>IF(Inputs!$C$310="",0,IF(1+$B4498&gt;0,LN(1+$B4498),0))</f>
        <v>0</v>
      </c>
      <c r="D4498" s="54" t="str">
        <f>IF(Inputs!$C$310="","",IF($A4498=0,Inputs!$C$310,IF(ISBLANK(INDEX(att_actdate,$A4498)),Inputs!$C$310,INDEX(att_actdate,$A4498))))</f>
        <v/>
      </c>
      <c r="E4498" s="54" t="str">
        <f t="shared" si="1551"/>
        <v/>
      </c>
      <c r="F4498" s="55">
        <f t="shared" si="1552"/>
        <v>0</v>
      </c>
      <c r="G4498" s="55">
        <f>IF($D4498="",0,COUNTIFS(rl_key,Inputs!$J$310,$E$4268:$E$4507,$E4498,$D$4268:$D$4507,"&lt;"&amp;$D4498))</f>
        <v>0</v>
      </c>
      <c r="H4498" s="55">
        <f>IF($D4498="",0,COUNTIFS(Inputs!$J$80:$J$310,Inputs!$J$310,$E$4268:$E4498,$E4498,$D$4268:$D4498,$D4498))</f>
        <v>0</v>
      </c>
      <c r="I4498" s="55">
        <f t="shared" si="1553"/>
        <v>0</v>
      </c>
    </row>
    <row r="4499" spans="1:21" x14ac:dyDescent="0.25">
      <c r="A4499" s="55">
        <f>IF(OR(Inputs!$J$311&lt;&gt;nr_SelKey,Inputs!$E$311&lt;&gt;"planned",Inputs!$C$311=""),0,COUNTIFS(Inputs!$J$80:$J$311,nr_SelKey,Inputs!$E$80:$E$311,"planned"))</f>
        <v>0</v>
      </c>
      <c r="B4499" s="52">
        <f>IF($A4499=0,N(Inputs!$K$311),IF(ISBLANK(INDEX(att_actpct,$A4499)),N(Inputs!$K$311),INDEX(att_actpct,$A4499)))</f>
        <v>0</v>
      </c>
      <c r="C4499" s="53">
        <f>IF(Inputs!$C$311="",0,IF(1+$B4499&gt;0,LN(1+$B4499),0))</f>
        <v>0</v>
      </c>
      <c r="D4499" s="54" t="str">
        <f>IF(Inputs!$C$311="","",IF($A4499=0,Inputs!$C$311,IF(ISBLANK(INDEX(att_actdate,$A4499)),Inputs!$C$311,INDEX(att_actdate,$A4499))))</f>
        <v/>
      </c>
      <c r="E4499" s="54" t="str">
        <f t="shared" si="1551"/>
        <v/>
      </c>
      <c r="F4499" s="55">
        <f t="shared" si="1552"/>
        <v>0</v>
      </c>
      <c r="G4499" s="55">
        <f>IF($D4499="",0,COUNTIFS(rl_key,Inputs!$J$311,$E$4268:$E$4507,$E4499,$D$4268:$D$4507,"&lt;"&amp;$D4499))</f>
        <v>0</v>
      </c>
      <c r="H4499" s="55">
        <f>IF($D4499="",0,COUNTIFS(Inputs!$J$80:$J$311,Inputs!$J$311,$E$4268:$E4499,$E4499,$D$4268:$D4499,$D4499))</f>
        <v>0</v>
      </c>
      <c r="I4499" s="55">
        <f t="shared" si="1553"/>
        <v>0</v>
      </c>
    </row>
    <row r="4500" spans="1:21" x14ac:dyDescent="0.25">
      <c r="A4500" s="55">
        <f>IF(OR(Inputs!$J$312&lt;&gt;nr_SelKey,Inputs!$E$312&lt;&gt;"planned",Inputs!$C$312=""),0,COUNTIFS(Inputs!$J$80:$J$312,nr_SelKey,Inputs!$E$80:$E$312,"planned"))</f>
        <v>0</v>
      </c>
      <c r="B4500" s="52">
        <f>IF($A4500=0,N(Inputs!$K$312),IF(ISBLANK(INDEX(att_actpct,$A4500)),N(Inputs!$K$312),INDEX(att_actpct,$A4500)))</f>
        <v>0</v>
      </c>
      <c r="C4500" s="53">
        <f>IF(Inputs!$C$312="",0,IF(1+$B4500&gt;0,LN(1+$B4500),0))</f>
        <v>0</v>
      </c>
      <c r="D4500" s="54" t="str">
        <f>IF(Inputs!$C$312="","",IF($A4500=0,Inputs!$C$312,IF(ISBLANK(INDEX(att_actdate,$A4500)),Inputs!$C$312,INDEX(att_actdate,$A4500))))</f>
        <v/>
      </c>
      <c r="E4500" s="54" t="str">
        <f t="shared" si="1551"/>
        <v/>
      </c>
      <c r="F4500" s="55">
        <f t="shared" si="1552"/>
        <v>0</v>
      </c>
      <c r="G4500" s="55">
        <f>IF($D4500="",0,COUNTIFS(rl_key,Inputs!$J$312,$E$4268:$E$4507,$E4500,$D$4268:$D$4507,"&lt;"&amp;$D4500))</f>
        <v>0</v>
      </c>
      <c r="H4500" s="55">
        <f>IF($D4500="",0,COUNTIFS(Inputs!$J$80:$J$312,Inputs!$J$312,$E$4268:$E4500,$E4500,$D$4268:$D4500,$D4500))</f>
        <v>0</v>
      </c>
      <c r="I4500" s="55">
        <f t="shared" si="1553"/>
        <v>0</v>
      </c>
    </row>
    <row r="4501" spans="1:21" x14ac:dyDescent="0.25">
      <c r="A4501" s="55">
        <f>IF(OR(Inputs!$J$313&lt;&gt;nr_SelKey,Inputs!$E$313&lt;&gt;"planned",Inputs!$C$313=""),0,COUNTIFS(Inputs!$J$80:$J$313,nr_SelKey,Inputs!$E$80:$E$313,"planned"))</f>
        <v>0</v>
      </c>
      <c r="B4501" s="52">
        <f>IF($A4501=0,N(Inputs!$K$313),IF(ISBLANK(INDEX(att_actpct,$A4501)),N(Inputs!$K$313),INDEX(att_actpct,$A4501)))</f>
        <v>0</v>
      </c>
      <c r="C4501" s="53">
        <f>IF(Inputs!$C$313="",0,IF(1+$B4501&gt;0,LN(1+$B4501),0))</f>
        <v>0</v>
      </c>
      <c r="D4501" s="54" t="str">
        <f>IF(Inputs!$C$313="","",IF($A4501=0,Inputs!$C$313,IF(ISBLANK(INDEX(att_actdate,$A4501)),Inputs!$C$313,INDEX(att_actdate,$A4501))))</f>
        <v/>
      </c>
      <c r="E4501" s="54" t="str">
        <f t="shared" si="1551"/>
        <v/>
      </c>
      <c r="F4501" s="55">
        <f t="shared" si="1552"/>
        <v>0</v>
      </c>
      <c r="G4501" s="55">
        <f>IF($D4501="",0,COUNTIFS(rl_key,Inputs!$J$313,$E$4268:$E$4507,$E4501,$D$4268:$D$4507,"&lt;"&amp;$D4501))</f>
        <v>0</v>
      </c>
      <c r="H4501" s="55">
        <f>IF($D4501="",0,COUNTIFS(Inputs!$J$80:$J$313,Inputs!$J$313,$E$4268:$E4501,$E4501,$D$4268:$D4501,$D4501))</f>
        <v>0</v>
      </c>
      <c r="I4501" s="55">
        <f t="shared" si="1553"/>
        <v>0</v>
      </c>
    </row>
    <row r="4502" spans="1:21" x14ac:dyDescent="0.25">
      <c r="A4502" s="55">
        <f>IF(OR(Inputs!$J$314&lt;&gt;nr_SelKey,Inputs!$E$314&lt;&gt;"planned",Inputs!$C$314=""),0,COUNTIFS(Inputs!$J$80:$J$314,nr_SelKey,Inputs!$E$80:$E$314,"planned"))</f>
        <v>0</v>
      </c>
      <c r="B4502" s="52">
        <f>IF($A4502=0,N(Inputs!$K$314),IF(ISBLANK(INDEX(att_actpct,$A4502)),N(Inputs!$K$314),INDEX(att_actpct,$A4502)))</f>
        <v>0</v>
      </c>
      <c r="C4502" s="53">
        <f>IF(Inputs!$C$314="",0,IF(1+$B4502&gt;0,LN(1+$B4502),0))</f>
        <v>0</v>
      </c>
      <c r="D4502" s="54" t="str">
        <f>IF(Inputs!$C$314="","",IF($A4502=0,Inputs!$C$314,IF(ISBLANK(INDEX(att_actdate,$A4502)),Inputs!$C$314,INDEX(att_actdate,$A4502))))</f>
        <v/>
      </c>
      <c r="E4502" s="54" t="str">
        <f t="shared" si="1551"/>
        <v/>
      </c>
      <c r="F4502" s="55">
        <f t="shared" si="1552"/>
        <v>0</v>
      </c>
      <c r="G4502" s="55">
        <f>IF($D4502="",0,COUNTIFS(rl_key,Inputs!$J$314,$E$4268:$E$4507,$E4502,$D$4268:$D$4507,"&lt;"&amp;$D4502))</f>
        <v>0</v>
      </c>
      <c r="H4502" s="55">
        <f>IF($D4502="",0,COUNTIFS(Inputs!$J$80:$J$314,Inputs!$J$314,$E$4268:$E4502,$E4502,$D$4268:$D4502,$D4502))</f>
        <v>0</v>
      </c>
      <c r="I4502" s="55">
        <f t="shared" si="1553"/>
        <v>0</v>
      </c>
    </row>
    <row r="4503" spans="1:21" x14ac:dyDescent="0.25">
      <c r="A4503" s="55">
        <f>IF(OR(Inputs!$J$315&lt;&gt;nr_SelKey,Inputs!$E$315&lt;&gt;"planned",Inputs!$C$315=""),0,COUNTIFS(Inputs!$J$80:$J$315,nr_SelKey,Inputs!$E$80:$E$315,"planned"))</f>
        <v>0</v>
      </c>
      <c r="B4503" s="52">
        <f>IF($A4503=0,N(Inputs!$K$315),IF(ISBLANK(INDEX(att_actpct,$A4503)),N(Inputs!$K$315),INDEX(att_actpct,$A4503)))</f>
        <v>0</v>
      </c>
      <c r="C4503" s="53">
        <f>IF(Inputs!$C$315="",0,IF(1+$B4503&gt;0,LN(1+$B4503),0))</f>
        <v>0</v>
      </c>
      <c r="D4503" s="54" t="str">
        <f>IF(Inputs!$C$315="","",IF($A4503=0,Inputs!$C$315,IF(ISBLANK(INDEX(att_actdate,$A4503)),Inputs!$C$315,INDEX(att_actdate,$A4503))))</f>
        <v/>
      </c>
      <c r="E4503" s="54" t="str">
        <f t="shared" si="1551"/>
        <v/>
      </c>
      <c r="F4503" s="55">
        <f t="shared" si="1552"/>
        <v>0</v>
      </c>
      <c r="G4503" s="55">
        <f>IF($D4503="",0,COUNTIFS(rl_key,Inputs!$J$315,$E$4268:$E$4507,$E4503,$D$4268:$D$4507,"&lt;"&amp;$D4503))</f>
        <v>0</v>
      </c>
      <c r="H4503" s="55">
        <f>IF($D4503="",0,COUNTIFS(Inputs!$J$80:$J$315,Inputs!$J$315,$E$4268:$E4503,$E4503,$D$4268:$D4503,$D4503))</f>
        <v>0</v>
      </c>
      <c r="I4503" s="55">
        <f t="shared" si="1553"/>
        <v>0</v>
      </c>
    </row>
    <row r="4504" spans="1:21" x14ac:dyDescent="0.25">
      <c r="A4504" s="55">
        <f>IF(OR(Inputs!$J$316&lt;&gt;nr_SelKey,Inputs!$E$316&lt;&gt;"planned",Inputs!$C$316=""),0,COUNTIFS(Inputs!$J$80:$J$316,nr_SelKey,Inputs!$E$80:$E$316,"planned"))</f>
        <v>0</v>
      </c>
      <c r="B4504" s="52">
        <f>IF($A4504=0,N(Inputs!$K$316),IF(ISBLANK(INDEX(att_actpct,$A4504)),N(Inputs!$K$316),INDEX(att_actpct,$A4504)))</f>
        <v>0</v>
      </c>
      <c r="C4504" s="53">
        <f>IF(Inputs!$C$316="",0,IF(1+$B4504&gt;0,LN(1+$B4504),0))</f>
        <v>0</v>
      </c>
      <c r="D4504" s="54" t="str">
        <f>IF(Inputs!$C$316="","",IF($A4504=0,Inputs!$C$316,IF(ISBLANK(INDEX(att_actdate,$A4504)),Inputs!$C$316,INDEX(att_actdate,$A4504))))</f>
        <v/>
      </c>
      <c r="E4504" s="54" t="str">
        <f t="shared" si="1551"/>
        <v/>
      </c>
      <c r="F4504" s="55">
        <f t="shared" si="1552"/>
        <v>0</v>
      </c>
      <c r="G4504" s="55">
        <f>IF($D4504="",0,COUNTIFS(rl_key,Inputs!$J$316,$E$4268:$E$4507,$E4504,$D$4268:$D$4507,"&lt;"&amp;$D4504))</f>
        <v>0</v>
      </c>
      <c r="H4504" s="55">
        <f>IF($D4504="",0,COUNTIFS(Inputs!$J$80:$J$316,Inputs!$J$316,$E$4268:$E4504,$E4504,$D$4268:$D4504,$D4504))</f>
        <v>0</v>
      </c>
      <c r="I4504" s="55">
        <f t="shared" si="1553"/>
        <v>0</v>
      </c>
    </row>
    <row r="4505" spans="1:21" x14ac:dyDescent="0.25">
      <c r="A4505" s="55">
        <f>IF(OR(Inputs!$J$317&lt;&gt;nr_SelKey,Inputs!$E$317&lt;&gt;"planned",Inputs!$C$317=""),0,COUNTIFS(Inputs!$J$80:$J$317,nr_SelKey,Inputs!$E$80:$E$317,"planned"))</f>
        <v>0</v>
      </c>
      <c r="B4505" s="52">
        <f>IF($A4505=0,N(Inputs!$K$317),IF(ISBLANK(INDEX(att_actpct,$A4505)),N(Inputs!$K$317),INDEX(att_actpct,$A4505)))</f>
        <v>0</v>
      </c>
      <c r="C4505" s="53">
        <f>IF(Inputs!$C$317="",0,IF(1+$B4505&gt;0,LN(1+$B4505),0))</f>
        <v>0</v>
      </c>
      <c r="D4505" s="54" t="str">
        <f>IF(Inputs!$C$317="","",IF($A4505=0,Inputs!$C$317,IF(ISBLANK(INDEX(att_actdate,$A4505)),Inputs!$C$317,INDEX(att_actdate,$A4505))))</f>
        <v/>
      </c>
      <c r="E4505" s="54" t="str">
        <f t="shared" si="1551"/>
        <v/>
      </c>
      <c r="F4505" s="55">
        <f t="shared" si="1552"/>
        <v>0</v>
      </c>
      <c r="G4505" s="55">
        <f>IF($D4505="",0,COUNTIFS(rl_key,Inputs!$J$317,$E$4268:$E$4507,$E4505,$D$4268:$D$4507,"&lt;"&amp;$D4505))</f>
        <v>0</v>
      </c>
      <c r="H4505" s="55">
        <f>IF($D4505="",0,COUNTIFS(Inputs!$J$80:$J$317,Inputs!$J$317,$E$4268:$E4505,$E4505,$D$4268:$D4505,$D4505))</f>
        <v>0</v>
      </c>
      <c r="I4505" s="55">
        <f t="shared" si="1553"/>
        <v>0</v>
      </c>
    </row>
    <row r="4506" spans="1:21" x14ac:dyDescent="0.25">
      <c r="A4506" s="55">
        <f>IF(OR(Inputs!$J$318&lt;&gt;nr_SelKey,Inputs!$E$318&lt;&gt;"planned",Inputs!$C$318=""),0,COUNTIFS(Inputs!$J$80:$J$318,nr_SelKey,Inputs!$E$80:$E$318,"planned"))</f>
        <v>0</v>
      </c>
      <c r="B4506" s="52">
        <f>IF($A4506=0,N(Inputs!$K$318),IF(ISBLANK(INDEX(att_actpct,$A4506)),N(Inputs!$K$318),INDEX(att_actpct,$A4506)))</f>
        <v>0</v>
      </c>
      <c r="C4506" s="53">
        <f>IF(Inputs!$C$318="",0,IF(1+$B4506&gt;0,LN(1+$B4506),0))</f>
        <v>0</v>
      </c>
      <c r="D4506" s="54" t="str">
        <f>IF(Inputs!$C$318="","",IF($A4506=0,Inputs!$C$318,IF(ISBLANK(INDEX(att_actdate,$A4506)),Inputs!$C$318,INDEX(att_actdate,$A4506))))</f>
        <v/>
      </c>
      <c r="E4506" s="54" t="str">
        <f t="shared" si="1551"/>
        <v/>
      </c>
      <c r="F4506" s="55">
        <f t="shared" si="1552"/>
        <v>0</v>
      </c>
      <c r="G4506" s="55">
        <f>IF($D4506="",0,COUNTIFS(rl_key,Inputs!$J$318,$E$4268:$E$4507,$E4506,$D$4268:$D$4507,"&lt;"&amp;$D4506))</f>
        <v>0</v>
      </c>
      <c r="H4506" s="55">
        <f>IF($D4506="",0,COUNTIFS(Inputs!$J$80:$J$318,Inputs!$J$318,$E$4268:$E4506,$E4506,$D$4268:$D4506,$D4506))</f>
        <v>0</v>
      </c>
      <c r="I4506" s="55">
        <f t="shared" si="1553"/>
        <v>0</v>
      </c>
    </row>
    <row r="4507" spans="1:21" x14ac:dyDescent="0.25">
      <c r="A4507" s="55">
        <f>IF(OR(Inputs!$J$319&lt;&gt;nr_SelKey,Inputs!$E$319&lt;&gt;"planned",Inputs!$C$319=""),0,COUNTIFS(Inputs!$J$80:$J$319,nr_SelKey,Inputs!$E$80:$E$319,"planned"))</f>
        <v>0</v>
      </c>
      <c r="B4507" s="52">
        <f>IF($A4507=0,N(Inputs!$K$319),IF(ISBLANK(INDEX(att_actpct,$A4507)),N(Inputs!$K$319),INDEX(att_actpct,$A4507)))</f>
        <v>0</v>
      </c>
      <c r="C4507" s="53">
        <f>IF(Inputs!$C$319="",0,IF(1+$B4507&gt;0,LN(1+$B4507),0))</f>
        <v>0</v>
      </c>
      <c r="D4507" s="54" t="str">
        <f>IF(Inputs!$C$319="","",IF($A4507=0,Inputs!$C$319,IF(ISBLANK(INDEX(att_actdate,$A4507)),Inputs!$C$319,INDEX(att_actdate,$A4507))))</f>
        <v/>
      </c>
      <c r="E4507" s="54" t="str">
        <f t="shared" si="1551"/>
        <v/>
      </c>
      <c r="F4507" s="55">
        <f t="shared" si="1552"/>
        <v>0</v>
      </c>
      <c r="G4507" s="55">
        <f>IF($D4507="",0,COUNTIFS(rl_key,Inputs!$J$319,$E$4268:$E$4507,$E4507,$D$4268:$D$4507,"&lt;"&amp;$D4507))</f>
        <v>0</v>
      </c>
      <c r="H4507" s="55">
        <f>IF($D4507="",0,COUNTIFS(Inputs!$J$80:$J$319,Inputs!$J$319,$E$4268:$E4507,$E4507,$D$4268:$D4507,$D4507))</f>
        <v>0</v>
      </c>
      <c r="I4507" s="55">
        <f t="shared" si="1553"/>
        <v>0</v>
      </c>
    </row>
    <row r="4510" spans="1:21" x14ac:dyDescent="0.25">
      <c r="A4510" s="188" t="s">
        <v>1243</v>
      </c>
    </row>
    <row r="4512" spans="1:21" ht="36" x14ac:dyDescent="0.25">
      <c r="A4512" s="50" t="s">
        <v>211</v>
      </c>
      <c r="B4512" s="50" t="s">
        <v>212</v>
      </c>
      <c r="C4512" s="50" t="s">
        <v>213</v>
      </c>
      <c r="D4512" s="50" t="s">
        <v>214</v>
      </c>
      <c r="E4512" s="50" t="s">
        <v>215</v>
      </c>
      <c r="F4512" s="50" t="s">
        <v>216</v>
      </c>
      <c r="G4512" s="50" t="s">
        <v>217</v>
      </c>
      <c r="H4512" s="50" t="s">
        <v>218</v>
      </c>
      <c r="I4512" s="50" t="s">
        <v>219</v>
      </c>
      <c r="J4512" s="50" t="s">
        <v>220</v>
      </c>
      <c r="K4512" s="50" t="s">
        <v>221</v>
      </c>
      <c r="L4512" s="50" t="s">
        <v>222</v>
      </c>
      <c r="M4512" s="50" t="s">
        <v>223</v>
      </c>
      <c r="N4512" s="50" t="s">
        <v>224</v>
      </c>
      <c r="O4512" s="50" t="s">
        <v>225</v>
      </c>
      <c r="P4512" s="50" t="s">
        <v>226</v>
      </c>
      <c r="Q4512" s="50" t="s">
        <v>227</v>
      </c>
      <c r="R4512" s="50" t="s">
        <v>228</v>
      </c>
      <c r="S4512" s="50" t="s">
        <v>229</v>
      </c>
      <c r="T4512" s="50" t="s">
        <v>230</v>
      </c>
      <c r="U4512" s="50" t="s">
        <v>231</v>
      </c>
    </row>
    <row r="4513" spans="1:18" x14ac:dyDescent="0.25">
      <c r="A4513" s="71">
        <v>1</v>
      </c>
      <c r="B4513" s="72">
        <f>DATE(nr_PlanYear-2,1,1)</f>
        <v>45658</v>
      </c>
      <c r="C4513" s="73">
        <f t="shared" ref="C4513:C4560" si="1554">EOMONTH($B4513,0)</f>
        <v>45688</v>
      </c>
      <c r="D4513" s="67">
        <f t="shared" ref="D4513:D4560" si="1555">$C4513-$B4513+1</f>
        <v>31</v>
      </c>
      <c r="E4513" s="67">
        <f t="shared" ref="E4513:E4560" si="1556">MONTH($B4513)</f>
        <v>1</v>
      </c>
      <c r="F4513" s="74">
        <f t="shared" ref="F4513:F4560" si="1557">($B4513+$C4513+1)/2</f>
        <v>45673.5</v>
      </c>
      <c r="G4513" s="67">
        <f t="shared" ref="G4513:G4560" si="1558">YEAR($B4513)*12+MONTH($B4513)-1</f>
        <v>24300</v>
      </c>
      <c r="H4513" s="75">
        <f t="shared" ref="H4513:H4560" si="1559">IF(OR(nr_SeasonOn="OFF",re_srow=0,re_ssum=0),1,12*INDEX(se_block,re_srow,$E4513)/re_ssum)</f>
        <v>1</v>
      </c>
      <c r="I4513" s="76">
        <f t="shared" ref="I4513:I4560" si="1560">EXP(SUMPRODUCT((rl_eff&lt;$B4513)*(rl_key=nr_SelKey)*$C$4268:$C$4507))</f>
        <v>1</v>
      </c>
      <c r="J4513" s="76">
        <f t="shared" ref="J4513:J4560" si="1561">EXP(SUMPRODUCT((rl_eff&lt;=$C4513)*(rl_key=nr_SelKey)*$C$4268:$C$4507))</f>
        <v>1</v>
      </c>
      <c r="K4513" s="67">
        <f t="shared" ref="K4513:K4560" si="1562">COUNTIFS(rl_key,nr_SelKey,rl_eff,"&gt;="&amp;$B4513,rl_eff,"&lt;="&amp;$C4513)</f>
        <v>0</v>
      </c>
      <c r="L4513" s="67">
        <f t="shared" ref="L4513:L4560" si="1563">SUMIFS(rl_daysafter,rl_key,nr_SelKey,rl_effmonth,$B4513,rl_first,1)</f>
        <v>0</v>
      </c>
      <c r="M4513" s="77">
        <f t="shared" ref="M4513:M4560" si="1564">IF($K4513=0,0,MIN(1,$L4513/$D4513))</f>
        <v>0</v>
      </c>
      <c r="N4513" s="76">
        <f t="shared" ref="N4513:N4560" si="1565">IF($K4513=0,$J4513,(1-$M4513)*$I4513+$M4513*$J4513)</f>
        <v>1</v>
      </c>
      <c r="P4513" s="76">
        <f t="shared" ref="P4513:P4560" si="1566">MIN(1,MAX(0,(nr_MEndPm1-$G4513+0.5)/nr_TermMonths))-MIN(1,MAX(0,(nr_MStartPm1-1-$G4513+0.5)/nr_TermMonths))</f>
        <v>0</v>
      </c>
      <c r="Q4513" s="76">
        <f t="shared" ref="Q4513:Q4560" si="1567">MIN(1,MAX(0,(nr_MEndP-$G4513+0.5)/nr_TermMonths))-MIN(1,MAX(0,(nr_MStartP-1-$G4513+0.5)/nr_TermMonths))</f>
        <v>0</v>
      </c>
      <c r="R4513" s="76">
        <f t="shared" ref="R4513:R4560" si="1568">MIN(1,MAX(0,(nr_MEndP1-$G4513+0.5)/nr_TermMonths))-MIN(1,MAX(0,(nr_MStartP1-1-$G4513+0.5)/nr_TermMonths))</f>
        <v>0</v>
      </c>
    </row>
    <row r="4514" spans="1:18" x14ac:dyDescent="0.25">
      <c r="A4514" s="71">
        <v>2</v>
      </c>
      <c r="B4514" s="72">
        <f t="shared" ref="B4514:B4560" si="1569">EDATE($B4513,1)</f>
        <v>45689</v>
      </c>
      <c r="C4514" s="73">
        <f t="shared" si="1554"/>
        <v>45716</v>
      </c>
      <c r="D4514" s="67">
        <f t="shared" si="1555"/>
        <v>28</v>
      </c>
      <c r="E4514" s="67">
        <f t="shared" si="1556"/>
        <v>2</v>
      </c>
      <c r="F4514" s="74">
        <f t="shared" si="1557"/>
        <v>45703</v>
      </c>
      <c r="G4514" s="67">
        <f t="shared" si="1558"/>
        <v>24301</v>
      </c>
      <c r="H4514" s="75">
        <f t="shared" si="1559"/>
        <v>1</v>
      </c>
      <c r="I4514" s="76">
        <f t="shared" si="1560"/>
        <v>1</v>
      </c>
      <c r="J4514" s="76">
        <f t="shared" si="1561"/>
        <v>1</v>
      </c>
      <c r="K4514" s="67">
        <f t="shared" si="1562"/>
        <v>0</v>
      </c>
      <c r="L4514" s="67">
        <f t="shared" si="1563"/>
        <v>0</v>
      </c>
      <c r="M4514" s="77">
        <f t="shared" si="1564"/>
        <v>0</v>
      </c>
      <c r="N4514" s="76">
        <f t="shared" si="1565"/>
        <v>1</v>
      </c>
      <c r="P4514" s="76">
        <f t="shared" si="1566"/>
        <v>0</v>
      </c>
      <c r="Q4514" s="76">
        <f t="shared" si="1567"/>
        <v>0</v>
      </c>
      <c r="R4514" s="76">
        <f t="shared" si="1568"/>
        <v>0</v>
      </c>
    </row>
    <row r="4515" spans="1:18" x14ac:dyDescent="0.25">
      <c r="A4515" s="71">
        <v>3</v>
      </c>
      <c r="B4515" s="72">
        <f t="shared" si="1569"/>
        <v>45717</v>
      </c>
      <c r="C4515" s="73">
        <f t="shared" si="1554"/>
        <v>45747</v>
      </c>
      <c r="D4515" s="67">
        <f t="shared" si="1555"/>
        <v>31</v>
      </c>
      <c r="E4515" s="67">
        <f t="shared" si="1556"/>
        <v>3</v>
      </c>
      <c r="F4515" s="74">
        <f t="shared" si="1557"/>
        <v>45732.5</v>
      </c>
      <c r="G4515" s="67">
        <f t="shared" si="1558"/>
        <v>24302</v>
      </c>
      <c r="H4515" s="75">
        <f t="shared" si="1559"/>
        <v>1</v>
      </c>
      <c r="I4515" s="76">
        <f t="shared" si="1560"/>
        <v>1</v>
      </c>
      <c r="J4515" s="76">
        <f t="shared" si="1561"/>
        <v>1</v>
      </c>
      <c r="K4515" s="67">
        <f t="shared" si="1562"/>
        <v>0</v>
      </c>
      <c r="L4515" s="67">
        <f t="shared" si="1563"/>
        <v>0</v>
      </c>
      <c r="M4515" s="77">
        <f t="shared" si="1564"/>
        <v>0</v>
      </c>
      <c r="N4515" s="76">
        <f t="shared" si="1565"/>
        <v>1</v>
      </c>
      <c r="P4515" s="76">
        <f t="shared" si="1566"/>
        <v>0</v>
      </c>
      <c r="Q4515" s="76">
        <f t="shared" si="1567"/>
        <v>0</v>
      </c>
      <c r="R4515" s="76">
        <f t="shared" si="1568"/>
        <v>0</v>
      </c>
    </row>
    <row r="4516" spans="1:18" x14ac:dyDescent="0.25">
      <c r="A4516" s="71">
        <v>4</v>
      </c>
      <c r="B4516" s="72">
        <f t="shared" si="1569"/>
        <v>45748</v>
      </c>
      <c r="C4516" s="73">
        <f t="shared" si="1554"/>
        <v>45777</v>
      </c>
      <c r="D4516" s="67">
        <f t="shared" si="1555"/>
        <v>30</v>
      </c>
      <c r="E4516" s="67">
        <f t="shared" si="1556"/>
        <v>4</v>
      </c>
      <c r="F4516" s="74">
        <f t="shared" si="1557"/>
        <v>45763</v>
      </c>
      <c r="G4516" s="67">
        <f t="shared" si="1558"/>
        <v>24303</v>
      </c>
      <c r="H4516" s="75">
        <f t="shared" si="1559"/>
        <v>1</v>
      </c>
      <c r="I4516" s="76">
        <f t="shared" si="1560"/>
        <v>1</v>
      </c>
      <c r="J4516" s="76">
        <f t="shared" si="1561"/>
        <v>1</v>
      </c>
      <c r="K4516" s="67">
        <f t="shared" si="1562"/>
        <v>0</v>
      </c>
      <c r="L4516" s="67">
        <f t="shared" si="1563"/>
        <v>0</v>
      </c>
      <c r="M4516" s="77">
        <f t="shared" si="1564"/>
        <v>0</v>
      </c>
      <c r="N4516" s="76">
        <f t="shared" si="1565"/>
        <v>1</v>
      </c>
      <c r="P4516" s="76">
        <f t="shared" si="1566"/>
        <v>0</v>
      </c>
      <c r="Q4516" s="76">
        <f t="shared" si="1567"/>
        <v>0</v>
      </c>
      <c r="R4516" s="76">
        <f t="shared" si="1568"/>
        <v>0</v>
      </c>
    </row>
    <row r="4517" spans="1:18" x14ac:dyDescent="0.25">
      <c r="A4517" s="71">
        <v>5</v>
      </c>
      <c r="B4517" s="72">
        <f t="shared" si="1569"/>
        <v>45778</v>
      </c>
      <c r="C4517" s="73">
        <f t="shared" si="1554"/>
        <v>45808</v>
      </c>
      <c r="D4517" s="67">
        <f t="shared" si="1555"/>
        <v>31</v>
      </c>
      <c r="E4517" s="67">
        <f t="shared" si="1556"/>
        <v>5</v>
      </c>
      <c r="F4517" s="74">
        <f t="shared" si="1557"/>
        <v>45793.5</v>
      </c>
      <c r="G4517" s="67">
        <f t="shared" si="1558"/>
        <v>24304</v>
      </c>
      <c r="H4517" s="75">
        <f t="shared" si="1559"/>
        <v>1</v>
      </c>
      <c r="I4517" s="76">
        <f t="shared" si="1560"/>
        <v>1</v>
      </c>
      <c r="J4517" s="76">
        <f t="shared" si="1561"/>
        <v>1</v>
      </c>
      <c r="K4517" s="67">
        <f t="shared" si="1562"/>
        <v>0</v>
      </c>
      <c r="L4517" s="67">
        <f t="shared" si="1563"/>
        <v>0</v>
      </c>
      <c r="M4517" s="77">
        <f t="shared" si="1564"/>
        <v>0</v>
      </c>
      <c r="N4517" s="76">
        <f t="shared" si="1565"/>
        <v>1</v>
      </c>
      <c r="P4517" s="76">
        <f t="shared" si="1566"/>
        <v>0</v>
      </c>
      <c r="Q4517" s="76">
        <f t="shared" si="1567"/>
        <v>0</v>
      </c>
      <c r="R4517" s="76">
        <f t="shared" si="1568"/>
        <v>0</v>
      </c>
    </row>
    <row r="4518" spans="1:18" x14ac:dyDescent="0.25">
      <c r="A4518" s="71">
        <v>6</v>
      </c>
      <c r="B4518" s="72">
        <f t="shared" si="1569"/>
        <v>45809</v>
      </c>
      <c r="C4518" s="73">
        <f t="shared" si="1554"/>
        <v>45838</v>
      </c>
      <c r="D4518" s="67">
        <f t="shared" si="1555"/>
        <v>30</v>
      </c>
      <c r="E4518" s="67">
        <f t="shared" si="1556"/>
        <v>6</v>
      </c>
      <c r="F4518" s="74">
        <f t="shared" si="1557"/>
        <v>45824</v>
      </c>
      <c r="G4518" s="67">
        <f t="shared" si="1558"/>
        <v>24305</v>
      </c>
      <c r="H4518" s="75">
        <f t="shared" si="1559"/>
        <v>1</v>
      </c>
      <c r="I4518" s="76">
        <f t="shared" si="1560"/>
        <v>1</v>
      </c>
      <c r="J4518" s="76">
        <f t="shared" si="1561"/>
        <v>1</v>
      </c>
      <c r="K4518" s="67">
        <f t="shared" si="1562"/>
        <v>0</v>
      </c>
      <c r="L4518" s="67">
        <f t="shared" si="1563"/>
        <v>0</v>
      </c>
      <c r="M4518" s="77">
        <f t="shared" si="1564"/>
        <v>0</v>
      </c>
      <c r="N4518" s="76">
        <f t="shared" si="1565"/>
        <v>1</v>
      </c>
      <c r="P4518" s="76">
        <f t="shared" si="1566"/>
        <v>0</v>
      </c>
      <c r="Q4518" s="76">
        <f t="shared" si="1567"/>
        <v>0</v>
      </c>
      <c r="R4518" s="76">
        <f t="shared" si="1568"/>
        <v>0</v>
      </c>
    </row>
    <row r="4519" spans="1:18" x14ac:dyDescent="0.25">
      <c r="A4519" s="71">
        <v>7</v>
      </c>
      <c r="B4519" s="72">
        <f t="shared" si="1569"/>
        <v>45839</v>
      </c>
      <c r="C4519" s="73">
        <f t="shared" si="1554"/>
        <v>45869</v>
      </c>
      <c r="D4519" s="67">
        <f t="shared" si="1555"/>
        <v>31</v>
      </c>
      <c r="E4519" s="67">
        <f t="shared" si="1556"/>
        <v>7</v>
      </c>
      <c r="F4519" s="74">
        <f t="shared" si="1557"/>
        <v>45854.5</v>
      </c>
      <c r="G4519" s="67">
        <f t="shared" si="1558"/>
        <v>24306</v>
      </c>
      <c r="H4519" s="75">
        <f t="shared" si="1559"/>
        <v>1</v>
      </c>
      <c r="I4519" s="76">
        <f t="shared" si="1560"/>
        <v>1</v>
      </c>
      <c r="J4519" s="76">
        <f t="shared" si="1561"/>
        <v>1.04</v>
      </c>
      <c r="K4519" s="67">
        <f t="shared" si="1562"/>
        <v>1</v>
      </c>
      <c r="L4519" s="67">
        <f t="shared" si="1563"/>
        <v>31</v>
      </c>
      <c r="M4519" s="77">
        <f t="shared" si="1564"/>
        <v>1</v>
      </c>
      <c r="N4519" s="76">
        <f t="shared" si="1565"/>
        <v>1.04</v>
      </c>
      <c r="P4519" s="76">
        <f t="shared" si="1566"/>
        <v>8.333333333333337E-2</v>
      </c>
      <c r="Q4519" s="76">
        <f t="shared" si="1567"/>
        <v>0</v>
      </c>
      <c r="R4519" s="76">
        <f t="shared" si="1568"/>
        <v>0</v>
      </c>
    </row>
    <row r="4520" spans="1:18" x14ac:dyDescent="0.25">
      <c r="A4520" s="71">
        <v>8</v>
      </c>
      <c r="B4520" s="72">
        <f t="shared" si="1569"/>
        <v>45870</v>
      </c>
      <c r="C4520" s="73">
        <f t="shared" si="1554"/>
        <v>45900</v>
      </c>
      <c r="D4520" s="67">
        <f t="shared" si="1555"/>
        <v>31</v>
      </c>
      <c r="E4520" s="67">
        <f t="shared" si="1556"/>
        <v>8</v>
      </c>
      <c r="F4520" s="74">
        <f t="shared" si="1557"/>
        <v>45885.5</v>
      </c>
      <c r="G4520" s="67">
        <f t="shared" si="1558"/>
        <v>24307</v>
      </c>
      <c r="H4520" s="75">
        <f t="shared" si="1559"/>
        <v>1</v>
      </c>
      <c r="I4520" s="76">
        <f t="shared" si="1560"/>
        <v>1.04</v>
      </c>
      <c r="J4520" s="76">
        <f t="shared" si="1561"/>
        <v>1.04</v>
      </c>
      <c r="K4520" s="67">
        <f t="shared" si="1562"/>
        <v>0</v>
      </c>
      <c r="L4520" s="67">
        <f t="shared" si="1563"/>
        <v>0</v>
      </c>
      <c r="M4520" s="77">
        <f t="shared" si="1564"/>
        <v>0</v>
      </c>
      <c r="N4520" s="76">
        <f t="shared" si="1565"/>
        <v>1.04</v>
      </c>
      <c r="P4520" s="76">
        <f t="shared" si="1566"/>
        <v>0.25</v>
      </c>
      <c r="Q4520" s="76">
        <f t="shared" si="1567"/>
        <v>0</v>
      </c>
      <c r="R4520" s="76">
        <f t="shared" si="1568"/>
        <v>0</v>
      </c>
    </row>
    <row r="4521" spans="1:18" x14ac:dyDescent="0.25">
      <c r="A4521" s="71">
        <v>9</v>
      </c>
      <c r="B4521" s="72">
        <f t="shared" si="1569"/>
        <v>45901</v>
      </c>
      <c r="C4521" s="73">
        <f t="shared" si="1554"/>
        <v>45930</v>
      </c>
      <c r="D4521" s="67">
        <f t="shared" si="1555"/>
        <v>30</v>
      </c>
      <c r="E4521" s="67">
        <f t="shared" si="1556"/>
        <v>9</v>
      </c>
      <c r="F4521" s="74">
        <f t="shared" si="1557"/>
        <v>45916</v>
      </c>
      <c r="G4521" s="67">
        <f t="shared" si="1558"/>
        <v>24308</v>
      </c>
      <c r="H4521" s="75">
        <f t="shared" si="1559"/>
        <v>1</v>
      </c>
      <c r="I4521" s="76">
        <f t="shared" si="1560"/>
        <v>1.04</v>
      </c>
      <c r="J4521" s="76">
        <f t="shared" si="1561"/>
        <v>1.04</v>
      </c>
      <c r="K4521" s="67">
        <f t="shared" si="1562"/>
        <v>0</v>
      </c>
      <c r="L4521" s="67">
        <f t="shared" si="1563"/>
        <v>0</v>
      </c>
      <c r="M4521" s="77">
        <f t="shared" si="1564"/>
        <v>0</v>
      </c>
      <c r="N4521" s="76">
        <f t="shared" si="1565"/>
        <v>1.04</v>
      </c>
      <c r="P4521" s="76">
        <f t="shared" si="1566"/>
        <v>0.41666666666666663</v>
      </c>
      <c r="Q4521" s="76">
        <f t="shared" si="1567"/>
        <v>0</v>
      </c>
      <c r="R4521" s="76">
        <f t="shared" si="1568"/>
        <v>0</v>
      </c>
    </row>
    <row r="4522" spans="1:18" x14ac:dyDescent="0.25">
      <c r="A4522" s="71">
        <v>10</v>
      </c>
      <c r="B4522" s="72">
        <f t="shared" si="1569"/>
        <v>45931</v>
      </c>
      <c r="C4522" s="73">
        <f t="shared" si="1554"/>
        <v>45961</v>
      </c>
      <c r="D4522" s="67">
        <f t="shared" si="1555"/>
        <v>31</v>
      </c>
      <c r="E4522" s="67">
        <f t="shared" si="1556"/>
        <v>10</v>
      </c>
      <c r="F4522" s="74">
        <f t="shared" si="1557"/>
        <v>45946.5</v>
      </c>
      <c r="G4522" s="67">
        <f t="shared" si="1558"/>
        <v>24309</v>
      </c>
      <c r="H4522" s="75">
        <f t="shared" si="1559"/>
        <v>1</v>
      </c>
      <c r="I4522" s="76">
        <f t="shared" si="1560"/>
        <v>1.04</v>
      </c>
      <c r="J4522" s="76">
        <f t="shared" si="1561"/>
        <v>1.04</v>
      </c>
      <c r="K4522" s="67">
        <f t="shared" si="1562"/>
        <v>0</v>
      </c>
      <c r="L4522" s="67">
        <f t="shared" si="1563"/>
        <v>0</v>
      </c>
      <c r="M4522" s="77">
        <f t="shared" si="1564"/>
        <v>0</v>
      </c>
      <c r="N4522" s="76">
        <f t="shared" si="1565"/>
        <v>1.04</v>
      </c>
      <c r="P4522" s="76">
        <f t="shared" si="1566"/>
        <v>0.58333333333333326</v>
      </c>
      <c r="Q4522" s="76">
        <f t="shared" si="1567"/>
        <v>0</v>
      </c>
      <c r="R4522" s="76">
        <f t="shared" si="1568"/>
        <v>0</v>
      </c>
    </row>
    <row r="4523" spans="1:18" x14ac:dyDescent="0.25">
      <c r="A4523" s="71">
        <v>11</v>
      </c>
      <c r="B4523" s="72">
        <f t="shared" si="1569"/>
        <v>45962</v>
      </c>
      <c r="C4523" s="73">
        <f t="shared" si="1554"/>
        <v>45991</v>
      </c>
      <c r="D4523" s="67">
        <f t="shared" si="1555"/>
        <v>30</v>
      </c>
      <c r="E4523" s="67">
        <f t="shared" si="1556"/>
        <v>11</v>
      </c>
      <c r="F4523" s="74">
        <f t="shared" si="1557"/>
        <v>45977</v>
      </c>
      <c r="G4523" s="67">
        <f t="shared" si="1558"/>
        <v>24310</v>
      </c>
      <c r="H4523" s="75">
        <f t="shared" si="1559"/>
        <v>1</v>
      </c>
      <c r="I4523" s="76">
        <f t="shared" si="1560"/>
        <v>1.04</v>
      </c>
      <c r="J4523" s="76">
        <f t="shared" si="1561"/>
        <v>1.04</v>
      </c>
      <c r="K4523" s="67">
        <f t="shared" si="1562"/>
        <v>0</v>
      </c>
      <c r="L4523" s="67">
        <f t="shared" si="1563"/>
        <v>0</v>
      </c>
      <c r="M4523" s="77">
        <f t="shared" si="1564"/>
        <v>0</v>
      </c>
      <c r="N4523" s="76">
        <f t="shared" si="1565"/>
        <v>1.04</v>
      </c>
      <c r="P4523" s="76">
        <f t="shared" si="1566"/>
        <v>0.75</v>
      </c>
      <c r="Q4523" s="76">
        <f t="shared" si="1567"/>
        <v>0</v>
      </c>
      <c r="R4523" s="76">
        <f t="shared" si="1568"/>
        <v>0</v>
      </c>
    </row>
    <row r="4524" spans="1:18" x14ac:dyDescent="0.25">
      <c r="A4524" s="71">
        <v>12</v>
      </c>
      <c r="B4524" s="72">
        <f t="shared" si="1569"/>
        <v>45992</v>
      </c>
      <c r="C4524" s="73">
        <f t="shared" si="1554"/>
        <v>46022</v>
      </c>
      <c r="D4524" s="67">
        <f t="shared" si="1555"/>
        <v>31</v>
      </c>
      <c r="E4524" s="67">
        <f t="shared" si="1556"/>
        <v>12</v>
      </c>
      <c r="F4524" s="74">
        <f t="shared" si="1557"/>
        <v>46007.5</v>
      </c>
      <c r="G4524" s="67">
        <f t="shared" si="1558"/>
        <v>24311</v>
      </c>
      <c r="H4524" s="75">
        <f t="shared" si="1559"/>
        <v>1</v>
      </c>
      <c r="I4524" s="76">
        <f t="shared" si="1560"/>
        <v>1.04</v>
      </c>
      <c r="J4524" s="76">
        <f t="shared" si="1561"/>
        <v>1.04</v>
      </c>
      <c r="K4524" s="67">
        <f t="shared" si="1562"/>
        <v>0</v>
      </c>
      <c r="L4524" s="67">
        <f t="shared" si="1563"/>
        <v>0</v>
      </c>
      <c r="M4524" s="77">
        <f t="shared" si="1564"/>
        <v>0</v>
      </c>
      <c r="N4524" s="76">
        <f t="shared" si="1565"/>
        <v>1.04</v>
      </c>
      <c r="P4524" s="76">
        <f t="shared" si="1566"/>
        <v>0.91666666666666663</v>
      </c>
      <c r="Q4524" s="76">
        <f t="shared" si="1567"/>
        <v>0</v>
      </c>
      <c r="R4524" s="76">
        <f t="shared" si="1568"/>
        <v>0</v>
      </c>
    </row>
    <row r="4525" spans="1:18" x14ac:dyDescent="0.25">
      <c r="A4525" s="71">
        <v>13</v>
      </c>
      <c r="B4525" s="72">
        <f t="shared" si="1569"/>
        <v>46023</v>
      </c>
      <c r="C4525" s="73">
        <f t="shared" si="1554"/>
        <v>46053</v>
      </c>
      <c r="D4525" s="67">
        <f t="shared" si="1555"/>
        <v>31</v>
      </c>
      <c r="E4525" s="67">
        <f t="shared" si="1556"/>
        <v>1</v>
      </c>
      <c r="F4525" s="74">
        <f t="shared" si="1557"/>
        <v>46038.5</v>
      </c>
      <c r="G4525" s="67">
        <f t="shared" si="1558"/>
        <v>24312</v>
      </c>
      <c r="H4525" s="75">
        <f t="shared" si="1559"/>
        <v>1</v>
      </c>
      <c r="I4525" s="76">
        <f t="shared" si="1560"/>
        <v>1.04</v>
      </c>
      <c r="J4525" s="76">
        <f t="shared" si="1561"/>
        <v>1.04</v>
      </c>
      <c r="K4525" s="67">
        <f t="shared" si="1562"/>
        <v>0</v>
      </c>
      <c r="L4525" s="67">
        <f t="shared" si="1563"/>
        <v>0</v>
      </c>
      <c r="M4525" s="77">
        <f t="shared" si="1564"/>
        <v>0</v>
      </c>
      <c r="N4525" s="76">
        <f t="shared" si="1565"/>
        <v>1.04</v>
      </c>
      <c r="P4525" s="76">
        <f t="shared" si="1566"/>
        <v>1</v>
      </c>
      <c r="Q4525" s="76">
        <f t="shared" si="1567"/>
        <v>0</v>
      </c>
      <c r="R4525" s="76">
        <f t="shared" si="1568"/>
        <v>0</v>
      </c>
    </row>
    <row r="4526" spans="1:18" x14ac:dyDescent="0.25">
      <c r="A4526" s="71">
        <v>14</v>
      </c>
      <c r="B4526" s="72">
        <f t="shared" si="1569"/>
        <v>46054</v>
      </c>
      <c r="C4526" s="73">
        <f t="shared" si="1554"/>
        <v>46081</v>
      </c>
      <c r="D4526" s="67">
        <f t="shared" si="1555"/>
        <v>28</v>
      </c>
      <c r="E4526" s="67">
        <f t="shared" si="1556"/>
        <v>2</v>
      </c>
      <c r="F4526" s="74">
        <f t="shared" si="1557"/>
        <v>46068</v>
      </c>
      <c r="G4526" s="67">
        <f t="shared" si="1558"/>
        <v>24313</v>
      </c>
      <c r="H4526" s="75">
        <f t="shared" si="1559"/>
        <v>1</v>
      </c>
      <c r="I4526" s="76">
        <f t="shared" si="1560"/>
        <v>1.04</v>
      </c>
      <c r="J4526" s="76">
        <f t="shared" si="1561"/>
        <v>1.04</v>
      </c>
      <c r="K4526" s="67">
        <f t="shared" si="1562"/>
        <v>0</v>
      </c>
      <c r="L4526" s="67">
        <f t="shared" si="1563"/>
        <v>0</v>
      </c>
      <c r="M4526" s="77">
        <f t="shared" si="1564"/>
        <v>0</v>
      </c>
      <c r="N4526" s="76">
        <f t="shared" si="1565"/>
        <v>1.04</v>
      </c>
      <c r="P4526" s="76">
        <f t="shared" si="1566"/>
        <v>1</v>
      </c>
      <c r="Q4526" s="76">
        <f t="shared" si="1567"/>
        <v>0</v>
      </c>
      <c r="R4526" s="76">
        <f t="shared" si="1568"/>
        <v>0</v>
      </c>
    </row>
    <row r="4527" spans="1:18" x14ac:dyDescent="0.25">
      <c r="A4527" s="71">
        <v>15</v>
      </c>
      <c r="B4527" s="72">
        <f t="shared" si="1569"/>
        <v>46082</v>
      </c>
      <c r="C4527" s="73">
        <f t="shared" si="1554"/>
        <v>46112</v>
      </c>
      <c r="D4527" s="67">
        <f t="shared" si="1555"/>
        <v>31</v>
      </c>
      <c r="E4527" s="67">
        <f t="shared" si="1556"/>
        <v>3</v>
      </c>
      <c r="F4527" s="74">
        <f t="shared" si="1557"/>
        <v>46097.5</v>
      </c>
      <c r="G4527" s="67">
        <f t="shared" si="1558"/>
        <v>24314</v>
      </c>
      <c r="H4527" s="75">
        <f t="shared" si="1559"/>
        <v>1</v>
      </c>
      <c r="I4527" s="76">
        <f t="shared" si="1560"/>
        <v>1.04</v>
      </c>
      <c r="J4527" s="76">
        <f t="shared" si="1561"/>
        <v>1.04</v>
      </c>
      <c r="K4527" s="67">
        <f t="shared" si="1562"/>
        <v>0</v>
      </c>
      <c r="L4527" s="67">
        <f t="shared" si="1563"/>
        <v>0</v>
      </c>
      <c r="M4527" s="77">
        <f t="shared" si="1564"/>
        <v>0</v>
      </c>
      <c r="N4527" s="76">
        <f t="shared" si="1565"/>
        <v>1.04</v>
      </c>
      <c r="P4527" s="76">
        <f t="shared" si="1566"/>
        <v>1</v>
      </c>
      <c r="Q4527" s="76">
        <f t="shared" si="1567"/>
        <v>0</v>
      </c>
      <c r="R4527" s="76">
        <f t="shared" si="1568"/>
        <v>0</v>
      </c>
    </row>
    <row r="4528" spans="1:18" x14ac:dyDescent="0.25">
      <c r="A4528" s="71">
        <v>16</v>
      </c>
      <c r="B4528" s="72">
        <f t="shared" si="1569"/>
        <v>46113</v>
      </c>
      <c r="C4528" s="73">
        <f t="shared" si="1554"/>
        <v>46142</v>
      </c>
      <c r="D4528" s="67">
        <f t="shared" si="1555"/>
        <v>30</v>
      </c>
      <c r="E4528" s="67">
        <f t="shared" si="1556"/>
        <v>4</v>
      </c>
      <c r="F4528" s="74">
        <f t="shared" si="1557"/>
        <v>46128</v>
      </c>
      <c r="G4528" s="67">
        <f t="shared" si="1558"/>
        <v>24315</v>
      </c>
      <c r="H4528" s="75">
        <f t="shared" si="1559"/>
        <v>1</v>
      </c>
      <c r="I4528" s="76">
        <f t="shared" si="1560"/>
        <v>1.04</v>
      </c>
      <c r="J4528" s="76">
        <f t="shared" si="1561"/>
        <v>1.04</v>
      </c>
      <c r="K4528" s="67">
        <f t="shared" si="1562"/>
        <v>0</v>
      </c>
      <c r="L4528" s="67">
        <f t="shared" si="1563"/>
        <v>0</v>
      </c>
      <c r="M4528" s="77">
        <f t="shared" si="1564"/>
        <v>0</v>
      </c>
      <c r="N4528" s="76">
        <f t="shared" si="1565"/>
        <v>1.04</v>
      </c>
      <c r="P4528" s="76">
        <f t="shared" si="1566"/>
        <v>1</v>
      </c>
      <c r="Q4528" s="76">
        <f t="shared" si="1567"/>
        <v>0</v>
      </c>
      <c r="R4528" s="76">
        <f t="shared" si="1568"/>
        <v>0</v>
      </c>
    </row>
    <row r="4529" spans="1:18" x14ac:dyDescent="0.25">
      <c r="A4529" s="71">
        <v>17</v>
      </c>
      <c r="B4529" s="72">
        <f t="shared" si="1569"/>
        <v>46143</v>
      </c>
      <c r="C4529" s="73">
        <f t="shared" si="1554"/>
        <v>46173</v>
      </c>
      <c r="D4529" s="67">
        <f t="shared" si="1555"/>
        <v>31</v>
      </c>
      <c r="E4529" s="67">
        <f t="shared" si="1556"/>
        <v>5</v>
      </c>
      <c r="F4529" s="74">
        <f t="shared" si="1557"/>
        <v>46158.5</v>
      </c>
      <c r="G4529" s="67">
        <f t="shared" si="1558"/>
        <v>24316</v>
      </c>
      <c r="H4529" s="75">
        <f t="shared" si="1559"/>
        <v>1</v>
      </c>
      <c r="I4529" s="76">
        <f t="shared" si="1560"/>
        <v>1.04</v>
      </c>
      <c r="J4529" s="76">
        <f t="shared" si="1561"/>
        <v>1.04</v>
      </c>
      <c r="K4529" s="67">
        <f t="shared" si="1562"/>
        <v>0</v>
      </c>
      <c r="L4529" s="67">
        <f t="shared" si="1563"/>
        <v>0</v>
      </c>
      <c r="M4529" s="77">
        <f t="shared" si="1564"/>
        <v>0</v>
      </c>
      <c r="N4529" s="76">
        <f t="shared" si="1565"/>
        <v>1.04</v>
      </c>
      <c r="P4529" s="76">
        <f t="shared" si="1566"/>
        <v>1</v>
      </c>
      <c r="Q4529" s="76">
        <f t="shared" si="1567"/>
        <v>0</v>
      </c>
      <c r="R4529" s="76">
        <f t="shared" si="1568"/>
        <v>0</v>
      </c>
    </row>
    <row r="4530" spans="1:18" x14ac:dyDescent="0.25">
      <c r="A4530" s="71">
        <v>18</v>
      </c>
      <c r="B4530" s="72">
        <f t="shared" si="1569"/>
        <v>46174</v>
      </c>
      <c r="C4530" s="73">
        <f t="shared" si="1554"/>
        <v>46203</v>
      </c>
      <c r="D4530" s="67">
        <f t="shared" si="1555"/>
        <v>30</v>
      </c>
      <c r="E4530" s="67">
        <f t="shared" si="1556"/>
        <v>6</v>
      </c>
      <c r="F4530" s="74">
        <f t="shared" si="1557"/>
        <v>46189</v>
      </c>
      <c r="G4530" s="67">
        <f t="shared" si="1558"/>
        <v>24317</v>
      </c>
      <c r="H4530" s="75">
        <f t="shared" si="1559"/>
        <v>1</v>
      </c>
      <c r="I4530" s="76">
        <f t="shared" si="1560"/>
        <v>1.04</v>
      </c>
      <c r="J4530" s="76">
        <f t="shared" si="1561"/>
        <v>1.04</v>
      </c>
      <c r="K4530" s="67">
        <f t="shared" si="1562"/>
        <v>0</v>
      </c>
      <c r="L4530" s="67">
        <f t="shared" si="1563"/>
        <v>0</v>
      </c>
      <c r="M4530" s="77">
        <f t="shared" si="1564"/>
        <v>0</v>
      </c>
      <c r="N4530" s="76">
        <f t="shared" si="1565"/>
        <v>1.04</v>
      </c>
      <c r="P4530" s="76">
        <f t="shared" si="1566"/>
        <v>1</v>
      </c>
      <c r="Q4530" s="76">
        <f t="shared" si="1567"/>
        <v>0</v>
      </c>
      <c r="R4530" s="76">
        <f t="shared" si="1568"/>
        <v>0</v>
      </c>
    </row>
    <row r="4531" spans="1:18" x14ac:dyDescent="0.25">
      <c r="A4531" s="71">
        <v>19</v>
      </c>
      <c r="B4531" s="72">
        <f t="shared" si="1569"/>
        <v>46204</v>
      </c>
      <c r="C4531" s="73">
        <f t="shared" si="1554"/>
        <v>46234</v>
      </c>
      <c r="D4531" s="67">
        <f t="shared" si="1555"/>
        <v>31</v>
      </c>
      <c r="E4531" s="67">
        <f t="shared" si="1556"/>
        <v>7</v>
      </c>
      <c r="F4531" s="74">
        <f t="shared" si="1557"/>
        <v>46219.5</v>
      </c>
      <c r="G4531" s="67">
        <f t="shared" si="1558"/>
        <v>24318</v>
      </c>
      <c r="H4531" s="75">
        <f t="shared" si="1559"/>
        <v>1</v>
      </c>
      <c r="I4531" s="76">
        <f t="shared" si="1560"/>
        <v>1.04</v>
      </c>
      <c r="J4531" s="76">
        <f t="shared" si="1561"/>
        <v>1.1024</v>
      </c>
      <c r="K4531" s="67">
        <f t="shared" si="1562"/>
        <v>1</v>
      </c>
      <c r="L4531" s="67">
        <f t="shared" si="1563"/>
        <v>31</v>
      </c>
      <c r="M4531" s="77">
        <f t="shared" si="1564"/>
        <v>1</v>
      </c>
      <c r="N4531" s="76">
        <f t="shared" si="1565"/>
        <v>1.1024</v>
      </c>
      <c r="P4531" s="76">
        <f t="shared" si="1566"/>
        <v>0.91666666666666663</v>
      </c>
      <c r="Q4531" s="76">
        <f t="shared" si="1567"/>
        <v>8.333333333333337E-2</v>
      </c>
      <c r="R4531" s="76">
        <f t="shared" si="1568"/>
        <v>0</v>
      </c>
    </row>
    <row r="4532" spans="1:18" x14ac:dyDescent="0.25">
      <c r="A4532" s="71">
        <v>20</v>
      </c>
      <c r="B4532" s="72">
        <f t="shared" si="1569"/>
        <v>46235</v>
      </c>
      <c r="C4532" s="73">
        <f t="shared" si="1554"/>
        <v>46265</v>
      </c>
      <c r="D4532" s="67">
        <f t="shared" si="1555"/>
        <v>31</v>
      </c>
      <c r="E4532" s="67">
        <f t="shared" si="1556"/>
        <v>8</v>
      </c>
      <c r="F4532" s="74">
        <f t="shared" si="1557"/>
        <v>46250.5</v>
      </c>
      <c r="G4532" s="67">
        <f t="shared" si="1558"/>
        <v>24319</v>
      </c>
      <c r="H4532" s="75">
        <f t="shared" si="1559"/>
        <v>1</v>
      </c>
      <c r="I4532" s="76">
        <f t="shared" si="1560"/>
        <v>1.1024</v>
      </c>
      <c r="J4532" s="76">
        <f t="shared" si="1561"/>
        <v>1.1024</v>
      </c>
      <c r="K4532" s="67">
        <f t="shared" si="1562"/>
        <v>0</v>
      </c>
      <c r="L4532" s="67">
        <f t="shared" si="1563"/>
        <v>0</v>
      </c>
      <c r="M4532" s="77">
        <f t="shared" si="1564"/>
        <v>0</v>
      </c>
      <c r="N4532" s="76">
        <f t="shared" si="1565"/>
        <v>1.1024</v>
      </c>
      <c r="P4532" s="76">
        <f t="shared" si="1566"/>
        <v>0.75</v>
      </c>
      <c r="Q4532" s="76">
        <f t="shared" si="1567"/>
        <v>0.25</v>
      </c>
      <c r="R4532" s="76">
        <f t="shared" si="1568"/>
        <v>0</v>
      </c>
    </row>
    <row r="4533" spans="1:18" x14ac:dyDescent="0.25">
      <c r="A4533" s="71">
        <v>21</v>
      </c>
      <c r="B4533" s="72">
        <f t="shared" si="1569"/>
        <v>46266</v>
      </c>
      <c r="C4533" s="73">
        <f t="shared" si="1554"/>
        <v>46295</v>
      </c>
      <c r="D4533" s="67">
        <f t="shared" si="1555"/>
        <v>30</v>
      </c>
      <c r="E4533" s="67">
        <f t="shared" si="1556"/>
        <v>9</v>
      </c>
      <c r="F4533" s="74">
        <f t="shared" si="1557"/>
        <v>46281</v>
      </c>
      <c r="G4533" s="67">
        <f t="shared" si="1558"/>
        <v>24320</v>
      </c>
      <c r="H4533" s="75">
        <f t="shared" si="1559"/>
        <v>1</v>
      </c>
      <c r="I4533" s="76">
        <f t="shared" si="1560"/>
        <v>1.1024</v>
      </c>
      <c r="J4533" s="76">
        <f t="shared" si="1561"/>
        <v>1.1024</v>
      </c>
      <c r="K4533" s="67">
        <f t="shared" si="1562"/>
        <v>0</v>
      </c>
      <c r="L4533" s="67">
        <f t="shared" si="1563"/>
        <v>0</v>
      </c>
      <c r="M4533" s="77">
        <f t="shared" si="1564"/>
        <v>0</v>
      </c>
      <c r="N4533" s="76">
        <f t="shared" si="1565"/>
        <v>1.1024</v>
      </c>
      <c r="P4533" s="76">
        <f t="shared" si="1566"/>
        <v>0.58333333333333337</v>
      </c>
      <c r="Q4533" s="76">
        <f t="shared" si="1567"/>
        <v>0.41666666666666663</v>
      </c>
      <c r="R4533" s="76">
        <f t="shared" si="1568"/>
        <v>0</v>
      </c>
    </row>
    <row r="4534" spans="1:18" x14ac:dyDescent="0.25">
      <c r="A4534" s="71">
        <v>22</v>
      </c>
      <c r="B4534" s="72">
        <f t="shared" si="1569"/>
        <v>46296</v>
      </c>
      <c r="C4534" s="73">
        <f t="shared" si="1554"/>
        <v>46326</v>
      </c>
      <c r="D4534" s="67">
        <f t="shared" si="1555"/>
        <v>31</v>
      </c>
      <c r="E4534" s="67">
        <f t="shared" si="1556"/>
        <v>10</v>
      </c>
      <c r="F4534" s="74">
        <f t="shared" si="1557"/>
        <v>46311.5</v>
      </c>
      <c r="G4534" s="67">
        <f t="shared" si="1558"/>
        <v>24321</v>
      </c>
      <c r="H4534" s="75">
        <f t="shared" si="1559"/>
        <v>1</v>
      </c>
      <c r="I4534" s="76">
        <f t="shared" si="1560"/>
        <v>1.1024</v>
      </c>
      <c r="J4534" s="76">
        <f t="shared" si="1561"/>
        <v>1.1024</v>
      </c>
      <c r="K4534" s="67">
        <f t="shared" si="1562"/>
        <v>0</v>
      </c>
      <c r="L4534" s="67">
        <f t="shared" si="1563"/>
        <v>0</v>
      </c>
      <c r="M4534" s="77">
        <f t="shared" si="1564"/>
        <v>0</v>
      </c>
      <c r="N4534" s="76">
        <f t="shared" si="1565"/>
        <v>1.1024</v>
      </c>
      <c r="P4534" s="76">
        <f t="shared" si="1566"/>
        <v>0.41666666666666669</v>
      </c>
      <c r="Q4534" s="76">
        <f t="shared" si="1567"/>
        <v>0.58333333333333326</v>
      </c>
      <c r="R4534" s="76">
        <f t="shared" si="1568"/>
        <v>0</v>
      </c>
    </row>
    <row r="4535" spans="1:18" x14ac:dyDescent="0.25">
      <c r="A4535" s="71">
        <v>23</v>
      </c>
      <c r="B4535" s="72">
        <f t="shared" si="1569"/>
        <v>46327</v>
      </c>
      <c r="C4535" s="73">
        <f t="shared" si="1554"/>
        <v>46356</v>
      </c>
      <c r="D4535" s="67">
        <f t="shared" si="1555"/>
        <v>30</v>
      </c>
      <c r="E4535" s="67">
        <f t="shared" si="1556"/>
        <v>11</v>
      </c>
      <c r="F4535" s="74">
        <f t="shared" si="1557"/>
        <v>46342</v>
      </c>
      <c r="G4535" s="67">
        <f t="shared" si="1558"/>
        <v>24322</v>
      </c>
      <c r="H4535" s="75">
        <f t="shared" si="1559"/>
        <v>1</v>
      </c>
      <c r="I4535" s="76">
        <f t="shared" si="1560"/>
        <v>1.1024</v>
      </c>
      <c r="J4535" s="76">
        <f t="shared" si="1561"/>
        <v>1.1024</v>
      </c>
      <c r="K4535" s="67">
        <f t="shared" si="1562"/>
        <v>0</v>
      </c>
      <c r="L4535" s="67">
        <f t="shared" si="1563"/>
        <v>0</v>
      </c>
      <c r="M4535" s="77">
        <f t="shared" si="1564"/>
        <v>0</v>
      </c>
      <c r="N4535" s="76">
        <f t="shared" si="1565"/>
        <v>1.1024</v>
      </c>
      <c r="P4535" s="76">
        <f t="shared" si="1566"/>
        <v>0.25</v>
      </c>
      <c r="Q4535" s="76">
        <f t="shared" si="1567"/>
        <v>0.75</v>
      </c>
      <c r="R4535" s="76">
        <f t="shared" si="1568"/>
        <v>0</v>
      </c>
    </row>
    <row r="4536" spans="1:18" x14ac:dyDescent="0.25">
      <c r="A4536" s="71">
        <v>24</v>
      </c>
      <c r="B4536" s="72">
        <f t="shared" si="1569"/>
        <v>46357</v>
      </c>
      <c r="C4536" s="73">
        <f t="shared" si="1554"/>
        <v>46387</v>
      </c>
      <c r="D4536" s="67">
        <f t="shared" si="1555"/>
        <v>31</v>
      </c>
      <c r="E4536" s="67">
        <f t="shared" si="1556"/>
        <v>12</v>
      </c>
      <c r="F4536" s="74">
        <f t="shared" si="1557"/>
        <v>46372.5</v>
      </c>
      <c r="G4536" s="67">
        <f t="shared" si="1558"/>
        <v>24323</v>
      </c>
      <c r="H4536" s="75">
        <f t="shared" si="1559"/>
        <v>1</v>
      </c>
      <c r="I4536" s="76">
        <f t="shared" si="1560"/>
        <v>1.1024</v>
      </c>
      <c r="J4536" s="76">
        <f t="shared" si="1561"/>
        <v>1.1024</v>
      </c>
      <c r="K4536" s="67">
        <f t="shared" si="1562"/>
        <v>0</v>
      </c>
      <c r="L4536" s="67">
        <f t="shared" si="1563"/>
        <v>0</v>
      </c>
      <c r="M4536" s="77">
        <f t="shared" si="1564"/>
        <v>0</v>
      </c>
      <c r="N4536" s="76">
        <f t="shared" si="1565"/>
        <v>1.1024</v>
      </c>
      <c r="P4536" s="76">
        <f t="shared" si="1566"/>
        <v>8.3333333333333329E-2</v>
      </c>
      <c r="Q4536" s="76">
        <f t="shared" si="1567"/>
        <v>0.91666666666666663</v>
      </c>
      <c r="R4536" s="76">
        <f t="shared" si="1568"/>
        <v>0</v>
      </c>
    </row>
    <row r="4537" spans="1:18" x14ac:dyDescent="0.25">
      <c r="A4537" s="71">
        <v>25</v>
      </c>
      <c r="B4537" s="72">
        <f t="shared" si="1569"/>
        <v>46388</v>
      </c>
      <c r="C4537" s="73">
        <f t="shared" si="1554"/>
        <v>46418</v>
      </c>
      <c r="D4537" s="67">
        <f t="shared" si="1555"/>
        <v>31</v>
      </c>
      <c r="E4537" s="67">
        <f t="shared" si="1556"/>
        <v>1</v>
      </c>
      <c r="F4537" s="74">
        <f t="shared" si="1557"/>
        <v>46403.5</v>
      </c>
      <c r="G4537" s="67">
        <f t="shared" si="1558"/>
        <v>24324</v>
      </c>
      <c r="H4537" s="75">
        <f t="shared" si="1559"/>
        <v>1</v>
      </c>
      <c r="I4537" s="76">
        <f t="shared" si="1560"/>
        <v>1.1024</v>
      </c>
      <c r="J4537" s="76">
        <f t="shared" si="1561"/>
        <v>1.1024</v>
      </c>
      <c r="K4537" s="67">
        <f t="shared" si="1562"/>
        <v>0</v>
      </c>
      <c r="L4537" s="67">
        <f t="shared" si="1563"/>
        <v>0</v>
      </c>
      <c r="M4537" s="77">
        <f t="shared" si="1564"/>
        <v>0</v>
      </c>
      <c r="N4537" s="76">
        <f t="shared" si="1565"/>
        <v>1.1024</v>
      </c>
      <c r="P4537" s="76">
        <f t="shared" si="1566"/>
        <v>0</v>
      </c>
      <c r="Q4537" s="76">
        <f t="shared" si="1567"/>
        <v>1</v>
      </c>
      <c r="R4537" s="76">
        <f t="shared" si="1568"/>
        <v>0</v>
      </c>
    </row>
    <row r="4538" spans="1:18" x14ac:dyDescent="0.25">
      <c r="A4538" s="71">
        <v>26</v>
      </c>
      <c r="B4538" s="72">
        <f t="shared" si="1569"/>
        <v>46419</v>
      </c>
      <c r="C4538" s="73">
        <f t="shared" si="1554"/>
        <v>46446</v>
      </c>
      <c r="D4538" s="67">
        <f t="shared" si="1555"/>
        <v>28</v>
      </c>
      <c r="E4538" s="67">
        <f t="shared" si="1556"/>
        <v>2</v>
      </c>
      <c r="F4538" s="74">
        <f t="shared" si="1557"/>
        <v>46433</v>
      </c>
      <c r="G4538" s="67">
        <f t="shared" si="1558"/>
        <v>24325</v>
      </c>
      <c r="H4538" s="75">
        <f t="shared" si="1559"/>
        <v>1</v>
      </c>
      <c r="I4538" s="76">
        <f t="shared" si="1560"/>
        <v>1.1024</v>
      </c>
      <c r="J4538" s="76">
        <f t="shared" si="1561"/>
        <v>1.1024</v>
      </c>
      <c r="K4538" s="67">
        <f t="shared" si="1562"/>
        <v>0</v>
      </c>
      <c r="L4538" s="67">
        <f t="shared" si="1563"/>
        <v>0</v>
      </c>
      <c r="M4538" s="77">
        <f t="shared" si="1564"/>
        <v>0</v>
      </c>
      <c r="N4538" s="76">
        <f t="shared" si="1565"/>
        <v>1.1024</v>
      </c>
      <c r="P4538" s="76">
        <f t="shared" si="1566"/>
        <v>0</v>
      </c>
      <c r="Q4538" s="76">
        <f t="shared" si="1567"/>
        <v>1</v>
      </c>
      <c r="R4538" s="76">
        <f t="shared" si="1568"/>
        <v>0</v>
      </c>
    </row>
    <row r="4539" spans="1:18" x14ac:dyDescent="0.25">
      <c r="A4539" s="71">
        <v>27</v>
      </c>
      <c r="B4539" s="72">
        <f t="shared" si="1569"/>
        <v>46447</v>
      </c>
      <c r="C4539" s="73">
        <f t="shared" si="1554"/>
        <v>46477</v>
      </c>
      <c r="D4539" s="67">
        <f t="shared" si="1555"/>
        <v>31</v>
      </c>
      <c r="E4539" s="67">
        <f t="shared" si="1556"/>
        <v>3</v>
      </c>
      <c r="F4539" s="74">
        <f t="shared" si="1557"/>
        <v>46462.5</v>
      </c>
      <c r="G4539" s="67">
        <f t="shared" si="1558"/>
        <v>24326</v>
      </c>
      <c r="H4539" s="75">
        <f t="shared" si="1559"/>
        <v>1</v>
      </c>
      <c r="I4539" s="76">
        <f t="shared" si="1560"/>
        <v>1.1024</v>
      </c>
      <c r="J4539" s="76">
        <f t="shared" si="1561"/>
        <v>1.1024</v>
      </c>
      <c r="K4539" s="67">
        <f t="shared" si="1562"/>
        <v>0</v>
      </c>
      <c r="L4539" s="67">
        <f t="shared" si="1563"/>
        <v>0</v>
      </c>
      <c r="M4539" s="77">
        <f t="shared" si="1564"/>
        <v>0</v>
      </c>
      <c r="N4539" s="76">
        <f t="shared" si="1565"/>
        <v>1.1024</v>
      </c>
      <c r="P4539" s="76">
        <f t="shared" si="1566"/>
        <v>0</v>
      </c>
      <c r="Q4539" s="76">
        <f t="shared" si="1567"/>
        <v>1</v>
      </c>
      <c r="R4539" s="76">
        <f t="shared" si="1568"/>
        <v>0</v>
      </c>
    </row>
    <row r="4540" spans="1:18" x14ac:dyDescent="0.25">
      <c r="A4540" s="71">
        <v>28</v>
      </c>
      <c r="B4540" s="72">
        <f t="shared" si="1569"/>
        <v>46478</v>
      </c>
      <c r="C4540" s="73">
        <f t="shared" si="1554"/>
        <v>46507</v>
      </c>
      <c r="D4540" s="67">
        <f t="shared" si="1555"/>
        <v>30</v>
      </c>
      <c r="E4540" s="67">
        <f t="shared" si="1556"/>
        <v>4</v>
      </c>
      <c r="F4540" s="74">
        <f t="shared" si="1557"/>
        <v>46493</v>
      </c>
      <c r="G4540" s="67">
        <f t="shared" si="1558"/>
        <v>24327</v>
      </c>
      <c r="H4540" s="75">
        <f t="shared" si="1559"/>
        <v>1</v>
      </c>
      <c r="I4540" s="76">
        <f t="shared" si="1560"/>
        <v>1.1024</v>
      </c>
      <c r="J4540" s="76">
        <f t="shared" si="1561"/>
        <v>1.1575200000000001</v>
      </c>
      <c r="K4540" s="67">
        <f t="shared" si="1562"/>
        <v>1</v>
      </c>
      <c r="L4540" s="67">
        <f t="shared" si="1563"/>
        <v>30</v>
      </c>
      <c r="M4540" s="77">
        <f t="shared" si="1564"/>
        <v>1</v>
      </c>
      <c r="N4540" s="76">
        <f t="shared" si="1565"/>
        <v>1.1575200000000001</v>
      </c>
      <c r="P4540" s="76">
        <f t="shared" si="1566"/>
        <v>0</v>
      </c>
      <c r="Q4540" s="76">
        <f t="shared" si="1567"/>
        <v>1</v>
      </c>
      <c r="R4540" s="76">
        <f t="shared" si="1568"/>
        <v>0</v>
      </c>
    </row>
    <row r="4541" spans="1:18" x14ac:dyDescent="0.25">
      <c r="A4541" s="71">
        <v>29</v>
      </c>
      <c r="B4541" s="72">
        <f t="shared" si="1569"/>
        <v>46508</v>
      </c>
      <c r="C4541" s="73">
        <f t="shared" si="1554"/>
        <v>46538</v>
      </c>
      <c r="D4541" s="67">
        <f t="shared" si="1555"/>
        <v>31</v>
      </c>
      <c r="E4541" s="67">
        <f t="shared" si="1556"/>
        <v>5</v>
      </c>
      <c r="F4541" s="74">
        <f t="shared" si="1557"/>
        <v>46523.5</v>
      </c>
      <c r="G4541" s="67">
        <f t="shared" si="1558"/>
        <v>24328</v>
      </c>
      <c r="H4541" s="75">
        <f t="shared" si="1559"/>
        <v>1</v>
      </c>
      <c r="I4541" s="76">
        <f t="shared" si="1560"/>
        <v>1.1575200000000001</v>
      </c>
      <c r="J4541" s="76">
        <f t="shared" si="1561"/>
        <v>1.1575200000000001</v>
      </c>
      <c r="K4541" s="67">
        <f t="shared" si="1562"/>
        <v>0</v>
      </c>
      <c r="L4541" s="67">
        <f t="shared" si="1563"/>
        <v>0</v>
      </c>
      <c r="M4541" s="77">
        <f t="shared" si="1564"/>
        <v>0</v>
      </c>
      <c r="N4541" s="76">
        <f t="shared" si="1565"/>
        <v>1.1575200000000001</v>
      </c>
      <c r="P4541" s="76">
        <f t="shared" si="1566"/>
        <v>0</v>
      </c>
      <c r="Q4541" s="76">
        <f t="shared" si="1567"/>
        <v>1</v>
      </c>
      <c r="R4541" s="76">
        <f t="shared" si="1568"/>
        <v>0</v>
      </c>
    </row>
    <row r="4542" spans="1:18" x14ac:dyDescent="0.25">
      <c r="A4542" s="71">
        <v>30</v>
      </c>
      <c r="B4542" s="72">
        <f t="shared" si="1569"/>
        <v>46539</v>
      </c>
      <c r="C4542" s="73">
        <f t="shared" si="1554"/>
        <v>46568</v>
      </c>
      <c r="D4542" s="67">
        <f t="shared" si="1555"/>
        <v>30</v>
      </c>
      <c r="E4542" s="67">
        <f t="shared" si="1556"/>
        <v>6</v>
      </c>
      <c r="F4542" s="74">
        <f t="shared" si="1557"/>
        <v>46554</v>
      </c>
      <c r="G4542" s="67">
        <f t="shared" si="1558"/>
        <v>24329</v>
      </c>
      <c r="H4542" s="75">
        <f t="shared" si="1559"/>
        <v>1</v>
      </c>
      <c r="I4542" s="76">
        <f t="shared" si="1560"/>
        <v>1.1575200000000001</v>
      </c>
      <c r="J4542" s="76">
        <f t="shared" si="1561"/>
        <v>1.1575200000000001</v>
      </c>
      <c r="K4542" s="67">
        <f t="shared" si="1562"/>
        <v>0</v>
      </c>
      <c r="L4542" s="67">
        <f t="shared" si="1563"/>
        <v>0</v>
      </c>
      <c r="M4542" s="77">
        <f t="shared" si="1564"/>
        <v>0</v>
      </c>
      <c r="N4542" s="76">
        <f t="shared" si="1565"/>
        <v>1.1575200000000001</v>
      </c>
      <c r="P4542" s="76">
        <f t="shared" si="1566"/>
        <v>0</v>
      </c>
      <c r="Q4542" s="76">
        <f t="shared" si="1567"/>
        <v>1</v>
      </c>
      <c r="R4542" s="76">
        <f t="shared" si="1568"/>
        <v>0</v>
      </c>
    </row>
    <row r="4543" spans="1:18" x14ac:dyDescent="0.25">
      <c r="A4543" s="71">
        <v>31</v>
      </c>
      <c r="B4543" s="72">
        <f t="shared" si="1569"/>
        <v>46569</v>
      </c>
      <c r="C4543" s="73">
        <f t="shared" si="1554"/>
        <v>46599</v>
      </c>
      <c r="D4543" s="67">
        <f t="shared" si="1555"/>
        <v>31</v>
      </c>
      <c r="E4543" s="67">
        <f t="shared" si="1556"/>
        <v>7</v>
      </c>
      <c r="F4543" s="74">
        <f t="shared" si="1557"/>
        <v>46584.5</v>
      </c>
      <c r="G4543" s="67">
        <f t="shared" si="1558"/>
        <v>24330</v>
      </c>
      <c r="H4543" s="75">
        <f t="shared" si="1559"/>
        <v>1</v>
      </c>
      <c r="I4543" s="76">
        <f t="shared" si="1560"/>
        <v>1.1575200000000001</v>
      </c>
      <c r="J4543" s="76">
        <f t="shared" si="1561"/>
        <v>1.1575200000000001</v>
      </c>
      <c r="K4543" s="67">
        <f t="shared" si="1562"/>
        <v>0</v>
      </c>
      <c r="L4543" s="67">
        <f t="shared" si="1563"/>
        <v>0</v>
      </c>
      <c r="M4543" s="77">
        <f t="shared" si="1564"/>
        <v>0</v>
      </c>
      <c r="N4543" s="76">
        <f t="shared" si="1565"/>
        <v>1.1575200000000001</v>
      </c>
      <c r="P4543" s="76">
        <f t="shared" si="1566"/>
        <v>0</v>
      </c>
      <c r="Q4543" s="76">
        <f t="shared" si="1567"/>
        <v>0.91666666666666663</v>
      </c>
      <c r="R4543" s="76">
        <f t="shared" si="1568"/>
        <v>8.333333333333337E-2</v>
      </c>
    </row>
    <row r="4544" spans="1:18" x14ac:dyDescent="0.25">
      <c r="A4544" s="71">
        <v>32</v>
      </c>
      <c r="B4544" s="72">
        <f t="shared" si="1569"/>
        <v>46600</v>
      </c>
      <c r="C4544" s="73">
        <f t="shared" si="1554"/>
        <v>46630</v>
      </c>
      <c r="D4544" s="67">
        <f t="shared" si="1555"/>
        <v>31</v>
      </c>
      <c r="E4544" s="67">
        <f t="shared" si="1556"/>
        <v>8</v>
      </c>
      <c r="F4544" s="74">
        <f t="shared" si="1557"/>
        <v>46615.5</v>
      </c>
      <c r="G4544" s="67">
        <f t="shared" si="1558"/>
        <v>24331</v>
      </c>
      <c r="H4544" s="75">
        <f t="shared" si="1559"/>
        <v>1</v>
      </c>
      <c r="I4544" s="76">
        <f t="shared" si="1560"/>
        <v>1.1575200000000001</v>
      </c>
      <c r="J4544" s="76">
        <f t="shared" si="1561"/>
        <v>1.1575200000000001</v>
      </c>
      <c r="K4544" s="67">
        <f t="shared" si="1562"/>
        <v>0</v>
      </c>
      <c r="L4544" s="67">
        <f t="shared" si="1563"/>
        <v>0</v>
      </c>
      <c r="M4544" s="77">
        <f t="shared" si="1564"/>
        <v>0</v>
      </c>
      <c r="N4544" s="76">
        <f t="shared" si="1565"/>
        <v>1.1575200000000001</v>
      </c>
      <c r="P4544" s="76">
        <f t="shared" si="1566"/>
        <v>0</v>
      </c>
      <c r="Q4544" s="76">
        <f t="shared" si="1567"/>
        <v>0.75</v>
      </c>
      <c r="R4544" s="76">
        <f t="shared" si="1568"/>
        <v>0.25</v>
      </c>
    </row>
    <row r="4545" spans="1:18" x14ac:dyDescent="0.25">
      <c r="A4545" s="71">
        <v>33</v>
      </c>
      <c r="B4545" s="72">
        <f t="shared" si="1569"/>
        <v>46631</v>
      </c>
      <c r="C4545" s="73">
        <f t="shared" si="1554"/>
        <v>46660</v>
      </c>
      <c r="D4545" s="67">
        <f t="shared" si="1555"/>
        <v>30</v>
      </c>
      <c r="E4545" s="67">
        <f t="shared" si="1556"/>
        <v>9</v>
      </c>
      <c r="F4545" s="74">
        <f t="shared" si="1557"/>
        <v>46646</v>
      </c>
      <c r="G4545" s="67">
        <f t="shared" si="1558"/>
        <v>24332</v>
      </c>
      <c r="H4545" s="75">
        <f t="shared" si="1559"/>
        <v>1</v>
      </c>
      <c r="I4545" s="76">
        <f t="shared" si="1560"/>
        <v>1.1575200000000001</v>
      </c>
      <c r="J4545" s="76">
        <f t="shared" si="1561"/>
        <v>1.1575200000000001</v>
      </c>
      <c r="K4545" s="67">
        <f t="shared" si="1562"/>
        <v>0</v>
      </c>
      <c r="L4545" s="67">
        <f t="shared" si="1563"/>
        <v>0</v>
      </c>
      <c r="M4545" s="77">
        <f t="shared" si="1564"/>
        <v>0</v>
      </c>
      <c r="N4545" s="76">
        <f t="shared" si="1565"/>
        <v>1.1575200000000001</v>
      </c>
      <c r="P4545" s="76">
        <f t="shared" si="1566"/>
        <v>0</v>
      </c>
      <c r="Q4545" s="76">
        <f t="shared" si="1567"/>
        <v>0.58333333333333337</v>
      </c>
      <c r="R4545" s="76">
        <f t="shared" si="1568"/>
        <v>0.41666666666666663</v>
      </c>
    </row>
    <row r="4546" spans="1:18" x14ac:dyDescent="0.25">
      <c r="A4546" s="71">
        <v>34</v>
      </c>
      <c r="B4546" s="72">
        <f t="shared" si="1569"/>
        <v>46661</v>
      </c>
      <c r="C4546" s="73">
        <f t="shared" si="1554"/>
        <v>46691</v>
      </c>
      <c r="D4546" s="67">
        <f t="shared" si="1555"/>
        <v>31</v>
      </c>
      <c r="E4546" s="67">
        <f t="shared" si="1556"/>
        <v>10</v>
      </c>
      <c r="F4546" s="74">
        <f t="shared" si="1557"/>
        <v>46676.5</v>
      </c>
      <c r="G4546" s="67">
        <f t="shared" si="1558"/>
        <v>24333</v>
      </c>
      <c r="H4546" s="75">
        <f t="shared" si="1559"/>
        <v>1</v>
      </c>
      <c r="I4546" s="76">
        <f t="shared" si="1560"/>
        <v>1.1575200000000001</v>
      </c>
      <c r="J4546" s="76">
        <f t="shared" si="1561"/>
        <v>1.1575200000000001</v>
      </c>
      <c r="K4546" s="67">
        <f t="shared" si="1562"/>
        <v>0</v>
      </c>
      <c r="L4546" s="67">
        <f t="shared" si="1563"/>
        <v>0</v>
      </c>
      <c r="M4546" s="77">
        <f t="shared" si="1564"/>
        <v>0</v>
      </c>
      <c r="N4546" s="76">
        <f t="shared" si="1565"/>
        <v>1.1575200000000001</v>
      </c>
      <c r="P4546" s="76">
        <f t="shared" si="1566"/>
        <v>0</v>
      </c>
      <c r="Q4546" s="76">
        <f t="shared" si="1567"/>
        <v>0.41666666666666669</v>
      </c>
      <c r="R4546" s="76">
        <f t="shared" si="1568"/>
        <v>0.58333333333333326</v>
      </c>
    </row>
    <row r="4547" spans="1:18" x14ac:dyDescent="0.25">
      <c r="A4547" s="71">
        <v>35</v>
      </c>
      <c r="B4547" s="72">
        <f t="shared" si="1569"/>
        <v>46692</v>
      </c>
      <c r="C4547" s="73">
        <f t="shared" si="1554"/>
        <v>46721</v>
      </c>
      <c r="D4547" s="67">
        <f t="shared" si="1555"/>
        <v>30</v>
      </c>
      <c r="E4547" s="67">
        <f t="shared" si="1556"/>
        <v>11</v>
      </c>
      <c r="F4547" s="74">
        <f t="shared" si="1557"/>
        <v>46707</v>
      </c>
      <c r="G4547" s="67">
        <f t="shared" si="1558"/>
        <v>24334</v>
      </c>
      <c r="H4547" s="75">
        <f t="shared" si="1559"/>
        <v>1</v>
      </c>
      <c r="I4547" s="76">
        <f t="shared" si="1560"/>
        <v>1.1575200000000001</v>
      </c>
      <c r="J4547" s="76">
        <f t="shared" si="1561"/>
        <v>1.1575200000000001</v>
      </c>
      <c r="K4547" s="67">
        <f t="shared" si="1562"/>
        <v>0</v>
      </c>
      <c r="L4547" s="67">
        <f t="shared" si="1563"/>
        <v>0</v>
      </c>
      <c r="M4547" s="77">
        <f t="shared" si="1564"/>
        <v>0</v>
      </c>
      <c r="N4547" s="76">
        <f t="shared" si="1565"/>
        <v>1.1575200000000001</v>
      </c>
      <c r="P4547" s="76">
        <f t="shared" si="1566"/>
        <v>0</v>
      </c>
      <c r="Q4547" s="76">
        <f t="shared" si="1567"/>
        <v>0.25</v>
      </c>
      <c r="R4547" s="76">
        <f t="shared" si="1568"/>
        <v>0.75</v>
      </c>
    </row>
    <row r="4548" spans="1:18" x14ac:dyDescent="0.25">
      <c r="A4548" s="71">
        <v>36</v>
      </c>
      <c r="B4548" s="72">
        <f t="shared" si="1569"/>
        <v>46722</v>
      </c>
      <c r="C4548" s="73">
        <f t="shared" si="1554"/>
        <v>46752</v>
      </c>
      <c r="D4548" s="67">
        <f t="shared" si="1555"/>
        <v>31</v>
      </c>
      <c r="E4548" s="67">
        <f t="shared" si="1556"/>
        <v>12</v>
      </c>
      <c r="F4548" s="74">
        <f t="shared" si="1557"/>
        <v>46737.5</v>
      </c>
      <c r="G4548" s="67">
        <f t="shared" si="1558"/>
        <v>24335</v>
      </c>
      <c r="H4548" s="75">
        <f t="shared" si="1559"/>
        <v>1</v>
      </c>
      <c r="I4548" s="76">
        <f t="shared" si="1560"/>
        <v>1.1575200000000001</v>
      </c>
      <c r="J4548" s="76">
        <f t="shared" si="1561"/>
        <v>1.1575200000000001</v>
      </c>
      <c r="K4548" s="67">
        <f t="shared" si="1562"/>
        <v>0</v>
      </c>
      <c r="L4548" s="67">
        <f t="shared" si="1563"/>
        <v>0</v>
      </c>
      <c r="M4548" s="77">
        <f t="shared" si="1564"/>
        <v>0</v>
      </c>
      <c r="N4548" s="76">
        <f t="shared" si="1565"/>
        <v>1.1575200000000001</v>
      </c>
      <c r="P4548" s="76">
        <f t="shared" si="1566"/>
        <v>0</v>
      </c>
      <c r="Q4548" s="76">
        <f t="shared" si="1567"/>
        <v>8.3333333333333329E-2</v>
      </c>
      <c r="R4548" s="76">
        <f t="shared" si="1568"/>
        <v>0.91666666666666663</v>
      </c>
    </row>
    <row r="4549" spans="1:18" x14ac:dyDescent="0.25">
      <c r="A4549" s="71">
        <v>37</v>
      </c>
      <c r="B4549" s="72">
        <f t="shared" si="1569"/>
        <v>46753</v>
      </c>
      <c r="C4549" s="73">
        <f t="shared" si="1554"/>
        <v>46783</v>
      </c>
      <c r="D4549" s="67">
        <f t="shared" si="1555"/>
        <v>31</v>
      </c>
      <c r="E4549" s="67">
        <f t="shared" si="1556"/>
        <v>1</v>
      </c>
      <c r="F4549" s="74">
        <f t="shared" si="1557"/>
        <v>46768.5</v>
      </c>
      <c r="G4549" s="67">
        <f t="shared" si="1558"/>
        <v>24336</v>
      </c>
      <c r="H4549" s="75">
        <f t="shared" si="1559"/>
        <v>1</v>
      </c>
      <c r="I4549" s="76">
        <f t="shared" si="1560"/>
        <v>1.1575200000000001</v>
      </c>
      <c r="J4549" s="76">
        <f t="shared" si="1561"/>
        <v>1.1575200000000001</v>
      </c>
      <c r="K4549" s="67">
        <f t="shared" si="1562"/>
        <v>0</v>
      </c>
      <c r="L4549" s="67">
        <f t="shared" si="1563"/>
        <v>0</v>
      </c>
      <c r="M4549" s="77">
        <f t="shared" si="1564"/>
        <v>0</v>
      </c>
      <c r="N4549" s="76">
        <f t="shared" si="1565"/>
        <v>1.1575200000000001</v>
      </c>
      <c r="P4549" s="76">
        <f t="shared" si="1566"/>
        <v>0</v>
      </c>
      <c r="Q4549" s="76">
        <f t="shared" si="1567"/>
        <v>0</v>
      </c>
      <c r="R4549" s="76">
        <f t="shared" si="1568"/>
        <v>1</v>
      </c>
    </row>
    <row r="4550" spans="1:18" x14ac:dyDescent="0.25">
      <c r="A4550" s="71">
        <v>38</v>
      </c>
      <c r="B4550" s="72">
        <f t="shared" si="1569"/>
        <v>46784</v>
      </c>
      <c r="C4550" s="73">
        <f t="shared" si="1554"/>
        <v>46812</v>
      </c>
      <c r="D4550" s="67">
        <f t="shared" si="1555"/>
        <v>29</v>
      </c>
      <c r="E4550" s="67">
        <f t="shared" si="1556"/>
        <v>2</v>
      </c>
      <c r="F4550" s="74">
        <f t="shared" si="1557"/>
        <v>46798.5</v>
      </c>
      <c r="G4550" s="67">
        <f t="shared" si="1558"/>
        <v>24337</v>
      </c>
      <c r="H4550" s="75">
        <f t="shared" si="1559"/>
        <v>1</v>
      </c>
      <c r="I4550" s="76">
        <f t="shared" si="1560"/>
        <v>1.1575200000000001</v>
      </c>
      <c r="J4550" s="76">
        <f t="shared" si="1561"/>
        <v>1.1575200000000001</v>
      </c>
      <c r="K4550" s="67">
        <f t="shared" si="1562"/>
        <v>0</v>
      </c>
      <c r="L4550" s="67">
        <f t="shared" si="1563"/>
        <v>0</v>
      </c>
      <c r="M4550" s="77">
        <f t="shared" si="1564"/>
        <v>0</v>
      </c>
      <c r="N4550" s="76">
        <f t="shared" si="1565"/>
        <v>1.1575200000000001</v>
      </c>
      <c r="P4550" s="76">
        <f t="shared" si="1566"/>
        <v>0</v>
      </c>
      <c r="Q4550" s="76">
        <f t="shared" si="1567"/>
        <v>0</v>
      </c>
      <c r="R4550" s="76">
        <f t="shared" si="1568"/>
        <v>1</v>
      </c>
    </row>
    <row r="4551" spans="1:18" x14ac:dyDescent="0.25">
      <c r="A4551" s="71">
        <v>39</v>
      </c>
      <c r="B4551" s="72">
        <f t="shared" si="1569"/>
        <v>46813</v>
      </c>
      <c r="C4551" s="73">
        <f t="shared" si="1554"/>
        <v>46843</v>
      </c>
      <c r="D4551" s="67">
        <f t="shared" si="1555"/>
        <v>31</v>
      </c>
      <c r="E4551" s="67">
        <f t="shared" si="1556"/>
        <v>3</v>
      </c>
      <c r="F4551" s="74">
        <f t="shared" si="1557"/>
        <v>46828.5</v>
      </c>
      <c r="G4551" s="67">
        <f t="shared" si="1558"/>
        <v>24338</v>
      </c>
      <c r="H4551" s="75">
        <f t="shared" si="1559"/>
        <v>1</v>
      </c>
      <c r="I4551" s="76">
        <f t="shared" si="1560"/>
        <v>1.1575200000000001</v>
      </c>
      <c r="J4551" s="76">
        <f t="shared" si="1561"/>
        <v>1.1575200000000001</v>
      </c>
      <c r="K4551" s="67">
        <f t="shared" si="1562"/>
        <v>0</v>
      </c>
      <c r="L4551" s="67">
        <f t="shared" si="1563"/>
        <v>0</v>
      </c>
      <c r="M4551" s="77">
        <f t="shared" si="1564"/>
        <v>0</v>
      </c>
      <c r="N4551" s="76">
        <f t="shared" si="1565"/>
        <v>1.1575200000000001</v>
      </c>
      <c r="P4551" s="76">
        <f t="shared" si="1566"/>
        <v>0</v>
      </c>
      <c r="Q4551" s="76">
        <f t="shared" si="1567"/>
        <v>0</v>
      </c>
      <c r="R4551" s="76">
        <f t="shared" si="1568"/>
        <v>1</v>
      </c>
    </row>
    <row r="4552" spans="1:18" x14ac:dyDescent="0.25">
      <c r="A4552" s="71">
        <v>40</v>
      </c>
      <c r="B4552" s="72">
        <f t="shared" si="1569"/>
        <v>46844</v>
      </c>
      <c r="C4552" s="73">
        <f t="shared" si="1554"/>
        <v>46873</v>
      </c>
      <c r="D4552" s="67">
        <f t="shared" si="1555"/>
        <v>30</v>
      </c>
      <c r="E4552" s="67">
        <f t="shared" si="1556"/>
        <v>4</v>
      </c>
      <c r="F4552" s="74">
        <f t="shared" si="1557"/>
        <v>46859</v>
      </c>
      <c r="G4552" s="67">
        <f t="shared" si="1558"/>
        <v>24339</v>
      </c>
      <c r="H4552" s="75">
        <f t="shared" si="1559"/>
        <v>1</v>
      </c>
      <c r="I4552" s="76">
        <f t="shared" si="1560"/>
        <v>1.1575200000000001</v>
      </c>
      <c r="J4552" s="76">
        <f t="shared" si="1561"/>
        <v>1.1575200000000001</v>
      </c>
      <c r="K4552" s="67">
        <f t="shared" si="1562"/>
        <v>0</v>
      </c>
      <c r="L4552" s="67">
        <f t="shared" si="1563"/>
        <v>0</v>
      </c>
      <c r="M4552" s="77">
        <f t="shared" si="1564"/>
        <v>0</v>
      </c>
      <c r="N4552" s="76">
        <f t="shared" si="1565"/>
        <v>1.1575200000000001</v>
      </c>
      <c r="P4552" s="76">
        <f t="shared" si="1566"/>
        <v>0</v>
      </c>
      <c r="Q4552" s="76">
        <f t="shared" si="1567"/>
        <v>0</v>
      </c>
      <c r="R4552" s="76">
        <f t="shared" si="1568"/>
        <v>1</v>
      </c>
    </row>
    <row r="4553" spans="1:18" x14ac:dyDescent="0.25">
      <c r="A4553" s="71">
        <v>41</v>
      </c>
      <c r="B4553" s="72">
        <f t="shared" si="1569"/>
        <v>46874</v>
      </c>
      <c r="C4553" s="73">
        <f t="shared" si="1554"/>
        <v>46904</v>
      </c>
      <c r="D4553" s="67">
        <f t="shared" si="1555"/>
        <v>31</v>
      </c>
      <c r="E4553" s="67">
        <f t="shared" si="1556"/>
        <v>5</v>
      </c>
      <c r="F4553" s="74">
        <f t="shared" si="1557"/>
        <v>46889.5</v>
      </c>
      <c r="G4553" s="67">
        <f t="shared" si="1558"/>
        <v>24340</v>
      </c>
      <c r="H4553" s="75">
        <f t="shared" si="1559"/>
        <v>1</v>
      </c>
      <c r="I4553" s="76">
        <f t="shared" si="1560"/>
        <v>1.1575200000000001</v>
      </c>
      <c r="J4553" s="76">
        <f t="shared" si="1561"/>
        <v>1.1575200000000001</v>
      </c>
      <c r="K4553" s="67">
        <f t="shared" si="1562"/>
        <v>0</v>
      </c>
      <c r="L4553" s="67">
        <f t="shared" si="1563"/>
        <v>0</v>
      </c>
      <c r="M4553" s="77">
        <f t="shared" si="1564"/>
        <v>0</v>
      </c>
      <c r="N4553" s="76">
        <f t="shared" si="1565"/>
        <v>1.1575200000000001</v>
      </c>
      <c r="P4553" s="76">
        <f t="shared" si="1566"/>
        <v>0</v>
      </c>
      <c r="Q4553" s="76">
        <f t="shared" si="1567"/>
        <v>0</v>
      </c>
      <c r="R4553" s="76">
        <f t="shared" si="1568"/>
        <v>1</v>
      </c>
    </row>
    <row r="4554" spans="1:18" x14ac:dyDescent="0.25">
      <c r="A4554" s="71">
        <v>42</v>
      </c>
      <c r="B4554" s="72">
        <f t="shared" si="1569"/>
        <v>46905</v>
      </c>
      <c r="C4554" s="73">
        <f t="shared" si="1554"/>
        <v>46934</v>
      </c>
      <c r="D4554" s="67">
        <f t="shared" si="1555"/>
        <v>30</v>
      </c>
      <c r="E4554" s="67">
        <f t="shared" si="1556"/>
        <v>6</v>
      </c>
      <c r="F4554" s="74">
        <f t="shared" si="1557"/>
        <v>46920</v>
      </c>
      <c r="G4554" s="67">
        <f t="shared" si="1558"/>
        <v>24341</v>
      </c>
      <c r="H4554" s="75">
        <f t="shared" si="1559"/>
        <v>1</v>
      </c>
      <c r="I4554" s="76">
        <f t="shared" si="1560"/>
        <v>1.1575200000000001</v>
      </c>
      <c r="J4554" s="76">
        <f t="shared" si="1561"/>
        <v>1.1575200000000001</v>
      </c>
      <c r="K4554" s="67">
        <f t="shared" si="1562"/>
        <v>0</v>
      </c>
      <c r="L4554" s="67">
        <f t="shared" si="1563"/>
        <v>0</v>
      </c>
      <c r="M4554" s="77">
        <f t="shared" si="1564"/>
        <v>0</v>
      </c>
      <c r="N4554" s="76">
        <f t="shared" si="1565"/>
        <v>1.1575200000000001</v>
      </c>
      <c r="P4554" s="76">
        <f t="shared" si="1566"/>
        <v>0</v>
      </c>
      <c r="Q4554" s="76">
        <f t="shared" si="1567"/>
        <v>0</v>
      </c>
      <c r="R4554" s="76">
        <f t="shared" si="1568"/>
        <v>1</v>
      </c>
    </row>
    <row r="4555" spans="1:18" x14ac:dyDescent="0.25">
      <c r="A4555" s="71">
        <v>43</v>
      </c>
      <c r="B4555" s="72">
        <f t="shared" si="1569"/>
        <v>46935</v>
      </c>
      <c r="C4555" s="73">
        <f t="shared" si="1554"/>
        <v>46965</v>
      </c>
      <c r="D4555" s="67">
        <f t="shared" si="1555"/>
        <v>31</v>
      </c>
      <c r="E4555" s="67">
        <f t="shared" si="1556"/>
        <v>7</v>
      </c>
      <c r="F4555" s="74">
        <f t="shared" si="1557"/>
        <v>46950.5</v>
      </c>
      <c r="G4555" s="67">
        <f t="shared" si="1558"/>
        <v>24342</v>
      </c>
      <c r="H4555" s="75">
        <f t="shared" si="1559"/>
        <v>1</v>
      </c>
      <c r="I4555" s="76">
        <f t="shared" si="1560"/>
        <v>1.1575200000000001</v>
      </c>
      <c r="J4555" s="76">
        <f t="shared" si="1561"/>
        <v>1.1575200000000001</v>
      </c>
      <c r="K4555" s="67">
        <f t="shared" si="1562"/>
        <v>0</v>
      </c>
      <c r="L4555" s="67">
        <f t="shared" si="1563"/>
        <v>0</v>
      </c>
      <c r="M4555" s="77">
        <f t="shared" si="1564"/>
        <v>0</v>
      </c>
      <c r="N4555" s="76">
        <f t="shared" si="1565"/>
        <v>1.1575200000000001</v>
      </c>
      <c r="P4555" s="76">
        <f t="shared" si="1566"/>
        <v>0</v>
      </c>
      <c r="Q4555" s="76">
        <f t="shared" si="1567"/>
        <v>0</v>
      </c>
      <c r="R4555" s="76">
        <f t="shared" si="1568"/>
        <v>0.91666666666666663</v>
      </c>
    </row>
    <row r="4556" spans="1:18" x14ac:dyDescent="0.25">
      <c r="A4556" s="71">
        <v>44</v>
      </c>
      <c r="B4556" s="72">
        <f t="shared" si="1569"/>
        <v>46966</v>
      </c>
      <c r="C4556" s="73">
        <f t="shared" si="1554"/>
        <v>46996</v>
      </c>
      <c r="D4556" s="67">
        <f t="shared" si="1555"/>
        <v>31</v>
      </c>
      <c r="E4556" s="67">
        <f t="shared" si="1556"/>
        <v>8</v>
      </c>
      <c r="F4556" s="74">
        <f t="shared" si="1557"/>
        <v>46981.5</v>
      </c>
      <c r="G4556" s="67">
        <f t="shared" si="1558"/>
        <v>24343</v>
      </c>
      <c r="H4556" s="75">
        <f t="shared" si="1559"/>
        <v>1</v>
      </c>
      <c r="I4556" s="76">
        <f t="shared" si="1560"/>
        <v>1.1575200000000001</v>
      </c>
      <c r="J4556" s="76">
        <f t="shared" si="1561"/>
        <v>1.1575200000000001</v>
      </c>
      <c r="K4556" s="67">
        <f t="shared" si="1562"/>
        <v>0</v>
      </c>
      <c r="L4556" s="67">
        <f t="shared" si="1563"/>
        <v>0</v>
      </c>
      <c r="M4556" s="77">
        <f t="shared" si="1564"/>
        <v>0</v>
      </c>
      <c r="N4556" s="76">
        <f t="shared" si="1565"/>
        <v>1.1575200000000001</v>
      </c>
      <c r="P4556" s="76">
        <f t="shared" si="1566"/>
        <v>0</v>
      </c>
      <c r="Q4556" s="76">
        <f t="shared" si="1567"/>
        <v>0</v>
      </c>
      <c r="R4556" s="76">
        <f t="shared" si="1568"/>
        <v>0.75</v>
      </c>
    </row>
    <row r="4557" spans="1:18" x14ac:dyDescent="0.25">
      <c r="A4557" s="71">
        <v>45</v>
      </c>
      <c r="B4557" s="72">
        <f t="shared" si="1569"/>
        <v>46997</v>
      </c>
      <c r="C4557" s="73">
        <f t="shared" si="1554"/>
        <v>47026</v>
      </c>
      <c r="D4557" s="67">
        <f t="shared" si="1555"/>
        <v>30</v>
      </c>
      <c r="E4557" s="67">
        <f t="shared" si="1556"/>
        <v>9</v>
      </c>
      <c r="F4557" s="74">
        <f t="shared" si="1557"/>
        <v>47012</v>
      </c>
      <c r="G4557" s="67">
        <f t="shared" si="1558"/>
        <v>24344</v>
      </c>
      <c r="H4557" s="75">
        <f t="shared" si="1559"/>
        <v>1</v>
      </c>
      <c r="I4557" s="76">
        <f t="shared" si="1560"/>
        <v>1.1575200000000001</v>
      </c>
      <c r="J4557" s="76">
        <f t="shared" si="1561"/>
        <v>1.1575200000000001</v>
      </c>
      <c r="K4557" s="67">
        <f t="shared" si="1562"/>
        <v>0</v>
      </c>
      <c r="L4557" s="67">
        <f t="shared" si="1563"/>
        <v>0</v>
      </c>
      <c r="M4557" s="77">
        <f t="shared" si="1564"/>
        <v>0</v>
      </c>
      <c r="N4557" s="76">
        <f t="shared" si="1565"/>
        <v>1.1575200000000001</v>
      </c>
      <c r="P4557" s="76">
        <f t="shared" si="1566"/>
        <v>0</v>
      </c>
      <c r="Q4557" s="76">
        <f t="shared" si="1567"/>
        <v>0</v>
      </c>
      <c r="R4557" s="76">
        <f t="shared" si="1568"/>
        <v>0.58333333333333337</v>
      </c>
    </row>
    <row r="4558" spans="1:18" x14ac:dyDescent="0.25">
      <c r="A4558" s="71">
        <v>46</v>
      </c>
      <c r="B4558" s="72">
        <f t="shared" si="1569"/>
        <v>47027</v>
      </c>
      <c r="C4558" s="73">
        <f t="shared" si="1554"/>
        <v>47057</v>
      </c>
      <c r="D4558" s="67">
        <f t="shared" si="1555"/>
        <v>31</v>
      </c>
      <c r="E4558" s="67">
        <f t="shared" si="1556"/>
        <v>10</v>
      </c>
      <c r="F4558" s="74">
        <f t="shared" si="1557"/>
        <v>47042.5</v>
      </c>
      <c r="G4558" s="67">
        <f t="shared" si="1558"/>
        <v>24345</v>
      </c>
      <c r="H4558" s="75">
        <f t="shared" si="1559"/>
        <v>1</v>
      </c>
      <c r="I4558" s="76">
        <f t="shared" si="1560"/>
        <v>1.1575200000000001</v>
      </c>
      <c r="J4558" s="76">
        <f t="shared" si="1561"/>
        <v>1.1575200000000001</v>
      </c>
      <c r="K4558" s="67">
        <f t="shared" si="1562"/>
        <v>0</v>
      </c>
      <c r="L4558" s="67">
        <f t="shared" si="1563"/>
        <v>0</v>
      </c>
      <c r="M4558" s="77">
        <f t="shared" si="1564"/>
        <v>0</v>
      </c>
      <c r="N4558" s="76">
        <f t="shared" si="1565"/>
        <v>1.1575200000000001</v>
      </c>
      <c r="P4558" s="76">
        <f t="shared" si="1566"/>
        <v>0</v>
      </c>
      <c r="Q4558" s="76">
        <f t="shared" si="1567"/>
        <v>0</v>
      </c>
      <c r="R4558" s="76">
        <f t="shared" si="1568"/>
        <v>0.41666666666666669</v>
      </c>
    </row>
    <row r="4559" spans="1:18" x14ac:dyDescent="0.25">
      <c r="A4559" s="71">
        <v>47</v>
      </c>
      <c r="B4559" s="72">
        <f t="shared" si="1569"/>
        <v>47058</v>
      </c>
      <c r="C4559" s="73">
        <f t="shared" si="1554"/>
        <v>47087</v>
      </c>
      <c r="D4559" s="67">
        <f t="shared" si="1555"/>
        <v>30</v>
      </c>
      <c r="E4559" s="67">
        <f t="shared" si="1556"/>
        <v>11</v>
      </c>
      <c r="F4559" s="74">
        <f t="shared" si="1557"/>
        <v>47073</v>
      </c>
      <c r="G4559" s="67">
        <f t="shared" si="1558"/>
        <v>24346</v>
      </c>
      <c r="H4559" s="75">
        <f t="shared" si="1559"/>
        <v>1</v>
      </c>
      <c r="I4559" s="76">
        <f t="shared" si="1560"/>
        <v>1.1575200000000001</v>
      </c>
      <c r="J4559" s="76">
        <f t="shared" si="1561"/>
        <v>1.1575200000000001</v>
      </c>
      <c r="K4559" s="67">
        <f t="shared" si="1562"/>
        <v>0</v>
      </c>
      <c r="L4559" s="67">
        <f t="shared" si="1563"/>
        <v>0</v>
      </c>
      <c r="M4559" s="77">
        <f t="shared" si="1564"/>
        <v>0</v>
      </c>
      <c r="N4559" s="76">
        <f t="shared" si="1565"/>
        <v>1.1575200000000001</v>
      </c>
      <c r="P4559" s="76">
        <f t="shared" si="1566"/>
        <v>0</v>
      </c>
      <c r="Q4559" s="76">
        <f t="shared" si="1567"/>
        <v>0</v>
      </c>
      <c r="R4559" s="76">
        <f t="shared" si="1568"/>
        <v>0.25</v>
      </c>
    </row>
    <row r="4560" spans="1:18" x14ac:dyDescent="0.25">
      <c r="A4560" s="71">
        <v>48</v>
      </c>
      <c r="B4560" s="72">
        <f t="shared" si="1569"/>
        <v>47088</v>
      </c>
      <c r="C4560" s="73">
        <f t="shared" si="1554"/>
        <v>47118</v>
      </c>
      <c r="D4560" s="67">
        <f t="shared" si="1555"/>
        <v>31</v>
      </c>
      <c r="E4560" s="67">
        <f t="shared" si="1556"/>
        <v>12</v>
      </c>
      <c r="F4560" s="74">
        <f t="shared" si="1557"/>
        <v>47103.5</v>
      </c>
      <c r="G4560" s="67">
        <f t="shared" si="1558"/>
        <v>24347</v>
      </c>
      <c r="H4560" s="75">
        <f t="shared" si="1559"/>
        <v>1</v>
      </c>
      <c r="I4560" s="76">
        <f t="shared" si="1560"/>
        <v>1.1575200000000001</v>
      </c>
      <c r="J4560" s="76">
        <f t="shared" si="1561"/>
        <v>1.1575200000000001</v>
      </c>
      <c r="K4560" s="67">
        <f t="shared" si="1562"/>
        <v>0</v>
      </c>
      <c r="L4560" s="67">
        <f t="shared" si="1563"/>
        <v>0</v>
      </c>
      <c r="M4560" s="77">
        <f t="shared" si="1564"/>
        <v>0</v>
      </c>
      <c r="N4560" s="76">
        <f t="shared" si="1565"/>
        <v>1.1575200000000001</v>
      </c>
      <c r="P4560" s="76">
        <f t="shared" si="1566"/>
        <v>0</v>
      </c>
      <c r="Q4560" s="76">
        <f t="shared" si="1567"/>
        <v>0</v>
      </c>
      <c r="R4560" s="76">
        <f t="shared" si="1568"/>
        <v>8.3333333333333329E-2</v>
      </c>
    </row>
    <row r="4561" spans="1:21" x14ac:dyDescent="0.25">
      <c r="B4561" s="53">
        <f>SUMPRODUCT($H$4513:$H$4560,$Q$4513:$Q$4560,$N$4513:$N$4560)/SUMPRODUCT($H$4513:$H$4560,$Q$4513:$Q$4560)</f>
        <v>1.1299600000000001</v>
      </c>
    </row>
    <row r="4564" spans="1:21" x14ac:dyDescent="0.25">
      <c r="A4564" s="188" t="s">
        <v>1244</v>
      </c>
    </row>
    <row r="4566" spans="1:21" ht="36" x14ac:dyDescent="0.25">
      <c r="A4566" s="50" t="s">
        <v>211</v>
      </c>
      <c r="B4566" s="50" t="s">
        <v>212</v>
      </c>
      <c r="C4566" s="50" t="s">
        <v>213</v>
      </c>
      <c r="D4566" s="50" t="s">
        <v>214</v>
      </c>
      <c r="E4566" s="50" t="s">
        <v>215</v>
      </c>
      <c r="F4566" s="50" t="s">
        <v>216</v>
      </c>
      <c r="G4566" s="50" t="s">
        <v>217</v>
      </c>
      <c r="H4566" s="50" t="s">
        <v>218</v>
      </c>
      <c r="I4566" s="50" t="s">
        <v>219</v>
      </c>
      <c r="J4566" s="50" t="s">
        <v>220</v>
      </c>
      <c r="K4566" s="50" t="s">
        <v>221</v>
      </c>
      <c r="L4566" s="50" t="s">
        <v>222</v>
      </c>
      <c r="M4566" s="50" t="s">
        <v>223</v>
      </c>
      <c r="N4566" s="50" t="s">
        <v>224</v>
      </c>
      <c r="O4566" s="50" t="s">
        <v>225</v>
      </c>
      <c r="P4566" s="50" t="s">
        <v>226</v>
      </c>
      <c r="Q4566" s="50" t="s">
        <v>227</v>
      </c>
      <c r="R4566" s="50" t="s">
        <v>228</v>
      </c>
      <c r="S4566" s="50" t="s">
        <v>229</v>
      </c>
      <c r="T4566" s="50" t="s">
        <v>230</v>
      </c>
      <c r="U4566" s="50" t="s">
        <v>231</v>
      </c>
    </row>
    <row r="4567" spans="1:21" x14ac:dyDescent="0.25">
      <c r="A4567" s="71">
        <v>1</v>
      </c>
      <c r="B4567" s="72">
        <f>DATE(nr_PlanYear-2,1,1)</f>
        <v>45658</v>
      </c>
      <c r="C4567" s="73">
        <f t="shared" ref="C4567:C4614" si="1570">EOMONTH($B4567,0)</f>
        <v>45688</v>
      </c>
      <c r="D4567" s="67">
        <f t="shared" ref="D4567:D4614" si="1571">$C4567-$B4567+1</f>
        <v>31</v>
      </c>
      <c r="E4567" s="67">
        <f t="shared" ref="E4567:E4614" si="1572">MONTH($B4567)</f>
        <v>1</v>
      </c>
      <c r="F4567" s="74">
        <f t="shared" ref="F4567:F4614" si="1573">($B4567+$C4567+1)/2</f>
        <v>45673.5</v>
      </c>
      <c r="G4567" s="67">
        <f t="shared" ref="G4567:G4614" si="1574">YEAR($B4567)*12+MONTH($B4567)-1</f>
        <v>24300</v>
      </c>
      <c r="H4567" s="75">
        <f t="shared" ref="H4567:H4614" si="1575">IF(OR(nr_SeasonOn="OFF",re_srow=0,re_ssum=0),1,12*INDEX(se_block,re_srow,$E4567)/re_ssum)</f>
        <v>1</v>
      </c>
      <c r="I4567" s="76">
        <f t="shared" ref="I4567:I4614" si="1576">EXP(SUMPRODUCT(($D$4268:$D$4507&lt;$B4567)*(rl_key=nr_SelKey)*$C$4268:$C$4507))</f>
        <v>1</v>
      </c>
      <c r="J4567" s="76">
        <f t="shared" ref="J4567:J4614" si="1577">EXP(SUMPRODUCT(($D$4268:$D$4507&lt;=$C4567)*(rl_key=nr_SelKey)*$C$4268:$C$4507))</f>
        <v>1</v>
      </c>
      <c r="K4567" s="67">
        <f t="shared" ref="K4567:K4614" si="1578">COUNTIFS(rl_key,nr_SelKey,$D$4268:$D$4507,"&gt;="&amp;$B4567,$D$4268:$D$4507,"&lt;="&amp;$C4567)</f>
        <v>0</v>
      </c>
      <c r="L4567" s="67">
        <f t="shared" ref="L4567:L4614" si="1579">SUMIFS($F$4268:$F$4507,rl_key,nr_SelKey,$E$4268:$E$4507,$B4567,$I$4268:$I$4507,1)</f>
        <v>0</v>
      </c>
      <c r="M4567" s="77">
        <f t="shared" ref="M4567:M4614" si="1580">IF($K4567=0,0,MIN(1,$L4567/$D4567))</f>
        <v>0</v>
      </c>
      <c r="N4567" s="76">
        <f t="shared" ref="N4567:N4614" si="1581">IF($K4567=0,$J4567,(1-$M4567)*$I4567+$M4567*$J4567)</f>
        <v>1</v>
      </c>
      <c r="P4567" s="76">
        <f t="shared" ref="P4567:P4614" si="1582">MIN(1,MAX(0,(nr_MEndPm1-$G4567+0.5)/nr_TermMonths))-MIN(1,MAX(0,(nr_MStartPm1-1-$G4567+0.5)/nr_TermMonths))</f>
        <v>0</v>
      </c>
      <c r="Q4567" s="76">
        <f t="shared" ref="Q4567:Q4614" si="1583">MIN(1,MAX(0,(nr_MEndP-$G4567+0.5)/nr_TermMonths))-MIN(1,MAX(0,(nr_MStartP-1-$G4567+0.5)/nr_TermMonths))</f>
        <v>0</v>
      </c>
      <c r="R4567" s="76">
        <f t="shared" ref="R4567:R4614" si="1584">MIN(1,MAX(0,(nr_MEndP1-$G4567+0.5)/nr_TermMonths))-MIN(1,MAX(0,(nr_MStartP1-1-$G4567+0.5)/nr_TermMonths))</f>
        <v>0</v>
      </c>
    </row>
    <row r="4568" spans="1:21" x14ac:dyDescent="0.25">
      <c r="A4568" s="71">
        <v>2</v>
      </c>
      <c r="B4568" s="72">
        <f t="shared" ref="B4568:B4614" si="1585">EDATE($B4567,1)</f>
        <v>45689</v>
      </c>
      <c r="C4568" s="73">
        <f t="shared" si="1570"/>
        <v>45716</v>
      </c>
      <c r="D4568" s="67">
        <f t="shared" si="1571"/>
        <v>28</v>
      </c>
      <c r="E4568" s="67">
        <f t="shared" si="1572"/>
        <v>2</v>
      </c>
      <c r="F4568" s="74">
        <f t="shared" si="1573"/>
        <v>45703</v>
      </c>
      <c r="G4568" s="67">
        <f t="shared" si="1574"/>
        <v>24301</v>
      </c>
      <c r="H4568" s="75">
        <f t="shared" si="1575"/>
        <v>1</v>
      </c>
      <c r="I4568" s="76">
        <f t="shared" si="1576"/>
        <v>1</v>
      </c>
      <c r="J4568" s="76">
        <f t="shared" si="1577"/>
        <v>1</v>
      </c>
      <c r="K4568" s="67">
        <f t="shared" si="1578"/>
        <v>0</v>
      </c>
      <c r="L4568" s="67">
        <f t="shared" si="1579"/>
        <v>0</v>
      </c>
      <c r="M4568" s="77">
        <f t="shared" si="1580"/>
        <v>0</v>
      </c>
      <c r="N4568" s="76">
        <f t="shared" si="1581"/>
        <v>1</v>
      </c>
      <c r="P4568" s="76">
        <f t="shared" si="1582"/>
        <v>0</v>
      </c>
      <c r="Q4568" s="76">
        <f t="shared" si="1583"/>
        <v>0</v>
      </c>
      <c r="R4568" s="76">
        <f t="shared" si="1584"/>
        <v>0</v>
      </c>
    </row>
    <row r="4569" spans="1:21" x14ac:dyDescent="0.25">
      <c r="A4569" s="71">
        <v>3</v>
      </c>
      <c r="B4569" s="72">
        <f t="shared" si="1585"/>
        <v>45717</v>
      </c>
      <c r="C4569" s="73">
        <f t="shared" si="1570"/>
        <v>45747</v>
      </c>
      <c r="D4569" s="67">
        <f t="shared" si="1571"/>
        <v>31</v>
      </c>
      <c r="E4569" s="67">
        <f t="shared" si="1572"/>
        <v>3</v>
      </c>
      <c r="F4569" s="74">
        <f t="shared" si="1573"/>
        <v>45732.5</v>
      </c>
      <c r="G4569" s="67">
        <f t="shared" si="1574"/>
        <v>24302</v>
      </c>
      <c r="H4569" s="75">
        <f t="shared" si="1575"/>
        <v>1</v>
      </c>
      <c r="I4569" s="76">
        <f t="shared" si="1576"/>
        <v>1</v>
      </c>
      <c r="J4569" s="76">
        <f t="shared" si="1577"/>
        <v>1</v>
      </c>
      <c r="K4569" s="67">
        <f t="shared" si="1578"/>
        <v>0</v>
      </c>
      <c r="L4569" s="67">
        <f t="shared" si="1579"/>
        <v>0</v>
      </c>
      <c r="M4569" s="77">
        <f t="shared" si="1580"/>
        <v>0</v>
      </c>
      <c r="N4569" s="76">
        <f t="shared" si="1581"/>
        <v>1</v>
      </c>
      <c r="P4569" s="76">
        <f t="shared" si="1582"/>
        <v>0</v>
      </c>
      <c r="Q4569" s="76">
        <f t="shared" si="1583"/>
        <v>0</v>
      </c>
      <c r="R4569" s="76">
        <f t="shared" si="1584"/>
        <v>0</v>
      </c>
    </row>
    <row r="4570" spans="1:21" x14ac:dyDescent="0.25">
      <c r="A4570" s="71">
        <v>4</v>
      </c>
      <c r="B4570" s="72">
        <f t="shared" si="1585"/>
        <v>45748</v>
      </c>
      <c r="C4570" s="73">
        <f t="shared" si="1570"/>
        <v>45777</v>
      </c>
      <c r="D4570" s="67">
        <f t="shared" si="1571"/>
        <v>30</v>
      </c>
      <c r="E4570" s="67">
        <f t="shared" si="1572"/>
        <v>4</v>
      </c>
      <c r="F4570" s="74">
        <f t="shared" si="1573"/>
        <v>45763</v>
      </c>
      <c r="G4570" s="67">
        <f t="shared" si="1574"/>
        <v>24303</v>
      </c>
      <c r="H4570" s="75">
        <f t="shared" si="1575"/>
        <v>1</v>
      </c>
      <c r="I4570" s="76">
        <f t="shared" si="1576"/>
        <v>1</v>
      </c>
      <c r="J4570" s="76">
        <f t="shared" si="1577"/>
        <v>1</v>
      </c>
      <c r="K4570" s="67">
        <f t="shared" si="1578"/>
        <v>0</v>
      </c>
      <c r="L4570" s="67">
        <f t="shared" si="1579"/>
        <v>0</v>
      </c>
      <c r="M4570" s="77">
        <f t="shared" si="1580"/>
        <v>0</v>
      </c>
      <c r="N4570" s="76">
        <f t="shared" si="1581"/>
        <v>1</v>
      </c>
      <c r="P4570" s="76">
        <f t="shared" si="1582"/>
        <v>0</v>
      </c>
      <c r="Q4570" s="76">
        <f t="shared" si="1583"/>
        <v>0</v>
      </c>
      <c r="R4570" s="76">
        <f t="shared" si="1584"/>
        <v>0</v>
      </c>
    </row>
    <row r="4571" spans="1:21" x14ac:dyDescent="0.25">
      <c r="A4571" s="71">
        <v>5</v>
      </c>
      <c r="B4571" s="72">
        <f t="shared" si="1585"/>
        <v>45778</v>
      </c>
      <c r="C4571" s="73">
        <f t="shared" si="1570"/>
        <v>45808</v>
      </c>
      <c r="D4571" s="67">
        <f t="shared" si="1571"/>
        <v>31</v>
      </c>
      <c r="E4571" s="67">
        <f t="shared" si="1572"/>
        <v>5</v>
      </c>
      <c r="F4571" s="74">
        <f t="shared" si="1573"/>
        <v>45793.5</v>
      </c>
      <c r="G4571" s="67">
        <f t="shared" si="1574"/>
        <v>24304</v>
      </c>
      <c r="H4571" s="75">
        <f t="shared" si="1575"/>
        <v>1</v>
      </c>
      <c r="I4571" s="76">
        <f t="shared" si="1576"/>
        <v>1</v>
      </c>
      <c r="J4571" s="76">
        <f t="shared" si="1577"/>
        <v>1</v>
      </c>
      <c r="K4571" s="67">
        <f t="shared" si="1578"/>
        <v>0</v>
      </c>
      <c r="L4571" s="67">
        <f t="shared" si="1579"/>
        <v>0</v>
      </c>
      <c r="M4571" s="77">
        <f t="shared" si="1580"/>
        <v>0</v>
      </c>
      <c r="N4571" s="76">
        <f t="shared" si="1581"/>
        <v>1</v>
      </c>
      <c r="P4571" s="76">
        <f t="shared" si="1582"/>
        <v>0</v>
      </c>
      <c r="Q4571" s="76">
        <f t="shared" si="1583"/>
        <v>0</v>
      </c>
      <c r="R4571" s="76">
        <f t="shared" si="1584"/>
        <v>0</v>
      </c>
    </row>
    <row r="4572" spans="1:21" x14ac:dyDescent="0.25">
      <c r="A4572" s="71">
        <v>6</v>
      </c>
      <c r="B4572" s="72">
        <f t="shared" si="1585"/>
        <v>45809</v>
      </c>
      <c r="C4572" s="73">
        <f t="shared" si="1570"/>
        <v>45838</v>
      </c>
      <c r="D4572" s="67">
        <f t="shared" si="1571"/>
        <v>30</v>
      </c>
      <c r="E4572" s="67">
        <f t="shared" si="1572"/>
        <v>6</v>
      </c>
      <c r="F4572" s="74">
        <f t="shared" si="1573"/>
        <v>45824</v>
      </c>
      <c r="G4572" s="67">
        <f t="shared" si="1574"/>
        <v>24305</v>
      </c>
      <c r="H4572" s="75">
        <f t="shared" si="1575"/>
        <v>1</v>
      </c>
      <c r="I4572" s="76">
        <f t="shared" si="1576"/>
        <v>1</v>
      </c>
      <c r="J4572" s="76">
        <f t="shared" si="1577"/>
        <v>1</v>
      </c>
      <c r="K4572" s="67">
        <f t="shared" si="1578"/>
        <v>0</v>
      </c>
      <c r="L4572" s="67">
        <f t="shared" si="1579"/>
        <v>0</v>
      </c>
      <c r="M4572" s="77">
        <f t="shared" si="1580"/>
        <v>0</v>
      </c>
      <c r="N4572" s="76">
        <f t="shared" si="1581"/>
        <v>1</v>
      </c>
      <c r="P4572" s="76">
        <f t="shared" si="1582"/>
        <v>0</v>
      </c>
      <c r="Q4572" s="76">
        <f t="shared" si="1583"/>
        <v>0</v>
      </c>
      <c r="R4572" s="76">
        <f t="shared" si="1584"/>
        <v>0</v>
      </c>
    </row>
    <row r="4573" spans="1:21" x14ac:dyDescent="0.25">
      <c r="A4573" s="71">
        <v>7</v>
      </c>
      <c r="B4573" s="72">
        <f t="shared" si="1585"/>
        <v>45839</v>
      </c>
      <c r="C4573" s="73">
        <f t="shared" si="1570"/>
        <v>45869</v>
      </c>
      <c r="D4573" s="67">
        <f t="shared" si="1571"/>
        <v>31</v>
      </c>
      <c r="E4573" s="67">
        <f t="shared" si="1572"/>
        <v>7</v>
      </c>
      <c r="F4573" s="74">
        <f t="shared" si="1573"/>
        <v>45854.5</v>
      </c>
      <c r="G4573" s="67">
        <f t="shared" si="1574"/>
        <v>24306</v>
      </c>
      <c r="H4573" s="75">
        <f t="shared" si="1575"/>
        <v>1</v>
      </c>
      <c r="I4573" s="76">
        <f t="shared" si="1576"/>
        <v>1</v>
      </c>
      <c r="J4573" s="76">
        <f t="shared" si="1577"/>
        <v>1.04</v>
      </c>
      <c r="K4573" s="67">
        <f t="shared" si="1578"/>
        <v>1</v>
      </c>
      <c r="L4573" s="67">
        <f t="shared" si="1579"/>
        <v>31</v>
      </c>
      <c r="M4573" s="77">
        <f t="shared" si="1580"/>
        <v>1</v>
      </c>
      <c r="N4573" s="76">
        <f t="shared" si="1581"/>
        <v>1.04</v>
      </c>
      <c r="P4573" s="76">
        <f t="shared" si="1582"/>
        <v>8.333333333333337E-2</v>
      </c>
      <c r="Q4573" s="76">
        <f t="shared" si="1583"/>
        <v>0</v>
      </c>
      <c r="R4573" s="76">
        <f t="shared" si="1584"/>
        <v>0</v>
      </c>
    </row>
    <row r="4574" spans="1:21" x14ac:dyDescent="0.25">
      <c r="A4574" s="71">
        <v>8</v>
      </c>
      <c r="B4574" s="72">
        <f t="shared" si="1585"/>
        <v>45870</v>
      </c>
      <c r="C4574" s="73">
        <f t="shared" si="1570"/>
        <v>45900</v>
      </c>
      <c r="D4574" s="67">
        <f t="shared" si="1571"/>
        <v>31</v>
      </c>
      <c r="E4574" s="67">
        <f t="shared" si="1572"/>
        <v>8</v>
      </c>
      <c r="F4574" s="74">
        <f t="shared" si="1573"/>
        <v>45885.5</v>
      </c>
      <c r="G4574" s="67">
        <f t="shared" si="1574"/>
        <v>24307</v>
      </c>
      <c r="H4574" s="75">
        <f t="shared" si="1575"/>
        <v>1</v>
      </c>
      <c r="I4574" s="76">
        <f t="shared" si="1576"/>
        <v>1.04</v>
      </c>
      <c r="J4574" s="76">
        <f t="shared" si="1577"/>
        <v>1.04</v>
      </c>
      <c r="K4574" s="67">
        <f t="shared" si="1578"/>
        <v>0</v>
      </c>
      <c r="L4574" s="67">
        <f t="shared" si="1579"/>
        <v>0</v>
      </c>
      <c r="M4574" s="77">
        <f t="shared" si="1580"/>
        <v>0</v>
      </c>
      <c r="N4574" s="76">
        <f t="shared" si="1581"/>
        <v>1.04</v>
      </c>
      <c r="P4574" s="76">
        <f t="shared" si="1582"/>
        <v>0.25</v>
      </c>
      <c r="Q4574" s="76">
        <f t="shared" si="1583"/>
        <v>0</v>
      </c>
      <c r="R4574" s="76">
        <f t="shared" si="1584"/>
        <v>0</v>
      </c>
    </row>
    <row r="4575" spans="1:21" x14ac:dyDescent="0.25">
      <c r="A4575" s="71">
        <v>9</v>
      </c>
      <c r="B4575" s="72">
        <f t="shared" si="1585"/>
        <v>45901</v>
      </c>
      <c r="C4575" s="73">
        <f t="shared" si="1570"/>
        <v>45930</v>
      </c>
      <c r="D4575" s="67">
        <f t="shared" si="1571"/>
        <v>30</v>
      </c>
      <c r="E4575" s="67">
        <f t="shared" si="1572"/>
        <v>9</v>
      </c>
      <c r="F4575" s="74">
        <f t="shared" si="1573"/>
        <v>45916</v>
      </c>
      <c r="G4575" s="67">
        <f t="shared" si="1574"/>
        <v>24308</v>
      </c>
      <c r="H4575" s="75">
        <f t="shared" si="1575"/>
        <v>1</v>
      </c>
      <c r="I4575" s="76">
        <f t="shared" si="1576"/>
        <v>1.04</v>
      </c>
      <c r="J4575" s="76">
        <f t="shared" si="1577"/>
        <v>1.04</v>
      </c>
      <c r="K4575" s="67">
        <f t="shared" si="1578"/>
        <v>0</v>
      </c>
      <c r="L4575" s="67">
        <f t="shared" si="1579"/>
        <v>0</v>
      </c>
      <c r="M4575" s="77">
        <f t="shared" si="1580"/>
        <v>0</v>
      </c>
      <c r="N4575" s="76">
        <f t="shared" si="1581"/>
        <v>1.04</v>
      </c>
      <c r="P4575" s="76">
        <f t="shared" si="1582"/>
        <v>0.41666666666666663</v>
      </c>
      <c r="Q4575" s="76">
        <f t="shared" si="1583"/>
        <v>0</v>
      </c>
      <c r="R4575" s="76">
        <f t="shared" si="1584"/>
        <v>0</v>
      </c>
    </row>
    <row r="4576" spans="1:21" x14ac:dyDescent="0.25">
      <c r="A4576" s="71">
        <v>10</v>
      </c>
      <c r="B4576" s="72">
        <f t="shared" si="1585"/>
        <v>45931</v>
      </c>
      <c r="C4576" s="73">
        <f t="shared" si="1570"/>
        <v>45961</v>
      </c>
      <c r="D4576" s="67">
        <f t="shared" si="1571"/>
        <v>31</v>
      </c>
      <c r="E4576" s="67">
        <f t="shared" si="1572"/>
        <v>10</v>
      </c>
      <c r="F4576" s="74">
        <f t="shared" si="1573"/>
        <v>45946.5</v>
      </c>
      <c r="G4576" s="67">
        <f t="shared" si="1574"/>
        <v>24309</v>
      </c>
      <c r="H4576" s="75">
        <f t="shared" si="1575"/>
        <v>1</v>
      </c>
      <c r="I4576" s="76">
        <f t="shared" si="1576"/>
        <v>1.04</v>
      </c>
      <c r="J4576" s="76">
        <f t="shared" si="1577"/>
        <v>1.04</v>
      </c>
      <c r="K4576" s="67">
        <f t="shared" si="1578"/>
        <v>0</v>
      </c>
      <c r="L4576" s="67">
        <f t="shared" si="1579"/>
        <v>0</v>
      </c>
      <c r="M4576" s="77">
        <f t="shared" si="1580"/>
        <v>0</v>
      </c>
      <c r="N4576" s="76">
        <f t="shared" si="1581"/>
        <v>1.04</v>
      </c>
      <c r="P4576" s="76">
        <f t="shared" si="1582"/>
        <v>0.58333333333333326</v>
      </c>
      <c r="Q4576" s="76">
        <f t="shared" si="1583"/>
        <v>0</v>
      </c>
      <c r="R4576" s="76">
        <f t="shared" si="1584"/>
        <v>0</v>
      </c>
    </row>
    <row r="4577" spans="1:18" x14ac:dyDescent="0.25">
      <c r="A4577" s="71">
        <v>11</v>
      </c>
      <c r="B4577" s="72">
        <f t="shared" si="1585"/>
        <v>45962</v>
      </c>
      <c r="C4577" s="73">
        <f t="shared" si="1570"/>
        <v>45991</v>
      </c>
      <c r="D4577" s="67">
        <f t="shared" si="1571"/>
        <v>30</v>
      </c>
      <c r="E4577" s="67">
        <f t="shared" si="1572"/>
        <v>11</v>
      </c>
      <c r="F4577" s="74">
        <f t="shared" si="1573"/>
        <v>45977</v>
      </c>
      <c r="G4577" s="67">
        <f t="shared" si="1574"/>
        <v>24310</v>
      </c>
      <c r="H4577" s="75">
        <f t="shared" si="1575"/>
        <v>1</v>
      </c>
      <c r="I4577" s="76">
        <f t="shared" si="1576"/>
        <v>1.04</v>
      </c>
      <c r="J4577" s="76">
        <f t="shared" si="1577"/>
        <v>1.04</v>
      </c>
      <c r="K4577" s="67">
        <f t="shared" si="1578"/>
        <v>0</v>
      </c>
      <c r="L4577" s="67">
        <f t="shared" si="1579"/>
        <v>0</v>
      </c>
      <c r="M4577" s="77">
        <f t="shared" si="1580"/>
        <v>0</v>
      </c>
      <c r="N4577" s="76">
        <f t="shared" si="1581"/>
        <v>1.04</v>
      </c>
      <c r="P4577" s="76">
        <f t="shared" si="1582"/>
        <v>0.75</v>
      </c>
      <c r="Q4577" s="76">
        <f t="shared" si="1583"/>
        <v>0</v>
      </c>
      <c r="R4577" s="76">
        <f t="shared" si="1584"/>
        <v>0</v>
      </c>
    </row>
    <row r="4578" spans="1:18" x14ac:dyDescent="0.25">
      <c r="A4578" s="71">
        <v>12</v>
      </c>
      <c r="B4578" s="72">
        <f t="shared" si="1585"/>
        <v>45992</v>
      </c>
      <c r="C4578" s="73">
        <f t="shared" si="1570"/>
        <v>46022</v>
      </c>
      <c r="D4578" s="67">
        <f t="shared" si="1571"/>
        <v>31</v>
      </c>
      <c r="E4578" s="67">
        <f t="shared" si="1572"/>
        <v>12</v>
      </c>
      <c r="F4578" s="74">
        <f t="shared" si="1573"/>
        <v>46007.5</v>
      </c>
      <c r="G4578" s="67">
        <f t="shared" si="1574"/>
        <v>24311</v>
      </c>
      <c r="H4578" s="75">
        <f t="shared" si="1575"/>
        <v>1</v>
      </c>
      <c r="I4578" s="76">
        <f t="shared" si="1576"/>
        <v>1.04</v>
      </c>
      <c r="J4578" s="76">
        <f t="shared" si="1577"/>
        <v>1.04</v>
      </c>
      <c r="K4578" s="67">
        <f t="shared" si="1578"/>
        <v>0</v>
      </c>
      <c r="L4578" s="67">
        <f t="shared" si="1579"/>
        <v>0</v>
      </c>
      <c r="M4578" s="77">
        <f t="shared" si="1580"/>
        <v>0</v>
      </c>
      <c r="N4578" s="76">
        <f t="shared" si="1581"/>
        <v>1.04</v>
      </c>
      <c r="P4578" s="76">
        <f t="shared" si="1582"/>
        <v>0.91666666666666663</v>
      </c>
      <c r="Q4578" s="76">
        <f t="shared" si="1583"/>
        <v>0</v>
      </c>
      <c r="R4578" s="76">
        <f t="shared" si="1584"/>
        <v>0</v>
      </c>
    </row>
    <row r="4579" spans="1:18" x14ac:dyDescent="0.25">
      <c r="A4579" s="71">
        <v>13</v>
      </c>
      <c r="B4579" s="72">
        <f t="shared" si="1585"/>
        <v>46023</v>
      </c>
      <c r="C4579" s="73">
        <f t="shared" si="1570"/>
        <v>46053</v>
      </c>
      <c r="D4579" s="67">
        <f t="shared" si="1571"/>
        <v>31</v>
      </c>
      <c r="E4579" s="67">
        <f t="shared" si="1572"/>
        <v>1</v>
      </c>
      <c r="F4579" s="74">
        <f t="shared" si="1573"/>
        <v>46038.5</v>
      </c>
      <c r="G4579" s="67">
        <f t="shared" si="1574"/>
        <v>24312</v>
      </c>
      <c r="H4579" s="75">
        <f t="shared" si="1575"/>
        <v>1</v>
      </c>
      <c r="I4579" s="76">
        <f t="shared" si="1576"/>
        <v>1.04</v>
      </c>
      <c r="J4579" s="76">
        <f t="shared" si="1577"/>
        <v>1.04</v>
      </c>
      <c r="K4579" s="67">
        <f t="shared" si="1578"/>
        <v>0</v>
      </c>
      <c r="L4579" s="67">
        <f t="shared" si="1579"/>
        <v>0</v>
      </c>
      <c r="M4579" s="77">
        <f t="shared" si="1580"/>
        <v>0</v>
      </c>
      <c r="N4579" s="76">
        <f t="shared" si="1581"/>
        <v>1.04</v>
      </c>
      <c r="P4579" s="76">
        <f t="shared" si="1582"/>
        <v>1</v>
      </c>
      <c r="Q4579" s="76">
        <f t="shared" si="1583"/>
        <v>0</v>
      </c>
      <c r="R4579" s="76">
        <f t="shared" si="1584"/>
        <v>0</v>
      </c>
    </row>
    <row r="4580" spans="1:18" x14ac:dyDescent="0.25">
      <c r="A4580" s="71">
        <v>14</v>
      </c>
      <c r="B4580" s="72">
        <f t="shared" si="1585"/>
        <v>46054</v>
      </c>
      <c r="C4580" s="73">
        <f t="shared" si="1570"/>
        <v>46081</v>
      </c>
      <c r="D4580" s="67">
        <f t="shared" si="1571"/>
        <v>28</v>
      </c>
      <c r="E4580" s="67">
        <f t="shared" si="1572"/>
        <v>2</v>
      </c>
      <c r="F4580" s="74">
        <f t="shared" si="1573"/>
        <v>46068</v>
      </c>
      <c r="G4580" s="67">
        <f t="shared" si="1574"/>
        <v>24313</v>
      </c>
      <c r="H4580" s="75">
        <f t="shared" si="1575"/>
        <v>1</v>
      </c>
      <c r="I4580" s="76">
        <f t="shared" si="1576"/>
        <v>1.04</v>
      </c>
      <c r="J4580" s="76">
        <f t="shared" si="1577"/>
        <v>1.04</v>
      </c>
      <c r="K4580" s="67">
        <f t="shared" si="1578"/>
        <v>0</v>
      </c>
      <c r="L4580" s="67">
        <f t="shared" si="1579"/>
        <v>0</v>
      </c>
      <c r="M4580" s="77">
        <f t="shared" si="1580"/>
        <v>0</v>
      </c>
      <c r="N4580" s="76">
        <f t="shared" si="1581"/>
        <v>1.04</v>
      </c>
      <c r="P4580" s="76">
        <f t="shared" si="1582"/>
        <v>1</v>
      </c>
      <c r="Q4580" s="76">
        <f t="shared" si="1583"/>
        <v>0</v>
      </c>
      <c r="R4580" s="76">
        <f t="shared" si="1584"/>
        <v>0</v>
      </c>
    </row>
    <row r="4581" spans="1:18" x14ac:dyDescent="0.25">
      <c r="A4581" s="71">
        <v>15</v>
      </c>
      <c r="B4581" s="72">
        <f t="shared" si="1585"/>
        <v>46082</v>
      </c>
      <c r="C4581" s="73">
        <f t="shared" si="1570"/>
        <v>46112</v>
      </c>
      <c r="D4581" s="67">
        <f t="shared" si="1571"/>
        <v>31</v>
      </c>
      <c r="E4581" s="67">
        <f t="shared" si="1572"/>
        <v>3</v>
      </c>
      <c r="F4581" s="74">
        <f t="shared" si="1573"/>
        <v>46097.5</v>
      </c>
      <c r="G4581" s="67">
        <f t="shared" si="1574"/>
        <v>24314</v>
      </c>
      <c r="H4581" s="75">
        <f t="shared" si="1575"/>
        <v>1</v>
      </c>
      <c r="I4581" s="76">
        <f t="shared" si="1576"/>
        <v>1.04</v>
      </c>
      <c r="J4581" s="76">
        <f t="shared" si="1577"/>
        <v>1.04</v>
      </c>
      <c r="K4581" s="67">
        <f t="shared" si="1578"/>
        <v>0</v>
      </c>
      <c r="L4581" s="67">
        <f t="shared" si="1579"/>
        <v>0</v>
      </c>
      <c r="M4581" s="77">
        <f t="shared" si="1580"/>
        <v>0</v>
      </c>
      <c r="N4581" s="76">
        <f t="shared" si="1581"/>
        <v>1.04</v>
      </c>
      <c r="P4581" s="76">
        <f t="shared" si="1582"/>
        <v>1</v>
      </c>
      <c r="Q4581" s="76">
        <f t="shared" si="1583"/>
        <v>0</v>
      </c>
      <c r="R4581" s="76">
        <f t="shared" si="1584"/>
        <v>0</v>
      </c>
    </row>
    <row r="4582" spans="1:18" x14ac:dyDescent="0.25">
      <c r="A4582" s="71">
        <v>16</v>
      </c>
      <c r="B4582" s="72">
        <f t="shared" si="1585"/>
        <v>46113</v>
      </c>
      <c r="C4582" s="73">
        <f t="shared" si="1570"/>
        <v>46142</v>
      </c>
      <c r="D4582" s="67">
        <f t="shared" si="1571"/>
        <v>30</v>
      </c>
      <c r="E4582" s="67">
        <f t="shared" si="1572"/>
        <v>4</v>
      </c>
      <c r="F4582" s="74">
        <f t="shared" si="1573"/>
        <v>46128</v>
      </c>
      <c r="G4582" s="67">
        <f t="shared" si="1574"/>
        <v>24315</v>
      </c>
      <c r="H4582" s="75">
        <f t="shared" si="1575"/>
        <v>1</v>
      </c>
      <c r="I4582" s="76">
        <f t="shared" si="1576"/>
        <v>1.04</v>
      </c>
      <c r="J4582" s="76">
        <f t="shared" si="1577"/>
        <v>1.04</v>
      </c>
      <c r="K4582" s="67">
        <f t="shared" si="1578"/>
        <v>0</v>
      </c>
      <c r="L4582" s="67">
        <f t="shared" si="1579"/>
        <v>0</v>
      </c>
      <c r="M4582" s="77">
        <f t="shared" si="1580"/>
        <v>0</v>
      </c>
      <c r="N4582" s="76">
        <f t="shared" si="1581"/>
        <v>1.04</v>
      </c>
      <c r="P4582" s="76">
        <f t="shared" si="1582"/>
        <v>1</v>
      </c>
      <c r="Q4582" s="76">
        <f t="shared" si="1583"/>
        <v>0</v>
      </c>
      <c r="R4582" s="76">
        <f t="shared" si="1584"/>
        <v>0</v>
      </c>
    </row>
    <row r="4583" spans="1:18" x14ac:dyDescent="0.25">
      <c r="A4583" s="71">
        <v>17</v>
      </c>
      <c r="B4583" s="72">
        <f t="shared" si="1585"/>
        <v>46143</v>
      </c>
      <c r="C4583" s="73">
        <f t="shared" si="1570"/>
        <v>46173</v>
      </c>
      <c r="D4583" s="67">
        <f t="shared" si="1571"/>
        <v>31</v>
      </c>
      <c r="E4583" s="67">
        <f t="shared" si="1572"/>
        <v>5</v>
      </c>
      <c r="F4583" s="74">
        <f t="shared" si="1573"/>
        <v>46158.5</v>
      </c>
      <c r="G4583" s="67">
        <f t="shared" si="1574"/>
        <v>24316</v>
      </c>
      <c r="H4583" s="75">
        <f t="shared" si="1575"/>
        <v>1</v>
      </c>
      <c r="I4583" s="76">
        <f t="shared" si="1576"/>
        <v>1.04</v>
      </c>
      <c r="J4583" s="76">
        <f t="shared" si="1577"/>
        <v>1.04</v>
      </c>
      <c r="K4583" s="67">
        <f t="shared" si="1578"/>
        <v>0</v>
      </c>
      <c r="L4583" s="67">
        <f t="shared" si="1579"/>
        <v>0</v>
      </c>
      <c r="M4583" s="77">
        <f t="shared" si="1580"/>
        <v>0</v>
      </c>
      <c r="N4583" s="76">
        <f t="shared" si="1581"/>
        <v>1.04</v>
      </c>
      <c r="P4583" s="76">
        <f t="shared" si="1582"/>
        <v>1</v>
      </c>
      <c r="Q4583" s="76">
        <f t="shared" si="1583"/>
        <v>0</v>
      </c>
      <c r="R4583" s="76">
        <f t="shared" si="1584"/>
        <v>0</v>
      </c>
    </row>
    <row r="4584" spans="1:18" x14ac:dyDescent="0.25">
      <c r="A4584" s="71">
        <v>18</v>
      </c>
      <c r="B4584" s="72">
        <f t="shared" si="1585"/>
        <v>46174</v>
      </c>
      <c r="C4584" s="73">
        <f t="shared" si="1570"/>
        <v>46203</v>
      </c>
      <c r="D4584" s="67">
        <f t="shared" si="1571"/>
        <v>30</v>
      </c>
      <c r="E4584" s="67">
        <f t="shared" si="1572"/>
        <v>6</v>
      </c>
      <c r="F4584" s="74">
        <f t="shared" si="1573"/>
        <v>46189</v>
      </c>
      <c r="G4584" s="67">
        <f t="shared" si="1574"/>
        <v>24317</v>
      </c>
      <c r="H4584" s="75">
        <f t="shared" si="1575"/>
        <v>1</v>
      </c>
      <c r="I4584" s="76">
        <f t="shared" si="1576"/>
        <v>1.04</v>
      </c>
      <c r="J4584" s="76">
        <f t="shared" si="1577"/>
        <v>1.04</v>
      </c>
      <c r="K4584" s="67">
        <f t="shared" si="1578"/>
        <v>0</v>
      </c>
      <c r="L4584" s="67">
        <f t="shared" si="1579"/>
        <v>0</v>
      </c>
      <c r="M4584" s="77">
        <f t="shared" si="1580"/>
        <v>0</v>
      </c>
      <c r="N4584" s="76">
        <f t="shared" si="1581"/>
        <v>1.04</v>
      </c>
      <c r="P4584" s="76">
        <f t="shared" si="1582"/>
        <v>1</v>
      </c>
      <c r="Q4584" s="76">
        <f t="shared" si="1583"/>
        <v>0</v>
      </c>
      <c r="R4584" s="76">
        <f t="shared" si="1584"/>
        <v>0</v>
      </c>
    </row>
    <row r="4585" spans="1:18" x14ac:dyDescent="0.25">
      <c r="A4585" s="71">
        <v>19</v>
      </c>
      <c r="B4585" s="72">
        <f t="shared" si="1585"/>
        <v>46204</v>
      </c>
      <c r="C4585" s="73">
        <f t="shared" si="1570"/>
        <v>46234</v>
      </c>
      <c r="D4585" s="67">
        <f t="shared" si="1571"/>
        <v>31</v>
      </c>
      <c r="E4585" s="67">
        <f t="shared" si="1572"/>
        <v>7</v>
      </c>
      <c r="F4585" s="74">
        <f t="shared" si="1573"/>
        <v>46219.5</v>
      </c>
      <c r="G4585" s="67">
        <f t="shared" si="1574"/>
        <v>24318</v>
      </c>
      <c r="H4585" s="75">
        <f t="shared" si="1575"/>
        <v>1</v>
      </c>
      <c r="I4585" s="76">
        <f t="shared" si="1576"/>
        <v>1.04</v>
      </c>
      <c r="J4585" s="76">
        <f t="shared" si="1577"/>
        <v>1.1024</v>
      </c>
      <c r="K4585" s="67">
        <f t="shared" si="1578"/>
        <v>1</v>
      </c>
      <c r="L4585" s="67">
        <f t="shared" si="1579"/>
        <v>31</v>
      </c>
      <c r="M4585" s="77">
        <f t="shared" si="1580"/>
        <v>1</v>
      </c>
      <c r="N4585" s="76">
        <f t="shared" si="1581"/>
        <v>1.1024</v>
      </c>
      <c r="P4585" s="76">
        <f t="shared" si="1582"/>
        <v>0.91666666666666663</v>
      </c>
      <c r="Q4585" s="76">
        <f t="shared" si="1583"/>
        <v>8.333333333333337E-2</v>
      </c>
      <c r="R4585" s="76">
        <f t="shared" si="1584"/>
        <v>0</v>
      </c>
    </row>
    <row r="4586" spans="1:18" x14ac:dyDescent="0.25">
      <c r="A4586" s="71">
        <v>20</v>
      </c>
      <c r="B4586" s="72">
        <f t="shared" si="1585"/>
        <v>46235</v>
      </c>
      <c r="C4586" s="73">
        <f t="shared" si="1570"/>
        <v>46265</v>
      </c>
      <c r="D4586" s="67">
        <f t="shared" si="1571"/>
        <v>31</v>
      </c>
      <c r="E4586" s="67">
        <f t="shared" si="1572"/>
        <v>8</v>
      </c>
      <c r="F4586" s="74">
        <f t="shared" si="1573"/>
        <v>46250.5</v>
      </c>
      <c r="G4586" s="67">
        <f t="shared" si="1574"/>
        <v>24319</v>
      </c>
      <c r="H4586" s="75">
        <f t="shared" si="1575"/>
        <v>1</v>
      </c>
      <c r="I4586" s="76">
        <f t="shared" si="1576"/>
        <v>1.1024</v>
      </c>
      <c r="J4586" s="76">
        <f t="shared" si="1577"/>
        <v>1.1024</v>
      </c>
      <c r="K4586" s="67">
        <f t="shared" si="1578"/>
        <v>0</v>
      </c>
      <c r="L4586" s="67">
        <f t="shared" si="1579"/>
        <v>0</v>
      </c>
      <c r="M4586" s="77">
        <f t="shared" si="1580"/>
        <v>0</v>
      </c>
      <c r="N4586" s="76">
        <f t="shared" si="1581"/>
        <v>1.1024</v>
      </c>
      <c r="P4586" s="76">
        <f t="shared" si="1582"/>
        <v>0.75</v>
      </c>
      <c r="Q4586" s="76">
        <f t="shared" si="1583"/>
        <v>0.25</v>
      </c>
      <c r="R4586" s="76">
        <f t="shared" si="1584"/>
        <v>0</v>
      </c>
    </row>
    <row r="4587" spans="1:18" x14ac:dyDescent="0.25">
      <c r="A4587" s="71">
        <v>21</v>
      </c>
      <c r="B4587" s="72">
        <f t="shared" si="1585"/>
        <v>46266</v>
      </c>
      <c r="C4587" s="73">
        <f t="shared" si="1570"/>
        <v>46295</v>
      </c>
      <c r="D4587" s="67">
        <f t="shared" si="1571"/>
        <v>30</v>
      </c>
      <c r="E4587" s="67">
        <f t="shared" si="1572"/>
        <v>9</v>
      </c>
      <c r="F4587" s="74">
        <f t="shared" si="1573"/>
        <v>46281</v>
      </c>
      <c r="G4587" s="67">
        <f t="shared" si="1574"/>
        <v>24320</v>
      </c>
      <c r="H4587" s="75">
        <f t="shared" si="1575"/>
        <v>1</v>
      </c>
      <c r="I4587" s="76">
        <f t="shared" si="1576"/>
        <v>1.1024</v>
      </c>
      <c r="J4587" s="76">
        <f t="shared" si="1577"/>
        <v>1.1024</v>
      </c>
      <c r="K4587" s="67">
        <f t="shared" si="1578"/>
        <v>0</v>
      </c>
      <c r="L4587" s="67">
        <f t="shared" si="1579"/>
        <v>0</v>
      </c>
      <c r="M4587" s="77">
        <f t="shared" si="1580"/>
        <v>0</v>
      </c>
      <c r="N4587" s="76">
        <f t="shared" si="1581"/>
        <v>1.1024</v>
      </c>
      <c r="P4587" s="76">
        <f t="shared" si="1582"/>
        <v>0.58333333333333337</v>
      </c>
      <c r="Q4587" s="76">
        <f t="shared" si="1583"/>
        <v>0.41666666666666663</v>
      </c>
      <c r="R4587" s="76">
        <f t="shared" si="1584"/>
        <v>0</v>
      </c>
    </row>
    <row r="4588" spans="1:18" x14ac:dyDescent="0.25">
      <c r="A4588" s="71">
        <v>22</v>
      </c>
      <c r="B4588" s="72">
        <f t="shared" si="1585"/>
        <v>46296</v>
      </c>
      <c r="C4588" s="73">
        <f t="shared" si="1570"/>
        <v>46326</v>
      </c>
      <c r="D4588" s="67">
        <f t="shared" si="1571"/>
        <v>31</v>
      </c>
      <c r="E4588" s="67">
        <f t="shared" si="1572"/>
        <v>10</v>
      </c>
      <c r="F4588" s="74">
        <f t="shared" si="1573"/>
        <v>46311.5</v>
      </c>
      <c r="G4588" s="67">
        <f t="shared" si="1574"/>
        <v>24321</v>
      </c>
      <c r="H4588" s="75">
        <f t="shared" si="1575"/>
        <v>1</v>
      </c>
      <c r="I4588" s="76">
        <f t="shared" si="1576"/>
        <v>1.1024</v>
      </c>
      <c r="J4588" s="76">
        <f t="shared" si="1577"/>
        <v>1.1024</v>
      </c>
      <c r="K4588" s="67">
        <f t="shared" si="1578"/>
        <v>0</v>
      </c>
      <c r="L4588" s="67">
        <f t="shared" si="1579"/>
        <v>0</v>
      </c>
      <c r="M4588" s="77">
        <f t="shared" si="1580"/>
        <v>0</v>
      </c>
      <c r="N4588" s="76">
        <f t="shared" si="1581"/>
        <v>1.1024</v>
      </c>
      <c r="P4588" s="76">
        <f t="shared" si="1582"/>
        <v>0.41666666666666669</v>
      </c>
      <c r="Q4588" s="76">
        <f t="shared" si="1583"/>
        <v>0.58333333333333326</v>
      </c>
      <c r="R4588" s="76">
        <f t="shared" si="1584"/>
        <v>0</v>
      </c>
    </row>
    <row r="4589" spans="1:18" x14ac:dyDescent="0.25">
      <c r="A4589" s="71">
        <v>23</v>
      </c>
      <c r="B4589" s="72">
        <f t="shared" si="1585"/>
        <v>46327</v>
      </c>
      <c r="C4589" s="73">
        <f t="shared" si="1570"/>
        <v>46356</v>
      </c>
      <c r="D4589" s="67">
        <f t="shared" si="1571"/>
        <v>30</v>
      </c>
      <c r="E4589" s="67">
        <f t="shared" si="1572"/>
        <v>11</v>
      </c>
      <c r="F4589" s="74">
        <f t="shared" si="1573"/>
        <v>46342</v>
      </c>
      <c r="G4589" s="67">
        <f t="shared" si="1574"/>
        <v>24322</v>
      </c>
      <c r="H4589" s="75">
        <f t="shared" si="1575"/>
        <v>1</v>
      </c>
      <c r="I4589" s="76">
        <f t="shared" si="1576"/>
        <v>1.1024</v>
      </c>
      <c r="J4589" s="76">
        <f t="shared" si="1577"/>
        <v>1.1024</v>
      </c>
      <c r="K4589" s="67">
        <f t="shared" si="1578"/>
        <v>0</v>
      </c>
      <c r="L4589" s="67">
        <f t="shared" si="1579"/>
        <v>0</v>
      </c>
      <c r="M4589" s="77">
        <f t="shared" si="1580"/>
        <v>0</v>
      </c>
      <c r="N4589" s="76">
        <f t="shared" si="1581"/>
        <v>1.1024</v>
      </c>
      <c r="P4589" s="76">
        <f t="shared" si="1582"/>
        <v>0.25</v>
      </c>
      <c r="Q4589" s="76">
        <f t="shared" si="1583"/>
        <v>0.75</v>
      </c>
      <c r="R4589" s="76">
        <f t="shared" si="1584"/>
        <v>0</v>
      </c>
    </row>
    <row r="4590" spans="1:18" x14ac:dyDescent="0.25">
      <c r="A4590" s="71">
        <v>24</v>
      </c>
      <c r="B4590" s="72">
        <f t="shared" si="1585"/>
        <v>46357</v>
      </c>
      <c r="C4590" s="73">
        <f t="shared" si="1570"/>
        <v>46387</v>
      </c>
      <c r="D4590" s="67">
        <f t="shared" si="1571"/>
        <v>31</v>
      </c>
      <c r="E4590" s="67">
        <f t="shared" si="1572"/>
        <v>12</v>
      </c>
      <c r="F4590" s="74">
        <f t="shared" si="1573"/>
        <v>46372.5</v>
      </c>
      <c r="G4590" s="67">
        <f t="shared" si="1574"/>
        <v>24323</v>
      </c>
      <c r="H4590" s="75">
        <f t="shared" si="1575"/>
        <v>1</v>
      </c>
      <c r="I4590" s="76">
        <f t="shared" si="1576"/>
        <v>1.1024</v>
      </c>
      <c r="J4590" s="76">
        <f t="shared" si="1577"/>
        <v>1.1024</v>
      </c>
      <c r="K4590" s="67">
        <f t="shared" si="1578"/>
        <v>0</v>
      </c>
      <c r="L4590" s="67">
        <f t="shared" si="1579"/>
        <v>0</v>
      </c>
      <c r="M4590" s="77">
        <f t="shared" si="1580"/>
        <v>0</v>
      </c>
      <c r="N4590" s="76">
        <f t="shared" si="1581"/>
        <v>1.1024</v>
      </c>
      <c r="P4590" s="76">
        <f t="shared" si="1582"/>
        <v>8.3333333333333329E-2</v>
      </c>
      <c r="Q4590" s="76">
        <f t="shared" si="1583"/>
        <v>0.91666666666666663</v>
      </c>
      <c r="R4590" s="76">
        <f t="shared" si="1584"/>
        <v>0</v>
      </c>
    </row>
    <row r="4591" spans="1:18" x14ac:dyDescent="0.25">
      <c r="A4591" s="71">
        <v>25</v>
      </c>
      <c r="B4591" s="72">
        <f t="shared" si="1585"/>
        <v>46388</v>
      </c>
      <c r="C4591" s="73">
        <f t="shared" si="1570"/>
        <v>46418</v>
      </c>
      <c r="D4591" s="67">
        <f t="shared" si="1571"/>
        <v>31</v>
      </c>
      <c r="E4591" s="67">
        <f t="shared" si="1572"/>
        <v>1</v>
      </c>
      <c r="F4591" s="74">
        <f t="shared" si="1573"/>
        <v>46403.5</v>
      </c>
      <c r="G4591" s="67">
        <f t="shared" si="1574"/>
        <v>24324</v>
      </c>
      <c r="H4591" s="75">
        <f t="shared" si="1575"/>
        <v>1</v>
      </c>
      <c r="I4591" s="76">
        <f t="shared" si="1576"/>
        <v>1.1024</v>
      </c>
      <c r="J4591" s="76">
        <f t="shared" si="1577"/>
        <v>1.1024</v>
      </c>
      <c r="K4591" s="67">
        <f t="shared" si="1578"/>
        <v>0</v>
      </c>
      <c r="L4591" s="67">
        <f t="shared" si="1579"/>
        <v>0</v>
      </c>
      <c r="M4591" s="77">
        <f t="shared" si="1580"/>
        <v>0</v>
      </c>
      <c r="N4591" s="76">
        <f t="shared" si="1581"/>
        <v>1.1024</v>
      </c>
      <c r="P4591" s="76">
        <f t="shared" si="1582"/>
        <v>0</v>
      </c>
      <c r="Q4591" s="76">
        <f t="shared" si="1583"/>
        <v>1</v>
      </c>
      <c r="R4591" s="76">
        <f t="shared" si="1584"/>
        <v>0</v>
      </c>
    </row>
    <row r="4592" spans="1:18" x14ac:dyDescent="0.25">
      <c r="A4592" s="71">
        <v>26</v>
      </c>
      <c r="B4592" s="72">
        <f t="shared" si="1585"/>
        <v>46419</v>
      </c>
      <c r="C4592" s="73">
        <f t="shared" si="1570"/>
        <v>46446</v>
      </c>
      <c r="D4592" s="67">
        <f t="shared" si="1571"/>
        <v>28</v>
      </c>
      <c r="E4592" s="67">
        <f t="shared" si="1572"/>
        <v>2</v>
      </c>
      <c r="F4592" s="74">
        <f t="shared" si="1573"/>
        <v>46433</v>
      </c>
      <c r="G4592" s="67">
        <f t="shared" si="1574"/>
        <v>24325</v>
      </c>
      <c r="H4592" s="75">
        <f t="shared" si="1575"/>
        <v>1</v>
      </c>
      <c r="I4592" s="76">
        <f t="shared" si="1576"/>
        <v>1.1024</v>
      </c>
      <c r="J4592" s="76">
        <f t="shared" si="1577"/>
        <v>1.1024</v>
      </c>
      <c r="K4592" s="67">
        <f t="shared" si="1578"/>
        <v>0</v>
      </c>
      <c r="L4592" s="67">
        <f t="shared" si="1579"/>
        <v>0</v>
      </c>
      <c r="M4592" s="77">
        <f t="shared" si="1580"/>
        <v>0</v>
      </c>
      <c r="N4592" s="76">
        <f t="shared" si="1581"/>
        <v>1.1024</v>
      </c>
      <c r="P4592" s="76">
        <f t="shared" si="1582"/>
        <v>0</v>
      </c>
      <c r="Q4592" s="76">
        <f t="shared" si="1583"/>
        <v>1</v>
      </c>
      <c r="R4592" s="76">
        <f t="shared" si="1584"/>
        <v>0</v>
      </c>
    </row>
    <row r="4593" spans="1:18" x14ac:dyDescent="0.25">
      <c r="A4593" s="71">
        <v>27</v>
      </c>
      <c r="B4593" s="72">
        <f t="shared" si="1585"/>
        <v>46447</v>
      </c>
      <c r="C4593" s="73">
        <f t="shared" si="1570"/>
        <v>46477</v>
      </c>
      <c r="D4593" s="67">
        <f t="shared" si="1571"/>
        <v>31</v>
      </c>
      <c r="E4593" s="67">
        <f t="shared" si="1572"/>
        <v>3</v>
      </c>
      <c r="F4593" s="74">
        <f t="shared" si="1573"/>
        <v>46462.5</v>
      </c>
      <c r="G4593" s="67">
        <f t="shared" si="1574"/>
        <v>24326</v>
      </c>
      <c r="H4593" s="75">
        <f t="shared" si="1575"/>
        <v>1</v>
      </c>
      <c r="I4593" s="76">
        <f t="shared" si="1576"/>
        <v>1.1024</v>
      </c>
      <c r="J4593" s="76">
        <f t="shared" si="1577"/>
        <v>1.1024</v>
      </c>
      <c r="K4593" s="67">
        <f t="shared" si="1578"/>
        <v>0</v>
      </c>
      <c r="L4593" s="67">
        <f t="shared" si="1579"/>
        <v>0</v>
      </c>
      <c r="M4593" s="77">
        <f t="shared" si="1580"/>
        <v>0</v>
      </c>
      <c r="N4593" s="76">
        <f t="shared" si="1581"/>
        <v>1.1024</v>
      </c>
      <c r="P4593" s="76">
        <f t="shared" si="1582"/>
        <v>0</v>
      </c>
      <c r="Q4593" s="76">
        <f t="shared" si="1583"/>
        <v>1</v>
      </c>
      <c r="R4593" s="76">
        <f t="shared" si="1584"/>
        <v>0</v>
      </c>
    </row>
    <row r="4594" spans="1:18" x14ac:dyDescent="0.25">
      <c r="A4594" s="71">
        <v>28</v>
      </c>
      <c r="B4594" s="72">
        <f t="shared" si="1585"/>
        <v>46478</v>
      </c>
      <c r="C4594" s="73">
        <f t="shared" si="1570"/>
        <v>46507</v>
      </c>
      <c r="D4594" s="67">
        <f t="shared" si="1571"/>
        <v>30</v>
      </c>
      <c r="E4594" s="67">
        <f t="shared" si="1572"/>
        <v>4</v>
      </c>
      <c r="F4594" s="74">
        <f t="shared" si="1573"/>
        <v>46493</v>
      </c>
      <c r="G4594" s="67">
        <f t="shared" si="1574"/>
        <v>24327</v>
      </c>
      <c r="H4594" s="75">
        <f t="shared" si="1575"/>
        <v>1</v>
      </c>
      <c r="I4594" s="76">
        <f t="shared" si="1576"/>
        <v>1.1024</v>
      </c>
      <c r="J4594" s="76">
        <f t="shared" si="1577"/>
        <v>1.1575200000000001</v>
      </c>
      <c r="K4594" s="67">
        <f t="shared" si="1578"/>
        <v>1</v>
      </c>
      <c r="L4594" s="67">
        <f t="shared" si="1579"/>
        <v>30</v>
      </c>
      <c r="M4594" s="77">
        <f t="shared" si="1580"/>
        <v>1</v>
      </c>
      <c r="N4594" s="76">
        <f t="shared" si="1581"/>
        <v>1.1575200000000001</v>
      </c>
      <c r="P4594" s="76">
        <f t="shared" si="1582"/>
        <v>0</v>
      </c>
      <c r="Q4594" s="76">
        <f t="shared" si="1583"/>
        <v>1</v>
      </c>
      <c r="R4594" s="76">
        <f t="shared" si="1584"/>
        <v>0</v>
      </c>
    </row>
    <row r="4595" spans="1:18" x14ac:dyDescent="0.25">
      <c r="A4595" s="71">
        <v>29</v>
      </c>
      <c r="B4595" s="72">
        <f t="shared" si="1585"/>
        <v>46508</v>
      </c>
      <c r="C4595" s="73">
        <f t="shared" si="1570"/>
        <v>46538</v>
      </c>
      <c r="D4595" s="67">
        <f t="shared" si="1571"/>
        <v>31</v>
      </c>
      <c r="E4595" s="67">
        <f t="shared" si="1572"/>
        <v>5</v>
      </c>
      <c r="F4595" s="74">
        <f t="shared" si="1573"/>
        <v>46523.5</v>
      </c>
      <c r="G4595" s="67">
        <f t="shared" si="1574"/>
        <v>24328</v>
      </c>
      <c r="H4595" s="75">
        <f t="shared" si="1575"/>
        <v>1</v>
      </c>
      <c r="I4595" s="76">
        <f t="shared" si="1576"/>
        <v>1.1575200000000001</v>
      </c>
      <c r="J4595" s="76">
        <f t="shared" si="1577"/>
        <v>1.1575200000000001</v>
      </c>
      <c r="K4595" s="67">
        <f t="shared" si="1578"/>
        <v>0</v>
      </c>
      <c r="L4595" s="67">
        <f t="shared" si="1579"/>
        <v>0</v>
      </c>
      <c r="M4595" s="77">
        <f t="shared" si="1580"/>
        <v>0</v>
      </c>
      <c r="N4595" s="76">
        <f t="shared" si="1581"/>
        <v>1.1575200000000001</v>
      </c>
      <c r="P4595" s="76">
        <f t="shared" si="1582"/>
        <v>0</v>
      </c>
      <c r="Q4595" s="76">
        <f t="shared" si="1583"/>
        <v>1</v>
      </c>
      <c r="R4595" s="76">
        <f t="shared" si="1584"/>
        <v>0</v>
      </c>
    </row>
    <row r="4596" spans="1:18" x14ac:dyDescent="0.25">
      <c r="A4596" s="71">
        <v>30</v>
      </c>
      <c r="B4596" s="72">
        <f t="shared" si="1585"/>
        <v>46539</v>
      </c>
      <c r="C4596" s="73">
        <f t="shared" si="1570"/>
        <v>46568</v>
      </c>
      <c r="D4596" s="67">
        <f t="shared" si="1571"/>
        <v>30</v>
      </c>
      <c r="E4596" s="67">
        <f t="shared" si="1572"/>
        <v>6</v>
      </c>
      <c r="F4596" s="74">
        <f t="shared" si="1573"/>
        <v>46554</v>
      </c>
      <c r="G4596" s="67">
        <f t="shared" si="1574"/>
        <v>24329</v>
      </c>
      <c r="H4596" s="75">
        <f t="shared" si="1575"/>
        <v>1</v>
      </c>
      <c r="I4596" s="76">
        <f t="shared" si="1576"/>
        <v>1.1575200000000001</v>
      </c>
      <c r="J4596" s="76">
        <f t="shared" si="1577"/>
        <v>1.1575200000000001</v>
      </c>
      <c r="K4596" s="67">
        <f t="shared" si="1578"/>
        <v>0</v>
      </c>
      <c r="L4596" s="67">
        <f t="shared" si="1579"/>
        <v>0</v>
      </c>
      <c r="M4596" s="77">
        <f t="shared" si="1580"/>
        <v>0</v>
      </c>
      <c r="N4596" s="76">
        <f t="shared" si="1581"/>
        <v>1.1575200000000001</v>
      </c>
      <c r="P4596" s="76">
        <f t="shared" si="1582"/>
        <v>0</v>
      </c>
      <c r="Q4596" s="76">
        <f t="shared" si="1583"/>
        <v>1</v>
      </c>
      <c r="R4596" s="76">
        <f t="shared" si="1584"/>
        <v>0</v>
      </c>
    </row>
    <row r="4597" spans="1:18" x14ac:dyDescent="0.25">
      <c r="A4597" s="71">
        <v>31</v>
      </c>
      <c r="B4597" s="72">
        <f t="shared" si="1585"/>
        <v>46569</v>
      </c>
      <c r="C4597" s="73">
        <f t="shared" si="1570"/>
        <v>46599</v>
      </c>
      <c r="D4597" s="67">
        <f t="shared" si="1571"/>
        <v>31</v>
      </c>
      <c r="E4597" s="67">
        <f t="shared" si="1572"/>
        <v>7</v>
      </c>
      <c r="F4597" s="74">
        <f t="shared" si="1573"/>
        <v>46584.5</v>
      </c>
      <c r="G4597" s="67">
        <f t="shared" si="1574"/>
        <v>24330</v>
      </c>
      <c r="H4597" s="75">
        <f t="shared" si="1575"/>
        <v>1</v>
      </c>
      <c r="I4597" s="76">
        <f t="shared" si="1576"/>
        <v>1.1575200000000001</v>
      </c>
      <c r="J4597" s="76">
        <f t="shared" si="1577"/>
        <v>1.1575200000000001</v>
      </c>
      <c r="K4597" s="67">
        <f t="shared" si="1578"/>
        <v>0</v>
      </c>
      <c r="L4597" s="67">
        <f t="shared" si="1579"/>
        <v>0</v>
      </c>
      <c r="M4597" s="77">
        <f t="shared" si="1580"/>
        <v>0</v>
      </c>
      <c r="N4597" s="76">
        <f t="shared" si="1581"/>
        <v>1.1575200000000001</v>
      </c>
      <c r="P4597" s="76">
        <f t="shared" si="1582"/>
        <v>0</v>
      </c>
      <c r="Q4597" s="76">
        <f t="shared" si="1583"/>
        <v>0.91666666666666663</v>
      </c>
      <c r="R4597" s="76">
        <f t="shared" si="1584"/>
        <v>8.333333333333337E-2</v>
      </c>
    </row>
    <row r="4598" spans="1:18" x14ac:dyDescent="0.25">
      <c r="A4598" s="71">
        <v>32</v>
      </c>
      <c r="B4598" s="72">
        <f t="shared" si="1585"/>
        <v>46600</v>
      </c>
      <c r="C4598" s="73">
        <f t="shared" si="1570"/>
        <v>46630</v>
      </c>
      <c r="D4598" s="67">
        <f t="shared" si="1571"/>
        <v>31</v>
      </c>
      <c r="E4598" s="67">
        <f t="shared" si="1572"/>
        <v>8</v>
      </c>
      <c r="F4598" s="74">
        <f t="shared" si="1573"/>
        <v>46615.5</v>
      </c>
      <c r="G4598" s="67">
        <f t="shared" si="1574"/>
        <v>24331</v>
      </c>
      <c r="H4598" s="75">
        <f t="shared" si="1575"/>
        <v>1</v>
      </c>
      <c r="I4598" s="76">
        <f t="shared" si="1576"/>
        <v>1.1575200000000001</v>
      </c>
      <c r="J4598" s="76">
        <f t="shared" si="1577"/>
        <v>1.1575200000000001</v>
      </c>
      <c r="K4598" s="67">
        <f t="shared" si="1578"/>
        <v>0</v>
      </c>
      <c r="L4598" s="67">
        <f t="shared" si="1579"/>
        <v>0</v>
      </c>
      <c r="M4598" s="77">
        <f t="shared" si="1580"/>
        <v>0</v>
      </c>
      <c r="N4598" s="76">
        <f t="shared" si="1581"/>
        <v>1.1575200000000001</v>
      </c>
      <c r="P4598" s="76">
        <f t="shared" si="1582"/>
        <v>0</v>
      </c>
      <c r="Q4598" s="76">
        <f t="shared" si="1583"/>
        <v>0.75</v>
      </c>
      <c r="R4598" s="76">
        <f t="shared" si="1584"/>
        <v>0.25</v>
      </c>
    </row>
    <row r="4599" spans="1:18" x14ac:dyDescent="0.25">
      <c r="A4599" s="71">
        <v>33</v>
      </c>
      <c r="B4599" s="72">
        <f t="shared" si="1585"/>
        <v>46631</v>
      </c>
      <c r="C4599" s="73">
        <f t="shared" si="1570"/>
        <v>46660</v>
      </c>
      <c r="D4599" s="67">
        <f t="shared" si="1571"/>
        <v>30</v>
      </c>
      <c r="E4599" s="67">
        <f t="shared" si="1572"/>
        <v>9</v>
      </c>
      <c r="F4599" s="74">
        <f t="shared" si="1573"/>
        <v>46646</v>
      </c>
      <c r="G4599" s="67">
        <f t="shared" si="1574"/>
        <v>24332</v>
      </c>
      <c r="H4599" s="75">
        <f t="shared" si="1575"/>
        <v>1</v>
      </c>
      <c r="I4599" s="76">
        <f t="shared" si="1576"/>
        <v>1.1575200000000001</v>
      </c>
      <c r="J4599" s="76">
        <f t="shared" si="1577"/>
        <v>1.1575200000000001</v>
      </c>
      <c r="K4599" s="67">
        <f t="shared" si="1578"/>
        <v>0</v>
      </c>
      <c r="L4599" s="67">
        <f t="shared" si="1579"/>
        <v>0</v>
      </c>
      <c r="M4599" s="77">
        <f t="shared" si="1580"/>
        <v>0</v>
      </c>
      <c r="N4599" s="76">
        <f t="shared" si="1581"/>
        <v>1.1575200000000001</v>
      </c>
      <c r="P4599" s="76">
        <f t="shared" si="1582"/>
        <v>0</v>
      </c>
      <c r="Q4599" s="76">
        <f t="shared" si="1583"/>
        <v>0.58333333333333337</v>
      </c>
      <c r="R4599" s="76">
        <f t="shared" si="1584"/>
        <v>0.41666666666666663</v>
      </c>
    </row>
    <row r="4600" spans="1:18" x14ac:dyDescent="0.25">
      <c r="A4600" s="71">
        <v>34</v>
      </c>
      <c r="B4600" s="72">
        <f t="shared" si="1585"/>
        <v>46661</v>
      </c>
      <c r="C4600" s="73">
        <f t="shared" si="1570"/>
        <v>46691</v>
      </c>
      <c r="D4600" s="67">
        <f t="shared" si="1571"/>
        <v>31</v>
      </c>
      <c r="E4600" s="67">
        <f t="shared" si="1572"/>
        <v>10</v>
      </c>
      <c r="F4600" s="74">
        <f t="shared" si="1573"/>
        <v>46676.5</v>
      </c>
      <c r="G4600" s="67">
        <f t="shared" si="1574"/>
        <v>24333</v>
      </c>
      <c r="H4600" s="75">
        <f t="shared" si="1575"/>
        <v>1</v>
      </c>
      <c r="I4600" s="76">
        <f t="shared" si="1576"/>
        <v>1.1575200000000001</v>
      </c>
      <c r="J4600" s="76">
        <f t="shared" si="1577"/>
        <v>1.1575200000000001</v>
      </c>
      <c r="K4600" s="67">
        <f t="shared" si="1578"/>
        <v>0</v>
      </c>
      <c r="L4600" s="67">
        <f t="shared" si="1579"/>
        <v>0</v>
      </c>
      <c r="M4600" s="77">
        <f t="shared" si="1580"/>
        <v>0</v>
      </c>
      <c r="N4600" s="76">
        <f t="shared" si="1581"/>
        <v>1.1575200000000001</v>
      </c>
      <c r="P4600" s="76">
        <f t="shared" si="1582"/>
        <v>0</v>
      </c>
      <c r="Q4600" s="76">
        <f t="shared" si="1583"/>
        <v>0.41666666666666669</v>
      </c>
      <c r="R4600" s="76">
        <f t="shared" si="1584"/>
        <v>0.58333333333333326</v>
      </c>
    </row>
    <row r="4601" spans="1:18" x14ac:dyDescent="0.25">
      <c r="A4601" s="71">
        <v>35</v>
      </c>
      <c r="B4601" s="72">
        <f t="shared" si="1585"/>
        <v>46692</v>
      </c>
      <c r="C4601" s="73">
        <f t="shared" si="1570"/>
        <v>46721</v>
      </c>
      <c r="D4601" s="67">
        <f t="shared" si="1571"/>
        <v>30</v>
      </c>
      <c r="E4601" s="67">
        <f t="shared" si="1572"/>
        <v>11</v>
      </c>
      <c r="F4601" s="74">
        <f t="shared" si="1573"/>
        <v>46707</v>
      </c>
      <c r="G4601" s="67">
        <f t="shared" si="1574"/>
        <v>24334</v>
      </c>
      <c r="H4601" s="75">
        <f t="shared" si="1575"/>
        <v>1</v>
      </c>
      <c r="I4601" s="76">
        <f t="shared" si="1576"/>
        <v>1.1575200000000001</v>
      </c>
      <c r="J4601" s="76">
        <f t="shared" si="1577"/>
        <v>1.1575200000000001</v>
      </c>
      <c r="K4601" s="67">
        <f t="shared" si="1578"/>
        <v>0</v>
      </c>
      <c r="L4601" s="67">
        <f t="shared" si="1579"/>
        <v>0</v>
      </c>
      <c r="M4601" s="77">
        <f t="shared" si="1580"/>
        <v>0</v>
      </c>
      <c r="N4601" s="76">
        <f t="shared" si="1581"/>
        <v>1.1575200000000001</v>
      </c>
      <c r="P4601" s="76">
        <f t="shared" si="1582"/>
        <v>0</v>
      </c>
      <c r="Q4601" s="76">
        <f t="shared" si="1583"/>
        <v>0.25</v>
      </c>
      <c r="R4601" s="76">
        <f t="shared" si="1584"/>
        <v>0.75</v>
      </c>
    </row>
    <row r="4602" spans="1:18" x14ac:dyDescent="0.25">
      <c r="A4602" s="71">
        <v>36</v>
      </c>
      <c r="B4602" s="72">
        <f t="shared" si="1585"/>
        <v>46722</v>
      </c>
      <c r="C4602" s="73">
        <f t="shared" si="1570"/>
        <v>46752</v>
      </c>
      <c r="D4602" s="67">
        <f t="shared" si="1571"/>
        <v>31</v>
      </c>
      <c r="E4602" s="67">
        <f t="shared" si="1572"/>
        <v>12</v>
      </c>
      <c r="F4602" s="74">
        <f t="shared" si="1573"/>
        <v>46737.5</v>
      </c>
      <c r="G4602" s="67">
        <f t="shared" si="1574"/>
        <v>24335</v>
      </c>
      <c r="H4602" s="75">
        <f t="shared" si="1575"/>
        <v>1</v>
      </c>
      <c r="I4602" s="76">
        <f t="shared" si="1576"/>
        <v>1.1575200000000001</v>
      </c>
      <c r="J4602" s="76">
        <f t="shared" si="1577"/>
        <v>1.1575200000000001</v>
      </c>
      <c r="K4602" s="67">
        <f t="shared" si="1578"/>
        <v>0</v>
      </c>
      <c r="L4602" s="67">
        <f t="shared" si="1579"/>
        <v>0</v>
      </c>
      <c r="M4602" s="77">
        <f t="shared" si="1580"/>
        <v>0</v>
      </c>
      <c r="N4602" s="76">
        <f t="shared" si="1581"/>
        <v>1.1575200000000001</v>
      </c>
      <c r="P4602" s="76">
        <f t="shared" si="1582"/>
        <v>0</v>
      </c>
      <c r="Q4602" s="76">
        <f t="shared" si="1583"/>
        <v>8.3333333333333329E-2</v>
      </c>
      <c r="R4602" s="76">
        <f t="shared" si="1584"/>
        <v>0.91666666666666663</v>
      </c>
    </row>
    <row r="4603" spans="1:18" x14ac:dyDescent="0.25">
      <c r="A4603" s="71">
        <v>37</v>
      </c>
      <c r="B4603" s="72">
        <f t="shared" si="1585"/>
        <v>46753</v>
      </c>
      <c r="C4603" s="73">
        <f t="shared" si="1570"/>
        <v>46783</v>
      </c>
      <c r="D4603" s="67">
        <f t="shared" si="1571"/>
        <v>31</v>
      </c>
      <c r="E4603" s="67">
        <f t="shared" si="1572"/>
        <v>1</v>
      </c>
      <c r="F4603" s="74">
        <f t="shared" si="1573"/>
        <v>46768.5</v>
      </c>
      <c r="G4603" s="67">
        <f t="shared" si="1574"/>
        <v>24336</v>
      </c>
      <c r="H4603" s="75">
        <f t="shared" si="1575"/>
        <v>1</v>
      </c>
      <c r="I4603" s="76">
        <f t="shared" si="1576"/>
        <v>1.1575200000000001</v>
      </c>
      <c r="J4603" s="76">
        <f t="shared" si="1577"/>
        <v>1.1575200000000001</v>
      </c>
      <c r="K4603" s="67">
        <f t="shared" si="1578"/>
        <v>0</v>
      </c>
      <c r="L4603" s="67">
        <f t="shared" si="1579"/>
        <v>0</v>
      </c>
      <c r="M4603" s="77">
        <f t="shared" si="1580"/>
        <v>0</v>
      </c>
      <c r="N4603" s="76">
        <f t="shared" si="1581"/>
        <v>1.1575200000000001</v>
      </c>
      <c r="P4603" s="76">
        <f t="shared" si="1582"/>
        <v>0</v>
      </c>
      <c r="Q4603" s="76">
        <f t="shared" si="1583"/>
        <v>0</v>
      </c>
      <c r="R4603" s="76">
        <f t="shared" si="1584"/>
        <v>1</v>
      </c>
    </row>
    <row r="4604" spans="1:18" x14ac:dyDescent="0.25">
      <c r="A4604" s="71">
        <v>38</v>
      </c>
      <c r="B4604" s="72">
        <f t="shared" si="1585"/>
        <v>46784</v>
      </c>
      <c r="C4604" s="73">
        <f t="shared" si="1570"/>
        <v>46812</v>
      </c>
      <c r="D4604" s="67">
        <f t="shared" si="1571"/>
        <v>29</v>
      </c>
      <c r="E4604" s="67">
        <f t="shared" si="1572"/>
        <v>2</v>
      </c>
      <c r="F4604" s="74">
        <f t="shared" si="1573"/>
        <v>46798.5</v>
      </c>
      <c r="G4604" s="67">
        <f t="shared" si="1574"/>
        <v>24337</v>
      </c>
      <c r="H4604" s="75">
        <f t="shared" si="1575"/>
        <v>1</v>
      </c>
      <c r="I4604" s="76">
        <f t="shared" si="1576"/>
        <v>1.1575200000000001</v>
      </c>
      <c r="J4604" s="76">
        <f t="shared" si="1577"/>
        <v>1.1575200000000001</v>
      </c>
      <c r="K4604" s="67">
        <f t="shared" si="1578"/>
        <v>0</v>
      </c>
      <c r="L4604" s="67">
        <f t="shared" si="1579"/>
        <v>0</v>
      </c>
      <c r="M4604" s="77">
        <f t="shared" si="1580"/>
        <v>0</v>
      </c>
      <c r="N4604" s="76">
        <f t="shared" si="1581"/>
        <v>1.1575200000000001</v>
      </c>
      <c r="P4604" s="76">
        <f t="shared" si="1582"/>
        <v>0</v>
      </c>
      <c r="Q4604" s="76">
        <f t="shared" si="1583"/>
        <v>0</v>
      </c>
      <c r="R4604" s="76">
        <f t="shared" si="1584"/>
        <v>1</v>
      </c>
    </row>
    <row r="4605" spans="1:18" x14ac:dyDescent="0.25">
      <c r="A4605" s="71">
        <v>39</v>
      </c>
      <c r="B4605" s="72">
        <f t="shared" si="1585"/>
        <v>46813</v>
      </c>
      <c r="C4605" s="73">
        <f t="shared" si="1570"/>
        <v>46843</v>
      </c>
      <c r="D4605" s="67">
        <f t="shared" si="1571"/>
        <v>31</v>
      </c>
      <c r="E4605" s="67">
        <f t="shared" si="1572"/>
        <v>3</v>
      </c>
      <c r="F4605" s="74">
        <f t="shared" si="1573"/>
        <v>46828.5</v>
      </c>
      <c r="G4605" s="67">
        <f t="shared" si="1574"/>
        <v>24338</v>
      </c>
      <c r="H4605" s="75">
        <f t="shared" si="1575"/>
        <v>1</v>
      </c>
      <c r="I4605" s="76">
        <f t="shared" si="1576"/>
        <v>1.1575200000000001</v>
      </c>
      <c r="J4605" s="76">
        <f t="shared" si="1577"/>
        <v>1.1575200000000001</v>
      </c>
      <c r="K4605" s="67">
        <f t="shared" si="1578"/>
        <v>0</v>
      </c>
      <c r="L4605" s="67">
        <f t="shared" si="1579"/>
        <v>0</v>
      </c>
      <c r="M4605" s="77">
        <f t="shared" si="1580"/>
        <v>0</v>
      </c>
      <c r="N4605" s="76">
        <f t="shared" si="1581"/>
        <v>1.1575200000000001</v>
      </c>
      <c r="P4605" s="76">
        <f t="shared" si="1582"/>
        <v>0</v>
      </c>
      <c r="Q4605" s="76">
        <f t="shared" si="1583"/>
        <v>0</v>
      </c>
      <c r="R4605" s="76">
        <f t="shared" si="1584"/>
        <v>1</v>
      </c>
    </row>
    <row r="4606" spans="1:18" x14ac:dyDescent="0.25">
      <c r="A4606" s="71">
        <v>40</v>
      </c>
      <c r="B4606" s="72">
        <f t="shared" si="1585"/>
        <v>46844</v>
      </c>
      <c r="C4606" s="73">
        <f t="shared" si="1570"/>
        <v>46873</v>
      </c>
      <c r="D4606" s="67">
        <f t="shared" si="1571"/>
        <v>30</v>
      </c>
      <c r="E4606" s="67">
        <f t="shared" si="1572"/>
        <v>4</v>
      </c>
      <c r="F4606" s="74">
        <f t="shared" si="1573"/>
        <v>46859</v>
      </c>
      <c r="G4606" s="67">
        <f t="shared" si="1574"/>
        <v>24339</v>
      </c>
      <c r="H4606" s="75">
        <f t="shared" si="1575"/>
        <v>1</v>
      </c>
      <c r="I4606" s="76">
        <f t="shared" si="1576"/>
        <v>1.1575200000000001</v>
      </c>
      <c r="J4606" s="76">
        <f t="shared" si="1577"/>
        <v>1.1575200000000001</v>
      </c>
      <c r="K4606" s="67">
        <f t="shared" si="1578"/>
        <v>0</v>
      </c>
      <c r="L4606" s="67">
        <f t="shared" si="1579"/>
        <v>0</v>
      </c>
      <c r="M4606" s="77">
        <f t="shared" si="1580"/>
        <v>0</v>
      </c>
      <c r="N4606" s="76">
        <f t="shared" si="1581"/>
        <v>1.1575200000000001</v>
      </c>
      <c r="P4606" s="76">
        <f t="shared" si="1582"/>
        <v>0</v>
      </c>
      <c r="Q4606" s="76">
        <f t="shared" si="1583"/>
        <v>0</v>
      </c>
      <c r="R4606" s="76">
        <f t="shared" si="1584"/>
        <v>1</v>
      </c>
    </row>
    <row r="4607" spans="1:18" x14ac:dyDescent="0.25">
      <c r="A4607" s="71">
        <v>41</v>
      </c>
      <c r="B4607" s="72">
        <f t="shared" si="1585"/>
        <v>46874</v>
      </c>
      <c r="C4607" s="73">
        <f t="shared" si="1570"/>
        <v>46904</v>
      </c>
      <c r="D4607" s="67">
        <f t="shared" si="1571"/>
        <v>31</v>
      </c>
      <c r="E4607" s="67">
        <f t="shared" si="1572"/>
        <v>5</v>
      </c>
      <c r="F4607" s="74">
        <f t="shared" si="1573"/>
        <v>46889.5</v>
      </c>
      <c r="G4607" s="67">
        <f t="shared" si="1574"/>
        <v>24340</v>
      </c>
      <c r="H4607" s="75">
        <f t="shared" si="1575"/>
        <v>1</v>
      </c>
      <c r="I4607" s="76">
        <f t="shared" si="1576"/>
        <v>1.1575200000000001</v>
      </c>
      <c r="J4607" s="76">
        <f t="shared" si="1577"/>
        <v>1.1575200000000001</v>
      </c>
      <c r="K4607" s="67">
        <f t="shared" si="1578"/>
        <v>0</v>
      </c>
      <c r="L4607" s="67">
        <f t="shared" si="1579"/>
        <v>0</v>
      </c>
      <c r="M4607" s="77">
        <f t="shared" si="1580"/>
        <v>0</v>
      </c>
      <c r="N4607" s="76">
        <f t="shared" si="1581"/>
        <v>1.1575200000000001</v>
      </c>
      <c r="P4607" s="76">
        <f t="shared" si="1582"/>
        <v>0</v>
      </c>
      <c r="Q4607" s="76">
        <f t="shared" si="1583"/>
        <v>0</v>
      </c>
      <c r="R4607" s="76">
        <f t="shared" si="1584"/>
        <v>1</v>
      </c>
    </row>
    <row r="4608" spans="1:18" x14ac:dyDescent="0.25">
      <c r="A4608" s="71">
        <v>42</v>
      </c>
      <c r="B4608" s="72">
        <f t="shared" si="1585"/>
        <v>46905</v>
      </c>
      <c r="C4608" s="73">
        <f t="shared" si="1570"/>
        <v>46934</v>
      </c>
      <c r="D4608" s="67">
        <f t="shared" si="1571"/>
        <v>30</v>
      </c>
      <c r="E4608" s="67">
        <f t="shared" si="1572"/>
        <v>6</v>
      </c>
      <c r="F4608" s="74">
        <f t="shared" si="1573"/>
        <v>46920</v>
      </c>
      <c r="G4608" s="67">
        <f t="shared" si="1574"/>
        <v>24341</v>
      </c>
      <c r="H4608" s="75">
        <f t="shared" si="1575"/>
        <v>1</v>
      </c>
      <c r="I4608" s="76">
        <f t="shared" si="1576"/>
        <v>1.1575200000000001</v>
      </c>
      <c r="J4608" s="76">
        <f t="shared" si="1577"/>
        <v>1.1575200000000001</v>
      </c>
      <c r="K4608" s="67">
        <f t="shared" si="1578"/>
        <v>0</v>
      </c>
      <c r="L4608" s="67">
        <f t="shared" si="1579"/>
        <v>0</v>
      </c>
      <c r="M4608" s="77">
        <f t="shared" si="1580"/>
        <v>0</v>
      </c>
      <c r="N4608" s="76">
        <f t="shared" si="1581"/>
        <v>1.1575200000000001</v>
      </c>
      <c r="P4608" s="76">
        <f t="shared" si="1582"/>
        <v>0</v>
      </c>
      <c r="Q4608" s="76">
        <f t="shared" si="1583"/>
        <v>0</v>
      </c>
      <c r="R4608" s="76">
        <f t="shared" si="1584"/>
        <v>1</v>
      </c>
    </row>
    <row r="4609" spans="1:21" x14ac:dyDescent="0.25">
      <c r="A4609" s="71">
        <v>43</v>
      </c>
      <c r="B4609" s="72">
        <f t="shared" si="1585"/>
        <v>46935</v>
      </c>
      <c r="C4609" s="73">
        <f t="shared" si="1570"/>
        <v>46965</v>
      </c>
      <c r="D4609" s="67">
        <f t="shared" si="1571"/>
        <v>31</v>
      </c>
      <c r="E4609" s="67">
        <f t="shared" si="1572"/>
        <v>7</v>
      </c>
      <c r="F4609" s="74">
        <f t="shared" si="1573"/>
        <v>46950.5</v>
      </c>
      <c r="G4609" s="67">
        <f t="shared" si="1574"/>
        <v>24342</v>
      </c>
      <c r="H4609" s="75">
        <f t="shared" si="1575"/>
        <v>1</v>
      </c>
      <c r="I4609" s="76">
        <f t="shared" si="1576"/>
        <v>1.1575200000000001</v>
      </c>
      <c r="J4609" s="76">
        <f t="shared" si="1577"/>
        <v>1.1575200000000001</v>
      </c>
      <c r="K4609" s="67">
        <f t="shared" si="1578"/>
        <v>0</v>
      </c>
      <c r="L4609" s="67">
        <f t="shared" si="1579"/>
        <v>0</v>
      </c>
      <c r="M4609" s="77">
        <f t="shared" si="1580"/>
        <v>0</v>
      </c>
      <c r="N4609" s="76">
        <f t="shared" si="1581"/>
        <v>1.1575200000000001</v>
      </c>
      <c r="P4609" s="76">
        <f t="shared" si="1582"/>
        <v>0</v>
      </c>
      <c r="Q4609" s="76">
        <f t="shared" si="1583"/>
        <v>0</v>
      </c>
      <c r="R4609" s="76">
        <f t="shared" si="1584"/>
        <v>0.91666666666666663</v>
      </c>
    </row>
    <row r="4610" spans="1:21" x14ac:dyDescent="0.25">
      <c r="A4610" s="71">
        <v>44</v>
      </c>
      <c r="B4610" s="72">
        <f t="shared" si="1585"/>
        <v>46966</v>
      </c>
      <c r="C4610" s="73">
        <f t="shared" si="1570"/>
        <v>46996</v>
      </c>
      <c r="D4610" s="67">
        <f t="shared" si="1571"/>
        <v>31</v>
      </c>
      <c r="E4610" s="67">
        <f t="shared" si="1572"/>
        <v>8</v>
      </c>
      <c r="F4610" s="74">
        <f t="shared" si="1573"/>
        <v>46981.5</v>
      </c>
      <c r="G4610" s="67">
        <f t="shared" si="1574"/>
        <v>24343</v>
      </c>
      <c r="H4610" s="75">
        <f t="shared" si="1575"/>
        <v>1</v>
      </c>
      <c r="I4610" s="76">
        <f t="shared" si="1576"/>
        <v>1.1575200000000001</v>
      </c>
      <c r="J4610" s="76">
        <f t="shared" si="1577"/>
        <v>1.1575200000000001</v>
      </c>
      <c r="K4610" s="67">
        <f t="shared" si="1578"/>
        <v>0</v>
      </c>
      <c r="L4610" s="67">
        <f t="shared" si="1579"/>
        <v>0</v>
      </c>
      <c r="M4610" s="77">
        <f t="shared" si="1580"/>
        <v>0</v>
      </c>
      <c r="N4610" s="76">
        <f t="shared" si="1581"/>
        <v>1.1575200000000001</v>
      </c>
      <c r="P4610" s="76">
        <f t="shared" si="1582"/>
        <v>0</v>
      </c>
      <c r="Q4610" s="76">
        <f t="shared" si="1583"/>
        <v>0</v>
      </c>
      <c r="R4610" s="76">
        <f t="shared" si="1584"/>
        <v>0.75</v>
      </c>
    </row>
    <row r="4611" spans="1:21" x14ac:dyDescent="0.25">
      <c r="A4611" s="71">
        <v>45</v>
      </c>
      <c r="B4611" s="72">
        <f t="shared" si="1585"/>
        <v>46997</v>
      </c>
      <c r="C4611" s="73">
        <f t="shared" si="1570"/>
        <v>47026</v>
      </c>
      <c r="D4611" s="67">
        <f t="shared" si="1571"/>
        <v>30</v>
      </c>
      <c r="E4611" s="67">
        <f t="shared" si="1572"/>
        <v>9</v>
      </c>
      <c r="F4611" s="74">
        <f t="shared" si="1573"/>
        <v>47012</v>
      </c>
      <c r="G4611" s="67">
        <f t="shared" si="1574"/>
        <v>24344</v>
      </c>
      <c r="H4611" s="75">
        <f t="shared" si="1575"/>
        <v>1</v>
      </c>
      <c r="I4611" s="76">
        <f t="shared" si="1576"/>
        <v>1.1575200000000001</v>
      </c>
      <c r="J4611" s="76">
        <f t="shared" si="1577"/>
        <v>1.1575200000000001</v>
      </c>
      <c r="K4611" s="67">
        <f t="shared" si="1578"/>
        <v>0</v>
      </c>
      <c r="L4611" s="67">
        <f t="shared" si="1579"/>
        <v>0</v>
      </c>
      <c r="M4611" s="77">
        <f t="shared" si="1580"/>
        <v>0</v>
      </c>
      <c r="N4611" s="76">
        <f t="shared" si="1581"/>
        <v>1.1575200000000001</v>
      </c>
      <c r="P4611" s="76">
        <f t="shared" si="1582"/>
        <v>0</v>
      </c>
      <c r="Q4611" s="76">
        <f t="shared" si="1583"/>
        <v>0</v>
      </c>
      <c r="R4611" s="76">
        <f t="shared" si="1584"/>
        <v>0.58333333333333337</v>
      </c>
    </row>
    <row r="4612" spans="1:21" x14ac:dyDescent="0.25">
      <c r="A4612" s="71">
        <v>46</v>
      </c>
      <c r="B4612" s="72">
        <f t="shared" si="1585"/>
        <v>47027</v>
      </c>
      <c r="C4612" s="73">
        <f t="shared" si="1570"/>
        <v>47057</v>
      </c>
      <c r="D4612" s="67">
        <f t="shared" si="1571"/>
        <v>31</v>
      </c>
      <c r="E4612" s="67">
        <f t="shared" si="1572"/>
        <v>10</v>
      </c>
      <c r="F4612" s="74">
        <f t="shared" si="1573"/>
        <v>47042.5</v>
      </c>
      <c r="G4612" s="67">
        <f t="shared" si="1574"/>
        <v>24345</v>
      </c>
      <c r="H4612" s="75">
        <f t="shared" si="1575"/>
        <v>1</v>
      </c>
      <c r="I4612" s="76">
        <f t="shared" si="1576"/>
        <v>1.1575200000000001</v>
      </c>
      <c r="J4612" s="76">
        <f t="shared" si="1577"/>
        <v>1.1575200000000001</v>
      </c>
      <c r="K4612" s="67">
        <f t="shared" si="1578"/>
        <v>0</v>
      </c>
      <c r="L4612" s="67">
        <f t="shared" si="1579"/>
        <v>0</v>
      </c>
      <c r="M4612" s="77">
        <f t="shared" si="1580"/>
        <v>0</v>
      </c>
      <c r="N4612" s="76">
        <f t="shared" si="1581"/>
        <v>1.1575200000000001</v>
      </c>
      <c r="P4612" s="76">
        <f t="shared" si="1582"/>
        <v>0</v>
      </c>
      <c r="Q4612" s="76">
        <f t="shared" si="1583"/>
        <v>0</v>
      </c>
      <c r="R4612" s="76">
        <f t="shared" si="1584"/>
        <v>0.41666666666666669</v>
      </c>
    </row>
    <row r="4613" spans="1:21" x14ac:dyDescent="0.25">
      <c r="A4613" s="71">
        <v>47</v>
      </c>
      <c r="B4613" s="72">
        <f t="shared" si="1585"/>
        <v>47058</v>
      </c>
      <c r="C4613" s="73">
        <f t="shared" si="1570"/>
        <v>47087</v>
      </c>
      <c r="D4613" s="67">
        <f t="shared" si="1571"/>
        <v>30</v>
      </c>
      <c r="E4613" s="67">
        <f t="shared" si="1572"/>
        <v>11</v>
      </c>
      <c r="F4613" s="74">
        <f t="shared" si="1573"/>
        <v>47073</v>
      </c>
      <c r="G4613" s="67">
        <f t="shared" si="1574"/>
        <v>24346</v>
      </c>
      <c r="H4613" s="75">
        <f t="shared" si="1575"/>
        <v>1</v>
      </c>
      <c r="I4613" s="76">
        <f t="shared" si="1576"/>
        <v>1.1575200000000001</v>
      </c>
      <c r="J4613" s="76">
        <f t="shared" si="1577"/>
        <v>1.1575200000000001</v>
      </c>
      <c r="K4613" s="67">
        <f t="shared" si="1578"/>
        <v>0</v>
      </c>
      <c r="L4613" s="67">
        <f t="shared" si="1579"/>
        <v>0</v>
      </c>
      <c r="M4613" s="77">
        <f t="shared" si="1580"/>
        <v>0</v>
      </c>
      <c r="N4613" s="76">
        <f t="shared" si="1581"/>
        <v>1.1575200000000001</v>
      </c>
      <c r="P4613" s="76">
        <f t="shared" si="1582"/>
        <v>0</v>
      </c>
      <c r="Q4613" s="76">
        <f t="shared" si="1583"/>
        <v>0</v>
      </c>
      <c r="R4613" s="76">
        <f t="shared" si="1584"/>
        <v>0.25</v>
      </c>
    </row>
    <row r="4614" spans="1:21" x14ac:dyDescent="0.25">
      <c r="A4614" s="71">
        <v>48</v>
      </c>
      <c r="B4614" s="72">
        <f t="shared" si="1585"/>
        <v>47088</v>
      </c>
      <c r="C4614" s="73">
        <f t="shared" si="1570"/>
        <v>47118</v>
      </c>
      <c r="D4614" s="67">
        <f t="shared" si="1571"/>
        <v>31</v>
      </c>
      <c r="E4614" s="67">
        <f t="shared" si="1572"/>
        <v>12</v>
      </c>
      <c r="F4614" s="74">
        <f t="shared" si="1573"/>
        <v>47103.5</v>
      </c>
      <c r="G4614" s="67">
        <f t="shared" si="1574"/>
        <v>24347</v>
      </c>
      <c r="H4614" s="75">
        <f t="shared" si="1575"/>
        <v>1</v>
      </c>
      <c r="I4614" s="76">
        <f t="shared" si="1576"/>
        <v>1.1575200000000001</v>
      </c>
      <c r="J4614" s="76">
        <f t="shared" si="1577"/>
        <v>1.1575200000000001</v>
      </c>
      <c r="K4614" s="67">
        <f t="shared" si="1578"/>
        <v>0</v>
      </c>
      <c r="L4614" s="67">
        <f t="shared" si="1579"/>
        <v>0</v>
      </c>
      <c r="M4614" s="77">
        <f t="shared" si="1580"/>
        <v>0</v>
      </c>
      <c r="N4614" s="76">
        <f t="shared" si="1581"/>
        <v>1.1575200000000001</v>
      </c>
      <c r="P4614" s="76">
        <f t="shared" si="1582"/>
        <v>0</v>
      </c>
      <c r="Q4614" s="76">
        <f t="shared" si="1583"/>
        <v>0</v>
      </c>
      <c r="R4614" s="76">
        <f t="shared" si="1584"/>
        <v>8.3333333333333329E-2</v>
      </c>
    </row>
    <row r="4615" spans="1:21" x14ac:dyDescent="0.25">
      <c r="B4615" s="53">
        <f>SUMPRODUCT($H$4567:$H$4614,$Q$4567:$Q$4614,$N$4567:$N$4614)/SUMPRODUCT($H$4567:$H$4614,$Q$4567:$Q$4614)</f>
        <v>1.1299600000000001</v>
      </c>
    </row>
    <row r="4618" spans="1:21" x14ac:dyDescent="0.25">
      <c r="A4618" s="188" t="s">
        <v>1245</v>
      </c>
      <c r="M4618" s="172">
        <f>IF(N(att_m0)=0,nr_M0,att_m0)</f>
        <v>0.86</v>
      </c>
      <c r="N4618" s="54">
        <f>IF(N(att_asof)=0,nr_M0Asof,att_asof)</f>
        <v>46295</v>
      </c>
      <c r="O4618" s="172">
        <f>IF(N(att_m1)=0,nr_M1,att_m1)</f>
        <v>0.89</v>
      </c>
      <c r="P4618" s="172">
        <f>IF(N(att_m2)=0,N(nr_M2),att_m2)</f>
        <v>0</v>
      </c>
    </row>
    <row r="4619" spans="1:21" x14ac:dyDescent="0.25">
      <c r="A4619" s="81">
        <f>EDATE($N$4618,-12)+1</f>
        <v>45931</v>
      </c>
      <c r="B4619" s="81">
        <f>$N$4618+1</f>
        <v>46296</v>
      </c>
      <c r="C4619" s="81">
        <f>DATE(nr_PlanYear,12,31)+1</f>
        <v>46753</v>
      </c>
      <c r="D4619" s="81">
        <f>DATE(nr_PlanYear+1,12,31)+1</f>
        <v>47119</v>
      </c>
      <c r="E4619" s="81">
        <f>IF(N(nr_MPrior)=0,$F$4619-($G$4619-$F$4619)/($C$4619-$B$4619)*($B$4619-$A$4619),nr_MPrior)</f>
        <v>0.83603938730853389</v>
      </c>
      <c r="F4619" s="81">
        <f>$M$4618</f>
        <v>0.86</v>
      </c>
      <c r="G4619" s="81">
        <f>$O$4618</f>
        <v>0.89</v>
      </c>
      <c r="H4619" s="81">
        <f>IF(N($P$4618)=0,$O$4618,$P$4618)</f>
        <v>0.89</v>
      </c>
      <c r="I4619" s="81">
        <f>($F$4619-$E$4619)/($B$4619-$A$4619)</f>
        <v>6.5645514223194786E-5</v>
      </c>
      <c r="J4619" s="81">
        <f>($G$4619-$F$4619)/($C$4619-$B$4619)</f>
        <v>6.5645514223194813E-5</v>
      </c>
      <c r="K4619" s="81">
        <f>($H$4619-$G$4619)/($D$4619-$C$4619)</f>
        <v>0</v>
      </c>
    </row>
    <row r="4620" spans="1:21" ht="36" x14ac:dyDescent="0.25">
      <c r="A4620" s="50" t="s">
        <v>211</v>
      </c>
      <c r="B4620" s="50" t="s">
        <v>212</v>
      </c>
      <c r="C4620" s="50" t="s">
        <v>213</v>
      </c>
      <c r="D4620" s="50" t="s">
        <v>214</v>
      </c>
      <c r="E4620" s="50" t="s">
        <v>215</v>
      </c>
      <c r="F4620" s="50" t="s">
        <v>216</v>
      </c>
      <c r="G4620" s="50" t="s">
        <v>217</v>
      </c>
      <c r="H4620" s="50" t="s">
        <v>218</v>
      </c>
      <c r="I4620" s="50" t="s">
        <v>219</v>
      </c>
      <c r="J4620" s="50" t="s">
        <v>220</v>
      </c>
      <c r="K4620" s="50" t="s">
        <v>221</v>
      </c>
      <c r="L4620" s="50" t="s">
        <v>222</v>
      </c>
      <c r="M4620" s="50" t="s">
        <v>223</v>
      </c>
      <c r="N4620" s="50" t="s">
        <v>224</v>
      </c>
      <c r="O4620" s="50" t="s">
        <v>225</v>
      </c>
      <c r="P4620" s="50" t="s">
        <v>226</v>
      </c>
      <c r="Q4620" s="50" t="s">
        <v>227</v>
      </c>
      <c r="R4620" s="50" t="s">
        <v>228</v>
      </c>
      <c r="S4620" s="50" t="s">
        <v>229</v>
      </c>
      <c r="T4620" s="50" t="s">
        <v>230</v>
      </c>
      <c r="U4620" s="50" t="s">
        <v>231</v>
      </c>
    </row>
    <row r="4621" spans="1:21" x14ac:dyDescent="0.25">
      <c r="A4621" s="71">
        <v>1</v>
      </c>
      <c r="B4621" s="72">
        <f>DATE(nr_PlanYear-2,1,1)</f>
        <v>45658</v>
      </c>
      <c r="C4621" s="73">
        <f t="shared" ref="C4621:C4668" si="1586">EOMONTH($B4621,0)</f>
        <v>45688</v>
      </c>
      <c r="D4621" s="67">
        <f t="shared" ref="D4621:D4668" si="1587">$C4621-$B4621+1</f>
        <v>31</v>
      </c>
      <c r="E4621" s="67">
        <f t="shared" ref="E4621:E4668" si="1588">MONTH($B4621)</f>
        <v>1</v>
      </c>
      <c r="F4621" s="74">
        <f t="shared" ref="F4621:F4668" si="1589">($B4621+$C4621+1)/2</f>
        <v>45673.5</v>
      </c>
      <c r="G4621" s="67">
        <f t="shared" ref="G4621:G4668" si="1590">YEAR($B4621)*12+MONTH($B4621)-1</f>
        <v>24300</v>
      </c>
      <c r="H4621" s="75">
        <f t="shared" ref="H4621:H4668" si="1591">IF(OR(nr_SeasonOn="OFF",re_srow=0,re_ssum=0),1,12*INDEX(se_block,re_srow,$E4621)/re_ssum)</f>
        <v>1</v>
      </c>
      <c r="O4621" s="77">
        <f t="shared" ref="O4621:O4668" si="1592">IF($F4621&lt;$B$4619,$E$4619+$I$4619*($F4621-$A$4619),IF($F4621&lt;$C$4619,$F$4619+$J$4619*($F4621-$B$4619),$G$4619+$K$4619*($F4621-$C$4619)))</f>
        <v>0.81913566739606125</v>
      </c>
      <c r="P4621" s="76">
        <f t="shared" ref="P4621:P4668" si="1593">MIN(1,MAX(0,(nr_MEndPm1-$G4621+0.5)/nr_TermMonths))-MIN(1,MAX(0,(nr_MStartPm1-1-$G4621+0.5)/nr_TermMonths))</f>
        <v>0</v>
      </c>
      <c r="Q4621" s="76">
        <f t="shared" ref="Q4621:Q4668" si="1594">MIN(1,MAX(0,(nr_MEndP-$G4621+0.5)/nr_TermMonths))-MIN(1,MAX(0,(nr_MStartP-1-$G4621+0.5)/nr_TermMonths))</f>
        <v>0</v>
      </c>
      <c r="R4621" s="76">
        <f t="shared" ref="R4621:R4668" si="1595">MIN(1,MAX(0,(nr_MEndP1-$G4621+0.5)/nr_TermMonths))-MIN(1,MAX(0,(nr_MStartP1-1-$G4621+0.5)/nr_TermMonths))</f>
        <v>0</v>
      </c>
    </row>
    <row r="4622" spans="1:21" x14ac:dyDescent="0.25">
      <c r="A4622" s="71">
        <v>2</v>
      </c>
      <c r="B4622" s="72">
        <f t="shared" ref="B4622:B4668" si="1596">EDATE($B4621,1)</f>
        <v>45689</v>
      </c>
      <c r="C4622" s="73">
        <f t="shared" si="1586"/>
        <v>45716</v>
      </c>
      <c r="D4622" s="67">
        <f t="shared" si="1587"/>
        <v>28</v>
      </c>
      <c r="E4622" s="67">
        <f t="shared" si="1588"/>
        <v>2</v>
      </c>
      <c r="F4622" s="74">
        <f t="shared" si="1589"/>
        <v>45703</v>
      </c>
      <c r="G4622" s="67">
        <f t="shared" si="1590"/>
        <v>24301</v>
      </c>
      <c r="H4622" s="75">
        <f t="shared" si="1591"/>
        <v>1</v>
      </c>
      <c r="O4622" s="77">
        <f t="shared" si="1592"/>
        <v>0.82107221006564546</v>
      </c>
      <c r="P4622" s="76">
        <f t="shared" si="1593"/>
        <v>0</v>
      </c>
      <c r="Q4622" s="76">
        <f t="shared" si="1594"/>
        <v>0</v>
      </c>
      <c r="R4622" s="76">
        <f t="shared" si="1595"/>
        <v>0</v>
      </c>
    </row>
    <row r="4623" spans="1:21" x14ac:dyDescent="0.25">
      <c r="A4623" s="71">
        <v>3</v>
      </c>
      <c r="B4623" s="72">
        <f t="shared" si="1596"/>
        <v>45717</v>
      </c>
      <c r="C4623" s="73">
        <f t="shared" si="1586"/>
        <v>45747</v>
      </c>
      <c r="D4623" s="67">
        <f t="shared" si="1587"/>
        <v>31</v>
      </c>
      <c r="E4623" s="67">
        <f t="shared" si="1588"/>
        <v>3</v>
      </c>
      <c r="F4623" s="74">
        <f t="shared" si="1589"/>
        <v>45732.5</v>
      </c>
      <c r="G4623" s="67">
        <f t="shared" si="1590"/>
        <v>24302</v>
      </c>
      <c r="H4623" s="75">
        <f t="shared" si="1591"/>
        <v>1</v>
      </c>
      <c r="O4623" s="77">
        <f t="shared" si="1592"/>
        <v>0.82300875273522978</v>
      </c>
      <c r="P4623" s="76">
        <f t="shared" si="1593"/>
        <v>0</v>
      </c>
      <c r="Q4623" s="76">
        <f t="shared" si="1594"/>
        <v>0</v>
      </c>
      <c r="R4623" s="76">
        <f t="shared" si="1595"/>
        <v>0</v>
      </c>
    </row>
    <row r="4624" spans="1:21" x14ac:dyDescent="0.25">
      <c r="A4624" s="71">
        <v>4</v>
      </c>
      <c r="B4624" s="72">
        <f t="shared" si="1596"/>
        <v>45748</v>
      </c>
      <c r="C4624" s="73">
        <f t="shared" si="1586"/>
        <v>45777</v>
      </c>
      <c r="D4624" s="67">
        <f t="shared" si="1587"/>
        <v>30</v>
      </c>
      <c r="E4624" s="67">
        <f t="shared" si="1588"/>
        <v>4</v>
      </c>
      <c r="F4624" s="74">
        <f t="shared" si="1589"/>
        <v>45763</v>
      </c>
      <c r="G4624" s="67">
        <f t="shared" si="1590"/>
        <v>24303</v>
      </c>
      <c r="H4624" s="75">
        <f t="shared" si="1591"/>
        <v>1</v>
      </c>
      <c r="O4624" s="77">
        <f t="shared" si="1592"/>
        <v>0.82501094091903715</v>
      </c>
      <c r="P4624" s="76">
        <f t="shared" si="1593"/>
        <v>0</v>
      </c>
      <c r="Q4624" s="76">
        <f t="shared" si="1594"/>
        <v>0</v>
      </c>
      <c r="R4624" s="76">
        <f t="shared" si="1595"/>
        <v>0</v>
      </c>
    </row>
    <row r="4625" spans="1:18" x14ac:dyDescent="0.25">
      <c r="A4625" s="71">
        <v>5</v>
      </c>
      <c r="B4625" s="72">
        <f t="shared" si="1596"/>
        <v>45778</v>
      </c>
      <c r="C4625" s="73">
        <f t="shared" si="1586"/>
        <v>45808</v>
      </c>
      <c r="D4625" s="67">
        <f t="shared" si="1587"/>
        <v>31</v>
      </c>
      <c r="E4625" s="67">
        <f t="shared" si="1588"/>
        <v>5</v>
      </c>
      <c r="F4625" s="74">
        <f t="shared" si="1589"/>
        <v>45793.5</v>
      </c>
      <c r="G4625" s="67">
        <f t="shared" si="1590"/>
        <v>24304</v>
      </c>
      <c r="H4625" s="75">
        <f t="shared" si="1591"/>
        <v>1</v>
      </c>
      <c r="O4625" s="77">
        <f t="shared" si="1592"/>
        <v>0.82701312910284464</v>
      </c>
      <c r="P4625" s="76">
        <f t="shared" si="1593"/>
        <v>0</v>
      </c>
      <c r="Q4625" s="76">
        <f t="shared" si="1594"/>
        <v>0</v>
      </c>
      <c r="R4625" s="76">
        <f t="shared" si="1595"/>
        <v>0</v>
      </c>
    </row>
    <row r="4626" spans="1:18" x14ac:dyDescent="0.25">
      <c r="A4626" s="71">
        <v>6</v>
      </c>
      <c r="B4626" s="72">
        <f t="shared" si="1596"/>
        <v>45809</v>
      </c>
      <c r="C4626" s="73">
        <f t="shared" si="1586"/>
        <v>45838</v>
      </c>
      <c r="D4626" s="67">
        <f t="shared" si="1587"/>
        <v>30</v>
      </c>
      <c r="E4626" s="67">
        <f t="shared" si="1588"/>
        <v>6</v>
      </c>
      <c r="F4626" s="74">
        <f t="shared" si="1589"/>
        <v>45824</v>
      </c>
      <c r="G4626" s="67">
        <f t="shared" si="1590"/>
        <v>24305</v>
      </c>
      <c r="H4626" s="75">
        <f t="shared" si="1591"/>
        <v>1</v>
      </c>
      <c r="O4626" s="77">
        <f t="shared" si="1592"/>
        <v>0.82901531728665201</v>
      </c>
      <c r="P4626" s="76">
        <f t="shared" si="1593"/>
        <v>0</v>
      </c>
      <c r="Q4626" s="76">
        <f t="shared" si="1594"/>
        <v>0</v>
      </c>
      <c r="R4626" s="76">
        <f t="shared" si="1595"/>
        <v>0</v>
      </c>
    </row>
    <row r="4627" spans="1:18" x14ac:dyDescent="0.25">
      <c r="A4627" s="71">
        <v>7</v>
      </c>
      <c r="B4627" s="72">
        <f t="shared" si="1596"/>
        <v>45839</v>
      </c>
      <c r="C4627" s="73">
        <f t="shared" si="1586"/>
        <v>45869</v>
      </c>
      <c r="D4627" s="67">
        <f t="shared" si="1587"/>
        <v>31</v>
      </c>
      <c r="E4627" s="67">
        <f t="shared" si="1588"/>
        <v>7</v>
      </c>
      <c r="F4627" s="74">
        <f t="shared" si="1589"/>
        <v>45854.5</v>
      </c>
      <c r="G4627" s="67">
        <f t="shared" si="1590"/>
        <v>24306</v>
      </c>
      <c r="H4627" s="75">
        <f t="shared" si="1591"/>
        <v>1</v>
      </c>
      <c r="O4627" s="77">
        <f t="shared" si="1592"/>
        <v>0.83101750547045949</v>
      </c>
      <c r="P4627" s="76">
        <f t="shared" si="1593"/>
        <v>8.333333333333337E-2</v>
      </c>
      <c r="Q4627" s="76">
        <f t="shared" si="1594"/>
        <v>0</v>
      </c>
      <c r="R4627" s="76">
        <f t="shared" si="1595"/>
        <v>0</v>
      </c>
    </row>
    <row r="4628" spans="1:18" x14ac:dyDescent="0.25">
      <c r="A4628" s="71">
        <v>8</v>
      </c>
      <c r="B4628" s="72">
        <f t="shared" si="1596"/>
        <v>45870</v>
      </c>
      <c r="C4628" s="73">
        <f t="shared" si="1586"/>
        <v>45900</v>
      </c>
      <c r="D4628" s="67">
        <f t="shared" si="1587"/>
        <v>31</v>
      </c>
      <c r="E4628" s="67">
        <f t="shared" si="1588"/>
        <v>8</v>
      </c>
      <c r="F4628" s="74">
        <f t="shared" si="1589"/>
        <v>45885.5</v>
      </c>
      <c r="G4628" s="67">
        <f t="shared" si="1590"/>
        <v>24307</v>
      </c>
      <c r="H4628" s="75">
        <f t="shared" si="1591"/>
        <v>1</v>
      </c>
      <c r="O4628" s="77">
        <f t="shared" si="1592"/>
        <v>0.83305251641137856</v>
      </c>
      <c r="P4628" s="76">
        <f t="shared" si="1593"/>
        <v>0.25</v>
      </c>
      <c r="Q4628" s="76">
        <f t="shared" si="1594"/>
        <v>0</v>
      </c>
      <c r="R4628" s="76">
        <f t="shared" si="1595"/>
        <v>0</v>
      </c>
    </row>
    <row r="4629" spans="1:18" x14ac:dyDescent="0.25">
      <c r="A4629" s="71">
        <v>9</v>
      </c>
      <c r="B4629" s="72">
        <f t="shared" si="1596"/>
        <v>45901</v>
      </c>
      <c r="C4629" s="73">
        <f t="shared" si="1586"/>
        <v>45930</v>
      </c>
      <c r="D4629" s="67">
        <f t="shared" si="1587"/>
        <v>30</v>
      </c>
      <c r="E4629" s="67">
        <f t="shared" si="1588"/>
        <v>9</v>
      </c>
      <c r="F4629" s="74">
        <f t="shared" si="1589"/>
        <v>45916</v>
      </c>
      <c r="G4629" s="67">
        <f t="shared" si="1590"/>
        <v>24308</v>
      </c>
      <c r="H4629" s="75">
        <f t="shared" si="1591"/>
        <v>1</v>
      </c>
      <c r="O4629" s="77">
        <f t="shared" si="1592"/>
        <v>0.83505470459518594</v>
      </c>
      <c r="P4629" s="76">
        <f t="shared" si="1593"/>
        <v>0.41666666666666663</v>
      </c>
      <c r="Q4629" s="76">
        <f t="shared" si="1594"/>
        <v>0</v>
      </c>
      <c r="R4629" s="76">
        <f t="shared" si="1595"/>
        <v>0</v>
      </c>
    </row>
    <row r="4630" spans="1:18" x14ac:dyDescent="0.25">
      <c r="A4630" s="71">
        <v>10</v>
      </c>
      <c r="B4630" s="72">
        <f t="shared" si="1596"/>
        <v>45931</v>
      </c>
      <c r="C4630" s="73">
        <f t="shared" si="1586"/>
        <v>45961</v>
      </c>
      <c r="D4630" s="67">
        <f t="shared" si="1587"/>
        <v>31</v>
      </c>
      <c r="E4630" s="67">
        <f t="shared" si="1588"/>
        <v>10</v>
      </c>
      <c r="F4630" s="74">
        <f t="shared" si="1589"/>
        <v>45946.5</v>
      </c>
      <c r="G4630" s="67">
        <f t="shared" si="1590"/>
        <v>24309</v>
      </c>
      <c r="H4630" s="75">
        <f t="shared" si="1591"/>
        <v>1</v>
      </c>
      <c r="O4630" s="77">
        <f t="shared" si="1592"/>
        <v>0.83705689277899342</v>
      </c>
      <c r="P4630" s="76">
        <f t="shared" si="1593"/>
        <v>0.58333333333333326</v>
      </c>
      <c r="Q4630" s="76">
        <f t="shared" si="1594"/>
        <v>0</v>
      </c>
      <c r="R4630" s="76">
        <f t="shared" si="1595"/>
        <v>0</v>
      </c>
    </row>
    <row r="4631" spans="1:18" x14ac:dyDescent="0.25">
      <c r="A4631" s="71">
        <v>11</v>
      </c>
      <c r="B4631" s="72">
        <f t="shared" si="1596"/>
        <v>45962</v>
      </c>
      <c r="C4631" s="73">
        <f t="shared" si="1586"/>
        <v>45991</v>
      </c>
      <c r="D4631" s="67">
        <f t="shared" si="1587"/>
        <v>30</v>
      </c>
      <c r="E4631" s="67">
        <f t="shared" si="1588"/>
        <v>11</v>
      </c>
      <c r="F4631" s="74">
        <f t="shared" si="1589"/>
        <v>45977</v>
      </c>
      <c r="G4631" s="67">
        <f t="shared" si="1590"/>
        <v>24310</v>
      </c>
      <c r="H4631" s="75">
        <f t="shared" si="1591"/>
        <v>1</v>
      </c>
      <c r="O4631" s="77">
        <f t="shared" si="1592"/>
        <v>0.8390590809628008</v>
      </c>
      <c r="P4631" s="76">
        <f t="shared" si="1593"/>
        <v>0.75</v>
      </c>
      <c r="Q4631" s="76">
        <f t="shared" si="1594"/>
        <v>0</v>
      </c>
      <c r="R4631" s="76">
        <f t="shared" si="1595"/>
        <v>0</v>
      </c>
    </row>
    <row r="4632" spans="1:18" x14ac:dyDescent="0.25">
      <c r="A4632" s="71">
        <v>12</v>
      </c>
      <c r="B4632" s="72">
        <f t="shared" si="1596"/>
        <v>45992</v>
      </c>
      <c r="C4632" s="73">
        <f t="shared" si="1586"/>
        <v>46022</v>
      </c>
      <c r="D4632" s="67">
        <f t="shared" si="1587"/>
        <v>31</v>
      </c>
      <c r="E4632" s="67">
        <f t="shared" si="1588"/>
        <v>12</v>
      </c>
      <c r="F4632" s="74">
        <f t="shared" si="1589"/>
        <v>46007.5</v>
      </c>
      <c r="G4632" s="67">
        <f t="shared" si="1590"/>
        <v>24311</v>
      </c>
      <c r="H4632" s="75">
        <f t="shared" si="1591"/>
        <v>1</v>
      </c>
      <c r="O4632" s="77">
        <f t="shared" si="1592"/>
        <v>0.84106126914660828</v>
      </c>
      <c r="P4632" s="76">
        <f t="shared" si="1593"/>
        <v>0.91666666666666663</v>
      </c>
      <c r="Q4632" s="76">
        <f t="shared" si="1594"/>
        <v>0</v>
      </c>
      <c r="R4632" s="76">
        <f t="shared" si="1595"/>
        <v>0</v>
      </c>
    </row>
    <row r="4633" spans="1:18" x14ac:dyDescent="0.25">
      <c r="A4633" s="71">
        <v>13</v>
      </c>
      <c r="B4633" s="72">
        <f t="shared" si="1596"/>
        <v>46023</v>
      </c>
      <c r="C4633" s="73">
        <f t="shared" si="1586"/>
        <v>46053</v>
      </c>
      <c r="D4633" s="67">
        <f t="shared" si="1587"/>
        <v>31</v>
      </c>
      <c r="E4633" s="67">
        <f t="shared" si="1588"/>
        <v>1</v>
      </c>
      <c r="F4633" s="74">
        <f t="shared" si="1589"/>
        <v>46038.5</v>
      </c>
      <c r="G4633" s="67">
        <f t="shared" si="1590"/>
        <v>24312</v>
      </c>
      <c r="H4633" s="75">
        <f t="shared" si="1591"/>
        <v>1</v>
      </c>
      <c r="O4633" s="77">
        <f t="shared" si="1592"/>
        <v>0.84309628008752735</v>
      </c>
      <c r="P4633" s="76">
        <f t="shared" si="1593"/>
        <v>1</v>
      </c>
      <c r="Q4633" s="76">
        <f t="shared" si="1594"/>
        <v>0</v>
      </c>
      <c r="R4633" s="76">
        <f t="shared" si="1595"/>
        <v>0</v>
      </c>
    </row>
    <row r="4634" spans="1:18" x14ac:dyDescent="0.25">
      <c r="A4634" s="71">
        <v>14</v>
      </c>
      <c r="B4634" s="72">
        <f t="shared" si="1596"/>
        <v>46054</v>
      </c>
      <c r="C4634" s="73">
        <f t="shared" si="1586"/>
        <v>46081</v>
      </c>
      <c r="D4634" s="67">
        <f t="shared" si="1587"/>
        <v>28</v>
      </c>
      <c r="E4634" s="67">
        <f t="shared" si="1588"/>
        <v>2</v>
      </c>
      <c r="F4634" s="74">
        <f t="shared" si="1589"/>
        <v>46068</v>
      </c>
      <c r="G4634" s="67">
        <f t="shared" si="1590"/>
        <v>24313</v>
      </c>
      <c r="H4634" s="75">
        <f t="shared" si="1591"/>
        <v>1</v>
      </c>
      <c r="O4634" s="77">
        <f t="shared" si="1592"/>
        <v>0.84503282275711156</v>
      </c>
      <c r="P4634" s="76">
        <f t="shared" si="1593"/>
        <v>1</v>
      </c>
      <c r="Q4634" s="76">
        <f t="shared" si="1594"/>
        <v>0</v>
      </c>
      <c r="R4634" s="76">
        <f t="shared" si="1595"/>
        <v>0</v>
      </c>
    </row>
    <row r="4635" spans="1:18" x14ac:dyDescent="0.25">
      <c r="A4635" s="71">
        <v>15</v>
      </c>
      <c r="B4635" s="72">
        <f t="shared" si="1596"/>
        <v>46082</v>
      </c>
      <c r="C4635" s="73">
        <f t="shared" si="1586"/>
        <v>46112</v>
      </c>
      <c r="D4635" s="67">
        <f t="shared" si="1587"/>
        <v>31</v>
      </c>
      <c r="E4635" s="67">
        <f t="shared" si="1588"/>
        <v>3</v>
      </c>
      <c r="F4635" s="74">
        <f t="shared" si="1589"/>
        <v>46097.5</v>
      </c>
      <c r="G4635" s="67">
        <f t="shared" si="1590"/>
        <v>24314</v>
      </c>
      <c r="H4635" s="75">
        <f t="shared" si="1591"/>
        <v>1</v>
      </c>
      <c r="O4635" s="77">
        <f t="shared" si="1592"/>
        <v>0.84696936542669587</v>
      </c>
      <c r="P4635" s="76">
        <f t="shared" si="1593"/>
        <v>1</v>
      </c>
      <c r="Q4635" s="76">
        <f t="shared" si="1594"/>
        <v>0</v>
      </c>
      <c r="R4635" s="76">
        <f t="shared" si="1595"/>
        <v>0</v>
      </c>
    </row>
    <row r="4636" spans="1:18" x14ac:dyDescent="0.25">
      <c r="A4636" s="71">
        <v>16</v>
      </c>
      <c r="B4636" s="72">
        <f t="shared" si="1596"/>
        <v>46113</v>
      </c>
      <c r="C4636" s="73">
        <f t="shared" si="1586"/>
        <v>46142</v>
      </c>
      <c r="D4636" s="67">
        <f t="shared" si="1587"/>
        <v>30</v>
      </c>
      <c r="E4636" s="67">
        <f t="shared" si="1588"/>
        <v>4</v>
      </c>
      <c r="F4636" s="74">
        <f t="shared" si="1589"/>
        <v>46128</v>
      </c>
      <c r="G4636" s="67">
        <f t="shared" si="1590"/>
        <v>24315</v>
      </c>
      <c r="H4636" s="75">
        <f t="shared" si="1591"/>
        <v>1</v>
      </c>
      <c r="O4636" s="77">
        <f t="shared" si="1592"/>
        <v>0.84897155361050325</v>
      </c>
      <c r="P4636" s="76">
        <f t="shared" si="1593"/>
        <v>1</v>
      </c>
      <c r="Q4636" s="76">
        <f t="shared" si="1594"/>
        <v>0</v>
      </c>
      <c r="R4636" s="76">
        <f t="shared" si="1595"/>
        <v>0</v>
      </c>
    </row>
    <row r="4637" spans="1:18" x14ac:dyDescent="0.25">
      <c r="A4637" s="71">
        <v>17</v>
      </c>
      <c r="B4637" s="72">
        <f t="shared" si="1596"/>
        <v>46143</v>
      </c>
      <c r="C4637" s="73">
        <f t="shared" si="1586"/>
        <v>46173</v>
      </c>
      <c r="D4637" s="67">
        <f t="shared" si="1587"/>
        <v>31</v>
      </c>
      <c r="E4637" s="67">
        <f t="shared" si="1588"/>
        <v>5</v>
      </c>
      <c r="F4637" s="74">
        <f t="shared" si="1589"/>
        <v>46158.5</v>
      </c>
      <c r="G4637" s="67">
        <f t="shared" si="1590"/>
        <v>24316</v>
      </c>
      <c r="H4637" s="75">
        <f t="shared" si="1591"/>
        <v>1</v>
      </c>
      <c r="O4637" s="77">
        <f t="shared" si="1592"/>
        <v>0.85097374179431073</v>
      </c>
      <c r="P4637" s="76">
        <f t="shared" si="1593"/>
        <v>1</v>
      </c>
      <c r="Q4637" s="76">
        <f t="shared" si="1594"/>
        <v>0</v>
      </c>
      <c r="R4637" s="76">
        <f t="shared" si="1595"/>
        <v>0</v>
      </c>
    </row>
    <row r="4638" spans="1:18" x14ac:dyDescent="0.25">
      <c r="A4638" s="71">
        <v>18</v>
      </c>
      <c r="B4638" s="72">
        <f t="shared" si="1596"/>
        <v>46174</v>
      </c>
      <c r="C4638" s="73">
        <f t="shared" si="1586"/>
        <v>46203</v>
      </c>
      <c r="D4638" s="67">
        <f t="shared" si="1587"/>
        <v>30</v>
      </c>
      <c r="E4638" s="67">
        <f t="shared" si="1588"/>
        <v>6</v>
      </c>
      <c r="F4638" s="74">
        <f t="shared" si="1589"/>
        <v>46189</v>
      </c>
      <c r="G4638" s="67">
        <f t="shared" si="1590"/>
        <v>24317</v>
      </c>
      <c r="H4638" s="75">
        <f t="shared" si="1591"/>
        <v>1</v>
      </c>
      <c r="O4638" s="77">
        <f t="shared" si="1592"/>
        <v>0.85297592997811811</v>
      </c>
      <c r="P4638" s="76">
        <f t="shared" si="1593"/>
        <v>1</v>
      </c>
      <c r="Q4638" s="76">
        <f t="shared" si="1594"/>
        <v>0</v>
      </c>
      <c r="R4638" s="76">
        <f t="shared" si="1595"/>
        <v>0</v>
      </c>
    </row>
    <row r="4639" spans="1:18" x14ac:dyDescent="0.25">
      <c r="A4639" s="71">
        <v>19</v>
      </c>
      <c r="B4639" s="72">
        <f t="shared" si="1596"/>
        <v>46204</v>
      </c>
      <c r="C4639" s="73">
        <f t="shared" si="1586"/>
        <v>46234</v>
      </c>
      <c r="D4639" s="67">
        <f t="shared" si="1587"/>
        <v>31</v>
      </c>
      <c r="E4639" s="67">
        <f t="shared" si="1588"/>
        <v>7</v>
      </c>
      <c r="F4639" s="74">
        <f t="shared" si="1589"/>
        <v>46219.5</v>
      </c>
      <c r="G4639" s="67">
        <f t="shared" si="1590"/>
        <v>24318</v>
      </c>
      <c r="H4639" s="75">
        <f t="shared" si="1591"/>
        <v>1</v>
      </c>
      <c r="O4639" s="77">
        <f t="shared" si="1592"/>
        <v>0.85497811816192559</v>
      </c>
      <c r="P4639" s="76">
        <f t="shared" si="1593"/>
        <v>0.91666666666666663</v>
      </c>
      <c r="Q4639" s="76">
        <f t="shared" si="1594"/>
        <v>8.333333333333337E-2</v>
      </c>
      <c r="R4639" s="76">
        <f t="shared" si="1595"/>
        <v>0</v>
      </c>
    </row>
    <row r="4640" spans="1:18" x14ac:dyDescent="0.25">
      <c r="A4640" s="71">
        <v>20</v>
      </c>
      <c r="B4640" s="72">
        <f t="shared" si="1596"/>
        <v>46235</v>
      </c>
      <c r="C4640" s="73">
        <f t="shared" si="1586"/>
        <v>46265</v>
      </c>
      <c r="D4640" s="67">
        <f t="shared" si="1587"/>
        <v>31</v>
      </c>
      <c r="E4640" s="67">
        <f t="shared" si="1588"/>
        <v>8</v>
      </c>
      <c r="F4640" s="74">
        <f t="shared" si="1589"/>
        <v>46250.5</v>
      </c>
      <c r="G4640" s="67">
        <f t="shared" si="1590"/>
        <v>24319</v>
      </c>
      <c r="H4640" s="75">
        <f t="shared" si="1591"/>
        <v>1</v>
      </c>
      <c r="O4640" s="77">
        <f t="shared" si="1592"/>
        <v>0.85701312910284466</v>
      </c>
      <c r="P4640" s="76">
        <f t="shared" si="1593"/>
        <v>0.75</v>
      </c>
      <c r="Q4640" s="76">
        <f t="shared" si="1594"/>
        <v>0.25</v>
      </c>
      <c r="R4640" s="76">
        <f t="shared" si="1595"/>
        <v>0</v>
      </c>
    </row>
    <row r="4641" spans="1:18" x14ac:dyDescent="0.25">
      <c r="A4641" s="71">
        <v>21</v>
      </c>
      <c r="B4641" s="72">
        <f t="shared" si="1596"/>
        <v>46266</v>
      </c>
      <c r="C4641" s="73">
        <f t="shared" si="1586"/>
        <v>46295</v>
      </c>
      <c r="D4641" s="67">
        <f t="shared" si="1587"/>
        <v>30</v>
      </c>
      <c r="E4641" s="67">
        <f t="shared" si="1588"/>
        <v>9</v>
      </c>
      <c r="F4641" s="74">
        <f t="shared" si="1589"/>
        <v>46281</v>
      </c>
      <c r="G4641" s="67">
        <f t="shared" si="1590"/>
        <v>24320</v>
      </c>
      <c r="H4641" s="75">
        <f t="shared" si="1591"/>
        <v>1</v>
      </c>
      <c r="O4641" s="77">
        <f t="shared" si="1592"/>
        <v>0.85901531728665204</v>
      </c>
      <c r="P4641" s="76">
        <f t="shared" si="1593"/>
        <v>0.58333333333333337</v>
      </c>
      <c r="Q4641" s="76">
        <f t="shared" si="1594"/>
        <v>0.41666666666666663</v>
      </c>
      <c r="R4641" s="76">
        <f t="shared" si="1595"/>
        <v>0</v>
      </c>
    </row>
    <row r="4642" spans="1:18" x14ac:dyDescent="0.25">
      <c r="A4642" s="71">
        <v>22</v>
      </c>
      <c r="B4642" s="72">
        <f t="shared" si="1596"/>
        <v>46296</v>
      </c>
      <c r="C4642" s="73">
        <f t="shared" si="1586"/>
        <v>46326</v>
      </c>
      <c r="D4642" s="67">
        <f t="shared" si="1587"/>
        <v>31</v>
      </c>
      <c r="E4642" s="67">
        <f t="shared" si="1588"/>
        <v>10</v>
      </c>
      <c r="F4642" s="74">
        <f t="shared" si="1589"/>
        <v>46311.5</v>
      </c>
      <c r="G4642" s="67">
        <f t="shared" si="1590"/>
        <v>24321</v>
      </c>
      <c r="H4642" s="75">
        <f t="shared" si="1591"/>
        <v>1</v>
      </c>
      <c r="O4642" s="77">
        <f t="shared" si="1592"/>
        <v>0.86101750547045952</v>
      </c>
      <c r="P4642" s="76">
        <f t="shared" si="1593"/>
        <v>0.41666666666666669</v>
      </c>
      <c r="Q4642" s="76">
        <f t="shared" si="1594"/>
        <v>0.58333333333333326</v>
      </c>
      <c r="R4642" s="76">
        <f t="shared" si="1595"/>
        <v>0</v>
      </c>
    </row>
    <row r="4643" spans="1:18" x14ac:dyDescent="0.25">
      <c r="A4643" s="71">
        <v>23</v>
      </c>
      <c r="B4643" s="72">
        <f t="shared" si="1596"/>
        <v>46327</v>
      </c>
      <c r="C4643" s="73">
        <f t="shared" si="1586"/>
        <v>46356</v>
      </c>
      <c r="D4643" s="67">
        <f t="shared" si="1587"/>
        <v>30</v>
      </c>
      <c r="E4643" s="67">
        <f t="shared" si="1588"/>
        <v>11</v>
      </c>
      <c r="F4643" s="74">
        <f t="shared" si="1589"/>
        <v>46342</v>
      </c>
      <c r="G4643" s="67">
        <f t="shared" si="1590"/>
        <v>24322</v>
      </c>
      <c r="H4643" s="75">
        <f t="shared" si="1591"/>
        <v>1</v>
      </c>
      <c r="O4643" s="77">
        <f t="shared" si="1592"/>
        <v>0.8630196936542669</v>
      </c>
      <c r="P4643" s="76">
        <f t="shared" si="1593"/>
        <v>0.25</v>
      </c>
      <c r="Q4643" s="76">
        <f t="shared" si="1594"/>
        <v>0.75</v>
      </c>
      <c r="R4643" s="76">
        <f t="shared" si="1595"/>
        <v>0</v>
      </c>
    </row>
    <row r="4644" spans="1:18" x14ac:dyDescent="0.25">
      <c r="A4644" s="71">
        <v>24</v>
      </c>
      <c r="B4644" s="72">
        <f t="shared" si="1596"/>
        <v>46357</v>
      </c>
      <c r="C4644" s="73">
        <f t="shared" si="1586"/>
        <v>46387</v>
      </c>
      <c r="D4644" s="67">
        <f t="shared" si="1587"/>
        <v>31</v>
      </c>
      <c r="E4644" s="67">
        <f t="shared" si="1588"/>
        <v>12</v>
      </c>
      <c r="F4644" s="74">
        <f t="shared" si="1589"/>
        <v>46372.5</v>
      </c>
      <c r="G4644" s="67">
        <f t="shared" si="1590"/>
        <v>24323</v>
      </c>
      <c r="H4644" s="75">
        <f t="shared" si="1591"/>
        <v>1</v>
      </c>
      <c r="O4644" s="77">
        <f t="shared" si="1592"/>
        <v>0.86502188183807438</v>
      </c>
      <c r="P4644" s="76">
        <f t="shared" si="1593"/>
        <v>8.3333333333333329E-2</v>
      </c>
      <c r="Q4644" s="76">
        <f t="shared" si="1594"/>
        <v>0.91666666666666663</v>
      </c>
      <c r="R4644" s="76">
        <f t="shared" si="1595"/>
        <v>0</v>
      </c>
    </row>
    <row r="4645" spans="1:18" x14ac:dyDescent="0.25">
      <c r="A4645" s="71">
        <v>25</v>
      </c>
      <c r="B4645" s="72">
        <f t="shared" si="1596"/>
        <v>46388</v>
      </c>
      <c r="C4645" s="73">
        <f t="shared" si="1586"/>
        <v>46418</v>
      </c>
      <c r="D4645" s="67">
        <f t="shared" si="1587"/>
        <v>31</v>
      </c>
      <c r="E4645" s="67">
        <f t="shared" si="1588"/>
        <v>1</v>
      </c>
      <c r="F4645" s="74">
        <f t="shared" si="1589"/>
        <v>46403.5</v>
      </c>
      <c r="G4645" s="67">
        <f t="shared" si="1590"/>
        <v>24324</v>
      </c>
      <c r="H4645" s="75">
        <f t="shared" si="1591"/>
        <v>1</v>
      </c>
      <c r="O4645" s="77">
        <f t="shared" si="1592"/>
        <v>0.86705689277899345</v>
      </c>
      <c r="P4645" s="76">
        <f t="shared" si="1593"/>
        <v>0</v>
      </c>
      <c r="Q4645" s="76">
        <f t="shared" si="1594"/>
        <v>1</v>
      </c>
      <c r="R4645" s="76">
        <f t="shared" si="1595"/>
        <v>0</v>
      </c>
    </row>
    <row r="4646" spans="1:18" x14ac:dyDescent="0.25">
      <c r="A4646" s="71">
        <v>26</v>
      </c>
      <c r="B4646" s="72">
        <f t="shared" si="1596"/>
        <v>46419</v>
      </c>
      <c r="C4646" s="73">
        <f t="shared" si="1586"/>
        <v>46446</v>
      </c>
      <c r="D4646" s="67">
        <f t="shared" si="1587"/>
        <v>28</v>
      </c>
      <c r="E4646" s="67">
        <f t="shared" si="1588"/>
        <v>2</v>
      </c>
      <c r="F4646" s="74">
        <f t="shared" si="1589"/>
        <v>46433</v>
      </c>
      <c r="G4646" s="67">
        <f t="shared" si="1590"/>
        <v>24325</v>
      </c>
      <c r="H4646" s="75">
        <f t="shared" si="1591"/>
        <v>1</v>
      </c>
      <c r="O4646" s="77">
        <f t="shared" si="1592"/>
        <v>0.86899343544857766</v>
      </c>
      <c r="P4646" s="76">
        <f t="shared" si="1593"/>
        <v>0</v>
      </c>
      <c r="Q4646" s="76">
        <f t="shared" si="1594"/>
        <v>1</v>
      </c>
      <c r="R4646" s="76">
        <f t="shared" si="1595"/>
        <v>0</v>
      </c>
    </row>
    <row r="4647" spans="1:18" x14ac:dyDescent="0.25">
      <c r="A4647" s="71">
        <v>27</v>
      </c>
      <c r="B4647" s="72">
        <f t="shared" si="1596"/>
        <v>46447</v>
      </c>
      <c r="C4647" s="73">
        <f t="shared" si="1586"/>
        <v>46477</v>
      </c>
      <c r="D4647" s="67">
        <f t="shared" si="1587"/>
        <v>31</v>
      </c>
      <c r="E4647" s="67">
        <f t="shared" si="1588"/>
        <v>3</v>
      </c>
      <c r="F4647" s="74">
        <f t="shared" si="1589"/>
        <v>46462.5</v>
      </c>
      <c r="G4647" s="67">
        <f t="shared" si="1590"/>
        <v>24326</v>
      </c>
      <c r="H4647" s="75">
        <f t="shared" si="1591"/>
        <v>1</v>
      </c>
      <c r="O4647" s="77">
        <f t="shared" si="1592"/>
        <v>0.87092997811816197</v>
      </c>
      <c r="P4647" s="76">
        <f t="shared" si="1593"/>
        <v>0</v>
      </c>
      <c r="Q4647" s="76">
        <f t="shared" si="1594"/>
        <v>1</v>
      </c>
      <c r="R4647" s="76">
        <f t="shared" si="1595"/>
        <v>0</v>
      </c>
    </row>
    <row r="4648" spans="1:18" x14ac:dyDescent="0.25">
      <c r="A4648" s="71">
        <v>28</v>
      </c>
      <c r="B4648" s="72">
        <f t="shared" si="1596"/>
        <v>46478</v>
      </c>
      <c r="C4648" s="73">
        <f t="shared" si="1586"/>
        <v>46507</v>
      </c>
      <c r="D4648" s="67">
        <f t="shared" si="1587"/>
        <v>30</v>
      </c>
      <c r="E4648" s="67">
        <f t="shared" si="1588"/>
        <v>4</v>
      </c>
      <c r="F4648" s="74">
        <f t="shared" si="1589"/>
        <v>46493</v>
      </c>
      <c r="G4648" s="67">
        <f t="shared" si="1590"/>
        <v>24327</v>
      </c>
      <c r="H4648" s="75">
        <f t="shared" si="1591"/>
        <v>1</v>
      </c>
      <c r="O4648" s="77">
        <f t="shared" si="1592"/>
        <v>0.87293216630196935</v>
      </c>
      <c r="P4648" s="76">
        <f t="shared" si="1593"/>
        <v>0</v>
      </c>
      <c r="Q4648" s="76">
        <f t="shared" si="1594"/>
        <v>1</v>
      </c>
      <c r="R4648" s="76">
        <f t="shared" si="1595"/>
        <v>0</v>
      </c>
    </row>
    <row r="4649" spans="1:18" x14ac:dyDescent="0.25">
      <c r="A4649" s="71">
        <v>29</v>
      </c>
      <c r="B4649" s="72">
        <f t="shared" si="1596"/>
        <v>46508</v>
      </c>
      <c r="C4649" s="73">
        <f t="shared" si="1586"/>
        <v>46538</v>
      </c>
      <c r="D4649" s="67">
        <f t="shared" si="1587"/>
        <v>31</v>
      </c>
      <c r="E4649" s="67">
        <f t="shared" si="1588"/>
        <v>5</v>
      </c>
      <c r="F4649" s="74">
        <f t="shared" si="1589"/>
        <v>46523.5</v>
      </c>
      <c r="G4649" s="67">
        <f t="shared" si="1590"/>
        <v>24328</v>
      </c>
      <c r="H4649" s="75">
        <f t="shared" si="1591"/>
        <v>1</v>
      </c>
      <c r="O4649" s="77">
        <f t="shared" si="1592"/>
        <v>0.87493435448577683</v>
      </c>
      <c r="P4649" s="76">
        <f t="shared" si="1593"/>
        <v>0</v>
      </c>
      <c r="Q4649" s="76">
        <f t="shared" si="1594"/>
        <v>1</v>
      </c>
      <c r="R4649" s="76">
        <f t="shared" si="1595"/>
        <v>0</v>
      </c>
    </row>
    <row r="4650" spans="1:18" x14ac:dyDescent="0.25">
      <c r="A4650" s="71">
        <v>30</v>
      </c>
      <c r="B4650" s="72">
        <f t="shared" si="1596"/>
        <v>46539</v>
      </c>
      <c r="C4650" s="73">
        <f t="shared" si="1586"/>
        <v>46568</v>
      </c>
      <c r="D4650" s="67">
        <f t="shared" si="1587"/>
        <v>30</v>
      </c>
      <c r="E4650" s="67">
        <f t="shared" si="1588"/>
        <v>6</v>
      </c>
      <c r="F4650" s="74">
        <f t="shared" si="1589"/>
        <v>46554</v>
      </c>
      <c r="G4650" s="67">
        <f t="shared" si="1590"/>
        <v>24329</v>
      </c>
      <c r="H4650" s="75">
        <f t="shared" si="1591"/>
        <v>1</v>
      </c>
      <c r="O4650" s="77">
        <f t="shared" si="1592"/>
        <v>0.87693654266958421</v>
      </c>
      <c r="P4650" s="76">
        <f t="shared" si="1593"/>
        <v>0</v>
      </c>
      <c r="Q4650" s="76">
        <f t="shared" si="1594"/>
        <v>1</v>
      </c>
      <c r="R4650" s="76">
        <f t="shared" si="1595"/>
        <v>0</v>
      </c>
    </row>
    <row r="4651" spans="1:18" x14ac:dyDescent="0.25">
      <c r="A4651" s="71">
        <v>31</v>
      </c>
      <c r="B4651" s="72">
        <f t="shared" si="1596"/>
        <v>46569</v>
      </c>
      <c r="C4651" s="73">
        <f t="shared" si="1586"/>
        <v>46599</v>
      </c>
      <c r="D4651" s="67">
        <f t="shared" si="1587"/>
        <v>31</v>
      </c>
      <c r="E4651" s="67">
        <f t="shared" si="1588"/>
        <v>7</v>
      </c>
      <c r="F4651" s="74">
        <f t="shared" si="1589"/>
        <v>46584.5</v>
      </c>
      <c r="G4651" s="67">
        <f t="shared" si="1590"/>
        <v>24330</v>
      </c>
      <c r="H4651" s="75">
        <f t="shared" si="1591"/>
        <v>1</v>
      </c>
      <c r="O4651" s="77">
        <f t="shared" si="1592"/>
        <v>0.87893873085339169</v>
      </c>
      <c r="P4651" s="76">
        <f t="shared" si="1593"/>
        <v>0</v>
      </c>
      <c r="Q4651" s="76">
        <f t="shared" si="1594"/>
        <v>0.91666666666666663</v>
      </c>
      <c r="R4651" s="76">
        <f t="shared" si="1595"/>
        <v>8.333333333333337E-2</v>
      </c>
    </row>
    <row r="4652" spans="1:18" x14ac:dyDescent="0.25">
      <c r="A4652" s="71">
        <v>32</v>
      </c>
      <c r="B4652" s="72">
        <f t="shared" si="1596"/>
        <v>46600</v>
      </c>
      <c r="C4652" s="73">
        <f t="shared" si="1586"/>
        <v>46630</v>
      </c>
      <c r="D4652" s="67">
        <f t="shared" si="1587"/>
        <v>31</v>
      </c>
      <c r="E4652" s="67">
        <f t="shared" si="1588"/>
        <v>8</v>
      </c>
      <c r="F4652" s="74">
        <f t="shared" si="1589"/>
        <v>46615.5</v>
      </c>
      <c r="G4652" s="67">
        <f t="shared" si="1590"/>
        <v>24331</v>
      </c>
      <c r="H4652" s="75">
        <f t="shared" si="1591"/>
        <v>1</v>
      </c>
      <c r="O4652" s="77">
        <f t="shared" si="1592"/>
        <v>0.88097374179431076</v>
      </c>
      <c r="P4652" s="76">
        <f t="shared" si="1593"/>
        <v>0</v>
      </c>
      <c r="Q4652" s="76">
        <f t="shared" si="1594"/>
        <v>0.75</v>
      </c>
      <c r="R4652" s="76">
        <f t="shared" si="1595"/>
        <v>0.25</v>
      </c>
    </row>
    <row r="4653" spans="1:18" x14ac:dyDescent="0.25">
      <c r="A4653" s="71">
        <v>33</v>
      </c>
      <c r="B4653" s="72">
        <f t="shared" si="1596"/>
        <v>46631</v>
      </c>
      <c r="C4653" s="73">
        <f t="shared" si="1586"/>
        <v>46660</v>
      </c>
      <c r="D4653" s="67">
        <f t="shared" si="1587"/>
        <v>30</v>
      </c>
      <c r="E4653" s="67">
        <f t="shared" si="1588"/>
        <v>9</v>
      </c>
      <c r="F4653" s="74">
        <f t="shared" si="1589"/>
        <v>46646</v>
      </c>
      <c r="G4653" s="67">
        <f t="shared" si="1590"/>
        <v>24332</v>
      </c>
      <c r="H4653" s="75">
        <f t="shared" si="1591"/>
        <v>1</v>
      </c>
      <c r="O4653" s="77">
        <f t="shared" si="1592"/>
        <v>0.88297592997811813</v>
      </c>
      <c r="P4653" s="76">
        <f t="shared" si="1593"/>
        <v>0</v>
      </c>
      <c r="Q4653" s="76">
        <f t="shared" si="1594"/>
        <v>0.58333333333333337</v>
      </c>
      <c r="R4653" s="76">
        <f t="shared" si="1595"/>
        <v>0.41666666666666663</v>
      </c>
    </row>
    <row r="4654" spans="1:18" x14ac:dyDescent="0.25">
      <c r="A4654" s="71">
        <v>34</v>
      </c>
      <c r="B4654" s="72">
        <f t="shared" si="1596"/>
        <v>46661</v>
      </c>
      <c r="C4654" s="73">
        <f t="shared" si="1586"/>
        <v>46691</v>
      </c>
      <c r="D4654" s="67">
        <f t="shared" si="1587"/>
        <v>31</v>
      </c>
      <c r="E4654" s="67">
        <f t="shared" si="1588"/>
        <v>10</v>
      </c>
      <c r="F4654" s="74">
        <f t="shared" si="1589"/>
        <v>46676.5</v>
      </c>
      <c r="G4654" s="67">
        <f t="shared" si="1590"/>
        <v>24333</v>
      </c>
      <c r="H4654" s="75">
        <f t="shared" si="1591"/>
        <v>1</v>
      </c>
      <c r="O4654" s="77">
        <f t="shared" si="1592"/>
        <v>0.88497811816192562</v>
      </c>
      <c r="P4654" s="76">
        <f t="shared" si="1593"/>
        <v>0</v>
      </c>
      <c r="Q4654" s="76">
        <f t="shared" si="1594"/>
        <v>0.41666666666666669</v>
      </c>
      <c r="R4654" s="76">
        <f t="shared" si="1595"/>
        <v>0.58333333333333326</v>
      </c>
    </row>
    <row r="4655" spans="1:18" x14ac:dyDescent="0.25">
      <c r="A4655" s="71">
        <v>35</v>
      </c>
      <c r="B4655" s="72">
        <f t="shared" si="1596"/>
        <v>46692</v>
      </c>
      <c r="C4655" s="73">
        <f t="shared" si="1586"/>
        <v>46721</v>
      </c>
      <c r="D4655" s="67">
        <f t="shared" si="1587"/>
        <v>30</v>
      </c>
      <c r="E4655" s="67">
        <f t="shared" si="1588"/>
        <v>11</v>
      </c>
      <c r="F4655" s="74">
        <f t="shared" si="1589"/>
        <v>46707</v>
      </c>
      <c r="G4655" s="67">
        <f t="shared" si="1590"/>
        <v>24334</v>
      </c>
      <c r="H4655" s="75">
        <f t="shared" si="1591"/>
        <v>1</v>
      </c>
      <c r="O4655" s="77">
        <f t="shared" si="1592"/>
        <v>0.8869803063457331</v>
      </c>
      <c r="P4655" s="76">
        <f t="shared" si="1593"/>
        <v>0</v>
      </c>
      <c r="Q4655" s="76">
        <f t="shared" si="1594"/>
        <v>0.25</v>
      </c>
      <c r="R4655" s="76">
        <f t="shared" si="1595"/>
        <v>0.75</v>
      </c>
    </row>
    <row r="4656" spans="1:18" x14ac:dyDescent="0.25">
      <c r="A4656" s="71">
        <v>36</v>
      </c>
      <c r="B4656" s="72">
        <f t="shared" si="1596"/>
        <v>46722</v>
      </c>
      <c r="C4656" s="73">
        <f t="shared" si="1586"/>
        <v>46752</v>
      </c>
      <c r="D4656" s="67">
        <f t="shared" si="1587"/>
        <v>31</v>
      </c>
      <c r="E4656" s="67">
        <f t="shared" si="1588"/>
        <v>12</v>
      </c>
      <c r="F4656" s="74">
        <f t="shared" si="1589"/>
        <v>46737.5</v>
      </c>
      <c r="G4656" s="67">
        <f t="shared" si="1590"/>
        <v>24335</v>
      </c>
      <c r="H4656" s="75">
        <f t="shared" si="1591"/>
        <v>1</v>
      </c>
      <c r="O4656" s="77">
        <f t="shared" si="1592"/>
        <v>0.88898249452954048</v>
      </c>
      <c r="P4656" s="76">
        <f t="shared" si="1593"/>
        <v>0</v>
      </c>
      <c r="Q4656" s="76">
        <f t="shared" si="1594"/>
        <v>8.3333333333333329E-2</v>
      </c>
      <c r="R4656" s="76">
        <f t="shared" si="1595"/>
        <v>0.91666666666666663</v>
      </c>
    </row>
    <row r="4657" spans="1:18" x14ac:dyDescent="0.25">
      <c r="A4657" s="71">
        <v>37</v>
      </c>
      <c r="B4657" s="72">
        <f t="shared" si="1596"/>
        <v>46753</v>
      </c>
      <c r="C4657" s="73">
        <f t="shared" si="1586"/>
        <v>46783</v>
      </c>
      <c r="D4657" s="67">
        <f t="shared" si="1587"/>
        <v>31</v>
      </c>
      <c r="E4657" s="67">
        <f t="shared" si="1588"/>
        <v>1</v>
      </c>
      <c r="F4657" s="74">
        <f t="shared" si="1589"/>
        <v>46768.5</v>
      </c>
      <c r="G4657" s="67">
        <f t="shared" si="1590"/>
        <v>24336</v>
      </c>
      <c r="H4657" s="75">
        <f t="shared" si="1591"/>
        <v>1</v>
      </c>
      <c r="O4657" s="77">
        <f t="shared" si="1592"/>
        <v>0.89</v>
      </c>
      <c r="P4657" s="76">
        <f t="shared" si="1593"/>
        <v>0</v>
      </c>
      <c r="Q4657" s="76">
        <f t="shared" si="1594"/>
        <v>0</v>
      </c>
      <c r="R4657" s="76">
        <f t="shared" si="1595"/>
        <v>1</v>
      </c>
    </row>
    <row r="4658" spans="1:18" x14ac:dyDescent="0.25">
      <c r="A4658" s="71">
        <v>38</v>
      </c>
      <c r="B4658" s="72">
        <f t="shared" si="1596"/>
        <v>46784</v>
      </c>
      <c r="C4658" s="73">
        <f t="shared" si="1586"/>
        <v>46812</v>
      </c>
      <c r="D4658" s="67">
        <f t="shared" si="1587"/>
        <v>29</v>
      </c>
      <c r="E4658" s="67">
        <f t="shared" si="1588"/>
        <v>2</v>
      </c>
      <c r="F4658" s="74">
        <f t="shared" si="1589"/>
        <v>46798.5</v>
      </c>
      <c r="G4658" s="67">
        <f t="shared" si="1590"/>
        <v>24337</v>
      </c>
      <c r="H4658" s="75">
        <f t="shared" si="1591"/>
        <v>1</v>
      </c>
      <c r="O4658" s="77">
        <f t="shared" si="1592"/>
        <v>0.89</v>
      </c>
      <c r="P4658" s="76">
        <f t="shared" si="1593"/>
        <v>0</v>
      </c>
      <c r="Q4658" s="76">
        <f t="shared" si="1594"/>
        <v>0</v>
      </c>
      <c r="R4658" s="76">
        <f t="shared" si="1595"/>
        <v>1</v>
      </c>
    </row>
    <row r="4659" spans="1:18" x14ac:dyDescent="0.25">
      <c r="A4659" s="71">
        <v>39</v>
      </c>
      <c r="B4659" s="72">
        <f t="shared" si="1596"/>
        <v>46813</v>
      </c>
      <c r="C4659" s="73">
        <f t="shared" si="1586"/>
        <v>46843</v>
      </c>
      <c r="D4659" s="67">
        <f t="shared" si="1587"/>
        <v>31</v>
      </c>
      <c r="E4659" s="67">
        <f t="shared" si="1588"/>
        <v>3</v>
      </c>
      <c r="F4659" s="74">
        <f t="shared" si="1589"/>
        <v>46828.5</v>
      </c>
      <c r="G4659" s="67">
        <f t="shared" si="1590"/>
        <v>24338</v>
      </c>
      <c r="H4659" s="75">
        <f t="shared" si="1591"/>
        <v>1</v>
      </c>
      <c r="O4659" s="77">
        <f t="shared" si="1592"/>
        <v>0.89</v>
      </c>
      <c r="P4659" s="76">
        <f t="shared" si="1593"/>
        <v>0</v>
      </c>
      <c r="Q4659" s="76">
        <f t="shared" si="1594"/>
        <v>0</v>
      </c>
      <c r="R4659" s="76">
        <f t="shared" si="1595"/>
        <v>1</v>
      </c>
    </row>
    <row r="4660" spans="1:18" x14ac:dyDescent="0.25">
      <c r="A4660" s="71">
        <v>40</v>
      </c>
      <c r="B4660" s="72">
        <f t="shared" si="1596"/>
        <v>46844</v>
      </c>
      <c r="C4660" s="73">
        <f t="shared" si="1586"/>
        <v>46873</v>
      </c>
      <c r="D4660" s="67">
        <f t="shared" si="1587"/>
        <v>30</v>
      </c>
      <c r="E4660" s="67">
        <f t="shared" si="1588"/>
        <v>4</v>
      </c>
      <c r="F4660" s="74">
        <f t="shared" si="1589"/>
        <v>46859</v>
      </c>
      <c r="G4660" s="67">
        <f t="shared" si="1590"/>
        <v>24339</v>
      </c>
      <c r="H4660" s="75">
        <f t="shared" si="1591"/>
        <v>1</v>
      </c>
      <c r="O4660" s="77">
        <f t="shared" si="1592"/>
        <v>0.89</v>
      </c>
      <c r="P4660" s="76">
        <f t="shared" si="1593"/>
        <v>0</v>
      </c>
      <c r="Q4660" s="76">
        <f t="shared" si="1594"/>
        <v>0</v>
      </c>
      <c r="R4660" s="76">
        <f t="shared" si="1595"/>
        <v>1</v>
      </c>
    </row>
    <row r="4661" spans="1:18" x14ac:dyDescent="0.25">
      <c r="A4661" s="71">
        <v>41</v>
      </c>
      <c r="B4661" s="72">
        <f t="shared" si="1596"/>
        <v>46874</v>
      </c>
      <c r="C4661" s="73">
        <f t="shared" si="1586"/>
        <v>46904</v>
      </c>
      <c r="D4661" s="67">
        <f t="shared" si="1587"/>
        <v>31</v>
      </c>
      <c r="E4661" s="67">
        <f t="shared" si="1588"/>
        <v>5</v>
      </c>
      <c r="F4661" s="74">
        <f t="shared" si="1589"/>
        <v>46889.5</v>
      </c>
      <c r="G4661" s="67">
        <f t="shared" si="1590"/>
        <v>24340</v>
      </c>
      <c r="H4661" s="75">
        <f t="shared" si="1591"/>
        <v>1</v>
      </c>
      <c r="O4661" s="77">
        <f t="shared" si="1592"/>
        <v>0.89</v>
      </c>
      <c r="P4661" s="76">
        <f t="shared" si="1593"/>
        <v>0</v>
      </c>
      <c r="Q4661" s="76">
        <f t="shared" si="1594"/>
        <v>0</v>
      </c>
      <c r="R4661" s="76">
        <f t="shared" si="1595"/>
        <v>1</v>
      </c>
    </row>
    <row r="4662" spans="1:18" x14ac:dyDescent="0.25">
      <c r="A4662" s="71">
        <v>42</v>
      </c>
      <c r="B4662" s="72">
        <f t="shared" si="1596"/>
        <v>46905</v>
      </c>
      <c r="C4662" s="73">
        <f t="shared" si="1586"/>
        <v>46934</v>
      </c>
      <c r="D4662" s="67">
        <f t="shared" si="1587"/>
        <v>30</v>
      </c>
      <c r="E4662" s="67">
        <f t="shared" si="1588"/>
        <v>6</v>
      </c>
      <c r="F4662" s="74">
        <f t="shared" si="1589"/>
        <v>46920</v>
      </c>
      <c r="G4662" s="67">
        <f t="shared" si="1590"/>
        <v>24341</v>
      </c>
      <c r="H4662" s="75">
        <f t="shared" si="1591"/>
        <v>1</v>
      </c>
      <c r="O4662" s="77">
        <f t="shared" si="1592"/>
        <v>0.89</v>
      </c>
      <c r="P4662" s="76">
        <f t="shared" si="1593"/>
        <v>0</v>
      </c>
      <c r="Q4662" s="76">
        <f t="shared" si="1594"/>
        <v>0</v>
      </c>
      <c r="R4662" s="76">
        <f t="shared" si="1595"/>
        <v>1</v>
      </c>
    </row>
    <row r="4663" spans="1:18" x14ac:dyDescent="0.25">
      <c r="A4663" s="71">
        <v>43</v>
      </c>
      <c r="B4663" s="72">
        <f t="shared" si="1596"/>
        <v>46935</v>
      </c>
      <c r="C4663" s="73">
        <f t="shared" si="1586"/>
        <v>46965</v>
      </c>
      <c r="D4663" s="67">
        <f t="shared" si="1587"/>
        <v>31</v>
      </c>
      <c r="E4663" s="67">
        <f t="shared" si="1588"/>
        <v>7</v>
      </c>
      <c r="F4663" s="74">
        <f t="shared" si="1589"/>
        <v>46950.5</v>
      </c>
      <c r="G4663" s="67">
        <f t="shared" si="1590"/>
        <v>24342</v>
      </c>
      <c r="H4663" s="75">
        <f t="shared" si="1591"/>
        <v>1</v>
      </c>
      <c r="O4663" s="77">
        <f t="shared" si="1592"/>
        <v>0.89</v>
      </c>
      <c r="P4663" s="76">
        <f t="shared" si="1593"/>
        <v>0</v>
      </c>
      <c r="Q4663" s="76">
        <f t="shared" si="1594"/>
        <v>0</v>
      </c>
      <c r="R4663" s="76">
        <f t="shared" si="1595"/>
        <v>0.91666666666666663</v>
      </c>
    </row>
    <row r="4664" spans="1:18" x14ac:dyDescent="0.25">
      <c r="A4664" s="71">
        <v>44</v>
      </c>
      <c r="B4664" s="72">
        <f t="shared" si="1596"/>
        <v>46966</v>
      </c>
      <c r="C4664" s="73">
        <f t="shared" si="1586"/>
        <v>46996</v>
      </c>
      <c r="D4664" s="67">
        <f t="shared" si="1587"/>
        <v>31</v>
      </c>
      <c r="E4664" s="67">
        <f t="shared" si="1588"/>
        <v>8</v>
      </c>
      <c r="F4664" s="74">
        <f t="shared" si="1589"/>
        <v>46981.5</v>
      </c>
      <c r="G4664" s="67">
        <f t="shared" si="1590"/>
        <v>24343</v>
      </c>
      <c r="H4664" s="75">
        <f t="shared" si="1591"/>
        <v>1</v>
      </c>
      <c r="O4664" s="77">
        <f t="shared" si="1592"/>
        <v>0.89</v>
      </c>
      <c r="P4664" s="76">
        <f t="shared" si="1593"/>
        <v>0</v>
      </c>
      <c r="Q4664" s="76">
        <f t="shared" si="1594"/>
        <v>0</v>
      </c>
      <c r="R4664" s="76">
        <f t="shared" si="1595"/>
        <v>0.75</v>
      </c>
    </row>
    <row r="4665" spans="1:18" x14ac:dyDescent="0.25">
      <c r="A4665" s="71">
        <v>45</v>
      </c>
      <c r="B4665" s="72">
        <f t="shared" si="1596"/>
        <v>46997</v>
      </c>
      <c r="C4665" s="73">
        <f t="shared" si="1586"/>
        <v>47026</v>
      </c>
      <c r="D4665" s="67">
        <f t="shared" si="1587"/>
        <v>30</v>
      </c>
      <c r="E4665" s="67">
        <f t="shared" si="1588"/>
        <v>9</v>
      </c>
      <c r="F4665" s="74">
        <f t="shared" si="1589"/>
        <v>47012</v>
      </c>
      <c r="G4665" s="67">
        <f t="shared" si="1590"/>
        <v>24344</v>
      </c>
      <c r="H4665" s="75">
        <f t="shared" si="1591"/>
        <v>1</v>
      </c>
      <c r="O4665" s="77">
        <f t="shared" si="1592"/>
        <v>0.89</v>
      </c>
      <c r="P4665" s="76">
        <f t="shared" si="1593"/>
        <v>0</v>
      </c>
      <c r="Q4665" s="76">
        <f t="shared" si="1594"/>
        <v>0</v>
      </c>
      <c r="R4665" s="76">
        <f t="shared" si="1595"/>
        <v>0.58333333333333337</v>
      </c>
    </row>
    <row r="4666" spans="1:18" x14ac:dyDescent="0.25">
      <c r="A4666" s="71">
        <v>46</v>
      </c>
      <c r="B4666" s="72">
        <f t="shared" si="1596"/>
        <v>47027</v>
      </c>
      <c r="C4666" s="73">
        <f t="shared" si="1586"/>
        <v>47057</v>
      </c>
      <c r="D4666" s="67">
        <f t="shared" si="1587"/>
        <v>31</v>
      </c>
      <c r="E4666" s="67">
        <f t="shared" si="1588"/>
        <v>10</v>
      </c>
      <c r="F4666" s="74">
        <f t="shared" si="1589"/>
        <v>47042.5</v>
      </c>
      <c r="G4666" s="67">
        <f t="shared" si="1590"/>
        <v>24345</v>
      </c>
      <c r="H4666" s="75">
        <f t="shared" si="1591"/>
        <v>1</v>
      </c>
      <c r="O4666" s="77">
        <f t="shared" si="1592"/>
        <v>0.89</v>
      </c>
      <c r="P4666" s="76">
        <f t="shared" si="1593"/>
        <v>0</v>
      </c>
      <c r="Q4666" s="76">
        <f t="shared" si="1594"/>
        <v>0</v>
      </c>
      <c r="R4666" s="76">
        <f t="shared" si="1595"/>
        <v>0.41666666666666669</v>
      </c>
    </row>
    <row r="4667" spans="1:18" x14ac:dyDescent="0.25">
      <c r="A4667" s="71">
        <v>47</v>
      </c>
      <c r="B4667" s="72">
        <f t="shared" si="1596"/>
        <v>47058</v>
      </c>
      <c r="C4667" s="73">
        <f t="shared" si="1586"/>
        <v>47087</v>
      </c>
      <c r="D4667" s="67">
        <f t="shared" si="1587"/>
        <v>30</v>
      </c>
      <c r="E4667" s="67">
        <f t="shared" si="1588"/>
        <v>11</v>
      </c>
      <c r="F4667" s="74">
        <f t="shared" si="1589"/>
        <v>47073</v>
      </c>
      <c r="G4667" s="67">
        <f t="shared" si="1590"/>
        <v>24346</v>
      </c>
      <c r="H4667" s="75">
        <f t="shared" si="1591"/>
        <v>1</v>
      </c>
      <c r="O4667" s="77">
        <f t="shared" si="1592"/>
        <v>0.89</v>
      </c>
      <c r="P4667" s="76">
        <f t="shared" si="1593"/>
        <v>0</v>
      </c>
      <c r="Q4667" s="76">
        <f t="shared" si="1594"/>
        <v>0</v>
      </c>
      <c r="R4667" s="76">
        <f t="shared" si="1595"/>
        <v>0.25</v>
      </c>
    </row>
    <row r="4668" spans="1:18" x14ac:dyDescent="0.25">
      <c r="A4668" s="71">
        <v>48</v>
      </c>
      <c r="B4668" s="72">
        <f t="shared" si="1596"/>
        <v>47088</v>
      </c>
      <c r="C4668" s="73">
        <f t="shared" si="1586"/>
        <v>47118</v>
      </c>
      <c r="D4668" s="67">
        <f t="shared" si="1587"/>
        <v>31</v>
      </c>
      <c r="E4668" s="67">
        <f t="shared" si="1588"/>
        <v>12</v>
      </c>
      <c r="F4668" s="74">
        <f t="shared" si="1589"/>
        <v>47103.5</v>
      </c>
      <c r="G4668" s="67">
        <f t="shared" si="1590"/>
        <v>24347</v>
      </c>
      <c r="H4668" s="75">
        <f t="shared" si="1591"/>
        <v>1</v>
      </c>
      <c r="O4668" s="77">
        <f t="shared" si="1592"/>
        <v>0.89</v>
      </c>
      <c r="P4668" s="76">
        <f t="shared" si="1593"/>
        <v>0</v>
      </c>
      <c r="Q4668" s="76">
        <f t="shared" si="1594"/>
        <v>0</v>
      </c>
      <c r="R4668" s="76">
        <f t="shared" si="1595"/>
        <v>8.3333333333333329E-2</v>
      </c>
    </row>
    <row r="4669" spans="1:18" x14ac:dyDescent="0.25">
      <c r="B4669" s="172">
        <f>SUMPRODUCT($H$4621:$H$4668,$Q$4621:$Q$4668,$O$4621:$O$4668)/SUMPRODUCT($H$4621:$H$4668,$Q$4621:$Q$4668)</f>
        <v>0.87197757111597374</v>
      </c>
    </row>
    <row r="4672" spans="1:18" x14ac:dyDescent="0.25">
      <c r="A4672" s="188" t="s">
        <v>1246</v>
      </c>
    </row>
    <row r="4674" spans="1:21" ht="36" x14ac:dyDescent="0.25">
      <c r="A4674" s="50" t="s">
        <v>211</v>
      </c>
      <c r="B4674" s="50" t="s">
        <v>212</v>
      </c>
      <c r="C4674" s="50" t="s">
        <v>213</v>
      </c>
      <c r="D4674" s="50" t="s">
        <v>214</v>
      </c>
      <c r="E4674" s="50" t="s">
        <v>215</v>
      </c>
      <c r="F4674" s="50" t="s">
        <v>216</v>
      </c>
      <c r="G4674" s="50" t="s">
        <v>217</v>
      </c>
      <c r="H4674" s="50" t="s">
        <v>218</v>
      </c>
      <c r="I4674" s="50" t="s">
        <v>219</v>
      </c>
      <c r="J4674" s="50" t="s">
        <v>220</v>
      </c>
      <c r="K4674" s="50" t="s">
        <v>221</v>
      </c>
      <c r="L4674" s="50" t="s">
        <v>222</v>
      </c>
      <c r="M4674" s="50" t="s">
        <v>223</v>
      </c>
      <c r="N4674" s="50" t="s">
        <v>224</v>
      </c>
      <c r="O4674" s="50" t="s">
        <v>225</v>
      </c>
      <c r="P4674" s="50" t="s">
        <v>226</v>
      </c>
      <c r="Q4674" s="50" t="s">
        <v>227</v>
      </c>
      <c r="R4674" s="50" t="s">
        <v>228</v>
      </c>
      <c r="S4674" s="190" t="s">
        <v>1247</v>
      </c>
      <c r="T4674" s="190" t="s">
        <v>1248</v>
      </c>
      <c r="U4674" s="190" t="s">
        <v>1249</v>
      </c>
    </row>
    <row r="4675" spans="1:21" x14ac:dyDescent="0.25">
      <c r="A4675" s="71">
        <v>1</v>
      </c>
      <c r="B4675" s="72">
        <f>DATE(nr_PlanYear-2,1,1)</f>
        <v>45658</v>
      </c>
      <c r="C4675" s="73">
        <f t="shared" ref="C4675:C4722" si="1597">EOMONTH($B4675,0)</f>
        <v>45688</v>
      </c>
      <c r="D4675" s="67">
        <f t="shared" ref="D4675:D4722" si="1598">$C4675-$B4675+1</f>
        <v>31</v>
      </c>
      <c r="E4675" s="67">
        <f t="shared" ref="E4675:E4722" si="1599">MONTH($B4675)</f>
        <v>1</v>
      </c>
      <c r="F4675" s="74">
        <f t="shared" ref="F4675:F4722" si="1600">($B4675+$C4675+1)/2</f>
        <v>45673.5</v>
      </c>
      <c r="G4675" s="67">
        <f t="shared" ref="G4675:G4722" si="1601">YEAR($B4675)*12+MONTH($B4675)-1</f>
        <v>24300</v>
      </c>
      <c r="H4675" s="75">
        <f t="shared" ref="H4675:H4722" si="1602">IF(OR(nr_SeasonOn="OFF",re_srow=0,re_ssum=0),1,12*INDEX(se_block,re_srow,$E4675)/re_ssum)</f>
        <v>1</v>
      </c>
      <c r="I4675" s="76">
        <f t="shared" ref="I4675:I4722" si="1603">EXP(SUMPRODUCT((rl_eff&lt;$B4675)*(rl_key=nr_SelKey)*(rl_status="taken")*rl_ln1p))</f>
        <v>1</v>
      </c>
      <c r="J4675" s="76">
        <f t="shared" ref="J4675:J4722" si="1604">EXP(SUMPRODUCT((rl_eff&lt;=$C4675)*(rl_key=nr_SelKey)*(rl_status="taken")*rl_ln1p))</f>
        <v>1</v>
      </c>
      <c r="K4675" s="67">
        <f t="shared" ref="K4675:K4722" si="1605">COUNTIFS(rl_key,nr_SelKey,rl_eff,"&gt;="&amp;$B4675,rl_eff,"&lt;="&amp;$C4675,rl_status,"taken")</f>
        <v>0</v>
      </c>
      <c r="L4675" s="67">
        <f t="shared" ref="L4675:L4722" si="1606">SUMIFS(rl_daysafter,rl_key,nr_SelKey,rl_effmonth,$B4675,rl_first,1,rl_status,"taken")</f>
        <v>0</v>
      </c>
      <c r="M4675" s="77">
        <f t="shared" ref="M4675:M4722" si="1607">IF($K4675=0,0,MIN(1,$L4675/$D4675))</f>
        <v>0</v>
      </c>
      <c r="N4675" s="76">
        <f t="shared" ref="N4675:N4722" si="1608">IF($K4675=0,$J4675,(1-$M4675)*$I4675+$M4675*$J4675)</f>
        <v>1</v>
      </c>
      <c r="P4675" s="76">
        <f t="shared" ref="P4675:P4722" si="1609">MIN(1,MAX(0,(nr_MEndPm1-$G4675+0.5)/nr_TermMonths))-MIN(1,MAX(0,(nr_MStartPm1-1-$G4675+0.5)/nr_TermMonths))</f>
        <v>0</v>
      </c>
      <c r="Q4675" s="76">
        <f t="shared" ref="Q4675:Q4722" si="1610">MIN(1,MAX(0,(nr_MEndP-$G4675+0.5)/nr_TermMonths))-MIN(1,MAX(0,(nr_MStartP-1-$G4675+0.5)/nr_TermMonths))</f>
        <v>0</v>
      </c>
      <c r="R4675" s="76">
        <f t="shared" ref="R4675:R4722" si="1611">MIN(1,MAX(0,(nr_MEndP1-$G4675+0.5)/nr_TermMonths))-MIN(1,MAX(0,(nr_MStartP1-1-$G4675+0.5)/nr_TermMonths))</f>
        <v>0</v>
      </c>
      <c r="S4675" s="53">
        <f t="shared" ref="S4675:S4722" si="1612">$H4675*$Q4675*$N4675</f>
        <v>0</v>
      </c>
      <c r="T4675" s="53">
        <f>SUM($S$4675:$S4675)</f>
        <v>0</v>
      </c>
      <c r="U4675" s="53">
        <f t="shared" ref="U4675:U4722" si="1613">$H4675*$Q4675*$J4675</f>
        <v>0</v>
      </c>
    </row>
    <row r="4676" spans="1:21" x14ac:dyDescent="0.25">
      <c r="A4676" s="71">
        <v>2</v>
      </c>
      <c r="B4676" s="72">
        <f t="shared" ref="B4676:B4722" si="1614">EDATE($B4675,1)</f>
        <v>45689</v>
      </c>
      <c r="C4676" s="73">
        <f t="shared" si="1597"/>
        <v>45716</v>
      </c>
      <c r="D4676" s="67">
        <f t="shared" si="1598"/>
        <v>28</v>
      </c>
      <c r="E4676" s="67">
        <f t="shared" si="1599"/>
        <v>2</v>
      </c>
      <c r="F4676" s="74">
        <f t="shared" si="1600"/>
        <v>45703</v>
      </c>
      <c r="G4676" s="67">
        <f t="shared" si="1601"/>
        <v>24301</v>
      </c>
      <c r="H4676" s="75">
        <f t="shared" si="1602"/>
        <v>1</v>
      </c>
      <c r="I4676" s="76">
        <f t="shared" si="1603"/>
        <v>1</v>
      </c>
      <c r="J4676" s="76">
        <f t="shared" si="1604"/>
        <v>1</v>
      </c>
      <c r="K4676" s="67">
        <f t="shared" si="1605"/>
        <v>0</v>
      </c>
      <c r="L4676" s="67">
        <f t="shared" si="1606"/>
        <v>0</v>
      </c>
      <c r="M4676" s="77">
        <f t="shared" si="1607"/>
        <v>0</v>
      </c>
      <c r="N4676" s="76">
        <f t="shared" si="1608"/>
        <v>1</v>
      </c>
      <c r="P4676" s="76">
        <f t="shared" si="1609"/>
        <v>0</v>
      </c>
      <c r="Q4676" s="76">
        <f t="shared" si="1610"/>
        <v>0</v>
      </c>
      <c r="R4676" s="76">
        <f t="shared" si="1611"/>
        <v>0</v>
      </c>
      <c r="S4676" s="53">
        <f t="shared" si="1612"/>
        <v>0</v>
      </c>
      <c r="T4676" s="53">
        <f>SUM($S$4675:$S4676)</f>
        <v>0</v>
      </c>
      <c r="U4676" s="53">
        <f t="shared" si="1613"/>
        <v>0</v>
      </c>
    </row>
    <row r="4677" spans="1:21" x14ac:dyDescent="0.25">
      <c r="A4677" s="71">
        <v>3</v>
      </c>
      <c r="B4677" s="72">
        <f t="shared" si="1614"/>
        <v>45717</v>
      </c>
      <c r="C4677" s="73">
        <f t="shared" si="1597"/>
        <v>45747</v>
      </c>
      <c r="D4677" s="67">
        <f t="shared" si="1598"/>
        <v>31</v>
      </c>
      <c r="E4677" s="67">
        <f t="shared" si="1599"/>
        <v>3</v>
      </c>
      <c r="F4677" s="74">
        <f t="shared" si="1600"/>
        <v>45732.5</v>
      </c>
      <c r="G4677" s="67">
        <f t="shared" si="1601"/>
        <v>24302</v>
      </c>
      <c r="H4677" s="75">
        <f t="shared" si="1602"/>
        <v>1</v>
      </c>
      <c r="I4677" s="76">
        <f t="shared" si="1603"/>
        <v>1</v>
      </c>
      <c r="J4677" s="76">
        <f t="shared" si="1604"/>
        <v>1</v>
      </c>
      <c r="K4677" s="67">
        <f t="shared" si="1605"/>
        <v>0</v>
      </c>
      <c r="L4677" s="67">
        <f t="shared" si="1606"/>
        <v>0</v>
      </c>
      <c r="M4677" s="77">
        <f t="shared" si="1607"/>
        <v>0</v>
      </c>
      <c r="N4677" s="76">
        <f t="shared" si="1608"/>
        <v>1</v>
      </c>
      <c r="P4677" s="76">
        <f t="shared" si="1609"/>
        <v>0</v>
      </c>
      <c r="Q4677" s="76">
        <f t="shared" si="1610"/>
        <v>0</v>
      </c>
      <c r="R4677" s="76">
        <f t="shared" si="1611"/>
        <v>0</v>
      </c>
      <c r="S4677" s="53">
        <f t="shared" si="1612"/>
        <v>0</v>
      </c>
      <c r="T4677" s="53">
        <f>SUM($S$4675:$S4677)</f>
        <v>0</v>
      </c>
      <c r="U4677" s="53">
        <f t="shared" si="1613"/>
        <v>0</v>
      </c>
    </row>
    <row r="4678" spans="1:21" x14ac:dyDescent="0.25">
      <c r="A4678" s="71">
        <v>4</v>
      </c>
      <c r="B4678" s="72">
        <f t="shared" si="1614"/>
        <v>45748</v>
      </c>
      <c r="C4678" s="73">
        <f t="shared" si="1597"/>
        <v>45777</v>
      </c>
      <c r="D4678" s="67">
        <f t="shared" si="1598"/>
        <v>30</v>
      </c>
      <c r="E4678" s="67">
        <f t="shared" si="1599"/>
        <v>4</v>
      </c>
      <c r="F4678" s="74">
        <f t="shared" si="1600"/>
        <v>45763</v>
      </c>
      <c r="G4678" s="67">
        <f t="shared" si="1601"/>
        <v>24303</v>
      </c>
      <c r="H4678" s="75">
        <f t="shared" si="1602"/>
        <v>1</v>
      </c>
      <c r="I4678" s="76">
        <f t="shared" si="1603"/>
        <v>1</v>
      </c>
      <c r="J4678" s="76">
        <f t="shared" si="1604"/>
        <v>1</v>
      </c>
      <c r="K4678" s="67">
        <f t="shared" si="1605"/>
        <v>0</v>
      </c>
      <c r="L4678" s="67">
        <f t="shared" si="1606"/>
        <v>0</v>
      </c>
      <c r="M4678" s="77">
        <f t="shared" si="1607"/>
        <v>0</v>
      </c>
      <c r="N4678" s="76">
        <f t="shared" si="1608"/>
        <v>1</v>
      </c>
      <c r="P4678" s="76">
        <f t="shared" si="1609"/>
        <v>0</v>
      </c>
      <c r="Q4678" s="76">
        <f t="shared" si="1610"/>
        <v>0</v>
      </c>
      <c r="R4678" s="76">
        <f t="shared" si="1611"/>
        <v>0</v>
      </c>
      <c r="S4678" s="53">
        <f t="shared" si="1612"/>
        <v>0</v>
      </c>
      <c r="T4678" s="53">
        <f>SUM($S$4675:$S4678)</f>
        <v>0</v>
      </c>
      <c r="U4678" s="53">
        <f t="shared" si="1613"/>
        <v>0</v>
      </c>
    </row>
    <row r="4679" spans="1:21" x14ac:dyDescent="0.25">
      <c r="A4679" s="71">
        <v>5</v>
      </c>
      <c r="B4679" s="72">
        <f t="shared" si="1614"/>
        <v>45778</v>
      </c>
      <c r="C4679" s="73">
        <f t="shared" si="1597"/>
        <v>45808</v>
      </c>
      <c r="D4679" s="67">
        <f t="shared" si="1598"/>
        <v>31</v>
      </c>
      <c r="E4679" s="67">
        <f t="shared" si="1599"/>
        <v>5</v>
      </c>
      <c r="F4679" s="74">
        <f t="shared" si="1600"/>
        <v>45793.5</v>
      </c>
      <c r="G4679" s="67">
        <f t="shared" si="1601"/>
        <v>24304</v>
      </c>
      <c r="H4679" s="75">
        <f t="shared" si="1602"/>
        <v>1</v>
      </c>
      <c r="I4679" s="76">
        <f t="shared" si="1603"/>
        <v>1</v>
      </c>
      <c r="J4679" s="76">
        <f t="shared" si="1604"/>
        <v>1</v>
      </c>
      <c r="K4679" s="67">
        <f t="shared" si="1605"/>
        <v>0</v>
      </c>
      <c r="L4679" s="67">
        <f t="shared" si="1606"/>
        <v>0</v>
      </c>
      <c r="M4679" s="77">
        <f t="shared" si="1607"/>
        <v>0</v>
      </c>
      <c r="N4679" s="76">
        <f t="shared" si="1608"/>
        <v>1</v>
      </c>
      <c r="P4679" s="76">
        <f t="shared" si="1609"/>
        <v>0</v>
      </c>
      <c r="Q4679" s="76">
        <f t="shared" si="1610"/>
        <v>0</v>
      </c>
      <c r="R4679" s="76">
        <f t="shared" si="1611"/>
        <v>0</v>
      </c>
      <c r="S4679" s="53">
        <f t="shared" si="1612"/>
        <v>0</v>
      </c>
      <c r="T4679" s="53">
        <f>SUM($S$4675:$S4679)</f>
        <v>0</v>
      </c>
      <c r="U4679" s="53">
        <f t="shared" si="1613"/>
        <v>0</v>
      </c>
    </row>
    <row r="4680" spans="1:21" x14ac:dyDescent="0.25">
      <c r="A4680" s="71">
        <v>6</v>
      </c>
      <c r="B4680" s="72">
        <f t="shared" si="1614"/>
        <v>45809</v>
      </c>
      <c r="C4680" s="73">
        <f t="shared" si="1597"/>
        <v>45838</v>
      </c>
      <c r="D4680" s="67">
        <f t="shared" si="1598"/>
        <v>30</v>
      </c>
      <c r="E4680" s="67">
        <f t="shared" si="1599"/>
        <v>6</v>
      </c>
      <c r="F4680" s="74">
        <f t="shared" si="1600"/>
        <v>45824</v>
      </c>
      <c r="G4680" s="67">
        <f t="shared" si="1601"/>
        <v>24305</v>
      </c>
      <c r="H4680" s="75">
        <f t="shared" si="1602"/>
        <v>1</v>
      </c>
      <c r="I4680" s="76">
        <f t="shared" si="1603"/>
        <v>1</v>
      </c>
      <c r="J4680" s="76">
        <f t="shared" si="1604"/>
        <v>1</v>
      </c>
      <c r="K4680" s="67">
        <f t="shared" si="1605"/>
        <v>0</v>
      </c>
      <c r="L4680" s="67">
        <f t="shared" si="1606"/>
        <v>0</v>
      </c>
      <c r="M4680" s="77">
        <f t="shared" si="1607"/>
        <v>0</v>
      </c>
      <c r="N4680" s="76">
        <f t="shared" si="1608"/>
        <v>1</v>
      </c>
      <c r="P4680" s="76">
        <f t="shared" si="1609"/>
        <v>0</v>
      </c>
      <c r="Q4680" s="76">
        <f t="shared" si="1610"/>
        <v>0</v>
      </c>
      <c r="R4680" s="76">
        <f t="shared" si="1611"/>
        <v>0</v>
      </c>
      <c r="S4680" s="53">
        <f t="shared" si="1612"/>
        <v>0</v>
      </c>
      <c r="T4680" s="53">
        <f>SUM($S$4675:$S4680)</f>
        <v>0</v>
      </c>
      <c r="U4680" s="53">
        <f t="shared" si="1613"/>
        <v>0</v>
      </c>
    </row>
    <row r="4681" spans="1:21" x14ac:dyDescent="0.25">
      <c r="A4681" s="71">
        <v>7</v>
      </c>
      <c r="B4681" s="72">
        <f t="shared" si="1614"/>
        <v>45839</v>
      </c>
      <c r="C4681" s="73">
        <f t="shared" si="1597"/>
        <v>45869</v>
      </c>
      <c r="D4681" s="67">
        <f t="shared" si="1598"/>
        <v>31</v>
      </c>
      <c r="E4681" s="67">
        <f t="shared" si="1599"/>
        <v>7</v>
      </c>
      <c r="F4681" s="74">
        <f t="shared" si="1600"/>
        <v>45854.5</v>
      </c>
      <c r="G4681" s="67">
        <f t="shared" si="1601"/>
        <v>24306</v>
      </c>
      <c r="H4681" s="75">
        <f t="shared" si="1602"/>
        <v>1</v>
      </c>
      <c r="I4681" s="76">
        <f t="shared" si="1603"/>
        <v>1</v>
      </c>
      <c r="J4681" s="76">
        <f t="shared" si="1604"/>
        <v>1.04</v>
      </c>
      <c r="K4681" s="67">
        <f t="shared" si="1605"/>
        <v>1</v>
      </c>
      <c r="L4681" s="67">
        <f t="shared" si="1606"/>
        <v>31</v>
      </c>
      <c r="M4681" s="77">
        <f t="shared" si="1607"/>
        <v>1</v>
      </c>
      <c r="N4681" s="76">
        <f t="shared" si="1608"/>
        <v>1.04</v>
      </c>
      <c r="P4681" s="76">
        <f t="shared" si="1609"/>
        <v>8.333333333333337E-2</v>
      </c>
      <c r="Q4681" s="76">
        <f t="shared" si="1610"/>
        <v>0</v>
      </c>
      <c r="R4681" s="76">
        <f t="shared" si="1611"/>
        <v>0</v>
      </c>
      <c r="S4681" s="53">
        <f t="shared" si="1612"/>
        <v>0</v>
      </c>
      <c r="T4681" s="53">
        <f>SUM($S$4675:$S4681)</f>
        <v>0</v>
      </c>
      <c r="U4681" s="53">
        <f t="shared" si="1613"/>
        <v>0</v>
      </c>
    </row>
    <row r="4682" spans="1:21" x14ac:dyDescent="0.25">
      <c r="A4682" s="71">
        <v>8</v>
      </c>
      <c r="B4682" s="72">
        <f t="shared" si="1614"/>
        <v>45870</v>
      </c>
      <c r="C4682" s="73">
        <f t="shared" si="1597"/>
        <v>45900</v>
      </c>
      <c r="D4682" s="67">
        <f t="shared" si="1598"/>
        <v>31</v>
      </c>
      <c r="E4682" s="67">
        <f t="shared" si="1599"/>
        <v>8</v>
      </c>
      <c r="F4682" s="74">
        <f t="shared" si="1600"/>
        <v>45885.5</v>
      </c>
      <c r="G4682" s="67">
        <f t="shared" si="1601"/>
        <v>24307</v>
      </c>
      <c r="H4682" s="75">
        <f t="shared" si="1602"/>
        <v>1</v>
      </c>
      <c r="I4682" s="76">
        <f t="shared" si="1603"/>
        <v>1.04</v>
      </c>
      <c r="J4682" s="76">
        <f t="shared" si="1604"/>
        <v>1.04</v>
      </c>
      <c r="K4682" s="67">
        <f t="shared" si="1605"/>
        <v>0</v>
      </c>
      <c r="L4682" s="67">
        <f t="shared" si="1606"/>
        <v>0</v>
      </c>
      <c r="M4682" s="77">
        <f t="shared" si="1607"/>
        <v>0</v>
      </c>
      <c r="N4682" s="76">
        <f t="shared" si="1608"/>
        <v>1.04</v>
      </c>
      <c r="P4682" s="76">
        <f t="shared" si="1609"/>
        <v>0.25</v>
      </c>
      <c r="Q4682" s="76">
        <f t="shared" si="1610"/>
        <v>0</v>
      </c>
      <c r="R4682" s="76">
        <f t="shared" si="1611"/>
        <v>0</v>
      </c>
      <c r="S4682" s="53">
        <f t="shared" si="1612"/>
        <v>0</v>
      </c>
      <c r="T4682" s="53">
        <f>SUM($S$4675:$S4682)</f>
        <v>0</v>
      </c>
      <c r="U4682" s="53">
        <f t="shared" si="1613"/>
        <v>0</v>
      </c>
    </row>
    <row r="4683" spans="1:21" x14ac:dyDescent="0.25">
      <c r="A4683" s="71">
        <v>9</v>
      </c>
      <c r="B4683" s="72">
        <f t="shared" si="1614"/>
        <v>45901</v>
      </c>
      <c r="C4683" s="73">
        <f t="shared" si="1597"/>
        <v>45930</v>
      </c>
      <c r="D4683" s="67">
        <f t="shared" si="1598"/>
        <v>30</v>
      </c>
      <c r="E4683" s="67">
        <f t="shared" si="1599"/>
        <v>9</v>
      </c>
      <c r="F4683" s="74">
        <f t="shared" si="1600"/>
        <v>45916</v>
      </c>
      <c r="G4683" s="67">
        <f t="shared" si="1601"/>
        <v>24308</v>
      </c>
      <c r="H4683" s="75">
        <f t="shared" si="1602"/>
        <v>1</v>
      </c>
      <c r="I4683" s="76">
        <f t="shared" si="1603"/>
        <v>1.04</v>
      </c>
      <c r="J4683" s="76">
        <f t="shared" si="1604"/>
        <v>1.04</v>
      </c>
      <c r="K4683" s="67">
        <f t="shared" si="1605"/>
        <v>0</v>
      </c>
      <c r="L4683" s="67">
        <f t="shared" si="1606"/>
        <v>0</v>
      </c>
      <c r="M4683" s="77">
        <f t="shared" si="1607"/>
        <v>0</v>
      </c>
      <c r="N4683" s="76">
        <f t="shared" si="1608"/>
        <v>1.04</v>
      </c>
      <c r="P4683" s="76">
        <f t="shared" si="1609"/>
        <v>0.41666666666666663</v>
      </c>
      <c r="Q4683" s="76">
        <f t="shared" si="1610"/>
        <v>0</v>
      </c>
      <c r="R4683" s="76">
        <f t="shared" si="1611"/>
        <v>0</v>
      </c>
      <c r="S4683" s="53">
        <f t="shared" si="1612"/>
        <v>0</v>
      </c>
      <c r="T4683" s="53">
        <f>SUM($S$4675:$S4683)</f>
        <v>0</v>
      </c>
      <c r="U4683" s="53">
        <f t="shared" si="1613"/>
        <v>0</v>
      </c>
    </row>
    <row r="4684" spans="1:21" x14ac:dyDescent="0.25">
      <c r="A4684" s="71">
        <v>10</v>
      </c>
      <c r="B4684" s="72">
        <f t="shared" si="1614"/>
        <v>45931</v>
      </c>
      <c r="C4684" s="73">
        <f t="shared" si="1597"/>
        <v>45961</v>
      </c>
      <c r="D4684" s="67">
        <f t="shared" si="1598"/>
        <v>31</v>
      </c>
      <c r="E4684" s="67">
        <f t="shared" si="1599"/>
        <v>10</v>
      </c>
      <c r="F4684" s="74">
        <f t="shared" si="1600"/>
        <v>45946.5</v>
      </c>
      <c r="G4684" s="67">
        <f t="shared" si="1601"/>
        <v>24309</v>
      </c>
      <c r="H4684" s="75">
        <f t="shared" si="1602"/>
        <v>1</v>
      </c>
      <c r="I4684" s="76">
        <f t="shared" si="1603"/>
        <v>1.04</v>
      </c>
      <c r="J4684" s="76">
        <f t="shared" si="1604"/>
        <v>1.04</v>
      </c>
      <c r="K4684" s="67">
        <f t="shared" si="1605"/>
        <v>0</v>
      </c>
      <c r="L4684" s="67">
        <f t="shared" si="1606"/>
        <v>0</v>
      </c>
      <c r="M4684" s="77">
        <f t="shared" si="1607"/>
        <v>0</v>
      </c>
      <c r="N4684" s="76">
        <f t="shared" si="1608"/>
        <v>1.04</v>
      </c>
      <c r="P4684" s="76">
        <f t="shared" si="1609"/>
        <v>0.58333333333333326</v>
      </c>
      <c r="Q4684" s="76">
        <f t="shared" si="1610"/>
        <v>0</v>
      </c>
      <c r="R4684" s="76">
        <f t="shared" si="1611"/>
        <v>0</v>
      </c>
      <c r="S4684" s="53">
        <f t="shared" si="1612"/>
        <v>0</v>
      </c>
      <c r="T4684" s="53">
        <f>SUM($S$4675:$S4684)</f>
        <v>0</v>
      </c>
      <c r="U4684" s="53">
        <f t="shared" si="1613"/>
        <v>0</v>
      </c>
    </row>
    <row r="4685" spans="1:21" x14ac:dyDescent="0.25">
      <c r="A4685" s="71">
        <v>11</v>
      </c>
      <c r="B4685" s="72">
        <f t="shared" si="1614"/>
        <v>45962</v>
      </c>
      <c r="C4685" s="73">
        <f t="shared" si="1597"/>
        <v>45991</v>
      </c>
      <c r="D4685" s="67">
        <f t="shared" si="1598"/>
        <v>30</v>
      </c>
      <c r="E4685" s="67">
        <f t="shared" si="1599"/>
        <v>11</v>
      </c>
      <c r="F4685" s="74">
        <f t="shared" si="1600"/>
        <v>45977</v>
      </c>
      <c r="G4685" s="67">
        <f t="shared" si="1601"/>
        <v>24310</v>
      </c>
      <c r="H4685" s="75">
        <f t="shared" si="1602"/>
        <v>1</v>
      </c>
      <c r="I4685" s="76">
        <f t="shared" si="1603"/>
        <v>1.04</v>
      </c>
      <c r="J4685" s="76">
        <f t="shared" si="1604"/>
        <v>1.04</v>
      </c>
      <c r="K4685" s="67">
        <f t="shared" si="1605"/>
        <v>0</v>
      </c>
      <c r="L4685" s="67">
        <f t="shared" si="1606"/>
        <v>0</v>
      </c>
      <c r="M4685" s="77">
        <f t="shared" si="1607"/>
        <v>0</v>
      </c>
      <c r="N4685" s="76">
        <f t="shared" si="1608"/>
        <v>1.04</v>
      </c>
      <c r="P4685" s="76">
        <f t="shared" si="1609"/>
        <v>0.75</v>
      </c>
      <c r="Q4685" s="76">
        <f t="shared" si="1610"/>
        <v>0</v>
      </c>
      <c r="R4685" s="76">
        <f t="shared" si="1611"/>
        <v>0</v>
      </c>
      <c r="S4685" s="53">
        <f t="shared" si="1612"/>
        <v>0</v>
      </c>
      <c r="T4685" s="53">
        <f>SUM($S$4675:$S4685)</f>
        <v>0</v>
      </c>
      <c r="U4685" s="53">
        <f t="shared" si="1613"/>
        <v>0</v>
      </c>
    </row>
    <row r="4686" spans="1:21" x14ac:dyDescent="0.25">
      <c r="A4686" s="71">
        <v>12</v>
      </c>
      <c r="B4686" s="72">
        <f t="shared" si="1614"/>
        <v>45992</v>
      </c>
      <c r="C4686" s="73">
        <f t="shared" si="1597"/>
        <v>46022</v>
      </c>
      <c r="D4686" s="67">
        <f t="shared" si="1598"/>
        <v>31</v>
      </c>
      <c r="E4686" s="67">
        <f t="shared" si="1599"/>
        <v>12</v>
      </c>
      <c r="F4686" s="74">
        <f t="shared" si="1600"/>
        <v>46007.5</v>
      </c>
      <c r="G4686" s="67">
        <f t="shared" si="1601"/>
        <v>24311</v>
      </c>
      <c r="H4686" s="75">
        <f t="shared" si="1602"/>
        <v>1</v>
      </c>
      <c r="I4686" s="76">
        <f t="shared" si="1603"/>
        <v>1.04</v>
      </c>
      <c r="J4686" s="76">
        <f t="shared" si="1604"/>
        <v>1.04</v>
      </c>
      <c r="K4686" s="67">
        <f t="shared" si="1605"/>
        <v>0</v>
      </c>
      <c r="L4686" s="67">
        <f t="shared" si="1606"/>
        <v>0</v>
      </c>
      <c r="M4686" s="77">
        <f t="shared" si="1607"/>
        <v>0</v>
      </c>
      <c r="N4686" s="76">
        <f t="shared" si="1608"/>
        <v>1.04</v>
      </c>
      <c r="P4686" s="76">
        <f t="shared" si="1609"/>
        <v>0.91666666666666663</v>
      </c>
      <c r="Q4686" s="76">
        <f t="shared" si="1610"/>
        <v>0</v>
      </c>
      <c r="R4686" s="76">
        <f t="shared" si="1611"/>
        <v>0</v>
      </c>
      <c r="S4686" s="53">
        <f t="shared" si="1612"/>
        <v>0</v>
      </c>
      <c r="T4686" s="53">
        <f>SUM($S$4675:$S4686)</f>
        <v>0</v>
      </c>
      <c r="U4686" s="53">
        <f t="shared" si="1613"/>
        <v>0</v>
      </c>
    </row>
    <row r="4687" spans="1:21" x14ac:dyDescent="0.25">
      <c r="A4687" s="71">
        <v>13</v>
      </c>
      <c r="B4687" s="72">
        <f t="shared" si="1614"/>
        <v>46023</v>
      </c>
      <c r="C4687" s="73">
        <f t="shared" si="1597"/>
        <v>46053</v>
      </c>
      <c r="D4687" s="67">
        <f t="shared" si="1598"/>
        <v>31</v>
      </c>
      <c r="E4687" s="67">
        <f t="shared" si="1599"/>
        <v>1</v>
      </c>
      <c r="F4687" s="74">
        <f t="shared" si="1600"/>
        <v>46038.5</v>
      </c>
      <c r="G4687" s="67">
        <f t="shared" si="1601"/>
        <v>24312</v>
      </c>
      <c r="H4687" s="75">
        <f t="shared" si="1602"/>
        <v>1</v>
      </c>
      <c r="I4687" s="76">
        <f t="shared" si="1603"/>
        <v>1.04</v>
      </c>
      <c r="J4687" s="76">
        <f t="shared" si="1604"/>
        <v>1.04</v>
      </c>
      <c r="K4687" s="67">
        <f t="shared" si="1605"/>
        <v>0</v>
      </c>
      <c r="L4687" s="67">
        <f t="shared" si="1606"/>
        <v>0</v>
      </c>
      <c r="M4687" s="77">
        <f t="shared" si="1607"/>
        <v>0</v>
      </c>
      <c r="N4687" s="76">
        <f t="shared" si="1608"/>
        <v>1.04</v>
      </c>
      <c r="P4687" s="76">
        <f t="shared" si="1609"/>
        <v>1</v>
      </c>
      <c r="Q4687" s="76">
        <f t="shared" si="1610"/>
        <v>0</v>
      </c>
      <c r="R4687" s="76">
        <f t="shared" si="1611"/>
        <v>0</v>
      </c>
      <c r="S4687" s="53">
        <f t="shared" si="1612"/>
        <v>0</v>
      </c>
      <c r="T4687" s="53">
        <f>SUM($S$4675:$S4687)</f>
        <v>0</v>
      </c>
      <c r="U4687" s="53">
        <f t="shared" si="1613"/>
        <v>0</v>
      </c>
    </row>
    <row r="4688" spans="1:21" x14ac:dyDescent="0.25">
      <c r="A4688" s="71">
        <v>14</v>
      </c>
      <c r="B4688" s="72">
        <f t="shared" si="1614"/>
        <v>46054</v>
      </c>
      <c r="C4688" s="73">
        <f t="shared" si="1597"/>
        <v>46081</v>
      </c>
      <c r="D4688" s="67">
        <f t="shared" si="1598"/>
        <v>28</v>
      </c>
      <c r="E4688" s="67">
        <f t="shared" si="1599"/>
        <v>2</v>
      </c>
      <c r="F4688" s="74">
        <f t="shared" si="1600"/>
        <v>46068</v>
      </c>
      <c r="G4688" s="67">
        <f t="shared" si="1601"/>
        <v>24313</v>
      </c>
      <c r="H4688" s="75">
        <f t="shared" si="1602"/>
        <v>1</v>
      </c>
      <c r="I4688" s="76">
        <f t="shared" si="1603"/>
        <v>1.04</v>
      </c>
      <c r="J4688" s="76">
        <f t="shared" si="1604"/>
        <v>1.04</v>
      </c>
      <c r="K4688" s="67">
        <f t="shared" si="1605"/>
        <v>0</v>
      </c>
      <c r="L4688" s="67">
        <f t="shared" si="1606"/>
        <v>0</v>
      </c>
      <c r="M4688" s="77">
        <f t="shared" si="1607"/>
        <v>0</v>
      </c>
      <c r="N4688" s="76">
        <f t="shared" si="1608"/>
        <v>1.04</v>
      </c>
      <c r="P4688" s="76">
        <f t="shared" si="1609"/>
        <v>1</v>
      </c>
      <c r="Q4688" s="76">
        <f t="shared" si="1610"/>
        <v>0</v>
      </c>
      <c r="R4688" s="76">
        <f t="shared" si="1611"/>
        <v>0</v>
      </c>
      <c r="S4688" s="53">
        <f t="shared" si="1612"/>
        <v>0</v>
      </c>
      <c r="T4688" s="53">
        <f>SUM($S$4675:$S4688)</f>
        <v>0</v>
      </c>
      <c r="U4688" s="53">
        <f t="shared" si="1613"/>
        <v>0</v>
      </c>
    </row>
    <row r="4689" spans="1:21" x14ac:dyDescent="0.25">
      <c r="A4689" s="71">
        <v>15</v>
      </c>
      <c r="B4689" s="72">
        <f t="shared" si="1614"/>
        <v>46082</v>
      </c>
      <c r="C4689" s="73">
        <f t="shared" si="1597"/>
        <v>46112</v>
      </c>
      <c r="D4689" s="67">
        <f t="shared" si="1598"/>
        <v>31</v>
      </c>
      <c r="E4689" s="67">
        <f t="shared" si="1599"/>
        <v>3</v>
      </c>
      <c r="F4689" s="74">
        <f t="shared" si="1600"/>
        <v>46097.5</v>
      </c>
      <c r="G4689" s="67">
        <f t="shared" si="1601"/>
        <v>24314</v>
      </c>
      <c r="H4689" s="75">
        <f t="shared" si="1602"/>
        <v>1</v>
      </c>
      <c r="I4689" s="76">
        <f t="shared" si="1603"/>
        <v>1.04</v>
      </c>
      <c r="J4689" s="76">
        <f t="shared" si="1604"/>
        <v>1.04</v>
      </c>
      <c r="K4689" s="67">
        <f t="shared" si="1605"/>
        <v>0</v>
      </c>
      <c r="L4689" s="67">
        <f t="shared" si="1606"/>
        <v>0</v>
      </c>
      <c r="M4689" s="77">
        <f t="shared" si="1607"/>
        <v>0</v>
      </c>
      <c r="N4689" s="76">
        <f t="shared" si="1608"/>
        <v>1.04</v>
      </c>
      <c r="P4689" s="76">
        <f t="shared" si="1609"/>
        <v>1</v>
      </c>
      <c r="Q4689" s="76">
        <f t="shared" si="1610"/>
        <v>0</v>
      </c>
      <c r="R4689" s="76">
        <f t="shared" si="1611"/>
        <v>0</v>
      </c>
      <c r="S4689" s="53">
        <f t="shared" si="1612"/>
        <v>0</v>
      </c>
      <c r="T4689" s="53">
        <f>SUM($S$4675:$S4689)</f>
        <v>0</v>
      </c>
      <c r="U4689" s="53">
        <f t="shared" si="1613"/>
        <v>0</v>
      </c>
    </row>
    <row r="4690" spans="1:21" x14ac:dyDescent="0.25">
      <c r="A4690" s="71">
        <v>16</v>
      </c>
      <c r="B4690" s="72">
        <f t="shared" si="1614"/>
        <v>46113</v>
      </c>
      <c r="C4690" s="73">
        <f t="shared" si="1597"/>
        <v>46142</v>
      </c>
      <c r="D4690" s="67">
        <f t="shared" si="1598"/>
        <v>30</v>
      </c>
      <c r="E4690" s="67">
        <f t="shared" si="1599"/>
        <v>4</v>
      </c>
      <c r="F4690" s="74">
        <f t="shared" si="1600"/>
        <v>46128</v>
      </c>
      <c r="G4690" s="67">
        <f t="shared" si="1601"/>
        <v>24315</v>
      </c>
      <c r="H4690" s="75">
        <f t="shared" si="1602"/>
        <v>1</v>
      </c>
      <c r="I4690" s="76">
        <f t="shared" si="1603"/>
        <v>1.04</v>
      </c>
      <c r="J4690" s="76">
        <f t="shared" si="1604"/>
        <v>1.04</v>
      </c>
      <c r="K4690" s="67">
        <f t="shared" si="1605"/>
        <v>0</v>
      </c>
      <c r="L4690" s="67">
        <f t="shared" si="1606"/>
        <v>0</v>
      </c>
      <c r="M4690" s="77">
        <f t="shared" si="1607"/>
        <v>0</v>
      </c>
      <c r="N4690" s="76">
        <f t="shared" si="1608"/>
        <v>1.04</v>
      </c>
      <c r="P4690" s="76">
        <f t="shared" si="1609"/>
        <v>1</v>
      </c>
      <c r="Q4690" s="76">
        <f t="shared" si="1610"/>
        <v>0</v>
      </c>
      <c r="R4690" s="76">
        <f t="shared" si="1611"/>
        <v>0</v>
      </c>
      <c r="S4690" s="53">
        <f t="shared" si="1612"/>
        <v>0</v>
      </c>
      <c r="T4690" s="53">
        <f>SUM($S$4675:$S4690)</f>
        <v>0</v>
      </c>
      <c r="U4690" s="53">
        <f t="shared" si="1613"/>
        <v>0</v>
      </c>
    </row>
    <row r="4691" spans="1:21" x14ac:dyDescent="0.25">
      <c r="A4691" s="71">
        <v>17</v>
      </c>
      <c r="B4691" s="72">
        <f t="shared" si="1614"/>
        <v>46143</v>
      </c>
      <c r="C4691" s="73">
        <f t="shared" si="1597"/>
        <v>46173</v>
      </c>
      <c r="D4691" s="67">
        <f t="shared" si="1598"/>
        <v>31</v>
      </c>
      <c r="E4691" s="67">
        <f t="shared" si="1599"/>
        <v>5</v>
      </c>
      <c r="F4691" s="74">
        <f t="shared" si="1600"/>
        <v>46158.5</v>
      </c>
      <c r="G4691" s="67">
        <f t="shared" si="1601"/>
        <v>24316</v>
      </c>
      <c r="H4691" s="75">
        <f t="shared" si="1602"/>
        <v>1</v>
      </c>
      <c r="I4691" s="76">
        <f t="shared" si="1603"/>
        <v>1.04</v>
      </c>
      <c r="J4691" s="76">
        <f t="shared" si="1604"/>
        <v>1.04</v>
      </c>
      <c r="K4691" s="67">
        <f t="shared" si="1605"/>
        <v>0</v>
      </c>
      <c r="L4691" s="67">
        <f t="shared" si="1606"/>
        <v>0</v>
      </c>
      <c r="M4691" s="77">
        <f t="shared" si="1607"/>
        <v>0</v>
      </c>
      <c r="N4691" s="76">
        <f t="shared" si="1608"/>
        <v>1.04</v>
      </c>
      <c r="P4691" s="76">
        <f t="shared" si="1609"/>
        <v>1</v>
      </c>
      <c r="Q4691" s="76">
        <f t="shared" si="1610"/>
        <v>0</v>
      </c>
      <c r="R4691" s="76">
        <f t="shared" si="1611"/>
        <v>0</v>
      </c>
      <c r="S4691" s="53">
        <f t="shared" si="1612"/>
        <v>0</v>
      </c>
      <c r="T4691" s="53">
        <f>SUM($S$4675:$S4691)</f>
        <v>0</v>
      </c>
      <c r="U4691" s="53">
        <f t="shared" si="1613"/>
        <v>0</v>
      </c>
    </row>
    <row r="4692" spans="1:21" x14ac:dyDescent="0.25">
      <c r="A4692" s="71">
        <v>18</v>
      </c>
      <c r="B4692" s="72">
        <f t="shared" si="1614"/>
        <v>46174</v>
      </c>
      <c r="C4692" s="73">
        <f t="shared" si="1597"/>
        <v>46203</v>
      </c>
      <c r="D4692" s="67">
        <f t="shared" si="1598"/>
        <v>30</v>
      </c>
      <c r="E4692" s="67">
        <f t="shared" si="1599"/>
        <v>6</v>
      </c>
      <c r="F4692" s="74">
        <f t="shared" si="1600"/>
        <v>46189</v>
      </c>
      <c r="G4692" s="67">
        <f t="shared" si="1601"/>
        <v>24317</v>
      </c>
      <c r="H4692" s="75">
        <f t="shared" si="1602"/>
        <v>1</v>
      </c>
      <c r="I4692" s="76">
        <f t="shared" si="1603"/>
        <v>1.04</v>
      </c>
      <c r="J4692" s="76">
        <f t="shared" si="1604"/>
        <v>1.04</v>
      </c>
      <c r="K4692" s="67">
        <f t="shared" si="1605"/>
        <v>0</v>
      </c>
      <c r="L4692" s="67">
        <f t="shared" si="1606"/>
        <v>0</v>
      </c>
      <c r="M4692" s="77">
        <f t="shared" si="1607"/>
        <v>0</v>
      </c>
      <c r="N4692" s="76">
        <f t="shared" si="1608"/>
        <v>1.04</v>
      </c>
      <c r="P4692" s="76">
        <f t="shared" si="1609"/>
        <v>1</v>
      </c>
      <c r="Q4692" s="76">
        <f t="shared" si="1610"/>
        <v>0</v>
      </c>
      <c r="R4692" s="76">
        <f t="shared" si="1611"/>
        <v>0</v>
      </c>
      <c r="S4692" s="53">
        <f t="shared" si="1612"/>
        <v>0</v>
      </c>
      <c r="T4692" s="53">
        <f>SUM($S$4675:$S4692)</f>
        <v>0</v>
      </c>
      <c r="U4692" s="53">
        <f t="shared" si="1613"/>
        <v>0</v>
      </c>
    </row>
    <row r="4693" spans="1:21" x14ac:dyDescent="0.25">
      <c r="A4693" s="71">
        <v>19</v>
      </c>
      <c r="B4693" s="72">
        <f t="shared" si="1614"/>
        <v>46204</v>
      </c>
      <c r="C4693" s="73">
        <f t="shared" si="1597"/>
        <v>46234</v>
      </c>
      <c r="D4693" s="67">
        <f t="shared" si="1598"/>
        <v>31</v>
      </c>
      <c r="E4693" s="67">
        <f t="shared" si="1599"/>
        <v>7</v>
      </c>
      <c r="F4693" s="74">
        <f t="shared" si="1600"/>
        <v>46219.5</v>
      </c>
      <c r="G4693" s="67">
        <f t="shared" si="1601"/>
        <v>24318</v>
      </c>
      <c r="H4693" s="75">
        <f t="shared" si="1602"/>
        <v>1</v>
      </c>
      <c r="I4693" s="76">
        <f t="shared" si="1603"/>
        <v>1.04</v>
      </c>
      <c r="J4693" s="76">
        <f t="shared" si="1604"/>
        <v>1.1024</v>
      </c>
      <c r="K4693" s="67">
        <f t="shared" si="1605"/>
        <v>1</v>
      </c>
      <c r="L4693" s="67">
        <f t="shared" si="1606"/>
        <v>31</v>
      </c>
      <c r="M4693" s="77">
        <f t="shared" si="1607"/>
        <v>1</v>
      </c>
      <c r="N4693" s="76">
        <f t="shared" si="1608"/>
        <v>1.1024</v>
      </c>
      <c r="P4693" s="76">
        <f t="shared" si="1609"/>
        <v>0.91666666666666663</v>
      </c>
      <c r="Q4693" s="76">
        <f t="shared" si="1610"/>
        <v>8.333333333333337E-2</v>
      </c>
      <c r="R4693" s="76">
        <f t="shared" si="1611"/>
        <v>0</v>
      </c>
      <c r="S4693" s="53">
        <f t="shared" si="1612"/>
        <v>9.1866666666666708E-2</v>
      </c>
      <c r="T4693" s="53">
        <f>SUM($S$4675:$S4693)</f>
        <v>9.1866666666666708E-2</v>
      </c>
      <c r="U4693" s="53">
        <f t="shared" si="1613"/>
        <v>9.1866666666666708E-2</v>
      </c>
    </row>
    <row r="4694" spans="1:21" x14ac:dyDescent="0.25">
      <c r="A4694" s="71">
        <v>20</v>
      </c>
      <c r="B4694" s="72">
        <f t="shared" si="1614"/>
        <v>46235</v>
      </c>
      <c r="C4694" s="73">
        <f t="shared" si="1597"/>
        <v>46265</v>
      </c>
      <c r="D4694" s="67">
        <f t="shared" si="1598"/>
        <v>31</v>
      </c>
      <c r="E4694" s="67">
        <f t="shared" si="1599"/>
        <v>8</v>
      </c>
      <c r="F4694" s="74">
        <f t="shared" si="1600"/>
        <v>46250.5</v>
      </c>
      <c r="G4694" s="67">
        <f t="shared" si="1601"/>
        <v>24319</v>
      </c>
      <c r="H4694" s="75">
        <f t="shared" si="1602"/>
        <v>1</v>
      </c>
      <c r="I4694" s="76">
        <f t="shared" si="1603"/>
        <v>1.1024</v>
      </c>
      <c r="J4694" s="76">
        <f t="shared" si="1604"/>
        <v>1.1024</v>
      </c>
      <c r="K4694" s="67">
        <f t="shared" si="1605"/>
        <v>0</v>
      </c>
      <c r="L4694" s="67">
        <f t="shared" si="1606"/>
        <v>0</v>
      </c>
      <c r="M4694" s="77">
        <f t="shared" si="1607"/>
        <v>0</v>
      </c>
      <c r="N4694" s="76">
        <f t="shared" si="1608"/>
        <v>1.1024</v>
      </c>
      <c r="P4694" s="76">
        <f t="shared" si="1609"/>
        <v>0.75</v>
      </c>
      <c r="Q4694" s="76">
        <f t="shared" si="1610"/>
        <v>0.25</v>
      </c>
      <c r="R4694" s="76">
        <f t="shared" si="1611"/>
        <v>0</v>
      </c>
      <c r="S4694" s="53">
        <f t="shared" si="1612"/>
        <v>0.27560000000000001</v>
      </c>
      <c r="T4694" s="53">
        <f>SUM($S$4675:$S4694)</f>
        <v>0.36746666666666672</v>
      </c>
      <c r="U4694" s="53">
        <f t="shared" si="1613"/>
        <v>0.27560000000000001</v>
      </c>
    </row>
    <row r="4695" spans="1:21" x14ac:dyDescent="0.25">
      <c r="A4695" s="71">
        <v>21</v>
      </c>
      <c r="B4695" s="72">
        <f t="shared" si="1614"/>
        <v>46266</v>
      </c>
      <c r="C4695" s="73">
        <f t="shared" si="1597"/>
        <v>46295</v>
      </c>
      <c r="D4695" s="67">
        <f t="shared" si="1598"/>
        <v>30</v>
      </c>
      <c r="E4695" s="67">
        <f t="shared" si="1599"/>
        <v>9</v>
      </c>
      <c r="F4695" s="74">
        <f t="shared" si="1600"/>
        <v>46281</v>
      </c>
      <c r="G4695" s="67">
        <f t="shared" si="1601"/>
        <v>24320</v>
      </c>
      <c r="H4695" s="75">
        <f t="shared" si="1602"/>
        <v>1</v>
      </c>
      <c r="I4695" s="76">
        <f t="shared" si="1603"/>
        <v>1.1024</v>
      </c>
      <c r="J4695" s="76">
        <f t="shared" si="1604"/>
        <v>1.1024</v>
      </c>
      <c r="K4695" s="67">
        <f t="shared" si="1605"/>
        <v>0</v>
      </c>
      <c r="L4695" s="67">
        <f t="shared" si="1606"/>
        <v>0</v>
      </c>
      <c r="M4695" s="77">
        <f t="shared" si="1607"/>
        <v>0</v>
      </c>
      <c r="N4695" s="76">
        <f t="shared" si="1608"/>
        <v>1.1024</v>
      </c>
      <c r="P4695" s="76">
        <f t="shared" si="1609"/>
        <v>0.58333333333333337</v>
      </c>
      <c r="Q4695" s="76">
        <f t="shared" si="1610"/>
        <v>0.41666666666666663</v>
      </c>
      <c r="R4695" s="76">
        <f t="shared" si="1611"/>
        <v>0</v>
      </c>
      <c r="S4695" s="53">
        <f t="shared" si="1612"/>
        <v>0.45933333333333332</v>
      </c>
      <c r="T4695" s="53">
        <f>SUM($S$4675:$S4695)</f>
        <v>0.82679999999999998</v>
      </c>
      <c r="U4695" s="53">
        <f t="shared" si="1613"/>
        <v>0.45933333333333332</v>
      </c>
    </row>
    <row r="4696" spans="1:21" x14ac:dyDescent="0.25">
      <c r="A4696" s="71">
        <v>22</v>
      </c>
      <c r="B4696" s="72">
        <f t="shared" si="1614"/>
        <v>46296</v>
      </c>
      <c r="C4696" s="73">
        <f t="shared" si="1597"/>
        <v>46326</v>
      </c>
      <c r="D4696" s="67">
        <f t="shared" si="1598"/>
        <v>31</v>
      </c>
      <c r="E4696" s="67">
        <f t="shared" si="1599"/>
        <v>10</v>
      </c>
      <c r="F4696" s="74">
        <f t="shared" si="1600"/>
        <v>46311.5</v>
      </c>
      <c r="G4696" s="67">
        <f t="shared" si="1601"/>
        <v>24321</v>
      </c>
      <c r="H4696" s="75">
        <f t="shared" si="1602"/>
        <v>1</v>
      </c>
      <c r="I4696" s="76">
        <f t="shared" si="1603"/>
        <v>1.1024</v>
      </c>
      <c r="J4696" s="76">
        <f t="shared" si="1604"/>
        <v>1.1024</v>
      </c>
      <c r="K4696" s="67">
        <f t="shared" si="1605"/>
        <v>0</v>
      </c>
      <c r="L4696" s="67">
        <f t="shared" si="1606"/>
        <v>0</v>
      </c>
      <c r="M4696" s="77">
        <f t="shared" si="1607"/>
        <v>0</v>
      </c>
      <c r="N4696" s="76">
        <f t="shared" si="1608"/>
        <v>1.1024</v>
      </c>
      <c r="P4696" s="76">
        <f t="shared" si="1609"/>
        <v>0.41666666666666669</v>
      </c>
      <c r="Q4696" s="76">
        <f t="shared" si="1610"/>
        <v>0.58333333333333326</v>
      </c>
      <c r="R4696" s="76">
        <f t="shared" si="1611"/>
        <v>0</v>
      </c>
      <c r="S4696" s="53">
        <f t="shared" si="1612"/>
        <v>0.64306666666666656</v>
      </c>
      <c r="T4696" s="53">
        <f>SUM($S$4675:$S4696)</f>
        <v>1.4698666666666664</v>
      </c>
      <c r="U4696" s="53">
        <f t="shared" si="1613"/>
        <v>0.64306666666666656</v>
      </c>
    </row>
    <row r="4697" spans="1:21" x14ac:dyDescent="0.25">
      <c r="A4697" s="71">
        <v>23</v>
      </c>
      <c r="B4697" s="72">
        <f t="shared" si="1614"/>
        <v>46327</v>
      </c>
      <c r="C4697" s="73">
        <f t="shared" si="1597"/>
        <v>46356</v>
      </c>
      <c r="D4697" s="67">
        <f t="shared" si="1598"/>
        <v>30</v>
      </c>
      <c r="E4697" s="67">
        <f t="shared" si="1599"/>
        <v>11</v>
      </c>
      <c r="F4697" s="74">
        <f t="shared" si="1600"/>
        <v>46342</v>
      </c>
      <c r="G4697" s="67">
        <f t="shared" si="1601"/>
        <v>24322</v>
      </c>
      <c r="H4697" s="75">
        <f t="shared" si="1602"/>
        <v>1</v>
      </c>
      <c r="I4697" s="76">
        <f t="shared" si="1603"/>
        <v>1.1024</v>
      </c>
      <c r="J4697" s="76">
        <f t="shared" si="1604"/>
        <v>1.1024</v>
      </c>
      <c r="K4697" s="67">
        <f t="shared" si="1605"/>
        <v>0</v>
      </c>
      <c r="L4697" s="67">
        <f t="shared" si="1606"/>
        <v>0</v>
      </c>
      <c r="M4697" s="77">
        <f t="shared" si="1607"/>
        <v>0</v>
      </c>
      <c r="N4697" s="76">
        <f t="shared" si="1608"/>
        <v>1.1024</v>
      </c>
      <c r="P4697" s="76">
        <f t="shared" si="1609"/>
        <v>0.25</v>
      </c>
      <c r="Q4697" s="76">
        <f t="shared" si="1610"/>
        <v>0.75</v>
      </c>
      <c r="R4697" s="76">
        <f t="shared" si="1611"/>
        <v>0</v>
      </c>
      <c r="S4697" s="53">
        <f t="shared" si="1612"/>
        <v>0.82679999999999998</v>
      </c>
      <c r="T4697" s="53">
        <f>SUM($S$4675:$S4697)</f>
        <v>2.2966666666666664</v>
      </c>
      <c r="U4697" s="53">
        <f t="shared" si="1613"/>
        <v>0.82679999999999998</v>
      </c>
    </row>
    <row r="4698" spans="1:21" x14ac:dyDescent="0.25">
      <c r="A4698" s="71">
        <v>24</v>
      </c>
      <c r="B4698" s="72">
        <f t="shared" si="1614"/>
        <v>46357</v>
      </c>
      <c r="C4698" s="73">
        <f t="shared" si="1597"/>
        <v>46387</v>
      </c>
      <c r="D4698" s="67">
        <f t="shared" si="1598"/>
        <v>31</v>
      </c>
      <c r="E4698" s="67">
        <f t="shared" si="1599"/>
        <v>12</v>
      </c>
      <c r="F4698" s="74">
        <f t="shared" si="1600"/>
        <v>46372.5</v>
      </c>
      <c r="G4698" s="67">
        <f t="shared" si="1601"/>
        <v>24323</v>
      </c>
      <c r="H4698" s="75">
        <f t="shared" si="1602"/>
        <v>1</v>
      </c>
      <c r="I4698" s="76">
        <f t="shared" si="1603"/>
        <v>1.1024</v>
      </c>
      <c r="J4698" s="76">
        <f t="shared" si="1604"/>
        <v>1.1024</v>
      </c>
      <c r="K4698" s="67">
        <f t="shared" si="1605"/>
        <v>0</v>
      </c>
      <c r="L4698" s="67">
        <f t="shared" si="1606"/>
        <v>0</v>
      </c>
      <c r="M4698" s="77">
        <f t="shared" si="1607"/>
        <v>0</v>
      </c>
      <c r="N4698" s="76">
        <f t="shared" si="1608"/>
        <v>1.1024</v>
      </c>
      <c r="P4698" s="76">
        <f t="shared" si="1609"/>
        <v>8.3333333333333329E-2</v>
      </c>
      <c r="Q4698" s="76">
        <f t="shared" si="1610"/>
        <v>0.91666666666666663</v>
      </c>
      <c r="R4698" s="76">
        <f t="shared" si="1611"/>
        <v>0</v>
      </c>
      <c r="S4698" s="53">
        <f t="shared" si="1612"/>
        <v>1.0105333333333333</v>
      </c>
      <c r="T4698" s="53">
        <f>SUM($S$4675:$S4698)</f>
        <v>3.3071999999999999</v>
      </c>
      <c r="U4698" s="53">
        <f t="shared" si="1613"/>
        <v>1.0105333333333333</v>
      </c>
    </row>
    <row r="4699" spans="1:21" x14ac:dyDescent="0.25">
      <c r="A4699" s="71">
        <v>25</v>
      </c>
      <c r="B4699" s="72">
        <f t="shared" si="1614"/>
        <v>46388</v>
      </c>
      <c r="C4699" s="73">
        <f t="shared" si="1597"/>
        <v>46418</v>
      </c>
      <c r="D4699" s="67">
        <f t="shared" si="1598"/>
        <v>31</v>
      </c>
      <c r="E4699" s="67">
        <f t="shared" si="1599"/>
        <v>1</v>
      </c>
      <c r="F4699" s="74">
        <f t="shared" si="1600"/>
        <v>46403.5</v>
      </c>
      <c r="G4699" s="67">
        <f t="shared" si="1601"/>
        <v>24324</v>
      </c>
      <c r="H4699" s="75">
        <f t="shared" si="1602"/>
        <v>1</v>
      </c>
      <c r="I4699" s="76">
        <f t="shared" si="1603"/>
        <v>1.1024</v>
      </c>
      <c r="J4699" s="76">
        <f t="shared" si="1604"/>
        <v>1.1024</v>
      </c>
      <c r="K4699" s="67">
        <f t="shared" si="1605"/>
        <v>0</v>
      </c>
      <c r="L4699" s="67">
        <f t="shared" si="1606"/>
        <v>0</v>
      </c>
      <c r="M4699" s="77">
        <f t="shared" si="1607"/>
        <v>0</v>
      </c>
      <c r="N4699" s="76">
        <f t="shared" si="1608"/>
        <v>1.1024</v>
      </c>
      <c r="P4699" s="76">
        <f t="shared" si="1609"/>
        <v>0</v>
      </c>
      <c r="Q4699" s="76">
        <f t="shared" si="1610"/>
        <v>1</v>
      </c>
      <c r="R4699" s="76">
        <f t="shared" si="1611"/>
        <v>0</v>
      </c>
      <c r="S4699" s="53">
        <f t="shared" si="1612"/>
        <v>1.1024</v>
      </c>
      <c r="T4699" s="53">
        <f>SUM($S$4675:$S4699)</f>
        <v>4.4096000000000002</v>
      </c>
      <c r="U4699" s="53">
        <f t="shared" si="1613"/>
        <v>1.1024</v>
      </c>
    </row>
    <row r="4700" spans="1:21" x14ac:dyDescent="0.25">
      <c r="A4700" s="71">
        <v>26</v>
      </c>
      <c r="B4700" s="72">
        <f t="shared" si="1614"/>
        <v>46419</v>
      </c>
      <c r="C4700" s="73">
        <f t="shared" si="1597"/>
        <v>46446</v>
      </c>
      <c r="D4700" s="67">
        <f t="shared" si="1598"/>
        <v>28</v>
      </c>
      <c r="E4700" s="67">
        <f t="shared" si="1599"/>
        <v>2</v>
      </c>
      <c r="F4700" s="74">
        <f t="shared" si="1600"/>
        <v>46433</v>
      </c>
      <c r="G4700" s="67">
        <f t="shared" si="1601"/>
        <v>24325</v>
      </c>
      <c r="H4700" s="75">
        <f t="shared" si="1602"/>
        <v>1</v>
      </c>
      <c r="I4700" s="76">
        <f t="shared" si="1603"/>
        <v>1.1024</v>
      </c>
      <c r="J4700" s="76">
        <f t="shared" si="1604"/>
        <v>1.1024</v>
      </c>
      <c r="K4700" s="67">
        <f t="shared" si="1605"/>
        <v>0</v>
      </c>
      <c r="L4700" s="67">
        <f t="shared" si="1606"/>
        <v>0</v>
      </c>
      <c r="M4700" s="77">
        <f t="shared" si="1607"/>
        <v>0</v>
      </c>
      <c r="N4700" s="76">
        <f t="shared" si="1608"/>
        <v>1.1024</v>
      </c>
      <c r="P4700" s="76">
        <f t="shared" si="1609"/>
        <v>0</v>
      </c>
      <c r="Q4700" s="76">
        <f t="shared" si="1610"/>
        <v>1</v>
      </c>
      <c r="R4700" s="76">
        <f t="shared" si="1611"/>
        <v>0</v>
      </c>
      <c r="S4700" s="53">
        <f t="shared" si="1612"/>
        <v>1.1024</v>
      </c>
      <c r="T4700" s="53">
        <f>SUM($S$4675:$S4700)</f>
        <v>5.5120000000000005</v>
      </c>
      <c r="U4700" s="53">
        <f t="shared" si="1613"/>
        <v>1.1024</v>
      </c>
    </row>
    <row r="4701" spans="1:21" x14ac:dyDescent="0.25">
      <c r="A4701" s="71">
        <v>27</v>
      </c>
      <c r="B4701" s="72">
        <f t="shared" si="1614"/>
        <v>46447</v>
      </c>
      <c r="C4701" s="73">
        <f t="shared" si="1597"/>
        <v>46477</v>
      </c>
      <c r="D4701" s="67">
        <f t="shared" si="1598"/>
        <v>31</v>
      </c>
      <c r="E4701" s="67">
        <f t="shared" si="1599"/>
        <v>3</v>
      </c>
      <c r="F4701" s="74">
        <f t="shared" si="1600"/>
        <v>46462.5</v>
      </c>
      <c r="G4701" s="67">
        <f t="shared" si="1601"/>
        <v>24326</v>
      </c>
      <c r="H4701" s="75">
        <f t="shared" si="1602"/>
        <v>1</v>
      </c>
      <c r="I4701" s="76">
        <f t="shared" si="1603"/>
        <v>1.1024</v>
      </c>
      <c r="J4701" s="76">
        <f t="shared" si="1604"/>
        <v>1.1024</v>
      </c>
      <c r="K4701" s="67">
        <f t="shared" si="1605"/>
        <v>0</v>
      </c>
      <c r="L4701" s="67">
        <f t="shared" si="1606"/>
        <v>0</v>
      </c>
      <c r="M4701" s="77">
        <f t="shared" si="1607"/>
        <v>0</v>
      </c>
      <c r="N4701" s="76">
        <f t="shared" si="1608"/>
        <v>1.1024</v>
      </c>
      <c r="P4701" s="76">
        <f t="shared" si="1609"/>
        <v>0</v>
      </c>
      <c r="Q4701" s="76">
        <f t="shared" si="1610"/>
        <v>1</v>
      </c>
      <c r="R4701" s="76">
        <f t="shared" si="1611"/>
        <v>0</v>
      </c>
      <c r="S4701" s="53">
        <f t="shared" si="1612"/>
        <v>1.1024</v>
      </c>
      <c r="T4701" s="53">
        <f>SUM($S$4675:$S4701)</f>
        <v>6.6144000000000007</v>
      </c>
      <c r="U4701" s="53">
        <f t="shared" si="1613"/>
        <v>1.1024</v>
      </c>
    </row>
    <row r="4702" spans="1:21" x14ac:dyDescent="0.25">
      <c r="A4702" s="71">
        <v>28</v>
      </c>
      <c r="B4702" s="72">
        <f t="shared" si="1614"/>
        <v>46478</v>
      </c>
      <c r="C4702" s="73">
        <f t="shared" si="1597"/>
        <v>46507</v>
      </c>
      <c r="D4702" s="67">
        <f t="shared" si="1598"/>
        <v>30</v>
      </c>
      <c r="E4702" s="67">
        <f t="shared" si="1599"/>
        <v>4</v>
      </c>
      <c r="F4702" s="74">
        <f t="shared" si="1600"/>
        <v>46493</v>
      </c>
      <c r="G4702" s="67">
        <f t="shared" si="1601"/>
        <v>24327</v>
      </c>
      <c r="H4702" s="75">
        <f t="shared" si="1602"/>
        <v>1</v>
      </c>
      <c r="I4702" s="76">
        <f t="shared" si="1603"/>
        <v>1.1024</v>
      </c>
      <c r="J4702" s="76">
        <f t="shared" si="1604"/>
        <v>1.1024</v>
      </c>
      <c r="K4702" s="67">
        <f t="shared" si="1605"/>
        <v>0</v>
      </c>
      <c r="L4702" s="67">
        <f t="shared" si="1606"/>
        <v>0</v>
      </c>
      <c r="M4702" s="77">
        <f t="shared" si="1607"/>
        <v>0</v>
      </c>
      <c r="N4702" s="76">
        <f t="shared" si="1608"/>
        <v>1.1024</v>
      </c>
      <c r="P4702" s="76">
        <f t="shared" si="1609"/>
        <v>0</v>
      </c>
      <c r="Q4702" s="76">
        <f t="shared" si="1610"/>
        <v>1</v>
      </c>
      <c r="R4702" s="76">
        <f t="shared" si="1611"/>
        <v>0</v>
      </c>
      <c r="S4702" s="53">
        <f t="shared" si="1612"/>
        <v>1.1024</v>
      </c>
      <c r="T4702" s="53">
        <f>SUM($S$4675:$S4702)</f>
        <v>7.716800000000001</v>
      </c>
      <c r="U4702" s="53">
        <f t="shared" si="1613"/>
        <v>1.1024</v>
      </c>
    </row>
    <row r="4703" spans="1:21" x14ac:dyDescent="0.25">
      <c r="A4703" s="71">
        <v>29</v>
      </c>
      <c r="B4703" s="72">
        <f t="shared" si="1614"/>
        <v>46508</v>
      </c>
      <c r="C4703" s="73">
        <f t="shared" si="1597"/>
        <v>46538</v>
      </c>
      <c r="D4703" s="67">
        <f t="shared" si="1598"/>
        <v>31</v>
      </c>
      <c r="E4703" s="67">
        <f t="shared" si="1599"/>
        <v>5</v>
      </c>
      <c r="F4703" s="74">
        <f t="shared" si="1600"/>
        <v>46523.5</v>
      </c>
      <c r="G4703" s="67">
        <f t="shared" si="1601"/>
        <v>24328</v>
      </c>
      <c r="H4703" s="75">
        <f t="shared" si="1602"/>
        <v>1</v>
      </c>
      <c r="I4703" s="76">
        <f t="shared" si="1603"/>
        <v>1.1024</v>
      </c>
      <c r="J4703" s="76">
        <f t="shared" si="1604"/>
        <v>1.1024</v>
      </c>
      <c r="K4703" s="67">
        <f t="shared" si="1605"/>
        <v>0</v>
      </c>
      <c r="L4703" s="67">
        <f t="shared" si="1606"/>
        <v>0</v>
      </c>
      <c r="M4703" s="77">
        <f t="shared" si="1607"/>
        <v>0</v>
      </c>
      <c r="N4703" s="76">
        <f t="shared" si="1608"/>
        <v>1.1024</v>
      </c>
      <c r="P4703" s="76">
        <f t="shared" si="1609"/>
        <v>0</v>
      </c>
      <c r="Q4703" s="76">
        <f t="shared" si="1610"/>
        <v>1</v>
      </c>
      <c r="R4703" s="76">
        <f t="shared" si="1611"/>
        <v>0</v>
      </c>
      <c r="S4703" s="53">
        <f t="shared" si="1612"/>
        <v>1.1024</v>
      </c>
      <c r="T4703" s="53">
        <f>SUM($S$4675:$S4703)</f>
        <v>8.8192000000000004</v>
      </c>
      <c r="U4703" s="53">
        <f t="shared" si="1613"/>
        <v>1.1024</v>
      </c>
    </row>
    <row r="4704" spans="1:21" x14ac:dyDescent="0.25">
      <c r="A4704" s="71">
        <v>30</v>
      </c>
      <c r="B4704" s="72">
        <f t="shared" si="1614"/>
        <v>46539</v>
      </c>
      <c r="C4704" s="73">
        <f t="shared" si="1597"/>
        <v>46568</v>
      </c>
      <c r="D4704" s="67">
        <f t="shared" si="1598"/>
        <v>30</v>
      </c>
      <c r="E4704" s="67">
        <f t="shared" si="1599"/>
        <v>6</v>
      </c>
      <c r="F4704" s="74">
        <f t="shared" si="1600"/>
        <v>46554</v>
      </c>
      <c r="G4704" s="67">
        <f t="shared" si="1601"/>
        <v>24329</v>
      </c>
      <c r="H4704" s="75">
        <f t="shared" si="1602"/>
        <v>1</v>
      </c>
      <c r="I4704" s="76">
        <f t="shared" si="1603"/>
        <v>1.1024</v>
      </c>
      <c r="J4704" s="76">
        <f t="shared" si="1604"/>
        <v>1.1024</v>
      </c>
      <c r="K4704" s="67">
        <f t="shared" si="1605"/>
        <v>0</v>
      </c>
      <c r="L4704" s="67">
        <f t="shared" si="1606"/>
        <v>0</v>
      </c>
      <c r="M4704" s="77">
        <f t="shared" si="1607"/>
        <v>0</v>
      </c>
      <c r="N4704" s="76">
        <f t="shared" si="1608"/>
        <v>1.1024</v>
      </c>
      <c r="P4704" s="76">
        <f t="shared" si="1609"/>
        <v>0</v>
      </c>
      <c r="Q4704" s="76">
        <f t="shared" si="1610"/>
        <v>1</v>
      </c>
      <c r="R4704" s="76">
        <f t="shared" si="1611"/>
        <v>0</v>
      </c>
      <c r="S4704" s="53">
        <f t="shared" si="1612"/>
        <v>1.1024</v>
      </c>
      <c r="T4704" s="53">
        <f>SUM($S$4675:$S4704)</f>
        <v>9.9215999999999998</v>
      </c>
      <c r="U4704" s="53">
        <f t="shared" si="1613"/>
        <v>1.1024</v>
      </c>
    </row>
    <row r="4705" spans="1:21" x14ac:dyDescent="0.25">
      <c r="A4705" s="71">
        <v>31</v>
      </c>
      <c r="B4705" s="72">
        <f t="shared" si="1614"/>
        <v>46569</v>
      </c>
      <c r="C4705" s="73">
        <f t="shared" si="1597"/>
        <v>46599</v>
      </c>
      <c r="D4705" s="67">
        <f t="shared" si="1598"/>
        <v>31</v>
      </c>
      <c r="E4705" s="67">
        <f t="shared" si="1599"/>
        <v>7</v>
      </c>
      <c r="F4705" s="74">
        <f t="shared" si="1600"/>
        <v>46584.5</v>
      </c>
      <c r="G4705" s="67">
        <f t="shared" si="1601"/>
        <v>24330</v>
      </c>
      <c r="H4705" s="75">
        <f t="shared" si="1602"/>
        <v>1</v>
      </c>
      <c r="I4705" s="76">
        <f t="shared" si="1603"/>
        <v>1.1024</v>
      </c>
      <c r="J4705" s="76">
        <f t="shared" si="1604"/>
        <v>1.1024</v>
      </c>
      <c r="K4705" s="67">
        <f t="shared" si="1605"/>
        <v>0</v>
      </c>
      <c r="L4705" s="67">
        <f t="shared" si="1606"/>
        <v>0</v>
      </c>
      <c r="M4705" s="77">
        <f t="shared" si="1607"/>
        <v>0</v>
      </c>
      <c r="N4705" s="76">
        <f t="shared" si="1608"/>
        <v>1.1024</v>
      </c>
      <c r="P4705" s="76">
        <f t="shared" si="1609"/>
        <v>0</v>
      </c>
      <c r="Q4705" s="76">
        <f t="shared" si="1610"/>
        <v>0.91666666666666663</v>
      </c>
      <c r="R4705" s="76">
        <f t="shared" si="1611"/>
        <v>8.333333333333337E-2</v>
      </c>
      <c r="S4705" s="53">
        <f t="shared" si="1612"/>
        <v>1.0105333333333333</v>
      </c>
      <c r="T4705" s="53">
        <f>SUM($S$4675:$S4705)</f>
        <v>10.932133333333333</v>
      </c>
      <c r="U4705" s="53">
        <f t="shared" si="1613"/>
        <v>1.0105333333333333</v>
      </c>
    </row>
    <row r="4706" spans="1:21" x14ac:dyDescent="0.25">
      <c r="A4706" s="71">
        <v>32</v>
      </c>
      <c r="B4706" s="72">
        <f t="shared" si="1614"/>
        <v>46600</v>
      </c>
      <c r="C4706" s="73">
        <f t="shared" si="1597"/>
        <v>46630</v>
      </c>
      <c r="D4706" s="67">
        <f t="shared" si="1598"/>
        <v>31</v>
      </c>
      <c r="E4706" s="67">
        <f t="shared" si="1599"/>
        <v>8</v>
      </c>
      <c r="F4706" s="74">
        <f t="shared" si="1600"/>
        <v>46615.5</v>
      </c>
      <c r="G4706" s="67">
        <f t="shared" si="1601"/>
        <v>24331</v>
      </c>
      <c r="H4706" s="75">
        <f t="shared" si="1602"/>
        <v>1</v>
      </c>
      <c r="I4706" s="76">
        <f t="shared" si="1603"/>
        <v>1.1024</v>
      </c>
      <c r="J4706" s="76">
        <f t="shared" si="1604"/>
        <v>1.1024</v>
      </c>
      <c r="K4706" s="67">
        <f t="shared" si="1605"/>
        <v>0</v>
      </c>
      <c r="L4706" s="67">
        <f t="shared" si="1606"/>
        <v>0</v>
      </c>
      <c r="M4706" s="77">
        <f t="shared" si="1607"/>
        <v>0</v>
      </c>
      <c r="N4706" s="76">
        <f t="shared" si="1608"/>
        <v>1.1024</v>
      </c>
      <c r="P4706" s="76">
        <f t="shared" si="1609"/>
        <v>0</v>
      </c>
      <c r="Q4706" s="76">
        <f t="shared" si="1610"/>
        <v>0.75</v>
      </c>
      <c r="R4706" s="76">
        <f t="shared" si="1611"/>
        <v>0.25</v>
      </c>
      <c r="S4706" s="53">
        <f t="shared" si="1612"/>
        <v>0.82679999999999998</v>
      </c>
      <c r="T4706" s="53">
        <f>SUM($S$4675:$S4706)</f>
        <v>11.758933333333333</v>
      </c>
      <c r="U4706" s="53">
        <f t="shared" si="1613"/>
        <v>0.82679999999999998</v>
      </c>
    </row>
    <row r="4707" spans="1:21" x14ac:dyDescent="0.25">
      <c r="A4707" s="71">
        <v>33</v>
      </c>
      <c r="B4707" s="72">
        <f t="shared" si="1614"/>
        <v>46631</v>
      </c>
      <c r="C4707" s="73">
        <f t="shared" si="1597"/>
        <v>46660</v>
      </c>
      <c r="D4707" s="67">
        <f t="shared" si="1598"/>
        <v>30</v>
      </c>
      <c r="E4707" s="67">
        <f t="shared" si="1599"/>
        <v>9</v>
      </c>
      <c r="F4707" s="74">
        <f t="shared" si="1600"/>
        <v>46646</v>
      </c>
      <c r="G4707" s="67">
        <f t="shared" si="1601"/>
        <v>24332</v>
      </c>
      <c r="H4707" s="75">
        <f t="shared" si="1602"/>
        <v>1</v>
      </c>
      <c r="I4707" s="76">
        <f t="shared" si="1603"/>
        <v>1.1024</v>
      </c>
      <c r="J4707" s="76">
        <f t="shared" si="1604"/>
        <v>1.1024</v>
      </c>
      <c r="K4707" s="67">
        <f t="shared" si="1605"/>
        <v>0</v>
      </c>
      <c r="L4707" s="67">
        <f t="shared" si="1606"/>
        <v>0</v>
      </c>
      <c r="M4707" s="77">
        <f t="shared" si="1607"/>
        <v>0</v>
      </c>
      <c r="N4707" s="76">
        <f t="shared" si="1608"/>
        <v>1.1024</v>
      </c>
      <c r="P4707" s="76">
        <f t="shared" si="1609"/>
        <v>0</v>
      </c>
      <c r="Q4707" s="76">
        <f t="shared" si="1610"/>
        <v>0.58333333333333337</v>
      </c>
      <c r="R4707" s="76">
        <f t="shared" si="1611"/>
        <v>0.41666666666666663</v>
      </c>
      <c r="S4707" s="53">
        <f t="shared" si="1612"/>
        <v>0.64306666666666679</v>
      </c>
      <c r="T4707" s="53">
        <f>SUM($S$4675:$S4707)</f>
        <v>12.401999999999999</v>
      </c>
      <c r="U4707" s="53">
        <f t="shared" si="1613"/>
        <v>0.64306666666666679</v>
      </c>
    </row>
    <row r="4708" spans="1:21" x14ac:dyDescent="0.25">
      <c r="A4708" s="71">
        <v>34</v>
      </c>
      <c r="B4708" s="72">
        <f t="shared" si="1614"/>
        <v>46661</v>
      </c>
      <c r="C4708" s="73">
        <f t="shared" si="1597"/>
        <v>46691</v>
      </c>
      <c r="D4708" s="67">
        <f t="shared" si="1598"/>
        <v>31</v>
      </c>
      <c r="E4708" s="67">
        <f t="shared" si="1599"/>
        <v>10</v>
      </c>
      <c r="F4708" s="74">
        <f t="shared" si="1600"/>
        <v>46676.5</v>
      </c>
      <c r="G4708" s="67">
        <f t="shared" si="1601"/>
        <v>24333</v>
      </c>
      <c r="H4708" s="75">
        <f t="shared" si="1602"/>
        <v>1</v>
      </c>
      <c r="I4708" s="76">
        <f t="shared" si="1603"/>
        <v>1.1024</v>
      </c>
      <c r="J4708" s="76">
        <f t="shared" si="1604"/>
        <v>1.1024</v>
      </c>
      <c r="K4708" s="67">
        <f t="shared" si="1605"/>
        <v>0</v>
      </c>
      <c r="L4708" s="67">
        <f t="shared" si="1606"/>
        <v>0</v>
      </c>
      <c r="M4708" s="77">
        <f t="shared" si="1607"/>
        <v>0</v>
      </c>
      <c r="N4708" s="76">
        <f t="shared" si="1608"/>
        <v>1.1024</v>
      </c>
      <c r="P4708" s="76">
        <f t="shared" si="1609"/>
        <v>0</v>
      </c>
      <c r="Q4708" s="76">
        <f t="shared" si="1610"/>
        <v>0.41666666666666669</v>
      </c>
      <c r="R4708" s="76">
        <f t="shared" si="1611"/>
        <v>0.58333333333333326</v>
      </c>
      <c r="S4708" s="53">
        <f t="shared" si="1612"/>
        <v>0.45933333333333337</v>
      </c>
      <c r="T4708" s="53">
        <f>SUM($S$4675:$S4708)</f>
        <v>12.861333333333333</v>
      </c>
      <c r="U4708" s="53">
        <f t="shared" si="1613"/>
        <v>0.45933333333333337</v>
      </c>
    </row>
    <row r="4709" spans="1:21" x14ac:dyDescent="0.25">
      <c r="A4709" s="71">
        <v>35</v>
      </c>
      <c r="B4709" s="72">
        <f t="shared" si="1614"/>
        <v>46692</v>
      </c>
      <c r="C4709" s="73">
        <f t="shared" si="1597"/>
        <v>46721</v>
      </c>
      <c r="D4709" s="67">
        <f t="shared" si="1598"/>
        <v>30</v>
      </c>
      <c r="E4709" s="67">
        <f t="shared" si="1599"/>
        <v>11</v>
      </c>
      <c r="F4709" s="74">
        <f t="shared" si="1600"/>
        <v>46707</v>
      </c>
      <c r="G4709" s="67">
        <f t="shared" si="1601"/>
        <v>24334</v>
      </c>
      <c r="H4709" s="75">
        <f t="shared" si="1602"/>
        <v>1</v>
      </c>
      <c r="I4709" s="76">
        <f t="shared" si="1603"/>
        <v>1.1024</v>
      </c>
      <c r="J4709" s="76">
        <f t="shared" si="1604"/>
        <v>1.1024</v>
      </c>
      <c r="K4709" s="67">
        <f t="shared" si="1605"/>
        <v>0</v>
      </c>
      <c r="L4709" s="67">
        <f t="shared" si="1606"/>
        <v>0</v>
      </c>
      <c r="M4709" s="77">
        <f t="shared" si="1607"/>
        <v>0</v>
      </c>
      <c r="N4709" s="76">
        <f t="shared" si="1608"/>
        <v>1.1024</v>
      </c>
      <c r="P4709" s="76">
        <f t="shared" si="1609"/>
        <v>0</v>
      </c>
      <c r="Q4709" s="76">
        <f t="shared" si="1610"/>
        <v>0.25</v>
      </c>
      <c r="R4709" s="76">
        <f t="shared" si="1611"/>
        <v>0.75</v>
      </c>
      <c r="S4709" s="53">
        <f t="shared" si="1612"/>
        <v>0.27560000000000001</v>
      </c>
      <c r="T4709" s="53">
        <f>SUM($S$4675:$S4709)</f>
        <v>13.136933333333333</v>
      </c>
      <c r="U4709" s="53">
        <f t="shared" si="1613"/>
        <v>0.27560000000000001</v>
      </c>
    </row>
    <row r="4710" spans="1:21" x14ac:dyDescent="0.25">
      <c r="A4710" s="71">
        <v>36</v>
      </c>
      <c r="B4710" s="72">
        <f t="shared" si="1614"/>
        <v>46722</v>
      </c>
      <c r="C4710" s="73">
        <f t="shared" si="1597"/>
        <v>46752</v>
      </c>
      <c r="D4710" s="67">
        <f t="shared" si="1598"/>
        <v>31</v>
      </c>
      <c r="E4710" s="67">
        <f t="shared" si="1599"/>
        <v>12</v>
      </c>
      <c r="F4710" s="74">
        <f t="shared" si="1600"/>
        <v>46737.5</v>
      </c>
      <c r="G4710" s="67">
        <f t="shared" si="1601"/>
        <v>24335</v>
      </c>
      <c r="H4710" s="75">
        <f t="shared" si="1602"/>
        <v>1</v>
      </c>
      <c r="I4710" s="76">
        <f t="shared" si="1603"/>
        <v>1.1024</v>
      </c>
      <c r="J4710" s="76">
        <f t="shared" si="1604"/>
        <v>1.1024</v>
      </c>
      <c r="K4710" s="67">
        <f t="shared" si="1605"/>
        <v>0</v>
      </c>
      <c r="L4710" s="67">
        <f t="shared" si="1606"/>
        <v>0</v>
      </c>
      <c r="M4710" s="77">
        <f t="shared" si="1607"/>
        <v>0</v>
      </c>
      <c r="N4710" s="76">
        <f t="shared" si="1608"/>
        <v>1.1024</v>
      </c>
      <c r="P4710" s="76">
        <f t="shared" si="1609"/>
        <v>0</v>
      </c>
      <c r="Q4710" s="76">
        <f t="shared" si="1610"/>
        <v>8.3333333333333329E-2</v>
      </c>
      <c r="R4710" s="76">
        <f t="shared" si="1611"/>
        <v>0.91666666666666663</v>
      </c>
      <c r="S4710" s="53">
        <f t="shared" si="1612"/>
        <v>9.1866666666666666E-2</v>
      </c>
      <c r="T4710" s="53">
        <f>SUM($S$4675:$S4710)</f>
        <v>13.2288</v>
      </c>
      <c r="U4710" s="53">
        <f t="shared" si="1613"/>
        <v>9.1866666666666666E-2</v>
      </c>
    </row>
    <row r="4711" spans="1:21" x14ac:dyDescent="0.25">
      <c r="A4711" s="71">
        <v>37</v>
      </c>
      <c r="B4711" s="72">
        <f t="shared" si="1614"/>
        <v>46753</v>
      </c>
      <c r="C4711" s="73">
        <f t="shared" si="1597"/>
        <v>46783</v>
      </c>
      <c r="D4711" s="67">
        <f t="shared" si="1598"/>
        <v>31</v>
      </c>
      <c r="E4711" s="67">
        <f t="shared" si="1599"/>
        <v>1</v>
      </c>
      <c r="F4711" s="74">
        <f t="shared" si="1600"/>
        <v>46768.5</v>
      </c>
      <c r="G4711" s="67">
        <f t="shared" si="1601"/>
        <v>24336</v>
      </c>
      <c r="H4711" s="75">
        <f t="shared" si="1602"/>
        <v>1</v>
      </c>
      <c r="I4711" s="76">
        <f t="shared" si="1603"/>
        <v>1.1024</v>
      </c>
      <c r="J4711" s="76">
        <f t="shared" si="1604"/>
        <v>1.1024</v>
      </c>
      <c r="K4711" s="67">
        <f t="shared" si="1605"/>
        <v>0</v>
      </c>
      <c r="L4711" s="67">
        <f t="shared" si="1606"/>
        <v>0</v>
      </c>
      <c r="M4711" s="77">
        <f t="shared" si="1607"/>
        <v>0</v>
      </c>
      <c r="N4711" s="76">
        <f t="shared" si="1608"/>
        <v>1.1024</v>
      </c>
      <c r="P4711" s="76">
        <f t="shared" si="1609"/>
        <v>0</v>
      </c>
      <c r="Q4711" s="76">
        <f t="shared" si="1610"/>
        <v>0</v>
      </c>
      <c r="R4711" s="76">
        <f t="shared" si="1611"/>
        <v>1</v>
      </c>
      <c r="S4711" s="53">
        <f t="shared" si="1612"/>
        <v>0</v>
      </c>
      <c r="T4711" s="53">
        <f>SUM($S$4675:$S4711)</f>
        <v>13.2288</v>
      </c>
      <c r="U4711" s="53">
        <f t="shared" si="1613"/>
        <v>0</v>
      </c>
    </row>
    <row r="4712" spans="1:21" x14ac:dyDescent="0.25">
      <c r="A4712" s="71">
        <v>38</v>
      </c>
      <c r="B4712" s="72">
        <f t="shared" si="1614"/>
        <v>46784</v>
      </c>
      <c r="C4712" s="73">
        <f t="shared" si="1597"/>
        <v>46812</v>
      </c>
      <c r="D4712" s="67">
        <f t="shared" si="1598"/>
        <v>29</v>
      </c>
      <c r="E4712" s="67">
        <f t="shared" si="1599"/>
        <v>2</v>
      </c>
      <c r="F4712" s="74">
        <f t="shared" si="1600"/>
        <v>46798.5</v>
      </c>
      <c r="G4712" s="67">
        <f t="shared" si="1601"/>
        <v>24337</v>
      </c>
      <c r="H4712" s="75">
        <f t="shared" si="1602"/>
        <v>1</v>
      </c>
      <c r="I4712" s="76">
        <f t="shared" si="1603"/>
        <v>1.1024</v>
      </c>
      <c r="J4712" s="76">
        <f t="shared" si="1604"/>
        <v>1.1024</v>
      </c>
      <c r="K4712" s="67">
        <f t="shared" si="1605"/>
        <v>0</v>
      </c>
      <c r="L4712" s="67">
        <f t="shared" si="1606"/>
        <v>0</v>
      </c>
      <c r="M4712" s="77">
        <f t="shared" si="1607"/>
        <v>0</v>
      </c>
      <c r="N4712" s="76">
        <f t="shared" si="1608"/>
        <v>1.1024</v>
      </c>
      <c r="P4712" s="76">
        <f t="shared" si="1609"/>
        <v>0</v>
      </c>
      <c r="Q4712" s="76">
        <f t="shared" si="1610"/>
        <v>0</v>
      </c>
      <c r="R4712" s="76">
        <f t="shared" si="1611"/>
        <v>1</v>
      </c>
      <c r="S4712" s="53">
        <f t="shared" si="1612"/>
        <v>0</v>
      </c>
      <c r="T4712" s="53">
        <f>SUM($S$4675:$S4712)</f>
        <v>13.2288</v>
      </c>
      <c r="U4712" s="53">
        <f t="shared" si="1613"/>
        <v>0</v>
      </c>
    </row>
    <row r="4713" spans="1:21" x14ac:dyDescent="0.25">
      <c r="A4713" s="71">
        <v>39</v>
      </c>
      <c r="B4713" s="72">
        <f t="shared" si="1614"/>
        <v>46813</v>
      </c>
      <c r="C4713" s="73">
        <f t="shared" si="1597"/>
        <v>46843</v>
      </c>
      <c r="D4713" s="67">
        <f t="shared" si="1598"/>
        <v>31</v>
      </c>
      <c r="E4713" s="67">
        <f t="shared" si="1599"/>
        <v>3</v>
      </c>
      <c r="F4713" s="74">
        <f t="shared" si="1600"/>
        <v>46828.5</v>
      </c>
      <c r="G4713" s="67">
        <f t="shared" si="1601"/>
        <v>24338</v>
      </c>
      <c r="H4713" s="75">
        <f t="shared" si="1602"/>
        <v>1</v>
      </c>
      <c r="I4713" s="76">
        <f t="shared" si="1603"/>
        <v>1.1024</v>
      </c>
      <c r="J4713" s="76">
        <f t="shared" si="1604"/>
        <v>1.1024</v>
      </c>
      <c r="K4713" s="67">
        <f t="shared" si="1605"/>
        <v>0</v>
      </c>
      <c r="L4713" s="67">
        <f t="shared" si="1606"/>
        <v>0</v>
      </c>
      <c r="M4713" s="77">
        <f t="shared" si="1607"/>
        <v>0</v>
      </c>
      <c r="N4713" s="76">
        <f t="shared" si="1608"/>
        <v>1.1024</v>
      </c>
      <c r="P4713" s="76">
        <f t="shared" si="1609"/>
        <v>0</v>
      </c>
      <c r="Q4713" s="76">
        <f t="shared" si="1610"/>
        <v>0</v>
      </c>
      <c r="R4713" s="76">
        <f t="shared" si="1611"/>
        <v>1</v>
      </c>
      <c r="S4713" s="53">
        <f t="shared" si="1612"/>
        <v>0</v>
      </c>
      <c r="T4713" s="53">
        <f>SUM($S$4675:$S4713)</f>
        <v>13.2288</v>
      </c>
      <c r="U4713" s="53">
        <f t="shared" si="1613"/>
        <v>0</v>
      </c>
    </row>
    <row r="4714" spans="1:21" x14ac:dyDescent="0.25">
      <c r="A4714" s="71">
        <v>40</v>
      </c>
      <c r="B4714" s="72">
        <f t="shared" si="1614"/>
        <v>46844</v>
      </c>
      <c r="C4714" s="73">
        <f t="shared" si="1597"/>
        <v>46873</v>
      </c>
      <c r="D4714" s="67">
        <f t="shared" si="1598"/>
        <v>30</v>
      </c>
      <c r="E4714" s="67">
        <f t="shared" si="1599"/>
        <v>4</v>
      </c>
      <c r="F4714" s="74">
        <f t="shared" si="1600"/>
        <v>46859</v>
      </c>
      <c r="G4714" s="67">
        <f t="shared" si="1601"/>
        <v>24339</v>
      </c>
      <c r="H4714" s="75">
        <f t="shared" si="1602"/>
        <v>1</v>
      </c>
      <c r="I4714" s="76">
        <f t="shared" si="1603"/>
        <v>1.1024</v>
      </c>
      <c r="J4714" s="76">
        <f t="shared" si="1604"/>
        <v>1.1024</v>
      </c>
      <c r="K4714" s="67">
        <f t="shared" si="1605"/>
        <v>0</v>
      </c>
      <c r="L4714" s="67">
        <f t="shared" si="1606"/>
        <v>0</v>
      </c>
      <c r="M4714" s="77">
        <f t="shared" si="1607"/>
        <v>0</v>
      </c>
      <c r="N4714" s="76">
        <f t="shared" si="1608"/>
        <v>1.1024</v>
      </c>
      <c r="P4714" s="76">
        <f t="shared" si="1609"/>
        <v>0</v>
      </c>
      <c r="Q4714" s="76">
        <f t="shared" si="1610"/>
        <v>0</v>
      </c>
      <c r="R4714" s="76">
        <f t="shared" si="1611"/>
        <v>1</v>
      </c>
      <c r="S4714" s="53">
        <f t="shared" si="1612"/>
        <v>0</v>
      </c>
      <c r="T4714" s="53">
        <f>SUM($S$4675:$S4714)</f>
        <v>13.2288</v>
      </c>
      <c r="U4714" s="53">
        <f t="shared" si="1613"/>
        <v>0</v>
      </c>
    </row>
    <row r="4715" spans="1:21" x14ac:dyDescent="0.25">
      <c r="A4715" s="71">
        <v>41</v>
      </c>
      <c r="B4715" s="72">
        <f t="shared" si="1614"/>
        <v>46874</v>
      </c>
      <c r="C4715" s="73">
        <f t="shared" si="1597"/>
        <v>46904</v>
      </c>
      <c r="D4715" s="67">
        <f t="shared" si="1598"/>
        <v>31</v>
      </c>
      <c r="E4715" s="67">
        <f t="shared" si="1599"/>
        <v>5</v>
      </c>
      <c r="F4715" s="74">
        <f t="shared" si="1600"/>
        <v>46889.5</v>
      </c>
      <c r="G4715" s="67">
        <f t="shared" si="1601"/>
        <v>24340</v>
      </c>
      <c r="H4715" s="75">
        <f t="shared" si="1602"/>
        <v>1</v>
      </c>
      <c r="I4715" s="76">
        <f t="shared" si="1603"/>
        <v>1.1024</v>
      </c>
      <c r="J4715" s="76">
        <f t="shared" si="1604"/>
        <v>1.1024</v>
      </c>
      <c r="K4715" s="67">
        <f t="shared" si="1605"/>
        <v>0</v>
      </c>
      <c r="L4715" s="67">
        <f t="shared" si="1606"/>
        <v>0</v>
      </c>
      <c r="M4715" s="77">
        <f t="shared" si="1607"/>
        <v>0</v>
      </c>
      <c r="N4715" s="76">
        <f t="shared" si="1608"/>
        <v>1.1024</v>
      </c>
      <c r="P4715" s="76">
        <f t="shared" si="1609"/>
        <v>0</v>
      </c>
      <c r="Q4715" s="76">
        <f t="shared" si="1610"/>
        <v>0</v>
      </c>
      <c r="R4715" s="76">
        <f t="shared" si="1611"/>
        <v>1</v>
      </c>
      <c r="S4715" s="53">
        <f t="shared" si="1612"/>
        <v>0</v>
      </c>
      <c r="T4715" s="53">
        <f>SUM($S$4675:$S4715)</f>
        <v>13.2288</v>
      </c>
      <c r="U4715" s="53">
        <f t="shared" si="1613"/>
        <v>0</v>
      </c>
    </row>
    <row r="4716" spans="1:21" x14ac:dyDescent="0.25">
      <c r="A4716" s="71">
        <v>42</v>
      </c>
      <c r="B4716" s="72">
        <f t="shared" si="1614"/>
        <v>46905</v>
      </c>
      <c r="C4716" s="73">
        <f t="shared" si="1597"/>
        <v>46934</v>
      </c>
      <c r="D4716" s="67">
        <f t="shared" si="1598"/>
        <v>30</v>
      </c>
      <c r="E4716" s="67">
        <f t="shared" si="1599"/>
        <v>6</v>
      </c>
      <c r="F4716" s="74">
        <f t="shared" si="1600"/>
        <v>46920</v>
      </c>
      <c r="G4716" s="67">
        <f t="shared" si="1601"/>
        <v>24341</v>
      </c>
      <c r="H4716" s="75">
        <f t="shared" si="1602"/>
        <v>1</v>
      </c>
      <c r="I4716" s="76">
        <f t="shared" si="1603"/>
        <v>1.1024</v>
      </c>
      <c r="J4716" s="76">
        <f t="shared" si="1604"/>
        <v>1.1024</v>
      </c>
      <c r="K4716" s="67">
        <f t="shared" si="1605"/>
        <v>0</v>
      </c>
      <c r="L4716" s="67">
        <f t="shared" si="1606"/>
        <v>0</v>
      </c>
      <c r="M4716" s="77">
        <f t="shared" si="1607"/>
        <v>0</v>
      </c>
      <c r="N4716" s="76">
        <f t="shared" si="1608"/>
        <v>1.1024</v>
      </c>
      <c r="P4716" s="76">
        <f t="shared" si="1609"/>
        <v>0</v>
      </c>
      <c r="Q4716" s="76">
        <f t="shared" si="1610"/>
        <v>0</v>
      </c>
      <c r="R4716" s="76">
        <f t="shared" si="1611"/>
        <v>1</v>
      </c>
      <c r="S4716" s="53">
        <f t="shared" si="1612"/>
        <v>0</v>
      </c>
      <c r="T4716" s="53">
        <f>SUM($S$4675:$S4716)</f>
        <v>13.2288</v>
      </c>
      <c r="U4716" s="53">
        <f t="shared" si="1613"/>
        <v>0</v>
      </c>
    </row>
    <row r="4717" spans="1:21" x14ac:dyDescent="0.25">
      <c r="A4717" s="71">
        <v>43</v>
      </c>
      <c r="B4717" s="72">
        <f t="shared" si="1614"/>
        <v>46935</v>
      </c>
      <c r="C4717" s="73">
        <f t="shared" si="1597"/>
        <v>46965</v>
      </c>
      <c r="D4717" s="67">
        <f t="shared" si="1598"/>
        <v>31</v>
      </c>
      <c r="E4717" s="67">
        <f t="shared" si="1599"/>
        <v>7</v>
      </c>
      <c r="F4717" s="74">
        <f t="shared" si="1600"/>
        <v>46950.5</v>
      </c>
      <c r="G4717" s="67">
        <f t="shared" si="1601"/>
        <v>24342</v>
      </c>
      <c r="H4717" s="75">
        <f t="shared" si="1602"/>
        <v>1</v>
      </c>
      <c r="I4717" s="76">
        <f t="shared" si="1603"/>
        <v>1.1024</v>
      </c>
      <c r="J4717" s="76">
        <f t="shared" si="1604"/>
        <v>1.1024</v>
      </c>
      <c r="K4717" s="67">
        <f t="shared" si="1605"/>
        <v>0</v>
      </c>
      <c r="L4717" s="67">
        <f t="shared" si="1606"/>
        <v>0</v>
      </c>
      <c r="M4717" s="77">
        <f t="shared" si="1607"/>
        <v>0</v>
      </c>
      <c r="N4717" s="76">
        <f t="shared" si="1608"/>
        <v>1.1024</v>
      </c>
      <c r="P4717" s="76">
        <f t="shared" si="1609"/>
        <v>0</v>
      </c>
      <c r="Q4717" s="76">
        <f t="shared" si="1610"/>
        <v>0</v>
      </c>
      <c r="R4717" s="76">
        <f t="shared" si="1611"/>
        <v>0.91666666666666663</v>
      </c>
      <c r="S4717" s="53">
        <f t="shared" si="1612"/>
        <v>0</v>
      </c>
      <c r="T4717" s="53">
        <f>SUM($S$4675:$S4717)</f>
        <v>13.2288</v>
      </c>
      <c r="U4717" s="53">
        <f t="shared" si="1613"/>
        <v>0</v>
      </c>
    </row>
    <row r="4718" spans="1:21" x14ac:dyDescent="0.25">
      <c r="A4718" s="71">
        <v>44</v>
      </c>
      <c r="B4718" s="72">
        <f t="shared" si="1614"/>
        <v>46966</v>
      </c>
      <c r="C4718" s="73">
        <f t="shared" si="1597"/>
        <v>46996</v>
      </c>
      <c r="D4718" s="67">
        <f t="shared" si="1598"/>
        <v>31</v>
      </c>
      <c r="E4718" s="67">
        <f t="shared" si="1599"/>
        <v>8</v>
      </c>
      <c r="F4718" s="74">
        <f t="shared" si="1600"/>
        <v>46981.5</v>
      </c>
      <c r="G4718" s="67">
        <f t="shared" si="1601"/>
        <v>24343</v>
      </c>
      <c r="H4718" s="75">
        <f t="shared" si="1602"/>
        <v>1</v>
      </c>
      <c r="I4718" s="76">
        <f t="shared" si="1603"/>
        <v>1.1024</v>
      </c>
      <c r="J4718" s="76">
        <f t="shared" si="1604"/>
        <v>1.1024</v>
      </c>
      <c r="K4718" s="67">
        <f t="shared" si="1605"/>
        <v>0</v>
      </c>
      <c r="L4718" s="67">
        <f t="shared" si="1606"/>
        <v>0</v>
      </c>
      <c r="M4718" s="77">
        <f t="shared" si="1607"/>
        <v>0</v>
      </c>
      <c r="N4718" s="76">
        <f t="shared" si="1608"/>
        <v>1.1024</v>
      </c>
      <c r="P4718" s="76">
        <f t="shared" si="1609"/>
        <v>0</v>
      </c>
      <c r="Q4718" s="76">
        <f t="shared" si="1610"/>
        <v>0</v>
      </c>
      <c r="R4718" s="76">
        <f t="shared" si="1611"/>
        <v>0.75</v>
      </c>
      <c r="S4718" s="53">
        <f t="shared" si="1612"/>
        <v>0</v>
      </c>
      <c r="T4718" s="53">
        <f>SUM($S$4675:$S4718)</f>
        <v>13.2288</v>
      </c>
      <c r="U4718" s="53">
        <f t="shared" si="1613"/>
        <v>0</v>
      </c>
    </row>
    <row r="4719" spans="1:21" x14ac:dyDescent="0.25">
      <c r="A4719" s="71">
        <v>45</v>
      </c>
      <c r="B4719" s="72">
        <f t="shared" si="1614"/>
        <v>46997</v>
      </c>
      <c r="C4719" s="73">
        <f t="shared" si="1597"/>
        <v>47026</v>
      </c>
      <c r="D4719" s="67">
        <f t="shared" si="1598"/>
        <v>30</v>
      </c>
      <c r="E4719" s="67">
        <f t="shared" si="1599"/>
        <v>9</v>
      </c>
      <c r="F4719" s="74">
        <f t="shared" si="1600"/>
        <v>47012</v>
      </c>
      <c r="G4719" s="67">
        <f t="shared" si="1601"/>
        <v>24344</v>
      </c>
      <c r="H4719" s="75">
        <f t="shared" si="1602"/>
        <v>1</v>
      </c>
      <c r="I4719" s="76">
        <f t="shared" si="1603"/>
        <v>1.1024</v>
      </c>
      <c r="J4719" s="76">
        <f t="shared" si="1604"/>
        <v>1.1024</v>
      </c>
      <c r="K4719" s="67">
        <f t="shared" si="1605"/>
        <v>0</v>
      </c>
      <c r="L4719" s="67">
        <f t="shared" si="1606"/>
        <v>0</v>
      </c>
      <c r="M4719" s="77">
        <f t="shared" si="1607"/>
        <v>0</v>
      </c>
      <c r="N4719" s="76">
        <f t="shared" si="1608"/>
        <v>1.1024</v>
      </c>
      <c r="P4719" s="76">
        <f t="shared" si="1609"/>
        <v>0</v>
      </c>
      <c r="Q4719" s="76">
        <f t="shared" si="1610"/>
        <v>0</v>
      </c>
      <c r="R4719" s="76">
        <f t="shared" si="1611"/>
        <v>0.58333333333333337</v>
      </c>
      <c r="S4719" s="53">
        <f t="shared" si="1612"/>
        <v>0</v>
      </c>
      <c r="T4719" s="53">
        <f>SUM($S$4675:$S4719)</f>
        <v>13.2288</v>
      </c>
      <c r="U4719" s="53">
        <f t="shared" si="1613"/>
        <v>0</v>
      </c>
    </row>
    <row r="4720" spans="1:21" x14ac:dyDescent="0.25">
      <c r="A4720" s="71">
        <v>46</v>
      </c>
      <c r="B4720" s="72">
        <f t="shared" si="1614"/>
        <v>47027</v>
      </c>
      <c r="C4720" s="73">
        <f t="shared" si="1597"/>
        <v>47057</v>
      </c>
      <c r="D4720" s="67">
        <f t="shared" si="1598"/>
        <v>31</v>
      </c>
      <c r="E4720" s="67">
        <f t="shared" si="1599"/>
        <v>10</v>
      </c>
      <c r="F4720" s="74">
        <f t="shared" si="1600"/>
        <v>47042.5</v>
      </c>
      <c r="G4720" s="67">
        <f t="shared" si="1601"/>
        <v>24345</v>
      </c>
      <c r="H4720" s="75">
        <f t="shared" si="1602"/>
        <v>1</v>
      </c>
      <c r="I4720" s="76">
        <f t="shared" si="1603"/>
        <v>1.1024</v>
      </c>
      <c r="J4720" s="76">
        <f t="shared" si="1604"/>
        <v>1.1024</v>
      </c>
      <c r="K4720" s="67">
        <f t="shared" si="1605"/>
        <v>0</v>
      </c>
      <c r="L4720" s="67">
        <f t="shared" si="1606"/>
        <v>0</v>
      </c>
      <c r="M4720" s="77">
        <f t="shared" si="1607"/>
        <v>0</v>
      </c>
      <c r="N4720" s="76">
        <f t="shared" si="1608"/>
        <v>1.1024</v>
      </c>
      <c r="P4720" s="76">
        <f t="shared" si="1609"/>
        <v>0</v>
      </c>
      <c r="Q4720" s="76">
        <f t="shared" si="1610"/>
        <v>0</v>
      </c>
      <c r="R4720" s="76">
        <f t="shared" si="1611"/>
        <v>0.41666666666666669</v>
      </c>
      <c r="S4720" s="53">
        <f t="shared" si="1612"/>
        <v>0</v>
      </c>
      <c r="T4720" s="53">
        <f>SUM($S$4675:$S4720)</f>
        <v>13.2288</v>
      </c>
      <c r="U4720" s="53">
        <f t="shared" si="1613"/>
        <v>0</v>
      </c>
    </row>
    <row r="4721" spans="1:21" x14ac:dyDescent="0.25">
      <c r="A4721" s="71">
        <v>47</v>
      </c>
      <c r="B4721" s="72">
        <f t="shared" si="1614"/>
        <v>47058</v>
      </c>
      <c r="C4721" s="73">
        <f t="shared" si="1597"/>
        <v>47087</v>
      </c>
      <c r="D4721" s="67">
        <f t="shared" si="1598"/>
        <v>30</v>
      </c>
      <c r="E4721" s="67">
        <f t="shared" si="1599"/>
        <v>11</v>
      </c>
      <c r="F4721" s="74">
        <f t="shared" si="1600"/>
        <v>47073</v>
      </c>
      <c r="G4721" s="67">
        <f t="shared" si="1601"/>
        <v>24346</v>
      </c>
      <c r="H4721" s="75">
        <f t="shared" si="1602"/>
        <v>1</v>
      </c>
      <c r="I4721" s="76">
        <f t="shared" si="1603"/>
        <v>1.1024</v>
      </c>
      <c r="J4721" s="76">
        <f t="shared" si="1604"/>
        <v>1.1024</v>
      </c>
      <c r="K4721" s="67">
        <f t="shared" si="1605"/>
        <v>0</v>
      </c>
      <c r="L4721" s="67">
        <f t="shared" si="1606"/>
        <v>0</v>
      </c>
      <c r="M4721" s="77">
        <f t="shared" si="1607"/>
        <v>0</v>
      </c>
      <c r="N4721" s="76">
        <f t="shared" si="1608"/>
        <v>1.1024</v>
      </c>
      <c r="P4721" s="76">
        <f t="shared" si="1609"/>
        <v>0</v>
      </c>
      <c r="Q4721" s="76">
        <f t="shared" si="1610"/>
        <v>0</v>
      </c>
      <c r="R4721" s="76">
        <f t="shared" si="1611"/>
        <v>0.25</v>
      </c>
      <c r="S4721" s="53">
        <f t="shared" si="1612"/>
        <v>0</v>
      </c>
      <c r="T4721" s="53">
        <f>SUM($S$4675:$S4721)</f>
        <v>13.2288</v>
      </c>
      <c r="U4721" s="53">
        <f t="shared" si="1613"/>
        <v>0</v>
      </c>
    </row>
    <row r="4722" spans="1:21" x14ac:dyDescent="0.25">
      <c r="A4722" s="71">
        <v>48</v>
      </c>
      <c r="B4722" s="72">
        <f t="shared" si="1614"/>
        <v>47088</v>
      </c>
      <c r="C4722" s="73">
        <f t="shared" si="1597"/>
        <v>47118</v>
      </c>
      <c r="D4722" s="67">
        <f t="shared" si="1598"/>
        <v>31</v>
      </c>
      <c r="E4722" s="67">
        <f t="shared" si="1599"/>
        <v>12</v>
      </c>
      <c r="F4722" s="74">
        <f t="shared" si="1600"/>
        <v>47103.5</v>
      </c>
      <c r="G4722" s="67">
        <f t="shared" si="1601"/>
        <v>24347</v>
      </c>
      <c r="H4722" s="75">
        <f t="shared" si="1602"/>
        <v>1</v>
      </c>
      <c r="I4722" s="76">
        <f t="shared" si="1603"/>
        <v>1.1024</v>
      </c>
      <c r="J4722" s="76">
        <f t="shared" si="1604"/>
        <v>1.1024</v>
      </c>
      <c r="K4722" s="67">
        <f t="shared" si="1605"/>
        <v>0</v>
      </c>
      <c r="L4722" s="67">
        <f t="shared" si="1606"/>
        <v>0</v>
      </c>
      <c r="M4722" s="77">
        <f t="shared" si="1607"/>
        <v>0</v>
      </c>
      <c r="N4722" s="76">
        <f t="shared" si="1608"/>
        <v>1.1024</v>
      </c>
      <c r="P4722" s="76">
        <f t="shared" si="1609"/>
        <v>0</v>
      </c>
      <c r="Q4722" s="76">
        <f t="shared" si="1610"/>
        <v>0</v>
      </c>
      <c r="R4722" s="76">
        <f t="shared" si="1611"/>
        <v>8.3333333333333329E-2</v>
      </c>
      <c r="S4722" s="53">
        <f t="shared" si="1612"/>
        <v>0</v>
      </c>
      <c r="T4722" s="53">
        <f>SUM($S$4675:$S4722)</f>
        <v>13.2288</v>
      </c>
      <c r="U4722" s="53">
        <f t="shared" si="1613"/>
        <v>0</v>
      </c>
    </row>
    <row r="4723" spans="1:21" x14ac:dyDescent="0.25">
      <c r="A4723" s="81" t="s">
        <v>1250</v>
      </c>
      <c r="B4723" s="53">
        <f>SUMPRODUCT($H$4675:$H$4722,$Q$4675:$Q$4722)</f>
        <v>12</v>
      </c>
      <c r="C4723" s="53">
        <f>SUM($S$4675:$S$4722)</f>
        <v>13.2288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8" t="s">
        <v>1251</v>
      </c>
    </row>
    <row r="3" spans="1:2" x14ac:dyDescent="0.25">
      <c r="A3" s="12" t="s">
        <v>1252</v>
      </c>
    </row>
    <row r="4" spans="1:2" x14ac:dyDescent="0.25">
      <c r="A4" s="14" t="s">
        <v>1253</v>
      </c>
      <c r="B4" s="191">
        <v>1.1024</v>
      </c>
    </row>
    <row r="5" spans="1:2" x14ac:dyDescent="0.25">
      <c r="A5" s="14" t="s">
        <v>1254</v>
      </c>
      <c r="B5" s="191">
        <v>1.0556000000000001</v>
      </c>
    </row>
    <row r="6" spans="1:2" x14ac:dyDescent="0.25">
      <c r="A6" s="14" t="s">
        <v>1255</v>
      </c>
      <c r="B6" s="191">
        <v>1.1299600000000001</v>
      </c>
    </row>
    <row r="7" spans="1:2" x14ac:dyDescent="0.25">
      <c r="A7" s="14" t="s">
        <v>1256</v>
      </c>
      <c r="B7" s="191">
        <v>1.1575200000000001</v>
      </c>
    </row>
    <row r="8" spans="1:2" x14ac:dyDescent="0.25">
      <c r="A8" s="14" t="s">
        <v>1257</v>
      </c>
      <c r="B8" s="191">
        <v>0.87197757111597374</v>
      </c>
    </row>
    <row r="9" spans="1:2" x14ac:dyDescent="0.25">
      <c r="A9" s="14" t="s">
        <v>1258</v>
      </c>
      <c r="B9" s="191">
        <v>0.97560975609756095</v>
      </c>
    </row>
    <row r="10" spans="1:2" x14ac:dyDescent="0.25">
      <c r="A10" s="14" t="s">
        <v>1259</v>
      </c>
      <c r="B10" s="191">
        <v>0.95238095238095233</v>
      </c>
    </row>
    <row r="11" spans="1:2" x14ac:dyDescent="0.25">
      <c r="A11" s="14" t="s">
        <v>1260</v>
      </c>
      <c r="B11" s="191">
        <v>0.97479571511472884</v>
      </c>
    </row>
    <row r="12" spans="1:2" x14ac:dyDescent="0.25">
      <c r="A12" s="14" t="s">
        <v>1261</v>
      </c>
      <c r="B12" s="191">
        <v>0.61816313641421827</v>
      </c>
    </row>
    <row r="13" spans="1:2" x14ac:dyDescent="0.25">
      <c r="A13" s="14" t="s">
        <v>1262</v>
      </c>
      <c r="B13" s="191">
        <v>0.59190316879792326</v>
      </c>
    </row>
    <row r="14" spans="1:2" x14ac:dyDescent="0.25">
      <c r="A14" s="14" t="s">
        <v>1263</v>
      </c>
      <c r="B14" s="191">
        <v>2.500000000000013E-2</v>
      </c>
    </row>
    <row r="15" spans="1:2" x14ac:dyDescent="0.25">
      <c r="A15" s="14" t="s">
        <v>1264</v>
      </c>
      <c r="B15" s="191">
        <v>0.61814723651823666</v>
      </c>
    </row>
    <row r="16" spans="1:2" x14ac:dyDescent="0.25">
      <c r="A16" s="14" t="s">
        <v>1265</v>
      </c>
      <c r="B16" s="191">
        <v>1.1299600000000001</v>
      </c>
    </row>
    <row r="17" spans="1:4" x14ac:dyDescent="0.25">
      <c r="A17" s="14" t="s">
        <v>1266</v>
      </c>
      <c r="B17" s="191">
        <v>5.0000000000000273E-2</v>
      </c>
    </row>
    <row r="19" spans="1:4" x14ac:dyDescent="0.25">
      <c r="A19" s="12" t="s">
        <v>1267</v>
      </c>
    </row>
    <row r="20" spans="1:4" x14ac:dyDescent="0.25">
      <c r="A20" s="188" t="s">
        <v>1268</v>
      </c>
      <c r="B20" s="188" t="s">
        <v>483</v>
      </c>
      <c r="C20" s="188" t="s">
        <v>1269</v>
      </c>
      <c r="D20" s="188" t="s">
        <v>1270</v>
      </c>
    </row>
    <row r="21" spans="1:4" x14ac:dyDescent="0.25">
      <c r="A21" s="14" t="s">
        <v>1271</v>
      </c>
      <c r="B21" s="14">
        <v>2027</v>
      </c>
      <c r="C21" s="14">
        <f>nr_PlanYear</f>
        <v>2027</v>
      </c>
      <c r="D21" s="14" t="b">
        <f>ABS($C21-$B21)&lt;=0.000000001</f>
        <v>1</v>
      </c>
    </row>
    <row r="22" spans="1:4" x14ac:dyDescent="0.25">
      <c r="A22" s="14" t="s">
        <v>61</v>
      </c>
      <c r="B22" s="14" t="s">
        <v>1272</v>
      </c>
      <c r="C22" s="14" t="str">
        <f>nr_SelKey</f>
        <v>BU-A|AZ</v>
      </c>
      <c r="D22" s="14" t="b">
        <f>$C22=$B22</f>
        <v>1</v>
      </c>
    </row>
    <row r="23" spans="1:4" x14ac:dyDescent="0.25">
      <c r="A23" s="14" t="s">
        <v>296</v>
      </c>
      <c r="B23" s="14">
        <v>0.65</v>
      </c>
      <c r="C23" s="14">
        <f>nr_LRproj</f>
        <v>0.65</v>
      </c>
      <c r="D23" s="14" t="b">
        <f>ABS($C23-$B23)&lt;=0.000000001</f>
        <v>1</v>
      </c>
    </row>
    <row r="24" spans="1:4" x14ac:dyDescent="0.25">
      <c r="A24" s="14" t="s">
        <v>111</v>
      </c>
      <c r="B24" s="14" t="s">
        <v>127</v>
      </c>
      <c r="C24" s="14" t="str">
        <f>nr_Basis</f>
        <v>current</v>
      </c>
      <c r="D24" s="14" t="b">
        <f>$C24=$B24</f>
        <v>1</v>
      </c>
    </row>
    <row r="25" spans="1:4" x14ac:dyDescent="0.25">
      <c r="A25" s="14" t="s">
        <v>1273</v>
      </c>
      <c r="B25" s="14">
        <v>0.85</v>
      </c>
      <c r="C25" s="14">
        <f>nr_MInd</f>
        <v>0.85</v>
      </c>
      <c r="D25" s="14" t="b">
        <f>ABS($C25-$B25)&lt;=0.000000001</f>
        <v>1</v>
      </c>
    </row>
    <row r="26" spans="1:4" x14ac:dyDescent="0.25">
      <c r="A26" s="14" t="s">
        <v>1274</v>
      </c>
      <c r="B26" s="14">
        <v>0.86</v>
      </c>
      <c r="C26" s="14">
        <f>nr_M0</f>
        <v>0.86</v>
      </c>
      <c r="D26" s="14" t="b">
        <f>ABS($C26-$B26)&lt;=0.000000001</f>
        <v>1</v>
      </c>
    </row>
    <row r="27" spans="1:4" x14ac:dyDescent="0.25">
      <c r="A27" s="14" t="s">
        <v>1275</v>
      </c>
      <c r="B27" s="14">
        <v>46295</v>
      </c>
      <c r="C27" s="14">
        <f>nr_M0Asof</f>
        <v>46295</v>
      </c>
      <c r="D27" s="14" t="b">
        <f>ABS($C27-$B27)&lt;=0.5</f>
        <v>1</v>
      </c>
    </row>
    <row r="28" spans="1:4" x14ac:dyDescent="0.25">
      <c r="A28" s="14" t="s">
        <v>1276</v>
      </c>
      <c r="B28" s="14">
        <v>0.89</v>
      </c>
      <c r="C28" s="14">
        <f>nr_M1</f>
        <v>0.89</v>
      </c>
      <c r="D28" s="14" t="b">
        <f>ABS($C28-$B28)&lt;=0.000000001</f>
        <v>1</v>
      </c>
    </row>
    <row r="29" spans="1:4" x14ac:dyDescent="0.25">
      <c r="A29" s="14" t="s">
        <v>1277</v>
      </c>
      <c r="B29" s="14">
        <v>0</v>
      </c>
      <c r="C29" s="14">
        <f>nr_MPrior</f>
        <v>0</v>
      </c>
      <c r="D29" s="14" t="b">
        <f>ABS($C29-$B29)&lt;=0.000000001</f>
        <v>1</v>
      </c>
    </row>
    <row r="30" spans="1:4" x14ac:dyDescent="0.25">
      <c r="A30" s="14" t="s">
        <v>1278</v>
      </c>
      <c r="B30" s="14">
        <v>0</v>
      </c>
      <c r="C30" s="14">
        <f>nr_M2</f>
        <v>0</v>
      </c>
      <c r="D30" s="14" t="b">
        <f>ABS($C30-$B30)&lt;=0.000000001</f>
        <v>1</v>
      </c>
    </row>
    <row r="31" spans="1:4" x14ac:dyDescent="0.25">
      <c r="A31" s="14" t="s">
        <v>1279</v>
      </c>
      <c r="B31" s="14">
        <v>0</v>
      </c>
      <c r="C31" s="14">
        <f>nr_Trend</f>
        <v>0</v>
      </c>
      <c r="D31" s="14" t="b">
        <f>ABS($C31-$B31)&lt;=0.000000001</f>
        <v>1</v>
      </c>
    </row>
    <row r="32" spans="1:4" x14ac:dyDescent="0.25">
      <c r="A32" s="14" t="s">
        <v>1280</v>
      </c>
      <c r="B32" s="14">
        <v>0</v>
      </c>
      <c r="C32" s="14">
        <f>N(nr_TrendDefault)</f>
        <v>0</v>
      </c>
      <c r="D32" s="14" t="b">
        <f>ABS($C32-$B32)&lt;=0.000000001</f>
        <v>1</v>
      </c>
    </row>
    <row r="33" spans="1:4" x14ac:dyDescent="0.25">
      <c r="A33" s="14" t="s">
        <v>1281</v>
      </c>
      <c r="B33" s="14" t="s">
        <v>1282</v>
      </c>
      <c r="C33" s="14" t="str">
        <f>IF(nr_NetMode,"TRUE","FALSE")</f>
        <v>FALSE</v>
      </c>
      <c r="D33" s="14" t="b">
        <f>$C33=$B33</f>
        <v>1</v>
      </c>
    </row>
    <row r="34" spans="1:4" x14ac:dyDescent="0.25">
      <c r="A34" s="14" t="s">
        <v>1185</v>
      </c>
      <c r="B34" s="14">
        <v>1</v>
      </c>
      <c r="C34" s="14">
        <f>nr_AOther</f>
        <v>1</v>
      </c>
      <c r="D34" s="14" t="b">
        <f>ABS($C34-$B34)&lt;=0.000000001</f>
        <v>1</v>
      </c>
    </row>
    <row r="35" spans="1:4" x14ac:dyDescent="0.25">
      <c r="A35" s="14" t="s">
        <v>1283</v>
      </c>
      <c r="B35" s="14" t="s">
        <v>77</v>
      </c>
      <c r="C35" s="14" t="str">
        <f>nr_ModAdjRow</f>
        <v>ON</v>
      </c>
      <c r="D35" s="14" t="b">
        <f>$C35=$B35</f>
        <v>1</v>
      </c>
    </row>
    <row r="36" spans="1:4" x14ac:dyDescent="0.25">
      <c r="A36" s="14" t="s">
        <v>1284</v>
      </c>
      <c r="B36" s="14" t="s">
        <v>77</v>
      </c>
      <c r="C36" s="14" t="str">
        <f>nr_ModAdjMaster</f>
        <v>ON</v>
      </c>
      <c r="D36" s="14" t="b">
        <f>$C36=$B36</f>
        <v>1</v>
      </c>
    </row>
    <row r="37" spans="1:4" x14ac:dyDescent="0.25">
      <c r="A37" s="14" t="s">
        <v>1285</v>
      </c>
      <c r="B37" s="14" t="s">
        <v>1282</v>
      </c>
      <c r="C37" s="14" t="str">
        <f>IF(re_season_active,"TRUE","FALSE")</f>
        <v>FALSE</v>
      </c>
      <c r="D37" s="14" t="b">
        <f>$C37=$B37</f>
        <v>1</v>
      </c>
    </row>
    <row r="38" spans="1:4" x14ac:dyDescent="0.25">
      <c r="A38" s="14" t="s">
        <v>1286</v>
      </c>
      <c r="B38" s="14">
        <v>6</v>
      </c>
      <c r="C38" s="14">
        <f>nr_TermMonths</f>
        <v>6</v>
      </c>
      <c r="D38" s="14" t="b">
        <f>ABS($C38-$B38)&lt;=0.000000001</f>
        <v>1</v>
      </c>
    </row>
    <row r="39" spans="1:4" x14ac:dyDescent="0.25">
      <c r="A39" s="14" t="s">
        <v>1287</v>
      </c>
      <c r="B39" s="14">
        <v>3</v>
      </c>
      <c r="C39" s="14">
        <f>COUNTIF(rl_key,"BU-A|AZ")</f>
        <v>3</v>
      </c>
      <c r="D39" s="14" t="b">
        <f>ABS($C39-$B39)&lt;=0.000000001</f>
        <v>1</v>
      </c>
    </row>
    <row r="40" spans="1:4" x14ac:dyDescent="0.25">
      <c r="A40" s="14" t="s">
        <v>1288</v>
      </c>
      <c r="B40" s="14">
        <v>0.15</v>
      </c>
      <c r="C40" s="14">
        <f>SUMIF(rl_key,"BU-A|AZ",rl_filed)</f>
        <v>0.15000000000000002</v>
      </c>
      <c r="D40" s="14" t="b">
        <f>ABS($C40-$B40)&lt;=0.000000001</f>
        <v>1</v>
      </c>
    </row>
    <row r="41" spans="1:4" x14ac:dyDescent="0.25">
      <c r="A41" s="14" t="s">
        <v>1289</v>
      </c>
      <c r="B41" s="14">
        <v>138521</v>
      </c>
      <c r="C41" s="14">
        <f>SUMIF(rl_key,"BU-A|AZ",rl_eff)</f>
        <v>138521</v>
      </c>
      <c r="D41" s="14" t="b">
        <f>ABS($C41-$B41)&lt;=0.5</f>
        <v>1</v>
      </c>
    </row>
    <row r="42" spans="1:4" x14ac:dyDescent="0.25">
      <c r="A42" s="14" t="s">
        <v>1290</v>
      </c>
      <c r="B42" s="14">
        <v>0.15</v>
      </c>
      <c r="C42" s="14">
        <f>SUMIF(rl_key,"BU-A|AZ",rl_reff)</f>
        <v>0.15000000000000002</v>
      </c>
      <c r="D42" s="14" t="b">
        <f>ABS($C42-$B42)&lt;=0.000000001</f>
        <v>1</v>
      </c>
    </row>
    <row r="43" spans="1:4" x14ac:dyDescent="0.25">
      <c r="A43" s="14" t="s">
        <v>1291</v>
      </c>
      <c r="B43" s="14">
        <v>1</v>
      </c>
      <c r="C43" s="14">
        <f>COUNTIFS(rl_key,"BU-A|AZ",rl_status,"planned")</f>
        <v>1</v>
      </c>
      <c r="D43" s="14" t="b">
        <f>ABS($C43-$B43)&lt;=0.000000001</f>
        <v>1</v>
      </c>
    </row>
    <row r="44" spans="1:4" x14ac:dyDescent="0.25">
      <c r="A44" s="14" t="s">
        <v>1292</v>
      </c>
      <c r="B44" s="14">
        <v>2</v>
      </c>
      <c r="C44" s="14">
        <f>COUNTIFS(rl_key,"BU-A|AZ",rl_cons,"Y")</f>
        <v>2</v>
      </c>
      <c r="D44" s="14" t="b">
        <f>ABS($C44-$B44)&lt;=0.000000001</f>
        <v>1</v>
      </c>
    </row>
    <row r="46" spans="1:4" x14ac:dyDescent="0.25">
      <c r="A46" s="12" t="s">
        <v>1293</v>
      </c>
      <c r="B46" s="16"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2026-07-30T18:26:02Z</dcterms:created>
  <dcterms:modified xsi:type="dcterms:W3CDTF">2026-07-30T18:26:32Z</dcterms:modified>
</cp:coreProperties>
</file>